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7.bin" ContentType="application/vnd.openxmlformats-officedocument.spreadsheetml.customProperty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ustomProperty8.bin" ContentType="application/vnd.openxmlformats-officedocument.spreadsheetml.customProperty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ustomProperty9.bin" ContentType="application/vnd.openxmlformats-officedocument.spreadsheetml.customProperty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ustomProperty10.bin" ContentType="application/vnd.openxmlformats-officedocument.spreadsheetml.customProperty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ustomProperty13.bin" ContentType="application/vnd.openxmlformats-officedocument.spreadsheetml.customProperty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ustomProperty14.bin" ContentType="application/vnd.openxmlformats-officedocument.spreadsheetml.customProperty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ustomProperty15.bin" ContentType="application/vnd.openxmlformats-officedocument.spreadsheetml.customProperty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ustomProperty16.bin" ContentType="application/vnd.openxmlformats-officedocument.spreadsheetml.customProperty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ustomProperty17.bin" ContentType="application/vnd.openxmlformats-officedocument.spreadsheetml.customProperty"/>
  <Override PartName="/xl/drawings/drawing12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ustomProperty18.bin" ContentType="application/vnd.openxmlformats-officedocument.spreadsheetml.customProperty"/>
  <Override PartName="/xl/drawings/drawing13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ustomProperty19.bin" ContentType="application/vnd.openxmlformats-officedocument.spreadsheetml.customProperty"/>
  <Override PartName="/xl/drawings/drawing14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ustomProperty20.bin" ContentType="application/vnd.openxmlformats-officedocument.spreadsheetml.customProperty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drawings/drawing16.xml" ContentType="application/vnd.openxmlformats-officedocument.drawing+xml"/>
  <Override PartName="/xl/customProperty23.bin" ContentType="application/vnd.openxmlformats-officedocument.spreadsheetml.customProperty"/>
  <Override PartName="/xl/drawings/drawing17.xml" ContentType="application/vnd.openxmlformats-officedocument.drawing+xml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ThisWorkbook" defaultThemeVersion="124226"/>
  <xr:revisionPtr revIDLastSave="0" documentId="13_ncr:1_{6574605C-B383-49A4-9375-2B15AA30F5A3}" xr6:coauthVersionLast="47" xr6:coauthVersionMax="47" xr10:uidLastSave="{00000000-0000-0000-0000-000000000000}"/>
  <bookViews>
    <workbookView xWindow="-120" yWindow="-120" windowWidth="29040" windowHeight="15720" tabRatio="860" firstSheet="16" activeTab="16" xr2:uid="{00000000-000D-0000-FFFF-FFFF00000000}"/>
  </bookViews>
  <sheets>
    <sheet name="Sheet5 (2)" sheetId="94" r:id="rId1"/>
    <sheet name="Sheet6" sheetId="93" r:id="rId2"/>
    <sheet name="Sheet8" sheetId="98" r:id="rId3"/>
    <sheet name="Sheet5" sheetId="92" r:id="rId4"/>
    <sheet name="Carr lpos" sheetId="95" r:id="rId5"/>
    <sheet name="Sheet9" sheetId="99" r:id="rId6"/>
    <sheet name="Sheet4" sheetId="91" r:id="rId7"/>
    <sheet name="srt" sheetId="86" r:id="rId8"/>
    <sheet name="Main (2)" sheetId="97" r:id="rId9"/>
    <sheet name="Main" sheetId="4" r:id="rId10"/>
    <sheet name="Mychart" sheetId="55" r:id="rId11"/>
    <sheet name="ProH" sheetId="101" r:id="rId12"/>
    <sheet name="ProHeader" sheetId="42" r:id="rId13"/>
    <sheet name="Sheet3" sheetId="89" r:id="rId14"/>
    <sheet name="collpy (2)" sheetId="69" r:id="rId15"/>
    <sheet name="srpro" sheetId="43" r:id="rId16"/>
    <sheet name="LPO" sheetId="7" r:id="rId17"/>
    <sheet name="invoice2" sheetId="49" r:id="rId18"/>
    <sheet name="FinView" sheetId="84" r:id="rId19"/>
    <sheet name="trpro" sheetId="44" r:id="rId20"/>
    <sheet name="ProjectsX (2)" sheetId="66" r:id="rId21"/>
    <sheet name="LPOView" sheetId="51" r:id="rId22"/>
    <sheet name="InvoiceView" sheetId="50" r:id="rId23"/>
    <sheet name="salesInv" sheetId="46" r:id="rId24"/>
    <sheet name="Purchases" sheetId="36" r:id="rId25"/>
    <sheet name="Sheet2" sheetId="88" r:id="rId26"/>
    <sheet name="Sheet1" sheetId="90" r:id="rId27"/>
    <sheet name="Empolyees" sheetId="9" r:id="rId28"/>
    <sheet name="carr" sheetId="57" r:id="rId29"/>
    <sheet name="Sheet7 (2)" sheetId="100" r:id="rId30"/>
    <sheet name="Sheet7" sheetId="96" r:id="rId31"/>
    <sheet name="carr2" sheetId="58" r:id="rId32"/>
  </sheets>
  <functionGroups builtInGroupCount="19"/>
  <definedNames>
    <definedName name="_xlnm._FilterDatabase" localSheetId="28" hidden="1">carr!$A$3:$A$29</definedName>
    <definedName name="_xlnm._FilterDatabase" localSheetId="31" hidden="1">carr2!$A$1:$F$1</definedName>
    <definedName name="_xlnm._FilterDatabase" localSheetId="14" hidden="1">'collpy (2)'!$K$10:$K$3495</definedName>
    <definedName name="_xlnm._FilterDatabase" localSheetId="27" hidden="1">Empolyees!$A$7:$K$167</definedName>
    <definedName name="_xlnm._FilterDatabase" localSheetId="18" hidden="1">FinView!$C$6:$C$87</definedName>
    <definedName name="_xlnm._FilterDatabase" localSheetId="17" hidden="1">invoice2!$A$1:$J$61</definedName>
    <definedName name="_xlnm._FilterDatabase" localSheetId="22" hidden="1">InvoiceView!$A$1:$J$63</definedName>
    <definedName name="_xlnm._FilterDatabase" localSheetId="16" hidden="1">LPO!$K$1:$P$483</definedName>
    <definedName name="_xlnm._FilterDatabase" localSheetId="21" hidden="1">LPOView!#REF!</definedName>
    <definedName name="_xlnm._FilterDatabase" localSheetId="9" hidden="1">Main!$A$9:$Q$310</definedName>
    <definedName name="_xlnm._FilterDatabase" localSheetId="8" hidden="1">'Main (2)'!$A$9:$Q$310</definedName>
    <definedName name="_xlnm._FilterDatabase" localSheetId="12" hidden="1">ProHeader!$AH$8:$AH$98</definedName>
    <definedName name="_xlnm._FilterDatabase" localSheetId="20" hidden="1">'ProjectsX (2)'!$A$8:$AC$81</definedName>
    <definedName name="_xlnm._FilterDatabase" localSheetId="24" hidden="1">Purchases!$A$9:$Q$1153</definedName>
    <definedName name="_xlnm._FilterDatabase" localSheetId="23" hidden="1">salesInv!$D$7:$D$328</definedName>
    <definedName name="_xlnm._FilterDatabase" localSheetId="25" hidden="1">Sheet2!$S$1:$W$69</definedName>
    <definedName name="_xlnm._FilterDatabase" localSheetId="13" hidden="1">Sheet3!$F$2:$F$75</definedName>
    <definedName name="_xlnm._FilterDatabase" localSheetId="6" hidden="1">Sheet4!$B$1:$M$679</definedName>
    <definedName name="_xlnm._FilterDatabase" localSheetId="15" hidden="1">srpro!$B$9:$B$1268</definedName>
    <definedName name="_xlnm._FilterDatabase" localSheetId="19" hidden="1">trpro!$A$9:$H$12</definedName>
    <definedName name="assets" localSheetId="10">Mychart!$A$5</definedName>
    <definedName name="assets">#REF!</definedName>
    <definedName name="ast" localSheetId="10">Mychart!$A$5</definedName>
    <definedName name="ast">#REF!</definedName>
    <definedName name="capital" localSheetId="10">Mychart!$A$44</definedName>
    <definedName name="capital">#REF!</definedName>
    <definedName name="cost_centers" localSheetId="10">Mychart!$A$55</definedName>
    <definedName name="cost_centers">#REF!</definedName>
    <definedName name="_xlnm.Criteria" localSheetId="14">'collpy (2)'!$C$10:$C$480</definedName>
    <definedName name="_xlnm.Criteria" localSheetId="23">salesInv!$D$8:$D$9994</definedName>
    <definedName name="Customers" localSheetId="10">Mychart!#REF!</definedName>
    <definedName name="Customers">#REF!</definedName>
    <definedName name="expenses" localSheetId="10">Mychart!$A$68</definedName>
    <definedName name="expenses">#REF!</definedName>
    <definedName name="_xlnm.Extract" localSheetId="23">salesInv!$H$5</definedName>
    <definedName name="laib" localSheetId="10">Mychart!$A$30</definedName>
    <definedName name="laib">#REF!</definedName>
    <definedName name="list">invoice2!$L$17</definedName>
    <definedName name="listdata">{"Constualt","1","5","4","لا","العناب ","Archpix"}</definedName>
    <definedName name="_xlnm.Print_Area" localSheetId="4">'Carr lpos'!$2:$2</definedName>
    <definedName name="_xlnm.Print_Area" localSheetId="18">FinView!$5:$7</definedName>
    <definedName name="_xlnm.Print_Area" localSheetId="17">invoice2!$C$1:$J$61</definedName>
    <definedName name="_xlnm.Print_Area" localSheetId="22">InvoiceView!$C$1:$J$63</definedName>
    <definedName name="_xlnm.Print_Area" localSheetId="16">LPO!$A$1:$F$48</definedName>
    <definedName name="_xlnm.Print_Area" localSheetId="21">LPOView!$A$1:$F$46</definedName>
    <definedName name="_xlnm.Print_Area" localSheetId="3">Sheet5!$A$1:$J$126</definedName>
    <definedName name="_xlnm.Print_Area" localSheetId="0">'Sheet5 (2)'!$A$1:$J$97</definedName>
    <definedName name="_xlnm.Print_Titles" localSheetId="20">'ProjectsX (2)'!$6:$8</definedName>
    <definedName name="_xlnm.Print_Titles" localSheetId="24">Purchases!$9:$9</definedName>
    <definedName name="_xlnm.Print_Titles" localSheetId="23">salesInv!$1:$7</definedName>
    <definedName name="_xlnm.Print_Titles" localSheetId="3">Sheet5!$1:$2</definedName>
    <definedName name="revenue" localSheetId="10">Mychart!$A$49</definedName>
    <definedName name="revenue">#REF!</definedName>
    <definedName name="SLCME">LPOView!$A$1:$F$31</definedName>
    <definedName name="Vendor" localSheetId="10">Mychart!#REF!</definedName>
    <definedName name="Vendor">#REF!</definedName>
    <definedName name="Z_CE7484BD_F9E2_4C03_AA0F_F7057FD8E6EF_.wvu.FilterData" localSheetId="28" hidden="1">carr!$A$3:$A$29</definedName>
    <definedName name="Z_CE7484BD_F9E2_4C03_AA0F_F7057FD8E6EF_.wvu.FilterData" localSheetId="31" hidden="1">carr2!$A$1:$F$1</definedName>
    <definedName name="Z_CE7484BD_F9E2_4C03_AA0F_F7057FD8E6EF_.wvu.FilterData" localSheetId="14" hidden="1">'collpy (2)'!$A$10:$P$946</definedName>
    <definedName name="Z_CE7484BD_F9E2_4C03_AA0F_F7057FD8E6EF_.wvu.FilterData" localSheetId="27" hidden="1">Empolyees!$A$7:$K$304</definedName>
    <definedName name="Z_CE7484BD_F9E2_4C03_AA0F_F7057FD8E6EF_.wvu.FilterData" localSheetId="18" hidden="1">FinView!$C$6:$C$87</definedName>
    <definedName name="Z_CE7484BD_F9E2_4C03_AA0F_F7057FD8E6EF_.wvu.FilterData" localSheetId="17" hidden="1">invoice2!$A$1:$J$61</definedName>
    <definedName name="Z_CE7484BD_F9E2_4C03_AA0F_F7057FD8E6EF_.wvu.FilterData" localSheetId="22" hidden="1">InvoiceView!$A$1:$J$63</definedName>
    <definedName name="Z_CE7484BD_F9E2_4C03_AA0F_F7057FD8E6EF_.wvu.FilterData" localSheetId="16" hidden="1">LPO!$K$1:$P$483</definedName>
    <definedName name="Z_CE7484BD_F9E2_4C03_AA0F_F7057FD8E6EF_.wvu.FilterData" localSheetId="9" hidden="1">Main!$A$9:$Q$310</definedName>
    <definedName name="Z_CE7484BD_F9E2_4C03_AA0F_F7057FD8E6EF_.wvu.FilterData" localSheetId="8" hidden="1">'Main (2)'!$A$9:$Q$310</definedName>
    <definedName name="Z_CE7484BD_F9E2_4C03_AA0F_F7057FD8E6EF_.wvu.FilterData" localSheetId="11" hidden="1">ProH!#REF!</definedName>
    <definedName name="Z_CE7484BD_F9E2_4C03_AA0F_F7057FD8E6EF_.wvu.FilterData" localSheetId="12" hidden="1">ProHeader!$AH$8:$AH$98</definedName>
    <definedName name="Z_CE7484BD_F9E2_4C03_AA0F_F7057FD8E6EF_.wvu.FilterData" localSheetId="20" hidden="1">'ProjectsX (2)'!$A$8:$AC$81</definedName>
    <definedName name="Z_CE7484BD_F9E2_4C03_AA0F_F7057FD8E6EF_.wvu.FilterData" localSheetId="24" hidden="1">Purchases!$A$9:$U$711</definedName>
    <definedName name="Z_CE7484BD_F9E2_4C03_AA0F_F7057FD8E6EF_.wvu.FilterData" localSheetId="23" hidden="1">salesInv!$E$7:$E$152</definedName>
    <definedName name="Z_CE7484BD_F9E2_4C03_AA0F_F7057FD8E6EF_.wvu.FilterData" localSheetId="15" hidden="1">srpro!$A$8:$I$1251</definedName>
    <definedName name="Z_CE7484BD_F9E2_4C03_AA0F_F7057FD8E6EF_.wvu.FilterData" localSheetId="19" hidden="1">trpro!$A$9:$H$27</definedName>
    <definedName name="Z_CE7484BD_F9E2_4C03_AA0F_F7057FD8E6EF_.wvu.PrintArea" localSheetId="18" hidden="1">FinView!$5:$7</definedName>
    <definedName name="Z_CE7484BD_F9E2_4C03_AA0F_F7057FD8E6EF_.wvu.PrintArea" localSheetId="17" hidden="1">invoice2!$C$1:$J$61</definedName>
    <definedName name="Z_CE7484BD_F9E2_4C03_AA0F_F7057FD8E6EF_.wvu.PrintArea" localSheetId="22" hidden="1">InvoiceView!$C$1:$J$63</definedName>
    <definedName name="Z_CE7484BD_F9E2_4C03_AA0F_F7057FD8E6EF_.wvu.PrintArea" localSheetId="16" hidden="1">LPO!$A$1:$F$48</definedName>
    <definedName name="Z_CE7484BD_F9E2_4C03_AA0F_F7057FD8E6EF_.wvu.PrintArea" localSheetId="21" hidden="1">LPOView!$A$1:$F$46</definedName>
    <definedName name="Z_CE7484BD_F9E2_4C03_AA0F_F7057FD8E6EF_.wvu.PrintTitles" localSheetId="20" hidden="1">'ProjectsX (2)'!$6:$8</definedName>
    <definedName name="Z_CE7484BD_F9E2_4C03_AA0F_F7057FD8E6EF_.wvu.PrintTitles" localSheetId="24" hidden="1">Purchases!$9:$9</definedName>
    <definedName name="Z_CE7484BD_F9E2_4C03_AA0F_F7057FD8E6EF_.wvu.PrintTitles" localSheetId="23" hidden="1">salesInv!$1:$7</definedName>
  </definedNames>
  <calcPr calcId="181029"/>
  <customWorkbookViews>
    <customWorkbookView name="ASAPTemporary" guid="{CE7484BD-F9E2-4C03-AA0F-F7057FD8E6EF}" maximized="1" xWindow="-8" yWindow="-8" windowWidth="1936" windowHeight="1048" tabRatio="841" activeSheetId="49"/>
  </customWorkbookViews>
</workbook>
</file>

<file path=xl/calcChain.xml><?xml version="1.0" encoding="utf-8"?>
<calcChain xmlns="http://schemas.openxmlformats.org/spreadsheetml/2006/main">
  <c r="A9" i="51" l="1"/>
  <c r="N36" i="49"/>
  <c r="N38" i="49"/>
  <c r="L34" i="49"/>
  <c r="A3596" i="69"/>
  <c r="D3582" i="69" l="1"/>
  <c r="A3579" i="69" l="1"/>
  <c r="A3580" i="69"/>
  <c r="A3581" i="69"/>
  <c r="A3582" i="69"/>
  <c r="A3583" i="69"/>
  <c r="A3584" i="69"/>
  <c r="A3585" i="69"/>
  <c r="A3586" i="69"/>
  <c r="A3587" i="69"/>
  <c r="A3588" i="69"/>
  <c r="A3589" i="69"/>
  <c r="A3590" i="69"/>
  <c r="A3591" i="69"/>
  <c r="A3592" i="69"/>
  <c r="A3593" i="69"/>
  <c r="A3594" i="69"/>
  <c r="A3595" i="69"/>
  <c r="D3578" i="69"/>
  <c r="D3579" i="69"/>
  <c r="D3580" i="69"/>
  <c r="D3581" i="69"/>
  <c r="D3583" i="69"/>
  <c r="D3584" i="69"/>
  <c r="D3585" i="69"/>
  <c r="D3586" i="69"/>
  <c r="D3587" i="69"/>
  <c r="D3588" i="69"/>
  <c r="D3589" i="69"/>
  <c r="D3590" i="69"/>
  <c r="A3578" i="69"/>
  <c r="U1010" i="36"/>
  <c r="T1010" i="36"/>
  <c r="S1010" i="36"/>
  <c r="R1010" i="36"/>
  <c r="U1009" i="36"/>
  <c r="T1009" i="36"/>
  <c r="S1009" i="36"/>
  <c r="R1009" i="36"/>
  <c r="U1008" i="36"/>
  <c r="T1008" i="36"/>
  <c r="S1008" i="36"/>
  <c r="R1008" i="36"/>
  <c r="A3561" i="69" l="1"/>
  <c r="A3562" i="69"/>
  <c r="A3563" i="69"/>
  <c r="A3564" i="69"/>
  <c r="A3565" i="69"/>
  <c r="A3566" i="69"/>
  <c r="A3567" i="69"/>
  <c r="A3568" i="69"/>
  <c r="A3569" i="69"/>
  <c r="A3570" i="69"/>
  <c r="A3571" i="69"/>
  <c r="A3572" i="69"/>
  <c r="A3573" i="69"/>
  <c r="A3574" i="69"/>
  <c r="A3575" i="69"/>
  <c r="A3576" i="69"/>
  <c r="A3577" i="69"/>
  <c r="D3567" i="69"/>
  <c r="D3568" i="69"/>
  <c r="D3569" i="69"/>
  <c r="D3570" i="69"/>
  <c r="D3571" i="69"/>
  <c r="D3572" i="69"/>
  <c r="D3573" i="69"/>
  <c r="D3574" i="69"/>
  <c r="D3575" i="69"/>
  <c r="D3576" i="69"/>
  <c r="D3577" i="69"/>
  <c r="D3591" i="69"/>
  <c r="D3592" i="69"/>
  <c r="D3593" i="69"/>
  <c r="D3594" i="69"/>
  <c r="D3595" i="69"/>
  <c r="D3596" i="69"/>
  <c r="D3597" i="69"/>
  <c r="D3598" i="69"/>
  <c r="D3599" i="69"/>
  <c r="D3600" i="69"/>
  <c r="D3601" i="69"/>
  <c r="D3602" i="69"/>
  <c r="D3603" i="69"/>
  <c r="D3604" i="69"/>
  <c r="D3605" i="69"/>
  <c r="D3606" i="69"/>
  <c r="D3607" i="69"/>
  <c r="D3608" i="69"/>
  <c r="D3609" i="69"/>
  <c r="D3610" i="69"/>
  <c r="D3611" i="69"/>
  <c r="D3612" i="69"/>
  <c r="D3613" i="69"/>
  <c r="D3614" i="69"/>
  <c r="D3615" i="69"/>
  <c r="D3616" i="69"/>
  <c r="D3617" i="69"/>
  <c r="D3618" i="69"/>
  <c r="D3619" i="69"/>
  <c r="D3620" i="69"/>
  <c r="D3621" i="69"/>
  <c r="D3622" i="69"/>
  <c r="D3623" i="69"/>
  <c r="D3624" i="69"/>
  <c r="D3625" i="69"/>
  <c r="D3626" i="69"/>
  <c r="D3627" i="69"/>
  <c r="D3628" i="69"/>
  <c r="D3629" i="69"/>
  <c r="D3630" i="69"/>
  <c r="D3631" i="69"/>
  <c r="D3632" i="69"/>
  <c r="G130" i="46"/>
  <c r="AN50" i="42" l="1"/>
  <c r="AM50" i="42"/>
  <c r="AL50" i="42"/>
  <c r="AK50" i="42"/>
  <c r="AJ50" i="42"/>
  <c r="AI50" i="42"/>
  <c r="AA50" i="42"/>
  <c r="O50" i="42"/>
  <c r="AG50" i="42" s="1"/>
  <c r="N50" i="42"/>
  <c r="AH50" i="42" s="1"/>
  <c r="AD50" i="42"/>
  <c r="AB50" i="42"/>
  <c r="AC50" i="42"/>
  <c r="F141" i="9"/>
  <c r="AE50" i="42" l="1"/>
  <c r="AF50" i="42"/>
  <c r="F3535" i="69"/>
  <c r="A3529" i="69"/>
  <c r="A3530" i="69"/>
  <c r="A3531" i="69"/>
  <c r="A3532" i="69"/>
  <c r="A3533" i="69"/>
  <c r="A3534" i="69"/>
  <c r="A3535" i="69"/>
  <c r="A3536" i="69"/>
  <c r="A3537" i="69"/>
  <c r="A3538" i="69"/>
  <c r="A3539" i="69"/>
  <c r="A3540" i="69"/>
  <c r="A3541" i="69"/>
  <c r="A3542" i="69"/>
  <c r="A3543" i="69"/>
  <c r="A3544" i="69"/>
  <c r="A3545" i="69"/>
  <c r="A3546" i="69"/>
  <c r="A3547" i="69"/>
  <c r="A3548" i="69"/>
  <c r="A3549" i="69"/>
  <c r="A3550" i="69"/>
  <c r="A3551" i="69"/>
  <c r="A3552" i="69"/>
  <c r="A3553" i="69"/>
  <c r="A3554" i="69"/>
  <c r="A3555" i="69"/>
  <c r="A3556" i="69"/>
  <c r="A3557" i="69"/>
  <c r="A3558" i="69"/>
  <c r="A3559" i="69"/>
  <c r="A3560" i="69"/>
  <c r="D3529" i="69"/>
  <c r="D3530" i="69"/>
  <c r="D3531" i="69"/>
  <c r="D3532" i="69"/>
  <c r="D3533" i="69"/>
  <c r="D3534" i="69"/>
  <c r="D3535" i="69"/>
  <c r="D3536" i="69"/>
  <c r="D3537" i="69"/>
  <c r="D3538" i="69"/>
  <c r="D3539" i="69"/>
  <c r="D3540" i="69"/>
  <c r="D3541" i="69"/>
  <c r="D3542" i="69"/>
  <c r="D3543" i="69"/>
  <c r="D3544" i="69"/>
  <c r="D3545" i="69"/>
  <c r="D3546" i="69"/>
  <c r="D3547" i="69"/>
  <c r="D3548" i="69"/>
  <c r="D3549" i="69"/>
  <c r="D3550" i="69"/>
  <c r="D3551" i="69"/>
  <c r="D3552" i="69"/>
  <c r="D3553" i="69"/>
  <c r="D3554" i="69"/>
  <c r="D3555" i="69"/>
  <c r="D3556" i="69"/>
  <c r="D3557" i="69"/>
  <c r="D3558" i="69"/>
  <c r="D3559" i="69"/>
  <c r="D3560" i="69"/>
  <c r="D3561" i="69"/>
  <c r="D3562" i="69"/>
  <c r="D3563" i="69"/>
  <c r="D3564" i="69"/>
  <c r="AS151" i="46"/>
  <c r="AM151" i="46"/>
  <c r="AL151" i="46"/>
  <c r="J151" i="46"/>
  <c r="AT151" i="46"/>
  <c r="AR151" i="46"/>
  <c r="AG115" i="101" l="1"/>
  <c r="AF115" i="101"/>
  <c r="AE115" i="101"/>
  <c r="AD115" i="101"/>
  <c r="AC115" i="101"/>
  <c r="AG114" i="101"/>
  <c r="AF114" i="101"/>
  <c r="AE114" i="101"/>
  <c r="AD114" i="101"/>
  <c r="AC114" i="101"/>
  <c r="AG113" i="101"/>
  <c r="AF113" i="101"/>
  <c r="AE113" i="101"/>
  <c r="AD113" i="101"/>
  <c r="AC113" i="101"/>
  <c r="AG112" i="101"/>
  <c r="AF112" i="101"/>
  <c r="AE112" i="101"/>
  <c r="AD112" i="101"/>
  <c r="AC112" i="101"/>
  <c r="AH111" i="101"/>
  <c r="AG111" i="101"/>
  <c r="AF111" i="101"/>
  <c r="AE111" i="101"/>
  <c r="AD111" i="101"/>
  <c r="AC111" i="101"/>
  <c r="AH110" i="101"/>
  <c r="AG110" i="101"/>
  <c r="AF110" i="101"/>
  <c r="AE110" i="101"/>
  <c r="AD110" i="101"/>
  <c r="AC110" i="101"/>
  <c r="AH109" i="101"/>
  <c r="AG109" i="101"/>
  <c r="AF109" i="101"/>
  <c r="AE109" i="101"/>
  <c r="AD109" i="101"/>
  <c r="AC109" i="101"/>
  <c r="AH108" i="101"/>
  <c r="AG108" i="101"/>
  <c r="AF108" i="101"/>
  <c r="AE108" i="101"/>
  <c r="AD108" i="101"/>
  <c r="AC108" i="101"/>
  <c r="AH107" i="101"/>
  <c r="AG107" i="101"/>
  <c r="AF107" i="101"/>
  <c r="AE107" i="101"/>
  <c r="AD107" i="101"/>
  <c r="AC107" i="101"/>
  <c r="AH106" i="101"/>
  <c r="AG106" i="101"/>
  <c r="AF106" i="101"/>
  <c r="AE106" i="101"/>
  <c r="AD106" i="101"/>
  <c r="AC106" i="101"/>
  <c r="AH105" i="101"/>
  <c r="AG105" i="101"/>
  <c r="AF105" i="101"/>
  <c r="AE105" i="101"/>
  <c r="AD105" i="101"/>
  <c r="AC105" i="101"/>
  <c r="AH104" i="101"/>
  <c r="AG104" i="101"/>
  <c r="AF104" i="101"/>
  <c r="AE104" i="101"/>
  <c r="AD104" i="101"/>
  <c r="AC104" i="101"/>
  <c r="AH103" i="101"/>
  <c r="AG103" i="101"/>
  <c r="AF103" i="101"/>
  <c r="AE103" i="101"/>
  <c r="AD103" i="101"/>
  <c r="AC103" i="101"/>
  <c r="AH102" i="101"/>
  <c r="AG102" i="101"/>
  <c r="AF102" i="101"/>
  <c r="AE102" i="101"/>
  <c r="AD102" i="101"/>
  <c r="AC102" i="101"/>
  <c r="AH101" i="101"/>
  <c r="AG101" i="101"/>
  <c r="AF101" i="101"/>
  <c r="AE101" i="101"/>
  <c r="AD101" i="101"/>
  <c r="AC101" i="101"/>
  <c r="AH100" i="101"/>
  <c r="AG100" i="101"/>
  <c r="AF100" i="101"/>
  <c r="AE100" i="101"/>
  <c r="AD100" i="101"/>
  <c r="AC100" i="101"/>
  <c r="AH99" i="101"/>
  <c r="AG99" i="101"/>
  <c r="AF99" i="101"/>
  <c r="AE99" i="101"/>
  <c r="AD99" i="101"/>
  <c r="AC99" i="101"/>
  <c r="AH98" i="101"/>
  <c r="AG98" i="101"/>
  <c r="AF98" i="101"/>
  <c r="AE98" i="101"/>
  <c r="AD98" i="101"/>
  <c r="AC98" i="101"/>
  <c r="AH97" i="101"/>
  <c r="AG97" i="101"/>
  <c r="AF97" i="101"/>
  <c r="AE97" i="101"/>
  <c r="AD97" i="101"/>
  <c r="AC97" i="101"/>
  <c r="AH96" i="101"/>
  <c r="AG96" i="101"/>
  <c r="AF96" i="101"/>
  <c r="AE96" i="101"/>
  <c r="AD96" i="101"/>
  <c r="AC96" i="101"/>
  <c r="AH95" i="101"/>
  <c r="AG95" i="101"/>
  <c r="AF95" i="101"/>
  <c r="AE95" i="101"/>
  <c r="AD95" i="101"/>
  <c r="AC95" i="101"/>
  <c r="AH94" i="101"/>
  <c r="AG94" i="101"/>
  <c r="AF94" i="101"/>
  <c r="AE94" i="101"/>
  <c r="AD94" i="101"/>
  <c r="AC94" i="101"/>
  <c r="AH93" i="101"/>
  <c r="AG93" i="101"/>
  <c r="AF93" i="101"/>
  <c r="AE93" i="101"/>
  <c r="AC93" i="101"/>
  <c r="AH92" i="101"/>
  <c r="AG92" i="101"/>
  <c r="AF92" i="101"/>
  <c r="AE92" i="101"/>
  <c r="AD92" i="101"/>
  <c r="AC92" i="101"/>
  <c r="AH91" i="101"/>
  <c r="AG91" i="101"/>
  <c r="AF91" i="101"/>
  <c r="AE91" i="101"/>
  <c r="AD91" i="101"/>
  <c r="AC91" i="101"/>
  <c r="AH90" i="101"/>
  <c r="AG90" i="101"/>
  <c r="AF90" i="101"/>
  <c r="AE90" i="101"/>
  <c r="AJ90" i="101"/>
  <c r="AI90" i="101"/>
  <c r="AH89" i="101"/>
  <c r="AG89" i="101"/>
  <c r="AF89" i="101"/>
  <c r="AE89" i="101"/>
  <c r="AJ89" i="101"/>
  <c r="AI89" i="101"/>
  <c r="AH88" i="101"/>
  <c r="AG88" i="101"/>
  <c r="AF88" i="101"/>
  <c r="AE88" i="101"/>
  <c r="AD88" i="101"/>
  <c r="AC88" i="101"/>
  <c r="AJ88" i="101"/>
  <c r="AI88" i="101"/>
  <c r="AH87" i="101"/>
  <c r="AG87" i="101"/>
  <c r="AF87" i="101"/>
  <c r="AE87" i="101"/>
  <c r="AJ87" i="101"/>
  <c r="AI87" i="101"/>
  <c r="AH86" i="101"/>
  <c r="AG86" i="101"/>
  <c r="AF86" i="101"/>
  <c r="AE86" i="101"/>
  <c r="AJ86" i="101"/>
  <c r="AI86" i="101"/>
  <c r="AH85" i="101"/>
  <c r="AG85" i="101"/>
  <c r="AF85" i="101"/>
  <c r="AE85" i="101"/>
  <c r="AJ85" i="101"/>
  <c r="AI85" i="101"/>
  <c r="AH84" i="101"/>
  <c r="AG84" i="101"/>
  <c r="AF84" i="101"/>
  <c r="AE84" i="101"/>
  <c r="AJ84" i="101"/>
  <c r="AI84" i="101"/>
  <c r="AH83" i="101"/>
  <c r="AG83" i="101"/>
  <c r="AF83" i="101"/>
  <c r="AE83" i="101"/>
  <c r="AC83" i="101"/>
  <c r="AJ83" i="101"/>
  <c r="AI83" i="101"/>
  <c r="AH82" i="101"/>
  <c r="AG82" i="101"/>
  <c r="AF82" i="101"/>
  <c r="AE82" i="101"/>
  <c r="AJ82" i="101"/>
  <c r="AI82" i="101"/>
  <c r="AH81" i="101"/>
  <c r="AG81" i="101"/>
  <c r="AF81" i="101"/>
  <c r="AE81" i="101"/>
  <c r="AJ81" i="101"/>
  <c r="AI81" i="101"/>
  <c r="AH80" i="101"/>
  <c r="AG80" i="101"/>
  <c r="AF80" i="101"/>
  <c r="AE80" i="101"/>
  <c r="AJ80" i="101"/>
  <c r="AI80" i="101"/>
  <c r="AH79" i="101"/>
  <c r="AG79" i="101"/>
  <c r="AF79" i="101"/>
  <c r="AE79" i="101"/>
  <c r="AJ79" i="101"/>
  <c r="AI79" i="101"/>
  <c r="AH78" i="101"/>
  <c r="AG78" i="101"/>
  <c r="AF78" i="101"/>
  <c r="AE78" i="101"/>
  <c r="AD78" i="101"/>
  <c r="AC78" i="101"/>
  <c r="AJ78" i="101"/>
  <c r="AI78" i="101"/>
  <c r="AH77" i="101"/>
  <c r="AG77" i="101"/>
  <c r="AF77" i="101"/>
  <c r="AE77" i="101"/>
  <c r="AJ77" i="101"/>
  <c r="AI77" i="101"/>
  <c r="AH76" i="101"/>
  <c r="AG76" i="101"/>
  <c r="AF76" i="101"/>
  <c r="AE76" i="101"/>
  <c r="AJ76" i="101"/>
  <c r="AI76" i="101"/>
  <c r="AH75" i="101"/>
  <c r="AG75" i="101"/>
  <c r="AF75" i="101"/>
  <c r="AE75" i="101"/>
  <c r="AC75" i="101"/>
  <c r="AJ75" i="101"/>
  <c r="AI75" i="101"/>
  <c r="AH74" i="101"/>
  <c r="AG74" i="101"/>
  <c r="AF74" i="101"/>
  <c r="AE74" i="101"/>
  <c r="AJ74" i="101"/>
  <c r="AI74" i="101"/>
  <c r="AH73" i="101"/>
  <c r="AG73" i="101"/>
  <c r="AF73" i="101"/>
  <c r="AE73" i="101"/>
  <c r="AJ73" i="101"/>
  <c r="AI73" i="101"/>
  <c r="AH72" i="101"/>
  <c r="AG72" i="101"/>
  <c r="AF72" i="101"/>
  <c r="AE72" i="101"/>
  <c r="AJ72" i="101"/>
  <c r="AI72" i="101"/>
  <c r="AH70" i="101"/>
  <c r="AG70" i="101"/>
  <c r="AF70" i="101"/>
  <c r="AE70" i="101"/>
  <c r="AJ70" i="101"/>
  <c r="AI70" i="101"/>
  <c r="AH69" i="101"/>
  <c r="AG69" i="101"/>
  <c r="AF69" i="101"/>
  <c r="AE69" i="101"/>
  <c r="AJ69" i="101"/>
  <c r="AI69" i="101"/>
  <c r="AH68" i="101"/>
  <c r="AG68" i="101"/>
  <c r="AF68" i="101"/>
  <c r="AE68" i="101"/>
  <c r="AJ68" i="101"/>
  <c r="AI68" i="101"/>
  <c r="AH67" i="101"/>
  <c r="AG67" i="101"/>
  <c r="AF67" i="101"/>
  <c r="AE67" i="101"/>
  <c r="AJ67" i="101"/>
  <c r="AI67" i="101"/>
  <c r="AH66" i="101"/>
  <c r="AG66" i="101"/>
  <c r="AF66" i="101"/>
  <c r="AE66" i="101"/>
  <c r="AJ66" i="101"/>
  <c r="AI66" i="101"/>
  <c r="AH65" i="101"/>
  <c r="AG65" i="101"/>
  <c r="AF65" i="101"/>
  <c r="AE65" i="101"/>
  <c r="AJ65" i="101"/>
  <c r="AI65" i="101"/>
  <c r="AH64" i="101"/>
  <c r="AG64" i="101"/>
  <c r="AF64" i="101"/>
  <c r="AE64" i="101"/>
  <c r="AJ64" i="101"/>
  <c r="AI64" i="101"/>
  <c r="AH63" i="101"/>
  <c r="AG63" i="101"/>
  <c r="AF63" i="101"/>
  <c r="AE63" i="101"/>
  <c r="AJ63" i="101"/>
  <c r="AI63" i="101"/>
  <c r="AH62" i="101"/>
  <c r="AG62" i="101"/>
  <c r="AF62" i="101"/>
  <c r="AE62" i="101"/>
  <c r="AJ62" i="101"/>
  <c r="AI62" i="101"/>
  <c r="AH61" i="101"/>
  <c r="AG61" i="101"/>
  <c r="AF61" i="101"/>
  <c r="AE61" i="101"/>
  <c r="AJ61" i="101"/>
  <c r="AI61" i="101"/>
  <c r="AH60" i="101"/>
  <c r="AG60" i="101"/>
  <c r="AF60" i="101"/>
  <c r="AE60" i="101"/>
  <c r="AJ60" i="101"/>
  <c r="AI60" i="101"/>
  <c r="AH59" i="101"/>
  <c r="AG59" i="101"/>
  <c r="AF59" i="101"/>
  <c r="AE59" i="101"/>
  <c r="AJ59" i="101"/>
  <c r="AI59" i="101"/>
  <c r="AH57" i="101"/>
  <c r="AG57" i="101"/>
  <c r="AF57" i="101"/>
  <c r="AE57" i="101"/>
  <c r="AJ57" i="101"/>
  <c r="AI57" i="101"/>
  <c r="AH56" i="101"/>
  <c r="AG56" i="101"/>
  <c r="AF56" i="101"/>
  <c r="AE56" i="101"/>
  <c r="AJ56" i="101"/>
  <c r="AI56" i="101"/>
  <c r="AH55" i="101"/>
  <c r="AG55" i="101"/>
  <c r="AF55" i="101"/>
  <c r="AE55" i="101"/>
  <c r="AJ55" i="101"/>
  <c r="AI55" i="101"/>
  <c r="AH54" i="101"/>
  <c r="AG54" i="101"/>
  <c r="AF54" i="101"/>
  <c r="AE54" i="101"/>
  <c r="AJ54" i="101"/>
  <c r="AI54" i="101"/>
  <c r="AH53" i="101"/>
  <c r="AG53" i="101"/>
  <c r="AF53" i="101"/>
  <c r="AE53" i="101"/>
  <c r="AJ53" i="101"/>
  <c r="AI53" i="101"/>
  <c r="AH51" i="101"/>
  <c r="AG51" i="101"/>
  <c r="AF51" i="101"/>
  <c r="AE51" i="101"/>
  <c r="AJ51" i="101"/>
  <c r="AI51" i="101"/>
  <c r="AH50" i="101"/>
  <c r="AG50" i="101"/>
  <c r="AF50" i="101"/>
  <c r="AE50" i="101"/>
  <c r="AJ50" i="101"/>
  <c r="AI50" i="101"/>
  <c r="AH49" i="101"/>
  <c r="AG49" i="101"/>
  <c r="AF49" i="101"/>
  <c r="AE49" i="101"/>
  <c r="AJ49" i="101"/>
  <c r="AI49" i="101"/>
  <c r="AH48" i="101"/>
  <c r="AG48" i="101"/>
  <c r="AF48" i="101"/>
  <c r="AE48" i="101"/>
  <c r="AJ48" i="101"/>
  <c r="AI48" i="101"/>
  <c r="K48" i="101"/>
  <c r="AH46" i="101"/>
  <c r="AG46" i="101"/>
  <c r="AF46" i="101"/>
  <c r="AE46" i="101"/>
  <c r="AD46" i="101"/>
  <c r="AC46" i="101"/>
  <c r="AJ46" i="101"/>
  <c r="AI46" i="101"/>
  <c r="AH45" i="101"/>
  <c r="AG45" i="101"/>
  <c r="AF45" i="101"/>
  <c r="AE45" i="101"/>
  <c r="AJ45" i="101"/>
  <c r="AI45" i="101"/>
  <c r="AH44" i="101"/>
  <c r="AG44" i="101"/>
  <c r="AF44" i="101"/>
  <c r="AE44" i="101"/>
  <c r="AJ44" i="101"/>
  <c r="AI44" i="101"/>
  <c r="AH43" i="101"/>
  <c r="AG43" i="101"/>
  <c r="AF43" i="101"/>
  <c r="AE43" i="101"/>
  <c r="AD43" i="101"/>
  <c r="AC43" i="101"/>
  <c r="AJ43" i="101"/>
  <c r="AI43" i="101"/>
  <c r="AH42" i="101"/>
  <c r="AG42" i="101"/>
  <c r="AF42" i="101"/>
  <c r="AE42" i="101"/>
  <c r="AD42" i="101"/>
  <c r="AC42" i="101"/>
  <c r="AJ42" i="101"/>
  <c r="AI42" i="101"/>
  <c r="K42" i="101"/>
  <c r="AH41" i="101"/>
  <c r="AG41" i="101"/>
  <c r="AF41" i="101"/>
  <c r="AE41" i="101"/>
  <c r="AJ41" i="101"/>
  <c r="AI41" i="101"/>
  <c r="AH40" i="101"/>
  <c r="AG40" i="101"/>
  <c r="AF40" i="101"/>
  <c r="AE40" i="101"/>
  <c r="AJ40" i="101"/>
  <c r="AI40" i="101"/>
  <c r="AH39" i="101"/>
  <c r="AG39" i="101"/>
  <c r="AF39" i="101"/>
  <c r="AE39" i="101"/>
  <c r="AJ39" i="101"/>
  <c r="AI39" i="101"/>
  <c r="AH38" i="101"/>
  <c r="AG38" i="101"/>
  <c r="AF38" i="101"/>
  <c r="AE38" i="101"/>
  <c r="AD38" i="101"/>
  <c r="AC38" i="101"/>
  <c r="AJ38" i="101"/>
  <c r="AI38" i="101"/>
  <c r="AH37" i="101"/>
  <c r="AG37" i="101"/>
  <c r="AF37" i="101"/>
  <c r="AE37" i="101"/>
  <c r="AD37" i="101"/>
  <c r="AC37" i="101"/>
  <c r="AJ37" i="101"/>
  <c r="AI37" i="101"/>
  <c r="AH36" i="101"/>
  <c r="AG36" i="101"/>
  <c r="AF36" i="101"/>
  <c r="AE36" i="101"/>
  <c r="AJ36" i="101"/>
  <c r="AI36" i="101"/>
  <c r="AH35" i="101"/>
  <c r="AG35" i="101"/>
  <c r="AF35" i="101"/>
  <c r="AE35" i="101"/>
  <c r="AJ35" i="101"/>
  <c r="AI35" i="101"/>
  <c r="AH34" i="101"/>
  <c r="AG34" i="101"/>
  <c r="AF34" i="101"/>
  <c r="AE34" i="101"/>
  <c r="AD34" i="101"/>
  <c r="AC34" i="101"/>
  <c r="AJ34" i="101"/>
  <c r="AI34" i="101"/>
  <c r="AH33" i="101"/>
  <c r="AG33" i="101"/>
  <c r="AF33" i="101"/>
  <c r="AE33" i="101"/>
  <c r="AJ33" i="101"/>
  <c r="AI33" i="101"/>
  <c r="AH32" i="101"/>
  <c r="AG32" i="101"/>
  <c r="AF32" i="101"/>
  <c r="AE32" i="101"/>
  <c r="AJ32" i="101"/>
  <c r="AI32" i="101"/>
  <c r="AH31" i="101"/>
  <c r="AG31" i="101"/>
  <c r="AF31" i="101"/>
  <c r="AE31" i="101"/>
  <c r="AJ31" i="101"/>
  <c r="AI31" i="101"/>
  <c r="AH30" i="101"/>
  <c r="AG30" i="101"/>
  <c r="AF30" i="101"/>
  <c r="AE30" i="101"/>
  <c r="AD30" i="101"/>
  <c r="AC30" i="101"/>
  <c r="AJ30" i="101"/>
  <c r="AI30" i="101"/>
  <c r="AH29" i="101"/>
  <c r="AG29" i="101"/>
  <c r="AF29" i="101"/>
  <c r="AE29" i="101"/>
  <c r="AJ29" i="101"/>
  <c r="AI29" i="101"/>
  <c r="AH28" i="101"/>
  <c r="AG28" i="101"/>
  <c r="AF28" i="101"/>
  <c r="AE28" i="101"/>
  <c r="AD28" i="101"/>
  <c r="AC28" i="101"/>
  <c r="AJ28" i="101"/>
  <c r="AI28" i="101"/>
  <c r="AH27" i="101"/>
  <c r="AG27" i="101"/>
  <c r="AF27" i="101"/>
  <c r="AE27" i="101"/>
  <c r="AJ27" i="101"/>
  <c r="AI27" i="101"/>
  <c r="AH26" i="101"/>
  <c r="AG26" i="101"/>
  <c r="AF26" i="101"/>
  <c r="AE26" i="101"/>
  <c r="AJ26" i="101"/>
  <c r="AI26" i="101"/>
  <c r="AH25" i="101"/>
  <c r="AG25" i="101"/>
  <c r="AF25" i="101"/>
  <c r="AE25" i="101"/>
  <c r="AJ25" i="101"/>
  <c r="AI25" i="101"/>
  <c r="AH24" i="101"/>
  <c r="AG24" i="101"/>
  <c r="AF24" i="101"/>
  <c r="AE24" i="101"/>
  <c r="AJ24" i="101"/>
  <c r="AI24" i="101"/>
  <c r="AH23" i="101"/>
  <c r="AG23" i="101"/>
  <c r="AF23" i="101"/>
  <c r="AE23" i="101"/>
  <c r="AJ23" i="101"/>
  <c r="AI23" i="101"/>
  <c r="AH22" i="101"/>
  <c r="AG22" i="101"/>
  <c r="AF22" i="101"/>
  <c r="AE22" i="101"/>
  <c r="AD22" i="101"/>
  <c r="AC22" i="101"/>
  <c r="AJ22" i="101"/>
  <c r="AI22" i="101"/>
  <c r="AH21" i="101"/>
  <c r="AG21" i="101"/>
  <c r="AF21" i="101"/>
  <c r="AE21" i="101"/>
  <c r="AJ21" i="101"/>
  <c r="AI21" i="101"/>
  <c r="AH20" i="101"/>
  <c r="AG20" i="101"/>
  <c r="AF20" i="101"/>
  <c r="AE20" i="101"/>
  <c r="AJ20" i="101"/>
  <c r="AI20" i="101"/>
  <c r="AH19" i="101"/>
  <c r="AG19" i="101"/>
  <c r="AF19" i="101"/>
  <c r="AE19" i="101"/>
  <c r="AJ19" i="101"/>
  <c r="AI19" i="101"/>
  <c r="AH18" i="101"/>
  <c r="AG18" i="101"/>
  <c r="AF18" i="101"/>
  <c r="AE18" i="101"/>
  <c r="AJ18" i="101"/>
  <c r="AI18" i="101"/>
  <c r="AH17" i="101"/>
  <c r="AG17" i="101"/>
  <c r="AF17" i="101"/>
  <c r="AE17" i="101"/>
  <c r="AD17" i="101"/>
  <c r="AC17" i="101"/>
  <c r="AJ17" i="101"/>
  <c r="AI17" i="101"/>
  <c r="AH16" i="101"/>
  <c r="AG16" i="101"/>
  <c r="AF16" i="101"/>
  <c r="AE16" i="101"/>
  <c r="AJ16" i="101"/>
  <c r="AI16" i="101"/>
  <c r="K16" i="101"/>
  <c r="AH15" i="101"/>
  <c r="AG15" i="101"/>
  <c r="AF15" i="101"/>
  <c r="AE15" i="101"/>
  <c r="AD15" i="101"/>
  <c r="AC15" i="101"/>
  <c r="AJ15" i="101"/>
  <c r="AI15" i="101"/>
  <c r="AH14" i="101"/>
  <c r="AG14" i="101"/>
  <c r="AF14" i="101"/>
  <c r="AE14" i="101"/>
  <c r="AJ14" i="101"/>
  <c r="AI14" i="101"/>
  <c r="AH13" i="101"/>
  <c r="AG13" i="101"/>
  <c r="AF13" i="101"/>
  <c r="AE13" i="101"/>
  <c r="AD13" i="101"/>
  <c r="AC13" i="101"/>
  <c r="AJ13" i="101"/>
  <c r="AI13" i="101"/>
  <c r="AH12" i="101"/>
  <c r="AG12" i="101"/>
  <c r="AF12" i="101"/>
  <c r="AE12" i="101"/>
  <c r="AJ12" i="101"/>
  <c r="AI12" i="101"/>
  <c r="AH11" i="101"/>
  <c r="AG11" i="101"/>
  <c r="AF11" i="101"/>
  <c r="AE11" i="101"/>
  <c r="AD11" i="101"/>
  <c r="AC11" i="101"/>
  <c r="AJ11" i="101"/>
  <c r="AI11" i="101"/>
  <c r="AH10" i="101"/>
  <c r="AG10" i="101"/>
  <c r="AF10" i="101"/>
  <c r="AE10" i="101"/>
  <c r="AD10" i="101"/>
  <c r="AC10" i="101"/>
  <c r="AJ10" i="101"/>
  <c r="AI10" i="101"/>
  <c r="AH9" i="101"/>
  <c r="AG9" i="101"/>
  <c r="AF9" i="101"/>
  <c r="AE9" i="101"/>
  <c r="AD9" i="101"/>
  <c r="AC9" i="101"/>
  <c r="AJ9" i="101"/>
  <c r="AI9" i="101"/>
  <c r="A3501" i="69" l="1"/>
  <c r="A3502" i="69"/>
  <c r="A3503" i="69"/>
  <c r="A3504" i="69"/>
  <c r="A3505" i="69"/>
  <c r="A3506" i="69"/>
  <c r="A3507" i="69"/>
  <c r="A3508" i="69"/>
  <c r="A3509" i="69"/>
  <c r="A3510" i="69"/>
  <c r="A3511" i="69"/>
  <c r="A3512" i="69"/>
  <c r="A3513" i="69"/>
  <c r="A3514" i="69"/>
  <c r="A3515" i="69"/>
  <c r="A3516" i="69"/>
  <c r="A3517" i="69"/>
  <c r="A3518" i="69"/>
  <c r="A3519" i="69"/>
  <c r="A3520" i="69"/>
  <c r="A3521" i="69"/>
  <c r="A3522" i="69"/>
  <c r="A3523" i="69"/>
  <c r="A3524" i="69"/>
  <c r="A3525" i="69"/>
  <c r="A3526" i="69"/>
  <c r="A3527" i="69"/>
  <c r="A3528" i="69"/>
  <c r="D3501" i="69"/>
  <c r="D3502" i="69"/>
  <c r="D3504" i="69"/>
  <c r="D3505" i="69"/>
  <c r="D3506" i="69"/>
  <c r="D3507" i="69"/>
  <c r="D3508" i="69"/>
  <c r="D3509" i="69"/>
  <c r="D3510" i="69"/>
  <c r="D3511" i="69"/>
  <c r="D3512" i="69"/>
  <c r="D3513" i="69"/>
  <c r="D3514" i="69"/>
  <c r="D3515" i="69"/>
  <c r="D3516" i="69"/>
  <c r="D3517" i="69"/>
  <c r="D3518" i="69"/>
  <c r="D3519" i="69"/>
  <c r="D3520" i="69"/>
  <c r="D3521" i="69"/>
  <c r="D3522" i="69"/>
  <c r="D3523" i="69"/>
  <c r="D3524" i="69"/>
  <c r="D3525" i="69"/>
  <c r="D3526" i="69"/>
  <c r="D3527" i="69"/>
  <c r="D3528" i="69"/>
  <c r="D3565" i="69"/>
  <c r="D3566" i="69"/>
  <c r="I23" i="49" l="1"/>
  <c r="N126" i="9" l="1"/>
  <c r="N127" i="9" s="1"/>
  <c r="M11" i="49"/>
  <c r="M10" i="49"/>
  <c r="M9" i="49"/>
  <c r="M8" i="49"/>
  <c r="M5" i="49"/>
  <c r="O91" i="42"/>
  <c r="N91" i="42"/>
  <c r="J84" i="88"/>
  <c r="J85" i="88" s="1"/>
  <c r="J86" i="88" s="1"/>
  <c r="M94" i="88"/>
  <c r="I96" i="88"/>
  <c r="J92" i="88"/>
  <c r="M92" i="88" s="1"/>
  <c r="J93" i="88"/>
  <c r="M93" i="88" s="1"/>
  <c r="J94" i="88"/>
  <c r="J95" i="88"/>
  <c r="M95" i="88" s="1"/>
  <c r="J91" i="88"/>
  <c r="M91" i="88" s="1"/>
  <c r="M96" i="88" l="1"/>
  <c r="J96" i="88"/>
  <c r="H147" i="9"/>
  <c r="D140" i="9"/>
  <c r="H140" i="9" s="1"/>
  <c r="D141" i="9"/>
  <c r="H141" i="9" s="1"/>
  <c r="D142" i="9"/>
  <c r="H142" i="9" s="1"/>
  <c r="D143" i="9"/>
  <c r="H143" i="9" s="1"/>
  <c r="D144" i="9"/>
  <c r="H144" i="9" s="1"/>
  <c r="D145" i="9"/>
  <c r="H145" i="9" s="1"/>
  <c r="D146" i="9"/>
  <c r="H146" i="9" s="1"/>
  <c r="D147" i="9"/>
  <c r="D148" i="9"/>
  <c r="H148" i="9" s="1"/>
  <c r="D149" i="9"/>
  <c r="H149" i="9" s="1"/>
  <c r="D150" i="9"/>
  <c r="H150" i="9" s="1"/>
  <c r="D151" i="9"/>
  <c r="H151" i="9" s="1"/>
  <c r="D152" i="9"/>
  <c r="H152" i="9" s="1"/>
  <c r="D153" i="9"/>
  <c r="H153" i="9" s="1"/>
  <c r="D154" i="9"/>
  <c r="H154" i="9" s="1"/>
  <c r="D155" i="9"/>
  <c r="H155" i="9" s="1"/>
  <c r="D139" i="9"/>
  <c r="H139" i="9" s="1"/>
  <c r="I1301" i="43"/>
  <c r="J1301" i="43"/>
  <c r="K1301" i="43"/>
  <c r="I1302" i="43"/>
  <c r="J1302" i="43"/>
  <c r="K1302" i="43"/>
  <c r="I1303" i="43"/>
  <c r="J1303" i="43"/>
  <c r="K1303" i="43"/>
  <c r="I1304" i="43"/>
  <c r="J1304" i="43"/>
  <c r="K1304" i="43"/>
  <c r="I1305" i="43"/>
  <c r="J1305" i="43"/>
  <c r="K1305" i="43"/>
  <c r="I1306" i="43"/>
  <c r="J1306" i="43"/>
  <c r="K1306" i="43"/>
  <c r="I1307" i="43"/>
  <c r="J1307" i="43"/>
  <c r="K1307" i="43"/>
  <c r="I1308" i="43"/>
  <c r="J1308" i="43"/>
  <c r="K1308" i="43"/>
  <c r="I1309" i="43"/>
  <c r="J1309" i="43"/>
  <c r="K1309" i="43"/>
  <c r="I1310" i="43"/>
  <c r="J1310" i="43"/>
  <c r="K1310" i="43"/>
  <c r="I1311" i="43"/>
  <c r="J1311" i="43"/>
  <c r="K1311" i="43"/>
  <c r="I1312" i="43"/>
  <c r="J1312" i="43"/>
  <c r="K1312" i="43"/>
  <c r="I1313" i="43"/>
  <c r="J1313" i="43"/>
  <c r="K1313" i="43"/>
  <c r="I1314" i="43"/>
  <c r="J1314" i="43"/>
  <c r="K1314" i="43"/>
  <c r="I1315" i="43"/>
  <c r="J1315" i="43"/>
  <c r="K1315" i="43"/>
  <c r="I1316" i="43"/>
  <c r="J1316" i="43"/>
  <c r="K1316" i="43"/>
  <c r="I1317" i="43"/>
  <c r="J1317" i="43"/>
  <c r="K1317" i="43"/>
  <c r="I1318" i="43"/>
  <c r="J1318" i="43"/>
  <c r="K1318" i="43"/>
  <c r="I1319" i="43"/>
  <c r="J1319" i="43"/>
  <c r="K1319" i="43"/>
  <c r="I1320" i="43"/>
  <c r="J1320" i="43"/>
  <c r="K1320" i="43"/>
  <c r="I1321" i="43"/>
  <c r="J1321" i="43"/>
  <c r="K1321" i="43"/>
  <c r="I1322" i="43"/>
  <c r="J1322" i="43"/>
  <c r="K1322" i="43"/>
  <c r="I1323" i="43"/>
  <c r="J1323" i="43"/>
  <c r="K1323" i="43"/>
  <c r="I1324" i="43"/>
  <c r="J1324" i="43"/>
  <c r="K1324" i="43"/>
  <c r="I1325" i="43"/>
  <c r="J1325" i="43"/>
  <c r="K1325" i="43"/>
  <c r="I1292" i="43"/>
  <c r="J1292" i="43"/>
  <c r="K1292" i="43"/>
  <c r="I1293" i="43"/>
  <c r="J1293" i="43"/>
  <c r="K1293" i="43"/>
  <c r="I1294" i="43"/>
  <c r="J1294" i="43"/>
  <c r="K1294" i="43"/>
  <c r="I1295" i="43"/>
  <c r="J1295" i="43"/>
  <c r="K1295" i="43"/>
  <c r="I1296" i="43"/>
  <c r="J1296" i="43"/>
  <c r="K1296" i="43"/>
  <c r="I1297" i="43"/>
  <c r="J1297" i="43"/>
  <c r="K1297" i="43"/>
  <c r="I1298" i="43"/>
  <c r="J1298" i="43"/>
  <c r="K1298" i="43"/>
  <c r="I1299" i="43"/>
  <c r="J1299" i="43"/>
  <c r="K1299" i="43"/>
  <c r="I1300" i="43"/>
  <c r="J1300" i="43"/>
  <c r="K1300" i="43"/>
  <c r="A6" i="7"/>
  <c r="A5" i="7"/>
  <c r="A4" i="7"/>
  <c r="F156" i="9" l="1"/>
  <c r="D119" i="9"/>
  <c r="H119" i="9" s="1"/>
  <c r="D120" i="9"/>
  <c r="D121" i="9"/>
  <c r="H121" i="9" s="1"/>
  <c r="D122" i="9"/>
  <c r="H122" i="9" s="1"/>
  <c r="D123" i="9"/>
  <c r="H123" i="9" s="1"/>
  <c r="D124" i="9"/>
  <c r="H124" i="9" s="1"/>
  <c r="D125" i="9"/>
  <c r="H125" i="9" s="1"/>
  <c r="D126" i="9"/>
  <c r="H126" i="9" s="1"/>
  <c r="D127" i="9"/>
  <c r="H127" i="9" s="1"/>
  <c r="D128" i="9"/>
  <c r="H128" i="9" s="1"/>
  <c r="D129" i="9"/>
  <c r="H129" i="9" s="1"/>
  <c r="D130" i="9"/>
  <c r="H130" i="9" s="1"/>
  <c r="D131" i="9"/>
  <c r="H131" i="9" s="1"/>
  <c r="D132" i="9"/>
  <c r="H132" i="9" s="1"/>
  <c r="D133" i="9"/>
  <c r="H133" i="9" s="1"/>
  <c r="D134" i="9"/>
  <c r="H134" i="9" s="1"/>
  <c r="D118" i="9"/>
  <c r="H118" i="9" s="1"/>
  <c r="O90" i="42"/>
  <c r="N90" i="42"/>
  <c r="O89" i="42"/>
  <c r="N89" i="42"/>
  <c r="J159" i="46"/>
  <c r="J160" i="46"/>
  <c r="J161" i="46"/>
  <c r="J162" i="46"/>
  <c r="J163" i="46"/>
  <c r="J164" i="46"/>
  <c r="J165" i="46"/>
  <c r="J166" i="46"/>
  <c r="J167" i="46"/>
  <c r="J168" i="46"/>
  <c r="J169" i="46"/>
  <c r="J170" i="46"/>
  <c r="F135" i="9" l="1"/>
  <c r="F138" i="9" s="1"/>
  <c r="A3466" i="69"/>
  <c r="A3467" i="69"/>
  <c r="A3468" i="69"/>
  <c r="A3469" i="69"/>
  <c r="A3470" i="69"/>
  <c r="A3471" i="69"/>
  <c r="A3472" i="69"/>
  <c r="A3473" i="69"/>
  <c r="A3474" i="69"/>
  <c r="A3475" i="69"/>
  <c r="A3476" i="69"/>
  <c r="A3477" i="69"/>
  <c r="A3478" i="69"/>
  <c r="A3479" i="69"/>
  <c r="A3480" i="69"/>
  <c r="A3481" i="69"/>
  <c r="A3482" i="69"/>
  <c r="A3483" i="69"/>
  <c r="A3484" i="69"/>
  <c r="A3485" i="69"/>
  <c r="A3486" i="69"/>
  <c r="A3487" i="69"/>
  <c r="A3488" i="69"/>
  <c r="A3489" i="69"/>
  <c r="A3490" i="69"/>
  <c r="A3491" i="69"/>
  <c r="A3492" i="69"/>
  <c r="A3493" i="69"/>
  <c r="A3494" i="69"/>
  <c r="A3495" i="69"/>
  <c r="A3496" i="69"/>
  <c r="A3497" i="69"/>
  <c r="A3498" i="69"/>
  <c r="A3499" i="69"/>
  <c r="A3500" i="69"/>
  <c r="A3458" i="69"/>
  <c r="A3459" i="69"/>
  <c r="A3460" i="69"/>
  <c r="A3461" i="69"/>
  <c r="A3462" i="69"/>
  <c r="A3463" i="69"/>
  <c r="A3464" i="69"/>
  <c r="A3465" i="69"/>
  <c r="D3466" i="69"/>
  <c r="D3467" i="69"/>
  <c r="D3468" i="69"/>
  <c r="D3469" i="69"/>
  <c r="D3470" i="69"/>
  <c r="D3471" i="69"/>
  <c r="D3472" i="69"/>
  <c r="D3473" i="69"/>
  <c r="D3474" i="69"/>
  <c r="D3475" i="69"/>
  <c r="D3476" i="69"/>
  <c r="D3477" i="69"/>
  <c r="D3478" i="69"/>
  <c r="D3479" i="69"/>
  <c r="D3480" i="69"/>
  <c r="D3481" i="69"/>
  <c r="D3482" i="69"/>
  <c r="D3483" i="69"/>
  <c r="D3484" i="69"/>
  <c r="D3485" i="69"/>
  <c r="D3486" i="69"/>
  <c r="D3487" i="69"/>
  <c r="D3488" i="69"/>
  <c r="D3489" i="69"/>
  <c r="D3490" i="69"/>
  <c r="D3491" i="69"/>
  <c r="D3492" i="69"/>
  <c r="D3493" i="69"/>
  <c r="D3494" i="69"/>
  <c r="D3495" i="69"/>
  <c r="D3496" i="69"/>
  <c r="D3497" i="69"/>
  <c r="D3498" i="69"/>
  <c r="D3499" i="69"/>
  <c r="D3500" i="69"/>
  <c r="D3325" i="69"/>
  <c r="D3324" i="69"/>
  <c r="D3323" i="69"/>
  <c r="D3322" i="69"/>
  <c r="D460" i="69"/>
  <c r="D459" i="69"/>
  <c r="D458" i="69"/>
  <c r="D457" i="69"/>
  <c r="D456" i="69"/>
  <c r="D455" i="69"/>
  <c r="D454" i="69"/>
  <c r="A453" i="69"/>
  <c r="A454" i="69"/>
  <c r="A455" i="69"/>
  <c r="A456" i="69"/>
  <c r="A457" i="69"/>
  <c r="A458" i="69"/>
  <c r="A459" i="69"/>
  <c r="A460" i="69"/>
  <c r="D453" i="69"/>
  <c r="D742" i="69"/>
  <c r="D741" i="69"/>
  <c r="D740" i="69"/>
  <c r="D739" i="69"/>
  <c r="D738" i="69"/>
  <c r="A742" i="69"/>
  <c r="A741" i="69"/>
  <c r="A740" i="69"/>
  <c r="A739" i="69"/>
  <c r="H27" i="84"/>
  <c r="G27" i="84"/>
  <c r="D5" i="9" l="1"/>
  <c r="M6" i="96" l="1"/>
  <c r="O6" i="96"/>
  <c r="S6" i="96"/>
  <c r="Q6" i="96"/>
  <c r="K6" i="96"/>
  <c r="I6" i="96"/>
  <c r="J31" i="49"/>
  <c r="D979" i="69"/>
  <c r="D3368" i="69"/>
  <c r="D3370" i="69"/>
  <c r="U33" i="84"/>
  <c r="V33" i="84"/>
  <c r="U48" i="84"/>
  <c r="V48" i="84"/>
  <c r="U49" i="84"/>
  <c r="V49" i="84"/>
  <c r="U50" i="84"/>
  <c r="V50" i="84"/>
  <c r="U66" i="84"/>
  <c r="V66" i="84"/>
  <c r="U67" i="84"/>
  <c r="V67" i="84"/>
  <c r="U78" i="84"/>
  <c r="V78" i="84"/>
  <c r="U81" i="84"/>
  <c r="V81" i="84"/>
  <c r="U82" i="84"/>
  <c r="V82" i="84"/>
  <c r="U22" i="84"/>
  <c r="U23" i="84"/>
  <c r="U24" i="84"/>
  <c r="U12" i="84"/>
  <c r="U13" i="84"/>
  <c r="U19" i="84"/>
  <c r="V19" i="84"/>
  <c r="V22" i="84"/>
  <c r="V23" i="84"/>
  <c r="V24" i="84"/>
  <c r="V12" i="84"/>
  <c r="V13" i="84"/>
  <c r="Q647" i="36"/>
  <c r="H15" i="84" l="1"/>
  <c r="G15" i="84"/>
  <c r="A3396" i="69" l="1"/>
  <c r="A3397" i="69"/>
  <c r="A3398" i="69"/>
  <c r="A3399" i="69"/>
  <c r="A3400" i="69"/>
  <c r="A3401" i="69"/>
  <c r="A3402" i="69"/>
  <c r="A3080" i="69"/>
  <c r="A3081" i="69"/>
  <c r="A3082" i="69"/>
  <c r="A3083" i="69"/>
  <c r="A3084" i="69"/>
  <c r="A3085" i="69"/>
  <c r="A3086" i="69"/>
  <c r="A3087" i="69"/>
  <c r="A3088" i="69"/>
  <c r="A3089" i="69"/>
  <c r="A3090" i="69"/>
  <c r="A3091" i="69"/>
  <c r="A3092" i="69"/>
  <c r="A3093" i="69"/>
  <c r="A3094" i="69"/>
  <c r="A3095" i="69"/>
  <c r="A3096" i="69"/>
  <c r="A3097" i="69"/>
  <c r="A3098" i="69"/>
  <c r="A3099" i="69"/>
  <c r="A3100" i="69"/>
  <c r="A3101" i="69"/>
  <c r="A3102" i="69"/>
  <c r="A3103" i="69"/>
  <c r="A3104" i="69"/>
  <c r="A3105" i="69"/>
  <c r="A3106" i="69"/>
  <c r="A3107" i="69"/>
  <c r="A3108" i="69"/>
  <c r="A3109" i="69"/>
  <c r="A3110" i="69"/>
  <c r="A3111" i="69"/>
  <c r="A3112" i="69"/>
  <c r="A3113" i="69"/>
  <c r="A3114" i="69"/>
  <c r="A3115" i="69"/>
  <c r="A3116" i="69"/>
  <c r="A3117" i="69"/>
  <c r="A3118" i="69"/>
  <c r="A3119" i="69"/>
  <c r="A3120" i="69"/>
  <c r="A3121" i="69"/>
  <c r="A3122" i="69"/>
  <c r="A3123" i="69"/>
  <c r="A3124" i="69"/>
  <c r="A3125" i="69"/>
  <c r="A3126" i="69"/>
  <c r="A3127" i="69"/>
  <c r="A3128" i="69"/>
  <c r="A3129" i="69"/>
  <c r="A3130" i="69"/>
  <c r="A3131" i="69"/>
  <c r="A3132" i="69"/>
  <c r="A3133" i="69"/>
  <c r="A3134" i="69"/>
  <c r="A3135" i="69"/>
  <c r="A3136" i="69"/>
  <c r="A3137" i="69"/>
  <c r="A3138" i="69"/>
  <c r="A3139" i="69"/>
  <c r="A3140" i="69"/>
  <c r="A3141" i="69"/>
  <c r="A3142" i="69"/>
  <c r="A3143" i="69"/>
  <c r="A3144" i="69"/>
  <c r="A3145" i="69"/>
  <c r="A3146" i="69"/>
  <c r="A3147" i="69"/>
  <c r="A3148" i="69"/>
  <c r="A3149" i="69"/>
  <c r="A3150" i="69"/>
  <c r="A3151" i="69"/>
  <c r="A3152" i="69"/>
  <c r="A3153" i="69"/>
  <c r="A3154" i="69"/>
  <c r="A3155" i="69"/>
  <c r="A3156" i="69"/>
  <c r="A3157" i="69"/>
  <c r="A3158" i="69"/>
  <c r="A3159" i="69"/>
  <c r="A3160" i="69"/>
  <c r="A3161" i="69"/>
  <c r="A3162" i="69"/>
  <c r="A3163" i="69"/>
  <c r="A3164" i="69"/>
  <c r="A3165" i="69"/>
  <c r="A3166" i="69"/>
  <c r="A3167" i="69"/>
  <c r="A3168" i="69"/>
  <c r="A3169" i="69"/>
  <c r="A3170" i="69"/>
  <c r="A3171" i="69"/>
  <c r="A3172" i="69"/>
  <c r="A3173" i="69"/>
  <c r="A3174" i="69"/>
  <c r="A3175" i="69"/>
  <c r="A3176" i="69"/>
  <c r="A3177" i="69"/>
  <c r="A3178" i="69"/>
  <c r="A3179" i="69"/>
  <c r="A3180" i="69"/>
  <c r="A3181" i="69"/>
  <c r="A3182" i="69"/>
  <c r="A3183" i="69"/>
  <c r="A3184" i="69"/>
  <c r="A3185" i="69"/>
  <c r="A3186" i="69"/>
  <c r="A3187" i="69"/>
  <c r="A3188" i="69"/>
  <c r="A3189" i="69"/>
  <c r="A3190" i="69"/>
  <c r="A3191" i="69"/>
  <c r="A3192" i="69"/>
  <c r="A3193" i="69"/>
  <c r="A3194" i="69"/>
  <c r="A3195" i="69"/>
  <c r="A3196" i="69"/>
  <c r="A3197" i="69"/>
  <c r="A3198" i="69"/>
  <c r="A3199" i="69"/>
  <c r="A3200" i="69"/>
  <c r="A3201" i="69"/>
  <c r="A3202" i="69"/>
  <c r="A3203" i="69"/>
  <c r="A3204" i="69"/>
  <c r="A3205" i="69"/>
  <c r="A3206" i="69"/>
  <c r="A3207" i="69"/>
  <c r="A3208" i="69"/>
  <c r="A3209" i="69"/>
  <c r="A3210" i="69"/>
  <c r="A3211" i="69"/>
  <c r="A3212" i="69"/>
  <c r="A3213" i="69"/>
  <c r="A3214" i="69"/>
  <c r="A3215" i="69"/>
  <c r="A3216" i="69"/>
  <c r="A3217" i="69"/>
  <c r="A3218" i="69"/>
  <c r="A3219" i="69"/>
  <c r="A3220" i="69"/>
  <c r="A3221" i="69"/>
  <c r="A3222" i="69"/>
  <c r="A3223" i="69"/>
  <c r="A3224" i="69"/>
  <c r="A3225" i="69"/>
  <c r="A3226" i="69"/>
  <c r="A3227" i="69"/>
  <c r="A3228" i="69"/>
  <c r="A3229" i="69"/>
  <c r="A3230" i="69"/>
  <c r="A3231" i="69"/>
  <c r="A3232" i="69"/>
  <c r="A3233" i="69"/>
  <c r="A3234" i="69"/>
  <c r="A3235" i="69"/>
  <c r="A3236" i="69"/>
  <c r="A3237" i="69"/>
  <c r="A3238" i="69"/>
  <c r="A3239" i="69"/>
  <c r="A3240" i="69"/>
  <c r="A3241" i="69"/>
  <c r="A3242" i="69"/>
  <c r="A3243" i="69"/>
  <c r="A3244" i="69"/>
  <c r="A3245" i="69"/>
  <c r="A3246" i="69"/>
  <c r="A3247" i="69"/>
  <c r="A3248" i="69"/>
  <c r="A3249" i="69"/>
  <c r="A3250" i="69"/>
  <c r="A3251" i="69"/>
  <c r="A3252" i="69"/>
  <c r="A3253" i="69"/>
  <c r="A3254" i="69"/>
  <c r="A3255" i="69"/>
  <c r="A3256" i="69"/>
  <c r="A3257" i="69"/>
  <c r="A3258" i="69"/>
  <c r="A3259" i="69"/>
  <c r="A3260" i="69"/>
  <c r="A3261" i="69"/>
  <c r="A3262" i="69"/>
  <c r="A3263" i="69"/>
  <c r="A3264" i="69"/>
  <c r="A3265" i="69"/>
  <c r="A3266" i="69"/>
  <c r="A3267" i="69"/>
  <c r="A3268" i="69"/>
  <c r="A3269" i="69"/>
  <c r="A3270" i="69"/>
  <c r="A3271" i="69"/>
  <c r="A3272" i="69"/>
  <c r="A3273" i="69"/>
  <c r="A3274" i="69"/>
  <c r="A3275" i="69"/>
  <c r="A3276" i="69"/>
  <c r="A3277" i="69"/>
  <c r="A3278" i="69"/>
  <c r="A3279" i="69"/>
  <c r="A3280" i="69"/>
  <c r="A3281" i="69"/>
  <c r="A3282" i="69"/>
  <c r="A3283" i="69"/>
  <c r="A3284" i="69"/>
  <c r="A3285" i="69"/>
  <c r="A3286" i="69"/>
  <c r="A3287" i="69"/>
  <c r="A3288" i="69"/>
  <c r="A3289" i="69"/>
  <c r="A3290" i="69"/>
  <c r="A3291" i="69"/>
  <c r="A3292" i="69"/>
  <c r="A3293" i="69"/>
  <c r="A3294" i="69"/>
  <c r="A3295" i="69"/>
  <c r="A3296" i="69"/>
  <c r="A3297" i="69"/>
  <c r="A3298" i="69"/>
  <c r="A3299" i="69"/>
  <c r="A3300" i="69"/>
  <c r="A3301" i="69"/>
  <c r="A3302" i="69"/>
  <c r="A3303" i="69"/>
  <c r="A3304" i="69"/>
  <c r="A3305" i="69"/>
  <c r="A3306" i="69"/>
  <c r="A3307" i="69"/>
  <c r="A3308" i="69"/>
  <c r="A3309" i="69"/>
  <c r="A3310" i="69"/>
  <c r="A3311" i="69"/>
  <c r="A3312" i="69"/>
  <c r="A3313" i="69"/>
  <c r="A3314" i="69"/>
  <c r="A3315" i="69"/>
  <c r="A3316" i="69"/>
  <c r="A3317" i="69"/>
  <c r="A3318" i="69"/>
  <c r="A3319" i="69"/>
  <c r="A3320" i="69"/>
  <c r="A3321" i="69"/>
  <c r="A3322" i="69"/>
  <c r="A3323" i="69"/>
  <c r="A3324" i="69"/>
  <c r="A3325" i="69"/>
  <c r="A3326" i="69"/>
  <c r="A3327" i="69"/>
  <c r="A3328" i="69"/>
  <c r="A3329" i="69"/>
  <c r="A3330" i="69"/>
  <c r="A3331" i="69"/>
  <c r="A3332" i="69"/>
  <c r="A3333" i="69"/>
  <c r="A3334" i="69"/>
  <c r="A3335" i="69"/>
  <c r="A3336" i="69"/>
  <c r="A3337" i="69"/>
  <c r="A3338" i="69"/>
  <c r="A3339" i="69"/>
  <c r="A3340" i="69"/>
  <c r="A3341" i="69"/>
  <c r="A3342" i="69"/>
  <c r="A3343" i="69"/>
  <c r="A3344" i="69"/>
  <c r="A3345" i="69"/>
  <c r="A3346" i="69"/>
  <c r="A3347" i="69"/>
  <c r="A3348" i="69"/>
  <c r="A3349" i="69"/>
  <c r="A3350" i="69"/>
  <c r="A3351" i="69"/>
  <c r="A3352" i="69"/>
  <c r="A3353" i="69"/>
  <c r="A3354" i="69"/>
  <c r="A3355" i="69"/>
  <c r="A3356" i="69"/>
  <c r="A3357" i="69"/>
  <c r="A3358" i="69"/>
  <c r="A3359" i="69"/>
  <c r="A3360" i="69"/>
  <c r="A3361" i="69"/>
  <c r="A3362" i="69"/>
  <c r="A3363" i="69"/>
  <c r="A3364" i="69"/>
  <c r="A3365" i="69"/>
  <c r="A3366" i="69"/>
  <c r="A3367" i="69"/>
  <c r="A3368" i="69"/>
  <c r="A3369" i="69"/>
  <c r="A3370" i="69"/>
  <c r="A3371" i="69"/>
  <c r="A3372" i="69"/>
  <c r="A3373" i="69"/>
  <c r="A3374" i="69"/>
  <c r="A3375" i="69"/>
  <c r="A3376" i="69"/>
  <c r="A3377" i="69"/>
  <c r="A3378" i="69"/>
  <c r="A3379" i="69"/>
  <c r="A3380" i="69"/>
  <c r="A3381" i="69"/>
  <c r="A3382" i="69"/>
  <c r="A3383" i="69"/>
  <c r="A3384" i="69"/>
  <c r="A3385" i="69"/>
  <c r="A3386" i="69"/>
  <c r="A3387" i="69"/>
  <c r="A3388" i="69"/>
  <c r="A3389" i="69"/>
  <c r="A3390" i="69"/>
  <c r="A3391" i="69"/>
  <c r="A3392" i="69"/>
  <c r="A3393" i="69"/>
  <c r="A3394" i="69"/>
  <c r="A3395" i="69"/>
  <c r="A3403" i="69"/>
  <c r="A3404" i="69"/>
  <c r="A3405" i="69"/>
  <c r="A3406" i="69"/>
  <c r="A3407" i="69"/>
  <c r="A3408" i="69"/>
  <c r="A3409" i="69"/>
  <c r="A3410" i="69"/>
  <c r="A3411" i="69"/>
  <c r="A3412" i="69"/>
  <c r="A3413" i="69"/>
  <c r="A3414" i="69"/>
  <c r="A3415" i="69"/>
  <c r="A3416" i="69"/>
  <c r="A3417" i="69"/>
  <c r="A3418" i="69"/>
  <c r="A3419" i="69"/>
  <c r="A3420" i="69"/>
  <c r="A3421" i="69"/>
  <c r="A3422" i="69"/>
  <c r="A3423" i="69"/>
  <c r="A3424" i="69"/>
  <c r="A3425" i="69"/>
  <c r="A3426" i="69"/>
  <c r="A3427" i="69"/>
  <c r="A3428" i="69"/>
  <c r="A3429" i="69"/>
  <c r="A3430" i="69"/>
  <c r="A3431" i="69"/>
  <c r="A3432" i="69"/>
  <c r="A3433" i="69"/>
  <c r="A3434" i="69"/>
  <c r="A3435" i="69"/>
  <c r="A3436" i="69"/>
  <c r="A3437" i="69"/>
  <c r="A3438" i="69"/>
  <c r="A3439" i="69"/>
  <c r="A3440" i="69"/>
  <c r="A3441" i="69"/>
  <c r="A3442" i="69"/>
  <c r="A3443" i="69"/>
  <c r="A3444" i="69"/>
  <c r="A3445" i="69"/>
  <c r="A3446" i="69"/>
  <c r="A3447" i="69"/>
  <c r="A3448" i="69"/>
  <c r="A3449" i="69"/>
  <c r="A3450" i="69"/>
  <c r="A3451" i="69"/>
  <c r="A3452" i="69"/>
  <c r="A3453" i="69"/>
  <c r="A3454" i="69"/>
  <c r="A3455" i="69"/>
  <c r="A3456" i="69"/>
  <c r="A3457" i="69"/>
  <c r="A3070" i="69"/>
  <c r="A3071" i="69"/>
  <c r="A3072" i="69"/>
  <c r="A3073" i="69"/>
  <c r="A3074" i="69"/>
  <c r="A3075" i="69"/>
  <c r="A3076" i="69"/>
  <c r="A3077" i="69"/>
  <c r="A3078" i="69"/>
  <c r="A3079" i="69"/>
  <c r="A2986" i="69"/>
  <c r="A2987" i="69"/>
  <c r="A2988" i="69"/>
  <c r="A2989" i="69"/>
  <c r="A2990" i="69"/>
  <c r="A2991" i="69"/>
  <c r="A2992" i="69"/>
  <c r="A2993" i="69"/>
  <c r="A2994" i="69"/>
  <c r="A2995" i="69"/>
  <c r="A2996" i="69"/>
  <c r="A2997" i="69"/>
  <c r="A2998" i="69"/>
  <c r="A2999" i="69"/>
  <c r="A3000" i="69"/>
  <c r="A3001" i="69"/>
  <c r="A3002" i="69"/>
  <c r="A3003" i="69"/>
  <c r="A3004" i="69"/>
  <c r="A3005" i="69"/>
  <c r="A3006" i="69"/>
  <c r="A3007" i="69"/>
  <c r="A3008" i="69"/>
  <c r="A3009" i="69"/>
  <c r="A3010" i="69"/>
  <c r="A3011" i="69"/>
  <c r="A3012" i="69"/>
  <c r="A3013" i="69"/>
  <c r="A3014" i="69"/>
  <c r="A3015" i="69"/>
  <c r="A3016" i="69"/>
  <c r="A3017" i="69"/>
  <c r="A3018" i="69"/>
  <c r="A3019" i="69"/>
  <c r="A3020" i="69"/>
  <c r="A3021" i="69"/>
  <c r="A3022" i="69"/>
  <c r="A3023" i="69"/>
  <c r="A3024" i="69"/>
  <c r="A3025" i="69"/>
  <c r="A3026" i="69"/>
  <c r="A3027" i="69"/>
  <c r="A3028" i="69"/>
  <c r="A3029" i="69"/>
  <c r="A3030" i="69"/>
  <c r="A3031" i="69"/>
  <c r="A3032" i="69"/>
  <c r="A3033" i="69"/>
  <c r="A3034" i="69"/>
  <c r="A3035" i="69"/>
  <c r="A3036" i="69"/>
  <c r="A3037" i="69"/>
  <c r="A3038" i="69"/>
  <c r="A3039" i="69"/>
  <c r="A3040" i="69"/>
  <c r="A3041" i="69"/>
  <c r="A3042" i="69"/>
  <c r="A3043" i="69"/>
  <c r="A3044" i="69"/>
  <c r="A3045" i="69"/>
  <c r="A3046" i="69"/>
  <c r="A3047" i="69"/>
  <c r="A3048" i="69"/>
  <c r="A3049" i="69"/>
  <c r="A3050" i="69"/>
  <c r="A3051" i="69"/>
  <c r="A3052" i="69"/>
  <c r="A3053" i="69"/>
  <c r="A3054" i="69"/>
  <c r="A3055" i="69"/>
  <c r="A3056" i="69"/>
  <c r="A3057" i="69"/>
  <c r="A3058" i="69"/>
  <c r="A3059" i="69"/>
  <c r="A3060" i="69"/>
  <c r="A3061" i="69"/>
  <c r="A3062" i="69"/>
  <c r="A3063" i="69"/>
  <c r="A3064" i="69"/>
  <c r="A3065" i="69"/>
  <c r="A3066" i="69"/>
  <c r="A3067" i="69"/>
  <c r="A3068" i="69"/>
  <c r="A3069" i="69"/>
  <c r="A2982" i="69"/>
  <c r="A2983" i="69"/>
  <c r="A2984" i="69"/>
  <c r="A2985" i="69"/>
  <c r="A12" i="69"/>
  <c r="A13" i="69"/>
  <c r="A14" i="69"/>
  <c r="A15" i="69"/>
  <c r="A16" i="69"/>
  <c r="A17" i="69"/>
  <c r="A18" i="69"/>
  <c r="A19" i="69"/>
  <c r="A20" i="69"/>
  <c r="A21" i="69"/>
  <c r="A22" i="69"/>
  <c r="A23" i="69"/>
  <c r="A24" i="69"/>
  <c r="A25" i="69"/>
  <c r="A26" i="69"/>
  <c r="A27" i="69"/>
  <c r="A28" i="69"/>
  <c r="A29" i="69"/>
  <c r="A30" i="69"/>
  <c r="A31" i="69"/>
  <c r="A32" i="69"/>
  <c r="A33" i="69"/>
  <c r="A34" i="69"/>
  <c r="A35" i="69"/>
  <c r="A36" i="69"/>
  <c r="A37" i="69"/>
  <c r="A38" i="69"/>
  <c r="A39" i="69"/>
  <c r="A40" i="69"/>
  <c r="A41" i="69"/>
  <c r="A42" i="69"/>
  <c r="A43" i="69"/>
  <c r="A44" i="69"/>
  <c r="A45" i="69"/>
  <c r="A46" i="69"/>
  <c r="A47" i="69"/>
  <c r="A48" i="69"/>
  <c r="A49" i="69"/>
  <c r="A50" i="69"/>
  <c r="A51" i="69"/>
  <c r="A52" i="69"/>
  <c r="A53" i="69"/>
  <c r="A54" i="69"/>
  <c r="A55" i="69"/>
  <c r="A56" i="69"/>
  <c r="A57" i="69"/>
  <c r="A58" i="69"/>
  <c r="A59" i="69"/>
  <c r="A60" i="69"/>
  <c r="A61" i="69"/>
  <c r="A62" i="69"/>
  <c r="A63" i="69"/>
  <c r="A64" i="69"/>
  <c r="A65" i="69"/>
  <c r="A66" i="69"/>
  <c r="A67" i="69"/>
  <c r="A68" i="69"/>
  <c r="A69" i="69"/>
  <c r="A70" i="69"/>
  <c r="A71" i="69"/>
  <c r="A72" i="69"/>
  <c r="A73" i="69"/>
  <c r="A74" i="69"/>
  <c r="A75" i="69"/>
  <c r="A76" i="69"/>
  <c r="A77" i="69"/>
  <c r="A78" i="69"/>
  <c r="A79" i="69"/>
  <c r="A80" i="69"/>
  <c r="A81" i="69"/>
  <c r="A82" i="69"/>
  <c r="A83" i="69"/>
  <c r="A84" i="69"/>
  <c r="A85" i="69"/>
  <c r="A86" i="69"/>
  <c r="A87" i="69"/>
  <c r="A88" i="69"/>
  <c r="A89" i="69"/>
  <c r="A90" i="69"/>
  <c r="A91" i="69"/>
  <c r="A92" i="69"/>
  <c r="A93" i="69"/>
  <c r="A94" i="69"/>
  <c r="A95" i="69"/>
  <c r="A96" i="69"/>
  <c r="A97" i="69"/>
  <c r="A98" i="69"/>
  <c r="A99" i="69"/>
  <c r="A100" i="69"/>
  <c r="A101" i="69"/>
  <c r="A102" i="69"/>
  <c r="A103" i="69"/>
  <c r="A104" i="69"/>
  <c r="A105" i="69"/>
  <c r="A106" i="69"/>
  <c r="A107" i="69"/>
  <c r="A108" i="69"/>
  <c r="A109" i="69"/>
  <c r="A110" i="69"/>
  <c r="A111" i="69"/>
  <c r="A112" i="69"/>
  <c r="A113" i="69"/>
  <c r="A114" i="69"/>
  <c r="A115" i="69"/>
  <c r="A116" i="69"/>
  <c r="A117" i="69"/>
  <c r="A118" i="69"/>
  <c r="A119" i="69"/>
  <c r="A120" i="69"/>
  <c r="A121" i="69"/>
  <c r="A122" i="69"/>
  <c r="A123" i="69"/>
  <c r="A124" i="69"/>
  <c r="A125" i="69"/>
  <c r="A126" i="69"/>
  <c r="A127" i="69"/>
  <c r="A128" i="69"/>
  <c r="A129" i="69"/>
  <c r="A130" i="69"/>
  <c r="A131" i="69"/>
  <c r="A132" i="69"/>
  <c r="A133" i="69"/>
  <c r="A134" i="69"/>
  <c r="A135" i="69"/>
  <c r="A136" i="69"/>
  <c r="A137" i="69"/>
  <c r="A138" i="69"/>
  <c r="A139" i="69"/>
  <c r="A140" i="69"/>
  <c r="A141" i="69"/>
  <c r="A142" i="69"/>
  <c r="A143" i="69"/>
  <c r="A144" i="69"/>
  <c r="A145" i="69"/>
  <c r="A146" i="69"/>
  <c r="A147" i="69"/>
  <c r="A148" i="69"/>
  <c r="A149" i="69"/>
  <c r="A150" i="69"/>
  <c r="A151" i="69"/>
  <c r="A152" i="69"/>
  <c r="A153" i="69"/>
  <c r="A154" i="69"/>
  <c r="A155" i="69"/>
  <c r="A156" i="69"/>
  <c r="A157" i="69"/>
  <c r="A158" i="69"/>
  <c r="A159" i="69"/>
  <c r="A160" i="69"/>
  <c r="A161" i="69"/>
  <c r="A162" i="69"/>
  <c r="A163" i="69"/>
  <c r="A164" i="69"/>
  <c r="A165" i="69"/>
  <c r="A166" i="69"/>
  <c r="A167" i="69"/>
  <c r="A168" i="69"/>
  <c r="A169" i="69"/>
  <c r="A170" i="69"/>
  <c r="A171" i="69"/>
  <c r="A172" i="69"/>
  <c r="A173" i="69"/>
  <c r="A174" i="69"/>
  <c r="A175" i="69"/>
  <c r="A176" i="69"/>
  <c r="A177" i="69"/>
  <c r="A178" i="69"/>
  <c r="A179" i="69"/>
  <c r="A180" i="69"/>
  <c r="A181" i="69"/>
  <c r="A182" i="69"/>
  <c r="A183" i="69"/>
  <c r="A184" i="69"/>
  <c r="A185" i="69"/>
  <c r="A186" i="69"/>
  <c r="A187" i="69"/>
  <c r="A188" i="69"/>
  <c r="A189" i="69"/>
  <c r="A190" i="69"/>
  <c r="A191" i="69"/>
  <c r="A192" i="69"/>
  <c r="A193" i="69"/>
  <c r="A194" i="69"/>
  <c r="A195" i="69"/>
  <c r="A196" i="69"/>
  <c r="A197" i="69"/>
  <c r="A198" i="69"/>
  <c r="A199" i="69"/>
  <c r="A200" i="69"/>
  <c r="A201" i="69"/>
  <c r="A202" i="69"/>
  <c r="A203" i="69"/>
  <c r="A204" i="69"/>
  <c r="A205" i="69"/>
  <c r="A206" i="69"/>
  <c r="A207" i="69"/>
  <c r="A208" i="69"/>
  <c r="A209" i="69"/>
  <c r="A210" i="69"/>
  <c r="A211" i="69"/>
  <c r="A212" i="69"/>
  <c r="A213" i="69"/>
  <c r="A214" i="69"/>
  <c r="A215" i="69"/>
  <c r="A216" i="69"/>
  <c r="A217" i="69"/>
  <c r="A218" i="69"/>
  <c r="A219" i="69"/>
  <c r="A220" i="69"/>
  <c r="A221" i="69"/>
  <c r="A222" i="69"/>
  <c r="A223" i="69"/>
  <c r="A224" i="69"/>
  <c r="A225" i="69"/>
  <c r="A226" i="69"/>
  <c r="A227" i="69"/>
  <c r="A228" i="69"/>
  <c r="A229" i="69"/>
  <c r="A230" i="69"/>
  <c r="A231" i="69"/>
  <c r="A232" i="69"/>
  <c r="A233" i="69"/>
  <c r="A234" i="69"/>
  <c r="A235" i="69"/>
  <c r="A236" i="69"/>
  <c r="A237" i="69"/>
  <c r="A238" i="69"/>
  <c r="A239" i="69"/>
  <c r="A240" i="69"/>
  <c r="A241" i="69"/>
  <c r="A242" i="69"/>
  <c r="A243" i="69"/>
  <c r="A244" i="69"/>
  <c r="A245" i="69"/>
  <c r="A246" i="69"/>
  <c r="A247" i="69"/>
  <c r="A248" i="69"/>
  <c r="A249" i="69"/>
  <c r="A250" i="69"/>
  <c r="A251" i="69"/>
  <c r="A252" i="69"/>
  <c r="A253" i="69"/>
  <c r="A254" i="69"/>
  <c r="A255" i="69"/>
  <c r="A256" i="69"/>
  <c r="A257" i="69"/>
  <c r="A258" i="69"/>
  <c r="A259" i="69"/>
  <c r="A260" i="69"/>
  <c r="A261" i="69"/>
  <c r="A262" i="69"/>
  <c r="A263" i="69"/>
  <c r="A264" i="69"/>
  <c r="A265" i="69"/>
  <c r="A266" i="69"/>
  <c r="A267" i="69"/>
  <c r="A268" i="69"/>
  <c r="A269" i="69"/>
  <c r="A270" i="69"/>
  <c r="A271" i="69"/>
  <c r="A272" i="69"/>
  <c r="A273" i="69"/>
  <c r="A274" i="69"/>
  <c r="A275" i="69"/>
  <c r="A276" i="69"/>
  <c r="A277" i="69"/>
  <c r="A278" i="69"/>
  <c r="A279" i="69"/>
  <c r="A280" i="69"/>
  <c r="A281" i="69"/>
  <c r="A282" i="69"/>
  <c r="A283" i="69"/>
  <c r="A284" i="69"/>
  <c r="A285" i="69"/>
  <c r="A286" i="69"/>
  <c r="A287" i="69"/>
  <c r="A288" i="69"/>
  <c r="A289" i="69"/>
  <c r="A290" i="69"/>
  <c r="A291" i="69"/>
  <c r="A292" i="69"/>
  <c r="A293" i="69"/>
  <c r="A294" i="69"/>
  <c r="A295" i="69"/>
  <c r="A296" i="69"/>
  <c r="A297" i="69"/>
  <c r="A298" i="69"/>
  <c r="A299" i="69"/>
  <c r="A300" i="69"/>
  <c r="A301" i="69"/>
  <c r="A302" i="69"/>
  <c r="A303" i="69"/>
  <c r="A304" i="69"/>
  <c r="A305" i="69"/>
  <c r="A306" i="69"/>
  <c r="A307" i="69"/>
  <c r="A308" i="69"/>
  <c r="A309" i="69"/>
  <c r="A310" i="69"/>
  <c r="A311" i="69"/>
  <c r="A312" i="69"/>
  <c r="A313" i="69"/>
  <c r="A314" i="69"/>
  <c r="A315" i="69"/>
  <c r="A316" i="69"/>
  <c r="A317" i="69"/>
  <c r="A318" i="69"/>
  <c r="A319" i="69"/>
  <c r="A320" i="69"/>
  <c r="A321" i="69"/>
  <c r="A322" i="69"/>
  <c r="A323" i="69"/>
  <c r="A324" i="69"/>
  <c r="A325" i="69"/>
  <c r="A326" i="69"/>
  <c r="A327" i="69"/>
  <c r="A328" i="69"/>
  <c r="A329" i="69"/>
  <c r="A330" i="69"/>
  <c r="A331" i="69"/>
  <c r="A332" i="69"/>
  <c r="A333" i="69"/>
  <c r="A334" i="69"/>
  <c r="A335" i="69"/>
  <c r="A336" i="69"/>
  <c r="A337" i="69"/>
  <c r="A338" i="69"/>
  <c r="A339" i="69"/>
  <c r="A340" i="69"/>
  <c r="A341" i="69"/>
  <c r="A342" i="69"/>
  <c r="A343" i="69"/>
  <c r="A344" i="69"/>
  <c r="A345" i="69"/>
  <c r="A346" i="69"/>
  <c r="A347" i="69"/>
  <c r="A348" i="69"/>
  <c r="A349" i="69"/>
  <c r="A350" i="69"/>
  <c r="A351" i="69"/>
  <c r="A352" i="69"/>
  <c r="A353" i="69"/>
  <c r="A354" i="69"/>
  <c r="A355" i="69"/>
  <c r="A356" i="69"/>
  <c r="A357" i="69"/>
  <c r="A358" i="69"/>
  <c r="A359" i="69"/>
  <c r="A360" i="69"/>
  <c r="A361" i="69"/>
  <c r="A362" i="69"/>
  <c r="A363" i="69"/>
  <c r="A364" i="69"/>
  <c r="A365" i="69"/>
  <c r="A366" i="69"/>
  <c r="A367" i="69"/>
  <c r="A368" i="69"/>
  <c r="A369" i="69"/>
  <c r="A370" i="69"/>
  <c r="A371" i="69"/>
  <c r="A372" i="69"/>
  <c r="A373" i="69"/>
  <c r="A374" i="69"/>
  <c r="A375" i="69"/>
  <c r="A376" i="69"/>
  <c r="A377" i="69"/>
  <c r="A378" i="69"/>
  <c r="A379" i="69"/>
  <c r="A380" i="69"/>
  <c r="A381" i="69"/>
  <c r="A382" i="69"/>
  <c r="A383" i="69"/>
  <c r="A384" i="69"/>
  <c r="A385" i="69"/>
  <c r="A386" i="69"/>
  <c r="A387" i="69"/>
  <c r="A388" i="69"/>
  <c r="A389" i="69"/>
  <c r="A390" i="69"/>
  <c r="A391" i="69"/>
  <c r="A392" i="69"/>
  <c r="A393" i="69"/>
  <c r="A394" i="69"/>
  <c r="A395" i="69"/>
  <c r="A396" i="69"/>
  <c r="A397" i="69"/>
  <c r="A398" i="69"/>
  <c r="A399" i="69"/>
  <c r="A400" i="69"/>
  <c r="A401" i="69"/>
  <c r="A402" i="69"/>
  <c r="A403" i="69"/>
  <c r="A404" i="69"/>
  <c r="A405" i="69"/>
  <c r="A406" i="69"/>
  <c r="A407" i="69"/>
  <c r="A408" i="69"/>
  <c r="A409" i="69"/>
  <c r="A410" i="69"/>
  <c r="A411" i="69"/>
  <c r="A412" i="69"/>
  <c r="A413" i="69"/>
  <c r="A414" i="69"/>
  <c r="A415" i="69"/>
  <c r="A416" i="69"/>
  <c r="A417" i="69"/>
  <c r="A418" i="69"/>
  <c r="A419" i="69"/>
  <c r="A420" i="69"/>
  <c r="A421" i="69"/>
  <c r="A422" i="69"/>
  <c r="A423" i="69"/>
  <c r="A424" i="69"/>
  <c r="A425" i="69"/>
  <c r="A426" i="69"/>
  <c r="A427" i="69"/>
  <c r="A428" i="69"/>
  <c r="A429" i="69"/>
  <c r="A430" i="69"/>
  <c r="A431" i="69"/>
  <c r="A432" i="69"/>
  <c r="A433" i="69"/>
  <c r="A434" i="69"/>
  <c r="A435" i="69"/>
  <c r="A436" i="69"/>
  <c r="A437" i="69"/>
  <c r="A438" i="69"/>
  <c r="A439" i="69"/>
  <c r="A440" i="69"/>
  <c r="A441" i="69"/>
  <c r="A442" i="69"/>
  <c r="A443" i="69"/>
  <c r="A444" i="69"/>
  <c r="A445" i="69"/>
  <c r="A446" i="69"/>
  <c r="A447" i="69"/>
  <c r="A448" i="69"/>
  <c r="A449" i="69"/>
  <c r="A450" i="69"/>
  <c r="A451" i="69"/>
  <c r="A452" i="69"/>
  <c r="A461" i="69"/>
  <c r="A462" i="69"/>
  <c r="A463" i="69"/>
  <c r="A464" i="69"/>
  <c r="A465" i="69"/>
  <c r="A466" i="69"/>
  <c r="A467" i="69"/>
  <c r="A468" i="69"/>
  <c r="A469" i="69"/>
  <c r="A470" i="69"/>
  <c r="A471" i="69"/>
  <c r="A472" i="69"/>
  <c r="A473" i="69"/>
  <c r="A474" i="69"/>
  <c r="A475" i="69"/>
  <c r="A476" i="69"/>
  <c r="A477" i="69"/>
  <c r="A478" i="69"/>
  <c r="A479" i="69"/>
  <c r="A480" i="69"/>
  <c r="A481" i="69"/>
  <c r="A482" i="69"/>
  <c r="A483" i="69"/>
  <c r="A484" i="69"/>
  <c r="A485" i="69"/>
  <c r="A486" i="69"/>
  <c r="A487" i="69"/>
  <c r="A488" i="69"/>
  <c r="A489" i="69"/>
  <c r="A490" i="69"/>
  <c r="A491" i="69"/>
  <c r="A492" i="69"/>
  <c r="A493" i="69"/>
  <c r="A494" i="69"/>
  <c r="A495" i="69"/>
  <c r="A496" i="69"/>
  <c r="A497" i="69"/>
  <c r="A498" i="69"/>
  <c r="A499" i="69"/>
  <c r="A500" i="69"/>
  <c r="A501" i="69"/>
  <c r="A502" i="69"/>
  <c r="A503" i="69"/>
  <c r="A504" i="69"/>
  <c r="A505" i="69"/>
  <c r="A506" i="69"/>
  <c r="A507" i="69"/>
  <c r="A508" i="69"/>
  <c r="A509" i="69"/>
  <c r="A510" i="69"/>
  <c r="A511" i="69"/>
  <c r="A512" i="69"/>
  <c r="A513" i="69"/>
  <c r="A514" i="69"/>
  <c r="A515" i="69"/>
  <c r="A516" i="69"/>
  <c r="A517" i="69"/>
  <c r="A518" i="69"/>
  <c r="A519" i="69"/>
  <c r="A520" i="69"/>
  <c r="A521" i="69"/>
  <c r="A522" i="69"/>
  <c r="A523" i="69"/>
  <c r="A524" i="69"/>
  <c r="A525" i="69"/>
  <c r="A526" i="69"/>
  <c r="A527" i="69"/>
  <c r="A528" i="69"/>
  <c r="A529" i="69"/>
  <c r="A530" i="69"/>
  <c r="A531" i="69"/>
  <c r="A532" i="69"/>
  <c r="A533" i="69"/>
  <c r="A534" i="69"/>
  <c r="A535" i="69"/>
  <c r="A536" i="69"/>
  <c r="A537" i="69"/>
  <c r="A538" i="69"/>
  <c r="A539" i="69"/>
  <c r="A540" i="69"/>
  <c r="A541" i="69"/>
  <c r="A542" i="69"/>
  <c r="A543" i="69"/>
  <c r="A544" i="69"/>
  <c r="A545" i="69"/>
  <c r="A546" i="69"/>
  <c r="A547" i="69"/>
  <c r="A548" i="69"/>
  <c r="A549" i="69"/>
  <c r="A550" i="69"/>
  <c r="A551" i="69"/>
  <c r="A552" i="69"/>
  <c r="A553" i="69"/>
  <c r="A554" i="69"/>
  <c r="A555" i="69"/>
  <c r="A556" i="69"/>
  <c r="A557" i="69"/>
  <c r="A558" i="69"/>
  <c r="A559" i="69"/>
  <c r="A560" i="69"/>
  <c r="A561" i="69"/>
  <c r="A562" i="69"/>
  <c r="A563" i="69"/>
  <c r="A564" i="69"/>
  <c r="A565" i="69"/>
  <c r="A566" i="69"/>
  <c r="A567" i="69"/>
  <c r="A568" i="69"/>
  <c r="A569" i="69"/>
  <c r="A570" i="69"/>
  <c r="A571" i="69"/>
  <c r="A572" i="69"/>
  <c r="A573" i="69"/>
  <c r="A574" i="69"/>
  <c r="A575" i="69"/>
  <c r="A576" i="69"/>
  <c r="A577" i="69"/>
  <c r="A578" i="69"/>
  <c r="A579" i="69"/>
  <c r="A580" i="69"/>
  <c r="A581" i="69"/>
  <c r="A582" i="69"/>
  <c r="A583" i="69"/>
  <c r="A584" i="69"/>
  <c r="A585" i="69"/>
  <c r="A586" i="69"/>
  <c r="A587" i="69"/>
  <c r="A588" i="69"/>
  <c r="A589" i="69"/>
  <c r="A590" i="69"/>
  <c r="A591" i="69"/>
  <c r="A592" i="69"/>
  <c r="A593" i="69"/>
  <c r="A594" i="69"/>
  <c r="A595" i="69"/>
  <c r="A596" i="69"/>
  <c r="A597" i="69"/>
  <c r="A598" i="69"/>
  <c r="A599" i="69"/>
  <c r="A600" i="69"/>
  <c r="A601" i="69"/>
  <c r="A602" i="69"/>
  <c r="A603" i="69"/>
  <c r="A604" i="69"/>
  <c r="A605" i="69"/>
  <c r="A606" i="69"/>
  <c r="A607" i="69"/>
  <c r="A608" i="69"/>
  <c r="A609" i="69"/>
  <c r="A610" i="69"/>
  <c r="A611" i="69"/>
  <c r="A612" i="69"/>
  <c r="A613" i="69"/>
  <c r="A614" i="69"/>
  <c r="A615" i="69"/>
  <c r="A616" i="69"/>
  <c r="A617" i="69"/>
  <c r="A618" i="69"/>
  <c r="A619" i="69"/>
  <c r="A620" i="69"/>
  <c r="A621" i="69"/>
  <c r="A622" i="69"/>
  <c r="A623" i="69"/>
  <c r="A624" i="69"/>
  <c r="A625" i="69"/>
  <c r="A626" i="69"/>
  <c r="A627" i="69"/>
  <c r="A628" i="69"/>
  <c r="A629" i="69"/>
  <c r="A630" i="69"/>
  <c r="A631" i="69"/>
  <c r="A632" i="69"/>
  <c r="A633" i="69"/>
  <c r="A634" i="69"/>
  <c r="A635" i="69"/>
  <c r="A636" i="69"/>
  <c r="A637" i="69"/>
  <c r="A638" i="69"/>
  <c r="A639" i="69"/>
  <c r="A640" i="69"/>
  <c r="A641" i="69"/>
  <c r="A642" i="69"/>
  <c r="A643" i="69"/>
  <c r="A644" i="69"/>
  <c r="A645" i="69"/>
  <c r="A646" i="69"/>
  <c r="A647" i="69"/>
  <c r="A648" i="69"/>
  <c r="A649" i="69"/>
  <c r="A650" i="69"/>
  <c r="A651" i="69"/>
  <c r="A652" i="69"/>
  <c r="A653" i="69"/>
  <c r="A654" i="69"/>
  <c r="A655" i="69"/>
  <c r="A656" i="69"/>
  <c r="A657" i="69"/>
  <c r="A658" i="69"/>
  <c r="A659" i="69"/>
  <c r="A660" i="69"/>
  <c r="A661" i="69"/>
  <c r="A662" i="69"/>
  <c r="A663" i="69"/>
  <c r="A664" i="69"/>
  <c r="A665" i="69"/>
  <c r="A666" i="69"/>
  <c r="A667" i="69"/>
  <c r="A668" i="69"/>
  <c r="A669" i="69"/>
  <c r="A670" i="69"/>
  <c r="A671" i="69"/>
  <c r="A672" i="69"/>
  <c r="A673" i="69"/>
  <c r="A674" i="69"/>
  <c r="A675" i="69"/>
  <c r="A676" i="69"/>
  <c r="A677" i="69"/>
  <c r="A678" i="69"/>
  <c r="A679" i="69"/>
  <c r="A680" i="69"/>
  <c r="A681" i="69"/>
  <c r="A682" i="69"/>
  <c r="A683" i="69"/>
  <c r="A684" i="69"/>
  <c r="A685" i="69"/>
  <c r="A686" i="69"/>
  <c r="A687" i="69"/>
  <c r="A688" i="69"/>
  <c r="A689" i="69"/>
  <c r="A690" i="69"/>
  <c r="A691" i="69"/>
  <c r="A692" i="69"/>
  <c r="A693" i="69"/>
  <c r="A694" i="69"/>
  <c r="A695" i="69"/>
  <c r="A696" i="69"/>
  <c r="A697" i="69"/>
  <c r="A698" i="69"/>
  <c r="A699" i="69"/>
  <c r="A700" i="69"/>
  <c r="A701" i="69"/>
  <c r="A702" i="69"/>
  <c r="A703" i="69"/>
  <c r="A704" i="69"/>
  <c r="A705" i="69"/>
  <c r="A706" i="69"/>
  <c r="A707" i="69"/>
  <c r="A708" i="69"/>
  <c r="A709" i="69"/>
  <c r="A710" i="69"/>
  <c r="A711" i="69"/>
  <c r="A712" i="69"/>
  <c r="A713" i="69"/>
  <c r="A714" i="69"/>
  <c r="A715" i="69"/>
  <c r="A716" i="69"/>
  <c r="A717" i="69"/>
  <c r="A718" i="69"/>
  <c r="A719" i="69"/>
  <c r="A720" i="69"/>
  <c r="A721" i="69"/>
  <c r="A722" i="69"/>
  <c r="A723" i="69"/>
  <c r="A724" i="69"/>
  <c r="A725" i="69"/>
  <c r="A726" i="69"/>
  <c r="A727" i="69"/>
  <c r="A728" i="69"/>
  <c r="A729" i="69"/>
  <c r="A730" i="69"/>
  <c r="A731" i="69"/>
  <c r="A732" i="69"/>
  <c r="A733" i="69"/>
  <c r="A734" i="69"/>
  <c r="A735" i="69"/>
  <c r="A736" i="69"/>
  <c r="A737" i="69"/>
  <c r="A738" i="69"/>
  <c r="A743" i="69"/>
  <c r="A744" i="69"/>
  <c r="A745" i="69"/>
  <c r="A746" i="69"/>
  <c r="A747" i="69"/>
  <c r="A748" i="69"/>
  <c r="A749" i="69"/>
  <c r="A750" i="69"/>
  <c r="A751" i="69"/>
  <c r="A752" i="69"/>
  <c r="A753" i="69"/>
  <c r="A754" i="69"/>
  <c r="A755" i="69"/>
  <c r="A756" i="69"/>
  <c r="A757" i="69"/>
  <c r="A758" i="69"/>
  <c r="A759" i="69"/>
  <c r="A760" i="69"/>
  <c r="A761" i="69"/>
  <c r="A762" i="69"/>
  <c r="A763" i="69"/>
  <c r="A764" i="69"/>
  <c r="A765" i="69"/>
  <c r="A766" i="69"/>
  <c r="A767" i="69"/>
  <c r="A768" i="69"/>
  <c r="A769" i="69"/>
  <c r="A770" i="69"/>
  <c r="A771" i="69"/>
  <c r="A772" i="69"/>
  <c r="A773" i="69"/>
  <c r="A774" i="69"/>
  <c r="A775" i="69"/>
  <c r="A776" i="69"/>
  <c r="A777" i="69"/>
  <c r="A778" i="69"/>
  <c r="A779" i="69"/>
  <c r="A780" i="69"/>
  <c r="A781" i="69"/>
  <c r="A782" i="69"/>
  <c r="A783" i="69"/>
  <c r="A784" i="69"/>
  <c r="A785" i="69"/>
  <c r="A786" i="69"/>
  <c r="A787" i="69"/>
  <c r="A788" i="69"/>
  <c r="A789" i="69"/>
  <c r="A790" i="69"/>
  <c r="A791" i="69"/>
  <c r="A792" i="69"/>
  <c r="A793" i="69"/>
  <c r="A794" i="69"/>
  <c r="A795" i="69"/>
  <c r="A796" i="69"/>
  <c r="A797" i="69"/>
  <c r="A798" i="69"/>
  <c r="A799" i="69"/>
  <c r="A800" i="69"/>
  <c r="A801" i="69"/>
  <c r="A802" i="69"/>
  <c r="A803" i="69"/>
  <c r="A804" i="69"/>
  <c r="A805" i="69"/>
  <c r="A806" i="69"/>
  <c r="A807" i="69"/>
  <c r="A808" i="69"/>
  <c r="A809" i="69"/>
  <c r="A810" i="69"/>
  <c r="A811" i="69"/>
  <c r="A812" i="69"/>
  <c r="A813" i="69"/>
  <c r="A814" i="69"/>
  <c r="A815" i="69"/>
  <c r="A816" i="69"/>
  <c r="A817" i="69"/>
  <c r="A818" i="69"/>
  <c r="A819" i="69"/>
  <c r="A820" i="69"/>
  <c r="A821" i="69"/>
  <c r="A822" i="69"/>
  <c r="A823" i="69"/>
  <c r="A824" i="69"/>
  <c r="A825" i="69"/>
  <c r="A826" i="69"/>
  <c r="A827" i="69"/>
  <c r="A828" i="69"/>
  <c r="A829" i="69"/>
  <c r="A830" i="69"/>
  <c r="A831" i="69"/>
  <c r="A832" i="69"/>
  <c r="A833" i="69"/>
  <c r="A834" i="69"/>
  <c r="A835" i="69"/>
  <c r="A836" i="69"/>
  <c r="A837" i="69"/>
  <c r="A838" i="69"/>
  <c r="A839" i="69"/>
  <c r="A840" i="69"/>
  <c r="A841" i="69"/>
  <c r="A842" i="69"/>
  <c r="A843" i="69"/>
  <c r="A844" i="69"/>
  <c r="A845" i="69"/>
  <c r="A846" i="69"/>
  <c r="A847" i="69"/>
  <c r="A848" i="69"/>
  <c r="A849" i="69"/>
  <c r="A850" i="69"/>
  <c r="A851" i="69"/>
  <c r="A852" i="69"/>
  <c r="A853" i="69"/>
  <c r="A854" i="69"/>
  <c r="A855" i="69"/>
  <c r="A856" i="69"/>
  <c r="A857" i="69"/>
  <c r="A858" i="69"/>
  <c r="A859" i="69"/>
  <c r="A860" i="69"/>
  <c r="A861" i="69"/>
  <c r="A862" i="69"/>
  <c r="A863" i="69"/>
  <c r="A864" i="69"/>
  <c r="A865" i="69"/>
  <c r="A866" i="69"/>
  <c r="A867" i="69"/>
  <c r="A868" i="69"/>
  <c r="A869" i="69"/>
  <c r="A870" i="69"/>
  <c r="A871" i="69"/>
  <c r="A872" i="69"/>
  <c r="A873" i="69"/>
  <c r="A874" i="69"/>
  <c r="A875" i="69"/>
  <c r="A876" i="69"/>
  <c r="A877" i="69"/>
  <c r="A878" i="69"/>
  <c r="A879" i="69"/>
  <c r="A880" i="69"/>
  <c r="A881" i="69"/>
  <c r="A882" i="69"/>
  <c r="A883" i="69"/>
  <c r="A884" i="69"/>
  <c r="A885" i="69"/>
  <c r="A886" i="69"/>
  <c r="A887" i="69"/>
  <c r="A888" i="69"/>
  <c r="A889" i="69"/>
  <c r="A890" i="69"/>
  <c r="A891" i="69"/>
  <c r="A892" i="69"/>
  <c r="A893" i="69"/>
  <c r="A894" i="69"/>
  <c r="A895" i="69"/>
  <c r="A896" i="69"/>
  <c r="A897" i="69"/>
  <c r="A898" i="69"/>
  <c r="A899" i="69"/>
  <c r="A900" i="69"/>
  <c r="A901" i="69"/>
  <c r="A902" i="69"/>
  <c r="A903" i="69"/>
  <c r="A904" i="69"/>
  <c r="A905" i="69"/>
  <c r="A906" i="69"/>
  <c r="A907" i="69"/>
  <c r="A908" i="69"/>
  <c r="A909" i="69"/>
  <c r="A910" i="69"/>
  <c r="A911" i="69"/>
  <c r="A912" i="69"/>
  <c r="A913" i="69"/>
  <c r="A914" i="69"/>
  <c r="A915" i="69"/>
  <c r="A916" i="69"/>
  <c r="A917" i="69"/>
  <c r="A918" i="69"/>
  <c r="A919" i="69"/>
  <c r="A920" i="69"/>
  <c r="A921" i="69"/>
  <c r="A922" i="69"/>
  <c r="A923" i="69"/>
  <c r="A924" i="69"/>
  <c r="A925" i="69"/>
  <c r="A926" i="69"/>
  <c r="A927" i="69"/>
  <c r="A928" i="69"/>
  <c r="A929" i="69"/>
  <c r="A930" i="69"/>
  <c r="A931" i="69"/>
  <c r="A932" i="69"/>
  <c r="A933" i="69"/>
  <c r="A934" i="69"/>
  <c r="A935" i="69"/>
  <c r="A936" i="69"/>
  <c r="A937" i="69"/>
  <c r="A938" i="69"/>
  <c r="A939" i="69"/>
  <c r="A940" i="69"/>
  <c r="A941" i="69"/>
  <c r="A942" i="69"/>
  <c r="A943" i="69"/>
  <c r="A944" i="69"/>
  <c r="A945" i="69"/>
  <c r="A946" i="69"/>
  <c r="A947" i="69"/>
  <c r="A948" i="69"/>
  <c r="A949" i="69"/>
  <c r="A950" i="69"/>
  <c r="A951" i="69"/>
  <c r="A952" i="69"/>
  <c r="A953" i="69"/>
  <c r="A954" i="69"/>
  <c r="A955" i="69"/>
  <c r="A956" i="69"/>
  <c r="A957" i="69"/>
  <c r="A958" i="69"/>
  <c r="A959" i="69"/>
  <c r="A960" i="69"/>
  <c r="A961" i="69"/>
  <c r="A962" i="69"/>
  <c r="A963" i="69"/>
  <c r="A964" i="69"/>
  <c r="A965" i="69"/>
  <c r="A966" i="69"/>
  <c r="A967" i="69"/>
  <c r="A968" i="69"/>
  <c r="A969" i="69"/>
  <c r="A970" i="69"/>
  <c r="A971" i="69"/>
  <c r="A972" i="69"/>
  <c r="A973" i="69"/>
  <c r="A974" i="69"/>
  <c r="A975" i="69"/>
  <c r="A976" i="69"/>
  <c r="A977" i="69"/>
  <c r="A978" i="69"/>
  <c r="A979" i="69"/>
  <c r="A980" i="69"/>
  <c r="A981" i="69"/>
  <c r="A982" i="69"/>
  <c r="A983" i="69"/>
  <c r="A984" i="69"/>
  <c r="A985" i="69"/>
  <c r="A986" i="69"/>
  <c r="A987" i="69"/>
  <c r="A988" i="69"/>
  <c r="A989" i="69"/>
  <c r="A990" i="69"/>
  <c r="A991" i="69"/>
  <c r="A992" i="69"/>
  <c r="A993" i="69"/>
  <c r="A994" i="69"/>
  <c r="A995" i="69"/>
  <c r="A996" i="69"/>
  <c r="A997" i="69"/>
  <c r="A998" i="69"/>
  <c r="A999" i="69"/>
  <c r="A1000" i="69"/>
  <c r="A1001" i="69"/>
  <c r="A1002" i="69"/>
  <c r="A1003" i="69"/>
  <c r="A1004" i="69"/>
  <c r="A1005" i="69"/>
  <c r="A1006" i="69"/>
  <c r="A1007" i="69"/>
  <c r="A1008" i="69"/>
  <c r="A1009" i="69"/>
  <c r="A1010" i="69"/>
  <c r="A1011" i="69"/>
  <c r="A1012" i="69"/>
  <c r="A1013" i="69"/>
  <c r="A1014" i="69"/>
  <c r="A1015" i="69"/>
  <c r="A1016" i="69"/>
  <c r="A1017" i="69"/>
  <c r="A1018" i="69"/>
  <c r="A1019" i="69"/>
  <c r="A1020" i="69"/>
  <c r="A1021" i="69"/>
  <c r="A1022" i="69"/>
  <c r="A1023" i="69"/>
  <c r="A1024" i="69"/>
  <c r="A1025" i="69"/>
  <c r="A1026" i="69"/>
  <c r="A1027" i="69"/>
  <c r="A1028" i="69"/>
  <c r="A1029" i="69"/>
  <c r="A1030" i="69"/>
  <c r="A1031" i="69"/>
  <c r="A1032" i="69"/>
  <c r="A1033" i="69"/>
  <c r="A1034" i="69"/>
  <c r="A1035" i="69"/>
  <c r="A1036" i="69"/>
  <c r="A1037" i="69"/>
  <c r="A1038" i="69"/>
  <c r="A1039" i="69"/>
  <c r="A1040" i="69"/>
  <c r="A1041" i="69"/>
  <c r="A1042" i="69"/>
  <c r="A1043" i="69"/>
  <c r="A1044" i="69"/>
  <c r="A1045" i="69"/>
  <c r="A1046" i="69"/>
  <c r="A1047" i="69"/>
  <c r="A1048" i="69"/>
  <c r="A1049" i="69"/>
  <c r="A1050" i="69"/>
  <c r="A1051" i="69"/>
  <c r="A1052" i="69"/>
  <c r="A1053" i="69"/>
  <c r="A1054" i="69"/>
  <c r="A1055" i="69"/>
  <c r="A1056" i="69"/>
  <c r="A1057" i="69"/>
  <c r="A1058" i="69"/>
  <c r="A1059" i="69"/>
  <c r="A1060" i="69"/>
  <c r="A1061" i="69"/>
  <c r="A1062" i="69"/>
  <c r="A1063" i="69"/>
  <c r="A1064" i="69"/>
  <c r="A1065" i="69"/>
  <c r="A1066" i="69"/>
  <c r="A1067" i="69"/>
  <c r="A1068" i="69"/>
  <c r="A1069" i="69"/>
  <c r="A1070" i="69"/>
  <c r="A1071" i="69"/>
  <c r="A1072" i="69"/>
  <c r="A1073" i="69"/>
  <c r="A1074" i="69"/>
  <c r="A1075" i="69"/>
  <c r="A1076" i="69"/>
  <c r="A1077" i="69"/>
  <c r="A1078" i="69"/>
  <c r="A1079" i="69"/>
  <c r="A1080" i="69"/>
  <c r="A1081" i="69"/>
  <c r="A1082" i="69"/>
  <c r="A1083" i="69"/>
  <c r="A1084" i="69"/>
  <c r="A1085" i="69"/>
  <c r="A1086" i="69"/>
  <c r="A1087" i="69"/>
  <c r="A1088" i="69"/>
  <c r="A1089" i="69"/>
  <c r="A1090" i="69"/>
  <c r="A1091" i="69"/>
  <c r="A1092" i="69"/>
  <c r="A1093" i="69"/>
  <c r="A1094" i="69"/>
  <c r="A1095" i="69"/>
  <c r="A1096" i="69"/>
  <c r="A1097" i="69"/>
  <c r="A1098" i="69"/>
  <c r="A1099" i="69"/>
  <c r="A1100" i="69"/>
  <c r="A1101" i="69"/>
  <c r="A1102" i="69"/>
  <c r="A1103" i="69"/>
  <c r="A1104" i="69"/>
  <c r="A1105" i="69"/>
  <c r="A1106" i="69"/>
  <c r="A1107" i="69"/>
  <c r="A1108" i="69"/>
  <c r="A1109" i="69"/>
  <c r="A1110" i="69"/>
  <c r="A1111" i="69"/>
  <c r="A1112" i="69"/>
  <c r="A1113" i="69"/>
  <c r="A1114" i="69"/>
  <c r="A1115" i="69"/>
  <c r="A1116" i="69"/>
  <c r="A1117" i="69"/>
  <c r="A1118" i="69"/>
  <c r="A1119" i="69"/>
  <c r="A1120" i="69"/>
  <c r="A1121" i="69"/>
  <c r="A1122" i="69"/>
  <c r="A1123" i="69"/>
  <c r="A1124" i="69"/>
  <c r="A1125" i="69"/>
  <c r="A1126" i="69"/>
  <c r="A1127" i="69"/>
  <c r="A1128" i="69"/>
  <c r="A1129" i="69"/>
  <c r="A1130" i="69"/>
  <c r="A1131" i="69"/>
  <c r="A1132" i="69"/>
  <c r="A1133" i="69"/>
  <c r="A1134" i="69"/>
  <c r="A1135" i="69"/>
  <c r="A1136" i="69"/>
  <c r="A1137" i="69"/>
  <c r="A1138" i="69"/>
  <c r="A1139" i="69"/>
  <c r="A1140" i="69"/>
  <c r="A1141" i="69"/>
  <c r="A1142" i="69"/>
  <c r="A1143" i="69"/>
  <c r="A1144" i="69"/>
  <c r="A1145" i="69"/>
  <c r="A1146" i="69"/>
  <c r="A1147" i="69"/>
  <c r="A1148" i="69"/>
  <c r="A1149" i="69"/>
  <c r="A1150" i="69"/>
  <c r="A1151" i="69"/>
  <c r="A1152" i="69"/>
  <c r="A1153" i="69"/>
  <c r="A1154" i="69"/>
  <c r="A1155" i="69"/>
  <c r="A1156" i="69"/>
  <c r="A1157" i="69"/>
  <c r="A1158" i="69"/>
  <c r="A1159" i="69"/>
  <c r="A1160" i="69"/>
  <c r="A1161" i="69"/>
  <c r="A1162" i="69"/>
  <c r="A1163" i="69"/>
  <c r="A1164" i="69"/>
  <c r="A1165" i="69"/>
  <c r="A1166" i="69"/>
  <c r="A1167" i="69"/>
  <c r="A1168" i="69"/>
  <c r="A1169" i="69"/>
  <c r="A1170" i="69"/>
  <c r="A1171" i="69"/>
  <c r="A1172" i="69"/>
  <c r="A1173" i="69"/>
  <c r="A1174" i="69"/>
  <c r="A1175" i="69"/>
  <c r="A1176" i="69"/>
  <c r="A1177" i="69"/>
  <c r="A1178" i="69"/>
  <c r="A1179" i="69"/>
  <c r="A1180" i="69"/>
  <c r="A1181" i="69"/>
  <c r="A1182" i="69"/>
  <c r="A1183" i="69"/>
  <c r="A1184" i="69"/>
  <c r="A1185" i="69"/>
  <c r="A1186" i="69"/>
  <c r="A1187" i="69"/>
  <c r="A1188" i="69"/>
  <c r="A1189" i="69"/>
  <c r="A1190" i="69"/>
  <c r="A1191" i="69"/>
  <c r="A1192" i="69"/>
  <c r="A1193" i="69"/>
  <c r="A1194" i="69"/>
  <c r="A1195" i="69"/>
  <c r="A1196" i="69"/>
  <c r="A1197" i="69"/>
  <c r="A1198" i="69"/>
  <c r="A1199" i="69"/>
  <c r="A1200" i="69"/>
  <c r="A1201" i="69"/>
  <c r="A1202" i="69"/>
  <c r="A1203" i="69"/>
  <c r="A1204" i="69"/>
  <c r="A1205" i="69"/>
  <c r="A1206" i="69"/>
  <c r="A1207" i="69"/>
  <c r="A1208" i="69"/>
  <c r="A1209" i="69"/>
  <c r="A1210" i="69"/>
  <c r="A1211" i="69"/>
  <c r="A1212" i="69"/>
  <c r="A1213" i="69"/>
  <c r="A1214" i="69"/>
  <c r="A1215" i="69"/>
  <c r="A1216" i="69"/>
  <c r="A1217" i="69"/>
  <c r="A1218" i="69"/>
  <c r="A1219" i="69"/>
  <c r="A1220" i="69"/>
  <c r="A1221" i="69"/>
  <c r="A1222" i="69"/>
  <c r="A1223" i="69"/>
  <c r="A1224" i="69"/>
  <c r="A1225" i="69"/>
  <c r="A1226" i="69"/>
  <c r="A1227" i="69"/>
  <c r="A1228" i="69"/>
  <c r="A1229" i="69"/>
  <c r="A1230" i="69"/>
  <c r="A1231" i="69"/>
  <c r="A1232" i="69"/>
  <c r="A1233" i="69"/>
  <c r="A1234" i="69"/>
  <c r="A1235" i="69"/>
  <c r="A1236" i="69"/>
  <c r="A1237" i="69"/>
  <c r="A1238" i="69"/>
  <c r="A1239" i="69"/>
  <c r="A1240" i="69"/>
  <c r="A1241" i="69"/>
  <c r="A1242" i="69"/>
  <c r="A1243" i="69"/>
  <c r="A1244" i="69"/>
  <c r="A1245" i="69"/>
  <c r="A1246" i="69"/>
  <c r="A1247" i="69"/>
  <c r="A1248" i="69"/>
  <c r="A1249" i="69"/>
  <c r="A1250" i="69"/>
  <c r="A1251" i="69"/>
  <c r="A1252" i="69"/>
  <c r="A1253" i="69"/>
  <c r="A1254" i="69"/>
  <c r="A1255" i="69"/>
  <c r="A1256" i="69"/>
  <c r="A1257" i="69"/>
  <c r="A1258" i="69"/>
  <c r="A1259" i="69"/>
  <c r="A1260" i="69"/>
  <c r="A1261" i="69"/>
  <c r="A1262" i="69"/>
  <c r="A1263" i="69"/>
  <c r="A1264" i="69"/>
  <c r="A1265" i="69"/>
  <c r="A1266" i="69"/>
  <c r="A1267" i="69"/>
  <c r="A1268" i="69"/>
  <c r="A1269" i="69"/>
  <c r="A1270" i="69"/>
  <c r="A1271" i="69"/>
  <c r="A1272" i="69"/>
  <c r="A1273" i="69"/>
  <c r="A1274" i="69"/>
  <c r="A1275" i="69"/>
  <c r="A1276" i="69"/>
  <c r="A1277" i="69"/>
  <c r="A1278" i="69"/>
  <c r="A1279" i="69"/>
  <c r="A1280" i="69"/>
  <c r="A1281" i="69"/>
  <c r="A1282" i="69"/>
  <c r="A1283" i="69"/>
  <c r="A1284" i="69"/>
  <c r="A1285" i="69"/>
  <c r="A1286" i="69"/>
  <c r="A1287" i="69"/>
  <c r="A1288" i="69"/>
  <c r="A1289" i="69"/>
  <c r="A1290" i="69"/>
  <c r="A1291" i="69"/>
  <c r="A1292" i="69"/>
  <c r="A1293" i="69"/>
  <c r="A1294" i="69"/>
  <c r="A1295" i="69"/>
  <c r="A1296" i="69"/>
  <c r="A1297" i="69"/>
  <c r="A1298" i="69"/>
  <c r="A1299" i="69"/>
  <c r="A1300" i="69"/>
  <c r="A1301" i="69"/>
  <c r="A1302" i="69"/>
  <c r="A1303" i="69"/>
  <c r="A1304" i="69"/>
  <c r="A1305" i="69"/>
  <c r="A1306" i="69"/>
  <c r="A1307" i="69"/>
  <c r="A1308" i="69"/>
  <c r="A1309" i="69"/>
  <c r="A1310" i="69"/>
  <c r="A1311" i="69"/>
  <c r="A1312" i="69"/>
  <c r="A1313" i="69"/>
  <c r="A1314" i="69"/>
  <c r="A1315" i="69"/>
  <c r="A1316" i="69"/>
  <c r="A1317" i="69"/>
  <c r="A1318" i="69"/>
  <c r="A1319" i="69"/>
  <c r="A1320" i="69"/>
  <c r="A1321" i="69"/>
  <c r="A1322" i="69"/>
  <c r="A1323" i="69"/>
  <c r="A1324" i="69"/>
  <c r="A1325" i="69"/>
  <c r="A1326" i="69"/>
  <c r="A1327" i="69"/>
  <c r="A1328" i="69"/>
  <c r="A1329" i="69"/>
  <c r="A1330" i="69"/>
  <c r="A1331" i="69"/>
  <c r="A1332" i="69"/>
  <c r="A1333" i="69"/>
  <c r="A1334" i="69"/>
  <c r="A1335" i="69"/>
  <c r="A1336" i="69"/>
  <c r="A1337" i="69"/>
  <c r="A1338" i="69"/>
  <c r="A1339" i="69"/>
  <c r="A1340" i="69"/>
  <c r="A1341" i="69"/>
  <c r="A1342" i="69"/>
  <c r="A1343" i="69"/>
  <c r="A1344" i="69"/>
  <c r="A1345" i="69"/>
  <c r="A1346" i="69"/>
  <c r="A1347" i="69"/>
  <c r="A1348" i="69"/>
  <c r="A1349" i="69"/>
  <c r="A1350" i="69"/>
  <c r="A1351" i="69"/>
  <c r="A1352" i="69"/>
  <c r="A1353" i="69"/>
  <c r="A1354" i="69"/>
  <c r="A1355" i="69"/>
  <c r="A1356" i="69"/>
  <c r="A1357" i="69"/>
  <c r="A1358" i="69"/>
  <c r="A1359" i="69"/>
  <c r="A1360" i="69"/>
  <c r="A1361" i="69"/>
  <c r="A1362" i="69"/>
  <c r="A1363" i="69"/>
  <c r="A1364" i="69"/>
  <c r="A1365" i="69"/>
  <c r="A1366" i="69"/>
  <c r="A1367" i="69"/>
  <c r="A1368" i="69"/>
  <c r="A1369" i="69"/>
  <c r="A1370" i="69"/>
  <c r="A1371" i="69"/>
  <c r="A1372" i="69"/>
  <c r="A1373" i="69"/>
  <c r="A1374" i="69"/>
  <c r="A1375" i="69"/>
  <c r="A1376" i="69"/>
  <c r="A1377" i="69"/>
  <c r="A1378" i="69"/>
  <c r="A1379" i="69"/>
  <c r="A1380" i="69"/>
  <c r="A1381" i="69"/>
  <c r="A1382" i="69"/>
  <c r="A1383" i="69"/>
  <c r="A1384" i="69"/>
  <c r="A1385" i="69"/>
  <c r="A1386" i="69"/>
  <c r="A1387" i="69"/>
  <c r="A1388" i="69"/>
  <c r="A1389" i="69"/>
  <c r="A1390" i="69"/>
  <c r="A1391" i="69"/>
  <c r="A1392" i="69"/>
  <c r="A1393" i="69"/>
  <c r="A1394" i="69"/>
  <c r="A1395" i="69"/>
  <c r="A1396" i="69"/>
  <c r="A1397" i="69"/>
  <c r="A1398" i="69"/>
  <c r="A1399" i="69"/>
  <c r="A1400" i="69"/>
  <c r="A1401" i="69"/>
  <c r="A1402" i="69"/>
  <c r="A1403" i="69"/>
  <c r="A1404" i="69"/>
  <c r="A1405" i="69"/>
  <c r="A1406" i="69"/>
  <c r="A1407" i="69"/>
  <c r="A1408" i="69"/>
  <c r="A1409" i="69"/>
  <c r="A1410" i="69"/>
  <c r="A1411" i="69"/>
  <c r="A1412" i="69"/>
  <c r="A1413" i="69"/>
  <c r="A1414" i="69"/>
  <c r="A1415" i="69"/>
  <c r="A1416" i="69"/>
  <c r="A1417" i="69"/>
  <c r="A1418" i="69"/>
  <c r="A1419" i="69"/>
  <c r="A1420" i="69"/>
  <c r="A1421" i="69"/>
  <c r="A1422" i="69"/>
  <c r="A1423" i="69"/>
  <c r="A1424" i="69"/>
  <c r="A1425" i="69"/>
  <c r="A1426" i="69"/>
  <c r="A1427" i="69"/>
  <c r="A1428" i="69"/>
  <c r="A1429" i="69"/>
  <c r="A1430" i="69"/>
  <c r="A1431" i="69"/>
  <c r="A1432" i="69"/>
  <c r="A1433" i="69"/>
  <c r="A1434" i="69"/>
  <c r="A1435" i="69"/>
  <c r="A1436" i="69"/>
  <c r="A1437" i="69"/>
  <c r="A1438" i="69"/>
  <c r="A1439" i="69"/>
  <c r="A1440" i="69"/>
  <c r="A1441" i="69"/>
  <c r="A1442" i="69"/>
  <c r="A1443" i="69"/>
  <c r="A1444" i="69"/>
  <c r="A1445" i="69"/>
  <c r="A1446" i="69"/>
  <c r="A1447" i="69"/>
  <c r="A1448" i="69"/>
  <c r="A1449" i="69"/>
  <c r="A1450" i="69"/>
  <c r="A1451" i="69"/>
  <c r="A1452" i="69"/>
  <c r="A1453" i="69"/>
  <c r="A1454" i="69"/>
  <c r="A1455" i="69"/>
  <c r="A1456" i="69"/>
  <c r="A1457" i="69"/>
  <c r="A1458" i="69"/>
  <c r="A1459" i="69"/>
  <c r="A1460" i="69"/>
  <c r="A1461" i="69"/>
  <c r="A1462" i="69"/>
  <c r="A1463" i="69"/>
  <c r="A1464" i="69"/>
  <c r="A1465" i="69"/>
  <c r="A1466" i="69"/>
  <c r="A1467" i="69"/>
  <c r="A1468" i="69"/>
  <c r="A1469" i="69"/>
  <c r="A1470" i="69"/>
  <c r="A1471" i="69"/>
  <c r="A1472" i="69"/>
  <c r="A1473" i="69"/>
  <c r="A1474" i="69"/>
  <c r="A1475" i="69"/>
  <c r="A1476" i="69"/>
  <c r="A1477" i="69"/>
  <c r="A1478" i="69"/>
  <c r="A1479" i="69"/>
  <c r="A1480" i="69"/>
  <c r="A1481" i="69"/>
  <c r="A1482" i="69"/>
  <c r="A1483" i="69"/>
  <c r="A1484" i="69"/>
  <c r="A1485" i="69"/>
  <c r="A1486" i="69"/>
  <c r="A1487" i="69"/>
  <c r="A1488" i="69"/>
  <c r="A1489" i="69"/>
  <c r="A1490" i="69"/>
  <c r="A1491" i="69"/>
  <c r="A1492" i="69"/>
  <c r="A1493" i="69"/>
  <c r="A1494" i="69"/>
  <c r="A1495" i="69"/>
  <c r="A1496" i="69"/>
  <c r="A1497" i="69"/>
  <c r="A1498" i="69"/>
  <c r="A1499" i="69"/>
  <c r="A1500" i="69"/>
  <c r="A1501" i="69"/>
  <c r="A1502" i="69"/>
  <c r="A1503" i="69"/>
  <c r="A1504" i="69"/>
  <c r="A1505" i="69"/>
  <c r="A1506" i="69"/>
  <c r="A1507" i="69"/>
  <c r="A1508" i="69"/>
  <c r="A1509" i="69"/>
  <c r="A1510" i="69"/>
  <c r="A1511" i="69"/>
  <c r="A1512" i="69"/>
  <c r="A1513" i="69"/>
  <c r="A1514" i="69"/>
  <c r="A1515" i="69"/>
  <c r="A1516" i="69"/>
  <c r="A1517" i="69"/>
  <c r="A1518" i="69"/>
  <c r="A1519" i="69"/>
  <c r="A1520" i="69"/>
  <c r="A1521" i="69"/>
  <c r="A1522" i="69"/>
  <c r="A1523" i="69"/>
  <c r="A1524" i="69"/>
  <c r="A1525" i="69"/>
  <c r="A1526" i="69"/>
  <c r="A1527" i="69"/>
  <c r="A1528" i="69"/>
  <c r="A1529" i="69"/>
  <c r="A1530" i="69"/>
  <c r="A1531" i="69"/>
  <c r="A1532" i="69"/>
  <c r="A1533" i="69"/>
  <c r="A1534" i="69"/>
  <c r="A1535" i="69"/>
  <c r="A1536" i="69"/>
  <c r="A1537" i="69"/>
  <c r="A1538" i="69"/>
  <c r="A1539" i="69"/>
  <c r="A1540" i="69"/>
  <c r="A1541" i="69"/>
  <c r="A1542" i="69"/>
  <c r="A1543" i="69"/>
  <c r="A1544" i="69"/>
  <c r="A1545" i="69"/>
  <c r="A1546" i="69"/>
  <c r="A1547" i="69"/>
  <c r="A1548" i="69"/>
  <c r="A1549" i="69"/>
  <c r="A1550" i="69"/>
  <c r="A1551" i="69"/>
  <c r="A1552" i="69"/>
  <c r="A1553" i="69"/>
  <c r="A1554" i="69"/>
  <c r="A1555" i="69"/>
  <c r="A1556" i="69"/>
  <c r="A1557" i="69"/>
  <c r="A1558" i="69"/>
  <c r="A1559" i="69"/>
  <c r="A1560" i="69"/>
  <c r="A1561" i="69"/>
  <c r="A1562" i="69"/>
  <c r="A1563" i="69"/>
  <c r="A1564" i="69"/>
  <c r="A1565" i="69"/>
  <c r="A1566" i="69"/>
  <c r="A1567" i="69"/>
  <c r="A1568" i="69"/>
  <c r="A1569" i="69"/>
  <c r="A1570" i="69"/>
  <c r="A1571" i="69"/>
  <c r="A1572" i="69"/>
  <c r="A1573" i="69"/>
  <c r="A1574" i="69"/>
  <c r="A1575" i="69"/>
  <c r="A1576" i="69"/>
  <c r="A1577" i="69"/>
  <c r="A1578" i="69"/>
  <c r="A1579" i="69"/>
  <c r="A1580" i="69"/>
  <c r="A1581" i="69"/>
  <c r="A1582" i="69"/>
  <c r="A1583" i="69"/>
  <c r="A1584" i="69"/>
  <c r="A1585" i="69"/>
  <c r="A1586" i="69"/>
  <c r="A1587" i="69"/>
  <c r="A1588" i="69"/>
  <c r="A1589" i="69"/>
  <c r="A1590" i="69"/>
  <c r="A1591" i="69"/>
  <c r="A1592" i="69"/>
  <c r="A1593" i="69"/>
  <c r="A1594" i="69"/>
  <c r="A1595" i="69"/>
  <c r="A1596" i="69"/>
  <c r="A1597" i="69"/>
  <c r="A1598" i="69"/>
  <c r="A1599" i="69"/>
  <c r="A1600" i="69"/>
  <c r="A1601" i="69"/>
  <c r="A1602" i="69"/>
  <c r="A1603" i="69"/>
  <c r="A1604" i="69"/>
  <c r="A1605" i="69"/>
  <c r="A1606" i="69"/>
  <c r="A1607" i="69"/>
  <c r="A1608" i="69"/>
  <c r="A1609" i="69"/>
  <c r="A1610" i="69"/>
  <c r="A1611" i="69"/>
  <c r="A1612" i="69"/>
  <c r="A1613" i="69"/>
  <c r="A1614" i="69"/>
  <c r="A1615" i="69"/>
  <c r="A1616" i="69"/>
  <c r="A1617" i="69"/>
  <c r="A1618" i="69"/>
  <c r="A1619" i="69"/>
  <c r="A1620" i="69"/>
  <c r="A1621" i="69"/>
  <c r="A1622" i="69"/>
  <c r="A1623" i="69"/>
  <c r="A1624" i="69"/>
  <c r="A1625" i="69"/>
  <c r="A1626" i="69"/>
  <c r="A1627" i="69"/>
  <c r="A1628" i="69"/>
  <c r="A1629" i="69"/>
  <c r="A1630" i="69"/>
  <c r="A1631" i="69"/>
  <c r="A1632" i="69"/>
  <c r="A1633" i="69"/>
  <c r="A1634" i="69"/>
  <c r="A1635" i="69"/>
  <c r="A1636" i="69"/>
  <c r="A1637" i="69"/>
  <c r="A1638" i="69"/>
  <c r="A1639" i="69"/>
  <c r="A1640" i="69"/>
  <c r="A1641" i="69"/>
  <c r="A1642" i="69"/>
  <c r="A1643" i="69"/>
  <c r="A1644" i="69"/>
  <c r="A1645" i="69"/>
  <c r="A1646" i="69"/>
  <c r="A1647" i="69"/>
  <c r="A1648" i="69"/>
  <c r="A1649" i="69"/>
  <c r="A1650" i="69"/>
  <c r="A1651" i="69"/>
  <c r="A1652" i="69"/>
  <c r="A1653" i="69"/>
  <c r="A1654" i="69"/>
  <c r="A1655" i="69"/>
  <c r="A1656" i="69"/>
  <c r="A1657" i="69"/>
  <c r="A1658" i="69"/>
  <c r="A1659" i="69"/>
  <c r="A1660" i="69"/>
  <c r="A1661" i="69"/>
  <c r="A1662" i="69"/>
  <c r="A1663" i="69"/>
  <c r="A1664" i="69"/>
  <c r="A1665" i="69"/>
  <c r="A1666" i="69"/>
  <c r="A1667" i="69"/>
  <c r="A1668" i="69"/>
  <c r="A1669" i="69"/>
  <c r="A1670" i="69"/>
  <c r="A1671" i="69"/>
  <c r="A1672" i="69"/>
  <c r="A1673" i="69"/>
  <c r="A1674" i="69"/>
  <c r="A1675" i="69"/>
  <c r="A1676" i="69"/>
  <c r="A1677" i="69"/>
  <c r="A1678" i="69"/>
  <c r="A1679" i="69"/>
  <c r="A1680" i="69"/>
  <c r="A1681" i="69"/>
  <c r="A1682" i="69"/>
  <c r="A1683" i="69"/>
  <c r="A1684" i="69"/>
  <c r="A1685" i="69"/>
  <c r="A1686" i="69"/>
  <c r="A1687" i="69"/>
  <c r="A1688" i="69"/>
  <c r="A1689" i="69"/>
  <c r="A1690" i="69"/>
  <c r="A1691" i="69"/>
  <c r="A1692" i="69"/>
  <c r="A1693" i="69"/>
  <c r="A1694" i="69"/>
  <c r="A1695" i="69"/>
  <c r="A1696" i="69"/>
  <c r="A1697" i="69"/>
  <c r="A1698" i="69"/>
  <c r="A1699" i="69"/>
  <c r="A1700" i="69"/>
  <c r="A1701" i="69"/>
  <c r="A1702" i="69"/>
  <c r="A1703" i="69"/>
  <c r="A1704" i="69"/>
  <c r="A1705" i="69"/>
  <c r="A1706" i="69"/>
  <c r="A1707" i="69"/>
  <c r="A1708" i="69"/>
  <c r="A1709" i="69"/>
  <c r="A1710" i="69"/>
  <c r="A1711" i="69"/>
  <c r="A1712" i="69"/>
  <c r="A1713" i="69"/>
  <c r="A1714" i="69"/>
  <c r="A1715" i="69"/>
  <c r="A1716" i="69"/>
  <c r="A1717" i="69"/>
  <c r="A1718" i="69"/>
  <c r="A1719" i="69"/>
  <c r="A1720" i="69"/>
  <c r="A1721" i="69"/>
  <c r="A1722" i="69"/>
  <c r="A1723" i="69"/>
  <c r="A1724" i="69"/>
  <c r="A1725" i="69"/>
  <c r="A1726" i="69"/>
  <c r="A1727" i="69"/>
  <c r="A1728" i="69"/>
  <c r="A1729" i="69"/>
  <c r="A1730" i="69"/>
  <c r="A1731" i="69"/>
  <c r="A1732" i="69"/>
  <c r="A1733" i="69"/>
  <c r="A1734" i="69"/>
  <c r="A1735" i="69"/>
  <c r="A1736" i="69"/>
  <c r="A1737" i="69"/>
  <c r="A1738" i="69"/>
  <c r="A1739" i="69"/>
  <c r="A1740" i="69"/>
  <c r="A1741" i="69"/>
  <c r="A1742" i="69"/>
  <c r="A1743" i="69"/>
  <c r="A1744" i="69"/>
  <c r="A1745" i="69"/>
  <c r="A1746" i="69"/>
  <c r="A1747" i="69"/>
  <c r="A1748" i="69"/>
  <c r="A1749" i="69"/>
  <c r="A1750" i="69"/>
  <c r="A1751" i="69"/>
  <c r="A1752" i="69"/>
  <c r="A1753" i="69"/>
  <c r="A1754" i="69"/>
  <c r="A1755" i="69"/>
  <c r="A1756" i="69"/>
  <c r="A1757" i="69"/>
  <c r="A1758" i="69"/>
  <c r="A1759" i="69"/>
  <c r="A1760" i="69"/>
  <c r="A1761" i="69"/>
  <c r="A1762" i="69"/>
  <c r="A1763" i="69"/>
  <c r="A1764" i="69"/>
  <c r="A1765" i="69"/>
  <c r="A1766" i="69"/>
  <c r="A1767" i="69"/>
  <c r="A1768" i="69"/>
  <c r="A1769" i="69"/>
  <c r="A1770" i="69"/>
  <c r="A1771" i="69"/>
  <c r="A1772" i="69"/>
  <c r="A1773" i="69"/>
  <c r="A1774" i="69"/>
  <c r="A1775" i="69"/>
  <c r="A1776" i="69"/>
  <c r="A1777" i="69"/>
  <c r="A1778" i="69"/>
  <c r="A1779" i="69"/>
  <c r="A1780" i="69"/>
  <c r="A1781" i="69"/>
  <c r="A1782" i="69"/>
  <c r="A1783" i="69"/>
  <c r="A1784" i="69"/>
  <c r="A1785" i="69"/>
  <c r="A1786" i="69"/>
  <c r="A1787" i="69"/>
  <c r="A1788" i="69"/>
  <c r="A1789" i="69"/>
  <c r="A1790" i="69"/>
  <c r="A1791" i="69"/>
  <c r="A1792" i="69"/>
  <c r="A1793" i="69"/>
  <c r="A1794" i="69"/>
  <c r="A1795" i="69"/>
  <c r="A1796" i="69"/>
  <c r="A1797" i="69"/>
  <c r="A1798" i="69"/>
  <c r="A1799" i="69"/>
  <c r="A1800" i="69"/>
  <c r="A1801" i="69"/>
  <c r="A1802" i="69"/>
  <c r="A1803" i="69"/>
  <c r="A1804" i="69"/>
  <c r="A1805" i="69"/>
  <c r="A1806" i="69"/>
  <c r="A1807" i="69"/>
  <c r="A1808" i="69"/>
  <c r="A1809" i="69"/>
  <c r="A1810" i="69"/>
  <c r="A1811" i="69"/>
  <c r="A1812" i="69"/>
  <c r="A1813" i="69"/>
  <c r="A1814" i="69"/>
  <c r="A1815" i="69"/>
  <c r="A1816" i="69"/>
  <c r="A1817" i="69"/>
  <c r="A1818" i="69"/>
  <c r="A1819" i="69"/>
  <c r="A1820" i="69"/>
  <c r="A1821" i="69"/>
  <c r="A1822" i="69"/>
  <c r="A1823" i="69"/>
  <c r="A1824" i="69"/>
  <c r="A1825" i="69"/>
  <c r="A1826" i="69"/>
  <c r="A1827" i="69"/>
  <c r="A1828" i="69"/>
  <c r="A1829" i="69"/>
  <c r="A1830" i="69"/>
  <c r="A1831" i="69"/>
  <c r="A1832" i="69"/>
  <c r="A1833" i="69"/>
  <c r="A1834" i="69"/>
  <c r="A1835" i="69"/>
  <c r="A1836" i="69"/>
  <c r="A1837" i="69"/>
  <c r="A1838" i="69"/>
  <c r="A1839" i="69"/>
  <c r="A1840" i="69"/>
  <c r="A1841" i="69"/>
  <c r="A1842" i="69"/>
  <c r="A1843" i="69"/>
  <c r="A1844" i="69"/>
  <c r="A1845" i="69"/>
  <c r="A1846" i="69"/>
  <c r="A1847" i="69"/>
  <c r="A1848" i="69"/>
  <c r="A1849" i="69"/>
  <c r="A1850" i="69"/>
  <c r="A1851" i="69"/>
  <c r="A1852" i="69"/>
  <c r="A1853" i="69"/>
  <c r="A1854" i="69"/>
  <c r="A1855" i="69"/>
  <c r="A1856" i="69"/>
  <c r="A1857" i="69"/>
  <c r="A1858" i="69"/>
  <c r="A1859" i="69"/>
  <c r="A1860" i="69"/>
  <c r="A1861" i="69"/>
  <c r="A1862" i="69"/>
  <c r="A1863" i="69"/>
  <c r="A1864" i="69"/>
  <c r="A1865" i="69"/>
  <c r="A1866" i="69"/>
  <c r="A1867" i="69"/>
  <c r="A1868" i="69"/>
  <c r="A1869" i="69"/>
  <c r="A1870" i="69"/>
  <c r="A1871" i="69"/>
  <c r="A1872" i="69"/>
  <c r="A1873" i="69"/>
  <c r="A1874" i="69"/>
  <c r="A1875" i="69"/>
  <c r="A1876" i="69"/>
  <c r="A1877" i="69"/>
  <c r="A1878" i="69"/>
  <c r="A1879" i="69"/>
  <c r="A1880" i="69"/>
  <c r="A1881" i="69"/>
  <c r="A1882" i="69"/>
  <c r="A1883" i="69"/>
  <c r="A1884" i="69"/>
  <c r="A1885" i="69"/>
  <c r="A1886" i="69"/>
  <c r="A1887" i="69"/>
  <c r="A1888" i="69"/>
  <c r="A1889" i="69"/>
  <c r="A1890" i="69"/>
  <c r="A1891" i="69"/>
  <c r="A1892" i="69"/>
  <c r="A1893" i="69"/>
  <c r="A1894" i="69"/>
  <c r="A1895" i="69"/>
  <c r="A1896" i="69"/>
  <c r="A1897" i="69"/>
  <c r="A1898" i="69"/>
  <c r="A1899" i="69"/>
  <c r="A1900" i="69"/>
  <c r="A1901" i="69"/>
  <c r="A1902" i="69"/>
  <c r="A1903" i="69"/>
  <c r="A1904" i="69"/>
  <c r="A1905" i="69"/>
  <c r="A1906" i="69"/>
  <c r="A1907" i="69"/>
  <c r="A1908" i="69"/>
  <c r="A1909" i="69"/>
  <c r="A1910" i="69"/>
  <c r="A1911" i="69"/>
  <c r="A1912" i="69"/>
  <c r="A1913" i="69"/>
  <c r="A1914" i="69"/>
  <c r="A1915" i="69"/>
  <c r="A1916" i="69"/>
  <c r="A1917" i="69"/>
  <c r="A1918" i="69"/>
  <c r="A1919" i="69"/>
  <c r="A1920" i="69"/>
  <c r="A1921" i="69"/>
  <c r="A1922" i="69"/>
  <c r="A1923" i="69"/>
  <c r="A1924" i="69"/>
  <c r="A1925" i="69"/>
  <c r="A1926" i="69"/>
  <c r="A1927" i="69"/>
  <c r="A1928" i="69"/>
  <c r="A1929" i="69"/>
  <c r="A1930" i="69"/>
  <c r="A1931" i="69"/>
  <c r="A1932" i="69"/>
  <c r="A1933" i="69"/>
  <c r="A1934" i="69"/>
  <c r="A1935" i="69"/>
  <c r="A1936" i="69"/>
  <c r="A1937" i="69"/>
  <c r="A1938" i="69"/>
  <c r="A1939" i="69"/>
  <c r="A1940" i="69"/>
  <c r="A1941" i="69"/>
  <c r="A1942" i="69"/>
  <c r="A1943" i="69"/>
  <c r="A1944" i="69"/>
  <c r="A1945" i="69"/>
  <c r="A1946" i="69"/>
  <c r="A1947" i="69"/>
  <c r="A1948" i="69"/>
  <c r="A1949" i="69"/>
  <c r="A1950" i="69"/>
  <c r="A1951" i="69"/>
  <c r="A1952" i="69"/>
  <c r="A1953" i="69"/>
  <c r="A1954" i="69"/>
  <c r="A1955" i="69"/>
  <c r="A1956" i="69"/>
  <c r="A1957" i="69"/>
  <c r="A1958" i="69"/>
  <c r="A1959" i="69"/>
  <c r="A1960" i="69"/>
  <c r="A1961" i="69"/>
  <c r="A1962" i="69"/>
  <c r="A1963" i="69"/>
  <c r="A1964" i="69"/>
  <c r="A1965" i="69"/>
  <c r="A1966" i="69"/>
  <c r="A1967" i="69"/>
  <c r="A1968" i="69"/>
  <c r="A1969" i="69"/>
  <c r="A1970" i="69"/>
  <c r="A1971" i="69"/>
  <c r="A1972" i="69"/>
  <c r="A1973" i="69"/>
  <c r="A1974" i="69"/>
  <c r="A1975" i="69"/>
  <c r="A1976" i="69"/>
  <c r="A1977" i="69"/>
  <c r="A1978" i="69"/>
  <c r="A1979" i="69"/>
  <c r="A1980" i="69"/>
  <c r="A1981" i="69"/>
  <c r="A1982" i="69"/>
  <c r="A1983" i="69"/>
  <c r="A1984" i="69"/>
  <c r="A1985" i="69"/>
  <c r="A1986" i="69"/>
  <c r="A1987" i="69"/>
  <c r="A1988" i="69"/>
  <c r="A1989" i="69"/>
  <c r="A1990" i="69"/>
  <c r="A1991" i="69"/>
  <c r="A1992" i="69"/>
  <c r="A1993" i="69"/>
  <c r="A1994" i="69"/>
  <c r="A1995" i="69"/>
  <c r="A1996" i="69"/>
  <c r="A1997" i="69"/>
  <c r="A1998" i="69"/>
  <c r="A1999" i="69"/>
  <c r="A2000" i="69"/>
  <c r="A2001" i="69"/>
  <c r="A2002" i="69"/>
  <c r="A2003" i="69"/>
  <c r="A2004" i="69"/>
  <c r="A2005" i="69"/>
  <c r="A2006" i="69"/>
  <c r="A2007" i="69"/>
  <c r="A2008" i="69"/>
  <c r="A2009" i="69"/>
  <c r="A2010" i="69"/>
  <c r="A2011" i="69"/>
  <c r="A2012" i="69"/>
  <c r="A2013" i="69"/>
  <c r="A2014" i="69"/>
  <c r="A2015" i="69"/>
  <c r="A2016" i="69"/>
  <c r="A2017" i="69"/>
  <c r="A2018" i="69"/>
  <c r="A2019" i="69"/>
  <c r="A2020" i="69"/>
  <c r="A2021" i="69"/>
  <c r="A2022" i="69"/>
  <c r="A2023" i="69"/>
  <c r="A2024" i="69"/>
  <c r="A2025" i="69"/>
  <c r="A2026" i="69"/>
  <c r="A2027" i="69"/>
  <c r="A2028" i="69"/>
  <c r="A2029" i="69"/>
  <c r="A2030" i="69"/>
  <c r="A2031" i="69"/>
  <c r="A2032" i="69"/>
  <c r="A2033" i="69"/>
  <c r="A2034" i="69"/>
  <c r="A2035" i="69"/>
  <c r="A2036" i="69"/>
  <c r="A2037" i="69"/>
  <c r="A2038" i="69"/>
  <c r="A2039" i="69"/>
  <c r="A2040" i="69"/>
  <c r="A2041" i="69"/>
  <c r="A2042" i="69"/>
  <c r="A2043" i="69"/>
  <c r="A2044" i="69"/>
  <c r="A2045" i="69"/>
  <c r="A2046" i="69"/>
  <c r="A2047" i="69"/>
  <c r="A2048" i="69"/>
  <c r="A2049" i="69"/>
  <c r="A2050" i="69"/>
  <c r="A2051" i="69"/>
  <c r="A2052" i="69"/>
  <c r="A2053" i="69"/>
  <c r="A2054" i="69"/>
  <c r="A2055" i="69"/>
  <c r="A2056" i="69"/>
  <c r="A2057" i="69"/>
  <c r="A2058" i="69"/>
  <c r="A2059" i="69"/>
  <c r="A2060" i="69"/>
  <c r="A2061" i="69"/>
  <c r="A2062" i="69"/>
  <c r="A2063" i="69"/>
  <c r="A2064" i="69"/>
  <c r="A2065" i="69"/>
  <c r="A2066" i="69"/>
  <c r="A2067" i="69"/>
  <c r="A2068" i="69"/>
  <c r="A2069" i="69"/>
  <c r="A2070" i="69"/>
  <c r="A2071" i="69"/>
  <c r="A2072" i="69"/>
  <c r="A2073" i="69"/>
  <c r="A2074" i="69"/>
  <c r="A2075" i="69"/>
  <c r="A2076" i="69"/>
  <c r="A2077" i="69"/>
  <c r="A2078" i="69"/>
  <c r="A2079" i="69"/>
  <c r="A2080" i="69"/>
  <c r="A2081" i="69"/>
  <c r="A2082" i="69"/>
  <c r="A2083" i="69"/>
  <c r="A2084" i="69"/>
  <c r="A2085" i="69"/>
  <c r="A2086" i="69"/>
  <c r="A2087" i="69"/>
  <c r="A2088" i="69"/>
  <c r="A2089" i="69"/>
  <c r="A2090" i="69"/>
  <c r="A2091" i="69"/>
  <c r="A2092" i="69"/>
  <c r="A2093" i="69"/>
  <c r="A2094" i="69"/>
  <c r="A2095" i="69"/>
  <c r="A2096" i="69"/>
  <c r="A2097" i="69"/>
  <c r="A2098" i="69"/>
  <c r="A2099" i="69"/>
  <c r="A2100" i="69"/>
  <c r="A2101" i="69"/>
  <c r="A2102" i="69"/>
  <c r="A2103" i="69"/>
  <c r="A2104" i="69"/>
  <c r="A2105" i="69"/>
  <c r="A2106" i="69"/>
  <c r="A2107" i="69"/>
  <c r="A2108" i="69"/>
  <c r="A2109" i="69"/>
  <c r="A2110" i="69"/>
  <c r="A2111" i="69"/>
  <c r="A2112" i="69"/>
  <c r="A2113" i="69"/>
  <c r="A2114" i="69"/>
  <c r="A2115" i="69"/>
  <c r="A2116" i="69"/>
  <c r="A2117" i="69"/>
  <c r="A2118" i="69"/>
  <c r="A2119" i="69"/>
  <c r="A2120" i="69"/>
  <c r="A2121" i="69"/>
  <c r="A2122" i="69"/>
  <c r="A2123" i="69"/>
  <c r="A2124" i="69"/>
  <c r="A2125" i="69"/>
  <c r="A2126" i="69"/>
  <c r="A2127" i="69"/>
  <c r="A2128" i="69"/>
  <c r="A2129" i="69"/>
  <c r="A2130" i="69"/>
  <c r="A2131" i="69"/>
  <c r="A2132" i="69"/>
  <c r="A2133" i="69"/>
  <c r="A2134" i="69"/>
  <c r="A2135" i="69"/>
  <c r="A2136" i="69"/>
  <c r="A2137" i="69"/>
  <c r="A2138" i="69"/>
  <c r="A2139" i="69"/>
  <c r="A2140" i="69"/>
  <c r="A2141" i="69"/>
  <c r="A2142" i="69"/>
  <c r="A2143" i="69"/>
  <c r="A2144" i="69"/>
  <c r="A2145" i="69"/>
  <c r="A2146" i="69"/>
  <c r="A2147" i="69"/>
  <c r="A2148" i="69"/>
  <c r="A2149" i="69"/>
  <c r="A2150" i="69"/>
  <c r="A2151" i="69"/>
  <c r="A2152" i="69"/>
  <c r="A2153" i="69"/>
  <c r="A2154" i="69"/>
  <c r="A2155" i="69"/>
  <c r="A2156" i="69"/>
  <c r="A2157" i="69"/>
  <c r="A2158" i="69"/>
  <c r="A2159" i="69"/>
  <c r="A2160" i="69"/>
  <c r="A2161" i="69"/>
  <c r="A2162" i="69"/>
  <c r="A2163" i="69"/>
  <c r="A2164" i="69"/>
  <c r="A2165" i="69"/>
  <c r="A2166" i="69"/>
  <c r="A2167" i="69"/>
  <c r="A2168" i="69"/>
  <c r="A2169" i="69"/>
  <c r="A2170" i="69"/>
  <c r="A2171" i="69"/>
  <c r="A2172" i="69"/>
  <c r="A2173" i="69"/>
  <c r="A2174" i="69"/>
  <c r="A2175" i="69"/>
  <c r="A2176" i="69"/>
  <c r="A2177" i="69"/>
  <c r="A2178" i="69"/>
  <c r="A2179" i="69"/>
  <c r="A2180" i="69"/>
  <c r="A2181" i="69"/>
  <c r="A2182" i="69"/>
  <c r="A2183" i="69"/>
  <c r="A2184" i="69"/>
  <c r="A2185" i="69"/>
  <c r="A2186" i="69"/>
  <c r="A2187" i="69"/>
  <c r="A2188" i="69"/>
  <c r="A2189" i="69"/>
  <c r="A2190" i="69"/>
  <c r="A2191" i="69"/>
  <c r="A2192" i="69"/>
  <c r="A2193" i="69"/>
  <c r="A2194" i="69"/>
  <c r="A2195" i="69"/>
  <c r="A2196" i="69"/>
  <c r="A2197" i="69"/>
  <c r="A2198" i="69"/>
  <c r="A2199" i="69"/>
  <c r="A2200" i="69"/>
  <c r="A2201" i="69"/>
  <c r="A2202" i="69"/>
  <c r="A2203" i="69"/>
  <c r="A2204" i="69"/>
  <c r="A2205" i="69"/>
  <c r="A2206" i="69"/>
  <c r="A2207" i="69"/>
  <c r="A2208" i="69"/>
  <c r="A2209" i="69"/>
  <c r="A2210" i="69"/>
  <c r="A2211" i="69"/>
  <c r="A2212" i="69"/>
  <c r="A2213" i="69"/>
  <c r="A2214" i="69"/>
  <c r="A2215" i="69"/>
  <c r="A2216" i="69"/>
  <c r="A2217" i="69"/>
  <c r="A2218" i="69"/>
  <c r="A2219" i="69"/>
  <c r="A2220" i="69"/>
  <c r="A2221" i="69"/>
  <c r="A2222" i="69"/>
  <c r="A2223" i="69"/>
  <c r="A2224" i="69"/>
  <c r="A2225" i="69"/>
  <c r="A2226" i="69"/>
  <c r="A2227" i="69"/>
  <c r="A2228" i="69"/>
  <c r="A2229" i="69"/>
  <c r="A2230" i="69"/>
  <c r="A2231" i="69"/>
  <c r="A2232" i="69"/>
  <c r="A2233" i="69"/>
  <c r="A2234" i="69"/>
  <c r="A2235" i="69"/>
  <c r="A2236" i="69"/>
  <c r="A2237" i="69"/>
  <c r="A2238" i="69"/>
  <c r="A2239" i="69"/>
  <c r="A2240" i="69"/>
  <c r="A2241" i="69"/>
  <c r="A2242" i="69"/>
  <c r="A2243" i="69"/>
  <c r="A2244" i="69"/>
  <c r="A2245" i="69"/>
  <c r="A2246" i="69"/>
  <c r="A2247" i="69"/>
  <c r="A2248" i="69"/>
  <c r="A2249" i="69"/>
  <c r="A2250" i="69"/>
  <c r="A2251" i="69"/>
  <c r="A2252" i="69"/>
  <c r="A2253" i="69"/>
  <c r="A2254" i="69"/>
  <c r="A2255" i="69"/>
  <c r="A2256" i="69"/>
  <c r="A2257" i="69"/>
  <c r="A2258" i="69"/>
  <c r="A2259" i="69"/>
  <c r="A2260" i="69"/>
  <c r="A2261" i="69"/>
  <c r="A2262" i="69"/>
  <c r="A2263" i="69"/>
  <c r="A2264" i="69"/>
  <c r="A2265" i="69"/>
  <c r="A2266" i="69"/>
  <c r="A2267" i="69"/>
  <c r="A2268" i="69"/>
  <c r="A2269" i="69"/>
  <c r="A2270" i="69"/>
  <c r="A2271" i="69"/>
  <c r="A2272" i="69"/>
  <c r="A2273" i="69"/>
  <c r="A2274" i="69"/>
  <c r="A2275" i="69"/>
  <c r="A2276" i="69"/>
  <c r="A2277" i="69"/>
  <c r="A2278" i="69"/>
  <c r="A2279" i="69"/>
  <c r="A2280" i="69"/>
  <c r="A2281" i="69"/>
  <c r="A2282" i="69"/>
  <c r="A2283" i="69"/>
  <c r="A2284" i="69"/>
  <c r="A2285" i="69"/>
  <c r="A2286" i="69"/>
  <c r="A2287" i="69"/>
  <c r="A2288" i="69"/>
  <c r="A2289" i="69"/>
  <c r="A2290" i="69"/>
  <c r="A2291" i="69"/>
  <c r="A2292" i="69"/>
  <c r="A2293" i="69"/>
  <c r="A2294" i="69"/>
  <c r="A2295" i="69"/>
  <c r="A2296" i="69"/>
  <c r="A2297" i="69"/>
  <c r="A2298" i="69"/>
  <c r="A2299" i="69"/>
  <c r="A2300" i="69"/>
  <c r="A2301" i="69"/>
  <c r="A2302" i="69"/>
  <c r="A2303" i="69"/>
  <c r="A2304" i="69"/>
  <c r="A2305" i="69"/>
  <c r="A2306" i="69"/>
  <c r="A2307" i="69"/>
  <c r="A2308" i="69"/>
  <c r="A2309" i="69"/>
  <c r="A2310" i="69"/>
  <c r="A2311" i="69"/>
  <c r="A2312" i="69"/>
  <c r="A2313" i="69"/>
  <c r="A2314" i="69"/>
  <c r="A2315" i="69"/>
  <c r="A2316" i="69"/>
  <c r="A2317" i="69"/>
  <c r="A2318" i="69"/>
  <c r="A2319" i="69"/>
  <c r="A2320" i="69"/>
  <c r="A2321" i="69"/>
  <c r="A2322" i="69"/>
  <c r="A2323" i="69"/>
  <c r="A2324" i="69"/>
  <c r="A2325" i="69"/>
  <c r="A2326" i="69"/>
  <c r="A2327" i="69"/>
  <c r="A2328" i="69"/>
  <c r="A2329" i="69"/>
  <c r="A2330" i="69"/>
  <c r="A2331" i="69"/>
  <c r="A2332" i="69"/>
  <c r="A2333" i="69"/>
  <c r="A2334" i="69"/>
  <c r="A2335" i="69"/>
  <c r="A2336" i="69"/>
  <c r="A2337" i="69"/>
  <c r="A2338" i="69"/>
  <c r="A2339" i="69"/>
  <c r="A2340" i="69"/>
  <c r="A2341" i="69"/>
  <c r="A2342" i="69"/>
  <c r="A2343" i="69"/>
  <c r="A2344" i="69"/>
  <c r="A2345" i="69"/>
  <c r="A2346" i="69"/>
  <c r="A2347" i="69"/>
  <c r="A2348" i="69"/>
  <c r="A2349" i="69"/>
  <c r="A2350" i="69"/>
  <c r="A2351" i="69"/>
  <c r="A2352" i="69"/>
  <c r="A2353" i="69"/>
  <c r="A2354" i="69"/>
  <c r="A2355" i="69"/>
  <c r="A2356" i="69"/>
  <c r="A2357" i="69"/>
  <c r="A2358" i="69"/>
  <c r="A2359" i="69"/>
  <c r="A2360" i="69"/>
  <c r="A2361" i="69"/>
  <c r="A2362" i="69"/>
  <c r="A2363" i="69"/>
  <c r="A2364" i="69"/>
  <c r="A2365" i="69"/>
  <c r="A2366" i="69"/>
  <c r="A2367" i="69"/>
  <c r="A2368" i="69"/>
  <c r="A2369" i="69"/>
  <c r="A2370" i="69"/>
  <c r="A2371" i="69"/>
  <c r="A2372" i="69"/>
  <c r="A2373" i="69"/>
  <c r="A2374" i="69"/>
  <c r="A2375" i="69"/>
  <c r="A2376" i="69"/>
  <c r="A2377" i="69"/>
  <c r="A2378" i="69"/>
  <c r="A2379" i="69"/>
  <c r="A2380" i="69"/>
  <c r="A2381" i="69"/>
  <c r="A2382" i="69"/>
  <c r="A2383" i="69"/>
  <c r="A2384" i="69"/>
  <c r="A2385" i="69"/>
  <c r="A2386" i="69"/>
  <c r="A2387" i="69"/>
  <c r="A2388" i="69"/>
  <c r="A2389" i="69"/>
  <c r="A2390" i="69"/>
  <c r="A2391" i="69"/>
  <c r="A2392" i="69"/>
  <c r="A2393" i="69"/>
  <c r="A2394" i="69"/>
  <c r="A2395" i="69"/>
  <c r="A2396" i="69"/>
  <c r="A2397" i="69"/>
  <c r="A2398" i="69"/>
  <c r="A2399" i="69"/>
  <c r="A2400" i="69"/>
  <c r="A2401" i="69"/>
  <c r="A2402" i="69"/>
  <c r="A2403" i="69"/>
  <c r="A2404" i="69"/>
  <c r="A2405" i="69"/>
  <c r="A2406" i="69"/>
  <c r="A2407" i="69"/>
  <c r="A2408" i="69"/>
  <c r="A2409" i="69"/>
  <c r="A2410" i="69"/>
  <c r="A2411" i="69"/>
  <c r="A2412" i="69"/>
  <c r="A2413" i="69"/>
  <c r="A2414" i="69"/>
  <c r="A2415" i="69"/>
  <c r="A2416" i="69"/>
  <c r="A2417" i="69"/>
  <c r="A2418" i="69"/>
  <c r="A2419" i="69"/>
  <c r="A2420" i="69"/>
  <c r="A2421" i="69"/>
  <c r="A2422" i="69"/>
  <c r="A2423" i="69"/>
  <c r="A2424" i="69"/>
  <c r="A2425" i="69"/>
  <c r="A2426" i="69"/>
  <c r="A2427" i="69"/>
  <c r="A2428" i="69"/>
  <c r="A2429" i="69"/>
  <c r="A2430" i="69"/>
  <c r="A2431" i="69"/>
  <c r="A2432" i="69"/>
  <c r="A2433" i="69"/>
  <c r="A2434" i="69"/>
  <c r="A2435" i="69"/>
  <c r="A2436" i="69"/>
  <c r="A2437" i="69"/>
  <c r="A2438" i="69"/>
  <c r="A2439" i="69"/>
  <c r="A2440" i="69"/>
  <c r="A2441" i="69"/>
  <c r="A2442" i="69"/>
  <c r="A2443" i="69"/>
  <c r="A2444" i="69"/>
  <c r="A2445" i="69"/>
  <c r="A2446" i="69"/>
  <c r="A2447" i="69"/>
  <c r="A2448" i="69"/>
  <c r="A2449" i="69"/>
  <c r="A2450" i="69"/>
  <c r="A2451" i="69"/>
  <c r="A2452" i="69"/>
  <c r="A2453" i="69"/>
  <c r="A2454" i="69"/>
  <c r="A2455" i="69"/>
  <c r="A2456" i="69"/>
  <c r="A2457" i="69"/>
  <c r="A2458" i="69"/>
  <c r="A2459" i="69"/>
  <c r="A2460" i="69"/>
  <c r="A2461" i="69"/>
  <c r="A2462" i="69"/>
  <c r="A2463" i="69"/>
  <c r="A2464" i="69"/>
  <c r="A2465" i="69"/>
  <c r="A2466" i="69"/>
  <c r="A2467" i="69"/>
  <c r="A2468" i="69"/>
  <c r="A2469" i="69"/>
  <c r="A2470" i="69"/>
  <c r="A2471" i="69"/>
  <c r="A2472" i="69"/>
  <c r="A2473" i="69"/>
  <c r="A2474" i="69"/>
  <c r="A2475" i="69"/>
  <c r="A2476" i="69"/>
  <c r="A2477" i="69"/>
  <c r="A2478" i="69"/>
  <c r="A2479" i="69"/>
  <c r="A2480" i="69"/>
  <c r="A2481" i="69"/>
  <c r="A2482" i="69"/>
  <c r="A2483" i="69"/>
  <c r="A2484" i="69"/>
  <c r="A2485" i="69"/>
  <c r="A2486" i="69"/>
  <c r="A2487" i="69"/>
  <c r="A2488" i="69"/>
  <c r="A2489" i="69"/>
  <c r="A2490" i="69"/>
  <c r="A2491" i="69"/>
  <c r="A2492" i="69"/>
  <c r="A2493" i="69"/>
  <c r="A2494" i="69"/>
  <c r="A2495" i="69"/>
  <c r="A2496" i="69"/>
  <c r="A2497" i="69"/>
  <c r="A2498" i="69"/>
  <c r="A2499" i="69"/>
  <c r="A2500" i="69"/>
  <c r="A2501" i="69"/>
  <c r="A2502" i="69"/>
  <c r="A2503" i="69"/>
  <c r="A2504" i="69"/>
  <c r="A2505" i="69"/>
  <c r="A2506" i="69"/>
  <c r="A2507" i="69"/>
  <c r="A2508" i="69"/>
  <c r="A2509" i="69"/>
  <c r="A2510" i="69"/>
  <c r="A2511" i="69"/>
  <c r="A2512" i="69"/>
  <c r="A2513" i="69"/>
  <c r="A2514" i="69"/>
  <c r="A2515" i="69"/>
  <c r="A2516" i="69"/>
  <c r="A2517" i="69"/>
  <c r="A2518" i="69"/>
  <c r="A2519" i="69"/>
  <c r="A2520" i="69"/>
  <c r="A2521" i="69"/>
  <c r="A2522" i="69"/>
  <c r="A2523" i="69"/>
  <c r="A2524" i="69"/>
  <c r="A2525" i="69"/>
  <c r="A2526" i="69"/>
  <c r="A2527" i="69"/>
  <c r="A2528" i="69"/>
  <c r="A2529" i="69"/>
  <c r="A2530" i="69"/>
  <c r="A2531" i="69"/>
  <c r="A2532" i="69"/>
  <c r="A2533" i="69"/>
  <c r="A2534" i="69"/>
  <c r="A2535" i="69"/>
  <c r="A2536" i="69"/>
  <c r="A2537" i="69"/>
  <c r="A2538" i="69"/>
  <c r="A2539" i="69"/>
  <c r="A2540" i="69"/>
  <c r="A2541" i="69"/>
  <c r="A2542" i="69"/>
  <c r="A2543" i="69"/>
  <c r="A2544" i="69"/>
  <c r="A2545" i="69"/>
  <c r="A2546" i="69"/>
  <c r="A2547" i="69"/>
  <c r="A2548" i="69"/>
  <c r="A2549" i="69"/>
  <c r="A2550" i="69"/>
  <c r="A2551" i="69"/>
  <c r="A2552" i="69"/>
  <c r="A2553" i="69"/>
  <c r="A2554" i="69"/>
  <c r="A2555" i="69"/>
  <c r="A2556" i="69"/>
  <c r="A2557" i="69"/>
  <c r="A2558" i="69"/>
  <c r="A2559" i="69"/>
  <c r="A2560" i="69"/>
  <c r="A2561" i="69"/>
  <c r="A2562" i="69"/>
  <c r="A2563" i="69"/>
  <c r="A2564" i="69"/>
  <c r="A2565" i="69"/>
  <c r="A2566" i="69"/>
  <c r="A2567" i="69"/>
  <c r="A2568" i="69"/>
  <c r="A2569" i="69"/>
  <c r="A2570" i="69"/>
  <c r="A2571" i="69"/>
  <c r="A2572" i="69"/>
  <c r="A2573" i="69"/>
  <c r="A2574" i="69"/>
  <c r="A2575" i="69"/>
  <c r="A2576" i="69"/>
  <c r="A2577" i="69"/>
  <c r="A2578" i="69"/>
  <c r="A2579" i="69"/>
  <c r="A2580" i="69"/>
  <c r="A2581" i="69"/>
  <c r="A2582" i="69"/>
  <c r="A2583" i="69"/>
  <c r="A2584" i="69"/>
  <c r="A2585" i="69"/>
  <c r="A2586" i="69"/>
  <c r="A2587" i="69"/>
  <c r="A2588" i="69"/>
  <c r="A2589" i="69"/>
  <c r="A2590" i="69"/>
  <c r="A2591" i="69"/>
  <c r="A2592" i="69"/>
  <c r="A2593" i="69"/>
  <c r="A2594" i="69"/>
  <c r="A2595" i="69"/>
  <c r="A2596" i="69"/>
  <c r="A2597" i="69"/>
  <c r="A2598" i="69"/>
  <c r="A2599" i="69"/>
  <c r="A2600" i="69"/>
  <c r="A2601" i="69"/>
  <c r="A2602" i="69"/>
  <c r="A2603" i="69"/>
  <c r="A2604" i="69"/>
  <c r="A2605" i="69"/>
  <c r="A2606" i="69"/>
  <c r="A2607" i="69"/>
  <c r="A2608" i="69"/>
  <c r="A2609" i="69"/>
  <c r="A2610" i="69"/>
  <c r="A2611" i="69"/>
  <c r="A2612" i="69"/>
  <c r="A2613" i="69"/>
  <c r="A2614" i="69"/>
  <c r="A2615" i="69"/>
  <c r="A2616" i="69"/>
  <c r="A2617" i="69"/>
  <c r="A2618" i="69"/>
  <c r="A2619" i="69"/>
  <c r="A2620" i="69"/>
  <c r="A2621" i="69"/>
  <c r="A2622" i="69"/>
  <c r="A2623" i="69"/>
  <c r="A2624" i="69"/>
  <c r="A2625" i="69"/>
  <c r="A2626" i="69"/>
  <c r="A2627" i="69"/>
  <c r="A2628" i="69"/>
  <c r="A2629" i="69"/>
  <c r="A2630" i="69"/>
  <c r="A2631" i="69"/>
  <c r="A2632" i="69"/>
  <c r="A2633" i="69"/>
  <c r="A2634" i="69"/>
  <c r="A2635" i="69"/>
  <c r="A2636" i="69"/>
  <c r="A2637" i="69"/>
  <c r="A2638" i="69"/>
  <c r="A2639" i="69"/>
  <c r="A2640" i="69"/>
  <c r="A2641" i="69"/>
  <c r="A2642" i="69"/>
  <c r="A2643" i="69"/>
  <c r="A2644" i="69"/>
  <c r="A2645" i="69"/>
  <c r="A2646" i="69"/>
  <c r="A2647" i="69"/>
  <c r="A2648" i="69"/>
  <c r="A2649" i="69"/>
  <c r="A2650" i="69"/>
  <c r="A2651" i="69"/>
  <c r="A2652" i="69"/>
  <c r="A2653" i="69"/>
  <c r="A2654" i="69"/>
  <c r="A2655" i="69"/>
  <c r="A2656" i="69"/>
  <c r="A2657" i="69"/>
  <c r="A2658" i="69"/>
  <c r="A2659" i="69"/>
  <c r="A2660" i="69"/>
  <c r="A2661" i="69"/>
  <c r="A2662" i="69"/>
  <c r="A2663" i="69"/>
  <c r="A2664" i="69"/>
  <c r="A2665" i="69"/>
  <c r="A2666" i="69"/>
  <c r="A2667" i="69"/>
  <c r="A2668" i="69"/>
  <c r="A2669" i="69"/>
  <c r="A2670" i="69"/>
  <c r="A2671" i="69"/>
  <c r="A2672" i="69"/>
  <c r="A2673" i="69"/>
  <c r="A2674" i="69"/>
  <c r="A2675" i="69"/>
  <c r="A2676" i="69"/>
  <c r="A2677" i="69"/>
  <c r="A2678" i="69"/>
  <c r="A2679" i="69"/>
  <c r="A2680" i="69"/>
  <c r="A2681" i="69"/>
  <c r="A2682" i="69"/>
  <c r="A2683" i="69"/>
  <c r="A2684" i="69"/>
  <c r="A2685" i="69"/>
  <c r="A2686" i="69"/>
  <c r="A2687" i="69"/>
  <c r="A2688" i="69"/>
  <c r="A2689" i="69"/>
  <c r="A2690" i="69"/>
  <c r="A2691" i="69"/>
  <c r="A2692" i="69"/>
  <c r="A2693" i="69"/>
  <c r="A2694" i="69"/>
  <c r="A2695" i="69"/>
  <c r="A2696" i="69"/>
  <c r="A2697" i="69"/>
  <c r="A2698" i="69"/>
  <c r="A2699" i="69"/>
  <c r="A2700" i="69"/>
  <c r="A2701" i="69"/>
  <c r="A2702" i="69"/>
  <c r="A2703" i="69"/>
  <c r="A2704" i="69"/>
  <c r="A2705" i="69"/>
  <c r="A2706" i="69"/>
  <c r="A2707" i="69"/>
  <c r="A2708" i="69"/>
  <c r="A2709" i="69"/>
  <c r="A2710" i="69"/>
  <c r="A2711" i="69"/>
  <c r="A2712" i="69"/>
  <c r="A2713" i="69"/>
  <c r="A2714" i="69"/>
  <c r="A2715" i="69"/>
  <c r="A2716" i="69"/>
  <c r="A2717" i="69"/>
  <c r="A2718" i="69"/>
  <c r="A2719" i="69"/>
  <c r="A2720" i="69"/>
  <c r="A2721" i="69"/>
  <c r="A2722" i="69"/>
  <c r="A2723" i="69"/>
  <c r="A2724" i="69"/>
  <c r="A2725" i="69"/>
  <c r="A2726" i="69"/>
  <c r="A2727" i="69"/>
  <c r="A2728" i="69"/>
  <c r="A2729" i="69"/>
  <c r="A2730" i="69"/>
  <c r="A2731" i="69"/>
  <c r="A2732" i="69"/>
  <c r="A2733" i="69"/>
  <c r="A2734" i="69"/>
  <c r="A2735" i="69"/>
  <c r="A2736" i="69"/>
  <c r="A2737" i="69"/>
  <c r="A2738" i="69"/>
  <c r="A2739" i="69"/>
  <c r="A2740" i="69"/>
  <c r="A2741" i="69"/>
  <c r="A2742" i="69"/>
  <c r="A2743" i="69"/>
  <c r="A2744" i="69"/>
  <c r="A2745" i="69"/>
  <c r="A2746" i="69"/>
  <c r="A2747" i="69"/>
  <c r="A2748" i="69"/>
  <c r="A2749" i="69"/>
  <c r="A2750" i="69"/>
  <c r="A2751" i="69"/>
  <c r="A2752" i="69"/>
  <c r="A2753" i="69"/>
  <c r="A2754" i="69"/>
  <c r="A2755" i="69"/>
  <c r="A2756" i="69"/>
  <c r="A2757" i="69"/>
  <c r="A2758" i="69"/>
  <c r="A2759" i="69"/>
  <c r="A2760" i="69"/>
  <c r="A2761" i="69"/>
  <c r="A2762" i="69"/>
  <c r="A2763" i="69"/>
  <c r="A2764" i="69"/>
  <c r="A2765" i="69"/>
  <c r="A2766" i="69"/>
  <c r="A2767" i="69"/>
  <c r="A2768" i="69"/>
  <c r="A2769" i="69"/>
  <c r="A2770" i="69"/>
  <c r="A2771" i="69"/>
  <c r="A2772" i="69"/>
  <c r="A2773" i="69"/>
  <c r="A2774" i="69"/>
  <c r="A2775" i="69"/>
  <c r="A2776" i="69"/>
  <c r="A2777" i="69"/>
  <c r="A2778" i="69"/>
  <c r="A2779" i="69"/>
  <c r="A2780" i="69"/>
  <c r="A2781" i="69"/>
  <c r="A2782" i="69"/>
  <c r="A2783" i="69"/>
  <c r="A2784" i="69"/>
  <c r="A2785" i="69"/>
  <c r="A2786" i="69"/>
  <c r="A2787" i="69"/>
  <c r="A2788" i="69"/>
  <c r="A2789" i="69"/>
  <c r="A2790" i="69"/>
  <c r="A2791" i="69"/>
  <c r="A2792" i="69"/>
  <c r="A2793" i="69"/>
  <c r="A2794" i="69"/>
  <c r="A2795" i="69"/>
  <c r="A2796" i="69"/>
  <c r="A2797" i="69"/>
  <c r="A2798" i="69"/>
  <c r="A2799" i="69"/>
  <c r="A2800" i="69"/>
  <c r="A2801" i="69"/>
  <c r="A2802" i="69"/>
  <c r="A2803" i="69"/>
  <c r="A2804" i="69"/>
  <c r="A2805" i="69"/>
  <c r="A2806" i="69"/>
  <c r="A2807" i="69"/>
  <c r="A2808" i="69"/>
  <c r="A2809" i="69"/>
  <c r="A2810" i="69"/>
  <c r="A2811" i="69"/>
  <c r="A2812" i="69"/>
  <c r="A2813" i="69"/>
  <c r="A2814" i="69"/>
  <c r="A2815" i="69"/>
  <c r="A2816" i="69"/>
  <c r="A2817" i="69"/>
  <c r="A2818" i="69"/>
  <c r="A2819" i="69"/>
  <c r="A2820" i="69"/>
  <c r="A2821" i="69"/>
  <c r="A2822" i="69"/>
  <c r="A2823" i="69"/>
  <c r="A2824" i="69"/>
  <c r="A2825" i="69"/>
  <c r="A2826" i="69"/>
  <c r="A2827" i="69"/>
  <c r="A2828" i="69"/>
  <c r="A2829" i="69"/>
  <c r="A2830" i="69"/>
  <c r="A2831" i="69"/>
  <c r="A2832" i="69"/>
  <c r="A2833" i="69"/>
  <c r="A2834" i="69"/>
  <c r="A2835" i="69"/>
  <c r="A2836" i="69"/>
  <c r="A2837" i="69"/>
  <c r="A2838" i="69"/>
  <c r="A2839" i="69"/>
  <c r="A2840" i="69"/>
  <c r="A2841" i="69"/>
  <c r="A2842" i="69"/>
  <c r="A2843" i="69"/>
  <c r="A2844" i="69"/>
  <c r="A2845" i="69"/>
  <c r="A2846" i="69"/>
  <c r="A2847" i="69"/>
  <c r="A2848" i="69"/>
  <c r="A2849" i="69"/>
  <c r="A2850" i="69"/>
  <c r="A2851" i="69"/>
  <c r="A2852" i="69"/>
  <c r="A2853" i="69"/>
  <c r="A2854" i="69"/>
  <c r="A2855" i="69"/>
  <c r="A2856" i="69"/>
  <c r="A2857" i="69"/>
  <c r="A2858" i="69"/>
  <c r="A2859" i="69"/>
  <c r="A2860" i="69"/>
  <c r="A2861" i="69"/>
  <c r="A2862" i="69"/>
  <c r="A2863" i="69"/>
  <c r="A2864" i="69"/>
  <c r="A2865" i="69"/>
  <c r="A2866" i="69"/>
  <c r="A2867" i="69"/>
  <c r="A2868" i="69"/>
  <c r="A2869" i="69"/>
  <c r="A2870" i="69"/>
  <c r="A2871" i="69"/>
  <c r="A2872" i="69"/>
  <c r="A2873" i="69"/>
  <c r="A2874" i="69"/>
  <c r="A2875" i="69"/>
  <c r="A2876" i="69"/>
  <c r="A2877" i="69"/>
  <c r="A2878" i="69"/>
  <c r="A2879" i="69"/>
  <c r="A2880" i="69"/>
  <c r="A2881" i="69"/>
  <c r="A2882" i="69"/>
  <c r="A2883" i="69"/>
  <c r="A2884" i="69"/>
  <c r="A2885" i="69"/>
  <c r="A2886" i="69"/>
  <c r="A2887" i="69"/>
  <c r="A2888" i="69"/>
  <c r="A2889" i="69"/>
  <c r="A2890" i="69"/>
  <c r="A2891" i="69"/>
  <c r="A2892" i="69"/>
  <c r="A2893" i="69"/>
  <c r="A2894" i="69"/>
  <c r="A2895" i="69"/>
  <c r="A2896" i="69"/>
  <c r="A2897" i="69"/>
  <c r="A2898" i="69"/>
  <c r="A2899" i="69"/>
  <c r="A2900" i="69"/>
  <c r="A2901" i="69"/>
  <c r="A2902" i="69"/>
  <c r="A2903" i="69"/>
  <c r="A2904" i="69"/>
  <c r="A2905" i="69"/>
  <c r="A2906" i="69"/>
  <c r="A2907" i="69"/>
  <c r="A2908" i="69"/>
  <c r="A2909" i="69"/>
  <c r="A2910" i="69"/>
  <c r="A2911" i="69"/>
  <c r="A2912" i="69"/>
  <c r="A2913" i="69"/>
  <c r="A2914" i="69"/>
  <c r="A2915" i="69"/>
  <c r="A2916" i="69"/>
  <c r="A2917" i="69"/>
  <c r="A2918" i="69"/>
  <c r="A2919" i="69"/>
  <c r="A2920" i="69"/>
  <c r="A2921" i="69"/>
  <c r="A2922" i="69"/>
  <c r="A2923" i="69"/>
  <c r="A2924" i="69"/>
  <c r="A2925" i="69"/>
  <c r="A2926" i="69"/>
  <c r="A2927" i="69"/>
  <c r="A2928" i="69"/>
  <c r="A2929" i="69"/>
  <c r="A2930" i="69"/>
  <c r="A2931" i="69"/>
  <c r="A2932" i="69"/>
  <c r="A2933" i="69"/>
  <c r="A2934" i="69"/>
  <c r="A2935" i="69"/>
  <c r="A2936" i="69"/>
  <c r="A2937" i="69"/>
  <c r="A2938" i="69"/>
  <c r="A2939" i="69"/>
  <c r="A2940" i="69"/>
  <c r="A2941" i="69"/>
  <c r="A2942" i="69"/>
  <c r="A2943" i="69"/>
  <c r="A2944" i="69"/>
  <c r="A2945" i="69"/>
  <c r="A2946" i="69"/>
  <c r="A2947" i="69"/>
  <c r="A2948" i="69"/>
  <c r="A2949" i="69"/>
  <c r="A2950" i="69"/>
  <c r="A2951" i="69"/>
  <c r="A2952" i="69"/>
  <c r="A2953" i="69"/>
  <c r="A2954" i="69"/>
  <c r="A2955" i="69"/>
  <c r="A2956" i="69"/>
  <c r="A2957" i="69"/>
  <c r="A2958" i="69"/>
  <c r="A2959" i="69"/>
  <c r="A2960" i="69"/>
  <c r="A2961" i="69"/>
  <c r="A2962" i="69"/>
  <c r="A2963" i="69"/>
  <c r="A2964" i="69"/>
  <c r="A2965" i="69"/>
  <c r="A2966" i="69"/>
  <c r="A2967" i="69"/>
  <c r="A2968" i="69"/>
  <c r="A2969" i="69"/>
  <c r="A2970" i="69"/>
  <c r="A2971" i="69"/>
  <c r="A2972" i="69"/>
  <c r="A2973" i="69"/>
  <c r="A2974" i="69"/>
  <c r="A2975" i="69"/>
  <c r="A2976" i="69"/>
  <c r="A2977" i="69"/>
  <c r="A2978" i="69"/>
  <c r="A2979" i="69"/>
  <c r="A2980" i="69"/>
  <c r="A2981" i="69"/>
  <c r="D3388" i="69"/>
  <c r="D3389" i="69"/>
  <c r="D3390" i="69"/>
  <c r="D3391" i="69"/>
  <c r="D3392" i="69"/>
  <c r="D3393" i="69"/>
  <c r="D3394" i="69"/>
  <c r="D3395" i="69"/>
  <c r="K27" i="84" l="1"/>
  <c r="V27" i="84"/>
  <c r="U27" i="84"/>
  <c r="T27" i="84"/>
  <c r="S27" i="84"/>
  <c r="R27" i="84"/>
  <c r="O27" i="84"/>
  <c r="Q27" i="84"/>
  <c r="P27" i="84"/>
  <c r="M27" i="84"/>
  <c r="N27" i="84"/>
  <c r="L27" i="84"/>
  <c r="U80" i="84"/>
  <c r="V80" i="84"/>
  <c r="V72" i="84"/>
  <c r="U72" i="84"/>
  <c r="U77" i="84"/>
  <c r="V77" i="84"/>
  <c r="U8" i="84"/>
  <c r="U68" i="84"/>
  <c r="V68" i="84"/>
  <c r="U14" i="84"/>
  <c r="U71" i="84"/>
  <c r="V71" i="84"/>
  <c r="U74" i="84"/>
  <c r="V74" i="84"/>
  <c r="U85" i="84"/>
  <c r="V85" i="84"/>
  <c r="U59" i="84"/>
  <c r="V59" i="84"/>
  <c r="U44" i="84"/>
  <c r="V44" i="84"/>
  <c r="U76" i="84"/>
  <c r="V76" i="84"/>
  <c r="U17" i="84"/>
  <c r="V17" i="84"/>
  <c r="U75" i="84"/>
  <c r="V75" i="84"/>
  <c r="U84" i="84"/>
  <c r="V84" i="84"/>
  <c r="U86" i="84"/>
  <c r="V86" i="84"/>
  <c r="U43" i="84"/>
  <c r="V43" i="84"/>
  <c r="U61" i="84"/>
  <c r="V61" i="84"/>
  <c r="U34" i="84"/>
  <c r="V34" i="84"/>
  <c r="U55" i="84"/>
  <c r="V55" i="84"/>
  <c r="U40" i="84"/>
  <c r="V40" i="84"/>
  <c r="V54" i="84"/>
  <c r="U54" i="84"/>
  <c r="U31" i="84"/>
  <c r="V31" i="84"/>
  <c r="V16" i="84"/>
  <c r="U16" i="84"/>
  <c r="V42" i="84"/>
  <c r="U42" i="84"/>
  <c r="V65" i="84"/>
  <c r="U65" i="84"/>
  <c r="U56" i="84"/>
  <c r="V56" i="84"/>
  <c r="U10" i="84"/>
  <c r="V58" i="84"/>
  <c r="U58" i="84"/>
  <c r="U70" i="84"/>
  <c r="V70" i="84"/>
  <c r="U39" i="84"/>
  <c r="V39" i="84"/>
  <c r="U41" i="84"/>
  <c r="V41" i="84"/>
  <c r="U73" i="84"/>
  <c r="V73" i="84"/>
  <c r="U11" i="84"/>
  <c r="U79" i="84"/>
  <c r="V79" i="84"/>
  <c r="U35" i="84"/>
  <c r="V35" i="84"/>
  <c r="U64" i="84"/>
  <c r="V64" i="84"/>
  <c r="V18" i="84"/>
  <c r="U18" i="84"/>
  <c r="U63" i="84"/>
  <c r="V63" i="84"/>
  <c r="U32" i="84"/>
  <c r="V32" i="84"/>
  <c r="U15" i="84"/>
  <c r="U83" i="84"/>
  <c r="V83" i="84"/>
  <c r="U69" i="84"/>
  <c r="V69" i="84"/>
  <c r="V60" i="84"/>
  <c r="U60" i="84"/>
  <c r="U45" i="84"/>
  <c r="V45" i="84"/>
  <c r="V21" i="84"/>
  <c r="U21" i="84"/>
  <c r="U38" i="84"/>
  <c r="V38" i="84"/>
  <c r="U62" i="84"/>
  <c r="V62" i="84"/>
  <c r="V9" i="84"/>
  <c r="U9" i="84"/>
  <c r="V53" i="84"/>
  <c r="U53" i="84"/>
  <c r="U57" i="84"/>
  <c r="V57" i="84"/>
  <c r="V20" i="84"/>
  <c r="V8" i="84"/>
  <c r="V14" i="84"/>
  <c r="V10" i="84"/>
  <c r="V11" i="84"/>
  <c r="V15" i="84"/>
  <c r="T15" i="84"/>
  <c r="N15" i="84"/>
  <c r="S15" i="84"/>
  <c r="Q15" i="84"/>
  <c r="R15" i="84"/>
  <c r="M15" i="84"/>
  <c r="P15" i="84"/>
  <c r="O15" i="84"/>
  <c r="L15" i="84"/>
  <c r="K15" i="84"/>
  <c r="J27" i="84" l="1"/>
  <c r="F27" i="84" s="1"/>
  <c r="I27" i="84"/>
  <c r="E27" i="84" s="1"/>
  <c r="I15" i="84"/>
  <c r="E15" i="84" s="1"/>
  <c r="J15" i="84"/>
  <c r="F15" i="84" s="1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2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F7" i="58"/>
  <c r="L6" i="58"/>
  <c r="F6" i="58"/>
  <c r="F5" i="58"/>
  <c r="F4" i="58"/>
  <c r="F3" i="58"/>
  <c r="F2" i="58"/>
  <c r="G30" i="57"/>
  <c r="E30" i="57"/>
  <c r="G29" i="57"/>
  <c r="E29" i="57"/>
  <c r="G28" i="57"/>
  <c r="E28" i="57"/>
  <c r="G27" i="57"/>
  <c r="E27" i="57"/>
  <c r="G26" i="57"/>
  <c r="E26" i="57"/>
  <c r="G25" i="57"/>
  <c r="E25" i="57"/>
  <c r="G24" i="57"/>
  <c r="E24" i="57"/>
  <c r="G23" i="57"/>
  <c r="E23" i="57"/>
  <c r="G22" i="57"/>
  <c r="E22" i="57"/>
  <c r="G21" i="57"/>
  <c r="E21" i="57"/>
  <c r="G20" i="57"/>
  <c r="E20" i="57"/>
  <c r="G19" i="57"/>
  <c r="E19" i="57"/>
  <c r="G18" i="57"/>
  <c r="E18" i="57"/>
  <c r="G17" i="57"/>
  <c r="E17" i="57"/>
  <c r="G16" i="57"/>
  <c r="E16" i="57"/>
  <c r="G15" i="57"/>
  <c r="E15" i="57"/>
  <c r="G14" i="57"/>
  <c r="E14" i="57"/>
  <c r="G13" i="57"/>
  <c r="E13" i="57"/>
  <c r="G12" i="57"/>
  <c r="E12" i="57"/>
  <c r="G11" i="57"/>
  <c r="E11" i="57"/>
  <c r="G10" i="57"/>
  <c r="E10" i="57"/>
  <c r="G9" i="57"/>
  <c r="E9" i="57"/>
  <c r="G8" i="57"/>
  <c r="E8" i="57"/>
  <c r="E1" i="57" s="1"/>
  <c r="G7" i="57"/>
  <c r="E7" i="57"/>
  <c r="G6" i="57"/>
  <c r="E6" i="57"/>
  <c r="G5" i="57"/>
  <c r="E5" i="57"/>
  <c r="G4" i="57"/>
  <c r="E4" i="57"/>
  <c r="D110" i="9"/>
  <c r="H110" i="9" s="1"/>
  <c r="D109" i="9"/>
  <c r="H109" i="9" s="1"/>
  <c r="D108" i="9"/>
  <c r="H108" i="9" s="1"/>
  <c r="D107" i="9"/>
  <c r="H107" i="9" s="1"/>
  <c r="D106" i="9"/>
  <c r="H106" i="9" s="1"/>
  <c r="D105" i="9"/>
  <c r="H105" i="9" s="1"/>
  <c r="D104" i="9"/>
  <c r="H104" i="9" s="1"/>
  <c r="D103" i="9"/>
  <c r="H103" i="9" s="1"/>
  <c r="D102" i="9"/>
  <c r="H102" i="9" s="1"/>
  <c r="D101" i="9"/>
  <c r="H101" i="9" s="1"/>
  <c r="D100" i="9"/>
  <c r="H100" i="9" s="1"/>
  <c r="D99" i="9"/>
  <c r="H99" i="9" s="1"/>
  <c r="D98" i="9"/>
  <c r="H98" i="9" s="1"/>
  <c r="D97" i="9"/>
  <c r="H97" i="9" s="1"/>
  <c r="D96" i="9"/>
  <c r="H96" i="9" s="1"/>
  <c r="D95" i="9"/>
  <c r="H95" i="9" s="1"/>
  <c r="D94" i="9"/>
  <c r="H94" i="9" s="1"/>
  <c r="H92" i="9"/>
  <c r="D92" i="9"/>
  <c r="H91" i="9"/>
  <c r="D91" i="9"/>
  <c r="H90" i="9"/>
  <c r="D90" i="9"/>
  <c r="H89" i="9"/>
  <c r="D89" i="9"/>
  <c r="H88" i="9"/>
  <c r="D88" i="9"/>
  <c r="H87" i="9"/>
  <c r="D87" i="9"/>
  <c r="H86" i="9"/>
  <c r="D86" i="9"/>
  <c r="H85" i="9"/>
  <c r="D85" i="9"/>
  <c r="H84" i="9"/>
  <c r="D84" i="9"/>
  <c r="H83" i="9"/>
  <c r="D83" i="9"/>
  <c r="H82" i="9"/>
  <c r="D82" i="9"/>
  <c r="H81" i="9"/>
  <c r="D81" i="9"/>
  <c r="D78" i="9"/>
  <c r="H78" i="9" s="1"/>
  <c r="D77" i="9"/>
  <c r="H77" i="9" s="1"/>
  <c r="D76" i="9"/>
  <c r="H76" i="9" s="1"/>
  <c r="D75" i="9"/>
  <c r="H75" i="9" s="1"/>
  <c r="D74" i="9"/>
  <c r="H74" i="9" s="1"/>
  <c r="D73" i="9"/>
  <c r="H73" i="9" s="1"/>
  <c r="D72" i="9"/>
  <c r="H72" i="9" s="1"/>
  <c r="D71" i="9"/>
  <c r="H71" i="9" s="1"/>
  <c r="D70" i="9"/>
  <c r="H70" i="9" s="1"/>
  <c r="D69" i="9"/>
  <c r="H69" i="9" s="1"/>
  <c r="D68" i="9"/>
  <c r="H68" i="9" s="1"/>
  <c r="D67" i="9"/>
  <c r="H67" i="9" s="1"/>
  <c r="D66" i="9"/>
  <c r="H66" i="9" s="1"/>
  <c r="D65" i="9"/>
  <c r="H65" i="9" s="1"/>
  <c r="D64" i="9"/>
  <c r="H64" i="9" s="1"/>
  <c r="M55" i="9"/>
  <c r="L55" i="9"/>
  <c r="D55" i="9"/>
  <c r="H55" i="9" s="1"/>
  <c r="L54" i="9"/>
  <c r="D54" i="9"/>
  <c r="H54" i="9" s="1"/>
  <c r="M53" i="9"/>
  <c r="L53" i="9"/>
  <c r="D53" i="9"/>
  <c r="H53" i="9" s="1"/>
  <c r="L52" i="9"/>
  <c r="D52" i="9"/>
  <c r="H52" i="9" s="1"/>
  <c r="M51" i="9"/>
  <c r="L51" i="9"/>
  <c r="D51" i="9"/>
  <c r="H51" i="9" s="1"/>
  <c r="M50" i="9"/>
  <c r="L50" i="9"/>
  <c r="D50" i="9"/>
  <c r="H50" i="9" s="1"/>
  <c r="M49" i="9"/>
  <c r="L49" i="9"/>
  <c r="D49" i="9"/>
  <c r="H49" i="9" s="1"/>
  <c r="M48" i="9"/>
  <c r="L48" i="9"/>
  <c r="D48" i="9"/>
  <c r="H48" i="9" s="1"/>
  <c r="L47" i="9"/>
  <c r="D47" i="9"/>
  <c r="H47" i="9" s="1"/>
  <c r="M46" i="9"/>
  <c r="L46" i="9"/>
  <c r="D46" i="9"/>
  <c r="H46" i="9" s="1"/>
  <c r="M45" i="9"/>
  <c r="L45" i="9"/>
  <c r="D45" i="9"/>
  <c r="H45" i="9" s="1"/>
  <c r="M44" i="9"/>
  <c r="L44" i="9"/>
  <c r="D44" i="9"/>
  <c r="H44" i="9" s="1"/>
  <c r="D43" i="9"/>
  <c r="H43" i="9" s="1"/>
  <c r="M42" i="9"/>
  <c r="L42" i="9"/>
  <c r="D42" i="9"/>
  <c r="H42" i="9" s="1"/>
  <c r="D41" i="9"/>
  <c r="H41" i="9" s="1"/>
  <c r="D39" i="9"/>
  <c r="H39" i="9" s="1"/>
  <c r="D38" i="9"/>
  <c r="H38" i="9" s="1"/>
  <c r="D37" i="9"/>
  <c r="H37" i="9" s="1"/>
  <c r="D36" i="9"/>
  <c r="H36" i="9" s="1"/>
  <c r="D35" i="9"/>
  <c r="H35" i="9" s="1"/>
  <c r="D34" i="9"/>
  <c r="H34" i="9" s="1"/>
  <c r="D33" i="9"/>
  <c r="H33" i="9" s="1"/>
  <c r="D32" i="9"/>
  <c r="H32" i="9" s="1"/>
  <c r="D31" i="9"/>
  <c r="H31" i="9" s="1"/>
  <c r="D30" i="9"/>
  <c r="H30" i="9" s="1"/>
  <c r="D29" i="9"/>
  <c r="H29" i="9" s="1"/>
  <c r="D28" i="9"/>
  <c r="H28" i="9" s="1"/>
  <c r="D27" i="9"/>
  <c r="H27" i="9" s="1"/>
  <c r="X26" i="9"/>
  <c r="T26" i="9" s="1"/>
  <c r="D26" i="9"/>
  <c r="H26" i="9" s="1"/>
  <c r="X25" i="9"/>
  <c r="U25" i="9" s="1"/>
  <c r="D25" i="9"/>
  <c r="H25" i="9" s="1"/>
  <c r="X24" i="9"/>
  <c r="U24" i="9" s="1"/>
  <c r="X23" i="9"/>
  <c r="U23" i="9" s="1"/>
  <c r="D23" i="9"/>
  <c r="H23" i="9" s="1"/>
  <c r="X22" i="9"/>
  <c r="U22" i="9" s="1"/>
  <c r="D22" i="9"/>
  <c r="H22" i="9" s="1"/>
  <c r="X21" i="9"/>
  <c r="T21" i="9" s="1"/>
  <c r="D21" i="9"/>
  <c r="H21" i="9" s="1"/>
  <c r="X20" i="9"/>
  <c r="U20" i="9" s="1"/>
  <c r="D20" i="9"/>
  <c r="H20" i="9" s="1"/>
  <c r="X19" i="9"/>
  <c r="U19" i="9" s="1"/>
  <c r="D19" i="9"/>
  <c r="H19" i="9" s="1"/>
  <c r="X18" i="9"/>
  <c r="T18" i="9" s="1"/>
  <c r="D18" i="9"/>
  <c r="H18" i="9" s="1"/>
  <c r="X17" i="9"/>
  <c r="T17" i="9" s="1"/>
  <c r="D17" i="9"/>
  <c r="H17" i="9" s="1"/>
  <c r="X16" i="9"/>
  <c r="T16" i="9" s="1"/>
  <c r="D16" i="9"/>
  <c r="H16" i="9" s="1"/>
  <c r="X15" i="9"/>
  <c r="T15" i="9" s="1"/>
  <c r="D15" i="9"/>
  <c r="H15" i="9" s="1"/>
  <c r="X14" i="9"/>
  <c r="U14" i="9" s="1"/>
  <c r="D14" i="9"/>
  <c r="H14" i="9" s="1"/>
  <c r="X13" i="9"/>
  <c r="U13" i="9" s="1"/>
  <c r="D13" i="9"/>
  <c r="H13" i="9" s="1"/>
  <c r="X12" i="9"/>
  <c r="T12" i="9" s="1"/>
  <c r="D12" i="9"/>
  <c r="H12" i="9" s="1"/>
  <c r="X11" i="9"/>
  <c r="U11" i="9" s="1"/>
  <c r="D11" i="9"/>
  <c r="H11" i="9" s="1"/>
  <c r="X10" i="9"/>
  <c r="U10" i="9" s="1"/>
  <c r="D10" i="9"/>
  <c r="H10" i="9" s="1"/>
  <c r="X9" i="9"/>
  <c r="T9" i="9" s="1"/>
  <c r="D9" i="9"/>
  <c r="H9" i="9" s="1"/>
  <c r="X8" i="9"/>
  <c r="U8" i="9" s="1"/>
  <c r="D8" i="9"/>
  <c r="H8" i="9" s="1"/>
  <c r="A3" i="9"/>
  <c r="H40" i="90"/>
  <c r="K40" i="90" s="1"/>
  <c r="H39" i="90"/>
  <c r="K39" i="90" s="1"/>
  <c r="H38" i="90"/>
  <c r="K38" i="90" s="1"/>
  <c r="H37" i="90"/>
  <c r="K37" i="90" s="1"/>
  <c r="H36" i="90"/>
  <c r="K36" i="90" s="1"/>
  <c r="H21" i="90"/>
  <c r="V1" i="88"/>
  <c r="U1" i="88"/>
  <c r="D1153" i="36"/>
  <c r="D1152" i="36"/>
  <c r="D1151" i="36"/>
  <c r="D1150" i="36"/>
  <c r="D1149" i="36"/>
  <c r="D1148" i="36"/>
  <c r="D1147" i="36"/>
  <c r="D1146" i="36"/>
  <c r="D1145" i="36"/>
  <c r="D1144" i="36"/>
  <c r="D1143" i="36"/>
  <c r="D1142" i="36"/>
  <c r="D1141" i="36"/>
  <c r="D1140" i="36"/>
  <c r="D1139" i="36"/>
  <c r="D1138" i="36"/>
  <c r="U1137" i="36"/>
  <c r="T1137" i="36"/>
  <c r="S1137" i="36"/>
  <c r="R1137" i="36"/>
  <c r="D1137" i="36"/>
  <c r="U1136" i="36"/>
  <c r="T1136" i="36"/>
  <c r="S1136" i="36"/>
  <c r="R1136" i="36"/>
  <c r="D1136" i="36"/>
  <c r="U1135" i="36"/>
  <c r="T1135" i="36"/>
  <c r="S1135" i="36"/>
  <c r="R1135" i="36"/>
  <c r="D1135" i="36"/>
  <c r="U1134" i="36"/>
  <c r="T1134" i="36"/>
  <c r="S1134" i="36"/>
  <c r="R1134" i="36"/>
  <c r="D1134" i="36"/>
  <c r="U1133" i="36"/>
  <c r="T1133" i="36"/>
  <c r="S1133" i="36"/>
  <c r="R1133" i="36"/>
  <c r="D1133" i="36"/>
  <c r="U1132" i="36"/>
  <c r="T1132" i="36"/>
  <c r="S1132" i="36"/>
  <c r="R1132" i="36"/>
  <c r="D1132" i="36"/>
  <c r="U1131" i="36"/>
  <c r="T1131" i="36"/>
  <c r="S1131" i="36"/>
  <c r="R1131" i="36"/>
  <c r="D1131" i="36"/>
  <c r="U1130" i="36"/>
  <c r="T1130" i="36"/>
  <c r="S1130" i="36"/>
  <c r="R1130" i="36"/>
  <c r="D1130" i="36"/>
  <c r="U1129" i="36"/>
  <c r="T1129" i="36"/>
  <c r="S1129" i="36"/>
  <c r="R1129" i="36"/>
  <c r="D1129" i="36"/>
  <c r="U1128" i="36"/>
  <c r="T1128" i="36"/>
  <c r="S1128" i="36"/>
  <c r="R1128" i="36"/>
  <c r="D1128" i="36"/>
  <c r="U1127" i="36"/>
  <c r="T1127" i="36"/>
  <c r="S1127" i="36"/>
  <c r="R1127" i="36"/>
  <c r="D1127" i="36"/>
  <c r="U1126" i="36"/>
  <c r="T1126" i="36"/>
  <c r="S1126" i="36"/>
  <c r="R1126" i="36"/>
  <c r="D1126" i="36"/>
  <c r="U1125" i="36"/>
  <c r="T1125" i="36"/>
  <c r="S1125" i="36"/>
  <c r="R1125" i="36"/>
  <c r="D1125" i="36"/>
  <c r="U1124" i="36"/>
  <c r="T1124" i="36"/>
  <c r="S1124" i="36"/>
  <c r="R1124" i="36"/>
  <c r="D1124" i="36"/>
  <c r="U1123" i="36"/>
  <c r="T1123" i="36"/>
  <c r="S1123" i="36"/>
  <c r="R1123" i="36"/>
  <c r="D1123" i="36"/>
  <c r="U1122" i="36"/>
  <c r="T1122" i="36"/>
  <c r="S1122" i="36"/>
  <c r="R1122" i="36"/>
  <c r="D1122" i="36"/>
  <c r="U1121" i="36"/>
  <c r="T1121" i="36"/>
  <c r="S1121" i="36"/>
  <c r="R1121" i="36"/>
  <c r="D1121" i="36"/>
  <c r="U1120" i="36"/>
  <c r="T1120" i="36"/>
  <c r="S1120" i="36"/>
  <c r="R1120" i="36"/>
  <c r="D1120" i="36"/>
  <c r="U1119" i="36"/>
  <c r="T1119" i="36"/>
  <c r="S1119" i="36"/>
  <c r="R1119" i="36"/>
  <c r="D1119" i="36"/>
  <c r="U1118" i="36"/>
  <c r="T1118" i="36"/>
  <c r="S1118" i="36"/>
  <c r="R1118" i="36"/>
  <c r="D1118" i="36"/>
  <c r="U1117" i="36"/>
  <c r="T1117" i="36"/>
  <c r="S1117" i="36"/>
  <c r="R1117" i="36"/>
  <c r="D1117" i="36"/>
  <c r="U1116" i="36"/>
  <c r="T1116" i="36"/>
  <c r="S1116" i="36"/>
  <c r="R1116" i="36"/>
  <c r="D1116" i="36"/>
  <c r="U1115" i="36"/>
  <c r="T1115" i="36"/>
  <c r="S1115" i="36"/>
  <c r="R1115" i="36"/>
  <c r="D1115" i="36"/>
  <c r="U1114" i="36"/>
  <c r="T1114" i="36"/>
  <c r="S1114" i="36"/>
  <c r="R1114" i="36"/>
  <c r="D1114" i="36"/>
  <c r="U1113" i="36"/>
  <c r="T1113" i="36"/>
  <c r="S1113" i="36"/>
  <c r="R1113" i="36"/>
  <c r="D1113" i="36"/>
  <c r="U1112" i="36"/>
  <c r="T1112" i="36"/>
  <c r="S1112" i="36"/>
  <c r="R1112" i="36"/>
  <c r="D1112" i="36"/>
  <c r="U1111" i="36"/>
  <c r="T1111" i="36"/>
  <c r="S1111" i="36"/>
  <c r="R1111" i="36"/>
  <c r="D1111" i="36"/>
  <c r="U1110" i="36"/>
  <c r="T1110" i="36"/>
  <c r="S1110" i="36"/>
  <c r="R1110" i="36"/>
  <c r="D1110" i="36"/>
  <c r="U1109" i="36"/>
  <c r="T1109" i="36"/>
  <c r="S1109" i="36"/>
  <c r="R1109" i="36"/>
  <c r="D1109" i="36"/>
  <c r="U1108" i="36"/>
  <c r="T1108" i="36"/>
  <c r="S1108" i="36"/>
  <c r="R1108" i="36"/>
  <c r="D1108" i="36"/>
  <c r="U1107" i="36"/>
  <c r="T1107" i="36"/>
  <c r="S1107" i="36"/>
  <c r="R1107" i="36"/>
  <c r="D1107" i="36"/>
  <c r="U1106" i="36"/>
  <c r="T1106" i="36"/>
  <c r="S1106" i="36"/>
  <c r="R1106" i="36"/>
  <c r="D1106" i="36"/>
  <c r="U1105" i="36"/>
  <c r="T1105" i="36"/>
  <c r="S1105" i="36"/>
  <c r="R1105" i="36"/>
  <c r="D1105" i="36"/>
  <c r="U1104" i="36"/>
  <c r="T1104" i="36"/>
  <c r="S1104" i="36"/>
  <c r="R1104" i="36"/>
  <c r="D1104" i="36"/>
  <c r="U1103" i="36"/>
  <c r="T1103" i="36"/>
  <c r="S1103" i="36"/>
  <c r="R1103" i="36"/>
  <c r="D1103" i="36"/>
  <c r="U1102" i="36"/>
  <c r="T1102" i="36"/>
  <c r="S1102" i="36"/>
  <c r="R1102" i="36"/>
  <c r="D1102" i="36"/>
  <c r="U1101" i="36"/>
  <c r="T1101" i="36"/>
  <c r="S1101" i="36"/>
  <c r="R1101" i="36"/>
  <c r="D1101" i="36"/>
  <c r="U1100" i="36"/>
  <c r="T1100" i="36"/>
  <c r="S1100" i="36"/>
  <c r="R1100" i="36"/>
  <c r="D1100" i="36"/>
  <c r="U1099" i="36"/>
  <c r="T1099" i="36"/>
  <c r="S1099" i="36"/>
  <c r="R1099" i="36"/>
  <c r="D1099" i="36"/>
  <c r="U1098" i="36"/>
  <c r="T1098" i="36"/>
  <c r="S1098" i="36"/>
  <c r="R1098" i="36"/>
  <c r="D1098" i="36"/>
  <c r="U1097" i="36"/>
  <c r="T1097" i="36"/>
  <c r="S1097" i="36"/>
  <c r="R1097" i="36"/>
  <c r="D1097" i="36"/>
  <c r="U1096" i="36"/>
  <c r="T1096" i="36"/>
  <c r="S1096" i="36"/>
  <c r="R1096" i="36"/>
  <c r="D1096" i="36"/>
  <c r="U1095" i="36"/>
  <c r="T1095" i="36"/>
  <c r="S1095" i="36"/>
  <c r="R1095" i="36"/>
  <c r="D1095" i="36"/>
  <c r="U1094" i="36"/>
  <c r="T1094" i="36"/>
  <c r="S1094" i="36"/>
  <c r="R1094" i="36"/>
  <c r="D1094" i="36"/>
  <c r="U1093" i="36"/>
  <c r="T1093" i="36"/>
  <c r="S1093" i="36"/>
  <c r="R1093" i="36"/>
  <c r="D1093" i="36"/>
  <c r="U1092" i="36"/>
  <c r="T1092" i="36"/>
  <c r="S1092" i="36"/>
  <c r="R1092" i="36"/>
  <c r="D1092" i="36"/>
  <c r="U1091" i="36"/>
  <c r="T1091" i="36"/>
  <c r="S1091" i="36"/>
  <c r="R1091" i="36"/>
  <c r="D1091" i="36"/>
  <c r="U1090" i="36"/>
  <c r="T1090" i="36"/>
  <c r="S1090" i="36"/>
  <c r="R1090" i="36"/>
  <c r="D1090" i="36"/>
  <c r="U1089" i="36"/>
  <c r="T1089" i="36"/>
  <c r="S1089" i="36"/>
  <c r="R1089" i="36"/>
  <c r="D1089" i="36"/>
  <c r="U1088" i="36"/>
  <c r="T1088" i="36"/>
  <c r="S1088" i="36"/>
  <c r="R1088" i="36"/>
  <c r="D1088" i="36"/>
  <c r="U1087" i="36"/>
  <c r="T1087" i="36"/>
  <c r="S1087" i="36"/>
  <c r="R1087" i="36"/>
  <c r="D1087" i="36"/>
  <c r="U1086" i="36"/>
  <c r="T1086" i="36"/>
  <c r="S1086" i="36"/>
  <c r="R1086" i="36"/>
  <c r="D1086" i="36"/>
  <c r="U1085" i="36"/>
  <c r="T1085" i="36"/>
  <c r="S1085" i="36"/>
  <c r="R1085" i="36"/>
  <c r="D1085" i="36"/>
  <c r="U1084" i="36"/>
  <c r="T1084" i="36"/>
  <c r="S1084" i="36"/>
  <c r="R1084" i="36"/>
  <c r="D1084" i="36"/>
  <c r="U1083" i="36"/>
  <c r="T1083" i="36"/>
  <c r="S1083" i="36"/>
  <c r="R1083" i="36"/>
  <c r="D1083" i="36"/>
  <c r="U1082" i="36"/>
  <c r="T1082" i="36"/>
  <c r="S1082" i="36"/>
  <c r="R1082" i="36"/>
  <c r="D1082" i="36"/>
  <c r="U1081" i="36"/>
  <c r="T1081" i="36"/>
  <c r="S1081" i="36"/>
  <c r="R1081" i="36"/>
  <c r="D1081" i="36"/>
  <c r="U1080" i="36"/>
  <c r="T1080" i="36"/>
  <c r="S1080" i="36"/>
  <c r="R1080" i="36"/>
  <c r="D1080" i="36"/>
  <c r="U1079" i="36"/>
  <c r="T1079" i="36"/>
  <c r="S1079" i="36"/>
  <c r="R1079" i="36"/>
  <c r="D1079" i="36"/>
  <c r="U1078" i="36"/>
  <c r="T1078" i="36"/>
  <c r="S1078" i="36"/>
  <c r="R1078" i="36"/>
  <c r="D1078" i="36"/>
  <c r="U1077" i="36"/>
  <c r="T1077" i="36"/>
  <c r="S1077" i="36"/>
  <c r="R1077" i="36"/>
  <c r="D1077" i="36"/>
  <c r="U1076" i="36"/>
  <c r="T1076" i="36"/>
  <c r="S1076" i="36"/>
  <c r="R1076" i="36"/>
  <c r="D1076" i="36"/>
  <c r="U1075" i="36"/>
  <c r="T1075" i="36"/>
  <c r="S1075" i="36"/>
  <c r="R1075" i="36"/>
  <c r="D1075" i="36"/>
  <c r="U1074" i="36"/>
  <c r="T1074" i="36"/>
  <c r="S1074" i="36"/>
  <c r="R1074" i="36"/>
  <c r="D1074" i="36"/>
  <c r="U1073" i="36"/>
  <c r="T1073" i="36"/>
  <c r="S1073" i="36"/>
  <c r="R1073" i="36"/>
  <c r="D1073" i="36"/>
  <c r="U1072" i="36"/>
  <c r="T1072" i="36"/>
  <c r="S1072" i="36"/>
  <c r="R1072" i="36"/>
  <c r="D1072" i="36"/>
  <c r="U1071" i="36"/>
  <c r="T1071" i="36"/>
  <c r="S1071" i="36"/>
  <c r="R1071" i="36"/>
  <c r="D1071" i="36"/>
  <c r="U1070" i="36"/>
  <c r="T1070" i="36"/>
  <c r="S1070" i="36"/>
  <c r="R1070" i="36"/>
  <c r="D1070" i="36"/>
  <c r="U1069" i="36"/>
  <c r="T1069" i="36"/>
  <c r="S1069" i="36"/>
  <c r="R1069" i="36"/>
  <c r="D1069" i="36"/>
  <c r="U1068" i="36"/>
  <c r="T1068" i="36"/>
  <c r="S1068" i="36"/>
  <c r="R1068" i="36"/>
  <c r="D1068" i="36"/>
  <c r="U1067" i="36"/>
  <c r="T1067" i="36"/>
  <c r="S1067" i="36"/>
  <c r="R1067" i="36"/>
  <c r="D1067" i="36"/>
  <c r="U1066" i="36"/>
  <c r="T1066" i="36"/>
  <c r="S1066" i="36"/>
  <c r="R1066" i="36"/>
  <c r="D1066" i="36"/>
  <c r="U1065" i="36"/>
  <c r="T1065" i="36"/>
  <c r="S1065" i="36"/>
  <c r="R1065" i="36"/>
  <c r="D1065" i="36"/>
  <c r="U1064" i="36"/>
  <c r="T1064" i="36"/>
  <c r="S1064" i="36"/>
  <c r="R1064" i="36"/>
  <c r="D1064" i="36"/>
  <c r="U1063" i="36"/>
  <c r="T1063" i="36"/>
  <c r="S1063" i="36"/>
  <c r="R1063" i="36"/>
  <c r="D1063" i="36"/>
  <c r="U1062" i="36"/>
  <c r="T1062" i="36"/>
  <c r="S1062" i="36"/>
  <c r="R1062" i="36"/>
  <c r="D1062" i="36"/>
  <c r="U1061" i="36"/>
  <c r="T1061" i="36"/>
  <c r="S1061" i="36"/>
  <c r="R1061" i="36"/>
  <c r="D1061" i="36"/>
  <c r="U1060" i="36"/>
  <c r="T1060" i="36"/>
  <c r="S1060" i="36"/>
  <c r="R1060" i="36"/>
  <c r="D1060" i="36"/>
  <c r="U1059" i="36"/>
  <c r="T1059" i="36"/>
  <c r="S1059" i="36"/>
  <c r="R1059" i="36"/>
  <c r="D1059" i="36"/>
  <c r="U1058" i="36"/>
  <c r="T1058" i="36"/>
  <c r="S1058" i="36"/>
  <c r="R1058" i="36"/>
  <c r="D1058" i="36"/>
  <c r="U1057" i="36"/>
  <c r="T1057" i="36"/>
  <c r="S1057" i="36"/>
  <c r="R1057" i="36"/>
  <c r="D1057" i="36"/>
  <c r="U1056" i="36"/>
  <c r="T1056" i="36"/>
  <c r="S1056" i="36"/>
  <c r="R1056" i="36"/>
  <c r="D1056" i="36"/>
  <c r="U1055" i="36"/>
  <c r="T1055" i="36"/>
  <c r="S1055" i="36"/>
  <c r="R1055" i="36"/>
  <c r="D1055" i="36"/>
  <c r="U1054" i="36"/>
  <c r="T1054" i="36"/>
  <c r="S1054" i="36"/>
  <c r="R1054" i="36"/>
  <c r="D1054" i="36"/>
  <c r="U1053" i="36"/>
  <c r="T1053" i="36"/>
  <c r="S1053" i="36"/>
  <c r="R1053" i="36"/>
  <c r="D1053" i="36"/>
  <c r="U1052" i="36"/>
  <c r="T1052" i="36"/>
  <c r="S1052" i="36"/>
  <c r="R1052" i="36"/>
  <c r="D1052" i="36"/>
  <c r="U1051" i="36"/>
  <c r="T1051" i="36"/>
  <c r="S1051" i="36"/>
  <c r="R1051" i="36"/>
  <c r="D1051" i="36"/>
  <c r="U1050" i="36"/>
  <c r="T1050" i="36"/>
  <c r="S1050" i="36"/>
  <c r="R1050" i="36"/>
  <c r="D1050" i="36"/>
  <c r="U1049" i="36"/>
  <c r="T1049" i="36"/>
  <c r="S1049" i="36"/>
  <c r="R1049" i="36"/>
  <c r="D1049" i="36"/>
  <c r="U1048" i="36"/>
  <c r="T1048" i="36"/>
  <c r="S1048" i="36"/>
  <c r="R1048" i="36"/>
  <c r="D1048" i="36"/>
  <c r="U1047" i="36"/>
  <c r="T1047" i="36"/>
  <c r="S1047" i="36"/>
  <c r="R1047" i="36"/>
  <c r="D1047" i="36"/>
  <c r="U1046" i="36"/>
  <c r="T1046" i="36"/>
  <c r="S1046" i="36"/>
  <c r="R1046" i="36"/>
  <c r="D1046" i="36"/>
  <c r="U1045" i="36"/>
  <c r="T1045" i="36"/>
  <c r="S1045" i="36"/>
  <c r="R1045" i="36"/>
  <c r="D1045" i="36"/>
  <c r="U1044" i="36"/>
  <c r="T1044" i="36"/>
  <c r="S1044" i="36"/>
  <c r="R1044" i="36"/>
  <c r="D1044" i="36"/>
  <c r="U1043" i="36"/>
  <c r="T1043" i="36"/>
  <c r="S1043" i="36"/>
  <c r="R1043" i="36"/>
  <c r="D1043" i="36"/>
  <c r="U1042" i="36"/>
  <c r="T1042" i="36"/>
  <c r="S1042" i="36"/>
  <c r="R1042" i="36"/>
  <c r="D1042" i="36"/>
  <c r="U1041" i="36"/>
  <c r="T1041" i="36"/>
  <c r="S1041" i="36"/>
  <c r="R1041" i="36"/>
  <c r="D1041" i="36"/>
  <c r="U1040" i="36"/>
  <c r="T1040" i="36"/>
  <c r="S1040" i="36"/>
  <c r="R1040" i="36"/>
  <c r="D1040" i="36"/>
  <c r="U1039" i="36"/>
  <c r="T1039" i="36"/>
  <c r="S1039" i="36"/>
  <c r="R1039" i="36"/>
  <c r="D1039" i="36"/>
  <c r="U1038" i="36"/>
  <c r="T1038" i="36"/>
  <c r="S1038" i="36"/>
  <c r="R1038" i="36"/>
  <c r="D1038" i="36"/>
  <c r="U1037" i="36"/>
  <c r="T1037" i="36"/>
  <c r="S1037" i="36"/>
  <c r="R1037" i="36"/>
  <c r="D1037" i="36"/>
  <c r="U1036" i="36"/>
  <c r="T1036" i="36"/>
  <c r="S1036" i="36"/>
  <c r="R1036" i="36"/>
  <c r="D1036" i="36"/>
  <c r="U1035" i="36"/>
  <c r="T1035" i="36"/>
  <c r="S1035" i="36"/>
  <c r="R1035" i="36"/>
  <c r="D1035" i="36"/>
  <c r="U1034" i="36"/>
  <c r="T1034" i="36"/>
  <c r="S1034" i="36"/>
  <c r="R1034" i="36"/>
  <c r="D1034" i="36"/>
  <c r="U1033" i="36"/>
  <c r="T1033" i="36"/>
  <c r="S1033" i="36"/>
  <c r="R1033" i="36"/>
  <c r="D1033" i="36"/>
  <c r="U1032" i="36"/>
  <c r="T1032" i="36"/>
  <c r="S1032" i="36"/>
  <c r="R1032" i="36"/>
  <c r="D1032" i="36"/>
  <c r="U1031" i="36"/>
  <c r="T1031" i="36"/>
  <c r="S1031" i="36"/>
  <c r="R1031" i="36"/>
  <c r="D1031" i="36"/>
  <c r="U1030" i="36"/>
  <c r="T1030" i="36"/>
  <c r="S1030" i="36"/>
  <c r="R1030" i="36"/>
  <c r="D1030" i="36"/>
  <c r="U1029" i="36"/>
  <c r="T1029" i="36"/>
  <c r="S1029" i="36"/>
  <c r="R1029" i="36"/>
  <c r="D1029" i="36"/>
  <c r="U1028" i="36"/>
  <c r="T1028" i="36"/>
  <c r="S1028" i="36"/>
  <c r="R1028" i="36"/>
  <c r="D1028" i="36"/>
  <c r="U1027" i="36"/>
  <c r="T1027" i="36"/>
  <c r="S1027" i="36"/>
  <c r="R1027" i="36"/>
  <c r="D1027" i="36"/>
  <c r="U1026" i="36"/>
  <c r="T1026" i="36"/>
  <c r="S1026" i="36"/>
  <c r="R1026" i="36"/>
  <c r="D1026" i="36"/>
  <c r="U1025" i="36"/>
  <c r="T1025" i="36"/>
  <c r="S1025" i="36"/>
  <c r="R1025" i="36"/>
  <c r="D1025" i="36"/>
  <c r="U1024" i="36"/>
  <c r="T1024" i="36"/>
  <c r="S1024" i="36"/>
  <c r="R1024" i="36"/>
  <c r="D1024" i="36"/>
  <c r="U1023" i="36"/>
  <c r="T1023" i="36"/>
  <c r="S1023" i="36"/>
  <c r="R1023" i="36"/>
  <c r="D1023" i="36"/>
  <c r="U1022" i="36"/>
  <c r="T1022" i="36"/>
  <c r="S1022" i="36"/>
  <c r="R1022" i="36"/>
  <c r="D1022" i="36"/>
  <c r="U1021" i="36"/>
  <c r="T1021" i="36"/>
  <c r="S1021" i="36"/>
  <c r="R1021" i="36"/>
  <c r="D1021" i="36"/>
  <c r="U1020" i="36"/>
  <c r="T1020" i="36"/>
  <c r="S1020" i="36"/>
  <c r="R1020" i="36"/>
  <c r="D1020" i="36"/>
  <c r="U1019" i="36"/>
  <c r="T1019" i="36"/>
  <c r="S1019" i="36"/>
  <c r="R1019" i="36"/>
  <c r="D1019" i="36"/>
  <c r="U1018" i="36"/>
  <c r="T1018" i="36"/>
  <c r="S1018" i="36"/>
  <c r="R1018" i="36"/>
  <c r="D1018" i="36"/>
  <c r="U1017" i="36"/>
  <c r="T1017" i="36"/>
  <c r="S1017" i="36"/>
  <c r="R1017" i="36"/>
  <c r="D1017" i="36"/>
  <c r="U1016" i="36"/>
  <c r="T1016" i="36"/>
  <c r="S1016" i="36"/>
  <c r="R1016" i="36"/>
  <c r="D1016" i="36"/>
  <c r="U1015" i="36"/>
  <c r="T1015" i="36"/>
  <c r="S1015" i="36"/>
  <c r="R1015" i="36"/>
  <c r="D1015" i="36"/>
  <c r="U1014" i="36"/>
  <c r="T1014" i="36"/>
  <c r="S1014" i="36"/>
  <c r="R1014" i="36"/>
  <c r="D1014" i="36"/>
  <c r="U1013" i="36"/>
  <c r="T1013" i="36"/>
  <c r="S1013" i="36"/>
  <c r="R1013" i="36"/>
  <c r="D1013" i="36"/>
  <c r="U1012" i="36"/>
  <c r="T1012" i="36"/>
  <c r="S1012" i="36"/>
  <c r="R1012" i="36"/>
  <c r="D1012" i="36"/>
  <c r="U1011" i="36"/>
  <c r="T1011" i="36"/>
  <c r="S1011" i="36"/>
  <c r="R1011" i="36"/>
  <c r="D1011" i="36"/>
  <c r="D1010" i="36"/>
  <c r="D1009" i="36"/>
  <c r="D1008" i="36"/>
  <c r="U1007" i="36"/>
  <c r="T1007" i="36"/>
  <c r="S1007" i="36"/>
  <c r="R1007" i="36"/>
  <c r="D1007" i="36"/>
  <c r="U1006" i="36"/>
  <c r="T1006" i="36"/>
  <c r="S1006" i="36"/>
  <c r="R1006" i="36"/>
  <c r="D1006" i="36"/>
  <c r="U1005" i="36"/>
  <c r="T1005" i="36"/>
  <c r="S1005" i="36"/>
  <c r="R1005" i="36"/>
  <c r="D1005" i="36"/>
  <c r="U1004" i="36"/>
  <c r="T1004" i="36"/>
  <c r="S1004" i="36"/>
  <c r="R1004" i="36"/>
  <c r="D1004" i="36"/>
  <c r="U1003" i="36"/>
  <c r="T1003" i="36"/>
  <c r="S1003" i="36"/>
  <c r="R1003" i="36"/>
  <c r="D1003" i="36"/>
  <c r="U1002" i="36"/>
  <c r="T1002" i="36"/>
  <c r="S1002" i="36"/>
  <c r="R1002" i="36"/>
  <c r="D1002" i="36"/>
  <c r="U1001" i="36"/>
  <c r="T1001" i="36"/>
  <c r="S1001" i="36"/>
  <c r="R1001" i="36"/>
  <c r="D1001" i="36"/>
  <c r="U1000" i="36"/>
  <c r="T1000" i="36"/>
  <c r="S1000" i="36"/>
  <c r="R1000" i="36"/>
  <c r="D1000" i="36"/>
  <c r="U999" i="36"/>
  <c r="T999" i="36"/>
  <c r="S999" i="36"/>
  <c r="R999" i="36"/>
  <c r="D999" i="36"/>
  <c r="U998" i="36"/>
  <c r="T998" i="36"/>
  <c r="S998" i="36"/>
  <c r="R998" i="36"/>
  <c r="D998" i="36"/>
  <c r="U997" i="36"/>
  <c r="T997" i="36"/>
  <c r="S997" i="36"/>
  <c r="R997" i="36"/>
  <c r="D997" i="36"/>
  <c r="U996" i="36"/>
  <c r="T996" i="36"/>
  <c r="S996" i="36"/>
  <c r="R996" i="36"/>
  <c r="D996" i="36"/>
  <c r="U995" i="36"/>
  <c r="T995" i="36"/>
  <c r="S995" i="36"/>
  <c r="R995" i="36"/>
  <c r="D995" i="36"/>
  <c r="U994" i="36"/>
  <c r="T994" i="36"/>
  <c r="S994" i="36"/>
  <c r="R994" i="36"/>
  <c r="D994" i="36"/>
  <c r="U993" i="36"/>
  <c r="T993" i="36"/>
  <c r="S993" i="36"/>
  <c r="R993" i="36"/>
  <c r="D993" i="36"/>
  <c r="U992" i="36"/>
  <c r="T992" i="36"/>
  <c r="S992" i="36"/>
  <c r="R992" i="36"/>
  <c r="D992" i="36"/>
  <c r="U991" i="36"/>
  <c r="T991" i="36"/>
  <c r="S991" i="36"/>
  <c r="R991" i="36"/>
  <c r="D991" i="36"/>
  <c r="U990" i="36"/>
  <c r="T990" i="36"/>
  <c r="S990" i="36"/>
  <c r="R990" i="36"/>
  <c r="D990" i="36"/>
  <c r="U989" i="36"/>
  <c r="T989" i="36"/>
  <c r="S989" i="36"/>
  <c r="R989" i="36"/>
  <c r="D989" i="36"/>
  <c r="U988" i="36"/>
  <c r="T988" i="36"/>
  <c r="S988" i="36"/>
  <c r="R988" i="36"/>
  <c r="D988" i="36"/>
  <c r="U987" i="36"/>
  <c r="T987" i="36"/>
  <c r="S987" i="36"/>
  <c r="R987" i="36"/>
  <c r="D987" i="36"/>
  <c r="U986" i="36"/>
  <c r="T986" i="36"/>
  <c r="S986" i="36"/>
  <c r="R986" i="36"/>
  <c r="D986" i="36"/>
  <c r="U985" i="36"/>
  <c r="T985" i="36"/>
  <c r="S985" i="36"/>
  <c r="R985" i="36"/>
  <c r="D985" i="36"/>
  <c r="U984" i="36"/>
  <c r="T984" i="36"/>
  <c r="S984" i="36"/>
  <c r="R984" i="36"/>
  <c r="D984" i="36"/>
  <c r="U983" i="36"/>
  <c r="T983" i="36"/>
  <c r="S983" i="36"/>
  <c r="R983" i="36"/>
  <c r="D983" i="36"/>
  <c r="U982" i="36"/>
  <c r="T982" i="36"/>
  <c r="S982" i="36"/>
  <c r="R982" i="36"/>
  <c r="D982" i="36"/>
  <c r="U981" i="36"/>
  <c r="T981" i="36"/>
  <c r="S981" i="36"/>
  <c r="R981" i="36"/>
  <c r="D981" i="36"/>
  <c r="U980" i="36"/>
  <c r="T980" i="36"/>
  <c r="S980" i="36"/>
  <c r="R980" i="36"/>
  <c r="D980" i="36"/>
  <c r="U979" i="36"/>
  <c r="T979" i="36"/>
  <c r="S979" i="36"/>
  <c r="R979" i="36"/>
  <c r="D979" i="36"/>
  <c r="U978" i="36"/>
  <c r="T978" i="36"/>
  <c r="S978" i="36"/>
  <c r="R978" i="36"/>
  <c r="D978" i="36"/>
  <c r="U977" i="36"/>
  <c r="T977" i="36"/>
  <c r="S977" i="36"/>
  <c r="R977" i="36"/>
  <c r="D977" i="36"/>
  <c r="U976" i="36"/>
  <c r="T976" i="36"/>
  <c r="S976" i="36"/>
  <c r="R976" i="36"/>
  <c r="D976" i="36"/>
  <c r="U975" i="36"/>
  <c r="T975" i="36"/>
  <c r="S975" i="36"/>
  <c r="R975" i="36"/>
  <c r="D975" i="36"/>
  <c r="U974" i="36"/>
  <c r="T974" i="36"/>
  <c r="S974" i="36"/>
  <c r="R974" i="36"/>
  <c r="D974" i="36"/>
  <c r="U973" i="36"/>
  <c r="T973" i="36"/>
  <c r="S973" i="36"/>
  <c r="R973" i="36"/>
  <c r="D973" i="36"/>
  <c r="U972" i="36"/>
  <c r="T972" i="36"/>
  <c r="S972" i="36"/>
  <c r="R972" i="36"/>
  <c r="D972" i="36"/>
  <c r="U971" i="36"/>
  <c r="T971" i="36"/>
  <c r="S971" i="36"/>
  <c r="R971" i="36"/>
  <c r="D971" i="36"/>
  <c r="U970" i="36"/>
  <c r="T970" i="36"/>
  <c r="S970" i="36"/>
  <c r="R970" i="36"/>
  <c r="D970" i="36"/>
  <c r="U969" i="36"/>
  <c r="T969" i="36"/>
  <c r="S969" i="36"/>
  <c r="R969" i="36"/>
  <c r="D969" i="36"/>
  <c r="U968" i="36"/>
  <c r="T968" i="36"/>
  <c r="S968" i="36"/>
  <c r="R968" i="36"/>
  <c r="D968" i="36"/>
  <c r="U967" i="36"/>
  <c r="T967" i="36"/>
  <c r="S967" i="36"/>
  <c r="R967" i="36"/>
  <c r="D967" i="36"/>
  <c r="U966" i="36"/>
  <c r="T966" i="36"/>
  <c r="S966" i="36"/>
  <c r="R966" i="36"/>
  <c r="D966" i="36"/>
  <c r="U965" i="36"/>
  <c r="T965" i="36"/>
  <c r="S965" i="36"/>
  <c r="R965" i="36"/>
  <c r="D965" i="36"/>
  <c r="U964" i="36"/>
  <c r="T964" i="36"/>
  <c r="S964" i="36"/>
  <c r="R964" i="36"/>
  <c r="D964" i="36"/>
  <c r="U963" i="36"/>
  <c r="T963" i="36"/>
  <c r="S963" i="36"/>
  <c r="R963" i="36"/>
  <c r="D963" i="36"/>
  <c r="U962" i="36"/>
  <c r="T962" i="36"/>
  <c r="S962" i="36"/>
  <c r="R962" i="36"/>
  <c r="D962" i="36"/>
  <c r="U961" i="36"/>
  <c r="T961" i="36"/>
  <c r="S961" i="36"/>
  <c r="R961" i="36"/>
  <c r="D961" i="36"/>
  <c r="U960" i="36"/>
  <c r="T960" i="36"/>
  <c r="S960" i="36"/>
  <c r="R960" i="36"/>
  <c r="D960" i="36"/>
  <c r="U959" i="36"/>
  <c r="T959" i="36"/>
  <c r="S959" i="36"/>
  <c r="R959" i="36"/>
  <c r="D959" i="36"/>
  <c r="U958" i="36"/>
  <c r="T958" i="36"/>
  <c r="S958" i="36"/>
  <c r="R958" i="36"/>
  <c r="D958" i="36"/>
  <c r="U957" i="36"/>
  <c r="T957" i="36"/>
  <c r="S957" i="36"/>
  <c r="R957" i="36"/>
  <c r="D957" i="36"/>
  <c r="U956" i="36"/>
  <c r="T956" i="36"/>
  <c r="S956" i="36"/>
  <c r="R956" i="36"/>
  <c r="D956" i="36"/>
  <c r="U955" i="36"/>
  <c r="T955" i="36"/>
  <c r="S955" i="36"/>
  <c r="R955" i="36"/>
  <c r="D955" i="36"/>
  <c r="U954" i="36"/>
  <c r="T954" i="36"/>
  <c r="S954" i="36"/>
  <c r="R954" i="36"/>
  <c r="D954" i="36"/>
  <c r="U953" i="36"/>
  <c r="T953" i="36"/>
  <c r="S953" i="36"/>
  <c r="R953" i="36"/>
  <c r="D953" i="36"/>
  <c r="U952" i="36"/>
  <c r="T952" i="36"/>
  <c r="S952" i="36"/>
  <c r="R952" i="36"/>
  <c r="D952" i="36"/>
  <c r="U951" i="36"/>
  <c r="T951" i="36"/>
  <c r="S951" i="36"/>
  <c r="R951" i="36"/>
  <c r="D951" i="36"/>
  <c r="U950" i="36"/>
  <c r="T950" i="36"/>
  <c r="S950" i="36"/>
  <c r="R950" i="36"/>
  <c r="D950" i="36"/>
  <c r="U949" i="36"/>
  <c r="T949" i="36"/>
  <c r="S949" i="36"/>
  <c r="R949" i="36"/>
  <c r="D949" i="36"/>
  <c r="U948" i="36"/>
  <c r="T948" i="36"/>
  <c r="S948" i="36"/>
  <c r="R948" i="36"/>
  <c r="D948" i="36"/>
  <c r="U947" i="36"/>
  <c r="T947" i="36"/>
  <c r="S947" i="36"/>
  <c r="R947" i="36"/>
  <c r="D947" i="36"/>
  <c r="U946" i="36"/>
  <c r="T946" i="36"/>
  <c r="S946" i="36"/>
  <c r="R946" i="36"/>
  <c r="D946" i="36"/>
  <c r="U945" i="36"/>
  <c r="T945" i="36"/>
  <c r="S945" i="36"/>
  <c r="R945" i="36"/>
  <c r="D945" i="36"/>
  <c r="U944" i="36"/>
  <c r="T944" i="36"/>
  <c r="S944" i="36"/>
  <c r="R944" i="36"/>
  <c r="D944" i="36"/>
  <c r="U943" i="36"/>
  <c r="T943" i="36"/>
  <c r="S943" i="36"/>
  <c r="R943" i="36"/>
  <c r="D943" i="36"/>
  <c r="U942" i="36"/>
  <c r="T942" i="36"/>
  <c r="S942" i="36"/>
  <c r="R942" i="36"/>
  <c r="D942" i="36"/>
  <c r="U941" i="36"/>
  <c r="T941" i="36"/>
  <c r="S941" i="36"/>
  <c r="R941" i="36"/>
  <c r="D941" i="36"/>
  <c r="U940" i="36"/>
  <c r="T940" i="36"/>
  <c r="S940" i="36"/>
  <c r="R940" i="36"/>
  <c r="D940" i="36"/>
  <c r="U939" i="36"/>
  <c r="T939" i="36"/>
  <c r="S939" i="36"/>
  <c r="R939" i="36"/>
  <c r="D939" i="36"/>
  <c r="U938" i="36"/>
  <c r="T938" i="36"/>
  <c r="S938" i="36"/>
  <c r="R938" i="36"/>
  <c r="D938" i="36"/>
  <c r="U937" i="36"/>
  <c r="T937" i="36"/>
  <c r="S937" i="36"/>
  <c r="R937" i="36"/>
  <c r="D937" i="36"/>
  <c r="U936" i="36"/>
  <c r="T936" i="36"/>
  <c r="S936" i="36"/>
  <c r="R936" i="36"/>
  <c r="D936" i="36"/>
  <c r="U935" i="36"/>
  <c r="T935" i="36"/>
  <c r="S935" i="36"/>
  <c r="R935" i="36"/>
  <c r="D935" i="36"/>
  <c r="U934" i="36"/>
  <c r="T934" i="36"/>
  <c r="S934" i="36"/>
  <c r="R934" i="36"/>
  <c r="D934" i="36"/>
  <c r="U933" i="36"/>
  <c r="T933" i="36"/>
  <c r="S933" i="36"/>
  <c r="R933" i="36"/>
  <c r="D933" i="36"/>
  <c r="U932" i="36"/>
  <c r="T932" i="36"/>
  <c r="S932" i="36"/>
  <c r="R932" i="36"/>
  <c r="D932" i="36"/>
  <c r="U931" i="36"/>
  <c r="T931" i="36"/>
  <c r="S931" i="36"/>
  <c r="R931" i="36"/>
  <c r="D931" i="36"/>
  <c r="U930" i="36"/>
  <c r="T930" i="36"/>
  <c r="S930" i="36"/>
  <c r="R930" i="36"/>
  <c r="D930" i="36"/>
  <c r="U929" i="36"/>
  <c r="T929" i="36"/>
  <c r="S929" i="36"/>
  <c r="R929" i="36"/>
  <c r="D929" i="36"/>
  <c r="U928" i="36"/>
  <c r="T928" i="36"/>
  <c r="S928" i="36"/>
  <c r="R928" i="36"/>
  <c r="D928" i="36"/>
  <c r="U927" i="36"/>
  <c r="T927" i="36"/>
  <c r="S927" i="36"/>
  <c r="R927" i="36"/>
  <c r="D927" i="36"/>
  <c r="U926" i="36"/>
  <c r="T926" i="36"/>
  <c r="S926" i="36"/>
  <c r="R926" i="36"/>
  <c r="D926" i="36"/>
  <c r="U925" i="36"/>
  <c r="T925" i="36"/>
  <c r="S925" i="36"/>
  <c r="R925" i="36"/>
  <c r="D925" i="36"/>
  <c r="U924" i="36"/>
  <c r="T924" i="36"/>
  <c r="S924" i="36"/>
  <c r="R924" i="36"/>
  <c r="D924" i="36"/>
  <c r="U923" i="36"/>
  <c r="T923" i="36"/>
  <c r="S923" i="36"/>
  <c r="R923" i="36"/>
  <c r="D923" i="36"/>
  <c r="U922" i="36"/>
  <c r="T922" i="36"/>
  <c r="S922" i="36"/>
  <c r="R922" i="36"/>
  <c r="D922" i="36"/>
  <c r="U921" i="36"/>
  <c r="T921" i="36"/>
  <c r="S921" i="36"/>
  <c r="R921" i="36"/>
  <c r="D921" i="36"/>
  <c r="U920" i="36"/>
  <c r="T920" i="36"/>
  <c r="S920" i="36"/>
  <c r="R920" i="36"/>
  <c r="D920" i="36"/>
  <c r="U919" i="36"/>
  <c r="T919" i="36"/>
  <c r="S919" i="36"/>
  <c r="R919" i="36"/>
  <c r="D919" i="36"/>
  <c r="U918" i="36"/>
  <c r="T918" i="36"/>
  <c r="S918" i="36"/>
  <c r="R918" i="36"/>
  <c r="D918" i="36"/>
  <c r="U917" i="36"/>
  <c r="T917" i="36"/>
  <c r="S917" i="36"/>
  <c r="R917" i="36"/>
  <c r="D917" i="36"/>
  <c r="U916" i="36"/>
  <c r="T916" i="36"/>
  <c r="S916" i="36"/>
  <c r="R916" i="36"/>
  <c r="D916" i="36"/>
  <c r="U915" i="36"/>
  <c r="T915" i="36"/>
  <c r="S915" i="36"/>
  <c r="R915" i="36"/>
  <c r="D915" i="36"/>
  <c r="U914" i="36"/>
  <c r="T914" i="36"/>
  <c r="S914" i="36"/>
  <c r="R914" i="36"/>
  <c r="D914" i="36"/>
  <c r="U913" i="36"/>
  <c r="T913" i="36"/>
  <c r="S913" i="36"/>
  <c r="R913" i="36"/>
  <c r="D913" i="36"/>
  <c r="U912" i="36"/>
  <c r="T912" i="36"/>
  <c r="S912" i="36"/>
  <c r="R912" i="36"/>
  <c r="D912" i="36"/>
  <c r="U911" i="36"/>
  <c r="T911" i="36"/>
  <c r="S911" i="36"/>
  <c r="R911" i="36"/>
  <c r="D911" i="36"/>
  <c r="U910" i="36"/>
  <c r="T910" i="36"/>
  <c r="S910" i="36"/>
  <c r="R910" i="36"/>
  <c r="D910" i="36"/>
  <c r="U909" i="36"/>
  <c r="T909" i="36"/>
  <c r="S909" i="36"/>
  <c r="R909" i="36"/>
  <c r="D909" i="36"/>
  <c r="U908" i="36"/>
  <c r="T908" i="36"/>
  <c r="S908" i="36"/>
  <c r="R908" i="36"/>
  <c r="D908" i="36"/>
  <c r="U907" i="36"/>
  <c r="T907" i="36"/>
  <c r="S907" i="36"/>
  <c r="R907" i="36"/>
  <c r="D907" i="36"/>
  <c r="U906" i="36"/>
  <c r="T906" i="36"/>
  <c r="S906" i="36"/>
  <c r="R906" i="36"/>
  <c r="D906" i="36"/>
  <c r="U905" i="36"/>
  <c r="T905" i="36"/>
  <c r="S905" i="36"/>
  <c r="R905" i="36"/>
  <c r="D905" i="36"/>
  <c r="U904" i="36"/>
  <c r="T904" i="36"/>
  <c r="S904" i="36"/>
  <c r="R904" i="36"/>
  <c r="D904" i="36"/>
  <c r="U903" i="36"/>
  <c r="T903" i="36"/>
  <c r="S903" i="36"/>
  <c r="R903" i="36"/>
  <c r="D903" i="36"/>
  <c r="U902" i="36"/>
  <c r="T902" i="36"/>
  <c r="S902" i="36"/>
  <c r="R902" i="36"/>
  <c r="D902" i="36"/>
  <c r="U901" i="36"/>
  <c r="T901" i="36"/>
  <c r="S901" i="36"/>
  <c r="R901" i="36"/>
  <c r="D901" i="36"/>
  <c r="U900" i="36"/>
  <c r="T900" i="36"/>
  <c r="S900" i="36"/>
  <c r="R900" i="36"/>
  <c r="D900" i="36"/>
  <c r="U899" i="36"/>
  <c r="T899" i="36"/>
  <c r="S899" i="36"/>
  <c r="R899" i="36"/>
  <c r="D899" i="36"/>
  <c r="U898" i="36"/>
  <c r="T898" i="36"/>
  <c r="S898" i="36"/>
  <c r="R898" i="36"/>
  <c r="D898" i="36"/>
  <c r="U897" i="36"/>
  <c r="T897" i="36"/>
  <c r="S897" i="36"/>
  <c r="R897" i="36"/>
  <c r="D897" i="36"/>
  <c r="U896" i="36"/>
  <c r="T896" i="36"/>
  <c r="S896" i="36"/>
  <c r="R896" i="36"/>
  <c r="D896" i="36"/>
  <c r="U895" i="36"/>
  <c r="T895" i="36"/>
  <c r="S895" i="36"/>
  <c r="R895" i="36"/>
  <c r="D895" i="36"/>
  <c r="U894" i="36"/>
  <c r="T894" i="36"/>
  <c r="S894" i="36"/>
  <c r="R894" i="36"/>
  <c r="D894" i="36"/>
  <c r="U893" i="36"/>
  <c r="T893" i="36"/>
  <c r="S893" i="36"/>
  <c r="R893" i="36"/>
  <c r="D893" i="36"/>
  <c r="U892" i="36"/>
  <c r="T892" i="36"/>
  <c r="S892" i="36"/>
  <c r="R892" i="36"/>
  <c r="D892" i="36"/>
  <c r="U891" i="36"/>
  <c r="T891" i="36"/>
  <c r="S891" i="36"/>
  <c r="R891" i="36"/>
  <c r="D891" i="36"/>
  <c r="U890" i="36"/>
  <c r="T890" i="36"/>
  <c r="S890" i="36"/>
  <c r="R890" i="36"/>
  <c r="D890" i="36"/>
  <c r="U889" i="36"/>
  <c r="T889" i="36"/>
  <c r="S889" i="36"/>
  <c r="R889" i="36"/>
  <c r="D889" i="36"/>
  <c r="U888" i="36"/>
  <c r="T888" i="36"/>
  <c r="S888" i="36"/>
  <c r="R888" i="36"/>
  <c r="D888" i="36"/>
  <c r="U887" i="36"/>
  <c r="T887" i="36"/>
  <c r="S887" i="36"/>
  <c r="R887" i="36"/>
  <c r="D887" i="36"/>
  <c r="U886" i="36"/>
  <c r="T886" i="36"/>
  <c r="S886" i="36"/>
  <c r="R886" i="36"/>
  <c r="D886" i="36"/>
  <c r="U885" i="36"/>
  <c r="T885" i="36"/>
  <c r="S885" i="36"/>
  <c r="R885" i="36"/>
  <c r="D885" i="36"/>
  <c r="U884" i="36"/>
  <c r="T884" i="36"/>
  <c r="S884" i="36"/>
  <c r="R884" i="36"/>
  <c r="D884" i="36"/>
  <c r="U883" i="36"/>
  <c r="T883" i="36"/>
  <c r="S883" i="36"/>
  <c r="R883" i="36"/>
  <c r="D883" i="36"/>
  <c r="U882" i="36"/>
  <c r="T882" i="36"/>
  <c r="S882" i="36"/>
  <c r="R882" i="36"/>
  <c r="D882" i="36"/>
  <c r="U881" i="36"/>
  <c r="T881" i="36"/>
  <c r="S881" i="36"/>
  <c r="R881" i="36"/>
  <c r="D881" i="36"/>
  <c r="U880" i="36"/>
  <c r="T880" i="36"/>
  <c r="S880" i="36"/>
  <c r="R880" i="36"/>
  <c r="D880" i="36"/>
  <c r="U879" i="36"/>
  <c r="T879" i="36"/>
  <c r="S879" i="36"/>
  <c r="R879" i="36"/>
  <c r="D879" i="36"/>
  <c r="U878" i="36"/>
  <c r="T878" i="36"/>
  <c r="S878" i="36"/>
  <c r="R878" i="36"/>
  <c r="D878" i="36"/>
  <c r="U877" i="36"/>
  <c r="T877" i="36"/>
  <c r="S877" i="36"/>
  <c r="R877" i="36"/>
  <c r="D877" i="36"/>
  <c r="U876" i="36"/>
  <c r="T876" i="36"/>
  <c r="S876" i="36"/>
  <c r="R876" i="36"/>
  <c r="D876" i="36"/>
  <c r="U875" i="36"/>
  <c r="T875" i="36"/>
  <c r="S875" i="36"/>
  <c r="R875" i="36"/>
  <c r="D875" i="36"/>
  <c r="U874" i="36"/>
  <c r="T874" i="36"/>
  <c r="S874" i="36"/>
  <c r="R874" i="36"/>
  <c r="D874" i="36"/>
  <c r="U873" i="36"/>
  <c r="T873" i="36"/>
  <c r="S873" i="36"/>
  <c r="R873" i="36"/>
  <c r="D873" i="36"/>
  <c r="U872" i="36"/>
  <c r="T872" i="36"/>
  <c r="S872" i="36"/>
  <c r="R872" i="36"/>
  <c r="D872" i="36"/>
  <c r="U871" i="36"/>
  <c r="T871" i="36"/>
  <c r="S871" i="36"/>
  <c r="R871" i="36"/>
  <c r="D871" i="36"/>
  <c r="U870" i="36"/>
  <c r="T870" i="36"/>
  <c r="S870" i="36"/>
  <c r="R870" i="36"/>
  <c r="D870" i="36"/>
  <c r="U869" i="36"/>
  <c r="T869" i="36"/>
  <c r="S869" i="36"/>
  <c r="R869" i="36"/>
  <c r="D869" i="36"/>
  <c r="U868" i="36"/>
  <c r="T868" i="36"/>
  <c r="S868" i="36"/>
  <c r="R868" i="36"/>
  <c r="D868" i="36"/>
  <c r="U867" i="36"/>
  <c r="T867" i="36"/>
  <c r="S867" i="36"/>
  <c r="R867" i="36"/>
  <c r="D867" i="36"/>
  <c r="U866" i="36"/>
  <c r="T866" i="36"/>
  <c r="S866" i="36"/>
  <c r="R866" i="36"/>
  <c r="D866" i="36"/>
  <c r="U865" i="36"/>
  <c r="T865" i="36"/>
  <c r="S865" i="36"/>
  <c r="R865" i="36"/>
  <c r="D865" i="36"/>
  <c r="U864" i="36"/>
  <c r="T864" i="36"/>
  <c r="S864" i="36"/>
  <c r="R864" i="36"/>
  <c r="D864" i="36"/>
  <c r="U863" i="36"/>
  <c r="T863" i="36"/>
  <c r="S863" i="36"/>
  <c r="R863" i="36"/>
  <c r="D863" i="36"/>
  <c r="U862" i="36"/>
  <c r="T862" i="36"/>
  <c r="S862" i="36"/>
  <c r="R862" i="36"/>
  <c r="D862" i="36"/>
  <c r="U861" i="36"/>
  <c r="T861" i="36"/>
  <c r="S861" i="36"/>
  <c r="R861" i="36"/>
  <c r="D861" i="36"/>
  <c r="U860" i="36"/>
  <c r="T860" i="36"/>
  <c r="S860" i="36"/>
  <c r="R860" i="36"/>
  <c r="D860" i="36"/>
  <c r="U859" i="36"/>
  <c r="T859" i="36"/>
  <c r="S859" i="36"/>
  <c r="R859" i="36"/>
  <c r="D859" i="36"/>
  <c r="U858" i="36"/>
  <c r="T858" i="36"/>
  <c r="S858" i="36"/>
  <c r="R858" i="36"/>
  <c r="D858" i="36"/>
  <c r="U857" i="36"/>
  <c r="T857" i="36"/>
  <c r="S857" i="36"/>
  <c r="R857" i="36"/>
  <c r="D857" i="36"/>
  <c r="U856" i="36"/>
  <c r="T856" i="36"/>
  <c r="S856" i="36"/>
  <c r="R856" i="36"/>
  <c r="D856" i="36"/>
  <c r="U855" i="36"/>
  <c r="T855" i="36"/>
  <c r="S855" i="36"/>
  <c r="R855" i="36"/>
  <c r="D855" i="36"/>
  <c r="U854" i="36"/>
  <c r="T854" i="36"/>
  <c r="S854" i="36"/>
  <c r="R854" i="36"/>
  <c r="D854" i="36"/>
  <c r="U853" i="36"/>
  <c r="T853" i="36"/>
  <c r="S853" i="36"/>
  <c r="R853" i="36"/>
  <c r="D853" i="36"/>
  <c r="U852" i="36"/>
  <c r="T852" i="36"/>
  <c r="S852" i="36"/>
  <c r="R852" i="36"/>
  <c r="D852" i="36"/>
  <c r="U851" i="36"/>
  <c r="T851" i="36"/>
  <c r="S851" i="36"/>
  <c r="R851" i="36"/>
  <c r="D851" i="36"/>
  <c r="U850" i="36"/>
  <c r="T850" i="36"/>
  <c r="S850" i="36"/>
  <c r="R850" i="36"/>
  <c r="D850" i="36"/>
  <c r="U849" i="36"/>
  <c r="T849" i="36"/>
  <c r="S849" i="36"/>
  <c r="R849" i="36"/>
  <c r="D849" i="36"/>
  <c r="U848" i="36"/>
  <c r="T848" i="36"/>
  <c r="S848" i="36"/>
  <c r="R848" i="36"/>
  <c r="D848" i="36"/>
  <c r="U847" i="36"/>
  <c r="T847" i="36"/>
  <c r="S847" i="36"/>
  <c r="R847" i="36"/>
  <c r="D847" i="36"/>
  <c r="U846" i="36"/>
  <c r="T846" i="36"/>
  <c r="S846" i="36"/>
  <c r="R846" i="36"/>
  <c r="D846" i="36"/>
  <c r="U845" i="36"/>
  <c r="T845" i="36"/>
  <c r="S845" i="36"/>
  <c r="R845" i="36"/>
  <c r="D845" i="36"/>
  <c r="U844" i="36"/>
  <c r="T844" i="36"/>
  <c r="S844" i="36"/>
  <c r="R844" i="36"/>
  <c r="D844" i="36"/>
  <c r="U843" i="36"/>
  <c r="T843" i="36"/>
  <c r="S843" i="36"/>
  <c r="R843" i="36"/>
  <c r="D843" i="36"/>
  <c r="U842" i="36"/>
  <c r="T842" i="36"/>
  <c r="S842" i="36"/>
  <c r="R842" i="36"/>
  <c r="D842" i="36"/>
  <c r="U841" i="36"/>
  <c r="T841" i="36"/>
  <c r="S841" i="36"/>
  <c r="R841" i="36"/>
  <c r="D841" i="36"/>
  <c r="U840" i="36"/>
  <c r="T840" i="36"/>
  <c r="S840" i="36"/>
  <c r="R840" i="36"/>
  <c r="D840" i="36"/>
  <c r="U839" i="36"/>
  <c r="T839" i="36"/>
  <c r="S839" i="36"/>
  <c r="R839" i="36"/>
  <c r="D839" i="36"/>
  <c r="U838" i="36"/>
  <c r="T838" i="36"/>
  <c r="S838" i="36"/>
  <c r="R838" i="36"/>
  <c r="D838" i="36"/>
  <c r="U837" i="36"/>
  <c r="T837" i="36"/>
  <c r="S837" i="36"/>
  <c r="R837" i="36"/>
  <c r="D837" i="36"/>
  <c r="U836" i="36"/>
  <c r="T836" i="36"/>
  <c r="S836" i="36"/>
  <c r="R836" i="36"/>
  <c r="D836" i="36"/>
  <c r="U835" i="36"/>
  <c r="T835" i="36"/>
  <c r="S835" i="36"/>
  <c r="R835" i="36"/>
  <c r="D835" i="36"/>
  <c r="U834" i="36"/>
  <c r="T834" i="36"/>
  <c r="S834" i="36"/>
  <c r="R834" i="36"/>
  <c r="D834" i="36"/>
  <c r="U833" i="36"/>
  <c r="T833" i="36"/>
  <c r="S833" i="36"/>
  <c r="R833" i="36"/>
  <c r="D833" i="36"/>
  <c r="U832" i="36"/>
  <c r="T832" i="36"/>
  <c r="S832" i="36"/>
  <c r="R832" i="36"/>
  <c r="D832" i="36"/>
  <c r="U831" i="36"/>
  <c r="T831" i="36"/>
  <c r="S831" i="36"/>
  <c r="R831" i="36"/>
  <c r="D831" i="36"/>
  <c r="U830" i="36"/>
  <c r="T830" i="36"/>
  <c r="S830" i="36"/>
  <c r="R830" i="36"/>
  <c r="D830" i="36"/>
  <c r="U829" i="36"/>
  <c r="T829" i="36"/>
  <c r="S829" i="36"/>
  <c r="R829" i="36"/>
  <c r="D829" i="36"/>
  <c r="U828" i="36"/>
  <c r="T828" i="36"/>
  <c r="S828" i="36"/>
  <c r="R828" i="36"/>
  <c r="D828" i="36"/>
  <c r="U827" i="36"/>
  <c r="T827" i="36"/>
  <c r="S827" i="36"/>
  <c r="R827" i="36"/>
  <c r="D827" i="36"/>
  <c r="U826" i="36"/>
  <c r="T826" i="36"/>
  <c r="S826" i="36"/>
  <c r="R826" i="36"/>
  <c r="D826" i="36"/>
  <c r="U825" i="36"/>
  <c r="T825" i="36"/>
  <c r="S825" i="36"/>
  <c r="R825" i="36"/>
  <c r="D825" i="36"/>
  <c r="U824" i="36"/>
  <c r="T824" i="36"/>
  <c r="S824" i="36"/>
  <c r="R824" i="36"/>
  <c r="D824" i="36"/>
  <c r="U823" i="36"/>
  <c r="T823" i="36"/>
  <c r="S823" i="36"/>
  <c r="R823" i="36"/>
  <c r="D823" i="36"/>
  <c r="U822" i="36"/>
  <c r="T822" i="36"/>
  <c r="S822" i="36"/>
  <c r="R822" i="36"/>
  <c r="D822" i="36"/>
  <c r="U821" i="36"/>
  <c r="T821" i="36"/>
  <c r="S821" i="36"/>
  <c r="R821" i="36"/>
  <c r="D821" i="36"/>
  <c r="U820" i="36"/>
  <c r="T820" i="36"/>
  <c r="S820" i="36"/>
  <c r="R820" i="36"/>
  <c r="D820" i="36"/>
  <c r="U819" i="36"/>
  <c r="T819" i="36"/>
  <c r="S819" i="36"/>
  <c r="R819" i="36"/>
  <c r="D819" i="36"/>
  <c r="U818" i="36"/>
  <c r="T818" i="36"/>
  <c r="S818" i="36"/>
  <c r="R818" i="36"/>
  <c r="D818" i="36"/>
  <c r="U817" i="36"/>
  <c r="T817" i="36"/>
  <c r="S817" i="36"/>
  <c r="R817" i="36"/>
  <c r="D817" i="36"/>
  <c r="U816" i="36"/>
  <c r="T816" i="36"/>
  <c r="S816" i="36"/>
  <c r="R816" i="36"/>
  <c r="D816" i="36"/>
  <c r="U815" i="36"/>
  <c r="T815" i="36"/>
  <c r="S815" i="36"/>
  <c r="R815" i="36"/>
  <c r="D815" i="36"/>
  <c r="U814" i="36"/>
  <c r="T814" i="36"/>
  <c r="S814" i="36"/>
  <c r="R814" i="36"/>
  <c r="D814" i="36"/>
  <c r="U813" i="36"/>
  <c r="T813" i="36"/>
  <c r="S813" i="36"/>
  <c r="R813" i="36"/>
  <c r="D813" i="36"/>
  <c r="U812" i="36"/>
  <c r="T812" i="36"/>
  <c r="S812" i="36"/>
  <c r="R812" i="36"/>
  <c r="D812" i="36"/>
  <c r="U811" i="36"/>
  <c r="T811" i="36"/>
  <c r="S811" i="36"/>
  <c r="R811" i="36"/>
  <c r="D811" i="36"/>
  <c r="U810" i="36"/>
  <c r="T810" i="36"/>
  <c r="S810" i="36"/>
  <c r="R810" i="36"/>
  <c r="D810" i="36"/>
  <c r="U809" i="36"/>
  <c r="T809" i="36"/>
  <c r="S809" i="36"/>
  <c r="R809" i="36"/>
  <c r="D809" i="36"/>
  <c r="U808" i="36"/>
  <c r="T808" i="36"/>
  <c r="S808" i="36"/>
  <c r="R808" i="36"/>
  <c r="D808" i="36"/>
  <c r="U807" i="36"/>
  <c r="T807" i="36"/>
  <c r="S807" i="36"/>
  <c r="R807" i="36"/>
  <c r="D807" i="36"/>
  <c r="U806" i="36"/>
  <c r="T806" i="36"/>
  <c r="S806" i="36"/>
  <c r="R806" i="36"/>
  <c r="D806" i="36"/>
  <c r="U805" i="36"/>
  <c r="T805" i="36"/>
  <c r="S805" i="36"/>
  <c r="R805" i="36"/>
  <c r="D805" i="36"/>
  <c r="U804" i="36"/>
  <c r="T804" i="36"/>
  <c r="S804" i="36"/>
  <c r="R804" i="36"/>
  <c r="D804" i="36"/>
  <c r="U803" i="36"/>
  <c r="T803" i="36"/>
  <c r="S803" i="36"/>
  <c r="R803" i="36"/>
  <c r="D803" i="36"/>
  <c r="U802" i="36"/>
  <c r="T802" i="36"/>
  <c r="S802" i="36"/>
  <c r="R802" i="36"/>
  <c r="D802" i="36"/>
  <c r="U801" i="36"/>
  <c r="T801" i="36"/>
  <c r="S801" i="36"/>
  <c r="R801" i="36"/>
  <c r="D801" i="36"/>
  <c r="U800" i="36"/>
  <c r="T800" i="36"/>
  <c r="S800" i="36"/>
  <c r="R800" i="36"/>
  <c r="D800" i="36"/>
  <c r="U799" i="36"/>
  <c r="T799" i="36"/>
  <c r="S799" i="36"/>
  <c r="R799" i="36"/>
  <c r="D799" i="36"/>
  <c r="U798" i="36"/>
  <c r="T798" i="36"/>
  <c r="S798" i="36"/>
  <c r="R798" i="36"/>
  <c r="D798" i="36"/>
  <c r="U797" i="36"/>
  <c r="T797" i="36"/>
  <c r="S797" i="36"/>
  <c r="R797" i="36"/>
  <c r="D797" i="36"/>
  <c r="U796" i="36"/>
  <c r="T796" i="36"/>
  <c r="S796" i="36"/>
  <c r="R796" i="36"/>
  <c r="D796" i="36"/>
  <c r="U795" i="36"/>
  <c r="T795" i="36"/>
  <c r="S795" i="36"/>
  <c r="R795" i="36"/>
  <c r="D795" i="36"/>
  <c r="U794" i="36"/>
  <c r="T794" i="36"/>
  <c r="S794" i="36"/>
  <c r="R794" i="36"/>
  <c r="D794" i="36"/>
  <c r="U793" i="36"/>
  <c r="T793" i="36"/>
  <c r="S793" i="36"/>
  <c r="R793" i="36"/>
  <c r="D793" i="36"/>
  <c r="U792" i="36"/>
  <c r="T792" i="36"/>
  <c r="S792" i="36"/>
  <c r="R792" i="36"/>
  <c r="D792" i="36"/>
  <c r="U791" i="36"/>
  <c r="T791" i="36"/>
  <c r="S791" i="36"/>
  <c r="R791" i="36"/>
  <c r="D791" i="36"/>
  <c r="U790" i="36"/>
  <c r="T790" i="36"/>
  <c r="S790" i="36"/>
  <c r="R790" i="36"/>
  <c r="D790" i="36"/>
  <c r="U789" i="36"/>
  <c r="T789" i="36"/>
  <c r="S789" i="36"/>
  <c r="R789" i="36"/>
  <c r="D789" i="36"/>
  <c r="U788" i="36"/>
  <c r="T788" i="36"/>
  <c r="S788" i="36"/>
  <c r="R788" i="36"/>
  <c r="D788" i="36"/>
  <c r="U787" i="36"/>
  <c r="T787" i="36"/>
  <c r="S787" i="36"/>
  <c r="R787" i="36"/>
  <c r="D787" i="36"/>
  <c r="U786" i="36"/>
  <c r="T786" i="36"/>
  <c r="S786" i="36"/>
  <c r="R786" i="36"/>
  <c r="D786" i="36"/>
  <c r="U785" i="36"/>
  <c r="T785" i="36"/>
  <c r="S785" i="36"/>
  <c r="R785" i="36"/>
  <c r="D785" i="36"/>
  <c r="U784" i="36"/>
  <c r="T784" i="36"/>
  <c r="S784" i="36"/>
  <c r="R784" i="36"/>
  <c r="D784" i="36"/>
  <c r="U783" i="36"/>
  <c r="T783" i="36"/>
  <c r="S783" i="36"/>
  <c r="R783" i="36"/>
  <c r="D783" i="36"/>
  <c r="U782" i="36"/>
  <c r="T782" i="36"/>
  <c r="S782" i="36"/>
  <c r="R782" i="36"/>
  <c r="D782" i="36"/>
  <c r="U781" i="36"/>
  <c r="T781" i="36"/>
  <c r="S781" i="36"/>
  <c r="R781" i="36"/>
  <c r="D781" i="36"/>
  <c r="U780" i="36"/>
  <c r="T780" i="36"/>
  <c r="S780" i="36"/>
  <c r="R780" i="36"/>
  <c r="D780" i="36"/>
  <c r="U779" i="36"/>
  <c r="T779" i="36"/>
  <c r="S779" i="36"/>
  <c r="R779" i="36"/>
  <c r="D779" i="36"/>
  <c r="U778" i="36"/>
  <c r="T778" i="36"/>
  <c r="S778" i="36"/>
  <c r="R778" i="36"/>
  <c r="D778" i="36"/>
  <c r="U777" i="36"/>
  <c r="T777" i="36"/>
  <c r="S777" i="36"/>
  <c r="R777" i="36"/>
  <c r="D777" i="36"/>
  <c r="U776" i="36"/>
  <c r="T776" i="36"/>
  <c r="S776" i="36"/>
  <c r="R776" i="36"/>
  <c r="D776" i="36"/>
  <c r="U775" i="36"/>
  <c r="T775" i="36"/>
  <c r="S775" i="36"/>
  <c r="R775" i="36"/>
  <c r="D775" i="36"/>
  <c r="U774" i="36"/>
  <c r="T774" i="36"/>
  <c r="S774" i="36"/>
  <c r="R774" i="36"/>
  <c r="D774" i="36"/>
  <c r="U773" i="36"/>
  <c r="T773" i="36"/>
  <c r="S773" i="36"/>
  <c r="R773" i="36"/>
  <c r="D773" i="36"/>
  <c r="U772" i="36"/>
  <c r="T772" i="36"/>
  <c r="S772" i="36"/>
  <c r="R772" i="36"/>
  <c r="D772" i="36"/>
  <c r="U771" i="36"/>
  <c r="T771" i="36"/>
  <c r="S771" i="36"/>
  <c r="R771" i="36"/>
  <c r="D771" i="36"/>
  <c r="U770" i="36"/>
  <c r="T770" i="36"/>
  <c r="S770" i="36"/>
  <c r="R770" i="36"/>
  <c r="D770" i="36"/>
  <c r="U769" i="36"/>
  <c r="T769" i="36"/>
  <c r="S769" i="36"/>
  <c r="R769" i="36"/>
  <c r="D769" i="36"/>
  <c r="U768" i="36"/>
  <c r="T768" i="36"/>
  <c r="S768" i="36"/>
  <c r="R768" i="36"/>
  <c r="D768" i="36"/>
  <c r="U767" i="36"/>
  <c r="T767" i="36"/>
  <c r="S767" i="36"/>
  <c r="R767" i="36"/>
  <c r="D767" i="36"/>
  <c r="U766" i="36"/>
  <c r="T766" i="36"/>
  <c r="S766" i="36"/>
  <c r="R766" i="36"/>
  <c r="D766" i="36"/>
  <c r="U765" i="36"/>
  <c r="T765" i="36"/>
  <c r="S765" i="36"/>
  <c r="R765" i="36"/>
  <c r="D765" i="36"/>
  <c r="U764" i="36"/>
  <c r="T764" i="36"/>
  <c r="S764" i="36"/>
  <c r="R764" i="36"/>
  <c r="D764" i="36"/>
  <c r="U763" i="36"/>
  <c r="T763" i="36"/>
  <c r="S763" i="36"/>
  <c r="R763" i="36"/>
  <c r="D763" i="36"/>
  <c r="U762" i="36"/>
  <c r="T762" i="36"/>
  <c r="S762" i="36"/>
  <c r="R762" i="36"/>
  <c r="D762" i="36"/>
  <c r="U761" i="36"/>
  <c r="T761" i="36"/>
  <c r="S761" i="36"/>
  <c r="R761" i="36"/>
  <c r="D761" i="36"/>
  <c r="U760" i="36"/>
  <c r="T760" i="36"/>
  <c r="S760" i="36"/>
  <c r="R760" i="36"/>
  <c r="D760" i="36"/>
  <c r="U759" i="36"/>
  <c r="T759" i="36"/>
  <c r="S759" i="36"/>
  <c r="R759" i="36"/>
  <c r="D759" i="36"/>
  <c r="U758" i="36"/>
  <c r="T758" i="36"/>
  <c r="S758" i="36"/>
  <c r="R758" i="36"/>
  <c r="D758" i="36"/>
  <c r="U757" i="36"/>
  <c r="T757" i="36"/>
  <c r="S757" i="36"/>
  <c r="R757" i="36"/>
  <c r="D757" i="36"/>
  <c r="U756" i="36"/>
  <c r="T756" i="36"/>
  <c r="S756" i="36"/>
  <c r="R756" i="36"/>
  <c r="D756" i="36"/>
  <c r="U755" i="36"/>
  <c r="T755" i="36"/>
  <c r="S755" i="36"/>
  <c r="R755" i="36"/>
  <c r="D755" i="36"/>
  <c r="U754" i="36"/>
  <c r="T754" i="36"/>
  <c r="S754" i="36"/>
  <c r="R754" i="36"/>
  <c r="D754" i="36"/>
  <c r="U753" i="36"/>
  <c r="T753" i="36"/>
  <c r="S753" i="36"/>
  <c r="R753" i="36"/>
  <c r="D753" i="36"/>
  <c r="U752" i="36"/>
  <c r="T752" i="36"/>
  <c r="S752" i="36"/>
  <c r="R752" i="36"/>
  <c r="D752" i="36"/>
  <c r="U751" i="36"/>
  <c r="T751" i="36"/>
  <c r="S751" i="36"/>
  <c r="R751" i="36"/>
  <c r="D751" i="36"/>
  <c r="U750" i="36"/>
  <c r="T750" i="36"/>
  <c r="S750" i="36"/>
  <c r="R750" i="36"/>
  <c r="D750" i="36"/>
  <c r="U749" i="36"/>
  <c r="T749" i="36"/>
  <c r="S749" i="36"/>
  <c r="R749" i="36"/>
  <c r="D749" i="36"/>
  <c r="U748" i="36"/>
  <c r="T748" i="36"/>
  <c r="S748" i="36"/>
  <c r="R748" i="36"/>
  <c r="D748" i="36"/>
  <c r="U747" i="36"/>
  <c r="T747" i="36"/>
  <c r="S747" i="36"/>
  <c r="R747" i="36"/>
  <c r="D747" i="36"/>
  <c r="U746" i="36"/>
  <c r="T746" i="36"/>
  <c r="S746" i="36"/>
  <c r="R746" i="36"/>
  <c r="D746" i="36"/>
  <c r="U745" i="36"/>
  <c r="T745" i="36"/>
  <c r="S745" i="36"/>
  <c r="R745" i="36"/>
  <c r="D745" i="36"/>
  <c r="U744" i="36"/>
  <c r="T744" i="36"/>
  <c r="S744" i="36"/>
  <c r="R744" i="36"/>
  <c r="D744" i="36"/>
  <c r="U743" i="36"/>
  <c r="T743" i="36"/>
  <c r="S743" i="36"/>
  <c r="R743" i="36"/>
  <c r="D743" i="36"/>
  <c r="U742" i="36"/>
  <c r="T742" i="36"/>
  <c r="S742" i="36"/>
  <c r="R742" i="36"/>
  <c r="D742" i="36"/>
  <c r="U741" i="36"/>
  <c r="T741" i="36"/>
  <c r="S741" i="36"/>
  <c r="R741" i="36"/>
  <c r="D741" i="36"/>
  <c r="U740" i="36"/>
  <c r="T740" i="36"/>
  <c r="S740" i="36"/>
  <c r="R740" i="36"/>
  <c r="D740" i="36"/>
  <c r="U739" i="36"/>
  <c r="T739" i="36"/>
  <c r="S739" i="36"/>
  <c r="R739" i="36"/>
  <c r="D739" i="36"/>
  <c r="U738" i="36"/>
  <c r="T738" i="36"/>
  <c r="S738" i="36"/>
  <c r="R738" i="36"/>
  <c r="D738" i="36"/>
  <c r="U737" i="36"/>
  <c r="T737" i="36"/>
  <c r="S737" i="36"/>
  <c r="R737" i="36"/>
  <c r="D737" i="36"/>
  <c r="U736" i="36"/>
  <c r="T736" i="36"/>
  <c r="S736" i="36"/>
  <c r="R736" i="36"/>
  <c r="D736" i="36"/>
  <c r="U735" i="36"/>
  <c r="T735" i="36"/>
  <c r="S735" i="36"/>
  <c r="R735" i="36"/>
  <c r="D735" i="36"/>
  <c r="U734" i="36"/>
  <c r="T734" i="36"/>
  <c r="S734" i="36"/>
  <c r="R734" i="36"/>
  <c r="D734" i="36"/>
  <c r="U733" i="36"/>
  <c r="T733" i="36"/>
  <c r="S733" i="36"/>
  <c r="R733" i="36"/>
  <c r="D733" i="36"/>
  <c r="U732" i="36"/>
  <c r="T732" i="36"/>
  <c r="S732" i="36"/>
  <c r="R732" i="36"/>
  <c r="D732" i="36"/>
  <c r="U731" i="36"/>
  <c r="T731" i="36"/>
  <c r="S731" i="36"/>
  <c r="R731" i="36"/>
  <c r="D731" i="36"/>
  <c r="U730" i="36"/>
  <c r="T730" i="36"/>
  <c r="S730" i="36"/>
  <c r="R730" i="36"/>
  <c r="D730" i="36"/>
  <c r="U729" i="36"/>
  <c r="T729" i="36"/>
  <c r="S729" i="36"/>
  <c r="R729" i="36"/>
  <c r="D729" i="36"/>
  <c r="U728" i="36"/>
  <c r="T728" i="36"/>
  <c r="S728" i="36"/>
  <c r="R728" i="36"/>
  <c r="D728" i="36"/>
  <c r="U727" i="36"/>
  <c r="T727" i="36"/>
  <c r="S727" i="36"/>
  <c r="R727" i="36"/>
  <c r="D727" i="36"/>
  <c r="U726" i="36"/>
  <c r="T726" i="36"/>
  <c r="S726" i="36"/>
  <c r="R726" i="36"/>
  <c r="D726" i="36"/>
  <c r="U725" i="36"/>
  <c r="T725" i="36"/>
  <c r="S725" i="36"/>
  <c r="R725" i="36"/>
  <c r="D725" i="36"/>
  <c r="U724" i="36"/>
  <c r="T724" i="36"/>
  <c r="S724" i="36"/>
  <c r="R724" i="36"/>
  <c r="D724" i="36"/>
  <c r="U723" i="36"/>
  <c r="T723" i="36"/>
  <c r="S723" i="36"/>
  <c r="R723" i="36"/>
  <c r="D723" i="36"/>
  <c r="U722" i="36"/>
  <c r="T722" i="36"/>
  <c r="S722" i="36"/>
  <c r="R722" i="36"/>
  <c r="D722" i="36"/>
  <c r="U721" i="36"/>
  <c r="T721" i="36"/>
  <c r="S721" i="36"/>
  <c r="R721" i="36"/>
  <c r="D721" i="36"/>
  <c r="U720" i="36"/>
  <c r="T720" i="36"/>
  <c r="S720" i="36"/>
  <c r="R720" i="36"/>
  <c r="D720" i="36"/>
  <c r="U719" i="36"/>
  <c r="T719" i="36"/>
  <c r="S719" i="36"/>
  <c r="R719" i="36"/>
  <c r="D719" i="36"/>
  <c r="U718" i="36"/>
  <c r="T718" i="36"/>
  <c r="S718" i="36"/>
  <c r="R718" i="36"/>
  <c r="D718" i="36"/>
  <c r="U717" i="36"/>
  <c r="T717" i="36"/>
  <c r="S717" i="36"/>
  <c r="R717" i="36"/>
  <c r="D717" i="36"/>
  <c r="U716" i="36"/>
  <c r="T716" i="36"/>
  <c r="S716" i="36"/>
  <c r="R716" i="36"/>
  <c r="D716" i="36"/>
  <c r="U715" i="36"/>
  <c r="T715" i="36"/>
  <c r="S715" i="36"/>
  <c r="R715" i="36"/>
  <c r="D715" i="36"/>
  <c r="U714" i="36"/>
  <c r="T714" i="36"/>
  <c r="S714" i="36"/>
  <c r="R714" i="36"/>
  <c r="D714" i="36"/>
  <c r="U713" i="36"/>
  <c r="T713" i="36"/>
  <c r="S713" i="36"/>
  <c r="R713" i="36"/>
  <c r="D713" i="36"/>
  <c r="U712" i="36"/>
  <c r="T712" i="36"/>
  <c r="S712" i="36"/>
  <c r="R712" i="36"/>
  <c r="D712" i="36"/>
  <c r="U711" i="36"/>
  <c r="T711" i="36"/>
  <c r="S711" i="36"/>
  <c r="R711" i="36"/>
  <c r="D711" i="36"/>
  <c r="U710" i="36"/>
  <c r="T710" i="36"/>
  <c r="S710" i="36"/>
  <c r="R710" i="36"/>
  <c r="D710" i="36"/>
  <c r="U709" i="36"/>
  <c r="T709" i="36"/>
  <c r="S709" i="36"/>
  <c r="R709" i="36"/>
  <c r="D709" i="36"/>
  <c r="U708" i="36"/>
  <c r="T708" i="36"/>
  <c r="S708" i="36"/>
  <c r="R708" i="36"/>
  <c r="D708" i="36"/>
  <c r="U707" i="36"/>
  <c r="T707" i="36"/>
  <c r="S707" i="36"/>
  <c r="R707" i="36"/>
  <c r="D707" i="36"/>
  <c r="U706" i="36"/>
  <c r="T706" i="36"/>
  <c r="S706" i="36"/>
  <c r="R706" i="36"/>
  <c r="D706" i="36"/>
  <c r="U705" i="36"/>
  <c r="T705" i="36"/>
  <c r="S705" i="36"/>
  <c r="R705" i="36"/>
  <c r="D705" i="36"/>
  <c r="U704" i="36"/>
  <c r="T704" i="36"/>
  <c r="S704" i="36"/>
  <c r="R704" i="36"/>
  <c r="D704" i="36"/>
  <c r="U703" i="36"/>
  <c r="T703" i="36"/>
  <c r="S703" i="36"/>
  <c r="R703" i="36"/>
  <c r="D703" i="36"/>
  <c r="U702" i="36"/>
  <c r="T702" i="36"/>
  <c r="S702" i="36"/>
  <c r="R702" i="36"/>
  <c r="D702" i="36"/>
  <c r="U701" i="36"/>
  <c r="T701" i="36"/>
  <c r="S701" i="36"/>
  <c r="R701" i="36"/>
  <c r="D701" i="36"/>
  <c r="U700" i="36"/>
  <c r="T700" i="36"/>
  <c r="S700" i="36"/>
  <c r="R700" i="36"/>
  <c r="D700" i="36"/>
  <c r="U699" i="36"/>
  <c r="T699" i="36"/>
  <c r="S699" i="36"/>
  <c r="R699" i="36"/>
  <c r="D699" i="36"/>
  <c r="U698" i="36"/>
  <c r="T698" i="36"/>
  <c r="S698" i="36"/>
  <c r="R698" i="36"/>
  <c r="D698" i="36"/>
  <c r="U697" i="36"/>
  <c r="T697" i="36"/>
  <c r="S697" i="36"/>
  <c r="R697" i="36"/>
  <c r="D697" i="36"/>
  <c r="U696" i="36"/>
  <c r="T696" i="36"/>
  <c r="S696" i="36"/>
  <c r="R696" i="36"/>
  <c r="D696" i="36"/>
  <c r="U695" i="36"/>
  <c r="T695" i="36"/>
  <c r="S695" i="36"/>
  <c r="R695" i="36"/>
  <c r="D695" i="36"/>
  <c r="U694" i="36"/>
  <c r="T694" i="36"/>
  <c r="S694" i="36"/>
  <c r="R694" i="36"/>
  <c r="D694" i="36"/>
  <c r="U693" i="36"/>
  <c r="T693" i="36"/>
  <c r="S693" i="36"/>
  <c r="R693" i="36"/>
  <c r="D693" i="36"/>
  <c r="U692" i="36"/>
  <c r="T692" i="36"/>
  <c r="S692" i="36"/>
  <c r="R692" i="36"/>
  <c r="D692" i="36"/>
  <c r="U691" i="36"/>
  <c r="T691" i="36"/>
  <c r="S691" i="36"/>
  <c r="R691" i="36"/>
  <c r="D691" i="36"/>
  <c r="U690" i="36"/>
  <c r="T690" i="36"/>
  <c r="S690" i="36"/>
  <c r="R690" i="36"/>
  <c r="D690" i="36"/>
  <c r="U689" i="36"/>
  <c r="T689" i="36"/>
  <c r="S689" i="36"/>
  <c r="R689" i="36"/>
  <c r="D689" i="36"/>
  <c r="U688" i="36"/>
  <c r="T688" i="36"/>
  <c r="S688" i="36"/>
  <c r="R688" i="36"/>
  <c r="D688" i="36"/>
  <c r="U687" i="36"/>
  <c r="T687" i="36"/>
  <c r="S687" i="36"/>
  <c r="R687" i="36"/>
  <c r="D687" i="36"/>
  <c r="U686" i="36"/>
  <c r="T686" i="36"/>
  <c r="S686" i="36"/>
  <c r="R686" i="36"/>
  <c r="D686" i="36"/>
  <c r="U685" i="36"/>
  <c r="T685" i="36"/>
  <c r="S685" i="36"/>
  <c r="R685" i="36"/>
  <c r="D685" i="36"/>
  <c r="U684" i="36"/>
  <c r="T684" i="36"/>
  <c r="S684" i="36"/>
  <c r="R684" i="36"/>
  <c r="D684" i="36"/>
  <c r="U683" i="36"/>
  <c r="T683" i="36"/>
  <c r="S683" i="36"/>
  <c r="R683" i="36"/>
  <c r="D683" i="36"/>
  <c r="U682" i="36"/>
  <c r="T682" i="36"/>
  <c r="S682" i="36"/>
  <c r="R682" i="36"/>
  <c r="D682" i="36"/>
  <c r="U681" i="36"/>
  <c r="T681" i="36"/>
  <c r="S681" i="36"/>
  <c r="R681" i="36"/>
  <c r="D681" i="36"/>
  <c r="U680" i="36"/>
  <c r="T680" i="36"/>
  <c r="S680" i="36"/>
  <c r="R680" i="36"/>
  <c r="D680" i="36"/>
  <c r="U679" i="36"/>
  <c r="T679" i="36"/>
  <c r="S679" i="36"/>
  <c r="R679" i="36"/>
  <c r="D679" i="36"/>
  <c r="U678" i="36"/>
  <c r="T678" i="36"/>
  <c r="S678" i="36"/>
  <c r="R678" i="36"/>
  <c r="D678" i="36"/>
  <c r="U677" i="36"/>
  <c r="T677" i="36"/>
  <c r="S677" i="36"/>
  <c r="R677" i="36"/>
  <c r="D677" i="36"/>
  <c r="U676" i="36"/>
  <c r="T676" i="36"/>
  <c r="S676" i="36"/>
  <c r="R676" i="36"/>
  <c r="D676" i="36"/>
  <c r="U675" i="36"/>
  <c r="T675" i="36"/>
  <c r="S675" i="36"/>
  <c r="R675" i="36"/>
  <c r="D675" i="36"/>
  <c r="U674" i="36"/>
  <c r="T674" i="36"/>
  <c r="S674" i="36"/>
  <c r="R674" i="36"/>
  <c r="D674" i="36"/>
  <c r="U673" i="36"/>
  <c r="T673" i="36"/>
  <c r="S673" i="36"/>
  <c r="R673" i="36"/>
  <c r="D673" i="36"/>
  <c r="U672" i="36"/>
  <c r="T672" i="36"/>
  <c r="S672" i="36"/>
  <c r="R672" i="36"/>
  <c r="D672" i="36"/>
  <c r="U671" i="36"/>
  <c r="T671" i="36"/>
  <c r="S671" i="36"/>
  <c r="R671" i="36"/>
  <c r="D671" i="36"/>
  <c r="U670" i="36"/>
  <c r="T670" i="36"/>
  <c r="S670" i="36"/>
  <c r="R670" i="36"/>
  <c r="D670" i="36"/>
  <c r="U669" i="36"/>
  <c r="T669" i="36"/>
  <c r="S669" i="36"/>
  <c r="R669" i="36"/>
  <c r="D669" i="36"/>
  <c r="U668" i="36"/>
  <c r="T668" i="36"/>
  <c r="S668" i="36"/>
  <c r="R668" i="36"/>
  <c r="D668" i="36"/>
  <c r="U667" i="36"/>
  <c r="T667" i="36"/>
  <c r="S667" i="36"/>
  <c r="R667" i="36"/>
  <c r="D667" i="36"/>
  <c r="U666" i="36"/>
  <c r="T666" i="36"/>
  <c r="S666" i="36"/>
  <c r="R666" i="36"/>
  <c r="D666" i="36"/>
  <c r="U665" i="36"/>
  <c r="T665" i="36"/>
  <c r="S665" i="36"/>
  <c r="R665" i="36"/>
  <c r="D665" i="36"/>
  <c r="U664" i="36"/>
  <c r="T664" i="36"/>
  <c r="S664" i="36"/>
  <c r="R664" i="36"/>
  <c r="D664" i="36"/>
  <c r="U663" i="36"/>
  <c r="T663" i="36"/>
  <c r="S663" i="36"/>
  <c r="R663" i="36"/>
  <c r="D663" i="36"/>
  <c r="U662" i="36"/>
  <c r="T662" i="36"/>
  <c r="S662" i="36"/>
  <c r="R662" i="36"/>
  <c r="D662" i="36"/>
  <c r="U661" i="36"/>
  <c r="T661" i="36"/>
  <c r="S661" i="36"/>
  <c r="R661" i="36"/>
  <c r="D661" i="36"/>
  <c r="U660" i="36"/>
  <c r="T660" i="36"/>
  <c r="S660" i="36"/>
  <c r="R660" i="36"/>
  <c r="D660" i="36"/>
  <c r="U659" i="36"/>
  <c r="T659" i="36"/>
  <c r="S659" i="36"/>
  <c r="R659" i="36"/>
  <c r="D659" i="36"/>
  <c r="U658" i="36"/>
  <c r="T658" i="36"/>
  <c r="S658" i="36"/>
  <c r="R658" i="36"/>
  <c r="D658" i="36"/>
  <c r="U657" i="36"/>
  <c r="T657" i="36"/>
  <c r="S657" i="36"/>
  <c r="R657" i="36"/>
  <c r="D657" i="36"/>
  <c r="U656" i="36"/>
  <c r="T656" i="36"/>
  <c r="S656" i="36"/>
  <c r="R656" i="36"/>
  <c r="D656" i="36"/>
  <c r="U655" i="36"/>
  <c r="T655" i="36"/>
  <c r="S655" i="36"/>
  <c r="R655" i="36"/>
  <c r="D655" i="36"/>
  <c r="U654" i="36"/>
  <c r="T654" i="36"/>
  <c r="S654" i="36"/>
  <c r="R654" i="36"/>
  <c r="D654" i="36"/>
  <c r="U653" i="36"/>
  <c r="T653" i="36"/>
  <c r="S653" i="36"/>
  <c r="R653" i="36"/>
  <c r="D653" i="36"/>
  <c r="U652" i="36"/>
  <c r="T652" i="36"/>
  <c r="S652" i="36"/>
  <c r="R652" i="36"/>
  <c r="D652" i="36"/>
  <c r="U651" i="36"/>
  <c r="T651" i="36"/>
  <c r="S651" i="36"/>
  <c r="R651" i="36"/>
  <c r="D651" i="36"/>
  <c r="U650" i="36"/>
  <c r="T650" i="36"/>
  <c r="S650" i="36"/>
  <c r="R650" i="36"/>
  <c r="D650" i="36"/>
  <c r="U649" i="36"/>
  <c r="T649" i="36"/>
  <c r="S649" i="36"/>
  <c r="R649" i="36"/>
  <c r="D649" i="36"/>
  <c r="U648" i="36"/>
  <c r="T648" i="36"/>
  <c r="S648" i="36"/>
  <c r="R648" i="36"/>
  <c r="D648" i="36"/>
  <c r="U647" i="36"/>
  <c r="T647" i="36"/>
  <c r="S647" i="36"/>
  <c r="R647" i="36"/>
  <c r="D647" i="36"/>
  <c r="U646" i="36"/>
  <c r="T646" i="36"/>
  <c r="S646" i="36"/>
  <c r="R646" i="36"/>
  <c r="D646" i="36"/>
  <c r="U645" i="36"/>
  <c r="T645" i="36"/>
  <c r="S645" i="36"/>
  <c r="R645" i="36"/>
  <c r="D645" i="36"/>
  <c r="U644" i="36"/>
  <c r="T644" i="36"/>
  <c r="S644" i="36"/>
  <c r="R644" i="36"/>
  <c r="D644" i="36"/>
  <c r="U643" i="36"/>
  <c r="T643" i="36"/>
  <c r="S643" i="36"/>
  <c r="R643" i="36"/>
  <c r="D643" i="36"/>
  <c r="U642" i="36"/>
  <c r="T642" i="36"/>
  <c r="S642" i="36"/>
  <c r="R642" i="36"/>
  <c r="D642" i="36"/>
  <c r="U641" i="36"/>
  <c r="T641" i="36"/>
  <c r="S641" i="36"/>
  <c r="R641" i="36"/>
  <c r="D641" i="36"/>
  <c r="U640" i="36"/>
  <c r="T640" i="36"/>
  <c r="S640" i="36"/>
  <c r="R640" i="36"/>
  <c r="D640" i="36"/>
  <c r="U639" i="36"/>
  <c r="T639" i="36"/>
  <c r="S639" i="36"/>
  <c r="R639" i="36"/>
  <c r="D639" i="36"/>
  <c r="U638" i="36"/>
  <c r="T638" i="36"/>
  <c r="S638" i="36"/>
  <c r="R638" i="36"/>
  <c r="D638" i="36"/>
  <c r="U637" i="36"/>
  <c r="T637" i="36"/>
  <c r="S637" i="36"/>
  <c r="R637" i="36"/>
  <c r="D637" i="36"/>
  <c r="U636" i="36"/>
  <c r="T636" i="36"/>
  <c r="S636" i="36"/>
  <c r="R636" i="36"/>
  <c r="D636" i="36"/>
  <c r="U635" i="36"/>
  <c r="T635" i="36"/>
  <c r="S635" i="36"/>
  <c r="R635" i="36"/>
  <c r="D635" i="36"/>
  <c r="U634" i="36"/>
  <c r="T634" i="36"/>
  <c r="S634" i="36"/>
  <c r="R634" i="36"/>
  <c r="D634" i="36"/>
  <c r="U633" i="36"/>
  <c r="T633" i="36"/>
  <c r="S633" i="36"/>
  <c r="R633" i="36"/>
  <c r="D633" i="36"/>
  <c r="U632" i="36"/>
  <c r="T632" i="36"/>
  <c r="S632" i="36"/>
  <c r="R632" i="36"/>
  <c r="D632" i="36"/>
  <c r="U631" i="36"/>
  <c r="T631" i="36"/>
  <c r="S631" i="36"/>
  <c r="R631" i="36"/>
  <c r="D631" i="36"/>
  <c r="U630" i="36"/>
  <c r="T630" i="36"/>
  <c r="S630" i="36"/>
  <c r="R630" i="36"/>
  <c r="D630" i="36"/>
  <c r="U629" i="36"/>
  <c r="T629" i="36"/>
  <c r="S629" i="36"/>
  <c r="R629" i="36"/>
  <c r="D629" i="36"/>
  <c r="U628" i="36"/>
  <c r="T628" i="36"/>
  <c r="S628" i="36"/>
  <c r="R628" i="36"/>
  <c r="D628" i="36"/>
  <c r="U627" i="36"/>
  <c r="T627" i="36"/>
  <c r="S627" i="36"/>
  <c r="R627" i="36"/>
  <c r="D627" i="36"/>
  <c r="U626" i="36"/>
  <c r="T626" i="36"/>
  <c r="S626" i="36"/>
  <c r="R626" i="36"/>
  <c r="D626" i="36"/>
  <c r="U625" i="36"/>
  <c r="T625" i="36"/>
  <c r="S625" i="36"/>
  <c r="R625" i="36"/>
  <c r="D625" i="36"/>
  <c r="U624" i="36"/>
  <c r="T624" i="36"/>
  <c r="S624" i="36"/>
  <c r="R624" i="36"/>
  <c r="D624" i="36"/>
  <c r="U623" i="36"/>
  <c r="T623" i="36"/>
  <c r="S623" i="36"/>
  <c r="R623" i="36"/>
  <c r="D623" i="36"/>
  <c r="U622" i="36"/>
  <c r="T622" i="36"/>
  <c r="S622" i="36"/>
  <c r="R622" i="36"/>
  <c r="D622" i="36"/>
  <c r="U621" i="36"/>
  <c r="T621" i="36"/>
  <c r="S621" i="36"/>
  <c r="R621" i="36"/>
  <c r="D621" i="36"/>
  <c r="U620" i="36"/>
  <c r="T620" i="36"/>
  <c r="S620" i="36"/>
  <c r="R620" i="36"/>
  <c r="D620" i="36"/>
  <c r="U619" i="36"/>
  <c r="T619" i="36"/>
  <c r="S619" i="36"/>
  <c r="R619" i="36"/>
  <c r="D619" i="36"/>
  <c r="U618" i="36"/>
  <c r="T618" i="36"/>
  <c r="S618" i="36"/>
  <c r="R618" i="36"/>
  <c r="D618" i="36"/>
  <c r="U617" i="36"/>
  <c r="T617" i="36"/>
  <c r="S617" i="36"/>
  <c r="R617" i="36"/>
  <c r="D617" i="36"/>
  <c r="U616" i="36"/>
  <c r="T616" i="36"/>
  <c r="S616" i="36"/>
  <c r="R616" i="36"/>
  <c r="D616" i="36"/>
  <c r="U615" i="36"/>
  <c r="T615" i="36"/>
  <c r="S615" i="36"/>
  <c r="R615" i="36"/>
  <c r="D615" i="36"/>
  <c r="U614" i="36"/>
  <c r="T614" i="36"/>
  <c r="S614" i="36"/>
  <c r="R614" i="36"/>
  <c r="D614" i="36"/>
  <c r="U613" i="36"/>
  <c r="T613" i="36"/>
  <c r="S613" i="36"/>
  <c r="R613" i="36"/>
  <c r="D613" i="36"/>
  <c r="U612" i="36"/>
  <c r="T612" i="36"/>
  <c r="S612" i="36"/>
  <c r="R612" i="36"/>
  <c r="D612" i="36"/>
  <c r="U611" i="36"/>
  <c r="T611" i="36"/>
  <c r="S611" i="36"/>
  <c r="R611" i="36"/>
  <c r="D611" i="36"/>
  <c r="U610" i="36"/>
  <c r="T610" i="36"/>
  <c r="S610" i="36"/>
  <c r="R610" i="36"/>
  <c r="D610" i="36"/>
  <c r="U609" i="36"/>
  <c r="T609" i="36"/>
  <c r="S609" i="36"/>
  <c r="R609" i="36"/>
  <c r="D609" i="36"/>
  <c r="U608" i="36"/>
  <c r="T608" i="36"/>
  <c r="S608" i="36"/>
  <c r="R608" i="36"/>
  <c r="D608" i="36"/>
  <c r="U607" i="36"/>
  <c r="T607" i="36"/>
  <c r="S607" i="36"/>
  <c r="R607" i="36"/>
  <c r="D607" i="36"/>
  <c r="U606" i="36"/>
  <c r="T606" i="36"/>
  <c r="S606" i="36"/>
  <c r="R606" i="36"/>
  <c r="D606" i="36"/>
  <c r="U605" i="36"/>
  <c r="T605" i="36"/>
  <c r="S605" i="36"/>
  <c r="R605" i="36"/>
  <c r="D605" i="36"/>
  <c r="U604" i="36"/>
  <c r="T604" i="36"/>
  <c r="S604" i="36"/>
  <c r="R604" i="36"/>
  <c r="D604" i="36"/>
  <c r="U603" i="36"/>
  <c r="T603" i="36"/>
  <c r="S603" i="36"/>
  <c r="R603" i="36"/>
  <c r="D603" i="36"/>
  <c r="U602" i="36"/>
  <c r="T602" i="36"/>
  <c r="S602" i="36"/>
  <c r="R602" i="36"/>
  <c r="D602" i="36"/>
  <c r="U601" i="36"/>
  <c r="T601" i="36"/>
  <c r="S601" i="36"/>
  <c r="R601" i="36"/>
  <c r="D601" i="36"/>
  <c r="U600" i="36"/>
  <c r="T600" i="36"/>
  <c r="S600" i="36"/>
  <c r="R600" i="36"/>
  <c r="D600" i="36"/>
  <c r="U599" i="36"/>
  <c r="T599" i="36"/>
  <c r="S599" i="36"/>
  <c r="R599" i="36"/>
  <c r="D599" i="36"/>
  <c r="U598" i="36"/>
  <c r="T598" i="36"/>
  <c r="S598" i="36"/>
  <c r="R598" i="36"/>
  <c r="D598" i="36"/>
  <c r="U597" i="36"/>
  <c r="T597" i="36"/>
  <c r="S597" i="36"/>
  <c r="R597" i="36"/>
  <c r="D597" i="36"/>
  <c r="U596" i="36"/>
  <c r="T596" i="36"/>
  <c r="S596" i="36"/>
  <c r="R596" i="36"/>
  <c r="D596" i="36"/>
  <c r="U595" i="36"/>
  <c r="T595" i="36"/>
  <c r="S595" i="36"/>
  <c r="R595" i="36"/>
  <c r="D595" i="36"/>
  <c r="U594" i="36"/>
  <c r="T594" i="36"/>
  <c r="S594" i="36"/>
  <c r="R594" i="36"/>
  <c r="D594" i="36"/>
  <c r="U593" i="36"/>
  <c r="T593" i="36"/>
  <c r="S593" i="36"/>
  <c r="R593" i="36"/>
  <c r="D593" i="36"/>
  <c r="U592" i="36"/>
  <c r="T592" i="36"/>
  <c r="S592" i="36"/>
  <c r="R592" i="36"/>
  <c r="D592" i="36"/>
  <c r="U591" i="36"/>
  <c r="T591" i="36"/>
  <c r="S591" i="36"/>
  <c r="R591" i="36"/>
  <c r="D591" i="36"/>
  <c r="U590" i="36"/>
  <c r="T590" i="36"/>
  <c r="S590" i="36"/>
  <c r="R590" i="36"/>
  <c r="D590" i="36"/>
  <c r="U589" i="36"/>
  <c r="T589" i="36"/>
  <c r="S589" i="36"/>
  <c r="R589" i="36"/>
  <c r="D589" i="36"/>
  <c r="U588" i="36"/>
  <c r="T588" i="36"/>
  <c r="S588" i="36"/>
  <c r="R588" i="36"/>
  <c r="D588" i="36"/>
  <c r="U587" i="36"/>
  <c r="T587" i="36"/>
  <c r="S587" i="36"/>
  <c r="R587" i="36"/>
  <c r="D587" i="36"/>
  <c r="U586" i="36"/>
  <c r="T586" i="36"/>
  <c r="S586" i="36"/>
  <c r="R586" i="36"/>
  <c r="D586" i="36"/>
  <c r="U585" i="36"/>
  <c r="T585" i="36"/>
  <c r="S585" i="36"/>
  <c r="R585" i="36"/>
  <c r="D585" i="36"/>
  <c r="U584" i="36"/>
  <c r="T584" i="36"/>
  <c r="S584" i="36"/>
  <c r="R584" i="36"/>
  <c r="D584" i="36"/>
  <c r="U583" i="36"/>
  <c r="T583" i="36"/>
  <c r="S583" i="36"/>
  <c r="R583" i="36"/>
  <c r="D583" i="36"/>
  <c r="U582" i="36"/>
  <c r="T582" i="36"/>
  <c r="S582" i="36"/>
  <c r="R582" i="36"/>
  <c r="D582" i="36"/>
  <c r="U581" i="36"/>
  <c r="T581" i="36"/>
  <c r="S581" i="36"/>
  <c r="R581" i="36"/>
  <c r="D581" i="36"/>
  <c r="U580" i="36"/>
  <c r="T580" i="36"/>
  <c r="S580" i="36"/>
  <c r="R580" i="36"/>
  <c r="D580" i="36"/>
  <c r="U579" i="36"/>
  <c r="T579" i="36"/>
  <c r="S579" i="36"/>
  <c r="R579" i="36"/>
  <c r="D579" i="36"/>
  <c r="U578" i="36"/>
  <c r="T578" i="36"/>
  <c r="S578" i="36"/>
  <c r="R578" i="36"/>
  <c r="D578" i="36"/>
  <c r="U577" i="36"/>
  <c r="T577" i="36"/>
  <c r="S577" i="36"/>
  <c r="R577" i="36"/>
  <c r="D577" i="36"/>
  <c r="U576" i="36"/>
  <c r="T576" i="36"/>
  <c r="S576" i="36"/>
  <c r="R576" i="36"/>
  <c r="D576" i="36"/>
  <c r="U575" i="36"/>
  <c r="T575" i="36"/>
  <c r="S575" i="36"/>
  <c r="R575" i="36"/>
  <c r="D575" i="36"/>
  <c r="U574" i="36"/>
  <c r="T574" i="36"/>
  <c r="S574" i="36"/>
  <c r="R574" i="36"/>
  <c r="D574" i="36"/>
  <c r="U573" i="36"/>
  <c r="T573" i="36"/>
  <c r="S573" i="36"/>
  <c r="R573" i="36"/>
  <c r="D573" i="36"/>
  <c r="U572" i="36"/>
  <c r="T572" i="36"/>
  <c r="S572" i="36"/>
  <c r="R572" i="36"/>
  <c r="D572" i="36"/>
  <c r="U571" i="36"/>
  <c r="T571" i="36"/>
  <c r="S571" i="36"/>
  <c r="R571" i="36"/>
  <c r="D571" i="36"/>
  <c r="U570" i="36"/>
  <c r="T570" i="36"/>
  <c r="S570" i="36"/>
  <c r="R570" i="36"/>
  <c r="D570" i="36"/>
  <c r="U569" i="36"/>
  <c r="T569" i="36"/>
  <c r="S569" i="36"/>
  <c r="R569" i="36"/>
  <c r="D569" i="36"/>
  <c r="U568" i="36"/>
  <c r="T568" i="36"/>
  <c r="S568" i="36"/>
  <c r="R568" i="36"/>
  <c r="D568" i="36"/>
  <c r="U567" i="36"/>
  <c r="T567" i="36"/>
  <c r="S567" i="36"/>
  <c r="R567" i="36"/>
  <c r="D567" i="36"/>
  <c r="U566" i="36"/>
  <c r="T566" i="36"/>
  <c r="S566" i="36"/>
  <c r="R566" i="36"/>
  <c r="D566" i="36"/>
  <c r="U565" i="36"/>
  <c r="T565" i="36"/>
  <c r="S565" i="36"/>
  <c r="R565" i="36"/>
  <c r="D565" i="36"/>
  <c r="U564" i="36"/>
  <c r="T564" i="36"/>
  <c r="S564" i="36"/>
  <c r="R564" i="36"/>
  <c r="D564" i="36"/>
  <c r="U563" i="36"/>
  <c r="T563" i="36"/>
  <c r="S563" i="36"/>
  <c r="R563" i="36"/>
  <c r="D563" i="36"/>
  <c r="U562" i="36"/>
  <c r="T562" i="36"/>
  <c r="S562" i="36"/>
  <c r="R562" i="36"/>
  <c r="D562" i="36"/>
  <c r="U561" i="36"/>
  <c r="T561" i="36"/>
  <c r="S561" i="36"/>
  <c r="R561" i="36"/>
  <c r="D561" i="36"/>
  <c r="U560" i="36"/>
  <c r="T560" i="36"/>
  <c r="S560" i="36"/>
  <c r="R560" i="36"/>
  <c r="D560" i="36"/>
  <c r="U559" i="36"/>
  <c r="T559" i="36"/>
  <c r="S559" i="36"/>
  <c r="R559" i="36"/>
  <c r="D559" i="36"/>
  <c r="U558" i="36"/>
  <c r="T558" i="36"/>
  <c r="S558" i="36"/>
  <c r="R558" i="36"/>
  <c r="D558" i="36"/>
  <c r="U557" i="36"/>
  <c r="T557" i="36"/>
  <c r="S557" i="36"/>
  <c r="R557" i="36"/>
  <c r="D557" i="36"/>
  <c r="U556" i="36"/>
  <c r="T556" i="36"/>
  <c r="S556" i="36"/>
  <c r="R556" i="36"/>
  <c r="D556" i="36"/>
  <c r="U555" i="36"/>
  <c r="T555" i="36"/>
  <c r="S555" i="36"/>
  <c r="R555" i="36"/>
  <c r="D555" i="36"/>
  <c r="U554" i="36"/>
  <c r="T554" i="36"/>
  <c r="S554" i="36"/>
  <c r="R554" i="36"/>
  <c r="D554" i="36"/>
  <c r="U553" i="36"/>
  <c r="T553" i="36"/>
  <c r="S553" i="36"/>
  <c r="R553" i="36"/>
  <c r="D553" i="36"/>
  <c r="U552" i="36"/>
  <c r="T552" i="36"/>
  <c r="S552" i="36"/>
  <c r="R552" i="36"/>
  <c r="D552" i="36"/>
  <c r="U551" i="36"/>
  <c r="T551" i="36"/>
  <c r="S551" i="36"/>
  <c r="R551" i="36"/>
  <c r="D551" i="36"/>
  <c r="U550" i="36"/>
  <c r="T550" i="36"/>
  <c r="S550" i="36"/>
  <c r="R550" i="36"/>
  <c r="D550" i="36"/>
  <c r="U549" i="36"/>
  <c r="T549" i="36"/>
  <c r="S549" i="36"/>
  <c r="R549" i="36"/>
  <c r="D549" i="36"/>
  <c r="U548" i="36"/>
  <c r="T548" i="36"/>
  <c r="S548" i="36"/>
  <c r="R548" i="36"/>
  <c r="D548" i="36"/>
  <c r="U547" i="36"/>
  <c r="T547" i="36"/>
  <c r="S547" i="36"/>
  <c r="R547" i="36"/>
  <c r="D547" i="36"/>
  <c r="U546" i="36"/>
  <c r="T546" i="36"/>
  <c r="S546" i="36"/>
  <c r="R546" i="36"/>
  <c r="D546" i="36"/>
  <c r="U545" i="36"/>
  <c r="T545" i="36"/>
  <c r="S545" i="36"/>
  <c r="R545" i="36"/>
  <c r="D545" i="36"/>
  <c r="U544" i="36"/>
  <c r="T544" i="36"/>
  <c r="S544" i="36"/>
  <c r="R544" i="36"/>
  <c r="D544" i="36"/>
  <c r="U543" i="36"/>
  <c r="T543" i="36"/>
  <c r="S543" i="36"/>
  <c r="R543" i="36"/>
  <c r="D543" i="36"/>
  <c r="U542" i="36"/>
  <c r="T542" i="36"/>
  <c r="S542" i="36"/>
  <c r="R542" i="36"/>
  <c r="D542" i="36"/>
  <c r="U541" i="36"/>
  <c r="T541" i="36"/>
  <c r="S541" i="36"/>
  <c r="R541" i="36"/>
  <c r="D541" i="36"/>
  <c r="U540" i="36"/>
  <c r="T540" i="36"/>
  <c r="S540" i="36"/>
  <c r="R540" i="36"/>
  <c r="D540" i="36"/>
  <c r="U539" i="36"/>
  <c r="T539" i="36"/>
  <c r="S539" i="36"/>
  <c r="R539" i="36"/>
  <c r="D539" i="36"/>
  <c r="U538" i="36"/>
  <c r="T538" i="36"/>
  <c r="S538" i="36"/>
  <c r="R538" i="36"/>
  <c r="D538" i="36"/>
  <c r="U537" i="36"/>
  <c r="T537" i="36"/>
  <c r="S537" i="36"/>
  <c r="R537" i="36"/>
  <c r="D537" i="36"/>
  <c r="U536" i="36"/>
  <c r="T536" i="36"/>
  <c r="S536" i="36"/>
  <c r="R536" i="36"/>
  <c r="D536" i="36"/>
  <c r="U535" i="36"/>
  <c r="T535" i="36"/>
  <c r="S535" i="36"/>
  <c r="R535" i="36"/>
  <c r="D535" i="36"/>
  <c r="U534" i="36"/>
  <c r="T534" i="36"/>
  <c r="S534" i="36"/>
  <c r="R534" i="36"/>
  <c r="D534" i="36"/>
  <c r="U533" i="36"/>
  <c r="T533" i="36"/>
  <c r="S533" i="36"/>
  <c r="R533" i="36"/>
  <c r="D533" i="36"/>
  <c r="U532" i="36"/>
  <c r="T532" i="36"/>
  <c r="S532" i="36"/>
  <c r="R532" i="36"/>
  <c r="D532" i="36"/>
  <c r="U531" i="36"/>
  <c r="T531" i="36"/>
  <c r="S531" i="36"/>
  <c r="R531" i="36"/>
  <c r="D531" i="36"/>
  <c r="U530" i="36"/>
  <c r="T530" i="36"/>
  <c r="S530" i="36"/>
  <c r="R530" i="36"/>
  <c r="D530" i="36"/>
  <c r="U529" i="36"/>
  <c r="T529" i="36"/>
  <c r="S529" i="36"/>
  <c r="R529" i="36"/>
  <c r="D529" i="36"/>
  <c r="U528" i="36"/>
  <c r="T528" i="36"/>
  <c r="S528" i="36"/>
  <c r="R528" i="36"/>
  <c r="D528" i="36"/>
  <c r="U527" i="36"/>
  <c r="T527" i="36"/>
  <c r="S527" i="36"/>
  <c r="R527" i="36"/>
  <c r="D527" i="36"/>
  <c r="U526" i="36"/>
  <c r="T526" i="36"/>
  <c r="S526" i="36"/>
  <c r="R526" i="36"/>
  <c r="D526" i="36"/>
  <c r="U525" i="36"/>
  <c r="T525" i="36"/>
  <c r="S525" i="36"/>
  <c r="R525" i="36"/>
  <c r="D525" i="36"/>
  <c r="U524" i="36"/>
  <c r="T524" i="36"/>
  <c r="S524" i="36"/>
  <c r="R524" i="36"/>
  <c r="D524" i="36"/>
  <c r="U523" i="36"/>
  <c r="T523" i="36"/>
  <c r="S523" i="36"/>
  <c r="R523" i="36"/>
  <c r="D523" i="36"/>
  <c r="U522" i="36"/>
  <c r="T522" i="36"/>
  <c r="S522" i="36"/>
  <c r="R522" i="36"/>
  <c r="D522" i="36"/>
  <c r="U521" i="36"/>
  <c r="T521" i="36"/>
  <c r="S521" i="36"/>
  <c r="R521" i="36"/>
  <c r="D521" i="36"/>
  <c r="U520" i="36"/>
  <c r="T520" i="36"/>
  <c r="S520" i="36"/>
  <c r="R520" i="36"/>
  <c r="D520" i="36"/>
  <c r="U519" i="36"/>
  <c r="T519" i="36"/>
  <c r="S519" i="36"/>
  <c r="R519" i="36"/>
  <c r="D519" i="36"/>
  <c r="U518" i="36"/>
  <c r="T518" i="36"/>
  <c r="S518" i="36"/>
  <c r="R518" i="36"/>
  <c r="D518" i="36"/>
  <c r="U517" i="36"/>
  <c r="T517" i="36"/>
  <c r="S517" i="36"/>
  <c r="R517" i="36"/>
  <c r="D517" i="36"/>
  <c r="U516" i="36"/>
  <c r="T516" i="36"/>
  <c r="S516" i="36"/>
  <c r="R516" i="36"/>
  <c r="D516" i="36"/>
  <c r="U515" i="36"/>
  <c r="T515" i="36"/>
  <c r="S515" i="36"/>
  <c r="R515" i="36"/>
  <c r="D515" i="36"/>
  <c r="U514" i="36"/>
  <c r="T514" i="36"/>
  <c r="S514" i="36"/>
  <c r="R514" i="36"/>
  <c r="D514" i="36"/>
  <c r="U513" i="36"/>
  <c r="T513" i="36"/>
  <c r="S513" i="36"/>
  <c r="R513" i="36"/>
  <c r="D513" i="36"/>
  <c r="U512" i="36"/>
  <c r="T512" i="36"/>
  <c r="S512" i="36"/>
  <c r="R512" i="36"/>
  <c r="D512" i="36"/>
  <c r="U511" i="36"/>
  <c r="T511" i="36"/>
  <c r="S511" i="36"/>
  <c r="R511" i="36"/>
  <c r="D511" i="36"/>
  <c r="U510" i="36"/>
  <c r="T510" i="36"/>
  <c r="S510" i="36"/>
  <c r="R510" i="36"/>
  <c r="D510" i="36"/>
  <c r="U509" i="36"/>
  <c r="T509" i="36"/>
  <c r="S509" i="36"/>
  <c r="R509" i="36"/>
  <c r="D509" i="36"/>
  <c r="U508" i="36"/>
  <c r="T508" i="36"/>
  <c r="S508" i="36"/>
  <c r="R508" i="36"/>
  <c r="D508" i="36"/>
  <c r="U507" i="36"/>
  <c r="T507" i="36"/>
  <c r="S507" i="36"/>
  <c r="R507" i="36"/>
  <c r="D507" i="36"/>
  <c r="U506" i="36"/>
  <c r="T506" i="36"/>
  <c r="S506" i="36"/>
  <c r="R506" i="36"/>
  <c r="D506" i="36"/>
  <c r="U505" i="36"/>
  <c r="T505" i="36"/>
  <c r="S505" i="36"/>
  <c r="R505" i="36"/>
  <c r="D505" i="36"/>
  <c r="U504" i="36"/>
  <c r="T504" i="36"/>
  <c r="S504" i="36"/>
  <c r="R504" i="36"/>
  <c r="D504" i="36"/>
  <c r="U503" i="36"/>
  <c r="T503" i="36"/>
  <c r="S503" i="36"/>
  <c r="R503" i="36"/>
  <c r="D503" i="36"/>
  <c r="U502" i="36"/>
  <c r="T502" i="36"/>
  <c r="S502" i="36"/>
  <c r="R502" i="36"/>
  <c r="D502" i="36"/>
  <c r="U501" i="36"/>
  <c r="T501" i="36"/>
  <c r="S501" i="36"/>
  <c r="R501" i="36"/>
  <c r="D501" i="36"/>
  <c r="U500" i="36"/>
  <c r="T500" i="36"/>
  <c r="S500" i="36"/>
  <c r="R500" i="36"/>
  <c r="D500" i="36"/>
  <c r="U499" i="36"/>
  <c r="T499" i="36"/>
  <c r="S499" i="36"/>
  <c r="R499" i="36"/>
  <c r="D499" i="36"/>
  <c r="U498" i="36"/>
  <c r="T498" i="36"/>
  <c r="S498" i="36"/>
  <c r="R498" i="36"/>
  <c r="D498" i="36"/>
  <c r="U497" i="36"/>
  <c r="T497" i="36"/>
  <c r="S497" i="36"/>
  <c r="R497" i="36"/>
  <c r="D497" i="36"/>
  <c r="U496" i="36"/>
  <c r="T496" i="36"/>
  <c r="S496" i="36"/>
  <c r="R496" i="36"/>
  <c r="D496" i="36"/>
  <c r="U495" i="36"/>
  <c r="T495" i="36"/>
  <c r="S495" i="36"/>
  <c r="R495" i="36"/>
  <c r="D495" i="36"/>
  <c r="U494" i="36"/>
  <c r="T494" i="36"/>
  <c r="S494" i="36"/>
  <c r="R494" i="36"/>
  <c r="D494" i="36"/>
  <c r="U493" i="36"/>
  <c r="T493" i="36"/>
  <c r="S493" i="36"/>
  <c r="R493" i="36"/>
  <c r="D493" i="36"/>
  <c r="U492" i="36"/>
  <c r="T492" i="36"/>
  <c r="S492" i="36"/>
  <c r="R492" i="36"/>
  <c r="D492" i="36"/>
  <c r="U491" i="36"/>
  <c r="T491" i="36"/>
  <c r="S491" i="36"/>
  <c r="R491" i="36"/>
  <c r="D491" i="36"/>
  <c r="U490" i="36"/>
  <c r="T490" i="36"/>
  <c r="S490" i="36"/>
  <c r="R490" i="36"/>
  <c r="D490" i="36"/>
  <c r="U489" i="36"/>
  <c r="T489" i="36"/>
  <c r="S489" i="36"/>
  <c r="R489" i="36"/>
  <c r="D489" i="36"/>
  <c r="U488" i="36"/>
  <c r="T488" i="36"/>
  <c r="S488" i="36"/>
  <c r="R488" i="36"/>
  <c r="D488" i="36"/>
  <c r="U487" i="36"/>
  <c r="T487" i="36"/>
  <c r="S487" i="36"/>
  <c r="R487" i="36"/>
  <c r="D487" i="36"/>
  <c r="U486" i="36"/>
  <c r="T486" i="36"/>
  <c r="S486" i="36"/>
  <c r="R486" i="36"/>
  <c r="D486" i="36"/>
  <c r="U485" i="36"/>
  <c r="T485" i="36"/>
  <c r="S485" i="36"/>
  <c r="R485" i="36"/>
  <c r="D485" i="36"/>
  <c r="U484" i="36"/>
  <c r="T484" i="36"/>
  <c r="S484" i="36"/>
  <c r="R484" i="36"/>
  <c r="D484" i="36"/>
  <c r="U483" i="36"/>
  <c r="T483" i="36"/>
  <c r="S483" i="36"/>
  <c r="R483" i="36"/>
  <c r="D483" i="36"/>
  <c r="U482" i="36"/>
  <c r="T482" i="36"/>
  <c r="S482" i="36"/>
  <c r="R482" i="36"/>
  <c r="D482" i="36"/>
  <c r="U481" i="36"/>
  <c r="T481" i="36"/>
  <c r="S481" i="36"/>
  <c r="R481" i="36"/>
  <c r="D481" i="36"/>
  <c r="U480" i="36"/>
  <c r="T480" i="36"/>
  <c r="S480" i="36"/>
  <c r="R480" i="36"/>
  <c r="D480" i="36"/>
  <c r="U479" i="36"/>
  <c r="T479" i="36"/>
  <c r="S479" i="36"/>
  <c r="R479" i="36"/>
  <c r="D479" i="36"/>
  <c r="U478" i="36"/>
  <c r="T478" i="36"/>
  <c r="S478" i="36"/>
  <c r="R478" i="36"/>
  <c r="D478" i="36"/>
  <c r="U477" i="36"/>
  <c r="T477" i="36"/>
  <c r="S477" i="36"/>
  <c r="R477" i="36"/>
  <c r="D477" i="36"/>
  <c r="U476" i="36"/>
  <c r="T476" i="36"/>
  <c r="S476" i="36"/>
  <c r="R476" i="36"/>
  <c r="D476" i="36"/>
  <c r="U475" i="36"/>
  <c r="T475" i="36"/>
  <c r="S475" i="36"/>
  <c r="R475" i="36"/>
  <c r="D475" i="36"/>
  <c r="U474" i="36"/>
  <c r="T474" i="36"/>
  <c r="S474" i="36"/>
  <c r="R474" i="36"/>
  <c r="D474" i="36"/>
  <c r="U473" i="36"/>
  <c r="T473" i="36"/>
  <c r="S473" i="36"/>
  <c r="R473" i="36"/>
  <c r="D473" i="36"/>
  <c r="U472" i="36"/>
  <c r="T472" i="36"/>
  <c r="S472" i="36"/>
  <c r="R472" i="36"/>
  <c r="D472" i="36"/>
  <c r="U471" i="36"/>
  <c r="T471" i="36"/>
  <c r="S471" i="36"/>
  <c r="R471" i="36"/>
  <c r="D471" i="36"/>
  <c r="U470" i="36"/>
  <c r="T470" i="36"/>
  <c r="S470" i="36"/>
  <c r="R470" i="36"/>
  <c r="D470" i="36"/>
  <c r="U469" i="36"/>
  <c r="T469" i="36"/>
  <c r="S469" i="36"/>
  <c r="R469" i="36"/>
  <c r="D469" i="36"/>
  <c r="U468" i="36"/>
  <c r="T468" i="36"/>
  <c r="S468" i="36"/>
  <c r="R468" i="36"/>
  <c r="D468" i="36"/>
  <c r="U467" i="36"/>
  <c r="T467" i="36"/>
  <c r="S467" i="36"/>
  <c r="R467" i="36"/>
  <c r="D467" i="36"/>
  <c r="U466" i="36"/>
  <c r="T466" i="36"/>
  <c r="S466" i="36"/>
  <c r="R466" i="36"/>
  <c r="D466" i="36"/>
  <c r="U465" i="36"/>
  <c r="T465" i="36"/>
  <c r="S465" i="36"/>
  <c r="R465" i="36"/>
  <c r="D465" i="36"/>
  <c r="U464" i="36"/>
  <c r="T464" i="36"/>
  <c r="S464" i="36"/>
  <c r="R464" i="36"/>
  <c r="D464" i="36"/>
  <c r="U463" i="36"/>
  <c r="T463" i="36"/>
  <c r="S463" i="36"/>
  <c r="R463" i="36"/>
  <c r="D463" i="36"/>
  <c r="U462" i="36"/>
  <c r="T462" i="36"/>
  <c r="S462" i="36"/>
  <c r="R462" i="36"/>
  <c r="D462" i="36"/>
  <c r="U461" i="36"/>
  <c r="T461" i="36"/>
  <c r="S461" i="36"/>
  <c r="R461" i="36"/>
  <c r="D461" i="36"/>
  <c r="U460" i="36"/>
  <c r="T460" i="36"/>
  <c r="S460" i="36"/>
  <c r="R460" i="36"/>
  <c r="D460" i="36"/>
  <c r="U459" i="36"/>
  <c r="T459" i="36"/>
  <c r="S459" i="36"/>
  <c r="R459" i="36"/>
  <c r="D459" i="36"/>
  <c r="U458" i="36"/>
  <c r="T458" i="36"/>
  <c r="S458" i="36"/>
  <c r="R458" i="36"/>
  <c r="D458" i="36"/>
  <c r="U457" i="36"/>
  <c r="T457" i="36"/>
  <c r="S457" i="36"/>
  <c r="R457" i="36"/>
  <c r="D457" i="36"/>
  <c r="U456" i="36"/>
  <c r="T456" i="36"/>
  <c r="S456" i="36"/>
  <c r="R456" i="36"/>
  <c r="D456" i="36"/>
  <c r="U455" i="36"/>
  <c r="T455" i="36"/>
  <c r="S455" i="36"/>
  <c r="R455" i="36"/>
  <c r="D455" i="36"/>
  <c r="U454" i="36"/>
  <c r="T454" i="36"/>
  <c r="S454" i="36"/>
  <c r="R454" i="36"/>
  <c r="D454" i="36"/>
  <c r="U453" i="36"/>
  <c r="T453" i="36"/>
  <c r="S453" i="36"/>
  <c r="R453" i="36"/>
  <c r="D453" i="36"/>
  <c r="U452" i="36"/>
  <c r="T452" i="36"/>
  <c r="S452" i="36"/>
  <c r="R452" i="36"/>
  <c r="D452" i="36"/>
  <c r="U451" i="36"/>
  <c r="T451" i="36"/>
  <c r="S451" i="36"/>
  <c r="R451" i="36"/>
  <c r="D451" i="36"/>
  <c r="U450" i="36"/>
  <c r="T450" i="36"/>
  <c r="S450" i="36"/>
  <c r="R450" i="36"/>
  <c r="D450" i="36"/>
  <c r="U449" i="36"/>
  <c r="T449" i="36"/>
  <c r="S449" i="36"/>
  <c r="R449" i="36"/>
  <c r="D449" i="36"/>
  <c r="U448" i="36"/>
  <c r="T448" i="36"/>
  <c r="S448" i="36"/>
  <c r="R448" i="36"/>
  <c r="D448" i="36"/>
  <c r="U447" i="36"/>
  <c r="T447" i="36"/>
  <c r="S447" i="36"/>
  <c r="R447" i="36"/>
  <c r="D447" i="36"/>
  <c r="U446" i="36"/>
  <c r="T446" i="36"/>
  <c r="S446" i="36"/>
  <c r="R446" i="36"/>
  <c r="D446" i="36"/>
  <c r="U445" i="36"/>
  <c r="T445" i="36"/>
  <c r="S445" i="36"/>
  <c r="R445" i="36"/>
  <c r="D445" i="36"/>
  <c r="U444" i="36"/>
  <c r="T444" i="36"/>
  <c r="S444" i="36"/>
  <c r="R444" i="36"/>
  <c r="D444" i="36"/>
  <c r="U443" i="36"/>
  <c r="T443" i="36"/>
  <c r="S443" i="36"/>
  <c r="R443" i="36"/>
  <c r="D443" i="36"/>
  <c r="U442" i="36"/>
  <c r="T442" i="36"/>
  <c r="S442" i="36"/>
  <c r="R442" i="36"/>
  <c r="D442" i="36"/>
  <c r="U441" i="36"/>
  <c r="T441" i="36"/>
  <c r="S441" i="36"/>
  <c r="R441" i="36"/>
  <c r="D441" i="36"/>
  <c r="U440" i="36"/>
  <c r="T440" i="36"/>
  <c r="S440" i="36"/>
  <c r="R440" i="36"/>
  <c r="D440" i="36"/>
  <c r="U439" i="36"/>
  <c r="T439" i="36"/>
  <c r="S439" i="36"/>
  <c r="R439" i="36"/>
  <c r="D439" i="36"/>
  <c r="U438" i="36"/>
  <c r="T438" i="36"/>
  <c r="S438" i="36"/>
  <c r="R438" i="36"/>
  <c r="D438" i="36"/>
  <c r="U437" i="36"/>
  <c r="T437" i="36"/>
  <c r="S437" i="36"/>
  <c r="R437" i="36"/>
  <c r="D437" i="36"/>
  <c r="U436" i="36"/>
  <c r="T436" i="36"/>
  <c r="S436" i="36"/>
  <c r="R436" i="36"/>
  <c r="D436" i="36"/>
  <c r="U435" i="36"/>
  <c r="T435" i="36"/>
  <c r="S435" i="36"/>
  <c r="R435" i="36"/>
  <c r="D435" i="36"/>
  <c r="U434" i="36"/>
  <c r="T434" i="36"/>
  <c r="S434" i="36"/>
  <c r="R434" i="36"/>
  <c r="D434" i="36"/>
  <c r="U433" i="36"/>
  <c r="T433" i="36"/>
  <c r="S433" i="36"/>
  <c r="R433" i="36"/>
  <c r="D433" i="36"/>
  <c r="U432" i="36"/>
  <c r="T432" i="36"/>
  <c r="S432" i="36"/>
  <c r="R432" i="36"/>
  <c r="D432" i="36"/>
  <c r="U431" i="36"/>
  <c r="T431" i="36"/>
  <c r="S431" i="36"/>
  <c r="R431" i="36"/>
  <c r="D431" i="36"/>
  <c r="U430" i="36"/>
  <c r="T430" i="36"/>
  <c r="S430" i="36"/>
  <c r="R430" i="36"/>
  <c r="D430" i="36"/>
  <c r="U429" i="36"/>
  <c r="T429" i="36"/>
  <c r="S429" i="36"/>
  <c r="R429" i="36"/>
  <c r="D429" i="36"/>
  <c r="U428" i="36"/>
  <c r="T428" i="36"/>
  <c r="S428" i="36"/>
  <c r="R428" i="36"/>
  <c r="D428" i="36"/>
  <c r="U427" i="36"/>
  <c r="T427" i="36"/>
  <c r="S427" i="36"/>
  <c r="R427" i="36"/>
  <c r="D427" i="36"/>
  <c r="U426" i="36"/>
  <c r="T426" i="36"/>
  <c r="S426" i="36"/>
  <c r="R426" i="36"/>
  <c r="D426" i="36"/>
  <c r="U425" i="36"/>
  <c r="T425" i="36"/>
  <c r="S425" i="36"/>
  <c r="R425" i="36"/>
  <c r="D425" i="36"/>
  <c r="U424" i="36"/>
  <c r="T424" i="36"/>
  <c r="S424" i="36"/>
  <c r="R424" i="36"/>
  <c r="D424" i="36"/>
  <c r="U423" i="36"/>
  <c r="T423" i="36"/>
  <c r="S423" i="36"/>
  <c r="R423" i="36"/>
  <c r="D423" i="36"/>
  <c r="U422" i="36"/>
  <c r="T422" i="36"/>
  <c r="S422" i="36"/>
  <c r="R422" i="36"/>
  <c r="D422" i="36"/>
  <c r="U421" i="36"/>
  <c r="T421" i="36"/>
  <c r="S421" i="36"/>
  <c r="R421" i="36"/>
  <c r="D421" i="36"/>
  <c r="U420" i="36"/>
  <c r="T420" i="36"/>
  <c r="S420" i="36"/>
  <c r="R420" i="36"/>
  <c r="D420" i="36"/>
  <c r="U419" i="36"/>
  <c r="T419" i="36"/>
  <c r="S419" i="36"/>
  <c r="R419" i="36"/>
  <c r="D419" i="36"/>
  <c r="U418" i="36"/>
  <c r="T418" i="36"/>
  <c r="S418" i="36"/>
  <c r="R418" i="36"/>
  <c r="D418" i="36"/>
  <c r="U417" i="36"/>
  <c r="T417" i="36"/>
  <c r="S417" i="36"/>
  <c r="R417" i="36"/>
  <c r="D417" i="36"/>
  <c r="U416" i="36"/>
  <c r="T416" i="36"/>
  <c r="S416" i="36"/>
  <c r="R416" i="36"/>
  <c r="D416" i="36"/>
  <c r="U415" i="36"/>
  <c r="T415" i="36"/>
  <c r="S415" i="36"/>
  <c r="R415" i="36"/>
  <c r="D415" i="36"/>
  <c r="U414" i="36"/>
  <c r="T414" i="36"/>
  <c r="S414" i="36"/>
  <c r="R414" i="36"/>
  <c r="D414" i="36"/>
  <c r="U413" i="36"/>
  <c r="T413" i="36"/>
  <c r="S413" i="36"/>
  <c r="R413" i="36"/>
  <c r="D413" i="36"/>
  <c r="U412" i="36"/>
  <c r="T412" i="36"/>
  <c r="S412" i="36"/>
  <c r="R412" i="36"/>
  <c r="D412" i="36"/>
  <c r="U411" i="36"/>
  <c r="T411" i="36"/>
  <c r="S411" i="36"/>
  <c r="R411" i="36"/>
  <c r="D411" i="36"/>
  <c r="U410" i="36"/>
  <c r="T410" i="36"/>
  <c r="S410" i="36"/>
  <c r="R410" i="36"/>
  <c r="D410" i="36"/>
  <c r="U409" i="36"/>
  <c r="T409" i="36"/>
  <c r="S409" i="36"/>
  <c r="R409" i="36"/>
  <c r="D409" i="36"/>
  <c r="U408" i="36"/>
  <c r="T408" i="36"/>
  <c r="S408" i="36"/>
  <c r="R408" i="36"/>
  <c r="D408" i="36"/>
  <c r="U407" i="36"/>
  <c r="T407" i="36"/>
  <c r="S407" i="36"/>
  <c r="R407" i="36"/>
  <c r="D407" i="36"/>
  <c r="U406" i="36"/>
  <c r="T406" i="36"/>
  <c r="S406" i="36"/>
  <c r="R406" i="36"/>
  <c r="D406" i="36"/>
  <c r="U405" i="36"/>
  <c r="T405" i="36"/>
  <c r="S405" i="36"/>
  <c r="R405" i="36"/>
  <c r="D405" i="36"/>
  <c r="U404" i="36"/>
  <c r="T404" i="36"/>
  <c r="S404" i="36"/>
  <c r="R404" i="36"/>
  <c r="D404" i="36"/>
  <c r="U403" i="36"/>
  <c r="T403" i="36"/>
  <c r="S403" i="36"/>
  <c r="R403" i="36"/>
  <c r="D403" i="36"/>
  <c r="U402" i="36"/>
  <c r="T402" i="36"/>
  <c r="S402" i="36"/>
  <c r="R402" i="36"/>
  <c r="D402" i="36"/>
  <c r="U401" i="36"/>
  <c r="T401" i="36"/>
  <c r="S401" i="36"/>
  <c r="R401" i="36"/>
  <c r="D401" i="36"/>
  <c r="U400" i="36"/>
  <c r="T400" i="36"/>
  <c r="S400" i="36"/>
  <c r="R400" i="36"/>
  <c r="D400" i="36"/>
  <c r="U399" i="36"/>
  <c r="T399" i="36"/>
  <c r="S399" i="36"/>
  <c r="R399" i="36"/>
  <c r="D399" i="36"/>
  <c r="U398" i="36"/>
  <c r="T398" i="36"/>
  <c r="S398" i="36"/>
  <c r="R398" i="36"/>
  <c r="D398" i="36"/>
  <c r="U397" i="36"/>
  <c r="T397" i="36"/>
  <c r="S397" i="36"/>
  <c r="R397" i="36"/>
  <c r="D397" i="36"/>
  <c r="U396" i="36"/>
  <c r="T396" i="36"/>
  <c r="S396" i="36"/>
  <c r="R396" i="36"/>
  <c r="D396" i="36"/>
  <c r="U395" i="36"/>
  <c r="T395" i="36"/>
  <c r="S395" i="36"/>
  <c r="R395" i="36"/>
  <c r="D395" i="36"/>
  <c r="U394" i="36"/>
  <c r="T394" i="36"/>
  <c r="S394" i="36"/>
  <c r="R394" i="36"/>
  <c r="D394" i="36"/>
  <c r="U393" i="36"/>
  <c r="T393" i="36"/>
  <c r="S393" i="36"/>
  <c r="R393" i="36"/>
  <c r="D393" i="36"/>
  <c r="U392" i="36"/>
  <c r="T392" i="36"/>
  <c r="S392" i="36"/>
  <c r="R392" i="36"/>
  <c r="D392" i="36"/>
  <c r="U391" i="36"/>
  <c r="T391" i="36"/>
  <c r="S391" i="36"/>
  <c r="R391" i="36"/>
  <c r="D391" i="36"/>
  <c r="U390" i="36"/>
  <c r="T390" i="36"/>
  <c r="S390" i="36"/>
  <c r="R390" i="36"/>
  <c r="D390" i="36"/>
  <c r="U389" i="36"/>
  <c r="T389" i="36"/>
  <c r="S389" i="36"/>
  <c r="R389" i="36"/>
  <c r="D389" i="36"/>
  <c r="U388" i="36"/>
  <c r="T388" i="36"/>
  <c r="S388" i="36"/>
  <c r="R388" i="36"/>
  <c r="D388" i="36"/>
  <c r="U387" i="36"/>
  <c r="T387" i="36"/>
  <c r="S387" i="36"/>
  <c r="R387" i="36"/>
  <c r="D387" i="36"/>
  <c r="U386" i="36"/>
  <c r="T386" i="36"/>
  <c r="S386" i="36"/>
  <c r="R386" i="36"/>
  <c r="D386" i="36"/>
  <c r="U385" i="36"/>
  <c r="T385" i="36"/>
  <c r="S385" i="36"/>
  <c r="R385" i="36"/>
  <c r="D385" i="36"/>
  <c r="U384" i="36"/>
  <c r="T384" i="36"/>
  <c r="S384" i="36"/>
  <c r="R384" i="36"/>
  <c r="D384" i="36"/>
  <c r="U383" i="36"/>
  <c r="T383" i="36"/>
  <c r="S383" i="36"/>
  <c r="R383" i="36"/>
  <c r="D383" i="36"/>
  <c r="U382" i="36"/>
  <c r="T382" i="36"/>
  <c r="S382" i="36"/>
  <c r="R382" i="36"/>
  <c r="D382" i="36"/>
  <c r="U381" i="36"/>
  <c r="T381" i="36"/>
  <c r="S381" i="36"/>
  <c r="R381" i="36"/>
  <c r="D381" i="36"/>
  <c r="U380" i="36"/>
  <c r="T380" i="36"/>
  <c r="S380" i="36"/>
  <c r="R380" i="36"/>
  <c r="D380" i="36"/>
  <c r="U379" i="36"/>
  <c r="T379" i="36"/>
  <c r="S379" i="36"/>
  <c r="R379" i="36"/>
  <c r="D379" i="36"/>
  <c r="U378" i="36"/>
  <c r="T378" i="36"/>
  <c r="S378" i="36"/>
  <c r="R378" i="36"/>
  <c r="D378" i="36"/>
  <c r="U377" i="36"/>
  <c r="T377" i="36"/>
  <c r="S377" i="36"/>
  <c r="R377" i="36"/>
  <c r="D377" i="36"/>
  <c r="U376" i="36"/>
  <c r="T376" i="36"/>
  <c r="S376" i="36"/>
  <c r="R376" i="36"/>
  <c r="D376" i="36"/>
  <c r="U375" i="36"/>
  <c r="T375" i="36"/>
  <c r="S375" i="36"/>
  <c r="R375" i="36"/>
  <c r="D375" i="36"/>
  <c r="U374" i="36"/>
  <c r="T374" i="36"/>
  <c r="S374" i="36"/>
  <c r="R374" i="36"/>
  <c r="D374" i="36"/>
  <c r="U373" i="36"/>
  <c r="T373" i="36"/>
  <c r="S373" i="36"/>
  <c r="R373" i="36"/>
  <c r="D373" i="36"/>
  <c r="U372" i="36"/>
  <c r="T372" i="36"/>
  <c r="S372" i="36"/>
  <c r="R372" i="36"/>
  <c r="D372" i="36"/>
  <c r="U371" i="36"/>
  <c r="T371" i="36"/>
  <c r="S371" i="36"/>
  <c r="R371" i="36"/>
  <c r="D371" i="36"/>
  <c r="U370" i="36"/>
  <c r="T370" i="36"/>
  <c r="S370" i="36"/>
  <c r="R370" i="36"/>
  <c r="D370" i="36"/>
  <c r="U369" i="36"/>
  <c r="T369" i="36"/>
  <c r="S369" i="36"/>
  <c r="R369" i="36"/>
  <c r="D369" i="36"/>
  <c r="U368" i="36"/>
  <c r="T368" i="36"/>
  <c r="S368" i="36"/>
  <c r="R368" i="36"/>
  <c r="D368" i="36"/>
  <c r="U367" i="36"/>
  <c r="T367" i="36"/>
  <c r="S367" i="36"/>
  <c r="R367" i="36"/>
  <c r="D367" i="36"/>
  <c r="U366" i="36"/>
  <c r="T366" i="36"/>
  <c r="S366" i="36"/>
  <c r="R366" i="36"/>
  <c r="D366" i="36"/>
  <c r="U365" i="36"/>
  <c r="T365" i="36"/>
  <c r="S365" i="36"/>
  <c r="R365" i="36"/>
  <c r="D365" i="36"/>
  <c r="U364" i="36"/>
  <c r="T364" i="36"/>
  <c r="S364" i="36"/>
  <c r="R364" i="36"/>
  <c r="D364" i="36"/>
  <c r="U363" i="36"/>
  <c r="T363" i="36"/>
  <c r="S363" i="36"/>
  <c r="R363" i="36"/>
  <c r="D363" i="36"/>
  <c r="U362" i="36"/>
  <c r="T362" i="36"/>
  <c r="S362" i="36"/>
  <c r="R362" i="36"/>
  <c r="D362" i="36"/>
  <c r="U361" i="36"/>
  <c r="T361" i="36"/>
  <c r="S361" i="36"/>
  <c r="R361" i="36"/>
  <c r="D361" i="36"/>
  <c r="U360" i="36"/>
  <c r="T360" i="36"/>
  <c r="S360" i="36"/>
  <c r="R360" i="36"/>
  <c r="D360" i="36"/>
  <c r="U359" i="36"/>
  <c r="T359" i="36"/>
  <c r="S359" i="36"/>
  <c r="R359" i="36"/>
  <c r="D359" i="36"/>
  <c r="U358" i="36"/>
  <c r="T358" i="36"/>
  <c r="S358" i="36"/>
  <c r="R358" i="36"/>
  <c r="D358" i="36"/>
  <c r="U357" i="36"/>
  <c r="T357" i="36"/>
  <c r="S357" i="36"/>
  <c r="R357" i="36"/>
  <c r="D357" i="36"/>
  <c r="U356" i="36"/>
  <c r="T356" i="36"/>
  <c r="S356" i="36"/>
  <c r="R356" i="36"/>
  <c r="D356" i="36"/>
  <c r="U355" i="36"/>
  <c r="T355" i="36"/>
  <c r="S355" i="36"/>
  <c r="R355" i="36"/>
  <c r="D355" i="36"/>
  <c r="U354" i="36"/>
  <c r="T354" i="36"/>
  <c r="S354" i="36"/>
  <c r="R354" i="36"/>
  <c r="D354" i="36"/>
  <c r="U353" i="36"/>
  <c r="T353" i="36"/>
  <c r="S353" i="36"/>
  <c r="R353" i="36"/>
  <c r="D353" i="36"/>
  <c r="U352" i="36"/>
  <c r="T352" i="36"/>
  <c r="S352" i="36"/>
  <c r="R352" i="36"/>
  <c r="D352" i="36"/>
  <c r="U351" i="36"/>
  <c r="T351" i="36"/>
  <c r="S351" i="36"/>
  <c r="R351" i="36"/>
  <c r="D351" i="36"/>
  <c r="U350" i="36"/>
  <c r="T350" i="36"/>
  <c r="S350" i="36"/>
  <c r="R350" i="36"/>
  <c r="D350" i="36"/>
  <c r="U349" i="36"/>
  <c r="T349" i="36"/>
  <c r="S349" i="36"/>
  <c r="R349" i="36"/>
  <c r="D349" i="36"/>
  <c r="U348" i="36"/>
  <c r="T348" i="36"/>
  <c r="S348" i="36"/>
  <c r="R348" i="36"/>
  <c r="D348" i="36"/>
  <c r="U347" i="36"/>
  <c r="T347" i="36"/>
  <c r="S347" i="36"/>
  <c r="R347" i="36"/>
  <c r="D347" i="36"/>
  <c r="U346" i="36"/>
  <c r="T346" i="36"/>
  <c r="S346" i="36"/>
  <c r="R346" i="36"/>
  <c r="D346" i="36"/>
  <c r="U345" i="36"/>
  <c r="T345" i="36"/>
  <c r="S345" i="36"/>
  <c r="R345" i="36"/>
  <c r="D345" i="36"/>
  <c r="U344" i="36"/>
  <c r="T344" i="36"/>
  <c r="S344" i="36"/>
  <c r="R344" i="36"/>
  <c r="D344" i="36"/>
  <c r="U343" i="36"/>
  <c r="T343" i="36"/>
  <c r="S343" i="36"/>
  <c r="R343" i="36"/>
  <c r="D343" i="36"/>
  <c r="U342" i="36"/>
  <c r="T342" i="36"/>
  <c r="S342" i="36"/>
  <c r="R342" i="36"/>
  <c r="D342" i="36"/>
  <c r="U341" i="36"/>
  <c r="T341" i="36"/>
  <c r="S341" i="36"/>
  <c r="R341" i="36"/>
  <c r="D341" i="36"/>
  <c r="U340" i="36"/>
  <c r="T340" i="36"/>
  <c r="S340" i="36"/>
  <c r="R340" i="36"/>
  <c r="D340" i="36"/>
  <c r="U339" i="36"/>
  <c r="T339" i="36"/>
  <c r="S339" i="36"/>
  <c r="R339" i="36"/>
  <c r="D339" i="36"/>
  <c r="U338" i="36"/>
  <c r="T338" i="36"/>
  <c r="S338" i="36"/>
  <c r="R338" i="36"/>
  <c r="D338" i="36"/>
  <c r="U337" i="36"/>
  <c r="T337" i="36"/>
  <c r="S337" i="36"/>
  <c r="R337" i="36"/>
  <c r="D337" i="36"/>
  <c r="U336" i="36"/>
  <c r="T336" i="36"/>
  <c r="S336" i="36"/>
  <c r="R336" i="36"/>
  <c r="D336" i="36"/>
  <c r="U335" i="36"/>
  <c r="T335" i="36"/>
  <c r="S335" i="36"/>
  <c r="R335" i="36"/>
  <c r="D335" i="36"/>
  <c r="U334" i="36"/>
  <c r="T334" i="36"/>
  <c r="S334" i="36"/>
  <c r="R334" i="36"/>
  <c r="D334" i="36"/>
  <c r="U333" i="36"/>
  <c r="T333" i="36"/>
  <c r="S333" i="36"/>
  <c r="R333" i="36"/>
  <c r="D333" i="36"/>
  <c r="U332" i="36"/>
  <c r="T332" i="36"/>
  <c r="S332" i="36"/>
  <c r="R332" i="36"/>
  <c r="D332" i="36"/>
  <c r="U331" i="36"/>
  <c r="T331" i="36"/>
  <c r="S331" i="36"/>
  <c r="R331" i="36"/>
  <c r="D331" i="36"/>
  <c r="U330" i="36"/>
  <c r="T330" i="36"/>
  <c r="S330" i="36"/>
  <c r="R330" i="36"/>
  <c r="D330" i="36"/>
  <c r="U329" i="36"/>
  <c r="T329" i="36"/>
  <c r="S329" i="36"/>
  <c r="R329" i="36"/>
  <c r="D329" i="36"/>
  <c r="U328" i="36"/>
  <c r="T328" i="36"/>
  <c r="S328" i="36"/>
  <c r="R328" i="36"/>
  <c r="D328" i="36"/>
  <c r="U327" i="36"/>
  <c r="T327" i="36"/>
  <c r="S327" i="36"/>
  <c r="R327" i="36"/>
  <c r="D327" i="36"/>
  <c r="U326" i="36"/>
  <c r="T326" i="36"/>
  <c r="S326" i="36"/>
  <c r="R326" i="36"/>
  <c r="D326" i="36"/>
  <c r="U325" i="36"/>
  <c r="T325" i="36"/>
  <c r="S325" i="36"/>
  <c r="R325" i="36"/>
  <c r="D325" i="36"/>
  <c r="U324" i="36"/>
  <c r="T324" i="36"/>
  <c r="S324" i="36"/>
  <c r="R324" i="36"/>
  <c r="D324" i="36"/>
  <c r="U323" i="36"/>
  <c r="T323" i="36"/>
  <c r="S323" i="36"/>
  <c r="R323" i="36"/>
  <c r="D323" i="36"/>
  <c r="U322" i="36"/>
  <c r="T322" i="36"/>
  <c r="S322" i="36"/>
  <c r="R322" i="36"/>
  <c r="D322" i="36"/>
  <c r="U321" i="36"/>
  <c r="T321" i="36"/>
  <c r="S321" i="36"/>
  <c r="R321" i="36"/>
  <c r="D321" i="36"/>
  <c r="U320" i="36"/>
  <c r="T320" i="36"/>
  <c r="S320" i="36"/>
  <c r="R320" i="36"/>
  <c r="D320" i="36"/>
  <c r="U319" i="36"/>
  <c r="T319" i="36"/>
  <c r="S319" i="36"/>
  <c r="R319" i="36"/>
  <c r="D319" i="36"/>
  <c r="U318" i="36"/>
  <c r="T318" i="36"/>
  <c r="S318" i="36"/>
  <c r="R318" i="36"/>
  <c r="D318" i="36"/>
  <c r="U317" i="36"/>
  <c r="T317" i="36"/>
  <c r="S317" i="36"/>
  <c r="R317" i="36"/>
  <c r="D317" i="36"/>
  <c r="U316" i="36"/>
  <c r="T316" i="36"/>
  <c r="S316" i="36"/>
  <c r="R316" i="36"/>
  <c r="D316" i="36"/>
  <c r="U315" i="36"/>
  <c r="T315" i="36"/>
  <c r="S315" i="36"/>
  <c r="R315" i="36"/>
  <c r="D315" i="36"/>
  <c r="U314" i="36"/>
  <c r="T314" i="36"/>
  <c r="S314" i="36"/>
  <c r="R314" i="36"/>
  <c r="D314" i="36"/>
  <c r="U313" i="36"/>
  <c r="T313" i="36"/>
  <c r="S313" i="36"/>
  <c r="R313" i="36"/>
  <c r="D313" i="36"/>
  <c r="U312" i="36"/>
  <c r="T312" i="36"/>
  <c r="S312" i="36"/>
  <c r="R312" i="36"/>
  <c r="D312" i="36"/>
  <c r="U311" i="36"/>
  <c r="T311" i="36"/>
  <c r="S311" i="36"/>
  <c r="R311" i="36"/>
  <c r="D311" i="36"/>
  <c r="U310" i="36"/>
  <c r="T310" i="36"/>
  <c r="S310" i="36"/>
  <c r="R310" i="36"/>
  <c r="D310" i="36"/>
  <c r="U309" i="36"/>
  <c r="T309" i="36"/>
  <c r="S309" i="36"/>
  <c r="R309" i="36"/>
  <c r="D309" i="36"/>
  <c r="U308" i="36"/>
  <c r="T308" i="36"/>
  <c r="S308" i="36"/>
  <c r="R308" i="36"/>
  <c r="D308" i="36"/>
  <c r="U307" i="36"/>
  <c r="T307" i="36"/>
  <c r="S307" i="36"/>
  <c r="R307" i="36"/>
  <c r="D307" i="36"/>
  <c r="U306" i="36"/>
  <c r="T306" i="36"/>
  <c r="S306" i="36"/>
  <c r="R306" i="36"/>
  <c r="D306" i="36"/>
  <c r="U305" i="36"/>
  <c r="T305" i="36"/>
  <c r="S305" i="36"/>
  <c r="R305" i="36"/>
  <c r="D305" i="36"/>
  <c r="U304" i="36"/>
  <c r="T304" i="36"/>
  <c r="S304" i="36"/>
  <c r="R304" i="36"/>
  <c r="D304" i="36"/>
  <c r="U303" i="36"/>
  <c r="T303" i="36"/>
  <c r="S303" i="36"/>
  <c r="R303" i="36"/>
  <c r="D303" i="36"/>
  <c r="U302" i="36"/>
  <c r="T302" i="36"/>
  <c r="S302" i="36"/>
  <c r="R302" i="36"/>
  <c r="D302" i="36"/>
  <c r="U301" i="36"/>
  <c r="T301" i="36"/>
  <c r="S301" i="36"/>
  <c r="R301" i="36"/>
  <c r="D301" i="36"/>
  <c r="U300" i="36"/>
  <c r="T300" i="36"/>
  <c r="S300" i="36"/>
  <c r="R300" i="36"/>
  <c r="D300" i="36"/>
  <c r="U299" i="36"/>
  <c r="T299" i="36"/>
  <c r="S299" i="36"/>
  <c r="R299" i="36"/>
  <c r="D299" i="36"/>
  <c r="U298" i="36"/>
  <c r="T298" i="36"/>
  <c r="S298" i="36"/>
  <c r="R298" i="36"/>
  <c r="D298" i="36"/>
  <c r="U297" i="36"/>
  <c r="T297" i="36"/>
  <c r="S297" i="36"/>
  <c r="R297" i="36"/>
  <c r="D297" i="36"/>
  <c r="U296" i="36"/>
  <c r="T296" i="36"/>
  <c r="S296" i="36"/>
  <c r="R296" i="36"/>
  <c r="D296" i="36"/>
  <c r="U295" i="36"/>
  <c r="T295" i="36"/>
  <c r="S295" i="36"/>
  <c r="R295" i="36"/>
  <c r="D295" i="36"/>
  <c r="U294" i="36"/>
  <c r="T294" i="36"/>
  <c r="S294" i="36"/>
  <c r="R294" i="36"/>
  <c r="D294" i="36"/>
  <c r="U293" i="36"/>
  <c r="T293" i="36"/>
  <c r="S293" i="36"/>
  <c r="R293" i="36"/>
  <c r="D293" i="36"/>
  <c r="U292" i="36"/>
  <c r="T292" i="36"/>
  <c r="S292" i="36"/>
  <c r="R292" i="36"/>
  <c r="D292" i="36"/>
  <c r="U291" i="36"/>
  <c r="T291" i="36"/>
  <c r="S291" i="36"/>
  <c r="R291" i="36"/>
  <c r="D291" i="36"/>
  <c r="U290" i="36"/>
  <c r="T290" i="36"/>
  <c r="S290" i="36"/>
  <c r="R290" i="36"/>
  <c r="D290" i="36"/>
  <c r="U289" i="36"/>
  <c r="T289" i="36"/>
  <c r="S289" i="36"/>
  <c r="R289" i="36"/>
  <c r="D289" i="36"/>
  <c r="U288" i="36"/>
  <c r="T288" i="36"/>
  <c r="S288" i="36"/>
  <c r="R288" i="36"/>
  <c r="D288" i="36"/>
  <c r="U287" i="36"/>
  <c r="T287" i="36"/>
  <c r="S287" i="36"/>
  <c r="R287" i="36"/>
  <c r="D287" i="36"/>
  <c r="U286" i="36"/>
  <c r="T286" i="36"/>
  <c r="S286" i="36"/>
  <c r="R286" i="36"/>
  <c r="D286" i="36"/>
  <c r="U285" i="36"/>
  <c r="T285" i="36"/>
  <c r="S285" i="36"/>
  <c r="R285" i="36"/>
  <c r="D285" i="36"/>
  <c r="U284" i="36"/>
  <c r="T284" i="36"/>
  <c r="S284" i="36"/>
  <c r="R284" i="36"/>
  <c r="D284" i="36"/>
  <c r="U283" i="36"/>
  <c r="T283" i="36"/>
  <c r="S283" i="36"/>
  <c r="R283" i="36"/>
  <c r="D283" i="36"/>
  <c r="U282" i="36"/>
  <c r="T282" i="36"/>
  <c r="S282" i="36"/>
  <c r="R282" i="36"/>
  <c r="D282" i="36"/>
  <c r="U281" i="36"/>
  <c r="T281" i="36"/>
  <c r="S281" i="36"/>
  <c r="R281" i="36"/>
  <c r="D281" i="36"/>
  <c r="U280" i="36"/>
  <c r="T280" i="36"/>
  <c r="S280" i="36"/>
  <c r="R280" i="36"/>
  <c r="D280" i="36"/>
  <c r="U279" i="36"/>
  <c r="T279" i="36"/>
  <c r="S279" i="36"/>
  <c r="R279" i="36"/>
  <c r="D279" i="36"/>
  <c r="U278" i="36"/>
  <c r="T278" i="36"/>
  <c r="S278" i="36"/>
  <c r="R278" i="36"/>
  <c r="D278" i="36"/>
  <c r="U277" i="36"/>
  <c r="T277" i="36"/>
  <c r="S277" i="36"/>
  <c r="R277" i="36"/>
  <c r="D277" i="36"/>
  <c r="U276" i="36"/>
  <c r="T276" i="36"/>
  <c r="S276" i="36"/>
  <c r="R276" i="36"/>
  <c r="D276" i="36"/>
  <c r="U275" i="36"/>
  <c r="T275" i="36"/>
  <c r="S275" i="36"/>
  <c r="R275" i="36"/>
  <c r="D275" i="36"/>
  <c r="U274" i="36"/>
  <c r="T274" i="36"/>
  <c r="S274" i="36"/>
  <c r="R274" i="36"/>
  <c r="D274" i="36"/>
  <c r="U273" i="36"/>
  <c r="T273" i="36"/>
  <c r="S273" i="36"/>
  <c r="R273" i="36"/>
  <c r="D273" i="36"/>
  <c r="U272" i="36"/>
  <c r="T272" i="36"/>
  <c r="S272" i="36"/>
  <c r="R272" i="36"/>
  <c r="D272" i="36"/>
  <c r="U271" i="36"/>
  <c r="T271" i="36"/>
  <c r="S271" i="36"/>
  <c r="R271" i="36"/>
  <c r="D271" i="36"/>
  <c r="U270" i="36"/>
  <c r="T270" i="36"/>
  <c r="S270" i="36"/>
  <c r="R270" i="36"/>
  <c r="D270" i="36"/>
  <c r="U269" i="36"/>
  <c r="T269" i="36"/>
  <c r="S269" i="36"/>
  <c r="R269" i="36"/>
  <c r="D269" i="36"/>
  <c r="U268" i="36"/>
  <c r="T268" i="36"/>
  <c r="S268" i="36"/>
  <c r="R268" i="36"/>
  <c r="D268" i="36"/>
  <c r="U267" i="36"/>
  <c r="T267" i="36"/>
  <c r="S267" i="36"/>
  <c r="R267" i="36"/>
  <c r="D267" i="36"/>
  <c r="U266" i="36"/>
  <c r="T266" i="36"/>
  <c r="S266" i="36"/>
  <c r="R266" i="36"/>
  <c r="D266" i="36"/>
  <c r="U265" i="36"/>
  <c r="T265" i="36"/>
  <c r="S265" i="36"/>
  <c r="R265" i="36"/>
  <c r="D265" i="36"/>
  <c r="U264" i="36"/>
  <c r="T264" i="36"/>
  <c r="S264" i="36"/>
  <c r="R264" i="36"/>
  <c r="D264" i="36"/>
  <c r="U263" i="36"/>
  <c r="T263" i="36"/>
  <c r="S263" i="36"/>
  <c r="R263" i="36"/>
  <c r="D263" i="36"/>
  <c r="U262" i="36"/>
  <c r="T262" i="36"/>
  <c r="S262" i="36"/>
  <c r="R262" i="36"/>
  <c r="D262" i="36"/>
  <c r="U261" i="36"/>
  <c r="T261" i="36"/>
  <c r="S261" i="36"/>
  <c r="R261" i="36"/>
  <c r="D261" i="36"/>
  <c r="U260" i="36"/>
  <c r="T260" i="36"/>
  <c r="S260" i="36"/>
  <c r="R260" i="36"/>
  <c r="D260" i="36"/>
  <c r="U259" i="36"/>
  <c r="T259" i="36"/>
  <c r="S259" i="36"/>
  <c r="R259" i="36"/>
  <c r="D259" i="36"/>
  <c r="U258" i="36"/>
  <c r="T258" i="36"/>
  <c r="S258" i="36"/>
  <c r="R258" i="36"/>
  <c r="D258" i="36"/>
  <c r="U257" i="36"/>
  <c r="T257" i="36"/>
  <c r="S257" i="36"/>
  <c r="R257" i="36"/>
  <c r="D257" i="36"/>
  <c r="U256" i="36"/>
  <c r="T256" i="36"/>
  <c r="S256" i="36"/>
  <c r="R256" i="36"/>
  <c r="D256" i="36"/>
  <c r="U255" i="36"/>
  <c r="T255" i="36"/>
  <c r="S255" i="36"/>
  <c r="R255" i="36"/>
  <c r="D255" i="36"/>
  <c r="U254" i="36"/>
  <c r="T254" i="36"/>
  <c r="S254" i="36"/>
  <c r="R254" i="36"/>
  <c r="D254" i="36"/>
  <c r="U253" i="36"/>
  <c r="T253" i="36"/>
  <c r="S253" i="36"/>
  <c r="R253" i="36"/>
  <c r="D253" i="36"/>
  <c r="U252" i="36"/>
  <c r="T252" i="36"/>
  <c r="S252" i="36"/>
  <c r="R252" i="36"/>
  <c r="D252" i="36"/>
  <c r="U251" i="36"/>
  <c r="T251" i="36"/>
  <c r="S251" i="36"/>
  <c r="R251" i="36"/>
  <c r="D251" i="36"/>
  <c r="U250" i="36"/>
  <c r="T250" i="36"/>
  <c r="S250" i="36"/>
  <c r="R250" i="36"/>
  <c r="D250" i="36"/>
  <c r="U249" i="36"/>
  <c r="T249" i="36"/>
  <c r="S249" i="36"/>
  <c r="R249" i="36"/>
  <c r="D249" i="36"/>
  <c r="U248" i="36"/>
  <c r="T248" i="36"/>
  <c r="S248" i="36"/>
  <c r="R248" i="36"/>
  <c r="D248" i="36"/>
  <c r="U247" i="36"/>
  <c r="T247" i="36"/>
  <c r="S247" i="36"/>
  <c r="R247" i="36"/>
  <c r="D247" i="36"/>
  <c r="U246" i="36"/>
  <c r="T246" i="36"/>
  <c r="S246" i="36"/>
  <c r="R246" i="36"/>
  <c r="D246" i="36"/>
  <c r="U245" i="36"/>
  <c r="T245" i="36"/>
  <c r="S245" i="36"/>
  <c r="R245" i="36"/>
  <c r="D245" i="36"/>
  <c r="U244" i="36"/>
  <c r="T244" i="36"/>
  <c r="S244" i="36"/>
  <c r="R244" i="36"/>
  <c r="D244" i="36"/>
  <c r="U243" i="36"/>
  <c r="T243" i="36"/>
  <c r="S243" i="36"/>
  <c r="R243" i="36"/>
  <c r="D243" i="36"/>
  <c r="U242" i="36"/>
  <c r="T242" i="36"/>
  <c r="S242" i="36"/>
  <c r="R242" i="36"/>
  <c r="D242" i="36"/>
  <c r="U241" i="36"/>
  <c r="T241" i="36"/>
  <c r="S241" i="36"/>
  <c r="R241" i="36"/>
  <c r="D241" i="36"/>
  <c r="U240" i="36"/>
  <c r="T240" i="36"/>
  <c r="S240" i="36"/>
  <c r="R240" i="36"/>
  <c r="D240" i="36"/>
  <c r="U239" i="36"/>
  <c r="T239" i="36"/>
  <c r="S239" i="36"/>
  <c r="R239" i="36"/>
  <c r="D239" i="36"/>
  <c r="U238" i="36"/>
  <c r="T238" i="36"/>
  <c r="S238" i="36"/>
  <c r="R238" i="36"/>
  <c r="D238" i="36"/>
  <c r="U237" i="36"/>
  <c r="T237" i="36"/>
  <c r="S237" i="36"/>
  <c r="R237" i="36"/>
  <c r="D237" i="36"/>
  <c r="U236" i="36"/>
  <c r="T236" i="36"/>
  <c r="S236" i="36"/>
  <c r="R236" i="36"/>
  <c r="D236" i="36"/>
  <c r="U235" i="36"/>
  <c r="T235" i="36"/>
  <c r="S235" i="36"/>
  <c r="R235" i="36"/>
  <c r="D235" i="36"/>
  <c r="U234" i="36"/>
  <c r="T234" i="36"/>
  <c r="S234" i="36"/>
  <c r="R234" i="36"/>
  <c r="D234" i="36"/>
  <c r="U233" i="36"/>
  <c r="T233" i="36"/>
  <c r="S233" i="36"/>
  <c r="R233" i="36"/>
  <c r="D233" i="36"/>
  <c r="U232" i="36"/>
  <c r="T232" i="36"/>
  <c r="S232" i="36"/>
  <c r="R232" i="36"/>
  <c r="D232" i="36"/>
  <c r="U231" i="36"/>
  <c r="T231" i="36"/>
  <c r="S231" i="36"/>
  <c r="R231" i="36"/>
  <c r="D231" i="36"/>
  <c r="U230" i="36"/>
  <c r="T230" i="36"/>
  <c r="S230" i="36"/>
  <c r="R230" i="36"/>
  <c r="D230" i="36"/>
  <c r="U229" i="36"/>
  <c r="T229" i="36"/>
  <c r="S229" i="36"/>
  <c r="R229" i="36"/>
  <c r="D229" i="36"/>
  <c r="U228" i="36"/>
  <c r="T228" i="36"/>
  <c r="S228" i="36"/>
  <c r="R228" i="36"/>
  <c r="D228" i="36"/>
  <c r="U227" i="36"/>
  <c r="T227" i="36"/>
  <c r="S227" i="36"/>
  <c r="R227" i="36"/>
  <c r="D227" i="36"/>
  <c r="U226" i="36"/>
  <c r="T226" i="36"/>
  <c r="S226" i="36"/>
  <c r="R226" i="36"/>
  <c r="D226" i="36"/>
  <c r="U225" i="36"/>
  <c r="T225" i="36"/>
  <c r="S225" i="36"/>
  <c r="R225" i="36"/>
  <c r="D225" i="36"/>
  <c r="U224" i="36"/>
  <c r="T224" i="36"/>
  <c r="S224" i="36"/>
  <c r="R224" i="36"/>
  <c r="D224" i="36"/>
  <c r="U223" i="36"/>
  <c r="T223" i="36"/>
  <c r="S223" i="36"/>
  <c r="R223" i="36"/>
  <c r="D223" i="36"/>
  <c r="U222" i="36"/>
  <c r="T222" i="36"/>
  <c r="S222" i="36"/>
  <c r="R222" i="36"/>
  <c r="D222" i="36"/>
  <c r="U221" i="36"/>
  <c r="T221" i="36"/>
  <c r="S221" i="36"/>
  <c r="R221" i="36"/>
  <c r="D221" i="36"/>
  <c r="U220" i="36"/>
  <c r="T220" i="36"/>
  <c r="S220" i="36"/>
  <c r="R220" i="36"/>
  <c r="D220" i="36"/>
  <c r="U219" i="36"/>
  <c r="T219" i="36"/>
  <c r="S219" i="36"/>
  <c r="R219" i="36"/>
  <c r="D219" i="36"/>
  <c r="U218" i="36"/>
  <c r="T218" i="36"/>
  <c r="S218" i="36"/>
  <c r="R218" i="36"/>
  <c r="D218" i="36"/>
  <c r="U217" i="36"/>
  <c r="T217" i="36"/>
  <c r="S217" i="36"/>
  <c r="R217" i="36"/>
  <c r="D217" i="36"/>
  <c r="U216" i="36"/>
  <c r="T216" i="36"/>
  <c r="S216" i="36"/>
  <c r="R216" i="36"/>
  <c r="D216" i="36"/>
  <c r="U215" i="36"/>
  <c r="T215" i="36"/>
  <c r="S215" i="36"/>
  <c r="R215" i="36"/>
  <c r="D215" i="36"/>
  <c r="U214" i="36"/>
  <c r="T214" i="36"/>
  <c r="S214" i="36"/>
  <c r="R214" i="36"/>
  <c r="D214" i="36"/>
  <c r="U213" i="36"/>
  <c r="T213" i="36"/>
  <c r="S213" i="36"/>
  <c r="R213" i="36"/>
  <c r="D213" i="36"/>
  <c r="U212" i="36"/>
  <c r="T212" i="36"/>
  <c r="S212" i="36"/>
  <c r="R212" i="36"/>
  <c r="D212" i="36"/>
  <c r="U211" i="36"/>
  <c r="T211" i="36"/>
  <c r="S211" i="36"/>
  <c r="R211" i="36"/>
  <c r="D211" i="36"/>
  <c r="U210" i="36"/>
  <c r="T210" i="36"/>
  <c r="S210" i="36"/>
  <c r="R210" i="36"/>
  <c r="D210" i="36"/>
  <c r="U209" i="36"/>
  <c r="T209" i="36"/>
  <c r="S209" i="36"/>
  <c r="R209" i="36"/>
  <c r="D209" i="36"/>
  <c r="U208" i="36"/>
  <c r="T208" i="36"/>
  <c r="S208" i="36"/>
  <c r="R208" i="36"/>
  <c r="D208" i="36"/>
  <c r="U207" i="36"/>
  <c r="T207" i="36"/>
  <c r="S207" i="36"/>
  <c r="R207" i="36"/>
  <c r="D207" i="36"/>
  <c r="U206" i="36"/>
  <c r="T206" i="36"/>
  <c r="S206" i="36"/>
  <c r="R206" i="36"/>
  <c r="D206" i="36"/>
  <c r="U205" i="36"/>
  <c r="T205" i="36"/>
  <c r="S205" i="36"/>
  <c r="R205" i="36"/>
  <c r="D205" i="36"/>
  <c r="U204" i="36"/>
  <c r="T204" i="36"/>
  <c r="S204" i="36"/>
  <c r="R204" i="36"/>
  <c r="D204" i="36"/>
  <c r="U203" i="36"/>
  <c r="T203" i="36"/>
  <c r="S203" i="36"/>
  <c r="R203" i="36"/>
  <c r="D203" i="36"/>
  <c r="U202" i="36"/>
  <c r="T202" i="36"/>
  <c r="S202" i="36"/>
  <c r="R202" i="36"/>
  <c r="D202" i="36"/>
  <c r="U201" i="36"/>
  <c r="T201" i="36"/>
  <c r="S201" i="36"/>
  <c r="R201" i="36"/>
  <c r="D201" i="36"/>
  <c r="U200" i="36"/>
  <c r="T200" i="36"/>
  <c r="S200" i="36"/>
  <c r="R200" i="36"/>
  <c r="D200" i="36"/>
  <c r="U199" i="36"/>
  <c r="T199" i="36"/>
  <c r="S199" i="36"/>
  <c r="R199" i="36"/>
  <c r="D199" i="36"/>
  <c r="U198" i="36"/>
  <c r="T198" i="36"/>
  <c r="S198" i="36"/>
  <c r="R198" i="36"/>
  <c r="D198" i="36"/>
  <c r="U197" i="36"/>
  <c r="T197" i="36"/>
  <c r="S197" i="36"/>
  <c r="R197" i="36"/>
  <c r="D197" i="36"/>
  <c r="U196" i="36"/>
  <c r="T196" i="36"/>
  <c r="S196" i="36"/>
  <c r="R196" i="36"/>
  <c r="D196" i="36"/>
  <c r="U195" i="36"/>
  <c r="T195" i="36"/>
  <c r="S195" i="36"/>
  <c r="R195" i="36"/>
  <c r="D195" i="36"/>
  <c r="U194" i="36"/>
  <c r="T194" i="36"/>
  <c r="S194" i="36"/>
  <c r="R194" i="36"/>
  <c r="D194" i="36"/>
  <c r="U193" i="36"/>
  <c r="T193" i="36"/>
  <c r="S193" i="36"/>
  <c r="R193" i="36"/>
  <c r="D193" i="36"/>
  <c r="U192" i="36"/>
  <c r="T192" i="36"/>
  <c r="S192" i="36"/>
  <c r="R192" i="36"/>
  <c r="D192" i="36"/>
  <c r="U191" i="36"/>
  <c r="T191" i="36"/>
  <c r="S191" i="36"/>
  <c r="R191" i="36"/>
  <c r="D191" i="36"/>
  <c r="U190" i="36"/>
  <c r="T190" i="36"/>
  <c r="S190" i="36"/>
  <c r="R190" i="36"/>
  <c r="D190" i="36"/>
  <c r="U189" i="36"/>
  <c r="T189" i="36"/>
  <c r="S189" i="36"/>
  <c r="R189" i="36"/>
  <c r="D189" i="36"/>
  <c r="U188" i="36"/>
  <c r="T188" i="36"/>
  <c r="S188" i="36"/>
  <c r="R188" i="36"/>
  <c r="D188" i="36"/>
  <c r="U187" i="36"/>
  <c r="T187" i="36"/>
  <c r="S187" i="36"/>
  <c r="R187" i="36"/>
  <c r="D187" i="36"/>
  <c r="U186" i="36"/>
  <c r="T186" i="36"/>
  <c r="S186" i="36"/>
  <c r="R186" i="36"/>
  <c r="D186" i="36"/>
  <c r="U185" i="36"/>
  <c r="T185" i="36"/>
  <c r="S185" i="36"/>
  <c r="R185" i="36"/>
  <c r="D185" i="36"/>
  <c r="U184" i="36"/>
  <c r="T184" i="36"/>
  <c r="S184" i="36"/>
  <c r="R184" i="36"/>
  <c r="D184" i="36"/>
  <c r="U183" i="36"/>
  <c r="T183" i="36"/>
  <c r="S183" i="36"/>
  <c r="R183" i="36"/>
  <c r="D183" i="36"/>
  <c r="U182" i="36"/>
  <c r="T182" i="36"/>
  <c r="S182" i="36"/>
  <c r="R182" i="36"/>
  <c r="D182" i="36"/>
  <c r="U181" i="36"/>
  <c r="T181" i="36"/>
  <c r="S181" i="36"/>
  <c r="R181" i="36"/>
  <c r="D181" i="36"/>
  <c r="U180" i="36"/>
  <c r="T180" i="36"/>
  <c r="S180" i="36"/>
  <c r="R180" i="36"/>
  <c r="D180" i="36"/>
  <c r="U179" i="36"/>
  <c r="T179" i="36"/>
  <c r="S179" i="36"/>
  <c r="R179" i="36"/>
  <c r="D179" i="36"/>
  <c r="U178" i="36"/>
  <c r="T178" i="36"/>
  <c r="S178" i="36"/>
  <c r="R178" i="36"/>
  <c r="D178" i="36"/>
  <c r="U177" i="36"/>
  <c r="T177" i="36"/>
  <c r="S177" i="36"/>
  <c r="R177" i="36"/>
  <c r="D177" i="36"/>
  <c r="U176" i="36"/>
  <c r="T176" i="36"/>
  <c r="S176" i="36"/>
  <c r="R176" i="36"/>
  <c r="D176" i="36"/>
  <c r="U175" i="36"/>
  <c r="T175" i="36"/>
  <c r="S175" i="36"/>
  <c r="R175" i="36"/>
  <c r="D175" i="36"/>
  <c r="U174" i="36"/>
  <c r="T174" i="36"/>
  <c r="S174" i="36"/>
  <c r="R174" i="36"/>
  <c r="D174" i="36"/>
  <c r="U173" i="36"/>
  <c r="T173" i="36"/>
  <c r="S173" i="36"/>
  <c r="R173" i="36"/>
  <c r="D173" i="36"/>
  <c r="U172" i="36"/>
  <c r="T172" i="36"/>
  <c r="S172" i="36"/>
  <c r="R172" i="36"/>
  <c r="D172" i="36"/>
  <c r="U171" i="36"/>
  <c r="T171" i="36"/>
  <c r="S171" i="36"/>
  <c r="R171" i="36"/>
  <c r="D171" i="36"/>
  <c r="U170" i="36"/>
  <c r="T170" i="36"/>
  <c r="S170" i="36"/>
  <c r="R170" i="36"/>
  <c r="D170" i="36"/>
  <c r="U169" i="36"/>
  <c r="T169" i="36"/>
  <c r="S169" i="36"/>
  <c r="R169" i="36"/>
  <c r="D169" i="36"/>
  <c r="U168" i="36"/>
  <c r="T168" i="36"/>
  <c r="S168" i="36"/>
  <c r="R168" i="36"/>
  <c r="D168" i="36"/>
  <c r="U167" i="36"/>
  <c r="T167" i="36"/>
  <c r="S167" i="36"/>
  <c r="R167" i="36"/>
  <c r="D167" i="36"/>
  <c r="U166" i="36"/>
  <c r="T166" i="36"/>
  <c r="S166" i="36"/>
  <c r="R166" i="36"/>
  <c r="D166" i="36"/>
  <c r="U165" i="36"/>
  <c r="T165" i="36"/>
  <c r="S165" i="36"/>
  <c r="R165" i="36"/>
  <c r="D165" i="36"/>
  <c r="U164" i="36"/>
  <c r="T164" i="36"/>
  <c r="S164" i="36"/>
  <c r="R164" i="36"/>
  <c r="D164" i="36"/>
  <c r="U163" i="36"/>
  <c r="T163" i="36"/>
  <c r="S163" i="36"/>
  <c r="R163" i="36"/>
  <c r="D163" i="36"/>
  <c r="U162" i="36"/>
  <c r="T162" i="36"/>
  <c r="S162" i="36"/>
  <c r="R162" i="36"/>
  <c r="D162" i="36"/>
  <c r="U161" i="36"/>
  <c r="T161" i="36"/>
  <c r="S161" i="36"/>
  <c r="R161" i="36"/>
  <c r="D161" i="36"/>
  <c r="U160" i="36"/>
  <c r="T160" i="36"/>
  <c r="S160" i="36"/>
  <c r="R160" i="36"/>
  <c r="D160" i="36"/>
  <c r="U159" i="36"/>
  <c r="T159" i="36"/>
  <c r="S159" i="36"/>
  <c r="R159" i="36"/>
  <c r="D159" i="36"/>
  <c r="U158" i="36"/>
  <c r="T158" i="36"/>
  <c r="S158" i="36"/>
  <c r="R158" i="36"/>
  <c r="D158" i="36"/>
  <c r="U157" i="36"/>
  <c r="T157" i="36"/>
  <c r="S157" i="36"/>
  <c r="R157" i="36"/>
  <c r="D157" i="36"/>
  <c r="U156" i="36"/>
  <c r="T156" i="36"/>
  <c r="S156" i="36"/>
  <c r="R156" i="36"/>
  <c r="D156" i="36"/>
  <c r="U155" i="36"/>
  <c r="T155" i="36"/>
  <c r="S155" i="36"/>
  <c r="R155" i="36"/>
  <c r="D155" i="36"/>
  <c r="U154" i="36"/>
  <c r="T154" i="36"/>
  <c r="S154" i="36"/>
  <c r="R154" i="36"/>
  <c r="D154" i="36"/>
  <c r="U153" i="36"/>
  <c r="T153" i="36"/>
  <c r="S153" i="36"/>
  <c r="R153" i="36"/>
  <c r="D153" i="36"/>
  <c r="U152" i="36"/>
  <c r="T152" i="36"/>
  <c r="S152" i="36"/>
  <c r="R152" i="36"/>
  <c r="D152" i="36"/>
  <c r="U151" i="36"/>
  <c r="T151" i="36"/>
  <c r="S151" i="36"/>
  <c r="R151" i="36"/>
  <c r="D151" i="36"/>
  <c r="U150" i="36"/>
  <c r="T150" i="36"/>
  <c r="S150" i="36"/>
  <c r="R150" i="36"/>
  <c r="D150" i="36"/>
  <c r="U149" i="36"/>
  <c r="T149" i="36"/>
  <c r="S149" i="36"/>
  <c r="R149" i="36"/>
  <c r="D149" i="36"/>
  <c r="U148" i="36"/>
  <c r="T148" i="36"/>
  <c r="S148" i="36"/>
  <c r="R148" i="36"/>
  <c r="D148" i="36"/>
  <c r="U147" i="36"/>
  <c r="T147" i="36"/>
  <c r="S147" i="36"/>
  <c r="R147" i="36"/>
  <c r="D147" i="36"/>
  <c r="U146" i="36"/>
  <c r="T146" i="36"/>
  <c r="S146" i="36"/>
  <c r="R146" i="36"/>
  <c r="D146" i="36"/>
  <c r="U145" i="36"/>
  <c r="T145" i="36"/>
  <c r="S145" i="36"/>
  <c r="R145" i="36"/>
  <c r="D145" i="36"/>
  <c r="U144" i="36"/>
  <c r="T144" i="36"/>
  <c r="S144" i="36"/>
  <c r="R144" i="36"/>
  <c r="D144" i="36"/>
  <c r="U143" i="36"/>
  <c r="T143" i="36"/>
  <c r="S143" i="36"/>
  <c r="R143" i="36"/>
  <c r="D143" i="36"/>
  <c r="U142" i="36"/>
  <c r="T142" i="36"/>
  <c r="S142" i="36"/>
  <c r="R142" i="36"/>
  <c r="D142" i="36"/>
  <c r="U141" i="36"/>
  <c r="T141" i="36"/>
  <c r="S141" i="36"/>
  <c r="R141" i="36"/>
  <c r="D141" i="36"/>
  <c r="U140" i="36"/>
  <c r="T140" i="36"/>
  <c r="S140" i="36"/>
  <c r="R140" i="36"/>
  <c r="D140" i="36"/>
  <c r="U139" i="36"/>
  <c r="T139" i="36"/>
  <c r="S139" i="36"/>
  <c r="R139" i="36"/>
  <c r="D139" i="36"/>
  <c r="U138" i="36"/>
  <c r="T138" i="36"/>
  <c r="S138" i="36"/>
  <c r="R138" i="36"/>
  <c r="D138" i="36"/>
  <c r="U137" i="36"/>
  <c r="T137" i="36"/>
  <c r="S137" i="36"/>
  <c r="R137" i="36"/>
  <c r="D137" i="36"/>
  <c r="U136" i="36"/>
  <c r="T136" i="36"/>
  <c r="S136" i="36"/>
  <c r="R136" i="36"/>
  <c r="D136" i="36"/>
  <c r="U135" i="36"/>
  <c r="T135" i="36"/>
  <c r="S135" i="36"/>
  <c r="R135" i="36"/>
  <c r="D135" i="36"/>
  <c r="U134" i="36"/>
  <c r="T134" i="36"/>
  <c r="S134" i="36"/>
  <c r="R134" i="36"/>
  <c r="D134" i="36"/>
  <c r="U133" i="36"/>
  <c r="T133" i="36"/>
  <c r="S133" i="36"/>
  <c r="R133" i="36"/>
  <c r="D133" i="36"/>
  <c r="U132" i="36"/>
  <c r="T132" i="36"/>
  <c r="S132" i="36"/>
  <c r="R132" i="36"/>
  <c r="D132" i="36"/>
  <c r="U131" i="36"/>
  <c r="T131" i="36"/>
  <c r="S131" i="36"/>
  <c r="R131" i="36"/>
  <c r="D131" i="36"/>
  <c r="U130" i="36"/>
  <c r="T130" i="36"/>
  <c r="S130" i="36"/>
  <c r="R130" i="36"/>
  <c r="D130" i="36"/>
  <c r="U129" i="36"/>
  <c r="T129" i="36"/>
  <c r="S129" i="36"/>
  <c r="R129" i="36"/>
  <c r="D129" i="36"/>
  <c r="U128" i="36"/>
  <c r="T128" i="36"/>
  <c r="S128" i="36"/>
  <c r="R128" i="36"/>
  <c r="D128" i="36"/>
  <c r="U127" i="36"/>
  <c r="T127" i="36"/>
  <c r="S127" i="36"/>
  <c r="R127" i="36"/>
  <c r="D127" i="36"/>
  <c r="U126" i="36"/>
  <c r="T126" i="36"/>
  <c r="S126" i="36"/>
  <c r="R126" i="36"/>
  <c r="D126" i="36"/>
  <c r="U125" i="36"/>
  <c r="T125" i="36"/>
  <c r="S125" i="36"/>
  <c r="R125" i="36"/>
  <c r="D125" i="36"/>
  <c r="U124" i="36"/>
  <c r="T124" i="36"/>
  <c r="S124" i="36"/>
  <c r="R124" i="36"/>
  <c r="D124" i="36"/>
  <c r="U123" i="36"/>
  <c r="T123" i="36"/>
  <c r="S123" i="36"/>
  <c r="R123" i="36"/>
  <c r="D123" i="36"/>
  <c r="U122" i="36"/>
  <c r="T122" i="36"/>
  <c r="S122" i="36"/>
  <c r="R122" i="36"/>
  <c r="D122" i="36"/>
  <c r="U121" i="36"/>
  <c r="T121" i="36"/>
  <c r="S121" i="36"/>
  <c r="R121" i="36"/>
  <c r="D121" i="36"/>
  <c r="U120" i="36"/>
  <c r="T120" i="36"/>
  <c r="S120" i="36"/>
  <c r="R120" i="36"/>
  <c r="D120" i="36"/>
  <c r="U119" i="36"/>
  <c r="T119" i="36"/>
  <c r="S119" i="36"/>
  <c r="R119" i="36"/>
  <c r="D119" i="36"/>
  <c r="U118" i="36"/>
  <c r="T118" i="36"/>
  <c r="S118" i="36"/>
  <c r="R118" i="36"/>
  <c r="D118" i="36"/>
  <c r="U117" i="36"/>
  <c r="T117" i="36"/>
  <c r="S117" i="36"/>
  <c r="R117" i="36"/>
  <c r="D117" i="36"/>
  <c r="U116" i="36"/>
  <c r="T116" i="36"/>
  <c r="S116" i="36"/>
  <c r="R116" i="36"/>
  <c r="D116" i="36"/>
  <c r="U115" i="36"/>
  <c r="T115" i="36"/>
  <c r="S115" i="36"/>
  <c r="R115" i="36"/>
  <c r="D115" i="36"/>
  <c r="U114" i="36"/>
  <c r="T114" i="36"/>
  <c r="S114" i="36"/>
  <c r="R114" i="36"/>
  <c r="D114" i="36"/>
  <c r="U113" i="36"/>
  <c r="T113" i="36"/>
  <c r="S113" i="36"/>
  <c r="R113" i="36"/>
  <c r="D113" i="36"/>
  <c r="U112" i="36"/>
  <c r="T112" i="36"/>
  <c r="S112" i="36"/>
  <c r="R112" i="36"/>
  <c r="D112" i="36"/>
  <c r="U111" i="36"/>
  <c r="T111" i="36"/>
  <c r="S111" i="36"/>
  <c r="R111" i="36"/>
  <c r="D111" i="36"/>
  <c r="U110" i="36"/>
  <c r="T110" i="36"/>
  <c r="S110" i="36"/>
  <c r="R110" i="36"/>
  <c r="D110" i="36"/>
  <c r="U109" i="36"/>
  <c r="T109" i="36"/>
  <c r="S109" i="36"/>
  <c r="R109" i="36"/>
  <c r="D109" i="36"/>
  <c r="U108" i="36"/>
  <c r="T108" i="36"/>
  <c r="S108" i="36"/>
  <c r="R108" i="36"/>
  <c r="D108" i="36"/>
  <c r="U107" i="36"/>
  <c r="T107" i="36"/>
  <c r="S107" i="36"/>
  <c r="R107" i="36"/>
  <c r="D107" i="36"/>
  <c r="U106" i="36"/>
  <c r="T106" i="36"/>
  <c r="S106" i="36"/>
  <c r="R106" i="36"/>
  <c r="D106" i="36"/>
  <c r="U105" i="36"/>
  <c r="T105" i="36"/>
  <c r="S105" i="36"/>
  <c r="R105" i="36"/>
  <c r="D105" i="36"/>
  <c r="U104" i="36"/>
  <c r="T104" i="36"/>
  <c r="S104" i="36"/>
  <c r="R104" i="36"/>
  <c r="D104" i="36"/>
  <c r="U103" i="36"/>
  <c r="T103" i="36"/>
  <c r="S103" i="36"/>
  <c r="R103" i="36"/>
  <c r="D103" i="36"/>
  <c r="U102" i="36"/>
  <c r="T102" i="36"/>
  <c r="S102" i="36"/>
  <c r="R102" i="36"/>
  <c r="D102" i="36"/>
  <c r="U101" i="36"/>
  <c r="T101" i="36"/>
  <c r="S101" i="36"/>
  <c r="R101" i="36"/>
  <c r="D101" i="36"/>
  <c r="U100" i="36"/>
  <c r="T100" i="36"/>
  <c r="S100" i="36"/>
  <c r="R100" i="36"/>
  <c r="D100" i="36"/>
  <c r="U99" i="36"/>
  <c r="T99" i="36"/>
  <c r="S99" i="36"/>
  <c r="R99" i="36"/>
  <c r="D99" i="36"/>
  <c r="U98" i="36"/>
  <c r="T98" i="36"/>
  <c r="S98" i="36"/>
  <c r="R98" i="36"/>
  <c r="D98" i="36"/>
  <c r="U97" i="36"/>
  <c r="T97" i="36"/>
  <c r="S97" i="36"/>
  <c r="R97" i="36"/>
  <c r="D97" i="36"/>
  <c r="U96" i="36"/>
  <c r="T96" i="36"/>
  <c r="S96" i="36"/>
  <c r="R96" i="36"/>
  <c r="D96" i="36"/>
  <c r="U95" i="36"/>
  <c r="T95" i="36"/>
  <c r="S95" i="36"/>
  <c r="R95" i="36"/>
  <c r="D95" i="36"/>
  <c r="U94" i="36"/>
  <c r="T94" i="36"/>
  <c r="S94" i="36"/>
  <c r="R94" i="36"/>
  <c r="D94" i="36"/>
  <c r="U93" i="36"/>
  <c r="T93" i="36"/>
  <c r="S93" i="36"/>
  <c r="R93" i="36"/>
  <c r="D93" i="36"/>
  <c r="U92" i="36"/>
  <c r="T92" i="36"/>
  <c r="S92" i="36"/>
  <c r="R92" i="36"/>
  <c r="D92" i="36"/>
  <c r="U91" i="36"/>
  <c r="T91" i="36"/>
  <c r="S91" i="36"/>
  <c r="R91" i="36"/>
  <c r="D91" i="36"/>
  <c r="U90" i="36"/>
  <c r="T90" i="36"/>
  <c r="S90" i="36"/>
  <c r="R90" i="36"/>
  <c r="D90" i="36"/>
  <c r="U89" i="36"/>
  <c r="T89" i="36"/>
  <c r="S89" i="36"/>
  <c r="R89" i="36"/>
  <c r="D89" i="36"/>
  <c r="U88" i="36"/>
  <c r="T88" i="36"/>
  <c r="S88" i="36"/>
  <c r="R88" i="36"/>
  <c r="D88" i="36"/>
  <c r="U87" i="36"/>
  <c r="T87" i="36"/>
  <c r="S87" i="36"/>
  <c r="R87" i="36"/>
  <c r="D87" i="36"/>
  <c r="U86" i="36"/>
  <c r="T86" i="36"/>
  <c r="S86" i="36"/>
  <c r="R86" i="36"/>
  <c r="D86" i="36"/>
  <c r="U85" i="36"/>
  <c r="T85" i="36"/>
  <c r="S85" i="36"/>
  <c r="R85" i="36"/>
  <c r="D85" i="36"/>
  <c r="U84" i="36"/>
  <c r="T84" i="36"/>
  <c r="S84" i="36"/>
  <c r="R84" i="36"/>
  <c r="D84" i="36"/>
  <c r="U83" i="36"/>
  <c r="T83" i="36"/>
  <c r="S83" i="36"/>
  <c r="R83" i="36"/>
  <c r="D83" i="36"/>
  <c r="U82" i="36"/>
  <c r="T82" i="36"/>
  <c r="S82" i="36"/>
  <c r="R82" i="36"/>
  <c r="D82" i="36"/>
  <c r="U81" i="36"/>
  <c r="T81" i="36"/>
  <c r="S81" i="36"/>
  <c r="R81" i="36"/>
  <c r="D81" i="36"/>
  <c r="U80" i="36"/>
  <c r="T80" i="36"/>
  <c r="S80" i="36"/>
  <c r="R80" i="36"/>
  <c r="D80" i="36"/>
  <c r="U79" i="36"/>
  <c r="T79" i="36"/>
  <c r="S79" i="36"/>
  <c r="R79" i="36"/>
  <c r="D79" i="36"/>
  <c r="U78" i="36"/>
  <c r="T78" i="36"/>
  <c r="S78" i="36"/>
  <c r="R78" i="36"/>
  <c r="D78" i="36"/>
  <c r="U77" i="36"/>
  <c r="T77" i="36"/>
  <c r="S77" i="36"/>
  <c r="R77" i="36"/>
  <c r="D77" i="36"/>
  <c r="U76" i="36"/>
  <c r="T76" i="36"/>
  <c r="S76" i="36"/>
  <c r="R76" i="36"/>
  <c r="D76" i="36"/>
  <c r="U75" i="36"/>
  <c r="T75" i="36"/>
  <c r="S75" i="36"/>
  <c r="R75" i="36"/>
  <c r="D75" i="36"/>
  <c r="U74" i="36"/>
  <c r="T74" i="36"/>
  <c r="S74" i="36"/>
  <c r="R74" i="36"/>
  <c r="D74" i="36"/>
  <c r="U73" i="36"/>
  <c r="T73" i="36"/>
  <c r="S73" i="36"/>
  <c r="R73" i="36"/>
  <c r="D73" i="36"/>
  <c r="U72" i="36"/>
  <c r="T72" i="36"/>
  <c r="S72" i="36"/>
  <c r="R72" i="36"/>
  <c r="D72" i="36"/>
  <c r="U71" i="36"/>
  <c r="T71" i="36"/>
  <c r="S71" i="36"/>
  <c r="R71" i="36"/>
  <c r="D71" i="36"/>
  <c r="U70" i="36"/>
  <c r="T70" i="36"/>
  <c r="S70" i="36"/>
  <c r="R70" i="36"/>
  <c r="D70" i="36"/>
  <c r="U69" i="36"/>
  <c r="T69" i="36"/>
  <c r="S69" i="36"/>
  <c r="R69" i="36"/>
  <c r="D69" i="36"/>
  <c r="U68" i="36"/>
  <c r="T68" i="36"/>
  <c r="S68" i="36"/>
  <c r="R68" i="36"/>
  <c r="D68" i="36"/>
  <c r="U67" i="36"/>
  <c r="T67" i="36"/>
  <c r="S67" i="36"/>
  <c r="R67" i="36"/>
  <c r="D67" i="36"/>
  <c r="U66" i="36"/>
  <c r="T66" i="36"/>
  <c r="S66" i="36"/>
  <c r="R66" i="36"/>
  <c r="D66" i="36"/>
  <c r="U65" i="36"/>
  <c r="T65" i="36"/>
  <c r="S65" i="36"/>
  <c r="R65" i="36"/>
  <c r="D65" i="36"/>
  <c r="U64" i="36"/>
  <c r="T64" i="36"/>
  <c r="S64" i="36"/>
  <c r="R64" i="36"/>
  <c r="D64" i="36"/>
  <c r="U63" i="36"/>
  <c r="T63" i="36"/>
  <c r="S63" i="36"/>
  <c r="R63" i="36"/>
  <c r="D63" i="36"/>
  <c r="U62" i="36"/>
  <c r="T62" i="36"/>
  <c r="S62" i="36"/>
  <c r="R62" i="36"/>
  <c r="D62" i="36"/>
  <c r="U61" i="36"/>
  <c r="T61" i="36"/>
  <c r="S61" i="36"/>
  <c r="R61" i="36"/>
  <c r="D61" i="36"/>
  <c r="U60" i="36"/>
  <c r="T60" i="36"/>
  <c r="S60" i="36"/>
  <c r="R60" i="36"/>
  <c r="D60" i="36"/>
  <c r="U59" i="36"/>
  <c r="T59" i="36"/>
  <c r="S59" i="36"/>
  <c r="R59" i="36"/>
  <c r="D59" i="36"/>
  <c r="U58" i="36"/>
  <c r="T58" i="36"/>
  <c r="S58" i="36"/>
  <c r="R58" i="36"/>
  <c r="D58" i="36"/>
  <c r="U57" i="36"/>
  <c r="T57" i="36"/>
  <c r="S57" i="36"/>
  <c r="R57" i="36"/>
  <c r="D57" i="36"/>
  <c r="U56" i="36"/>
  <c r="T56" i="36"/>
  <c r="S56" i="36"/>
  <c r="R56" i="36"/>
  <c r="D56" i="36"/>
  <c r="U55" i="36"/>
  <c r="T55" i="36"/>
  <c r="S55" i="36"/>
  <c r="R55" i="36"/>
  <c r="D55" i="36"/>
  <c r="U54" i="36"/>
  <c r="T54" i="36"/>
  <c r="S54" i="36"/>
  <c r="R54" i="36"/>
  <c r="D54" i="36"/>
  <c r="U53" i="36"/>
  <c r="T53" i="36"/>
  <c r="S53" i="36"/>
  <c r="R53" i="36"/>
  <c r="D53" i="36"/>
  <c r="U52" i="36"/>
  <c r="T52" i="36"/>
  <c r="S52" i="36"/>
  <c r="R52" i="36"/>
  <c r="D52" i="36"/>
  <c r="U51" i="36"/>
  <c r="T51" i="36"/>
  <c r="S51" i="36"/>
  <c r="R51" i="36"/>
  <c r="D51" i="36"/>
  <c r="U50" i="36"/>
  <c r="T50" i="36"/>
  <c r="S50" i="36"/>
  <c r="R50" i="36"/>
  <c r="D50" i="36"/>
  <c r="U49" i="36"/>
  <c r="T49" i="36"/>
  <c r="S49" i="36"/>
  <c r="R49" i="36"/>
  <c r="D49" i="36"/>
  <c r="U48" i="36"/>
  <c r="T48" i="36"/>
  <c r="S48" i="36"/>
  <c r="R48" i="36"/>
  <c r="D48" i="36"/>
  <c r="U47" i="36"/>
  <c r="T47" i="36"/>
  <c r="S47" i="36"/>
  <c r="R47" i="36"/>
  <c r="D47" i="36"/>
  <c r="U46" i="36"/>
  <c r="T46" i="36"/>
  <c r="S46" i="36"/>
  <c r="R46" i="36"/>
  <c r="D46" i="36"/>
  <c r="U45" i="36"/>
  <c r="T45" i="36"/>
  <c r="S45" i="36"/>
  <c r="R45" i="36"/>
  <c r="D45" i="36"/>
  <c r="U44" i="36"/>
  <c r="T44" i="36"/>
  <c r="S44" i="36"/>
  <c r="R44" i="36"/>
  <c r="D44" i="36"/>
  <c r="U43" i="36"/>
  <c r="T43" i="36"/>
  <c r="S43" i="36"/>
  <c r="R43" i="36"/>
  <c r="D43" i="36"/>
  <c r="U42" i="36"/>
  <c r="T42" i="36"/>
  <c r="S42" i="36"/>
  <c r="R42" i="36"/>
  <c r="D42" i="36"/>
  <c r="U41" i="36"/>
  <c r="T41" i="36"/>
  <c r="S41" i="36"/>
  <c r="R41" i="36"/>
  <c r="D41" i="36"/>
  <c r="U40" i="36"/>
  <c r="T40" i="36"/>
  <c r="S40" i="36"/>
  <c r="R40" i="36"/>
  <c r="D40" i="36"/>
  <c r="U39" i="36"/>
  <c r="T39" i="36"/>
  <c r="S39" i="36"/>
  <c r="R39" i="36"/>
  <c r="D39" i="36"/>
  <c r="U38" i="36"/>
  <c r="T38" i="36"/>
  <c r="S38" i="36"/>
  <c r="R38" i="36"/>
  <c r="D38" i="36"/>
  <c r="U37" i="36"/>
  <c r="T37" i="36"/>
  <c r="S37" i="36"/>
  <c r="R37" i="36"/>
  <c r="D37" i="36"/>
  <c r="U36" i="36"/>
  <c r="T36" i="36"/>
  <c r="S36" i="36"/>
  <c r="R36" i="36"/>
  <c r="D36" i="36"/>
  <c r="U35" i="36"/>
  <c r="T35" i="36"/>
  <c r="S35" i="36"/>
  <c r="R35" i="36"/>
  <c r="D35" i="36"/>
  <c r="U34" i="36"/>
  <c r="S34" i="36"/>
  <c r="O34" i="36"/>
  <c r="B7" i="36" s="1"/>
  <c r="D34" i="36"/>
  <c r="U33" i="36"/>
  <c r="T33" i="36"/>
  <c r="S33" i="36"/>
  <c r="R33" i="36"/>
  <c r="D33" i="36"/>
  <c r="U32" i="36"/>
  <c r="T32" i="36"/>
  <c r="S32" i="36"/>
  <c r="R32" i="36"/>
  <c r="D32" i="36"/>
  <c r="U31" i="36"/>
  <c r="T31" i="36"/>
  <c r="S31" i="36"/>
  <c r="R31" i="36"/>
  <c r="D31" i="36"/>
  <c r="U30" i="36"/>
  <c r="T30" i="36"/>
  <c r="S30" i="36"/>
  <c r="R30" i="36"/>
  <c r="D30" i="36"/>
  <c r="U29" i="36"/>
  <c r="T29" i="36"/>
  <c r="S29" i="36"/>
  <c r="R29" i="36"/>
  <c r="D29" i="36"/>
  <c r="U28" i="36"/>
  <c r="T28" i="36"/>
  <c r="S28" i="36"/>
  <c r="R28" i="36"/>
  <c r="D28" i="36"/>
  <c r="U27" i="36"/>
  <c r="T27" i="36"/>
  <c r="S27" i="36"/>
  <c r="R27" i="36"/>
  <c r="D27" i="36"/>
  <c r="U26" i="36"/>
  <c r="T26" i="36"/>
  <c r="S26" i="36"/>
  <c r="R26" i="36"/>
  <c r="D26" i="36"/>
  <c r="U25" i="36"/>
  <c r="T25" i="36"/>
  <c r="S25" i="36"/>
  <c r="R25" i="36"/>
  <c r="D25" i="36"/>
  <c r="U24" i="36"/>
  <c r="T24" i="36"/>
  <c r="S24" i="36"/>
  <c r="R24" i="36"/>
  <c r="D24" i="36"/>
  <c r="U23" i="36"/>
  <c r="T23" i="36"/>
  <c r="S23" i="36"/>
  <c r="R23" i="36"/>
  <c r="D23" i="36"/>
  <c r="U22" i="36"/>
  <c r="T22" i="36"/>
  <c r="S22" i="36"/>
  <c r="R22" i="36"/>
  <c r="D22" i="36"/>
  <c r="U21" i="36"/>
  <c r="T21" i="36"/>
  <c r="S21" i="36"/>
  <c r="R21" i="36"/>
  <c r="D21" i="36"/>
  <c r="U20" i="36"/>
  <c r="T20" i="36"/>
  <c r="S20" i="36"/>
  <c r="R20" i="36"/>
  <c r="D20" i="36"/>
  <c r="U19" i="36"/>
  <c r="T19" i="36"/>
  <c r="S19" i="36"/>
  <c r="R19" i="36"/>
  <c r="D19" i="36"/>
  <c r="U18" i="36"/>
  <c r="T18" i="36"/>
  <c r="S18" i="36"/>
  <c r="R18" i="36"/>
  <c r="D18" i="36"/>
  <c r="U17" i="36"/>
  <c r="T17" i="36"/>
  <c r="S17" i="36"/>
  <c r="R17" i="36"/>
  <c r="D17" i="36"/>
  <c r="U16" i="36"/>
  <c r="T16" i="36"/>
  <c r="S16" i="36"/>
  <c r="R16" i="36"/>
  <c r="D16" i="36"/>
  <c r="U15" i="36"/>
  <c r="T15" i="36"/>
  <c r="S15" i="36"/>
  <c r="R15" i="36"/>
  <c r="D15" i="36"/>
  <c r="U14" i="36"/>
  <c r="T14" i="36"/>
  <c r="S14" i="36"/>
  <c r="R14" i="36"/>
  <c r="D14" i="36"/>
  <c r="U13" i="36"/>
  <c r="T13" i="36"/>
  <c r="S13" i="36"/>
  <c r="R13" i="36"/>
  <c r="D13" i="36"/>
  <c r="U12" i="36"/>
  <c r="T12" i="36"/>
  <c r="S12" i="36"/>
  <c r="R12" i="36"/>
  <c r="D12" i="36"/>
  <c r="U11" i="36"/>
  <c r="T11" i="36"/>
  <c r="S11" i="36"/>
  <c r="R11" i="36"/>
  <c r="D11" i="36"/>
  <c r="U10" i="36"/>
  <c r="T10" i="36"/>
  <c r="S10" i="36"/>
  <c r="R10" i="36"/>
  <c r="D10" i="36"/>
  <c r="G6" i="36"/>
  <c r="B5" i="36"/>
  <c r="B6" i="36" s="1"/>
  <c r="B4" i="36"/>
  <c r="O3" i="36"/>
  <c r="K6" i="36" s="1"/>
  <c r="G3" i="36"/>
  <c r="G4" i="36" s="1"/>
  <c r="F3" i="36"/>
  <c r="B3" i="36"/>
  <c r="AT328" i="46"/>
  <c r="AS328" i="46"/>
  <c r="AR328" i="46"/>
  <c r="AT327" i="46"/>
  <c r="AS327" i="46"/>
  <c r="AR327" i="46"/>
  <c r="AT326" i="46"/>
  <c r="AS326" i="46"/>
  <c r="AR326" i="46"/>
  <c r="AT325" i="46"/>
  <c r="AS325" i="46"/>
  <c r="AR325" i="46"/>
  <c r="AT324" i="46"/>
  <c r="AS324" i="46"/>
  <c r="AR324" i="46"/>
  <c r="AM324" i="46"/>
  <c r="AL324" i="46"/>
  <c r="AT323" i="46"/>
  <c r="AS323" i="46"/>
  <c r="AR323" i="46"/>
  <c r="AM323" i="46"/>
  <c r="AL323" i="46"/>
  <c r="AT322" i="46"/>
  <c r="AS322" i="46"/>
  <c r="AR322" i="46"/>
  <c r="AM322" i="46"/>
  <c r="AL322" i="46"/>
  <c r="AT321" i="46"/>
  <c r="AS321" i="46"/>
  <c r="AR321" i="46"/>
  <c r="AM321" i="46"/>
  <c r="AL321" i="46"/>
  <c r="AT320" i="46"/>
  <c r="AS320" i="46"/>
  <c r="AR320" i="46"/>
  <c r="AM320" i="46"/>
  <c r="AL320" i="46"/>
  <c r="AT319" i="46"/>
  <c r="AS319" i="46"/>
  <c r="AR319" i="46"/>
  <c r="AM319" i="46"/>
  <c r="AL319" i="46"/>
  <c r="AT318" i="46"/>
  <c r="AS318" i="46"/>
  <c r="AR318" i="46"/>
  <c r="AM318" i="46"/>
  <c r="AL318" i="46"/>
  <c r="AT317" i="46"/>
  <c r="AS317" i="46"/>
  <c r="AR317" i="46"/>
  <c r="AM317" i="46"/>
  <c r="AL317" i="46"/>
  <c r="AT316" i="46"/>
  <c r="AS316" i="46"/>
  <c r="AR316" i="46"/>
  <c r="AM316" i="46"/>
  <c r="AL316" i="46"/>
  <c r="AT315" i="46"/>
  <c r="AS315" i="46"/>
  <c r="AR315" i="46"/>
  <c r="AM315" i="46"/>
  <c r="AL315" i="46"/>
  <c r="AT314" i="46"/>
  <c r="AS314" i="46"/>
  <c r="AR314" i="46"/>
  <c r="AM314" i="46"/>
  <c r="AL314" i="46"/>
  <c r="AT313" i="46"/>
  <c r="AS313" i="46"/>
  <c r="AR313" i="46"/>
  <c r="AM313" i="46"/>
  <c r="AL313" i="46"/>
  <c r="AT312" i="46"/>
  <c r="AS312" i="46"/>
  <c r="AR312" i="46"/>
  <c r="AM312" i="46"/>
  <c r="AL312" i="46"/>
  <c r="AT311" i="46"/>
  <c r="AS311" i="46"/>
  <c r="AR311" i="46"/>
  <c r="AM311" i="46"/>
  <c r="AL311" i="46"/>
  <c r="AT310" i="46"/>
  <c r="AS310" i="46"/>
  <c r="AR310" i="46"/>
  <c r="AM310" i="46"/>
  <c r="AL310" i="46"/>
  <c r="AT309" i="46"/>
  <c r="AS309" i="46"/>
  <c r="AR309" i="46"/>
  <c r="AM309" i="46"/>
  <c r="AL309" i="46"/>
  <c r="AT308" i="46"/>
  <c r="AS308" i="46"/>
  <c r="AR308" i="46"/>
  <c r="AM308" i="46"/>
  <c r="AL308" i="46"/>
  <c r="AT307" i="46"/>
  <c r="AS307" i="46"/>
  <c r="AR307" i="46"/>
  <c r="AM307" i="46"/>
  <c r="AL307" i="46"/>
  <c r="AT306" i="46"/>
  <c r="AS306" i="46"/>
  <c r="AR306" i="46"/>
  <c r="AM306" i="46"/>
  <c r="AL306" i="46"/>
  <c r="AT305" i="46"/>
  <c r="AS305" i="46"/>
  <c r="AR305" i="46"/>
  <c r="AM305" i="46"/>
  <c r="AL305" i="46"/>
  <c r="AT304" i="46"/>
  <c r="AS304" i="46"/>
  <c r="AR304" i="46"/>
  <c r="AM304" i="46"/>
  <c r="AL304" i="46"/>
  <c r="AT303" i="46"/>
  <c r="AS303" i="46"/>
  <c r="AR303" i="46"/>
  <c r="AM303" i="46"/>
  <c r="AL303" i="46"/>
  <c r="AT302" i="46"/>
  <c r="AS302" i="46"/>
  <c r="AR302" i="46"/>
  <c r="AM302" i="46"/>
  <c r="AL302" i="46"/>
  <c r="AT301" i="46"/>
  <c r="AS301" i="46"/>
  <c r="AR301" i="46"/>
  <c r="AM301" i="46"/>
  <c r="AL301" i="46"/>
  <c r="AT300" i="46"/>
  <c r="AS300" i="46"/>
  <c r="AR300" i="46"/>
  <c r="AM300" i="46"/>
  <c r="AL300" i="46"/>
  <c r="AT299" i="46"/>
  <c r="AS299" i="46"/>
  <c r="AR299" i="46"/>
  <c r="AM299" i="46"/>
  <c r="AL299" i="46"/>
  <c r="AT298" i="46"/>
  <c r="AS298" i="46"/>
  <c r="AR298" i="46"/>
  <c r="AM298" i="46"/>
  <c r="AL298" i="46"/>
  <c r="AT297" i="46"/>
  <c r="AS297" i="46"/>
  <c r="AR297" i="46"/>
  <c r="AM297" i="46"/>
  <c r="AL297" i="46"/>
  <c r="AT296" i="46"/>
  <c r="AS296" i="46"/>
  <c r="AR296" i="46"/>
  <c r="AM296" i="46"/>
  <c r="AL296" i="46"/>
  <c r="AT295" i="46"/>
  <c r="AS295" i="46"/>
  <c r="AR295" i="46"/>
  <c r="AM295" i="46"/>
  <c r="AL295" i="46"/>
  <c r="AT294" i="46"/>
  <c r="AS294" i="46"/>
  <c r="AR294" i="46"/>
  <c r="AM294" i="46"/>
  <c r="AL294" i="46"/>
  <c r="AT293" i="46"/>
  <c r="AS293" i="46"/>
  <c r="AR293" i="46"/>
  <c r="AM293" i="46"/>
  <c r="AL293" i="46"/>
  <c r="AT292" i="46"/>
  <c r="AS292" i="46"/>
  <c r="AR292" i="46"/>
  <c r="AM292" i="46"/>
  <c r="AL292" i="46"/>
  <c r="AT291" i="46"/>
  <c r="AS291" i="46"/>
  <c r="AR291" i="46"/>
  <c r="AM291" i="46"/>
  <c r="AL291" i="46"/>
  <c r="AT290" i="46"/>
  <c r="AS290" i="46"/>
  <c r="AR290" i="46"/>
  <c r="AM290" i="46"/>
  <c r="AL290" i="46"/>
  <c r="AT289" i="46"/>
  <c r="AS289" i="46"/>
  <c r="AR289" i="46"/>
  <c r="AM289" i="46"/>
  <c r="AL289" i="46"/>
  <c r="AT288" i="46"/>
  <c r="AS288" i="46"/>
  <c r="AR288" i="46"/>
  <c r="AM288" i="46"/>
  <c r="AL288" i="46"/>
  <c r="AT287" i="46"/>
  <c r="AS287" i="46"/>
  <c r="AR287" i="46"/>
  <c r="AM287" i="46"/>
  <c r="AL287" i="46"/>
  <c r="AT286" i="46"/>
  <c r="AS286" i="46"/>
  <c r="AR286" i="46"/>
  <c r="AM286" i="46"/>
  <c r="AL286" i="46"/>
  <c r="AT285" i="46"/>
  <c r="AS285" i="46"/>
  <c r="AR285" i="46"/>
  <c r="AM285" i="46"/>
  <c r="AL285" i="46"/>
  <c r="AT284" i="46"/>
  <c r="AS284" i="46"/>
  <c r="AR284" i="46"/>
  <c r="AM284" i="46"/>
  <c r="AL284" i="46"/>
  <c r="AT283" i="46"/>
  <c r="AS283" i="46"/>
  <c r="AR283" i="46"/>
  <c r="AM283" i="46"/>
  <c r="AL283" i="46"/>
  <c r="AT282" i="46"/>
  <c r="AS282" i="46"/>
  <c r="AR282" i="46"/>
  <c r="AM282" i="46"/>
  <c r="AL282" i="46"/>
  <c r="AT281" i="46"/>
  <c r="AS281" i="46"/>
  <c r="AR281" i="46"/>
  <c r="AM281" i="46"/>
  <c r="AL281" i="46"/>
  <c r="AT280" i="46"/>
  <c r="AS280" i="46"/>
  <c r="AR280" i="46"/>
  <c r="AM280" i="46"/>
  <c r="AL280" i="46"/>
  <c r="AT279" i="46"/>
  <c r="AS279" i="46"/>
  <c r="AR279" i="46"/>
  <c r="AM279" i="46"/>
  <c r="AL279" i="46"/>
  <c r="AT278" i="46"/>
  <c r="AS278" i="46"/>
  <c r="AR278" i="46"/>
  <c r="AM278" i="46"/>
  <c r="AL278" i="46"/>
  <c r="AT277" i="46"/>
  <c r="AS277" i="46"/>
  <c r="AR277" i="46"/>
  <c r="AM277" i="46"/>
  <c r="AL277" i="46"/>
  <c r="AT276" i="46"/>
  <c r="AS276" i="46"/>
  <c r="AR276" i="46"/>
  <c r="AM276" i="46"/>
  <c r="AL276" i="46"/>
  <c r="AT275" i="46"/>
  <c r="AS275" i="46"/>
  <c r="AR275" i="46"/>
  <c r="AM275" i="46"/>
  <c r="AL275" i="46"/>
  <c r="AT274" i="46"/>
  <c r="AS274" i="46"/>
  <c r="AR274" i="46"/>
  <c r="AM274" i="46"/>
  <c r="AL274" i="46"/>
  <c r="AT273" i="46"/>
  <c r="AS273" i="46"/>
  <c r="AR273" i="46"/>
  <c r="AM273" i="46"/>
  <c r="AL273" i="46"/>
  <c r="AT272" i="46"/>
  <c r="AS272" i="46"/>
  <c r="AR272" i="46"/>
  <c r="AM272" i="46"/>
  <c r="AL272" i="46"/>
  <c r="AT271" i="46"/>
  <c r="AS271" i="46"/>
  <c r="AR271" i="46"/>
  <c r="AM271" i="46"/>
  <c r="AL271" i="46"/>
  <c r="AT270" i="46"/>
  <c r="AS270" i="46"/>
  <c r="AR270" i="46"/>
  <c r="AM270" i="46"/>
  <c r="AL270" i="46"/>
  <c r="AT269" i="46"/>
  <c r="AS269" i="46"/>
  <c r="AR269" i="46"/>
  <c r="AM269" i="46"/>
  <c r="AL269" i="46"/>
  <c r="AT268" i="46"/>
  <c r="AS268" i="46"/>
  <c r="AR268" i="46"/>
  <c r="AM268" i="46"/>
  <c r="AL268" i="46"/>
  <c r="AT267" i="46"/>
  <c r="AS267" i="46"/>
  <c r="AR267" i="46"/>
  <c r="AM267" i="46"/>
  <c r="AL267" i="46"/>
  <c r="AT266" i="46"/>
  <c r="AS266" i="46"/>
  <c r="AR266" i="46"/>
  <c r="AM266" i="46"/>
  <c r="AL266" i="46"/>
  <c r="AT265" i="46"/>
  <c r="AS265" i="46"/>
  <c r="AR265" i="46"/>
  <c r="AM265" i="46"/>
  <c r="AL265" i="46"/>
  <c r="AT264" i="46"/>
  <c r="AS264" i="46"/>
  <c r="AR264" i="46"/>
  <c r="AM264" i="46"/>
  <c r="AL264" i="46"/>
  <c r="AT263" i="46"/>
  <c r="AS263" i="46"/>
  <c r="AR263" i="46"/>
  <c r="AM263" i="46"/>
  <c r="AL263" i="46"/>
  <c r="AT262" i="46"/>
  <c r="AS262" i="46"/>
  <c r="AR262" i="46"/>
  <c r="AM262" i="46"/>
  <c r="AL262" i="46"/>
  <c r="AT261" i="46"/>
  <c r="AS261" i="46"/>
  <c r="AR261" i="46"/>
  <c r="AM261" i="46"/>
  <c r="AL261" i="46"/>
  <c r="AT260" i="46"/>
  <c r="AS260" i="46"/>
  <c r="AR260" i="46"/>
  <c r="AM260" i="46"/>
  <c r="AL260" i="46"/>
  <c r="AT259" i="46"/>
  <c r="AS259" i="46"/>
  <c r="AR259" i="46"/>
  <c r="AM259" i="46"/>
  <c r="AL259" i="46"/>
  <c r="AT258" i="46"/>
  <c r="AS258" i="46"/>
  <c r="AR258" i="46"/>
  <c r="AM258" i="46"/>
  <c r="AL258" i="46"/>
  <c r="AT257" i="46"/>
  <c r="AS257" i="46"/>
  <c r="AR257" i="46"/>
  <c r="AM257" i="46"/>
  <c r="AL257" i="46"/>
  <c r="AT256" i="46"/>
  <c r="AS256" i="46"/>
  <c r="AR256" i="46"/>
  <c r="AM256" i="46"/>
  <c r="AL256" i="46"/>
  <c r="AT255" i="46"/>
  <c r="AS255" i="46"/>
  <c r="AR255" i="46"/>
  <c r="AM255" i="46"/>
  <c r="AL255" i="46"/>
  <c r="AT254" i="46"/>
  <c r="AS254" i="46"/>
  <c r="AR254" i="46"/>
  <c r="AM254" i="46"/>
  <c r="AL254" i="46"/>
  <c r="AT253" i="46"/>
  <c r="AS253" i="46"/>
  <c r="AR253" i="46"/>
  <c r="AM253" i="46"/>
  <c r="AL253" i="46"/>
  <c r="AT252" i="46"/>
  <c r="AS252" i="46"/>
  <c r="AR252" i="46"/>
  <c r="AM252" i="46"/>
  <c r="AL252" i="46"/>
  <c r="AT251" i="46"/>
  <c r="AS251" i="46"/>
  <c r="AR251" i="46"/>
  <c r="AM251" i="46"/>
  <c r="AL251" i="46"/>
  <c r="AT250" i="46"/>
  <c r="AS250" i="46"/>
  <c r="AR250" i="46"/>
  <c r="AM250" i="46"/>
  <c r="AL250" i="46"/>
  <c r="AT249" i="46"/>
  <c r="AS249" i="46"/>
  <c r="AR249" i="46"/>
  <c r="AM249" i="46"/>
  <c r="AL249" i="46"/>
  <c r="AT248" i="46"/>
  <c r="AS248" i="46"/>
  <c r="AR248" i="46"/>
  <c r="AM248" i="46"/>
  <c r="AL248" i="46"/>
  <c r="AT247" i="46"/>
  <c r="AS247" i="46"/>
  <c r="AR247" i="46"/>
  <c r="AM247" i="46"/>
  <c r="AL247" i="46"/>
  <c r="AT246" i="46"/>
  <c r="AS246" i="46"/>
  <c r="AR246" i="46"/>
  <c r="AM246" i="46"/>
  <c r="AL246" i="46"/>
  <c r="AT245" i="46"/>
  <c r="AS245" i="46"/>
  <c r="AR245" i="46"/>
  <c r="AM245" i="46"/>
  <c r="AL245" i="46"/>
  <c r="AT244" i="46"/>
  <c r="AS244" i="46"/>
  <c r="AR244" i="46"/>
  <c r="AM244" i="46"/>
  <c r="AL244" i="46"/>
  <c r="AT243" i="46"/>
  <c r="AS243" i="46"/>
  <c r="AR243" i="46"/>
  <c r="AM243" i="46"/>
  <c r="AL243" i="46"/>
  <c r="AT242" i="46"/>
  <c r="AS242" i="46"/>
  <c r="AR242" i="46"/>
  <c r="AM242" i="46"/>
  <c r="AL242" i="46"/>
  <c r="AT241" i="46"/>
  <c r="AS241" i="46"/>
  <c r="AR241" i="46"/>
  <c r="AM241" i="46"/>
  <c r="AL241" i="46"/>
  <c r="AT240" i="46"/>
  <c r="AS240" i="46"/>
  <c r="AR240" i="46"/>
  <c r="AM240" i="46"/>
  <c r="AL240" i="46"/>
  <c r="AT239" i="46"/>
  <c r="AS239" i="46"/>
  <c r="AR239" i="46"/>
  <c r="AM239" i="46"/>
  <c r="AL239" i="46"/>
  <c r="AT238" i="46"/>
  <c r="AS238" i="46"/>
  <c r="AR238" i="46"/>
  <c r="AM238" i="46"/>
  <c r="AL238" i="46"/>
  <c r="AT237" i="46"/>
  <c r="AS237" i="46"/>
  <c r="AR237" i="46"/>
  <c r="AM237" i="46"/>
  <c r="AL237" i="46"/>
  <c r="AT236" i="46"/>
  <c r="AS236" i="46"/>
  <c r="AR236" i="46"/>
  <c r="AM236" i="46"/>
  <c r="AL236" i="46"/>
  <c r="AT235" i="46"/>
  <c r="AS235" i="46"/>
  <c r="AR235" i="46"/>
  <c r="AM235" i="46"/>
  <c r="AL235" i="46"/>
  <c r="AT234" i="46"/>
  <c r="AS234" i="46"/>
  <c r="AR234" i="46"/>
  <c r="AM234" i="46"/>
  <c r="AL234" i="46"/>
  <c r="AT233" i="46"/>
  <c r="AS233" i="46"/>
  <c r="AR233" i="46"/>
  <c r="AM233" i="46"/>
  <c r="AL233" i="46"/>
  <c r="AT232" i="46"/>
  <c r="AS232" i="46"/>
  <c r="AR232" i="46"/>
  <c r="AM232" i="46"/>
  <c r="AL232" i="46"/>
  <c r="AT231" i="46"/>
  <c r="AS231" i="46"/>
  <c r="AR231" i="46"/>
  <c r="AM231" i="46"/>
  <c r="AL231" i="46"/>
  <c r="AT230" i="46"/>
  <c r="AS230" i="46"/>
  <c r="AR230" i="46"/>
  <c r="AM230" i="46"/>
  <c r="AL230" i="46"/>
  <c r="AT229" i="46"/>
  <c r="AS229" i="46"/>
  <c r="AR229" i="46"/>
  <c r="AM229" i="46"/>
  <c r="AL229" i="46"/>
  <c r="AT228" i="46"/>
  <c r="AS228" i="46"/>
  <c r="AR228" i="46"/>
  <c r="AM228" i="46"/>
  <c r="AL228" i="46"/>
  <c r="AT227" i="46"/>
  <c r="AS227" i="46"/>
  <c r="AR227" i="46"/>
  <c r="AM227" i="46"/>
  <c r="AL227" i="46"/>
  <c r="AT226" i="46"/>
  <c r="AS226" i="46"/>
  <c r="AR226" i="46"/>
  <c r="AM226" i="46"/>
  <c r="AL226" i="46"/>
  <c r="AT225" i="46"/>
  <c r="AS225" i="46"/>
  <c r="AR225" i="46"/>
  <c r="AM225" i="46"/>
  <c r="AL225" i="46"/>
  <c r="AT224" i="46"/>
  <c r="AS224" i="46"/>
  <c r="AR224" i="46"/>
  <c r="AM224" i="46"/>
  <c r="AL224" i="46"/>
  <c r="AT223" i="46"/>
  <c r="AS223" i="46"/>
  <c r="AR223" i="46"/>
  <c r="AM223" i="46"/>
  <c r="AL223" i="46"/>
  <c r="AT222" i="46"/>
  <c r="AS222" i="46"/>
  <c r="AR222" i="46"/>
  <c r="AM222" i="46"/>
  <c r="AL222" i="46"/>
  <c r="AT221" i="46"/>
  <c r="AS221" i="46"/>
  <c r="AR221" i="46"/>
  <c r="AM221" i="46"/>
  <c r="AL221" i="46"/>
  <c r="AT220" i="46"/>
  <c r="AS220" i="46"/>
  <c r="AR220" i="46"/>
  <c r="AM220" i="46"/>
  <c r="AL220" i="46"/>
  <c r="AT219" i="46"/>
  <c r="AS219" i="46"/>
  <c r="AR219" i="46"/>
  <c r="AM219" i="46"/>
  <c r="AL219" i="46"/>
  <c r="AT218" i="46"/>
  <c r="AS218" i="46"/>
  <c r="AR218" i="46"/>
  <c r="AM218" i="46"/>
  <c r="AL218" i="46"/>
  <c r="AT217" i="46"/>
  <c r="AS217" i="46"/>
  <c r="AR217" i="46"/>
  <c r="AM217" i="46"/>
  <c r="AL217" i="46"/>
  <c r="AT216" i="46"/>
  <c r="AS216" i="46"/>
  <c r="AR216" i="46"/>
  <c r="AM216" i="46"/>
  <c r="AL216" i="46"/>
  <c r="AT215" i="46"/>
  <c r="AS215" i="46"/>
  <c r="AR215" i="46"/>
  <c r="AM215" i="46"/>
  <c r="AL215" i="46"/>
  <c r="AT214" i="46"/>
  <c r="AS214" i="46"/>
  <c r="AR214" i="46"/>
  <c r="AM214" i="46"/>
  <c r="AL214" i="46"/>
  <c r="AT213" i="46"/>
  <c r="AS213" i="46"/>
  <c r="AR213" i="46"/>
  <c r="AM213" i="46"/>
  <c r="AL213" i="46"/>
  <c r="AT212" i="46"/>
  <c r="AS212" i="46"/>
  <c r="AR212" i="46"/>
  <c r="AM212" i="46"/>
  <c r="AL212" i="46"/>
  <c r="AT211" i="46"/>
  <c r="AS211" i="46"/>
  <c r="AR211" i="46"/>
  <c r="AM211" i="46"/>
  <c r="AL211" i="46"/>
  <c r="AT210" i="46"/>
  <c r="AS210" i="46"/>
  <c r="AR210" i="46"/>
  <c r="AM210" i="46"/>
  <c r="AL210" i="46"/>
  <c r="AT209" i="46"/>
  <c r="AS209" i="46"/>
  <c r="AR209" i="46"/>
  <c r="AM209" i="46"/>
  <c r="AL209" i="46"/>
  <c r="AT208" i="46"/>
  <c r="AS208" i="46"/>
  <c r="AR208" i="46"/>
  <c r="AM208" i="46"/>
  <c r="AL208" i="46"/>
  <c r="AT207" i="46"/>
  <c r="AS207" i="46"/>
  <c r="AR207" i="46"/>
  <c r="AM207" i="46"/>
  <c r="AL207" i="46"/>
  <c r="AT206" i="46"/>
  <c r="AS206" i="46"/>
  <c r="AR206" i="46"/>
  <c r="AM206" i="46"/>
  <c r="AL206" i="46"/>
  <c r="AT205" i="46"/>
  <c r="AS205" i="46"/>
  <c r="AR205" i="46"/>
  <c r="AM205" i="46"/>
  <c r="AL205" i="46"/>
  <c r="AT204" i="46"/>
  <c r="AS204" i="46"/>
  <c r="AR204" i="46"/>
  <c r="AM204" i="46"/>
  <c r="AL204" i="46"/>
  <c r="AT203" i="46"/>
  <c r="AS203" i="46"/>
  <c r="AR203" i="46"/>
  <c r="AM203" i="46"/>
  <c r="AL203" i="46"/>
  <c r="AT202" i="46"/>
  <c r="AS202" i="46"/>
  <c r="AR202" i="46"/>
  <c r="AM202" i="46"/>
  <c r="AL202" i="46"/>
  <c r="AT201" i="46"/>
  <c r="AS201" i="46"/>
  <c r="AR201" i="46"/>
  <c r="AM201" i="46"/>
  <c r="AL201" i="46"/>
  <c r="AT200" i="46"/>
  <c r="AS200" i="46"/>
  <c r="AR200" i="46"/>
  <c r="AM200" i="46"/>
  <c r="AL200" i="46"/>
  <c r="AT199" i="46"/>
  <c r="AS199" i="46"/>
  <c r="AR199" i="46"/>
  <c r="AM199" i="46"/>
  <c r="AL199" i="46"/>
  <c r="AT198" i="46"/>
  <c r="AS198" i="46"/>
  <c r="AR198" i="46"/>
  <c r="AM198" i="46"/>
  <c r="AL198" i="46"/>
  <c r="AT197" i="46"/>
  <c r="AS197" i="46"/>
  <c r="AR197" i="46"/>
  <c r="AM197" i="46"/>
  <c r="AL197" i="46"/>
  <c r="AT196" i="46"/>
  <c r="AS196" i="46"/>
  <c r="AR196" i="46"/>
  <c r="AM196" i="46"/>
  <c r="AL196" i="46"/>
  <c r="AT195" i="46"/>
  <c r="AS195" i="46"/>
  <c r="AR195" i="46"/>
  <c r="AM195" i="46"/>
  <c r="AL195" i="46"/>
  <c r="AT194" i="46"/>
  <c r="AS194" i="46"/>
  <c r="AR194" i="46"/>
  <c r="AM194" i="46"/>
  <c r="AL194" i="46"/>
  <c r="AT193" i="46"/>
  <c r="AS193" i="46"/>
  <c r="AR193" i="46"/>
  <c r="AM193" i="46"/>
  <c r="AL193" i="46"/>
  <c r="AT192" i="46"/>
  <c r="AS192" i="46"/>
  <c r="AR192" i="46"/>
  <c r="AM192" i="46"/>
  <c r="AL192" i="46"/>
  <c r="AT191" i="46"/>
  <c r="AS191" i="46"/>
  <c r="AR191" i="46"/>
  <c r="AM191" i="46"/>
  <c r="AL191" i="46"/>
  <c r="AT190" i="46"/>
  <c r="AS190" i="46"/>
  <c r="AR190" i="46"/>
  <c r="AM190" i="46"/>
  <c r="AL190" i="46"/>
  <c r="AT189" i="46"/>
  <c r="AS189" i="46"/>
  <c r="AR189" i="46"/>
  <c r="AM189" i="46"/>
  <c r="AL189" i="46"/>
  <c r="AT188" i="46"/>
  <c r="AS188" i="46"/>
  <c r="AR188" i="46"/>
  <c r="AM188" i="46"/>
  <c r="AL188" i="46"/>
  <c r="AT187" i="46"/>
  <c r="AS187" i="46"/>
  <c r="AR187" i="46"/>
  <c r="AM187" i="46"/>
  <c r="AL187" i="46"/>
  <c r="AT186" i="46"/>
  <c r="AS186" i="46"/>
  <c r="AR186" i="46"/>
  <c r="AM186" i="46"/>
  <c r="AL186" i="46"/>
  <c r="AT185" i="46"/>
  <c r="AS185" i="46"/>
  <c r="AR185" i="46"/>
  <c r="AM185" i="46"/>
  <c r="AL185" i="46"/>
  <c r="AT184" i="46"/>
  <c r="AS184" i="46"/>
  <c r="AR184" i="46"/>
  <c r="AM184" i="46"/>
  <c r="AL184" i="46"/>
  <c r="J184" i="46"/>
  <c r="AT183" i="46"/>
  <c r="AS183" i="46"/>
  <c r="AR183" i="46"/>
  <c r="AM183" i="46"/>
  <c r="AL183" i="46"/>
  <c r="J183" i="46"/>
  <c r="AT182" i="46"/>
  <c r="AS182" i="46"/>
  <c r="AR182" i="46"/>
  <c r="AM182" i="46"/>
  <c r="AL182" i="46"/>
  <c r="J182" i="46"/>
  <c r="AT181" i="46"/>
  <c r="AS181" i="46"/>
  <c r="AR181" i="46"/>
  <c r="AM181" i="46"/>
  <c r="AL181" i="46"/>
  <c r="J181" i="46"/>
  <c r="AT180" i="46"/>
  <c r="AS180" i="46"/>
  <c r="AR180" i="46"/>
  <c r="AM180" i="46"/>
  <c r="AL180" i="46"/>
  <c r="J180" i="46"/>
  <c r="AT179" i="46"/>
  <c r="AS179" i="46"/>
  <c r="AR179" i="46"/>
  <c r="AM179" i="46"/>
  <c r="AL179" i="46"/>
  <c r="J179" i="46"/>
  <c r="AT178" i="46"/>
  <c r="AS178" i="46"/>
  <c r="AR178" i="46"/>
  <c r="AM178" i="46"/>
  <c r="AL178" i="46"/>
  <c r="J178" i="46"/>
  <c r="AT177" i="46"/>
  <c r="AS177" i="46"/>
  <c r="AR177" i="46"/>
  <c r="AM177" i="46"/>
  <c r="AL177" i="46"/>
  <c r="J177" i="46"/>
  <c r="AT176" i="46"/>
  <c r="AS176" i="46"/>
  <c r="AR176" i="46"/>
  <c r="AM176" i="46"/>
  <c r="AL176" i="46"/>
  <c r="J176" i="46"/>
  <c r="AT175" i="46"/>
  <c r="AS175" i="46"/>
  <c r="AR175" i="46"/>
  <c r="AM175" i="46"/>
  <c r="AL175" i="46"/>
  <c r="J175" i="46"/>
  <c r="AT174" i="46"/>
  <c r="AS174" i="46"/>
  <c r="AR174" i="46"/>
  <c r="AM174" i="46"/>
  <c r="AL174" i="46"/>
  <c r="J174" i="46"/>
  <c r="AT173" i="46"/>
  <c r="AS173" i="46"/>
  <c r="AR173" i="46"/>
  <c r="AM173" i="46"/>
  <c r="AL173" i="46"/>
  <c r="J173" i="46"/>
  <c r="AT172" i="46"/>
  <c r="AS172" i="46"/>
  <c r="AR172" i="46"/>
  <c r="AM172" i="46"/>
  <c r="AL172" i="46"/>
  <c r="J172" i="46"/>
  <c r="AT171" i="46"/>
  <c r="AS171" i="46"/>
  <c r="AR171" i="46"/>
  <c r="AM171" i="46"/>
  <c r="AL171" i="46"/>
  <c r="J171" i="46"/>
  <c r="AT170" i="46"/>
  <c r="AS170" i="46"/>
  <c r="AR170" i="46"/>
  <c r="AM170" i="46"/>
  <c r="AL170" i="46"/>
  <c r="AT169" i="46"/>
  <c r="AS169" i="46"/>
  <c r="AR169" i="46"/>
  <c r="AM169" i="46"/>
  <c r="AL169" i="46"/>
  <c r="AT168" i="46"/>
  <c r="AS168" i="46"/>
  <c r="AR168" i="46"/>
  <c r="AM168" i="46"/>
  <c r="AL168" i="46"/>
  <c r="AT167" i="46"/>
  <c r="AS167" i="46"/>
  <c r="AR167" i="46"/>
  <c r="AM167" i="46"/>
  <c r="AL167" i="46"/>
  <c r="AT166" i="46"/>
  <c r="AS166" i="46"/>
  <c r="AR166" i="46"/>
  <c r="AM166" i="46"/>
  <c r="AL166" i="46"/>
  <c r="AT165" i="46"/>
  <c r="AS165" i="46"/>
  <c r="AR165" i="46"/>
  <c r="AM165" i="46"/>
  <c r="AL165" i="46"/>
  <c r="AT164" i="46"/>
  <c r="AS164" i="46"/>
  <c r="AR164" i="46"/>
  <c r="AM164" i="46"/>
  <c r="AL164" i="46"/>
  <c r="AT163" i="46"/>
  <c r="AS163" i="46"/>
  <c r="AR163" i="46"/>
  <c r="AM163" i="46"/>
  <c r="AL163" i="46"/>
  <c r="AT162" i="46"/>
  <c r="AS162" i="46"/>
  <c r="AR162" i="46"/>
  <c r="AM162" i="46"/>
  <c r="AL162" i="46"/>
  <c r="AT161" i="46"/>
  <c r="AS161" i="46"/>
  <c r="AR161" i="46"/>
  <c r="AM161" i="46"/>
  <c r="AL161" i="46"/>
  <c r="AT160" i="46"/>
  <c r="AS160" i="46"/>
  <c r="AR160" i="46"/>
  <c r="AM160" i="46"/>
  <c r="AL160" i="46"/>
  <c r="AT159" i="46"/>
  <c r="AS159" i="46"/>
  <c r="AR159" i="46"/>
  <c r="AM159" i="46"/>
  <c r="AL159" i="46"/>
  <c r="AT152" i="46"/>
  <c r="AS152" i="46"/>
  <c r="AR152" i="46"/>
  <c r="AM152" i="46"/>
  <c r="AL152" i="46"/>
  <c r="J152" i="46"/>
  <c r="AT149" i="46"/>
  <c r="AS149" i="46"/>
  <c r="AR149" i="46"/>
  <c r="AM149" i="46"/>
  <c r="AL149" i="46"/>
  <c r="AC90" i="101" s="1"/>
  <c r="J149" i="46"/>
  <c r="AT150" i="46"/>
  <c r="AS150" i="46"/>
  <c r="AR150" i="46"/>
  <c r="AM150" i="46"/>
  <c r="AL150" i="46"/>
  <c r="J150" i="46"/>
  <c r="AT148" i="46"/>
  <c r="AS148" i="46"/>
  <c r="AR148" i="46"/>
  <c r="AM148" i="46"/>
  <c r="AL148" i="46"/>
  <c r="AC89" i="101" s="1"/>
  <c r="J148" i="46"/>
  <c r="AT147" i="46"/>
  <c r="AS147" i="46"/>
  <c r="AR147" i="46"/>
  <c r="AM147" i="46"/>
  <c r="AL147" i="46"/>
  <c r="J147" i="46"/>
  <c r="AT146" i="46"/>
  <c r="AS146" i="46"/>
  <c r="AR146" i="46"/>
  <c r="AM146" i="46"/>
  <c r="AL146" i="46"/>
  <c r="J146" i="46"/>
  <c r="AT145" i="46"/>
  <c r="AS145" i="46"/>
  <c r="AR145" i="46"/>
  <c r="AM145" i="46"/>
  <c r="AL145" i="46"/>
  <c r="J145" i="46"/>
  <c r="AT144" i="46"/>
  <c r="AS144" i="46"/>
  <c r="AR144" i="46"/>
  <c r="AM144" i="46"/>
  <c r="AL144" i="46"/>
  <c r="AC87" i="101" s="1"/>
  <c r="J144" i="46"/>
  <c r="AT143" i="46"/>
  <c r="AS143" i="46"/>
  <c r="AR143" i="46"/>
  <c r="AM143" i="46"/>
  <c r="AL143" i="46"/>
  <c r="J143" i="46"/>
  <c r="AT142" i="46"/>
  <c r="AS142" i="46"/>
  <c r="AR142" i="46"/>
  <c r="AM142" i="46"/>
  <c r="AL142" i="46"/>
  <c r="J142" i="46"/>
  <c r="AT141" i="46"/>
  <c r="AS141" i="46"/>
  <c r="AR141" i="46"/>
  <c r="AM141" i="46"/>
  <c r="AL141" i="46"/>
  <c r="J141" i="46"/>
  <c r="AT140" i="46"/>
  <c r="AS140" i="46"/>
  <c r="AR140" i="46"/>
  <c r="AM140" i="46"/>
  <c r="AL140" i="46"/>
  <c r="J140" i="46"/>
  <c r="AT139" i="46"/>
  <c r="AS139" i="46"/>
  <c r="AR139" i="46"/>
  <c r="AM139" i="46"/>
  <c r="AL139" i="46"/>
  <c r="J139" i="46"/>
  <c r="AT138" i="46"/>
  <c r="AS138" i="46"/>
  <c r="AR138" i="46"/>
  <c r="AM138" i="46"/>
  <c r="AL138" i="46"/>
  <c r="AC85" i="101" s="1"/>
  <c r="J138" i="46"/>
  <c r="AT137" i="46"/>
  <c r="AS137" i="46"/>
  <c r="AR137" i="46"/>
  <c r="AM137" i="46"/>
  <c r="AL137" i="46"/>
  <c r="J137" i="46"/>
  <c r="AT136" i="46"/>
  <c r="AS136" i="46"/>
  <c r="AR136" i="46"/>
  <c r="AM136" i="46"/>
  <c r="AL136" i="46"/>
  <c r="J136" i="46"/>
  <c r="AT135" i="46"/>
  <c r="AS135" i="46"/>
  <c r="AR135" i="46"/>
  <c r="AM135" i="46"/>
  <c r="AL135" i="46"/>
  <c r="J135" i="46"/>
  <c r="AT134" i="46"/>
  <c r="AS134" i="46"/>
  <c r="AR134" i="46"/>
  <c r="AM134" i="46"/>
  <c r="AL134" i="46"/>
  <c r="J134" i="46"/>
  <c r="AT133" i="46"/>
  <c r="AS133" i="46"/>
  <c r="AR133" i="46"/>
  <c r="AM133" i="46"/>
  <c r="AL133" i="46"/>
  <c r="J133" i="46"/>
  <c r="AT132" i="46"/>
  <c r="AS132" i="46"/>
  <c r="AR132" i="46"/>
  <c r="AM132" i="46"/>
  <c r="AL132" i="46"/>
  <c r="J132" i="46"/>
  <c r="AT131" i="46"/>
  <c r="AS131" i="46"/>
  <c r="AR131" i="46"/>
  <c r="AM131" i="46"/>
  <c r="AL131" i="46"/>
  <c r="J131" i="46"/>
  <c r="AT130" i="46"/>
  <c r="AS130" i="46"/>
  <c r="AR130" i="46"/>
  <c r="AM130" i="46"/>
  <c r="AL130" i="46"/>
  <c r="AC81" i="101" s="1"/>
  <c r="J130" i="46"/>
  <c r="H130" i="46"/>
  <c r="AT129" i="46"/>
  <c r="AS129" i="46"/>
  <c r="AR129" i="46"/>
  <c r="AM129" i="46"/>
  <c r="AL129" i="46"/>
  <c r="H129" i="46"/>
  <c r="J129" i="46" s="1"/>
  <c r="AT128" i="46"/>
  <c r="AS128" i="46"/>
  <c r="AR128" i="46"/>
  <c r="AM128" i="46"/>
  <c r="AL128" i="46"/>
  <c r="H128" i="46"/>
  <c r="J128" i="46" s="1"/>
  <c r="AT127" i="46"/>
  <c r="AS127" i="46"/>
  <c r="AR127" i="46"/>
  <c r="AM127" i="46"/>
  <c r="AL127" i="46"/>
  <c r="J127" i="46"/>
  <c r="AT126" i="46"/>
  <c r="AS126" i="46"/>
  <c r="AR126" i="46"/>
  <c r="AM126" i="46"/>
  <c r="AL126" i="46"/>
  <c r="J126" i="46"/>
  <c r="AT125" i="46"/>
  <c r="AS125" i="46"/>
  <c r="AR125" i="46"/>
  <c r="AM125" i="46"/>
  <c r="AL125" i="46"/>
  <c r="J125" i="46"/>
  <c r="AT124" i="46"/>
  <c r="AS124" i="46"/>
  <c r="AR124" i="46"/>
  <c r="AM124" i="46"/>
  <c r="AL124" i="46"/>
  <c r="J124" i="46"/>
  <c r="AT123" i="46"/>
  <c r="AS123" i="46"/>
  <c r="AR123" i="46"/>
  <c r="AM123" i="46"/>
  <c r="AL123" i="46"/>
  <c r="J123" i="46"/>
  <c r="AT122" i="46"/>
  <c r="AS122" i="46"/>
  <c r="AR122" i="46"/>
  <c r="AM122" i="46"/>
  <c r="AL122" i="46"/>
  <c r="J122" i="46"/>
  <c r="AT121" i="46"/>
  <c r="AS121" i="46"/>
  <c r="AR121" i="46"/>
  <c r="AM121" i="46"/>
  <c r="AL121" i="46"/>
  <c r="AC27" i="101" s="1"/>
  <c r="J121" i="46"/>
  <c r="AT120" i="46"/>
  <c r="AS120" i="46"/>
  <c r="AR120" i="46"/>
  <c r="AM120" i="46"/>
  <c r="AL120" i="46"/>
  <c r="J120" i="46"/>
  <c r="AT119" i="46"/>
  <c r="AS119" i="46"/>
  <c r="AR119" i="46"/>
  <c r="AM119" i="46"/>
  <c r="AL119" i="46"/>
  <c r="J119" i="46"/>
  <c r="AT118" i="46"/>
  <c r="AS118" i="46"/>
  <c r="AR118" i="46"/>
  <c r="AM118" i="46"/>
  <c r="AL118" i="46"/>
  <c r="J118" i="46"/>
  <c r="AT117" i="46"/>
  <c r="AS117" i="46"/>
  <c r="AR117" i="46"/>
  <c r="AM117" i="46"/>
  <c r="AL117" i="46"/>
  <c r="J117" i="46"/>
  <c r="AT116" i="46"/>
  <c r="AS116" i="46"/>
  <c r="AR116" i="46"/>
  <c r="AM116" i="46"/>
  <c r="AL116" i="46"/>
  <c r="J116" i="46"/>
  <c r="AT115" i="46"/>
  <c r="AS115" i="46"/>
  <c r="AR115" i="46"/>
  <c r="AM115" i="46"/>
  <c r="AL115" i="46"/>
  <c r="J115" i="46"/>
  <c r="AT114" i="46"/>
  <c r="AS114" i="46"/>
  <c r="AR114" i="46"/>
  <c r="AM114" i="46"/>
  <c r="AL114" i="46"/>
  <c r="J114" i="46"/>
  <c r="AT113" i="46"/>
  <c r="AS113" i="46"/>
  <c r="AR113" i="46"/>
  <c r="AM113" i="46"/>
  <c r="AL113" i="46"/>
  <c r="J113" i="46"/>
  <c r="AT112" i="46"/>
  <c r="AS112" i="46"/>
  <c r="AR112" i="46"/>
  <c r="AM112" i="46"/>
  <c r="AL112" i="46"/>
  <c r="AT111" i="46"/>
  <c r="AS111" i="46"/>
  <c r="AR111" i="46"/>
  <c r="AM111" i="46"/>
  <c r="AL111" i="46"/>
  <c r="AT110" i="46"/>
  <c r="AS110" i="46"/>
  <c r="AR110" i="46"/>
  <c r="AM110" i="46"/>
  <c r="AL110" i="46"/>
  <c r="H110" i="46"/>
  <c r="AT109" i="46"/>
  <c r="AS109" i="46"/>
  <c r="AR109" i="46"/>
  <c r="AM109" i="46"/>
  <c r="AL109" i="46"/>
  <c r="J109" i="46"/>
  <c r="AT108" i="46"/>
  <c r="AS108" i="46"/>
  <c r="AR108" i="46"/>
  <c r="AM108" i="46"/>
  <c r="AL108" i="46"/>
  <c r="J108" i="46"/>
  <c r="AT107" i="46"/>
  <c r="AS107" i="46"/>
  <c r="AR107" i="46"/>
  <c r="AM107" i="46"/>
  <c r="AL107" i="46"/>
  <c r="J107" i="46"/>
  <c r="AT106" i="46"/>
  <c r="AS106" i="46"/>
  <c r="AR106" i="46"/>
  <c r="AM106" i="46"/>
  <c r="AL106" i="46"/>
  <c r="J106" i="46"/>
  <c r="AT105" i="46"/>
  <c r="AS105" i="46"/>
  <c r="AR105" i="46"/>
  <c r="AM105" i="46"/>
  <c r="AL105" i="46"/>
  <c r="J105" i="46"/>
  <c r="AU104" i="46"/>
  <c r="AT104" i="46"/>
  <c r="AS104" i="46"/>
  <c r="AR104" i="46"/>
  <c r="AM104" i="46"/>
  <c r="AL104" i="46"/>
  <c r="J104" i="46"/>
  <c r="AU103" i="46"/>
  <c r="AT103" i="46"/>
  <c r="AS103" i="46"/>
  <c r="AR103" i="46"/>
  <c r="AM103" i="46"/>
  <c r="AL103" i="46"/>
  <c r="AC76" i="101" s="1"/>
  <c r="J103" i="46"/>
  <c r="AU102" i="46"/>
  <c r="AT102" i="46"/>
  <c r="AS102" i="46"/>
  <c r="AR102" i="46"/>
  <c r="AM102" i="46"/>
  <c r="AL102" i="46"/>
  <c r="J102" i="46"/>
  <c r="AU101" i="46"/>
  <c r="AT101" i="46"/>
  <c r="AS101" i="46"/>
  <c r="AR101" i="46"/>
  <c r="AM101" i="46"/>
  <c r="AL101" i="46"/>
  <c r="J101" i="46"/>
  <c r="AU100" i="46"/>
  <c r="AT100" i="46"/>
  <c r="AR100" i="46"/>
  <c r="AM100" i="46"/>
  <c r="AD18" i="101" s="1"/>
  <c r="J100" i="46"/>
  <c r="B100" i="46"/>
  <c r="AS100" i="46" s="1"/>
  <c r="AU99" i="46"/>
  <c r="AT99" i="46"/>
  <c r="AR99" i="46"/>
  <c r="AM99" i="46"/>
  <c r="J99" i="46"/>
  <c r="B99" i="46"/>
  <c r="AS99" i="46" s="1"/>
  <c r="AU98" i="46"/>
  <c r="AT98" i="46"/>
  <c r="AR98" i="46"/>
  <c r="AM98" i="46"/>
  <c r="J98" i="46"/>
  <c r="B98" i="46"/>
  <c r="AS98" i="46" s="1"/>
  <c r="AU97" i="46"/>
  <c r="AT97" i="46"/>
  <c r="AR97" i="46"/>
  <c r="AM97" i="46"/>
  <c r="J97" i="46"/>
  <c r="B97" i="46"/>
  <c r="AS97" i="46" s="1"/>
  <c r="AU96" i="46"/>
  <c r="AT96" i="46"/>
  <c r="AR96" i="46"/>
  <c r="AM96" i="46"/>
  <c r="J96" i="46"/>
  <c r="B96" i="46"/>
  <c r="AS96" i="46" s="1"/>
  <c r="AU95" i="46"/>
  <c r="AT95" i="46"/>
  <c r="AR95" i="46"/>
  <c r="AM95" i="46"/>
  <c r="J95" i="46"/>
  <c r="B95" i="46"/>
  <c r="AS95" i="46" s="1"/>
  <c r="AU94" i="46"/>
  <c r="AT94" i="46"/>
  <c r="AR94" i="46"/>
  <c r="AM94" i="46"/>
  <c r="J94" i="46"/>
  <c r="B94" i="46"/>
  <c r="AL94" i="46" s="1"/>
  <c r="AU93" i="46"/>
  <c r="AT93" i="46"/>
  <c r="AR93" i="46"/>
  <c r="AM93" i="46"/>
  <c r="J93" i="46"/>
  <c r="B93" i="46"/>
  <c r="AS93" i="46" s="1"/>
  <c r="AU92" i="46"/>
  <c r="AT92" i="46"/>
  <c r="AR92" i="46"/>
  <c r="AM92" i="46"/>
  <c r="J92" i="46"/>
  <c r="B92" i="46"/>
  <c r="AS92" i="46" s="1"/>
  <c r="AU91" i="46"/>
  <c r="AT91" i="46"/>
  <c r="AR91" i="46"/>
  <c r="AM91" i="46"/>
  <c r="J91" i="46"/>
  <c r="B91" i="46"/>
  <c r="AS91" i="46" s="1"/>
  <c r="AU90" i="46"/>
  <c r="AT90" i="46"/>
  <c r="AR90" i="46"/>
  <c r="AM90" i="46"/>
  <c r="J90" i="46"/>
  <c r="B90" i="46"/>
  <c r="AS90" i="46" s="1"/>
  <c r="AU89" i="46"/>
  <c r="AT89" i="46"/>
  <c r="AR89" i="46"/>
  <c r="AM89" i="46"/>
  <c r="J89" i="46"/>
  <c r="B89" i="46"/>
  <c r="AS89" i="46" s="1"/>
  <c r="AU88" i="46"/>
  <c r="AT88" i="46"/>
  <c r="AR88" i="46"/>
  <c r="AM88" i="46"/>
  <c r="J88" i="46"/>
  <c r="B88" i="46"/>
  <c r="AS88" i="46" s="1"/>
  <c r="AU87" i="46"/>
  <c r="AT87" i="46"/>
  <c r="AR87" i="46"/>
  <c r="AM87" i="46"/>
  <c r="J87" i="46"/>
  <c r="B87" i="46"/>
  <c r="AS87" i="46" s="1"/>
  <c r="AU86" i="46"/>
  <c r="AT86" i="46"/>
  <c r="AR86" i="46"/>
  <c r="AM86" i="46"/>
  <c r="J86" i="46"/>
  <c r="B86" i="46"/>
  <c r="AS86" i="46" s="1"/>
  <c r="AU85" i="46"/>
  <c r="AT85" i="46"/>
  <c r="AR85" i="46"/>
  <c r="AM85" i="46"/>
  <c r="J85" i="46"/>
  <c r="B85" i="46"/>
  <c r="AL85" i="46" s="1"/>
  <c r="AU84" i="46"/>
  <c r="AT84" i="46"/>
  <c r="AR84" i="46"/>
  <c r="AM84" i="46"/>
  <c r="J84" i="46"/>
  <c r="B84" i="46"/>
  <c r="AS84" i="46" s="1"/>
  <c r="AU83" i="46"/>
  <c r="AT83" i="46"/>
  <c r="AR83" i="46"/>
  <c r="AM83" i="46"/>
  <c r="J83" i="46"/>
  <c r="B83" i="46"/>
  <c r="AS83" i="46" s="1"/>
  <c r="AU82" i="46"/>
  <c r="AT82" i="46"/>
  <c r="AR82" i="46"/>
  <c r="AM82" i="46"/>
  <c r="J82" i="46"/>
  <c r="B82" i="46"/>
  <c r="AS82" i="46" s="1"/>
  <c r="AU81" i="46"/>
  <c r="AT81" i="46"/>
  <c r="AR81" i="46"/>
  <c r="AM81" i="46"/>
  <c r="J81" i="46"/>
  <c r="B81" i="46"/>
  <c r="AS81" i="46" s="1"/>
  <c r="AU80" i="46"/>
  <c r="AT80" i="46"/>
  <c r="AR80" i="46"/>
  <c r="AM80" i="46"/>
  <c r="J80" i="46"/>
  <c r="B80" i="46"/>
  <c r="AS80" i="46" s="1"/>
  <c r="AU79" i="46"/>
  <c r="AT79" i="46"/>
  <c r="AR79" i="46"/>
  <c r="AM79" i="46"/>
  <c r="J79" i="46"/>
  <c r="B79" i="46"/>
  <c r="AS79" i="46" s="1"/>
  <c r="AU78" i="46"/>
  <c r="AT78" i="46"/>
  <c r="AR78" i="46"/>
  <c r="AM78" i="46"/>
  <c r="J78" i="46"/>
  <c r="B78" i="46"/>
  <c r="AS78" i="46" s="1"/>
  <c r="AU77" i="46"/>
  <c r="AT77" i="46"/>
  <c r="AR77" i="46"/>
  <c r="AM77" i="46"/>
  <c r="AD74" i="101" s="1"/>
  <c r="J77" i="46"/>
  <c r="B77" i="46"/>
  <c r="AS77" i="46" s="1"/>
  <c r="AU76" i="46"/>
  <c r="AT76" i="46"/>
  <c r="AR76" i="46"/>
  <c r="AM76" i="46"/>
  <c r="J76" i="46"/>
  <c r="B76" i="46"/>
  <c r="AS76" i="46" s="1"/>
  <c r="AU75" i="46"/>
  <c r="AT75" i="46"/>
  <c r="AR75" i="46"/>
  <c r="AM75" i="46"/>
  <c r="J75" i="46"/>
  <c r="B75" i="46"/>
  <c r="AS75" i="46" s="1"/>
  <c r="AU74" i="46"/>
  <c r="AT74" i="46"/>
  <c r="AR74" i="46"/>
  <c r="AM74" i="46"/>
  <c r="J74" i="46"/>
  <c r="B74" i="46"/>
  <c r="AS74" i="46" s="1"/>
  <c r="AU73" i="46"/>
  <c r="AT73" i="46"/>
  <c r="AR73" i="46"/>
  <c r="AM73" i="46"/>
  <c r="J73" i="46"/>
  <c r="B73" i="46"/>
  <c r="AS73" i="46" s="1"/>
  <c r="AU72" i="46"/>
  <c r="AT72" i="46"/>
  <c r="AR72" i="46"/>
  <c r="AM72" i="46"/>
  <c r="J72" i="46"/>
  <c r="B72" i="46"/>
  <c r="AS72" i="46" s="1"/>
  <c r="AU71" i="46"/>
  <c r="AT71" i="46"/>
  <c r="AR71" i="46"/>
  <c r="AM71" i="46"/>
  <c r="J71" i="46"/>
  <c r="B71" i="46"/>
  <c r="AS71" i="46" s="1"/>
  <c r="AU70" i="46"/>
  <c r="AT70" i="46"/>
  <c r="AR70" i="46"/>
  <c r="AN70" i="46"/>
  <c r="AM70" i="46"/>
  <c r="J70" i="46"/>
  <c r="B70" i="46"/>
  <c r="AL70" i="46" s="1"/>
  <c r="AU69" i="46"/>
  <c r="AT69" i="46"/>
  <c r="AR69" i="46"/>
  <c r="AN69" i="46"/>
  <c r="AM69" i="46"/>
  <c r="AD20" i="101" s="1"/>
  <c r="J69" i="46"/>
  <c r="B69" i="46"/>
  <c r="AS69" i="46" s="1"/>
  <c r="AU68" i="46"/>
  <c r="AT68" i="46"/>
  <c r="AR68" i="46"/>
  <c r="AN68" i="46"/>
  <c r="AM68" i="46"/>
  <c r="J68" i="46"/>
  <c r="B68" i="46"/>
  <c r="AS68" i="46" s="1"/>
  <c r="AU67" i="46"/>
  <c r="AT67" i="46"/>
  <c r="AR67" i="46"/>
  <c r="AN67" i="46"/>
  <c r="AM67" i="46"/>
  <c r="J67" i="46"/>
  <c r="B67" i="46"/>
  <c r="AS67" i="46" s="1"/>
  <c r="AU66" i="46"/>
  <c r="AT66" i="46"/>
  <c r="AR66" i="46"/>
  <c r="AN66" i="46"/>
  <c r="AM66" i="46"/>
  <c r="J66" i="46"/>
  <c r="B66" i="46"/>
  <c r="AL66" i="46" s="1"/>
  <c r="AU65" i="46"/>
  <c r="AT65" i="46"/>
  <c r="AR65" i="46"/>
  <c r="AN65" i="46"/>
  <c r="AM65" i="46"/>
  <c r="J65" i="46"/>
  <c r="B65" i="46"/>
  <c r="AS65" i="46" s="1"/>
  <c r="AU64" i="46"/>
  <c r="AT64" i="46"/>
  <c r="AR64" i="46"/>
  <c r="AN64" i="46"/>
  <c r="AM64" i="46"/>
  <c r="AD69" i="101" s="1"/>
  <c r="J64" i="46"/>
  <c r="B64" i="46"/>
  <c r="AS64" i="46" s="1"/>
  <c r="AU63" i="46"/>
  <c r="AT63" i="46"/>
  <c r="AR63" i="46"/>
  <c r="AN63" i="46"/>
  <c r="AM63" i="46"/>
  <c r="G63" i="46"/>
  <c r="H63" i="46" s="1"/>
  <c r="J63" i="46" s="1"/>
  <c r="B63" i="46"/>
  <c r="AL63" i="46" s="1"/>
  <c r="AU62" i="46"/>
  <c r="AT62" i="46"/>
  <c r="AR62" i="46"/>
  <c r="AN62" i="46"/>
  <c r="AM62" i="46"/>
  <c r="J62" i="46"/>
  <c r="B62" i="46"/>
  <c r="AL62" i="46" s="1"/>
  <c r="AU61" i="46"/>
  <c r="AT61" i="46"/>
  <c r="AR61" i="46"/>
  <c r="AN61" i="46"/>
  <c r="AM61" i="46"/>
  <c r="J61" i="46"/>
  <c r="B61" i="46"/>
  <c r="AS61" i="46" s="1"/>
  <c r="AU60" i="46"/>
  <c r="AT60" i="46"/>
  <c r="AR60" i="46"/>
  <c r="AM60" i="46"/>
  <c r="AD51" i="101" s="1"/>
  <c r="J60" i="46"/>
  <c r="B60" i="46"/>
  <c r="AS60" i="46" s="1"/>
  <c r="AU59" i="46"/>
  <c r="AT59" i="46"/>
  <c r="AR59" i="46"/>
  <c r="AM59" i="46"/>
  <c r="J59" i="46"/>
  <c r="B59" i="46"/>
  <c r="AS59" i="46" s="1"/>
  <c r="AU58" i="46"/>
  <c r="AT58" i="46"/>
  <c r="AR58" i="46"/>
  <c r="AM58" i="46"/>
  <c r="J58" i="46"/>
  <c r="B58" i="46"/>
  <c r="AS58" i="46" s="1"/>
  <c r="AU57" i="46"/>
  <c r="AT57" i="46"/>
  <c r="AR57" i="46"/>
  <c r="AM57" i="46"/>
  <c r="J57" i="46"/>
  <c r="B57" i="46"/>
  <c r="AS57" i="46" s="1"/>
  <c r="AU56" i="46"/>
  <c r="AT56" i="46"/>
  <c r="AR56" i="46"/>
  <c r="AM56" i="46"/>
  <c r="J56" i="46"/>
  <c r="B56" i="46"/>
  <c r="AS56" i="46" s="1"/>
  <c r="AU55" i="46"/>
  <c r="AT55" i="46"/>
  <c r="AR55" i="46"/>
  <c r="AM55" i="46"/>
  <c r="J55" i="46"/>
  <c r="B55" i="46"/>
  <c r="AS55" i="46" s="1"/>
  <c r="AU54" i="46"/>
  <c r="AT54" i="46"/>
  <c r="AR54" i="46"/>
  <c r="AM54" i="46"/>
  <c r="J54" i="46"/>
  <c r="B54" i="46"/>
  <c r="AS54" i="46" s="1"/>
  <c r="AU53" i="46"/>
  <c r="AT53" i="46"/>
  <c r="AR53" i="46"/>
  <c r="AM53" i="46"/>
  <c r="AD25" i="101" s="1"/>
  <c r="J53" i="46"/>
  <c r="B53" i="46"/>
  <c r="AS53" i="46" s="1"/>
  <c r="AU52" i="46"/>
  <c r="AT52" i="46"/>
  <c r="AR52" i="46"/>
  <c r="AM52" i="46"/>
  <c r="J52" i="46"/>
  <c r="B52" i="46"/>
  <c r="AL52" i="46" s="1"/>
  <c r="AU51" i="46"/>
  <c r="AT51" i="46"/>
  <c r="AR51" i="46"/>
  <c r="AM51" i="46"/>
  <c r="J51" i="46"/>
  <c r="B51" i="46"/>
  <c r="AS51" i="46" s="1"/>
  <c r="AU50" i="46"/>
  <c r="AT50" i="46"/>
  <c r="AR50" i="46"/>
  <c r="AM50" i="46"/>
  <c r="J50" i="46"/>
  <c r="B50" i="46"/>
  <c r="AS50" i="46" s="1"/>
  <c r="AU49" i="46"/>
  <c r="AT49" i="46"/>
  <c r="AR49" i="46"/>
  <c r="AM49" i="46"/>
  <c r="J49" i="46"/>
  <c r="B49" i="46"/>
  <c r="AS49" i="46" s="1"/>
  <c r="AU48" i="46"/>
  <c r="AT48" i="46"/>
  <c r="AR48" i="46"/>
  <c r="AM48" i="46"/>
  <c r="J48" i="46"/>
  <c r="B48" i="46"/>
  <c r="AS48" i="46" s="1"/>
  <c r="AU47" i="46"/>
  <c r="AT47" i="46"/>
  <c r="AR47" i="46"/>
  <c r="AM47" i="46"/>
  <c r="J47" i="46"/>
  <c r="B47" i="46"/>
  <c r="AS47" i="46" s="1"/>
  <c r="AU46" i="46"/>
  <c r="AT46" i="46"/>
  <c r="AR46" i="46"/>
  <c r="AM46" i="46"/>
  <c r="J46" i="46"/>
  <c r="B46" i="46"/>
  <c r="AS46" i="46" s="1"/>
  <c r="AU45" i="46"/>
  <c r="AT45" i="46"/>
  <c r="AR45" i="46"/>
  <c r="AM45" i="46"/>
  <c r="J45" i="46"/>
  <c r="B45" i="46"/>
  <c r="AS45" i="46" s="1"/>
  <c r="AU44" i="46"/>
  <c r="AT44" i="46"/>
  <c r="AR44" i="46"/>
  <c r="AM44" i="46"/>
  <c r="J44" i="46"/>
  <c r="B44" i="46"/>
  <c r="AS44" i="46" s="1"/>
  <c r="AU43" i="46"/>
  <c r="AT43" i="46"/>
  <c r="AR43" i="46"/>
  <c r="AM43" i="46"/>
  <c r="J43" i="46"/>
  <c r="B43" i="46"/>
  <c r="AS43" i="46" s="1"/>
  <c r="AU42" i="46"/>
  <c r="AT42" i="46"/>
  <c r="AR42" i="46"/>
  <c r="AM42" i="46"/>
  <c r="J42" i="46"/>
  <c r="B42" i="46"/>
  <c r="AS42" i="46" s="1"/>
  <c r="AU41" i="46"/>
  <c r="AT41" i="46"/>
  <c r="AR41" i="46"/>
  <c r="AM41" i="46"/>
  <c r="J41" i="46"/>
  <c r="B41" i="46"/>
  <c r="AS41" i="46" s="1"/>
  <c r="AU40" i="46"/>
  <c r="AT40" i="46"/>
  <c r="AR40" i="46"/>
  <c r="AM40" i="46"/>
  <c r="J40" i="46"/>
  <c r="B40" i="46"/>
  <c r="AL40" i="46" s="1"/>
  <c r="AU39" i="46"/>
  <c r="AT39" i="46"/>
  <c r="AR39" i="46"/>
  <c r="AM39" i="46"/>
  <c r="J39" i="46"/>
  <c r="B39" i="46"/>
  <c r="AS39" i="46" s="1"/>
  <c r="AU38" i="46"/>
  <c r="AT38" i="46"/>
  <c r="AR38" i="46"/>
  <c r="AM38" i="46"/>
  <c r="J38" i="46"/>
  <c r="B38" i="46"/>
  <c r="AS38" i="46" s="1"/>
  <c r="AU37" i="46"/>
  <c r="AT37" i="46"/>
  <c r="AR37" i="46"/>
  <c r="AM37" i="46"/>
  <c r="J37" i="46"/>
  <c r="B37" i="46"/>
  <c r="AS37" i="46" s="1"/>
  <c r="AU36" i="46"/>
  <c r="AT36" i="46"/>
  <c r="AR36" i="46"/>
  <c r="AM36" i="46"/>
  <c r="AD39" i="101" s="1"/>
  <c r="J36" i="46"/>
  <c r="B36" i="46"/>
  <c r="AS36" i="46" s="1"/>
  <c r="AT35" i="46"/>
  <c r="AR35" i="46"/>
  <c r="AM35" i="46"/>
  <c r="J35" i="46"/>
  <c r="B35" i="46"/>
  <c r="AL35" i="46" s="1"/>
  <c r="AU34" i="46"/>
  <c r="AT34" i="46"/>
  <c r="AR34" i="46"/>
  <c r="AM34" i="46"/>
  <c r="J34" i="46"/>
  <c r="B34" i="46"/>
  <c r="AS34" i="46" s="1"/>
  <c r="AU33" i="46"/>
  <c r="AT33" i="46"/>
  <c r="AR33" i="46"/>
  <c r="AM33" i="46"/>
  <c r="J33" i="46"/>
  <c r="B33" i="46"/>
  <c r="AS33" i="46" s="1"/>
  <c r="AU32" i="46"/>
  <c r="AT32" i="46"/>
  <c r="AR32" i="46"/>
  <c r="AM32" i="46"/>
  <c r="J32" i="46"/>
  <c r="B32" i="46"/>
  <c r="AL32" i="46" s="1"/>
  <c r="AU31" i="46"/>
  <c r="AT31" i="46"/>
  <c r="AR31" i="46"/>
  <c r="AM31" i="46"/>
  <c r="J31" i="46"/>
  <c r="B31" i="46"/>
  <c r="AS31" i="46" s="1"/>
  <c r="AU30" i="46"/>
  <c r="AT30" i="46"/>
  <c r="AR30" i="46"/>
  <c r="AM30" i="46"/>
  <c r="J30" i="46"/>
  <c r="B30" i="46"/>
  <c r="AS30" i="46" s="1"/>
  <c r="AU29" i="46"/>
  <c r="AT29" i="46"/>
  <c r="AR29" i="46"/>
  <c r="AM29" i="46"/>
  <c r="J29" i="46"/>
  <c r="B29" i="46"/>
  <c r="AL29" i="46" s="1"/>
  <c r="AU28" i="46"/>
  <c r="AT28" i="46"/>
  <c r="AR28" i="46"/>
  <c r="AM28" i="46"/>
  <c r="J28" i="46"/>
  <c r="B28" i="46"/>
  <c r="AS28" i="46" s="1"/>
  <c r="AU27" i="46"/>
  <c r="AT27" i="46"/>
  <c r="AR27" i="46"/>
  <c r="AM27" i="46"/>
  <c r="J27" i="46"/>
  <c r="B27" i="46"/>
  <c r="AS27" i="46" s="1"/>
  <c r="AU26" i="46"/>
  <c r="AT26" i="46"/>
  <c r="AR26" i="46"/>
  <c r="AM26" i="46"/>
  <c r="J26" i="46"/>
  <c r="B26" i="46"/>
  <c r="AL26" i="46" s="1"/>
  <c r="AU25" i="46"/>
  <c r="AT25" i="46"/>
  <c r="AR25" i="46"/>
  <c r="AM25" i="46"/>
  <c r="J25" i="46"/>
  <c r="B25" i="46"/>
  <c r="AS25" i="46" s="1"/>
  <c r="AU24" i="46"/>
  <c r="AT24" i="46"/>
  <c r="AR24" i="46"/>
  <c r="AM24" i="46"/>
  <c r="J24" i="46"/>
  <c r="B24" i="46"/>
  <c r="AS24" i="46" s="1"/>
  <c r="AU23" i="46"/>
  <c r="AT23" i="46"/>
  <c r="AR23" i="46"/>
  <c r="AM23" i="46"/>
  <c r="J23" i="46"/>
  <c r="B23" i="46"/>
  <c r="AL23" i="46" s="1"/>
  <c r="AU22" i="46"/>
  <c r="AT22" i="46"/>
  <c r="AR22" i="46"/>
  <c r="AM22" i="46"/>
  <c r="J22" i="46"/>
  <c r="B22" i="46"/>
  <c r="AS22" i="46" s="1"/>
  <c r="AT21" i="46"/>
  <c r="AR21" i="46"/>
  <c r="AM21" i="46"/>
  <c r="J21" i="46"/>
  <c r="B21" i="46"/>
  <c r="AS21" i="46" s="1"/>
  <c r="AU20" i="46"/>
  <c r="AT20" i="46"/>
  <c r="AR20" i="46"/>
  <c r="AM20" i="46"/>
  <c r="AD35" i="101" s="1"/>
  <c r="J20" i="46"/>
  <c r="B20" i="46"/>
  <c r="AL20" i="46" s="1"/>
  <c r="AU19" i="46"/>
  <c r="AT19" i="46"/>
  <c r="AR19" i="46"/>
  <c r="AM19" i="46"/>
  <c r="J19" i="46"/>
  <c r="B19" i="46"/>
  <c r="AL19" i="46" s="1"/>
  <c r="AU18" i="46"/>
  <c r="AT18" i="46"/>
  <c r="AR18" i="46"/>
  <c r="AM18" i="46"/>
  <c r="J18" i="46"/>
  <c r="B18" i="46"/>
  <c r="AS18" i="46" s="1"/>
  <c r="AU17" i="46"/>
  <c r="AT17" i="46"/>
  <c r="AR17" i="46"/>
  <c r="AM17" i="46"/>
  <c r="AD40" i="101" s="1"/>
  <c r="J17" i="46"/>
  <c r="B17" i="46"/>
  <c r="AL17" i="46" s="1"/>
  <c r="AU16" i="46"/>
  <c r="AT16" i="46"/>
  <c r="AR16" i="46"/>
  <c r="AM16" i="46"/>
  <c r="J16" i="46"/>
  <c r="B16" i="46"/>
  <c r="AS16" i="46" s="1"/>
  <c r="AU15" i="46"/>
  <c r="AT15" i="46"/>
  <c r="AR15" i="46"/>
  <c r="AM15" i="46"/>
  <c r="J15" i="46"/>
  <c r="B15" i="46"/>
  <c r="AS15" i="46" s="1"/>
  <c r="AU14" i="46"/>
  <c r="AT14" i="46"/>
  <c r="AR14" i="46"/>
  <c r="AM14" i="46"/>
  <c r="AD56" i="101" s="1"/>
  <c r="J14" i="46"/>
  <c r="B14" i="46"/>
  <c r="AL14" i="46" s="1"/>
  <c r="AT13" i="46"/>
  <c r="AR13" i="46"/>
  <c r="AM13" i="46"/>
  <c r="J13" i="46"/>
  <c r="B13" i="46"/>
  <c r="AS13" i="46" s="1"/>
  <c r="AU12" i="46"/>
  <c r="AT12" i="46"/>
  <c r="AR12" i="46"/>
  <c r="AM12" i="46"/>
  <c r="AD50" i="101" s="1"/>
  <c r="J12" i="46"/>
  <c r="B12" i="46"/>
  <c r="AS12" i="46" s="1"/>
  <c r="AU11" i="46"/>
  <c r="AT11" i="46"/>
  <c r="AR11" i="46"/>
  <c r="AM11" i="46"/>
  <c r="J11" i="46"/>
  <c r="B11" i="46"/>
  <c r="AS11" i="46" s="1"/>
  <c r="AU10" i="46"/>
  <c r="AT10" i="46"/>
  <c r="AR10" i="46"/>
  <c r="AM10" i="46"/>
  <c r="AD24" i="101" s="1"/>
  <c r="J10" i="46"/>
  <c r="B10" i="46"/>
  <c r="AS10" i="46" s="1"/>
  <c r="AU9" i="46"/>
  <c r="AT9" i="46"/>
  <c r="AR9" i="46"/>
  <c r="AM9" i="46"/>
  <c r="J9" i="46"/>
  <c r="B9" i="46"/>
  <c r="AS9" i="46" s="1"/>
  <c r="AU8" i="46"/>
  <c r="AT8" i="46"/>
  <c r="AR8" i="46"/>
  <c r="AM8" i="46"/>
  <c r="AD21" i="101" s="1"/>
  <c r="J8" i="46"/>
  <c r="B8" i="46"/>
  <c r="AS8" i="46" s="1"/>
  <c r="J38" i="50"/>
  <c r="J39" i="50" s="1"/>
  <c r="J41" i="50" s="1"/>
  <c r="J31" i="50"/>
  <c r="I23" i="50"/>
  <c r="I22" i="50"/>
  <c r="I21" i="50"/>
  <c r="F19" i="50"/>
  <c r="J12" i="50"/>
  <c r="G17" i="50" s="1"/>
  <c r="J17" i="50" s="1"/>
  <c r="E11" i="50"/>
  <c r="E10" i="50"/>
  <c r="F31" i="51"/>
  <c r="F30" i="51"/>
  <c r="F29" i="51"/>
  <c r="F28" i="51"/>
  <c r="F27" i="51"/>
  <c r="N26" i="51"/>
  <c r="L26" i="51"/>
  <c r="F26" i="51"/>
  <c r="F25" i="51"/>
  <c r="F24" i="51"/>
  <c r="F23" i="51"/>
  <c r="F22" i="51"/>
  <c r="I21" i="51"/>
  <c r="F21" i="51"/>
  <c r="F20" i="51"/>
  <c r="F19" i="51"/>
  <c r="F18" i="51"/>
  <c r="F17" i="51"/>
  <c r="F16" i="51"/>
  <c r="F15" i="51"/>
  <c r="F14" i="51"/>
  <c r="F13" i="51"/>
  <c r="F12" i="51"/>
  <c r="A6" i="51"/>
  <c r="A5" i="51"/>
  <c r="A4" i="51"/>
  <c r="F81" i="66"/>
  <c r="C81" i="66"/>
  <c r="F80" i="66"/>
  <c r="C80" i="66"/>
  <c r="F79" i="66"/>
  <c r="E79" i="66"/>
  <c r="C79" i="66"/>
  <c r="F78" i="66"/>
  <c r="C78" i="66"/>
  <c r="F77" i="66"/>
  <c r="C77" i="66"/>
  <c r="F76" i="66"/>
  <c r="C76" i="66"/>
  <c r="F75" i="66"/>
  <c r="C75" i="66"/>
  <c r="F74" i="66"/>
  <c r="C74" i="66"/>
  <c r="F73" i="66"/>
  <c r="C73" i="66"/>
  <c r="O72" i="66"/>
  <c r="N72" i="66"/>
  <c r="M72" i="66"/>
  <c r="L72" i="66"/>
  <c r="F72" i="66"/>
  <c r="C72" i="66"/>
  <c r="F71" i="66"/>
  <c r="C71" i="66"/>
  <c r="F70" i="66"/>
  <c r="C70" i="66"/>
  <c r="F69" i="66"/>
  <c r="C69" i="66"/>
  <c r="F68" i="66"/>
  <c r="C68" i="66"/>
  <c r="F67" i="66"/>
  <c r="C67" i="66"/>
  <c r="F66" i="66"/>
  <c r="C66" i="66"/>
  <c r="F65" i="66"/>
  <c r="C65" i="66"/>
  <c r="F64" i="66"/>
  <c r="C64" i="66"/>
  <c r="F63" i="66"/>
  <c r="C63" i="66"/>
  <c r="F62" i="66"/>
  <c r="C62" i="66"/>
  <c r="F61" i="66"/>
  <c r="C61" i="66"/>
  <c r="F60" i="66"/>
  <c r="C60" i="66"/>
  <c r="O59" i="66"/>
  <c r="N59" i="66"/>
  <c r="M59" i="66"/>
  <c r="L59" i="66"/>
  <c r="F59" i="66"/>
  <c r="C59" i="66"/>
  <c r="F58" i="66"/>
  <c r="C58" i="66"/>
  <c r="F57" i="66"/>
  <c r="C57" i="66"/>
  <c r="F56" i="66"/>
  <c r="C56" i="66"/>
  <c r="F55" i="66"/>
  <c r="C55" i="66"/>
  <c r="F54" i="66"/>
  <c r="C54" i="66"/>
  <c r="O53" i="66"/>
  <c r="N53" i="66"/>
  <c r="M53" i="66"/>
  <c r="L53" i="66"/>
  <c r="F53" i="66"/>
  <c r="C53" i="66"/>
  <c r="F52" i="66"/>
  <c r="C52" i="66"/>
  <c r="F51" i="66"/>
  <c r="C51" i="66"/>
  <c r="F50" i="66"/>
  <c r="C50" i="66"/>
  <c r="F49" i="66"/>
  <c r="O48" i="66"/>
  <c r="N48" i="66"/>
  <c r="M48" i="66"/>
  <c r="L48" i="66"/>
  <c r="F48" i="66"/>
  <c r="C48" i="66"/>
  <c r="F47" i="66"/>
  <c r="C47" i="66"/>
  <c r="F46" i="66"/>
  <c r="C46" i="66"/>
  <c r="F45" i="66"/>
  <c r="C45" i="66"/>
  <c r="F44" i="66"/>
  <c r="C44" i="66"/>
  <c r="F43" i="66"/>
  <c r="F42" i="66"/>
  <c r="C42" i="66"/>
  <c r="F41" i="66"/>
  <c r="C41" i="66"/>
  <c r="F40" i="66"/>
  <c r="C40" i="66"/>
  <c r="F39" i="66"/>
  <c r="C39" i="66"/>
  <c r="F38" i="66"/>
  <c r="C38" i="66"/>
  <c r="F37" i="66"/>
  <c r="C37" i="66"/>
  <c r="F36" i="66"/>
  <c r="J36" i="66" s="1"/>
  <c r="K36" i="66" s="1"/>
  <c r="F35" i="66"/>
  <c r="C35" i="66"/>
  <c r="F34" i="66"/>
  <c r="C34" i="66"/>
  <c r="F33" i="66"/>
  <c r="C33" i="66"/>
  <c r="F32" i="66"/>
  <c r="C32" i="66"/>
  <c r="F31" i="66"/>
  <c r="C31" i="66"/>
  <c r="F30" i="66"/>
  <c r="C30" i="66"/>
  <c r="F29" i="66"/>
  <c r="C29" i="66"/>
  <c r="F28" i="66"/>
  <c r="C28" i="66"/>
  <c r="F27" i="66"/>
  <c r="C27" i="66"/>
  <c r="F26" i="66"/>
  <c r="C26" i="66"/>
  <c r="F25" i="66"/>
  <c r="C25" i="66"/>
  <c r="F24" i="66"/>
  <c r="C24" i="66"/>
  <c r="F23" i="66"/>
  <c r="C23" i="66"/>
  <c r="F22" i="66"/>
  <c r="C22" i="66"/>
  <c r="F21" i="66"/>
  <c r="C21" i="66"/>
  <c r="F20" i="66"/>
  <c r="C20" i="66"/>
  <c r="F19" i="66"/>
  <c r="C19" i="66"/>
  <c r="F18" i="66"/>
  <c r="C18" i="66"/>
  <c r="F17" i="66"/>
  <c r="F16" i="66"/>
  <c r="C16" i="66"/>
  <c r="F15" i="66"/>
  <c r="C15" i="66"/>
  <c r="F14" i="66"/>
  <c r="C14" i="66"/>
  <c r="F13" i="66"/>
  <c r="C13" i="66"/>
  <c r="F12" i="66"/>
  <c r="C12" i="66"/>
  <c r="F11" i="66"/>
  <c r="C11" i="66"/>
  <c r="C10" i="66"/>
  <c r="B10" i="66"/>
  <c r="A10" i="66"/>
  <c r="AK9" i="66"/>
  <c r="AH9" i="66"/>
  <c r="AE9" i="66"/>
  <c r="AB9" i="66"/>
  <c r="Y9" i="66"/>
  <c r="V9" i="66"/>
  <c r="S9" i="66"/>
  <c r="I9" i="66"/>
  <c r="U5" i="66"/>
  <c r="T5" i="66"/>
  <c r="T3" i="66" s="1"/>
  <c r="S5" i="66"/>
  <c r="S3" i="66" s="1"/>
  <c r="R5" i="66"/>
  <c r="R3" i="66" s="1"/>
  <c r="Q5" i="66"/>
  <c r="Q3" i="66" s="1"/>
  <c r="P5" i="66"/>
  <c r="P3" i="66" s="1"/>
  <c r="O5" i="66"/>
  <c r="O3" i="66" s="1"/>
  <c r="N5" i="66"/>
  <c r="N3" i="66" s="1"/>
  <c r="E5" i="66"/>
  <c r="B5" i="66"/>
  <c r="U4" i="66"/>
  <c r="T4" i="66"/>
  <c r="S4" i="66"/>
  <c r="R4" i="66"/>
  <c r="Q4" i="66"/>
  <c r="P4" i="66"/>
  <c r="O4" i="66"/>
  <c r="N4" i="66"/>
  <c r="E4" i="66"/>
  <c r="B4" i="66"/>
  <c r="J3" i="66"/>
  <c r="B3" i="66"/>
  <c r="J2" i="66"/>
  <c r="G2" i="66"/>
  <c r="E2" i="66"/>
  <c r="B2" i="66"/>
  <c r="I7" i="44"/>
  <c r="E7" i="44"/>
  <c r="C6" i="44"/>
  <c r="F5" i="44"/>
  <c r="C5" i="44"/>
  <c r="C4" i="44"/>
  <c r="I3" i="44"/>
  <c r="H3" i="44"/>
  <c r="F3" i="44"/>
  <c r="E3" i="44"/>
  <c r="C3" i="44"/>
  <c r="C2" i="44"/>
  <c r="J1" i="44"/>
  <c r="H86" i="84"/>
  <c r="G86" i="84"/>
  <c r="B86" i="84"/>
  <c r="H85" i="84"/>
  <c r="G85" i="84"/>
  <c r="H84" i="84"/>
  <c r="G84" i="84"/>
  <c r="H83" i="84"/>
  <c r="G83" i="84"/>
  <c r="T82" i="84"/>
  <c r="S82" i="84"/>
  <c r="R82" i="84"/>
  <c r="Q82" i="84"/>
  <c r="P82" i="84"/>
  <c r="O82" i="84"/>
  <c r="N82" i="84"/>
  <c r="M82" i="84"/>
  <c r="L82" i="84"/>
  <c r="K82" i="84"/>
  <c r="H82" i="84"/>
  <c r="G82" i="84"/>
  <c r="T81" i="84"/>
  <c r="S81" i="84"/>
  <c r="R81" i="84"/>
  <c r="Q81" i="84"/>
  <c r="P81" i="84"/>
  <c r="O81" i="84"/>
  <c r="N81" i="84"/>
  <c r="M81" i="84"/>
  <c r="L81" i="84"/>
  <c r="K81" i="84"/>
  <c r="H81" i="84"/>
  <c r="G81" i="84"/>
  <c r="H80" i="84"/>
  <c r="G80" i="84"/>
  <c r="H79" i="84"/>
  <c r="G79" i="84"/>
  <c r="T78" i="84"/>
  <c r="S78" i="84"/>
  <c r="R78" i="84"/>
  <c r="Q78" i="84"/>
  <c r="P78" i="84"/>
  <c r="O78" i="84"/>
  <c r="N78" i="84"/>
  <c r="M78" i="84"/>
  <c r="L78" i="84"/>
  <c r="K78" i="84"/>
  <c r="H78" i="84"/>
  <c r="G78" i="84"/>
  <c r="H77" i="84"/>
  <c r="G77" i="84"/>
  <c r="H76" i="84"/>
  <c r="G76" i="84"/>
  <c r="H75" i="84"/>
  <c r="G75" i="84"/>
  <c r="H74" i="84"/>
  <c r="G74" i="84"/>
  <c r="H73" i="84"/>
  <c r="G73" i="84"/>
  <c r="H72" i="84"/>
  <c r="G72" i="84"/>
  <c r="H71" i="84"/>
  <c r="G71" i="84"/>
  <c r="O70" i="84"/>
  <c r="H70" i="84"/>
  <c r="G70" i="84"/>
  <c r="H69" i="84"/>
  <c r="G69" i="84"/>
  <c r="H68" i="84"/>
  <c r="G68" i="84"/>
  <c r="T67" i="84"/>
  <c r="S67" i="84"/>
  <c r="R67" i="84"/>
  <c r="Q67" i="84"/>
  <c r="P67" i="84"/>
  <c r="O67" i="84"/>
  <c r="N67" i="84"/>
  <c r="M67" i="84"/>
  <c r="L67" i="84"/>
  <c r="K67" i="84"/>
  <c r="H67" i="84"/>
  <c r="G67" i="84"/>
  <c r="T66" i="84"/>
  <c r="S66" i="84"/>
  <c r="R66" i="84"/>
  <c r="Q66" i="84"/>
  <c r="P66" i="84"/>
  <c r="O66" i="84"/>
  <c r="N66" i="84"/>
  <c r="M66" i="84"/>
  <c r="L66" i="84"/>
  <c r="K66" i="84"/>
  <c r="H66" i="84"/>
  <c r="G66" i="84"/>
  <c r="H65" i="84"/>
  <c r="G65" i="84"/>
  <c r="H64" i="84"/>
  <c r="G64" i="84"/>
  <c r="H63" i="84"/>
  <c r="G63" i="84"/>
  <c r="H62" i="84"/>
  <c r="G62" i="84"/>
  <c r="H61" i="84"/>
  <c r="G61" i="84"/>
  <c r="H60" i="84"/>
  <c r="G60" i="84"/>
  <c r="H59" i="84"/>
  <c r="G59" i="84"/>
  <c r="H58" i="84"/>
  <c r="G58" i="84"/>
  <c r="H57" i="84"/>
  <c r="G57" i="84"/>
  <c r="H56" i="84"/>
  <c r="G56" i="84"/>
  <c r="H55" i="84"/>
  <c r="G55" i="84"/>
  <c r="H54" i="84"/>
  <c r="G54" i="84"/>
  <c r="H53" i="84"/>
  <c r="G53" i="84"/>
  <c r="T50" i="84"/>
  <c r="S50" i="84"/>
  <c r="R50" i="84"/>
  <c r="Q50" i="84"/>
  <c r="P50" i="84"/>
  <c r="O50" i="84"/>
  <c r="N50" i="84"/>
  <c r="M50" i="84"/>
  <c r="L50" i="84"/>
  <c r="K50" i="84"/>
  <c r="H50" i="84"/>
  <c r="G50" i="84"/>
  <c r="T49" i="84"/>
  <c r="S49" i="84"/>
  <c r="R49" i="84"/>
  <c r="Q49" i="84"/>
  <c r="P49" i="84"/>
  <c r="O49" i="84"/>
  <c r="N49" i="84"/>
  <c r="M49" i="84"/>
  <c r="L49" i="84"/>
  <c r="K49" i="84"/>
  <c r="H49" i="84"/>
  <c r="G49" i="84"/>
  <c r="B49" i="84"/>
  <c r="H48" i="84"/>
  <c r="G48" i="84"/>
  <c r="B48" i="84"/>
  <c r="H45" i="84"/>
  <c r="G45" i="84"/>
  <c r="H44" i="84"/>
  <c r="G44" i="84"/>
  <c r="H43" i="84"/>
  <c r="G43" i="84"/>
  <c r="H42" i="84"/>
  <c r="G42" i="84"/>
  <c r="H41" i="84"/>
  <c r="G41" i="84"/>
  <c r="H40" i="84"/>
  <c r="G40" i="84"/>
  <c r="H39" i="84"/>
  <c r="G39" i="84"/>
  <c r="H38" i="84"/>
  <c r="G38" i="84"/>
  <c r="H35" i="84"/>
  <c r="G35" i="84"/>
  <c r="T34" i="84"/>
  <c r="S34" i="84"/>
  <c r="R34" i="84"/>
  <c r="Q34" i="84"/>
  <c r="P34" i="84"/>
  <c r="O34" i="84"/>
  <c r="N34" i="84"/>
  <c r="M34" i="84"/>
  <c r="L34" i="84"/>
  <c r="K34" i="84"/>
  <c r="H34" i="84"/>
  <c r="G34" i="84"/>
  <c r="B34" i="84"/>
  <c r="T33" i="84"/>
  <c r="S33" i="84"/>
  <c r="R33" i="84"/>
  <c r="Q33" i="84"/>
  <c r="P33" i="84"/>
  <c r="O33" i="84"/>
  <c r="N33" i="84"/>
  <c r="M33" i="84"/>
  <c r="L33" i="84"/>
  <c r="K33" i="84"/>
  <c r="H33" i="84"/>
  <c r="G33" i="84"/>
  <c r="B33" i="84"/>
  <c r="H32" i="84"/>
  <c r="G32" i="84"/>
  <c r="B32" i="84"/>
  <c r="H31" i="84"/>
  <c r="G31" i="84"/>
  <c r="B31" i="84"/>
  <c r="H24" i="84"/>
  <c r="G24" i="84"/>
  <c r="H23" i="84"/>
  <c r="G23" i="84"/>
  <c r="H22" i="84"/>
  <c r="G22" i="84"/>
  <c r="H21" i="84"/>
  <c r="G21" i="84"/>
  <c r="H20" i="84"/>
  <c r="G20" i="84"/>
  <c r="T19" i="84"/>
  <c r="S19" i="84"/>
  <c r="R19" i="84"/>
  <c r="Q19" i="84"/>
  <c r="P19" i="84"/>
  <c r="O19" i="84"/>
  <c r="N19" i="84"/>
  <c r="M19" i="84"/>
  <c r="L19" i="84"/>
  <c r="K19" i="84"/>
  <c r="H19" i="84"/>
  <c r="G19" i="84"/>
  <c r="H18" i="84"/>
  <c r="G18" i="84"/>
  <c r="H17" i="84"/>
  <c r="G17" i="84"/>
  <c r="H16" i="84"/>
  <c r="G16" i="84"/>
  <c r="H14" i="84"/>
  <c r="G14" i="84"/>
  <c r="H13" i="84"/>
  <c r="G13" i="84"/>
  <c r="H12" i="84"/>
  <c r="G12" i="84"/>
  <c r="H11" i="84"/>
  <c r="G11" i="84"/>
  <c r="H10" i="84"/>
  <c r="G10" i="84"/>
  <c r="H9" i="84"/>
  <c r="G9" i="84"/>
  <c r="H8" i="84"/>
  <c r="G8" i="84"/>
  <c r="AF7" i="84"/>
  <c r="AE7" i="84"/>
  <c r="AD7" i="84"/>
  <c r="AC7" i="84"/>
  <c r="AB7" i="84"/>
  <c r="AA7" i="84"/>
  <c r="Z7" i="84"/>
  <c r="Y7" i="84"/>
  <c r="V7" i="84"/>
  <c r="I22" i="49"/>
  <c r="I21" i="49"/>
  <c r="F19" i="49"/>
  <c r="J12" i="49"/>
  <c r="G18" i="49" s="1"/>
  <c r="J18" i="49" s="1"/>
  <c r="E11" i="49"/>
  <c r="E10" i="49"/>
  <c r="N1" i="49"/>
  <c r="N483" i="7"/>
  <c r="N482" i="7"/>
  <c r="N481" i="7"/>
  <c r="N480" i="7"/>
  <c r="N479" i="7"/>
  <c r="N478" i="7"/>
  <c r="N477" i="7"/>
  <c r="N476" i="7"/>
  <c r="N475" i="7"/>
  <c r="N474" i="7"/>
  <c r="N473" i="7"/>
  <c r="N472" i="7"/>
  <c r="N471" i="7"/>
  <c r="N470" i="7"/>
  <c r="N469" i="7"/>
  <c r="N468" i="7"/>
  <c r="N467" i="7"/>
  <c r="N466" i="7"/>
  <c r="N465" i="7"/>
  <c r="N464" i="7"/>
  <c r="N463" i="7"/>
  <c r="N462" i="7"/>
  <c r="N461" i="7"/>
  <c r="N460" i="7"/>
  <c r="N459" i="7"/>
  <c r="N458" i="7"/>
  <c r="N457" i="7"/>
  <c r="N456" i="7"/>
  <c r="N455" i="7"/>
  <c r="N454" i="7"/>
  <c r="N453" i="7"/>
  <c r="N452" i="7"/>
  <c r="N451" i="7"/>
  <c r="N450" i="7"/>
  <c r="N449" i="7"/>
  <c r="N448" i="7"/>
  <c r="N447" i="7"/>
  <c r="N446" i="7"/>
  <c r="N445" i="7"/>
  <c r="N444" i="7"/>
  <c r="N443" i="7"/>
  <c r="N442" i="7"/>
  <c r="N441" i="7"/>
  <c r="N440" i="7"/>
  <c r="N439" i="7"/>
  <c r="N438" i="7"/>
  <c r="N437" i="7"/>
  <c r="N436" i="7"/>
  <c r="N435" i="7"/>
  <c r="N434" i="7"/>
  <c r="N433" i="7"/>
  <c r="N432" i="7"/>
  <c r="N431" i="7"/>
  <c r="N430" i="7"/>
  <c r="N429" i="7"/>
  <c r="N428" i="7"/>
  <c r="N427" i="7"/>
  <c r="N426" i="7"/>
  <c r="N425" i="7"/>
  <c r="N424" i="7"/>
  <c r="N423" i="7"/>
  <c r="N422" i="7"/>
  <c r="N421" i="7"/>
  <c r="N420" i="7"/>
  <c r="N419" i="7"/>
  <c r="N418" i="7"/>
  <c r="N417" i="7"/>
  <c r="N416" i="7"/>
  <c r="N415" i="7"/>
  <c r="N414" i="7"/>
  <c r="N413" i="7"/>
  <c r="N412" i="7"/>
  <c r="N411" i="7"/>
  <c r="N410" i="7"/>
  <c r="N409" i="7"/>
  <c r="N408" i="7"/>
  <c r="N407" i="7"/>
  <c r="N406" i="7"/>
  <c r="N405" i="7"/>
  <c r="N404" i="7"/>
  <c r="N403" i="7"/>
  <c r="N402" i="7"/>
  <c r="N401" i="7"/>
  <c r="N400" i="7"/>
  <c r="N399" i="7"/>
  <c r="N398" i="7"/>
  <c r="N397" i="7"/>
  <c r="N396" i="7"/>
  <c r="N395" i="7"/>
  <c r="N394" i="7"/>
  <c r="N393" i="7"/>
  <c r="N392" i="7"/>
  <c r="N391" i="7"/>
  <c r="N390" i="7"/>
  <c r="N389" i="7"/>
  <c r="N388" i="7"/>
  <c r="N387" i="7"/>
  <c r="N386" i="7"/>
  <c r="N385" i="7"/>
  <c r="N384" i="7"/>
  <c r="N383" i="7"/>
  <c r="N382" i="7"/>
  <c r="N381" i="7"/>
  <c r="N380" i="7"/>
  <c r="N379" i="7"/>
  <c r="N378" i="7"/>
  <c r="N377" i="7"/>
  <c r="N376" i="7"/>
  <c r="N375" i="7"/>
  <c r="N374" i="7"/>
  <c r="N373" i="7"/>
  <c r="N372" i="7"/>
  <c r="N371" i="7"/>
  <c r="N370" i="7"/>
  <c r="N369" i="7"/>
  <c r="N368" i="7"/>
  <c r="N367" i="7"/>
  <c r="N366" i="7"/>
  <c r="N365" i="7"/>
  <c r="N364" i="7"/>
  <c r="N363" i="7"/>
  <c r="N362" i="7"/>
  <c r="N361" i="7"/>
  <c r="N360" i="7"/>
  <c r="N359" i="7"/>
  <c r="N358" i="7"/>
  <c r="N357" i="7"/>
  <c r="N356" i="7"/>
  <c r="N355" i="7"/>
  <c r="N354" i="7"/>
  <c r="N353" i="7"/>
  <c r="N352" i="7"/>
  <c r="N351" i="7"/>
  <c r="N350" i="7"/>
  <c r="N349" i="7"/>
  <c r="N348" i="7"/>
  <c r="N347" i="7"/>
  <c r="N346" i="7"/>
  <c r="N345" i="7"/>
  <c r="N344" i="7"/>
  <c r="N343" i="7"/>
  <c r="N342" i="7"/>
  <c r="N341" i="7"/>
  <c r="N340" i="7"/>
  <c r="N339" i="7"/>
  <c r="N338" i="7"/>
  <c r="N337" i="7"/>
  <c r="N336" i="7"/>
  <c r="N335" i="7"/>
  <c r="N334" i="7"/>
  <c r="N333" i="7"/>
  <c r="N332" i="7"/>
  <c r="N331" i="7"/>
  <c r="N330" i="7"/>
  <c r="N329" i="7"/>
  <c r="N328" i="7"/>
  <c r="N327" i="7"/>
  <c r="N326" i="7"/>
  <c r="N325" i="7"/>
  <c r="N324" i="7"/>
  <c r="N323" i="7"/>
  <c r="N322" i="7"/>
  <c r="N321" i="7"/>
  <c r="N320" i="7"/>
  <c r="N319" i="7"/>
  <c r="N318" i="7"/>
  <c r="N317" i="7"/>
  <c r="N316" i="7"/>
  <c r="N315" i="7"/>
  <c r="N314" i="7"/>
  <c r="N313" i="7"/>
  <c r="N312" i="7"/>
  <c r="N311" i="7"/>
  <c r="N310" i="7"/>
  <c r="N309" i="7"/>
  <c r="N308" i="7"/>
  <c r="N307" i="7"/>
  <c r="N306" i="7"/>
  <c r="N305" i="7"/>
  <c r="N304" i="7"/>
  <c r="N303" i="7"/>
  <c r="N302" i="7"/>
  <c r="N301" i="7"/>
  <c r="N300" i="7"/>
  <c r="N299" i="7"/>
  <c r="N298" i="7"/>
  <c r="N297" i="7"/>
  <c r="N296" i="7"/>
  <c r="N295" i="7"/>
  <c r="N294" i="7"/>
  <c r="N293" i="7"/>
  <c r="N292" i="7"/>
  <c r="N291" i="7"/>
  <c r="N290" i="7"/>
  <c r="N289" i="7"/>
  <c r="N288" i="7"/>
  <c r="N287" i="7"/>
  <c r="N286" i="7"/>
  <c r="N285" i="7"/>
  <c r="N284" i="7"/>
  <c r="N283" i="7"/>
  <c r="N282" i="7"/>
  <c r="N281" i="7"/>
  <c r="N280" i="7"/>
  <c r="N279" i="7"/>
  <c r="N278" i="7"/>
  <c r="N277" i="7"/>
  <c r="N276" i="7"/>
  <c r="N275" i="7"/>
  <c r="N274" i="7"/>
  <c r="N273" i="7"/>
  <c r="N272" i="7"/>
  <c r="N271" i="7"/>
  <c r="N270" i="7"/>
  <c r="N269" i="7"/>
  <c r="N268" i="7"/>
  <c r="N267" i="7"/>
  <c r="N266" i="7"/>
  <c r="N265" i="7"/>
  <c r="N264" i="7"/>
  <c r="N263" i="7"/>
  <c r="N262" i="7"/>
  <c r="N261" i="7"/>
  <c r="N260" i="7"/>
  <c r="N259" i="7"/>
  <c r="N258" i="7"/>
  <c r="N257" i="7"/>
  <c r="N256" i="7"/>
  <c r="N255" i="7"/>
  <c r="N254" i="7"/>
  <c r="N253" i="7"/>
  <c r="N252" i="7"/>
  <c r="N251" i="7"/>
  <c r="N250" i="7"/>
  <c r="N249" i="7"/>
  <c r="N248" i="7"/>
  <c r="N247" i="7"/>
  <c r="N246" i="7"/>
  <c r="N245" i="7"/>
  <c r="N244" i="7"/>
  <c r="N243" i="7"/>
  <c r="N242" i="7"/>
  <c r="N241" i="7"/>
  <c r="N240" i="7"/>
  <c r="N239" i="7"/>
  <c r="N238" i="7"/>
  <c r="N237" i="7"/>
  <c r="N236" i="7"/>
  <c r="N235" i="7"/>
  <c r="N234" i="7"/>
  <c r="N233" i="7"/>
  <c r="N232" i="7"/>
  <c r="N231" i="7"/>
  <c r="N230" i="7"/>
  <c r="N229" i="7"/>
  <c r="N228" i="7"/>
  <c r="N227" i="7"/>
  <c r="N226" i="7"/>
  <c r="N225" i="7"/>
  <c r="N224" i="7"/>
  <c r="N223" i="7"/>
  <c r="N222" i="7"/>
  <c r="N221" i="7"/>
  <c r="N220" i="7"/>
  <c r="N219" i="7"/>
  <c r="N218" i="7"/>
  <c r="N217" i="7"/>
  <c r="N216" i="7"/>
  <c r="N215" i="7"/>
  <c r="N214" i="7"/>
  <c r="N213" i="7"/>
  <c r="N212" i="7"/>
  <c r="N211" i="7"/>
  <c r="N210" i="7"/>
  <c r="N209" i="7"/>
  <c r="N208" i="7"/>
  <c r="N207" i="7"/>
  <c r="N206" i="7"/>
  <c r="N205" i="7"/>
  <c r="N204" i="7"/>
  <c r="N203" i="7"/>
  <c r="N202" i="7"/>
  <c r="N201" i="7"/>
  <c r="N200" i="7"/>
  <c r="N199" i="7"/>
  <c r="N198" i="7"/>
  <c r="N197" i="7"/>
  <c r="N196" i="7"/>
  <c r="N195" i="7"/>
  <c r="N194" i="7"/>
  <c r="N193" i="7"/>
  <c r="N192" i="7"/>
  <c r="N191" i="7"/>
  <c r="N190" i="7"/>
  <c r="N189" i="7"/>
  <c r="N188" i="7"/>
  <c r="N187" i="7"/>
  <c r="N186" i="7"/>
  <c r="N185" i="7"/>
  <c r="N184" i="7"/>
  <c r="N183" i="7"/>
  <c r="N182" i="7"/>
  <c r="N181" i="7"/>
  <c r="N180" i="7"/>
  <c r="N179" i="7"/>
  <c r="N178" i="7"/>
  <c r="N177" i="7"/>
  <c r="N176" i="7"/>
  <c r="N175" i="7"/>
  <c r="N174" i="7"/>
  <c r="N173" i="7"/>
  <c r="N172" i="7"/>
  <c r="N171" i="7"/>
  <c r="N170" i="7"/>
  <c r="N169" i="7"/>
  <c r="N168" i="7"/>
  <c r="N167" i="7"/>
  <c r="N166" i="7"/>
  <c r="N165" i="7"/>
  <c r="N164" i="7"/>
  <c r="N163" i="7"/>
  <c r="N162" i="7"/>
  <c r="N161" i="7"/>
  <c r="N160" i="7"/>
  <c r="N159" i="7"/>
  <c r="N158" i="7"/>
  <c r="N157" i="7"/>
  <c r="N156" i="7"/>
  <c r="N155" i="7"/>
  <c r="N154" i="7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N133" i="7"/>
  <c r="N132" i="7"/>
  <c r="N131" i="7"/>
  <c r="N130" i="7"/>
  <c r="N129" i="7"/>
  <c r="N128" i="7"/>
  <c r="N127" i="7"/>
  <c r="N126" i="7"/>
  <c r="N125" i="7"/>
  <c r="N124" i="7"/>
  <c r="N123" i="7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81" i="7"/>
  <c r="N80" i="7"/>
  <c r="N79" i="7"/>
  <c r="N78" i="7"/>
  <c r="N77" i="7"/>
  <c r="N76" i="7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F33" i="7"/>
  <c r="N32" i="7"/>
  <c r="F32" i="7"/>
  <c r="N31" i="7"/>
  <c r="F31" i="7"/>
  <c r="N30" i="7"/>
  <c r="F30" i="7"/>
  <c r="N29" i="7"/>
  <c r="F29" i="7"/>
  <c r="N28" i="7"/>
  <c r="F28" i="7"/>
  <c r="N27" i="7"/>
  <c r="F27" i="7"/>
  <c r="N26" i="7"/>
  <c r="F26" i="7"/>
  <c r="N25" i="7"/>
  <c r="F25" i="7"/>
  <c r="N24" i="7"/>
  <c r="F24" i="7"/>
  <c r="N23" i="7"/>
  <c r="F23" i="7"/>
  <c r="N22" i="7"/>
  <c r="F22" i="7"/>
  <c r="N21" i="7"/>
  <c r="F21" i="7"/>
  <c r="N20" i="7"/>
  <c r="F20" i="7"/>
  <c r="N19" i="7"/>
  <c r="F19" i="7"/>
  <c r="N18" i="7"/>
  <c r="F18" i="7"/>
  <c r="N17" i="7"/>
  <c r="F17" i="7"/>
  <c r="N16" i="7"/>
  <c r="F16" i="7"/>
  <c r="N15" i="7"/>
  <c r="F15" i="7"/>
  <c r="N14" i="7"/>
  <c r="F14" i="7"/>
  <c r="N13" i="7"/>
  <c r="F13" i="7"/>
  <c r="N12" i="7"/>
  <c r="F12" i="7"/>
  <c r="N11" i="7"/>
  <c r="N10" i="7"/>
  <c r="N9" i="7"/>
  <c r="A9" i="7"/>
  <c r="N8" i="7"/>
  <c r="N7" i="7"/>
  <c r="N6" i="7"/>
  <c r="N5" i="7"/>
  <c r="N4" i="7"/>
  <c r="N3" i="7"/>
  <c r="N2" i="7"/>
  <c r="K1291" i="43"/>
  <c r="J1291" i="43"/>
  <c r="I1291" i="43"/>
  <c r="K1290" i="43"/>
  <c r="J1290" i="43"/>
  <c r="I1290" i="43"/>
  <c r="K1289" i="43"/>
  <c r="J1289" i="43"/>
  <c r="I1289" i="43"/>
  <c r="K1288" i="43"/>
  <c r="J1288" i="43"/>
  <c r="I1288" i="43"/>
  <c r="K1287" i="43"/>
  <c r="J1287" i="43"/>
  <c r="I1287" i="43"/>
  <c r="K1286" i="43"/>
  <c r="J1286" i="43"/>
  <c r="I1286" i="43"/>
  <c r="K1285" i="43"/>
  <c r="J1285" i="43"/>
  <c r="I1285" i="43"/>
  <c r="K1284" i="43"/>
  <c r="J1284" i="43"/>
  <c r="I1284" i="43"/>
  <c r="K1283" i="43"/>
  <c r="J1283" i="43"/>
  <c r="I1283" i="43"/>
  <c r="K1282" i="43"/>
  <c r="J1282" i="43"/>
  <c r="I1282" i="43"/>
  <c r="K1281" i="43"/>
  <c r="J1281" i="43"/>
  <c r="I1281" i="43"/>
  <c r="K1280" i="43"/>
  <c r="J1280" i="43"/>
  <c r="I1280" i="43"/>
  <c r="K1279" i="43"/>
  <c r="J1279" i="43"/>
  <c r="I1279" i="43"/>
  <c r="K1278" i="43"/>
  <c r="J1278" i="43"/>
  <c r="I1278" i="43"/>
  <c r="K1277" i="43"/>
  <c r="J1277" i="43"/>
  <c r="I1277" i="43"/>
  <c r="K1276" i="43"/>
  <c r="J1276" i="43"/>
  <c r="I1276" i="43"/>
  <c r="K1275" i="43"/>
  <c r="J1275" i="43"/>
  <c r="I1275" i="43"/>
  <c r="K1274" i="43"/>
  <c r="J1274" i="43"/>
  <c r="I1274" i="43"/>
  <c r="K1273" i="43"/>
  <c r="J1273" i="43"/>
  <c r="AG88" i="66" s="1"/>
  <c r="I1273" i="43"/>
  <c r="K1272" i="43"/>
  <c r="J1272" i="43"/>
  <c r="I1272" i="43"/>
  <c r="K1271" i="43"/>
  <c r="J1271" i="43"/>
  <c r="I1271" i="43"/>
  <c r="K1270" i="43"/>
  <c r="J1270" i="43"/>
  <c r="I1270" i="43"/>
  <c r="K1269" i="43"/>
  <c r="J1269" i="43"/>
  <c r="I1269" i="43"/>
  <c r="K1268" i="43"/>
  <c r="J1268" i="43"/>
  <c r="I1268" i="43"/>
  <c r="K1267" i="43"/>
  <c r="J1267" i="43"/>
  <c r="I1267" i="43"/>
  <c r="K1266" i="43"/>
  <c r="J1266" i="43"/>
  <c r="I1266" i="43"/>
  <c r="K1265" i="43"/>
  <c r="J1265" i="43"/>
  <c r="I1265" i="43"/>
  <c r="K1264" i="43"/>
  <c r="J1264" i="43"/>
  <c r="I1264" i="43"/>
  <c r="K1263" i="43"/>
  <c r="J1263" i="43"/>
  <c r="I1263" i="43"/>
  <c r="K1262" i="43"/>
  <c r="J1262" i="43"/>
  <c r="I1262" i="43"/>
  <c r="K1261" i="43"/>
  <c r="J1261" i="43"/>
  <c r="I1261" i="43"/>
  <c r="K1260" i="43"/>
  <c r="J1260" i="43"/>
  <c r="I1260" i="43"/>
  <c r="K1259" i="43"/>
  <c r="J1259" i="43"/>
  <c r="I1259" i="43"/>
  <c r="K1258" i="43"/>
  <c r="J1258" i="43"/>
  <c r="I1258" i="43"/>
  <c r="K1257" i="43"/>
  <c r="J1257" i="43"/>
  <c r="I1257" i="43"/>
  <c r="K1256" i="43"/>
  <c r="J1256" i="43"/>
  <c r="I1256" i="43"/>
  <c r="K1255" i="43"/>
  <c r="J1255" i="43"/>
  <c r="I1255" i="43"/>
  <c r="K1254" i="43"/>
  <c r="J1254" i="43"/>
  <c r="I1254" i="43"/>
  <c r="K1253" i="43"/>
  <c r="J1253" i="43"/>
  <c r="I1253" i="43"/>
  <c r="K1252" i="43"/>
  <c r="J1252" i="43"/>
  <c r="I1252" i="43"/>
  <c r="K1251" i="43"/>
  <c r="J1251" i="43"/>
  <c r="I1251" i="43"/>
  <c r="K1250" i="43"/>
  <c r="J1250" i="43"/>
  <c r="I1250" i="43"/>
  <c r="K1249" i="43"/>
  <c r="J1249" i="43"/>
  <c r="I1249" i="43"/>
  <c r="K1248" i="43"/>
  <c r="J1248" i="43"/>
  <c r="I1248" i="43"/>
  <c r="K1247" i="43"/>
  <c r="J1247" i="43"/>
  <c r="I1247" i="43"/>
  <c r="K1246" i="43"/>
  <c r="J1246" i="43"/>
  <c r="I1246" i="43"/>
  <c r="H1246" i="43"/>
  <c r="K1245" i="43"/>
  <c r="J1245" i="43"/>
  <c r="I1245" i="43"/>
  <c r="H1245" i="43"/>
  <c r="K1244" i="43"/>
  <c r="J1244" i="43"/>
  <c r="I1244" i="43"/>
  <c r="H1244" i="43"/>
  <c r="K1243" i="43"/>
  <c r="J1243" i="43"/>
  <c r="I1243" i="43"/>
  <c r="H1243" i="43"/>
  <c r="K1242" i="43"/>
  <c r="J1242" i="43"/>
  <c r="I1242" i="43"/>
  <c r="H1242" i="43"/>
  <c r="K1241" i="43"/>
  <c r="J1241" i="43"/>
  <c r="I1241" i="43"/>
  <c r="H1241" i="43"/>
  <c r="K1240" i="43"/>
  <c r="J1240" i="43"/>
  <c r="I1240" i="43"/>
  <c r="H1240" i="43"/>
  <c r="K1239" i="43"/>
  <c r="J1239" i="43"/>
  <c r="I1239" i="43"/>
  <c r="H1239" i="43"/>
  <c r="K1238" i="43"/>
  <c r="J1238" i="43"/>
  <c r="I1238" i="43"/>
  <c r="H1238" i="43"/>
  <c r="K1237" i="43"/>
  <c r="J1237" i="43"/>
  <c r="I1237" i="43"/>
  <c r="H1237" i="43"/>
  <c r="K1236" i="43"/>
  <c r="J1236" i="43"/>
  <c r="I1236" i="43"/>
  <c r="H1236" i="43"/>
  <c r="K1235" i="43"/>
  <c r="J1235" i="43"/>
  <c r="I1235" i="43"/>
  <c r="H1235" i="43"/>
  <c r="K1234" i="43"/>
  <c r="J1234" i="43"/>
  <c r="I1234" i="43"/>
  <c r="H1234" i="43"/>
  <c r="K1233" i="43"/>
  <c r="J1233" i="43"/>
  <c r="I1233" i="43"/>
  <c r="H1233" i="43"/>
  <c r="K1232" i="43"/>
  <c r="J1232" i="43"/>
  <c r="I1232" i="43"/>
  <c r="H1232" i="43"/>
  <c r="K1231" i="43"/>
  <c r="J1231" i="43"/>
  <c r="I1231" i="43"/>
  <c r="K1230" i="43"/>
  <c r="J1230" i="43"/>
  <c r="I1230" i="43"/>
  <c r="K1229" i="43"/>
  <c r="J1229" i="43"/>
  <c r="I1229" i="43"/>
  <c r="K1228" i="43"/>
  <c r="J1228" i="43"/>
  <c r="I1228" i="43"/>
  <c r="K1227" i="43"/>
  <c r="J1227" i="43"/>
  <c r="I1227" i="43"/>
  <c r="K1226" i="43"/>
  <c r="J1226" i="43"/>
  <c r="I1226" i="43"/>
  <c r="K1225" i="43"/>
  <c r="J1225" i="43"/>
  <c r="I1225" i="43"/>
  <c r="H1225" i="43"/>
  <c r="K1224" i="43"/>
  <c r="J1224" i="43"/>
  <c r="I1224" i="43"/>
  <c r="H1224" i="43"/>
  <c r="K1223" i="43"/>
  <c r="J1223" i="43"/>
  <c r="I1223" i="43"/>
  <c r="H1223" i="43"/>
  <c r="K1222" i="43"/>
  <c r="J1222" i="43"/>
  <c r="I1222" i="43"/>
  <c r="H1222" i="43"/>
  <c r="K1221" i="43"/>
  <c r="J1221" i="43"/>
  <c r="I1221" i="43"/>
  <c r="H1221" i="43"/>
  <c r="K1220" i="43"/>
  <c r="J1220" i="43"/>
  <c r="I1220" i="43"/>
  <c r="H1220" i="43"/>
  <c r="K1219" i="43"/>
  <c r="J1219" i="43"/>
  <c r="I1219" i="43"/>
  <c r="K1218" i="43"/>
  <c r="J1218" i="43"/>
  <c r="I1218" i="43"/>
  <c r="K1217" i="43"/>
  <c r="J1217" i="43"/>
  <c r="I1217" i="43"/>
  <c r="K1216" i="43"/>
  <c r="J1216" i="43"/>
  <c r="I1216" i="43"/>
  <c r="K1215" i="43"/>
  <c r="J1215" i="43"/>
  <c r="I1215" i="43"/>
  <c r="H1215" i="43"/>
  <c r="K1214" i="43"/>
  <c r="J1214" i="43"/>
  <c r="I1214" i="43"/>
  <c r="K1213" i="43"/>
  <c r="J1213" i="43"/>
  <c r="I1213" i="43"/>
  <c r="K1212" i="43"/>
  <c r="J1212" i="43"/>
  <c r="I1212" i="43"/>
  <c r="H1212" i="43"/>
  <c r="K1211" i="43"/>
  <c r="J1211" i="43"/>
  <c r="I1211" i="43"/>
  <c r="H1211" i="43"/>
  <c r="K1210" i="43"/>
  <c r="J1210" i="43"/>
  <c r="I1210" i="43"/>
  <c r="H1210" i="43"/>
  <c r="K1209" i="43"/>
  <c r="J1209" i="43"/>
  <c r="I1209" i="43"/>
  <c r="H1209" i="43"/>
  <c r="K1208" i="43"/>
  <c r="J1208" i="43"/>
  <c r="I1208" i="43"/>
  <c r="K1207" i="43"/>
  <c r="J1207" i="43"/>
  <c r="I1207" i="43"/>
  <c r="H1207" i="43"/>
  <c r="K1206" i="43"/>
  <c r="J1206" i="43"/>
  <c r="I1206" i="43"/>
  <c r="H1206" i="43"/>
  <c r="K1205" i="43"/>
  <c r="J1205" i="43"/>
  <c r="I1205" i="43"/>
  <c r="H1205" i="43"/>
  <c r="K1204" i="43"/>
  <c r="J1204" i="43"/>
  <c r="I1204" i="43"/>
  <c r="H1204" i="43"/>
  <c r="K1203" i="43"/>
  <c r="J1203" i="43"/>
  <c r="I1203" i="43"/>
  <c r="H1203" i="43"/>
  <c r="K1202" i="43"/>
  <c r="J1202" i="43"/>
  <c r="I1202" i="43"/>
  <c r="H1202" i="43"/>
  <c r="K1201" i="43"/>
  <c r="J1201" i="43"/>
  <c r="I1201" i="43"/>
  <c r="H1201" i="43"/>
  <c r="K1200" i="43"/>
  <c r="J1200" i="43"/>
  <c r="I1200" i="43"/>
  <c r="H1200" i="43"/>
  <c r="K1199" i="43"/>
  <c r="J1199" i="43"/>
  <c r="I1199" i="43"/>
  <c r="H1199" i="43"/>
  <c r="K1198" i="43"/>
  <c r="J1198" i="43"/>
  <c r="I1198" i="43"/>
  <c r="H1198" i="43"/>
  <c r="K1197" i="43"/>
  <c r="J1197" i="43"/>
  <c r="I1197" i="43"/>
  <c r="H1197" i="43"/>
  <c r="K1196" i="43"/>
  <c r="J1196" i="43"/>
  <c r="I1196" i="43"/>
  <c r="H1196" i="43"/>
  <c r="K1195" i="43"/>
  <c r="J1195" i="43"/>
  <c r="I1195" i="43"/>
  <c r="H1195" i="43"/>
  <c r="K1194" i="43"/>
  <c r="J1194" i="43"/>
  <c r="I1194" i="43"/>
  <c r="H1194" i="43"/>
  <c r="K1193" i="43"/>
  <c r="J1193" i="43"/>
  <c r="I1193" i="43"/>
  <c r="H1193" i="43"/>
  <c r="K1192" i="43"/>
  <c r="J1192" i="43"/>
  <c r="I1192" i="43"/>
  <c r="H1192" i="43"/>
  <c r="K1191" i="43"/>
  <c r="J1191" i="43"/>
  <c r="I1191" i="43"/>
  <c r="H1191" i="43"/>
  <c r="K1190" i="43"/>
  <c r="J1190" i="43"/>
  <c r="I1190" i="43"/>
  <c r="H1190" i="43"/>
  <c r="K1189" i="43"/>
  <c r="J1189" i="43"/>
  <c r="I1189" i="43"/>
  <c r="H1189" i="43"/>
  <c r="K1188" i="43"/>
  <c r="J1188" i="43"/>
  <c r="I1188" i="43"/>
  <c r="H1188" i="43"/>
  <c r="K1187" i="43"/>
  <c r="J1187" i="43"/>
  <c r="I1187" i="43"/>
  <c r="H1187" i="43"/>
  <c r="K1186" i="43"/>
  <c r="J1186" i="43"/>
  <c r="I1186" i="43"/>
  <c r="H1186" i="43"/>
  <c r="K1185" i="43"/>
  <c r="J1185" i="43"/>
  <c r="I1185" i="43"/>
  <c r="H1185" i="43"/>
  <c r="K1184" i="43"/>
  <c r="J1184" i="43"/>
  <c r="I1184" i="43"/>
  <c r="H1184" i="43"/>
  <c r="K1183" i="43"/>
  <c r="J1183" i="43"/>
  <c r="I1183" i="43"/>
  <c r="H1183" i="43"/>
  <c r="K1182" i="43"/>
  <c r="J1182" i="43"/>
  <c r="I1182" i="43"/>
  <c r="H1182" i="43"/>
  <c r="K1181" i="43"/>
  <c r="J1181" i="43"/>
  <c r="I1181" i="43"/>
  <c r="H1181" i="43"/>
  <c r="K1180" i="43"/>
  <c r="J1180" i="43"/>
  <c r="I1180" i="43"/>
  <c r="H1180" i="43"/>
  <c r="K1179" i="43"/>
  <c r="J1179" i="43"/>
  <c r="I1179" i="43"/>
  <c r="H1179" i="43"/>
  <c r="K1178" i="43"/>
  <c r="J1178" i="43"/>
  <c r="I1178" i="43"/>
  <c r="H1178" i="43"/>
  <c r="K1177" i="43"/>
  <c r="J1177" i="43"/>
  <c r="I1177" i="43"/>
  <c r="H1177" i="43"/>
  <c r="K1176" i="43"/>
  <c r="J1176" i="43"/>
  <c r="I1176" i="43"/>
  <c r="H1176" i="43"/>
  <c r="K1175" i="43"/>
  <c r="J1175" i="43"/>
  <c r="I1175" i="43"/>
  <c r="H1175" i="43"/>
  <c r="K1174" i="43"/>
  <c r="J1174" i="43"/>
  <c r="I1174" i="43"/>
  <c r="H1174" i="43"/>
  <c r="K1173" i="43"/>
  <c r="J1173" i="43"/>
  <c r="I1173" i="43"/>
  <c r="H1173" i="43"/>
  <c r="K1172" i="43"/>
  <c r="J1172" i="43"/>
  <c r="I1172" i="43"/>
  <c r="H1172" i="43"/>
  <c r="K1171" i="43"/>
  <c r="J1171" i="43"/>
  <c r="I1171" i="43"/>
  <c r="H1171" i="43"/>
  <c r="K1170" i="43"/>
  <c r="J1170" i="43"/>
  <c r="I1170" i="43"/>
  <c r="H1170" i="43"/>
  <c r="K1169" i="43"/>
  <c r="J1169" i="43"/>
  <c r="I1169" i="43"/>
  <c r="G1169" i="43"/>
  <c r="H1169" i="43" s="1"/>
  <c r="K1168" i="43"/>
  <c r="J1168" i="43"/>
  <c r="I1168" i="43"/>
  <c r="H1168" i="43"/>
  <c r="K1167" i="43"/>
  <c r="J1167" i="43"/>
  <c r="I1167" i="43"/>
  <c r="H1167" i="43"/>
  <c r="K1166" i="43"/>
  <c r="J1166" i="43"/>
  <c r="I1166" i="43"/>
  <c r="H1166" i="43"/>
  <c r="K1165" i="43"/>
  <c r="J1165" i="43"/>
  <c r="I1165" i="43"/>
  <c r="H1165" i="43"/>
  <c r="K1164" i="43"/>
  <c r="J1164" i="43"/>
  <c r="I1164" i="43"/>
  <c r="H1164" i="43"/>
  <c r="K1163" i="43"/>
  <c r="J1163" i="43"/>
  <c r="I1163" i="43"/>
  <c r="H1163" i="43"/>
  <c r="K1162" i="43"/>
  <c r="J1162" i="43"/>
  <c r="I1162" i="43"/>
  <c r="H1162" i="43"/>
  <c r="K1161" i="43"/>
  <c r="J1161" i="43"/>
  <c r="I1161" i="43"/>
  <c r="H1161" i="43"/>
  <c r="K1160" i="43"/>
  <c r="J1160" i="43"/>
  <c r="I1160" i="43"/>
  <c r="H1160" i="43"/>
  <c r="K1159" i="43"/>
  <c r="J1159" i="43"/>
  <c r="I1159" i="43"/>
  <c r="H1159" i="43"/>
  <c r="K1158" i="43"/>
  <c r="J1158" i="43"/>
  <c r="I1158" i="43"/>
  <c r="H1158" i="43"/>
  <c r="K1157" i="43"/>
  <c r="J1157" i="43"/>
  <c r="I1157" i="43"/>
  <c r="H1157" i="43"/>
  <c r="K1156" i="43"/>
  <c r="J1156" i="43"/>
  <c r="I1156" i="43"/>
  <c r="H1156" i="43"/>
  <c r="K1155" i="43"/>
  <c r="J1155" i="43"/>
  <c r="I1155" i="43"/>
  <c r="H1155" i="43"/>
  <c r="K1154" i="43"/>
  <c r="J1154" i="43"/>
  <c r="I1154" i="43"/>
  <c r="H1154" i="43"/>
  <c r="K1153" i="43"/>
  <c r="J1153" i="43"/>
  <c r="I1153" i="43"/>
  <c r="H1153" i="43"/>
  <c r="K1152" i="43"/>
  <c r="J1152" i="43"/>
  <c r="I1152" i="43"/>
  <c r="H1152" i="43"/>
  <c r="K1151" i="43"/>
  <c r="J1151" i="43"/>
  <c r="I1151" i="43"/>
  <c r="H1151" i="43"/>
  <c r="K1150" i="43"/>
  <c r="J1150" i="43"/>
  <c r="I1150" i="43"/>
  <c r="H1150" i="43"/>
  <c r="K1149" i="43"/>
  <c r="J1149" i="43"/>
  <c r="I1149" i="43"/>
  <c r="H1149" i="43"/>
  <c r="K1148" i="43"/>
  <c r="J1148" i="43"/>
  <c r="I1148" i="43"/>
  <c r="H1148" i="43"/>
  <c r="K1147" i="43"/>
  <c r="J1147" i="43"/>
  <c r="I1147" i="43"/>
  <c r="H1147" i="43"/>
  <c r="K1146" i="43"/>
  <c r="J1146" i="43"/>
  <c r="I1146" i="43"/>
  <c r="H1146" i="43"/>
  <c r="K1145" i="43"/>
  <c r="J1145" i="43"/>
  <c r="I1145" i="43"/>
  <c r="H1145" i="43"/>
  <c r="K1144" i="43"/>
  <c r="J1144" i="43"/>
  <c r="I1144" i="43"/>
  <c r="H1144" i="43"/>
  <c r="K1143" i="43"/>
  <c r="J1143" i="43"/>
  <c r="I1143" i="43"/>
  <c r="H1143" i="43"/>
  <c r="K1142" i="43"/>
  <c r="J1142" i="43"/>
  <c r="I1142" i="43"/>
  <c r="H1142" i="43"/>
  <c r="K1141" i="43"/>
  <c r="J1141" i="43"/>
  <c r="I1141" i="43"/>
  <c r="H1141" i="43"/>
  <c r="K1140" i="43"/>
  <c r="J1140" i="43"/>
  <c r="I1140" i="43"/>
  <c r="H1140" i="43"/>
  <c r="K1139" i="43"/>
  <c r="J1139" i="43"/>
  <c r="I1139" i="43"/>
  <c r="H1139" i="43"/>
  <c r="K1138" i="43"/>
  <c r="J1138" i="43"/>
  <c r="I1138" i="43"/>
  <c r="H1138" i="43"/>
  <c r="K1137" i="43"/>
  <c r="J1137" i="43"/>
  <c r="I1137" i="43"/>
  <c r="H1137" i="43"/>
  <c r="K1136" i="43"/>
  <c r="J1136" i="43"/>
  <c r="I1136" i="43"/>
  <c r="H1136" i="43"/>
  <c r="K1135" i="43"/>
  <c r="J1135" i="43"/>
  <c r="I1135" i="43"/>
  <c r="H1135" i="43"/>
  <c r="K1134" i="43"/>
  <c r="J1134" i="43"/>
  <c r="I1134" i="43"/>
  <c r="H1134" i="43"/>
  <c r="K1133" i="43"/>
  <c r="J1133" i="43"/>
  <c r="I1133" i="43"/>
  <c r="H1133" i="43"/>
  <c r="K1132" i="43"/>
  <c r="J1132" i="43"/>
  <c r="I1132" i="43"/>
  <c r="H1132" i="43"/>
  <c r="K1131" i="43"/>
  <c r="J1131" i="43"/>
  <c r="I1131" i="43"/>
  <c r="H1131" i="43"/>
  <c r="K1130" i="43"/>
  <c r="J1130" i="43"/>
  <c r="I1130" i="43"/>
  <c r="H1130" i="43"/>
  <c r="K1129" i="43"/>
  <c r="J1129" i="43"/>
  <c r="I1129" i="43"/>
  <c r="H1129" i="43"/>
  <c r="K1128" i="43"/>
  <c r="J1128" i="43"/>
  <c r="I1128" i="43"/>
  <c r="H1128" i="43"/>
  <c r="K1127" i="43"/>
  <c r="J1127" i="43"/>
  <c r="I1127" i="43"/>
  <c r="H1127" i="43"/>
  <c r="K1126" i="43"/>
  <c r="J1126" i="43"/>
  <c r="I1126" i="43"/>
  <c r="H1126" i="43"/>
  <c r="K1125" i="43"/>
  <c r="J1125" i="43"/>
  <c r="I1125" i="43"/>
  <c r="H1125" i="43"/>
  <c r="K1124" i="43"/>
  <c r="J1124" i="43"/>
  <c r="I1124" i="43"/>
  <c r="H1124" i="43"/>
  <c r="K1123" i="43"/>
  <c r="J1123" i="43"/>
  <c r="I1123" i="43"/>
  <c r="H1123" i="43"/>
  <c r="K1122" i="43"/>
  <c r="J1122" i="43"/>
  <c r="I1122" i="43"/>
  <c r="H1122" i="43"/>
  <c r="K1121" i="43"/>
  <c r="J1121" i="43"/>
  <c r="I1121" i="43"/>
  <c r="H1121" i="43"/>
  <c r="K1120" i="43"/>
  <c r="J1120" i="43"/>
  <c r="I1120" i="43"/>
  <c r="H1120" i="43"/>
  <c r="K1119" i="43"/>
  <c r="J1119" i="43"/>
  <c r="I1119" i="43"/>
  <c r="H1119" i="43"/>
  <c r="K1118" i="43"/>
  <c r="J1118" i="43"/>
  <c r="I1118" i="43"/>
  <c r="H1118" i="43"/>
  <c r="K1117" i="43"/>
  <c r="J1117" i="43"/>
  <c r="I1117" i="43"/>
  <c r="H1117" i="43"/>
  <c r="K1116" i="43"/>
  <c r="J1116" i="43"/>
  <c r="I1116" i="43"/>
  <c r="H1116" i="43"/>
  <c r="K1115" i="43"/>
  <c r="J1115" i="43"/>
  <c r="I1115" i="43"/>
  <c r="H1115" i="43"/>
  <c r="K1114" i="43"/>
  <c r="J1114" i="43"/>
  <c r="I1114" i="43"/>
  <c r="H1114" i="43"/>
  <c r="K1113" i="43"/>
  <c r="J1113" i="43"/>
  <c r="I1113" i="43"/>
  <c r="H1113" i="43"/>
  <c r="K1112" i="43"/>
  <c r="J1112" i="43"/>
  <c r="I1112" i="43"/>
  <c r="H1112" i="43"/>
  <c r="K1111" i="43"/>
  <c r="J1111" i="43"/>
  <c r="I1111" i="43"/>
  <c r="H1111" i="43"/>
  <c r="K1110" i="43"/>
  <c r="J1110" i="43"/>
  <c r="I1110" i="43"/>
  <c r="H1110" i="43"/>
  <c r="K1109" i="43"/>
  <c r="J1109" i="43"/>
  <c r="I1109" i="43"/>
  <c r="H1109" i="43"/>
  <c r="K1108" i="43"/>
  <c r="J1108" i="43"/>
  <c r="I1108" i="43"/>
  <c r="H1108" i="43"/>
  <c r="K1107" i="43"/>
  <c r="J1107" i="43"/>
  <c r="I1107" i="43"/>
  <c r="H1107" i="43"/>
  <c r="K1106" i="43"/>
  <c r="J1106" i="43"/>
  <c r="I1106" i="43"/>
  <c r="H1106" i="43"/>
  <c r="K1105" i="43"/>
  <c r="J1105" i="43"/>
  <c r="I1105" i="43"/>
  <c r="H1105" i="43"/>
  <c r="K1104" i="43"/>
  <c r="J1104" i="43"/>
  <c r="I1104" i="43"/>
  <c r="H1104" i="43"/>
  <c r="K1103" i="43"/>
  <c r="J1103" i="43"/>
  <c r="I1103" i="43"/>
  <c r="H1103" i="43"/>
  <c r="K1102" i="43"/>
  <c r="J1102" i="43"/>
  <c r="I1102" i="43"/>
  <c r="H1102" i="43"/>
  <c r="K1101" i="43"/>
  <c r="J1101" i="43"/>
  <c r="I1101" i="43"/>
  <c r="H1101" i="43"/>
  <c r="K1100" i="43"/>
  <c r="J1100" i="43"/>
  <c r="I1100" i="43"/>
  <c r="H1100" i="43"/>
  <c r="K1099" i="43"/>
  <c r="J1099" i="43"/>
  <c r="I1099" i="43"/>
  <c r="H1099" i="43"/>
  <c r="K1098" i="43"/>
  <c r="J1098" i="43"/>
  <c r="I1098" i="43"/>
  <c r="H1098" i="43"/>
  <c r="K1097" i="43"/>
  <c r="J1097" i="43"/>
  <c r="I1097" i="43"/>
  <c r="H1097" i="43"/>
  <c r="K1096" i="43"/>
  <c r="J1096" i="43"/>
  <c r="I1096" i="43"/>
  <c r="H1096" i="43"/>
  <c r="K1095" i="43"/>
  <c r="J1095" i="43"/>
  <c r="I1095" i="43"/>
  <c r="H1095" i="43"/>
  <c r="K1094" i="43"/>
  <c r="J1094" i="43"/>
  <c r="I1094" i="43"/>
  <c r="H1094" i="43"/>
  <c r="K1093" i="43"/>
  <c r="J1093" i="43"/>
  <c r="I1093" i="43"/>
  <c r="H1093" i="43"/>
  <c r="K1092" i="43"/>
  <c r="J1092" i="43"/>
  <c r="I1092" i="43"/>
  <c r="H1092" i="43"/>
  <c r="K1091" i="43"/>
  <c r="J1091" i="43"/>
  <c r="I1091" i="43"/>
  <c r="H1091" i="43"/>
  <c r="K1090" i="43"/>
  <c r="J1090" i="43"/>
  <c r="I1090" i="43"/>
  <c r="H1090" i="43"/>
  <c r="K1089" i="43"/>
  <c r="J1089" i="43"/>
  <c r="I1089" i="43"/>
  <c r="H1089" i="43"/>
  <c r="K1088" i="43"/>
  <c r="J1088" i="43"/>
  <c r="I1088" i="43"/>
  <c r="H1088" i="43"/>
  <c r="K1087" i="43"/>
  <c r="J1087" i="43"/>
  <c r="I1087" i="43"/>
  <c r="H1087" i="43"/>
  <c r="K1086" i="43"/>
  <c r="J1086" i="43"/>
  <c r="I1086" i="43"/>
  <c r="H1086" i="43"/>
  <c r="K1085" i="43"/>
  <c r="J1085" i="43"/>
  <c r="I1085" i="43"/>
  <c r="H1085" i="43"/>
  <c r="K1084" i="43"/>
  <c r="J1084" i="43"/>
  <c r="I1084" i="43"/>
  <c r="H1084" i="43"/>
  <c r="K1083" i="43"/>
  <c r="J1083" i="43"/>
  <c r="I1083" i="43"/>
  <c r="H1083" i="43"/>
  <c r="K1082" i="43"/>
  <c r="J1082" i="43"/>
  <c r="I1082" i="43"/>
  <c r="H1082" i="43"/>
  <c r="K1081" i="43"/>
  <c r="J1081" i="43"/>
  <c r="I1081" i="43"/>
  <c r="H1081" i="43"/>
  <c r="K1080" i="43"/>
  <c r="J1080" i="43"/>
  <c r="I1080" i="43"/>
  <c r="H1080" i="43"/>
  <c r="K1079" i="43"/>
  <c r="J1079" i="43"/>
  <c r="I1079" i="43"/>
  <c r="H1079" i="43"/>
  <c r="K1078" i="43"/>
  <c r="J1078" i="43"/>
  <c r="I1078" i="43"/>
  <c r="H1078" i="43"/>
  <c r="K1077" i="43"/>
  <c r="J1077" i="43"/>
  <c r="I1077" i="43"/>
  <c r="H1077" i="43"/>
  <c r="K1076" i="43"/>
  <c r="J1076" i="43"/>
  <c r="I1076" i="43"/>
  <c r="H1076" i="43"/>
  <c r="K1075" i="43"/>
  <c r="J1075" i="43"/>
  <c r="I1075" i="43"/>
  <c r="H1075" i="43"/>
  <c r="K1074" i="43"/>
  <c r="J1074" i="43"/>
  <c r="I1074" i="43"/>
  <c r="H1074" i="43"/>
  <c r="K1073" i="43"/>
  <c r="J1073" i="43"/>
  <c r="I1073" i="43"/>
  <c r="H1073" i="43"/>
  <c r="K1072" i="43"/>
  <c r="J1072" i="43"/>
  <c r="I1072" i="43"/>
  <c r="H1072" i="43"/>
  <c r="K1071" i="43"/>
  <c r="J1071" i="43"/>
  <c r="I1071" i="43"/>
  <c r="H1071" i="43"/>
  <c r="K1070" i="43"/>
  <c r="J1070" i="43"/>
  <c r="I1070" i="43"/>
  <c r="H1070" i="43"/>
  <c r="K1069" i="43"/>
  <c r="J1069" i="43"/>
  <c r="I1069" i="43"/>
  <c r="H1069" i="43"/>
  <c r="K1068" i="43"/>
  <c r="J1068" i="43"/>
  <c r="I1068" i="43"/>
  <c r="H1068" i="43"/>
  <c r="K1067" i="43"/>
  <c r="J1067" i="43"/>
  <c r="I1067" i="43"/>
  <c r="H1067" i="43"/>
  <c r="K1066" i="43"/>
  <c r="J1066" i="43"/>
  <c r="I1066" i="43"/>
  <c r="H1066" i="43"/>
  <c r="K1065" i="43"/>
  <c r="J1065" i="43"/>
  <c r="I1065" i="43"/>
  <c r="H1065" i="43"/>
  <c r="K1064" i="43"/>
  <c r="J1064" i="43"/>
  <c r="I1064" i="43"/>
  <c r="H1064" i="43"/>
  <c r="K1063" i="43"/>
  <c r="J1063" i="43"/>
  <c r="I1063" i="43"/>
  <c r="H1063" i="43"/>
  <c r="K1062" i="43"/>
  <c r="J1062" i="43"/>
  <c r="I1062" i="43"/>
  <c r="H1062" i="43"/>
  <c r="K1061" i="43"/>
  <c r="J1061" i="43"/>
  <c r="I1061" i="43"/>
  <c r="H1061" i="43"/>
  <c r="K1060" i="43"/>
  <c r="J1060" i="43"/>
  <c r="I1060" i="43"/>
  <c r="H1060" i="43"/>
  <c r="K1059" i="43"/>
  <c r="J1059" i="43"/>
  <c r="I1059" i="43"/>
  <c r="H1059" i="43"/>
  <c r="K1058" i="43"/>
  <c r="J1058" i="43"/>
  <c r="I1058" i="43"/>
  <c r="H1058" i="43"/>
  <c r="K1057" i="43"/>
  <c r="J1057" i="43"/>
  <c r="I1057" i="43"/>
  <c r="H1057" i="43"/>
  <c r="K1056" i="43"/>
  <c r="J1056" i="43"/>
  <c r="I1056" i="43"/>
  <c r="H1056" i="43"/>
  <c r="K1055" i="43"/>
  <c r="J1055" i="43"/>
  <c r="I1055" i="43"/>
  <c r="H1055" i="43"/>
  <c r="K1054" i="43"/>
  <c r="J1054" i="43"/>
  <c r="I1054" i="43"/>
  <c r="H1054" i="43"/>
  <c r="K1053" i="43"/>
  <c r="J1053" i="43"/>
  <c r="I1053" i="43"/>
  <c r="H1053" i="43"/>
  <c r="K1052" i="43"/>
  <c r="J1052" i="43"/>
  <c r="I1052" i="43"/>
  <c r="H1052" i="43"/>
  <c r="K1051" i="43"/>
  <c r="J1051" i="43"/>
  <c r="I1051" i="43"/>
  <c r="H1051" i="43"/>
  <c r="K1050" i="43"/>
  <c r="J1050" i="43"/>
  <c r="I1050" i="43"/>
  <c r="H1050" i="43"/>
  <c r="K1049" i="43"/>
  <c r="J1049" i="43"/>
  <c r="I1049" i="43"/>
  <c r="H1049" i="43"/>
  <c r="K1048" i="43"/>
  <c r="J1048" i="43"/>
  <c r="I1048" i="43"/>
  <c r="H1048" i="43"/>
  <c r="K1047" i="43"/>
  <c r="J1047" i="43"/>
  <c r="I1047" i="43"/>
  <c r="H1047" i="43"/>
  <c r="K1046" i="43"/>
  <c r="J1046" i="43"/>
  <c r="I1046" i="43"/>
  <c r="H1046" i="43"/>
  <c r="K1045" i="43"/>
  <c r="J1045" i="43"/>
  <c r="I1045" i="43"/>
  <c r="H1045" i="43"/>
  <c r="K1044" i="43"/>
  <c r="J1044" i="43"/>
  <c r="I1044" i="43"/>
  <c r="H1044" i="43"/>
  <c r="K1043" i="43"/>
  <c r="J1043" i="43"/>
  <c r="I1043" i="43"/>
  <c r="H1043" i="43"/>
  <c r="K1042" i="43"/>
  <c r="J1042" i="43"/>
  <c r="I1042" i="43"/>
  <c r="H1042" i="43"/>
  <c r="E31" i="66" s="1"/>
  <c r="K1041" i="43"/>
  <c r="J1041" i="43"/>
  <c r="I1041" i="43"/>
  <c r="H1041" i="43"/>
  <c r="K1040" i="43"/>
  <c r="J1040" i="43"/>
  <c r="I1040" i="43"/>
  <c r="H1040" i="43"/>
  <c r="K1039" i="43"/>
  <c r="J1039" i="43"/>
  <c r="I1039" i="43"/>
  <c r="H1039" i="43"/>
  <c r="K1038" i="43"/>
  <c r="J1038" i="43"/>
  <c r="I1038" i="43"/>
  <c r="H1038" i="43"/>
  <c r="K1037" i="43"/>
  <c r="J1037" i="43"/>
  <c r="I1037" i="43"/>
  <c r="H1037" i="43"/>
  <c r="K1036" i="43"/>
  <c r="J1036" i="43"/>
  <c r="I1036" i="43"/>
  <c r="H1036" i="43"/>
  <c r="K1035" i="43"/>
  <c r="J1035" i="43"/>
  <c r="I1035" i="43"/>
  <c r="H1035" i="43"/>
  <c r="E78" i="66" s="1"/>
  <c r="K1034" i="43"/>
  <c r="J1034" i="43"/>
  <c r="I1034" i="43"/>
  <c r="H1034" i="43"/>
  <c r="K1033" i="43"/>
  <c r="J1033" i="43"/>
  <c r="I1033" i="43"/>
  <c r="H1033" i="43"/>
  <c r="K1032" i="43"/>
  <c r="J1032" i="43"/>
  <c r="I1032" i="43"/>
  <c r="H1032" i="43"/>
  <c r="K1031" i="43"/>
  <c r="J1031" i="43"/>
  <c r="I1031" i="43"/>
  <c r="H1031" i="43"/>
  <c r="K1030" i="43"/>
  <c r="J1030" i="43"/>
  <c r="I1030" i="43"/>
  <c r="H1030" i="43"/>
  <c r="K1029" i="43"/>
  <c r="J1029" i="43"/>
  <c r="I1029" i="43"/>
  <c r="H1029" i="43"/>
  <c r="K1028" i="43"/>
  <c r="J1028" i="43"/>
  <c r="I1028" i="43"/>
  <c r="H1028" i="43"/>
  <c r="K1027" i="43"/>
  <c r="J1027" i="43"/>
  <c r="I1027" i="43"/>
  <c r="H1027" i="43"/>
  <c r="K1026" i="43"/>
  <c r="J1026" i="43"/>
  <c r="I1026" i="43"/>
  <c r="H1026" i="43"/>
  <c r="K1025" i="43"/>
  <c r="J1025" i="43"/>
  <c r="I1025" i="43"/>
  <c r="H1025" i="43"/>
  <c r="K1024" i="43"/>
  <c r="J1024" i="43"/>
  <c r="I1024" i="43"/>
  <c r="H1024" i="43"/>
  <c r="K1023" i="43"/>
  <c r="J1023" i="43"/>
  <c r="I1023" i="43"/>
  <c r="H1023" i="43"/>
  <c r="K1022" i="43"/>
  <c r="J1022" i="43"/>
  <c r="I1022" i="43"/>
  <c r="H1022" i="43"/>
  <c r="K1021" i="43"/>
  <c r="J1021" i="43"/>
  <c r="I1021" i="43"/>
  <c r="H1021" i="43"/>
  <c r="K1020" i="43"/>
  <c r="J1020" i="43"/>
  <c r="I1020" i="43"/>
  <c r="H1020" i="43"/>
  <c r="K1019" i="43"/>
  <c r="J1019" i="43"/>
  <c r="I1019" i="43"/>
  <c r="H1019" i="43"/>
  <c r="K1018" i="43"/>
  <c r="J1018" i="43"/>
  <c r="I1018" i="43"/>
  <c r="H1018" i="43"/>
  <c r="K1017" i="43"/>
  <c r="J1017" i="43"/>
  <c r="I1017" i="43"/>
  <c r="H1017" i="43"/>
  <c r="K1016" i="43"/>
  <c r="J1016" i="43"/>
  <c r="I1016" i="43"/>
  <c r="H1016" i="43"/>
  <c r="K1015" i="43"/>
  <c r="J1015" i="43"/>
  <c r="I1015" i="43"/>
  <c r="H1015" i="43"/>
  <c r="K1014" i="43"/>
  <c r="J1014" i="43"/>
  <c r="I1014" i="43"/>
  <c r="H1014" i="43"/>
  <c r="K1013" i="43"/>
  <c r="J1013" i="43"/>
  <c r="I1013" i="43"/>
  <c r="H1013" i="43"/>
  <c r="K1012" i="43"/>
  <c r="J1012" i="43"/>
  <c r="I1012" i="43"/>
  <c r="H1012" i="43"/>
  <c r="K1011" i="43"/>
  <c r="J1011" i="43"/>
  <c r="I1011" i="43"/>
  <c r="H1011" i="43"/>
  <c r="K1010" i="43"/>
  <c r="J1010" i="43"/>
  <c r="I1010" i="43"/>
  <c r="H1010" i="43"/>
  <c r="K1009" i="43"/>
  <c r="J1009" i="43"/>
  <c r="I1009" i="43"/>
  <c r="H1009" i="43"/>
  <c r="K1008" i="43"/>
  <c r="J1008" i="43"/>
  <c r="I1008" i="43"/>
  <c r="H1008" i="43"/>
  <c r="K1007" i="43"/>
  <c r="J1007" i="43"/>
  <c r="I1007" i="43"/>
  <c r="H1007" i="43"/>
  <c r="K1006" i="43"/>
  <c r="J1006" i="43"/>
  <c r="I1006" i="43"/>
  <c r="H1006" i="43"/>
  <c r="K1005" i="43"/>
  <c r="J1005" i="43"/>
  <c r="I1005" i="43"/>
  <c r="H1005" i="43"/>
  <c r="K1004" i="43"/>
  <c r="J1004" i="43"/>
  <c r="I1004" i="43"/>
  <c r="H1004" i="43"/>
  <c r="K1003" i="43"/>
  <c r="J1003" i="43"/>
  <c r="I1003" i="43"/>
  <c r="H1003" i="43"/>
  <c r="K1002" i="43"/>
  <c r="J1002" i="43"/>
  <c r="I1002" i="43"/>
  <c r="H1002" i="43"/>
  <c r="K1001" i="43"/>
  <c r="J1001" i="43"/>
  <c r="I1001" i="43"/>
  <c r="H1001" i="43"/>
  <c r="K1000" i="43"/>
  <c r="J1000" i="43"/>
  <c r="I1000" i="43"/>
  <c r="H1000" i="43"/>
  <c r="K999" i="43"/>
  <c r="J999" i="43"/>
  <c r="I999" i="43"/>
  <c r="H999" i="43"/>
  <c r="K998" i="43"/>
  <c r="J998" i="43"/>
  <c r="I998" i="43"/>
  <c r="H998" i="43"/>
  <c r="K997" i="43"/>
  <c r="J997" i="43"/>
  <c r="I997" i="43"/>
  <c r="H997" i="43"/>
  <c r="K996" i="43"/>
  <c r="J996" i="43"/>
  <c r="I996" i="43"/>
  <c r="H996" i="43"/>
  <c r="K995" i="43"/>
  <c r="J995" i="43"/>
  <c r="I995" i="43"/>
  <c r="H995" i="43"/>
  <c r="K994" i="43"/>
  <c r="J994" i="43"/>
  <c r="I994" i="43"/>
  <c r="H994" i="43"/>
  <c r="K993" i="43"/>
  <c r="J993" i="43"/>
  <c r="I993" i="43"/>
  <c r="H993" i="43"/>
  <c r="K992" i="43"/>
  <c r="J992" i="43"/>
  <c r="I992" i="43"/>
  <c r="H992" i="43"/>
  <c r="K991" i="43"/>
  <c r="J991" i="43"/>
  <c r="I991" i="43"/>
  <c r="H991" i="43"/>
  <c r="K990" i="43"/>
  <c r="J990" i="43"/>
  <c r="I990" i="43"/>
  <c r="H990" i="43"/>
  <c r="K989" i="43"/>
  <c r="J989" i="43"/>
  <c r="I989" i="43"/>
  <c r="H989" i="43"/>
  <c r="K988" i="43"/>
  <c r="J988" i="43"/>
  <c r="I988" i="43"/>
  <c r="H988" i="43"/>
  <c r="K987" i="43"/>
  <c r="J987" i="43"/>
  <c r="I987" i="43"/>
  <c r="H987" i="43"/>
  <c r="K986" i="43"/>
  <c r="J986" i="43"/>
  <c r="I986" i="43"/>
  <c r="H986" i="43"/>
  <c r="K985" i="43"/>
  <c r="J985" i="43"/>
  <c r="I985" i="43"/>
  <c r="H985" i="43"/>
  <c r="K984" i="43"/>
  <c r="J984" i="43"/>
  <c r="I984" i="43"/>
  <c r="H984" i="43"/>
  <c r="K983" i="43"/>
  <c r="J983" i="43"/>
  <c r="I983" i="43"/>
  <c r="H983" i="43"/>
  <c r="K982" i="43"/>
  <c r="J982" i="43"/>
  <c r="I982" i="43"/>
  <c r="H982" i="43"/>
  <c r="K981" i="43"/>
  <c r="J981" i="43"/>
  <c r="I981" i="43"/>
  <c r="H981" i="43"/>
  <c r="K980" i="43"/>
  <c r="J980" i="43"/>
  <c r="I980" i="43"/>
  <c r="H980" i="43"/>
  <c r="K979" i="43"/>
  <c r="J979" i="43"/>
  <c r="I979" i="43"/>
  <c r="H979" i="43"/>
  <c r="K978" i="43"/>
  <c r="J978" i="43"/>
  <c r="I978" i="43"/>
  <c r="H978" i="43"/>
  <c r="K977" i="43"/>
  <c r="J977" i="43"/>
  <c r="I977" i="43"/>
  <c r="H977" i="43"/>
  <c r="K976" i="43"/>
  <c r="J976" i="43"/>
  <c r="I976" i="43"/>
  <c r="H976" i="43"/>
  <c r="K975" i="43"/>
  <c r="J975" i="43"/>
  <c r="I975" i="43"/>
  <c r="H975" i="43"/>
  <c r="K974" i="43"/>
  <c r="J974" i="43"/>
  <c r="I974" i="43"/>
  <c r="H974" i="43"/>
  <c r="K973" i="43"/>
  <c r="J973" i="43"/>
  <c r="I973" i="43"/>
  <c r="H973" i="43"/>
  <c r="K972" i="43"/>
  <c r="J972" i="43"/>
  <c r="I972" i="43"/>
  <c r="H972" i="43"/>
  <c r="K971" i="43"/>
  <c r="J971" i="43"/>
  <c r="I971" i="43"/>
  <c r="H971" i="43"/>
  <c r="K970" i="43"/>
  <c r="J970" i="43"/>
  <c r="I970" i="43"/>
  <c r="H970" i="43"/>
  <c r="K969" i="43"/>
  <c r="J969" i="43"/>
  <c r="I969" i="43"/>
  <c r="H969" i="43"/>
  <c r="K968" i="43"/>
  <c r="J968" i="43"/>
  <c r="I968" i="43"/>
  <c r="H968" i="43"/>
  <c r="K967" i="43"/>
  <c r="J967" i="43"/>
  <c r="I967" i="43"/>
  <c r="H967" i="43"/>
  <c r="K966" i="43"/>
  <c r="J966" i="43"/>
  <c r="I966" i="43"/>
  <c r="H966" i="43"/>
  <c r="K965" i="43"/>
  <c r="J965" i="43"/>
  <c r="I965" i="43"/>
  <c r="H965" i="43"/>
  <c r="K964" i="43"/>
  <c r="J964" i="43"/>
  <c r="I964" i="43"/>
  <c r="H964" i="43"/>
  <c r="K963" i="43"/>
  <c r="J963" i="43"/>
  <c r="I963" i="43"/>
  <c r="H963" i="43"/>
  <c r="K962" i="43"/>
  <c r="J962" i="43"/>
  <c r="I962" i="43"/>
  <c r="H962" i="43"/>
  <c r="K961" i="43"/>
  <c r="J961" i="43"/>
  <c r="I961" i="43"/>
  <c r="H961" i="43"/>
  <c r="K960" i="43"/>
  <c r="J960" i="43"/>
  <c r="I960" i="43"/>
  <c r="H960" i="43"/>
  <c r="K959" i="43"/>
  <c r="J959" i="43"/>
  <c r="I959" i="43"/>
  <c r="H959" i="43"/>
  <c r="K958" i="43"/>
  <c r="J958" i="43"/>
  <c r="I958" i="43"/>
  <c r="H958" i="43"/>
  <c r="K957" i="43"/>
  <c r="J957" i="43"/>
  <c r="I957" i="43"/>
  <c r="H957" i="43"/>
  <c r="K956" i="43"/>
  <c r="J956" i="43"/>
  <c r="I956" i="43"/>
  <c r="H956" i="43"/>
  <c r="K955" i="43"/>
  <c r="J955" i="43"/>
  <c r="I955" i="43"/>
  <c r="H955" i="43"/>
  <c r="K954" i="43"/>
  <c r="J954" i="43"/>
  <c r="I954" i="43"/>
  <c r="H954" i="43"/>
  <c r="K953" i="43"/>
  <c r="J953" i="43"/>
  <c r="I953" i="43"/>
  <c r="H953" i="43"/>
  <c r="K952" i="43"/>
  <c r="J952" i="43"/>
  <c r="I952" i="43"/>
  <c r="H952" i="43"/>
  <c r="K951" i="43"/>
  <c r="J951" i="43"/>
  <c r="I951" i="43"/>
  <c r="H951" i="43"/>
  <c r="K950" i="43"/>
  <c r="J950" i="43"/>
  <c r="I950" i="43"/>
  <c r="H950" i="43"/>
  <c r="K949" i="43"/>
  <c r="J949" i="43"/>
  <c r="I949" i="43"/>
  <c r="H949" i="43"/>
  <c r="K948" i="43"/>
  <c r="J948" i="43"/>
  <c r="I948" i="43"/>
  <c r="H948" i="43"/>
  <c r="K947" i="43"/>
  <c r="J947" i="43"/>
  <c r="I947" i="43"/>
  <c r="H947" i="43"/>
  <c r="K946" i="43"/>
  <c r="J946" i="43"/>
  <c r="I946" i="43"/>
  <c r="H946" i="43"/>
  <c r="K945" i="43"/>
  <c r="J945" i="43"/>
  <c r="I945" i="43"/>
  <c r="H945" i="43"/>
  <c r="K944" i="43"/>
  <c r="J944" i="43"/>
  <c r="I944" i="43"/>
  <c r="H944" i="43"/>
  <c r="K943" i="43"/>
  <c r="J943" i="43"/>
  <c r="I943" i="43"/>
  <c r="H943" i="43"/>
  <c r="K942" i="43"/>
  <c r="J942" i="43"/>
  <c r="I942" i="43"/>
  <c r="H942" i="43"/>
  <c r="K941" i="43"/>
  <c r="J941" i="43"/>
  <c r="I941" i="43"/>
  <c r="H941" i="43"/>
  <c r="K940" i="43"/>
  <c r="J940" i="43"/>
  <c r="I940" i="43"/>
  <c r="H940" i="43"/>
  <c r="K939" i="43"/>
  <c r="J939" i="43"/>
  <c r="I939" i="43"/>
  <c r="H939" i="43"/>
  <c r="K938" i="43"/>
  <c r="J938" i="43"/>
  <c r="I938" i="43"/>
  <c r="H938" i="43"/>
  <c r="K937" i="43"/>
  <c r="J937" i="43"/>
  <c r="I937" i="43"/>
  <c r="H937" i="43"/>
  <c r="K936" i="43"/>
  <c r="J936" i="43"/>
  <c r="I936" i="43"/>
  <c r="H936" i="43"/>
  <c r="K935" i="43"/>
  <c r="J935" i="43"/>
  <c r="I935" i="43"/>
  <c r="H935" i="43"/>
  <c r="K934" i="43"/>
  <c r="J934" i="43"/>
  <c r="I934" i="43"/>
  <c r="H934" i="43"/>
  <c r="K933" i="43"/>
  <c r="J933" i="43"/>
  <c r="I933" i="43"/>
  <c r="H933" i="43"/>
  <c r="K932" i="43"/>
  <c r="J932" i="43"/>
  <c r="I932" i="43"/>
  <c r="H932" i="43"/>
  <c r="K931" i="43"/>
  <c r="J931" i="43"/>
  <c r="I931" i="43"/>
  <c r="H931" i="43"/>
  <c r="K930" i="43"/>
  <c r="J930" i="43"/>
  <c r="I930" i="43"/>
  <c r="H930" i="43"/>
  <c r="K929" i="43"/>
  <c r="J929" i="43"/>
  <c r="I929" i="43"/>
  <c r="H929" i="43"/>
  <c r="K928" i="43"/>
  <c r="J928" i="43"/>
  <c r="I928" i="43"/>
  <c r="H928" i="43"/>
  <c r="K927" i="43"/>
  <c r="J927" i="43"/>
  <c r="I927" i="43"/>
  <c r="H927" i="43"/>
  <c r="K926" i="43"/>
  <c r="J926" i="43"/>
  <c r="I926" i="43"/>
  <c r="H926" i="43"/>
  <c r="K925" i="43"/>
  <c r="J925" i="43"/>
  <c r="I925" i="43"/>
  <c r="H925" i="43"/>
  <c r="K924" i="43"/>
  <c r="J924" i="43"/>
  <c r="I924" i="43"/>
  <c r="H924" i="43"/>
  <c r="K923" i="43"/>
  <c r="J923" i="43"/>
  <c r="I923" i="43"/>
  <c r="H923" i="43"/>
  <c r="K922" i="43"/>
  <c r="J922" i="43"/>
  <c r="I922" i="43"/>
  <c r="H922" i="43"/>
  <c r="K921" i="43"/>
  <c r="J921" i="43"/>
  <c r="I921" i="43"/>
  <c r="H921" i="43"/>
  <c r="K920" i="43"/>
  <c r="J920" i="43"/>
  <c r="I920" i="43"/>
  <c r="H920" i="43"/>
  <c r="K919" i="43"/>
  <c r="J919" i="43"/>
  <c r="I919" i="43"/>
  <c r="H919" i="43"/>
  <c r="K918" i="43"/>
  <c r="J918" i="43"/>
  <c r="I918" i="43"/>
  <c r="H918" i="43"/>
  <c r="K917" i="43"/>
  <c r="J917" i="43"/>
  <c r="I917" i="43"/>
  <c r="H917" i="43"/>
  <c r="K916" i="43"/>
  <c r="J916" i="43"/>
  <c r="I916" i="43"/>
  <c r="H916" i="43"/>
  <c r="E75" i="66" s="1"/>
  <c r="K915" i="43"/>
  <c r="J915" i="43"/>
  <c r="I915" i="43"/>
  <c r="H915" i="43"/>
  <c r="K914" i="43"/>
  <c r="J914" i="43"/>
  <c r="I914" i="43"/>
  <c r="H914" i="43"/>
  <c r="K913" i="43"/>
  <c r="J913" i="43"/>
  <c r="I913" i="43"/>
  <c r="H913" i="43"/>
  <c r="K912" i="43"/>
  <c r="J912" i="43"/>
  <c r="I912" i="43"/>
  <c r="H912" i="43"/>
  <c r="K911" i="43"/>
  <c r="J911" i="43"/>
  <c r="I911" i="43"/>
  <c r="H911" i="43"/>
  <c r="K910" i="43"/>
  <c r="J910" i="43"/>
  <c r="I910" i="43"/>
  <c r="H910" i="43"/>
  <c r="K909" i="43"/>
  <c r="J909" i="43"/>
  <c r="I909" i="43"/>
  <c r="H909" i="43"/>
  <c r="K908" i="43"/>
  <c r="J908" i="43"/>
  <c r="I908" i="43"/>
  <c r="H908" i="43"/>
  <c r="E19" i="66" s="1"/>
  <c r="K907" i="43"/>
  <c r="J907" i="43"/>
  <c r="I907" i="43"/>
  <c r="H907" i="43"/>
  <c r="K906" i="43"/>
  <c r="J906" i="43"/>
  <c r="I906" i="43"/>
  <c r="H906" i="43"/>
  <c r="K905" i="43"/>
  <c r="J905" i="43"/>
  <c r="I905" i="43"/>
  <c r="H905" i="43"/>
  <c r="K904" i="43"/>
  <c r="J904" i="43"/>
  <c r="I904" i="43"/>
  <c r="H904" i="43"/>
  <c r="K903" i="43"/>
  <c r="J903" i="43"/>
  <c r="I903" i="43"/>
  <c r="H903" i="43"/>
  <c r="K902" i="43"/>
  <c r="J902" i="43"/>
  <c r="I902" i="43"/>
  <c r="H902" i="43"/>
  <c r="K901" i="43"/>
  <c r="J901" i="43"/>
  <c r="I901" i="43"/>
  <c r="H901" i="43"/>
  <c r="K900" i="43"/>
  <c r="J900" i="43"/>
  <c r="I900" i="43"/>
  <c r="H900" i="43"/>
  <c r="K899" i="43"/>
  <c r="J899" i="43"/>
  <c r="I899" i="43"/>
  <c r="H899" i="43"/>
  <c r="K898" i="43"/>
  <c r="J898" i="43"/>
  <c r="I898" i="43"/>
  <c r="H898" i="43"/>
  <c r="K897" i="43"/>
  <c r="J897" i="43"/>
  <c r="I897" i="43"/>
  <c r="H897" i="43"/>
  <c r="K896" i="43"/>
  <c r="J896" i="43"/>
  <c r="I896" i="43"/>
  <c r="H896" i="43"/>
  <c r="K895" i="43"/>
  <c r="J895" i="43"/>
  <c r="I895" i="43"/>
  <c r="H895" i="43"/>
  <c r="K894" i="43"/>
  <c r="J894" i="43"/>
  <c r="I894" i="43"/>
  <c r="H894" i="43"/>
  <c r="K893" i="43"/>
  <c r="J893" i="43"/>
  <c r="I893" i="43"/>
  <c r="H893" i="43"/>
  <c r="K892" i="43"/>
  <c r="J892" i="43"/>
  <c r="I892" i="43"/>
  <c r="H892" i="43"/>
  <c r="K891" i="43"/>
  <c r="J891" i="43"/>
  <c r="I891" i="43"/>
  <c r="H891" i="43"/>
  <c r="K890" i="43"/>
  <c r="J890" i="43"/>
  <c r="I890" i="43"/>
  <c r="H890" i="43"/>
  <c r="K889" i="43"/>
  <c r="J889" i="43"/>
  <c r="I889" i="43"/>
  <c r="H889" i="43"/>
  <c r="K888" i="43"/>
  <c r="J888" i="43"/>
  <c r="I888" i="43"/>
  <c r="H888" i="43"/>
  <c r="K887" i="43"/>
  <c r="J887" i="43"/>
  <c r="I887" i="43"/>
  <c r="H887" i="43"/>
  <c r="K886" i="43"/>
  <c r="J886" i="43"/>
  <c r="I886" i="43"/>
  <c r="H886" i="43"/>
  <c r="K885" i="43"/>
  <c r="J885" i="43"/>
  <c r="I885" i="43"/>
  <c r="H885" i="43"/>
  <c r="K884" i="43"/>
  <c r="J884" i="43"/>
  <c r="I884" i="43"/>
  <c r="H884" i="43"/>
  <c r="K883" i="43"/>
  <c r="J883" i="43"/>
  <c r="I883" i="43"/>
  <c r="H883" i="43"/>
  <c r="K882" i="43"/>
  <c r="J882" i="43"/>
  <c r="I882" i="43"/>
  <c r="H882" i="43"/>
  <c r="K881" i="43"/>
  <c r="J881" i="43"/>
  <c r="I881" i="43"/>
  <c r="H881" i="43"/>
  <c r="K880" i="43"/>
  <c r="J880" i="43"/>
  <c r="I880" i="43"/>
  <c r="H880" i="43"/>
  <c r="K879" i="43"/>
  <c r="J879" i="43"/>
  <c r="I879" i="43"/>
  <c r="H879" i="43"/>
  <c r="K878" i="43"/>
  <c r="J878" i="43"/>
  <c r="I878" i="43"/>
  <c r="H878" i="43"/>
  <c r="K877" i="43"/>
  <c r="J877" i="43"/>
  <c r="I877" i="43"/>
  <c r="H877" i="43"/>
  <c r="K876" i="43"/>
  <c r="J876" i="43"/>
  <c r="I876" i="43"/>
  <c r="H876" i="43"/>
  <c r="K875" i="43"/>
  <c r="J875" i="43"/>
  <c r="I875" i="43"/>
  <c r="H875" i="43"/>
  <c r="K874" i="43"/>
  <c r="J874" i="43"/>
  <c r="I874" i="43"/>
  <c r="H874" i="43"/>
  <c r="K873" i="43"/>
  <c r="J873" i="43"/>
  <c r="I873" i="43"/>
  <c r="H873" i="43"/>
  <c r="K872" i="43"/>
  <c r="J872" i="43"/>
  <c r="I872" i="43"/>
  <c r="H872" i="43"/>
  <c r="K871" i="43"/>
  <c r="J871" i="43"/>
  <c r="I871" i="43"/>
  <c r="H871" i="43"/>
  <c r="K870" i="43"/>
  <c r="J870" i="43"/>
  <c r="I870" i="43"/>
  <c r="H870" i="43"/>
  <c r="K869" i="43"/>
  <c r="J869" i="43"/>
  <c r="I869" i="43"/>
  <c r="H869" i="43"/>
  <c r="K868" i="43"/>
  <c r="J868" i="43"/>
  <c r="I868" i="43"/>
  <c r="H868" i="43"/>
  <c r="K867" i="43"/>
  <c r="J867" i="43"/>
  <c r="I867" i="43"/>
  <c r="H867" i="43"/>
  <c r="K866" i="43"/>
  <c r="J866" i="43"/>
  <c r="I866" i="43"/>
  <c r="H866" i="43"/>
  <c r="K865" i="43"/>
  <c r="J865" i="43"/>
  <c r="I865" i="43"/>
  <c r="H865" i="43"/>
  <c r="K864" i="43"/>
  <c r="J864" i="43"/>
  <c r="I864" i="43"/>
  <c r="H864" i="43"/>
  <c r="K863" i="43"/>
  <c r="J863" i="43"/>
  <c r="I863" i="43"/>
  <c r="H863" i="43"/>
  <c r="K862" i="43"/>
  <c r="J862" i="43"/>
  <c r="I862" i="43"/>
  <c r="H862" i="43"/>
  <c r="K861" i="43"/>
  <c r="J861" i="43"/>
  <c r="I861" i="43"/>
  <c r="H861" i="43"/>
  <c r="K860" i="43"/>
  <c r="J860" i="43"/>
  <c r="I860" i="43"/>
  <c r="H860" i="43"/>
  <c r="K859" i="43"/>
  <c r="J859" i="43"/>
  <c r="I859" i="43"/>
  <c r="H859" i="43"/>
  <c r="K858" i="43"/>
  <c r="J858" i="43"/>
  <c r="I858" i="43"/>
  <c r="H858" i="43"/>
  <c r="K857" i="43"/>
  <c r="J857" i="43"/>
  <c r="I857" i="43"/>
  <c r="H857" i="43"/>
  <c r="K856" i="43"/>
  <c r="J856" i="43"/>
  <c r="I856" i="43"/>
  <c r="H856" i="43"/>
  <c r="K855" i="43"/>
  <c r="J855" i="43"/>
  <c r="I855" i="43"/>
  <c r="H855" i="43"/>
  <c r="K854" i="43"/>
  <c r="J854" i="43"/>
  <c r="I854" i="43"/>
  <c r="H854" i="43"/>
  <c r="K853" i="43"/>
  <c r="J853" i="43"/>
  <c r="I853" i="43"/>
  <c r="H853" i="43"/>
  <c r="K852" i="43"/>
  <c r="J852" i="43"/>
  <c r="I852" i="43"/>
  <c r="H852" i="43"/>
  <c r="K851" i="43"/>
  <c r="J851" i="43"/>
  <c r="I851" i="43"/>
  <c r="H851" i="43"/>
  <c r="K850" i="43"/>
  <c r="J850" i="43"/>
  <c r="I850" i="43"/>
  <c r="H850" i="43"/>
  <c r="K849" i="43"/>
  <c r="J849" i="43"/>
  <c r="I849" i="43"/>
  <c r="H849" i="43"/>
  <c r="K848" i="43"/>
  <c r="J848" i="43"/>
  <c r="I848" i="43"/>
  <c r="H848" i="43"/>
  <c r="K847" i="43"/>
  <c r="J847" i="43"/>
  <c r="I847" i="43"/>
  <c r="H847" i="43"/>
  <c r="K846" i="43"/>
  <c r="J846" i="43"/>
  <c r="I846" i="43"/>
  <c r="H846" i="43"/>
  <c r="K845" i="43"/>
  <c r="J845" i="43"/>
  <c r="I845" i="43"/>
  <c r="H845" i="43"/>
  <c r="K844" i="43"/>
  <c r="J844" i="43"/>
  <c r="I844" i="43"/>
  <c r="H844" i="43"/>
  <c r="K843" i="43"/>
  <c r="J843" i="43"/>
  <c r="I843" i="43"/>
  <c r="H843" i="43"/>
  <c r="K842" i="43"/>
  <c r="J842" i="43"/>
  <c r="I842" i="43"/>
  <c r="H842" i="43"/>
  <c r="K841" i="43"/>
  <c r="J841" i="43"/>
  <c r="I841" i="43"/>
  <c r="H841" i="43"/>
  <c r="K840" i="43"/>
  <c r="J840" i="43"/>
  <c r="I840" i="43"/>
  <c r="H840" i="43"/>
  <c r="K839" i="43"/>
  <c r="J839" i="43"/>
  <c r="I839" i="43"/>
  <c r="H839" i="43"/>
  <c r="K838" i="43"/>
  <c r="J838" i="43"/>
  <c r="I838" i="43"/>
  <c r="H838" i="43"/>
  <c r="K837" i="43"/>
  <c r="J837" i="43"/>
  <c r="I837" i="43"/>
  <c r="H837" i="43"/>
  <c r="K836" i="43"/>
  <c r="J836" i="43"/>
  <c r="I836" i="43"/>
  <c r="H836" i="43"/>
  <c r="K835" i="43"/>
  <c r="J835" i="43"/>
  <c r="I835" i="43"/>
  <c r="H835" i="43"/>
  <c r="K834" i="43"/>
  <c r="J834" i="43"/>
  <c r="I834" i="43"/>
  <c r="H834" i="43"/>
  <c r="K833" i="43"/>
  <c r="J833" i="43"/>
  <c r="I833" i="43"/>
  <c r="H833" i="43"/>
  <c r="K832" i="43"/>
  <c r="J832" i="43"/>
  <c r="I832" i="43"/>
  <c r="H832" i="43"/>
  <c r="K831" i="43"/>
  <c r="J831" i="43"/>
  <c r="I831" i="43"/>
  <c r="H831" i="43"/>
  <c r="K830" i="43"/>
  <c r="J830" i="43"/>
  <c r="I830" i="43"/>
  <c r="H830" i="43"/>
  <c r="K829" i="43"/>
  <c r="J829" i="43"/>
  <c r="I829" i="43"/>
  <c r="H829" i="43"/>
  <c r="K828" i="43"/>
  <c r="J828" i="43"/>
  <c r="I828" i="43"/>
  <c r="H828" i="43"/>
  <c r="K827" i="43"/>
  <c r="J827" i="43"/>
  <c r="I827" i="43"/>
  <c r="H827" i="43"/>
  <c r="K826" i="43"/>
  <c r="J826" i="43"/>
  <c r="I826" i="43"/>
  <c r="H826" i="43"/>
  <c r="K825" i="43"/>
  <c r="J825" i="43"/>
  <c r="I825" i="43"/>
  <c r="H825" i="43"/>
  <c r="K824" i="43"/>
  <c r="J824" i="43"/>
  <c r="I824" i="43"/>
  <c r="H824" i="43"/>
  <c r="K823" i="43"/>
  <c r="J823" i="43"/>
  <c r="I823" i="43"/>
  <c r="H823" i="43"/>
  <c r="K822" i="43"/>
  <c r="J822" i="43"/>
  <c r="I822" i="43"/>
  <c r="H822" i="43"/>
  <c r="K821" i="43"/>
  <c r="J821" i="43"/>
  <c r="I821" i="43"/>
  <c r="H821" i="43"/>
  <c r="K820" i="43"/>
  <c r="J820" i="43"/>
  <c r="I820" i="43"/>
  <c r="H820" i="43"/>
  <c r="K819" i="43"/>
  <c r="J819" i="43"/>
  <c r="I819" i="43"/>
  <c r="H819" i="43"/>
  <c r="K818" i="43"/>
  <c r="J818" i="43"/>
  <c r="I818" i="43"/>
  <c r="H818" i="43"/>
  <c r="K817" i="43"/>
  <c r="J817" i="43"/>
  <c r="I817" i="43"/>
  <c r="H817" i="43"/>
  <c r="K816" i="43"/>
  <c r="J816" i="43"/>
  <c r="I816" i="43"/>
  <c r="H816" i="43"/>
  <c r="K815" i="43"/>
  <c r="J815" i="43"/>
  <c r="I815" i="43"/>
  <c r="H815" i="43"/>
  <c r="K814" i="43"/>
  <c r="J814" i="43"/>
  <c r="I814" i="43"/>
  <c r="H814" i="43"/>
  <c r="K813" i="43"/>
  <c r="J813" i="43"/>
  <c r="I813" i="43"/>
  <c r="H813" i="43"/>
  <c r="K812" i="43"/>
  <c r="J812" i="43"/>
  <c r="I812" i="43"/>
  <c r="H812" i="43"/>
  <c r="K811" i="43"/>
  <c r="J811" i="43"/>
  <c r="I811" i="43"/>
  <c r="H811" i="43"/>
  <c r="K810" i="43"/>
  <c r="J810" i="43"/>
  <c r="I810" i="43"/>
  <c r="H810" i="43"/>
  <c r="K809" i="43"/>
  <c r="J809" i="43"/>
  <c r="I809" i="43"/>
  <c r="H809" i="43"/>
  <c r="K808" i="43"/>
  <c r="J808" i="43"/>
  <c r="I808" i="43"/>
  <c r="H808" i="43"/>
  <c r="K807" i="43"/>
  <c r="J807" i="43"/>
  <c r="I807" i="43"/>
  <c r="H807" i="43"/>
  <c r="K806" i="43"/>
  <c r="J806" i="43"/>
  <c r="I806" i="43"/>
  <c r="H806" i="43"/>
  <c r="K805" i="43"/>
  <c r="J805" i="43"/>
  <c r="I805" i="43"/>
  <c r="H805" i="43"/>
  <c r="K804" i="43"/>
  <c r="J804" i="43"/>
  <c r="I804" i="43"/>
  <c r="H804" i="43"/>
  <c r="K803" i="43"/>
  <c r="J803" i="43"/>
  <c r="I803" i="43"/>
  <c r="H803" i="43"/>
  <c r="K802" i="43"/>
  <c r="J802" i="43"/>
  <c r="I802" i="43"/>
  <c r="H802" i="43"/>
  <c r="K801" i="43"/>
  <c r="J801" i="43"/>
  <c r="I801" i="43"/>
  <c r="H801" i="43"/>
  <c r="K800" i="43"/>
  <c r="J800" i="43"/>
  <c r="I800" i="43"/>
  <c r="H800" i="43"/>
  <c r="K799" i="43"/>
  <c r="J799" i="43"/>
  <c r="I799" i="43"/>
  <c r="H799" i="43"/>
  <c r="K798" i="43"/>
  <c r="J798" i="43"/>
  <c r="I798" i="43"/>
  <c r="H798" i="43"/>
  <c r="K797" i="43"/>
  <c r="J797" i="43"/>
  <c r="I797" i="43"/>
  <c r="H797" i="43"/>
  <c r="K796" i="43"/>
  <c r="J796" i="43"/>
  <c r="I796" i="43"/>
  <c r="H796" i="43"/>
  <c r="K795" i="43"/>
  <c r="J795" i="43"/>
  <c r="I795" i="43"/>
  <c r="H795" i="43"/>
  <c r="K794" i="43"/>
  <c r="J794" i="43"/>
  <c r="I794" i="43"/>
  <c r="H794" i="43"/>
  <c r="K793" i="43"/>
  <c r="J793" i="43"/>
  <c r="I793" i="43"/>
  <c r="H793" i="43"/>
  <c r="K792" i="43"/>
  <c r="J792" i="43"/>
  <c r="I792" i="43"/>
  <c r="H792" i="43"/>
  <c r="K791" i="43"/>
  <c r="J791" i="43"/>
  <c r="I791" i="43"/>
  <c r="H791" i="43"/>
  <c r="K790" i="43"/>
  <c r="J790" i="43"/>
  <c r="I790" i="43"/>
  <c r="H790" i="43"/>
  <c r="K789" i="43"/>
  <c r="J789" i="43"/>
  <c r="I789" i="43"/>
  <c r="H789" i="43"/>
  <c r="K788" i="43"/>
  <c r="J788" i="43"/>
  <c r="I788" i="43"/>
  <c r="H788" i="43"/>
  <c r="K787" i="43"/>
  <c r="J787" i="43"/>
  <c r="I787" i="43"/>
  <c r="H787" i="43"/>
  <c r="K786" i="43"/>
  <c r="J786" i="43"/>
  <c r="I786" i="43"/>
  <c r="H786" i="43"/>
  <c r="K785" i="43"/>
  <c r="J785" i="43"/>
  <c r="I785" i="43"/>
  <c r="H785" i="43"/>
  <c r="K784" i="43"/>
  <c r="J784" i="43"/>
  <c r="I784" i="43"/>
  <c r="H784" i="43"/>
  <c r="K783" i="43"/>
  <c r="J783" i="43"/>
  <c r="I783" i="43"/>
  <c r="H783" i="43"/>
  <c r="K782" i="43"/>
  <c r="J782" i="43"/>
  <c r="I782" i="43"/>
  <c r="H782" i="43"/>
  <c r="K781" i="43"/>
  <c r="J781" i="43"/>
  <c r="I781" i="43"/>
  <c r="H781" i="43"/>
  <c r="K780" i="43"/>
  <c r="J780" i="43"/>
  <c r="I780" i="43"/>
  <c r="H780" i="43"/>
  <c r="K779" i="43"/>
  <c r="J779" i="43"/>
  <c r="I779" i="43"/>
  <c r="H779" i="43"/>
  <c r="K778" i="43"/>
  <c r="J778" i="43"/>
  <c r="I778" i="43"/>
  <c r="H778" i="43"/>
  <c r="K777" i="43"/>
  <c r="J777" i="43"/>
  <c r="I777" i="43"/>
  <c r="H777" i="43"/>
  <c r="K776" i="43"/>
  <c r="J776" i="43"/>
  <c r="I776" i="43"/>
  <c r="H776" i="43"/>
  <c r="K775" i="43"/>
  <c r="J775" i="43"/>
  <c r="I775" i="43"/>
  <c r="H775" i="43"/>
  <c r="K774" i="43"/>
  <c r="J774" i="43"/>
  <c r="I774" i="43"/>
  <c r="H774" i="43"/>
  <c r="K773" i="43"/>
  <c r="J773" i="43"/>
  <c r="I773" i="43"/>
  <c r="H773" i="43"/>
  <c r="K772" i="43"/>
  <c r="J772" i="43"/>
  <c r="I772" i="43"/>
  <c r="H772" i="43"/>
  <c r="K771" i="43"/>
  <c r="J771" i="43"/>
  <c r="I771" i="43"/>
  <c r="H771" i="43"/>
  <c r="K770" i="43"/>
  <c r="J770" i="43"/>
  <c r="I770" i="43"/>
  <c r="H770" i="43"/>
  <c r="K769" i="43"/>
  <c r="J769" i="43"/>
  <c r="I769" i="43"/>
  <c r="H769" i="43"/>
  <c r="K768" i="43"/>
  <c r="J768" i="43"/>
  <c r="I768" i="43"/>
  <c r="H768" i="43"/>
  <c r="K767" i="43"/>
  <c r="J767" i="43"/>
  <c r="I767" i="43"/>
  <c r="H767" i="43"/>
  <c r="K766" i="43"/>
  <c r="J766" i="43"/>
  <c r="I766" i="43"/>
  <c r="H766" i="43"/>
  <c r="K765" i="43"/>
  <c r="J765" i="43"/>
  <c r="I765" i="43"/>
  <c r="H765" i="43"/>
  <c r="K764" i="43"/>
  <c r="J764" i="43"/>
  <c r="I764" i="43"/>
  <c r="H764" i="43"/>
  <c r="K763" i="43"/>
  <c r="J763" i="43"/>
  <c r="I763" i="43"/>
  <c r="H763" i="43"/>
  <c r="K762" i="43"/>
  <c r="J762" i="43"/>
  <c r="I762" i="43"/>
  <c r="H762" i="43"/>
  <c r="K761" i="43"/>
  <c r="J761" i="43"/>
  <c r="I761" i="43"/>
  <c r="H761" i="43"/>
  <c r="K760" i="43"/>
  <c r="J760" i="43"/>
  <c r="I760" i="43"/>
  <c r="H760" i="43"/>
  <c r="K759" i="43"/>
  <c r="J759" i="43"/>
  <c r="I759" i="43"/>
  <c r="H759" i="43"/>
  <c r="K758" i="43"/>
  <c r="J758" i="43"/>
  <c r="I758" i="43"/>
  <c r="H758" i="43"/>
  <c r="K757" i="43"/>
  <c r="J757" i="43"/>
  <c r="I757" i="43"/>
  <c r="H757" i="43"/>
  <c r="K756" i="43"/>
  <c r="J756" i="43"/>
  <c r="I756" i="43"/>
  <c r="H756" i="43"/>
  <c r="K755" i="43"/>
  <c r="J755" i="43"/>
  <c r="I755" i="43"/>
  <c r="H755" i="43"/>
  <c r="K754" i="43"/>
  <c r="J754" i="43"/>
  <c r="I754" i="43"/>
  <c r="H754" i="43"/>
  <c r="K753" i="43"/>
  <c r="J753" i="43"/>
  <c r="I753" i="43"/>
  <c r="H753" i="43"/>
  <c r="K752" i="43"/>
  <c r="J752" i="43"/>
  <c r="I752" i="43"/>
  <c r="H752" i="43"/>
  <c r="K751" i="43"/>
  <c r="J751" i="43"/>
  <c r="I751" i="43"/>
  <c r="H751" i="43"/>
  <c r="K750" i="43"/>
  <c r="J750" i="43"/>
  <c r="I750" i="43"/>
  <c r="H750" i="43"/>
  <c r="K749" i="43"/>
  <c r="J749" i="43"/>
  <c r="I749" i="43"/>
  <c r="H749" i="43"/>
  <c r="K748" i="43"/>
  <c r="J748" i="43"/>
  <c r="I748" i="43"/>
  <c r="H748" i="43"/>
  <c r="K747" i="43"/>
  <c r="J747" i="43"/>
  <c r="I747" i="43"/>
  <c r="H747" i="43"/>
  <c r="K746" i="43"/>
  <c r="J746" i="43"/>
  <c r="I746" i="43"/>
  <c r="H746" i="43"/>
  <c r="K745" i="43"/>
  <c r="J745" i="43"/>
  <c r="I745" i="43"/>
  <c r="H745" i="43"/>
  <c r="K744" i="43"/>
  <c r="J744" i="43"/>
  <c r="I744" i="43"/>
  <c r="H744" i="43"/>
  <c r="K743" i="43"/>
  <c r="J743" i="43"/>
  <c r="I743" i="43"/>
  <c r="H743" i="43"/>
  <c r="K742" i="43"/>
  <c r="J742" i="43"/>
  <c r="I742" i="43"/>
  <c r="H742" i="43"/>
  <c r="K741" i="43"/>
  <c r="J741" i="43"/>
  <c r="I741" i="43"/>
  <c r="H741" i="43"/>
  <c r="K740" i="43"/>
  <c r="J740" i="43"/>
  <c r="I740" i="43"/>
  <c r="H740" i="43"/>
  <c r="K739" i="43"/>
  <c r="J739" i="43"/>
  <c r="I739" i="43"/>
  <c r="H739" i="43"/>
  <c r="K738" i="43"/>
  <c r="J738" i="43"/>
  <c r="I738" i="43"/>
  <c r="H738" i="43"/>
  <c r="K737" i="43"/>
  <c r="J737" i="43"/>
  <c r="I737" i="43"/>
  <c r="H737" i="43"/>
  <c r="K736" i="43"/>
  <c r="J736" i="43"/>
  <c r="I736" i="43"/>
  <c r="H736" i="43"/>
  <c r="K735" i="43"/>
  <c r="J735" i="43"/>
  <c r="I735" i="43"/>
  <c r="H735" i="43"/>
  <c r="K734" i="43"/>
  <c r="J734" i="43"/>
  <c r="I734" i="43"/>
  <c r="H734" i="43"/>
  <c r="K733" i="43"/>
  <c r="J733" i="43"/>
  <c r="I733" i="43"/>
  <c r="H733" i="43"/>
  <c r="K732" i="43"/>
  <c r="J732" i="43"/>
  <c r="I732" i="43"/>
  <c r="H732" i="43"/>
  <c r="K731" i="43"/>
  <c r="J731" i="43"/>
  <c r="I731" i="43"/>
  <c r="H731" i="43"/>
  <c r="K730" i="43"/>
  <c r="J730" i="43"/>
  <c r="I730" i="43"/>
  <c r="H730" i="43"/>
  <c r="K729" i="43"/>
  <c r="J729" i="43"/>
  <c r="I729" i="43"/>
  <c r="H729" i="43"/>
  <c r="K728" i="43"/>
  <c r="J728" i="43"/>
  <c r="I728" i="43"/>
  <c r="H728" i="43"/>
  <c r="K727" i="43"/>
  <c r="J727" i="43"/>
  <c r="I727" i="43"/>
  <c r="H727" i="43"/>
  <c r="K726" i="43"/>
  <c r="J726" i="43"/>
  <c r="I726" i="43"/>
  <c r="H726" i="43"/>
  <c r="K725" i="43"/>
  <c r="J725" i="43"/>
  <c r="I725" i="43"/>
  <c r="H725" i="43"/>
  <c r="K724" i="43"/>
  <c r="J724" i="43"/>
  <c r="I724" i="43"/>
  <c r="H724" i="43"/>
  <c r="K723" i="43"/>
  <c r="J723" i="43"/>
  <c r="I723" i="43"/>
  <c r="H723" i="43"/>
  <c r="K722" i="43"/>
  <c r="J722" i="43"/>
  <c r="I722" i="43"/>
  <c r="H722" i="43"/>
  <c r="K721" i="43"/>
  <c r="J721" i="43"/>
  <c r="I721" i="43"/>
  <c r="H721" i="43"/>
  <c r="K720" i="43"/>
  <c r="J720" i="43"/>
  <c r="I720" i="43"/>
  <c r="H720" i="43"/>
  <c r="K719" i="43"/>
  <c r="J719" i="43"/>
  <c r="I719" i="43"/>
  <c r="H719" i="43"/>
  <c r="K718" i="43"/>
  <c r="J718" i="43"/>
  <c r="I718" i="43"/>
  <c r="H718" i="43"/>
  <c r="K717" i="43"/>
  <c r="J717" i="43"/>
  <c r="I717" i="43"/>
  <c r="H717" i="43"/>
  <c r="K716" i="43"/>
  <c r="J716" i="43"/>
  <c r="I716" i="43"/>
  <c r="H716" i="43"/>
  <c r="K715" i="43"/>
  <c r="J715" i="43"/>
  <c r="I715" i="43"/>
  <c r="H715" i="43"/>
  <c r="K714" i="43"/>
  <c r="J714" i="43"/>
  <c r="I714" i="43"/>
  <c r="H714" i="43"/>
  <c r="K713" i="43"/>
  <c r="J713" i="43"/>
  <c r="I713" i="43"/>
  <c r="H713" i="43"/>
  <c r="K712" i="43"/>
  <c r="J712" i="43"/>
  <c r="I712" i="43"/>
  <c r="H712" i="43"/>
  <c r="K711" i="43"/>
  <c r="J711" i="43"/>
  <c r="I711" i="43"/>
  <c r="H711" i="43"/>
  <c r="K710" i="43"/>
  <c r="J710" i="43"/>
  <c r="I710" i="43"/>
  <c r="H710" i="43"/>
  <c r="K709" i="43"/>
  <c r="J709" i="43"/>
  <c r="I709" i="43"/>
  <c r="H709" i="43"/>
  <c r="K708" i="43"/>
  <c r="J708" i="43"/>
  <c r="I708" i="43"/>
  <c r="H708" i="43"/>
  <c r="K707" i="43"/>
  <c r="J707" i="43"/>
  <c r="I707" i="43"/>
  <c r="H707" i="43"/>
  <c r="K706" i="43"/>
  <c r="J706" i="43"/>
  <c r="I706" i="43"/>
  <c r="H706" i="43"/>
  <c r="K705" i="43"/>
  <c r="J705" i="43"/>
  <c r="I705" i="43"/>
  <c r="H705" i="43"/>
  <c r="K704" i="43"/>
  <c r="J704" i="43"/>
  <c r="I704" i="43"/>
  <c r="H704" i="43"/>
  <c r="K703" i="43"/>
  <c r="J703" i="43"/>
  <c r="I703" i="43"/>
  <c r="H703" i="43"/>
  <c r="K702" i="43"/>
  <c r="J702" i="43"/>
  <c r="I702" i="43"/>
  <c r="H702" i="43"/>
  <c r="K701" i="43"/>
  <c r="J701" i="43"/>
  <c r="I701" i="43"/>
  <c r="H701" i="43"/>
  <c r="K700" i="43"/>
  <c r="J700" i="43"/>
  <c r="I700" i="43"/>
  <c r="H700" i="43"/>
  <c r="K699" i="43"/>
  <c r="J699" i="43"/>
  <c r="I699" i="43"/>
  <c r="H699" i="43"/>
  <c r="K698" i="43"/>
  <c r="J698" i="43"/>
  <c r="I698" i="43"/>
  <c r="H698" i="43"/>
  <c r="K697" i="43"/>
  <c r="J697" i="43"/>
  <c r="I697" i="43"/>
  <c r="H697" i="43"/>
  <c r="K696" i="43"/>
  <c r="J696" i="43"/>
  <c r="I696" i="43"/>
  <c r="H696" i="43"/>
  <c r="K695" i="43"/>
  <c r="J695" i="43"/>
  <c r="I695" i="43"/>
  <c r="H695" i="43"/>
  <c r="K694" i="43"/>
  <c r="J694" i="43"/>
  <c r="I694" i="43"/>
  <c r="H694" i="43"/>
  <c r="K693" i="43"/>
  <c r="J693" i="43"/>
  <c r="I693" i="43"/>
  <c r="H693" i="43"/>
  <c r="K692" i="43"/>
  <c r="J692" i="43"/>
  <c r="I692" i="43"/>
  <c r="H692" i="43"/>
  <c r="K691" i="43"/>
  <c r="J691" i="43"/>
  <c r="I691" i="43"/>
  <c r="H691" i="43"/>
  <c r="K690" i="43"/>
  <c r="J690" i="43"/>
  <c r="I690" i="43"/>
  <c r="H690" i="43"/>
  <c r="K689" i="43"/>
  <c r="J689" i="43"/>
  <c r="I689" i="43"/>
  <c r="H689" i="43"/>
  <c r="K688" i="43"/>
  <c r="J688" i="43"/>
  <c r="I688" i="43"/>
  <c r="H688" i="43"/>
  <c r="K687" i="43"/>
  <c r="J687" i="43"/>
  <c r="I687" i="43"/>
  <c r="H687" i="43"/>
  <c r="K686" i="43"/>
  <c r="J686" i="43"/>
  <c r="I686" i="43"/>
  <c r="H686" i="43"/>
  <c r="K685" i="43"/>
  <c r="J685" i="43"/>
  <c r="I685" i="43"/>
  <c r="H685" i="43"/>
  <c r="K684" i="43"/>
  <c r="J684" i="43"/>
  <c r="I684" i="43"/>
  <c r="H684" i="43"/>
  <c r="K683" i="43"/>
  <c r="J683" i="43"/>
  <c r="I683" i="43"/>
  <c r="H683" i="43"/>
  <c r="K682" i="43"/>
  <c r="J682" i="43"/>
  <c r="I682" i="43"/>
  <c r="H682" i="43"/>
  <c r="K681" i="43"/>
  <c r="J681" i="43"/>
  <c r="I681" i="43"/>
  <c r="H681" i="43"/>
  <c r="K680" i="43"/>
  <c r="J680" i="43"/>
  <c r="I680" i="43"/>
  <c r="H680" i="43"/>
  <c r="K679" i="43"/>
  <c r="J679" i="43"/>
  <c r="I679" i="43"/>
  <c r="H679" i="43"/>
  <c r="K678" i="43"/>
  <c r="J678" i="43"/>
  <c r="I678" i="43"/>
  <c r="H678" i="43"/>
  <c r="K677" i="43"/>
  <c r="J677" i="43"/>
  <c r="I677" i="43"/>
  <c r="H677" i="43"/>
  <c r="K676" i="43"/>
  <c r="J676" i="43"/>
  <c r="I676" i="43"/>
  <c r="H676" i="43"/>
  <c r="K675" i="43"/>
  <c r="J675" i="43"/>
  <c r="I675" i="43"/>
  <c r="H675" i="43"/>
  <c r="K674" i="43"/>
  <c r="J674" i="43"/>
  <c r="I674" i="43"/>
  <c r="H674" i="43"/>
  <c r="K673" i="43"/>
  <c r="J673" i="43"/>
  <c r="I673" i="43"/>
  <c r="H673" i="43"/>
  <c r="K672" i="43"/>
  <c r="J672" i="43"/>
  <c r="I672" i="43"/>
  <c r="H672" i="43"/>
  <c r="K671" i="43"/>
  <c r="J671" i="43"/>
  <c r="I671" i="43"/>
  <c r="H671" i="43"/>
  <c r="K670" i="43"/>
  <c r="J670" i="43"/>
  <c r="I670" i="43"/>
  <c r="H670" i="43"/>
  <c r="K669" i="43"/>
  <c r="J669" i="43"/>
  <c r="I669" i="43"/>
  <c r="H669" i="43"/>
  <c r="K668" i="43"/>
  <c r="J668" i="43"/>
  <c r="I668" i="43"/>
  <c r="H668" i="43"/>
  <c r="K667" i="43"/>
  <c r="J667" i="43"/>
  <c r="I667" i="43"/>
  <c r="H667" i="43"/>
  <c r="K666" i="43"/>
  <c r="J666" i="43"/>
  <c r="I666" i="43"/>
  <c r="H666" i="43"/>
  <c r="K665" i="43"/>
  <c r="J665" i="43"/>
  <c r="I665" i="43"/>
  <c r="H665" i="43"/>
  <c r="K664" i="43"/>
  <c r="J664" i="43"/>
  <c r="I664" i="43"/>
  <c r="H664" i="43"/>
  <c r="K663" i="43"/>
  <c r="J663" i="43"/>
  <c r="I663" i="43"/>
  <c r="H663" i="43"/>
  <c r="K662" i="43"/>
  <c r="J662" i="43"/>
  <c r="I662" i="43"/>
  <c r="H662" i="43"/>
  <c r="K661" i="43"/>
  <c r="J661" i="43"/>
  <c r="I661" i="43"/>
  <c r="H661" i="43"/>
  <c r="K660" i="43"/>
  <c r="J660" i="43"/>
  <c r="I660" i="43"/>
  <c r="H660" i="43"/>
  <c r="K659" i="43"/>
  <c r="J659" i="43"/>
  <c r="I659" i="43"/>
  <c r="H659" i="43"/>
  <c r="K658" i="43"/>
  <c r="J658" i="43"/>
  <c r="I658" i="43"/>
  <c r="H658" i="43"/>
  <c r="K657" i="43"/>
  <c r="J657" i="43"/>
  <c r="I657" i="43"/>
  <c r="H657" i="43"/>
  <c r="K656" i="43"/>
  <c r="J656" i="43"/>
  <c r="I656" i="43"/>
  <c r="H656" i="43"/>
  <c r="K655" i="43"/>
  <c r="J655" i="43"/>
  <c r="I655" i="43"/>
  <c r="H655" i="43"/>
  <c r="K654" i="43"/>
  <c r="J654" i="43"/>
  <c r="I654" i="43"/>
  <c r="H654" i="43"/>
  <c r="K653" i="43"/>
  <c r="J653" i="43"/>
  <c r="I653" i="43"/>
  <c r="H653" i="43"/>
  <c r="K652" i="43"/>
  <c r="J652" i="43"/>
  <c r="I652" i="43"/>
  <c r="H652" i="43"/>
  <c r="K651" i="43"/>
  <c r="J651" i="43"/>
  <c r="I651" i="43"/>
  <c r="H651" i="43"/>
  <c r="K650" i="43"/>
  <c r="J650" i="43"/>
  <c r="I650" i="43"/>
  <c r="H650" i="43"/>
  <c r="K649" i="43"/>
  <c r="J649" i="43"/>
  <c r="I649" i="43"/>
  <c r="H649" i="43"/>
  <c r="K648" i="43"/>
  <c r="J648" i="43"/>
  <c r="I648" i="43"/>
  <c r="H648" i="43"/>
  <c r="K647" i="43"/>
  <c r="J647" i="43"/>
  <c r="I647" i="43"/>
  <c r="H647" i="43"/>
  <c r="K646" i="43"/>
  <c r="J646" i="43"/>
  <c r="I646" i="43"/>
  <c r="H646" i="43"/>
  <c r="K645" i="43"/>
  <c r="J645" i="43"/>
  <c r="I645" i="43"/>
  <c r="H645" i="43"/>
  <c r="K644" i="43"/>
  <c r="J644" i="43"/>
  <c r="I644" i="43"/>
  <c r="H644" i="43"/>
  <c r="K643" i="43"/>
  <c r="J643" i="43"/>
  <c r="I643" i="43"/>
  <c r="H643" i="43"/>
  <c r="K642" i="43"/>
  <c r="J642" i="43"/>
  <c r="I642" i="43"/>
  <c r="H642" i="43"/>
  <c r="K641" i="43"/>
  <c r="J641" i="43"/>
  <c r="I641" i="43"/>
  <c r="H641" i="43"/>
  <c r="K640" i="43"/>
  <c r="J640" i="43"/>
  <c r="I640" i="43"/>
  <c r="H640" i="43"/>
  <c r="K639" i="43"/>
  <c r="J639" i="43"/>
  <c r="I639" i="43"/>
  <c r="H639" i="43"/>
  <c r="K638" i="43"/>
  <c r="J638" i="43"/>
  <c r="I638" i="43"/>
  <c r="H638" i="43"/>
  <c r="K637" i="43"/>
  <c r="J637" i="43"/>
  <c r="I637" i="43"/>
  <c r="H637" i="43"/>
  <c r="K636" i="43"/>
  <c r="J636" i="43"/>
  <c r="I636" i="43"/>
  <c r="H636" i="43"/>
  <c r="K635" i="43"/>
  <c r="J635" i="43"/>
  <c r="I635" i="43"/>
  <c r="H635" i="43"/>
  <c r="K634" i="43"/>
  <c r="J634" i="43"/>
  <c r="I634" i="43"/>
  <c r="H634" i="43"/>
  <c r="K633" i="43"/>
  <c r="J633" i="43"/>
  <c r="I633" i="43"/>
  <c r="H633" i="43"/>
  <c r="K632" i="43"/>
  <c r="J632" i="43"/>
  <c r="I632" i="43"/>
  <c r="H632" i="43"/>
  <c r="K631" i="43"/>
  <c r="J631" i="43"/>
  <c r="I631" i="43"/>
  <c r="H631" i="43"/>
  <c r="K630" i="43"/>
  <c r="J630" i="43"/>
  <c r="I630" i="43"/>
  <c r="H630" i="43"/>
  <c r="K629" i="43"/>
  <c r="J629" i="43"/>
  <c r="I629" i="43"/>
  <c r="H629" i="43"/>
  <c r="K628" i="43"/>
  <c r="J628" i="43"/>
  <c r="I628" i="43"/>
  <c r="H628" i="43"/>
  <c r="K627" i="43"/>
  <c r="J627" i="43"/>
  <c r="I627" i="43"/>
  <c r="H627" i="43"/>
  <c r="K626" i="43"/>
  <c r="J626" i="43"/>
  <c r="I626" i="43"/>
  <c r="H626" i="43"/>
  <c r="K625" i="43"/>
  <c r="J625" i="43"/>
  <c r="I625" i="43"/>
  <c r="H625" i="43"/>
  <c r="K624" i="43"/>
  <c r="J624" i="43"/>
  <c r="I624" i="43"/>
  <c r="H624" i="43"/>
  <c r="K623" i="43"/>
  <c r="J623" i="43"/>
  <c r="I623" i="43"/>
  <c r="H623" i="43"/>
  <c r="K622" i="43"/>
  <c r="J622" i="43"/>
  <c r="I622" i="43"/>
  <c r="H622" i="43"/>
  <c r="K621" i="43"/>
  <c r="J621" i="43"/>
  <c r="I621" i="43"/>
  <c r="H621" i="43"/>
  <c r="K620" i="43"/>
  <c r="J620" i="43"/>
  <c r="I620" i="43"/>
  <c r="H620" i="43"/>
  <c r="K619" i="43"/>
  <c r="J619" i="43"/>
  <c r="I619" i="43"/>
  <c r="H619" i="43"/>
  <c r="K618" i="43"/>
  <c r="J618" i="43"/>
  <c r="I618" i="43"/>
  <c r="H618" i="43"/>
  <c r="K617" i="43"/>
  <c r="J617" i="43"/>
  <c r="I617" i="43"/>
  <c r="H617" i="43"/>
  <c r="K616" i="43"/>
  <c r="J616" i="43"/>
  <c r="I616" i="43"/>
  <c r="H616" i="43"/>
  <c r="K615" i="43"/>
  <c r="J615" i="43"/>
  <c r="I615" i="43"/>
  <c r="H615" i="43"/>
  <c r="K614" i="43"/>
  <c r="J614" i="43"/>
  <c r="I614" i="43"/>
  <c r="H614" i="43"/>
  <c r="K613" i="43"/>
  <c r="J613" i="43"/>
  <c r="I613" i="43"/>
  <c r="H613" i="43"/>
  <c r="K612" i="43"/>
  <c r="J612" i="43"/>
  <c r="I612" i="43"/>
  <c r="H612" i="43"/>
  <c r="K611" i="43"/>
  <c r="J611" i="43"/>
  <c r="I611" i="43"/>
  <c r="H611" i="43"/>
  <c r="K610" i="43"/>
  <c r="J610" i="43"/>
  <c r="I610" i="43"/>
  <c r="H610" i="43"/>
  <c r="K609" i="43"/>
  <c r="J609" i="43"/>
  <c r="I609" i="43"/>
  <c r="H609" i="43"/>
  <c r="K608" i="43"/>
  <c r="J608" i="43"/>
  <c r="I608" i="43"/>
  <c r="H608" i="43"/>
  <c r="K607" i="43"/>
  <c r="J607" i="43"/>
  <c r="I607" i="43"/>
  <c r="H607" i="43"/>
  <c r="K606" i="43"/>
  <c r="J606" i="43"/>
  <c r="I606" i="43"/>
  <c r="H606" i="43"/>
  <c r="K605" i="43"/>
  <c r="J605" i="43"/>
  <c r="I605" i="43"/>
  <c r="H605" i="43"/>
  <c r="E14" i="66" s="1"/>
  <c r="K604" i="43"/>
  <c r="J604" i="43"/>
  <c r="I604" i="43"/>
  <c r="H604" i="43"/>
  <c r="K603" i="43"/>
  <c r="J603" i="43"/>
  <c r="I603" i="43"/>
  <c r="H603" i="43"/>
  <c r="K602" i="43"/>
  <c r="J602" i="43"/>
  <c r="I602" i="43"/>
  <c r="H602" i="43"/>
  <c r="K601" i="43"/>
  <c r="J601" i="43"/>
  <c r="I601" i="43"/>
  <c r="H601" i="43"/>
  <c r="K600" i="43"/>
  <c r="J600" i="43"/>
  <c r="I600" i="43"/>
  <c r="H600" i="43"/>
  <c r="K599" i="43"/>
  <c r="J599" i="43"/>
  <c r="I599" i="43"/>
  <c r="H599" i="43"/>
  <c r="K598" i="43"/>
  <c r="J598" i="43"/>
  <c r="I598" i="43"/>
  <c r="H598" i="43"/>
  <c r="K597" i="43"/>
  <c r="J597" i="43"/>
  <c r="I597" i="43"/>
  <c r="H597" i="43"/>
  <c r="K596" i="43"/>
  <c r="J596" i="43"/>
  <c r="I596" i="43"/>
  <c r="H596" i="43"/>
  <c r="K595" i="43"/>
  <c r="J595" i="43"/>
  <c r="I595" i="43"/>
  <c r="H595" i="43"/>
  <c r="K594" i="43"/>
  <c r="J594" i="43"/>
  <c r="I594" i="43"/>
  <c r="H594" i="43"/>
  <c r="K593" i="43"/>
  <c r="J593" i="43"/>
  <c r="I593" i="43"/>
  <c r="H593" i="43"/>
  <c r="K592" i="43"/>
  <c r="J592" i="43"/>
  <c r="I592" i="43"/>
  <c r="H592" i="43"/>
  <c r="K591" i="43"/>
  <c r="J591" i="43"/>
  <c r="I591" i="43"/>
  <c r="H591" i="43"/>
  <c r="K590" i="43"/>
  <c r="J590" i="43"/>
  <c r="I590" i="43"/>
  <c r="H590" i="43"/>
  <c r="K589" i="43"/>
  <c r="J589" i="43"/>
  <c r="I589" i="43"/>
  <c r="H589" i="43"/>
  <c r="K588" i="43"/>
  <c r="J588" i="43"/>
  <c r="I588" i="43"/>
  <c r="H588" i="43"/>
  <c r="K587" i="43"/>
  <c r="J587" i="43"/>
  <c r="I587" i="43"/>
  <c r="H587" i="43"/>
  <c r="K586" i="43"/>
  <c r="J586" i="43"/>
  <c r="I586" i="43"/>
  <c r="H586" i="43"/>
  <c r="K585" i="43"/>
  <c r="J585" i="43"/>
  <c r="I585" i="43"/>
  <c r="H585" i="43"/>
  <c r="K584" i="43"/>
  <c r="J584" i="43"/>
  <c r="I584" i="43"/>
  <c r="H584" i="43"/>
  <c r="K583" i="43"/>
  <c r="J583" i="43"/>
  <c r="I583" i="43"/>
  <c r="H583" i="43"/>
  <c r="K582" i="43"/>
  <c r="J582" i="43"/>
  <c r="I582" i="43"/>
  <c r="H582" i="43"/>
  <c r="K581" i="43"/>
  <c r="J581" i="43"/>
  <c r="I581" i="43"/>
  <c r="H581" i="43"/>
  <c r="K580" i="43"/>
  <c r="J580" i="43"/>
  <c r="I580" i="43"/>
  <c r="H580" i="43"/>
  <c r="K579" i="43"/>
  <c r="J579" i="43"/>
  <c r="I579" i="43"/>
  <c r="H579" i="43"/>
  <c r="K578" i="43"/>
  <c r="J578" i="43"/>
  <c r="I578" i="43"/>
  <c r="H578" i="43"/>
  <c r="K577" i="43"/>
  <c r="J577" i="43"/>
  <c r="I577" i="43"/>
  <c r="H577" i="43"/>
  <c r="K576" i="43"/>
  <c r="J576" i="43"/>
  <c r="I576" i="43"/>
  <c r="H576" i="43"/>
  <c r="K575" i="43"/>
  <c r="J575" i="43"/>
  <c r="I575" i="43"/>
  <c r="H575" i="43"/>
  <c r="K574" i="43"/>
  <c r="J574" i="43"/>
  <c r="I574" i="43"/>
  <c r="H574" i="43"/>
  <c r="K573" i="43"/>
  <c r="J573" i="43"/>
  <c r="I573" i="43"/>
  <c r="H573" i="43"/>
  <c r="K572" i="43"/>
  <c r="J572" i="43"/>
  <c r="I572" i="43"/>
  <c r="H572" i="43"/>
  <c r="K571" i="43"/>
  <c r="J571" i="43"/>
  <c r="I571" i="43"/>
  <c r="H571" i="43"/>
  <c r="K570" i="43"/>
  <c r="J570" i="43"/>
  <c r="I570" i="43"/>
  <c r="H570" i="43"/>
  <c r="K569" i="43"/>
  <c r="J569" i="43"/>
  <c r="I569" i="43"/>
  <c r="H569" i="43"/>
  <c r="K568" i="43"/>
  <c r="J568" i="43"/>
  <c r="I568" i="43"/>
  <c r="H568" i="43"/>
  <c r="K567" i="43"/>
  <c r="J567" i="43"/>
  <c r="I567" i="43"/>
  <c r="H567" i="43"/>
  <c r="K566" i="43"/>
  <c r="J566" i="43"/>
  <c r="I566" i="43"/>
  <c r="H566" i="43"/>
  <c r="K565" i="43"/>
  <c r="J565" i="43"/>
  <c r="I565" i="43"/>
  <c r="H565" i="43"/>
  <c r="K564" i="43"/>
  <c r="J564" i="43"/>
  <c r="I564" i="43"/>
  <c r="H564" i="43"/>
  <c r="K563" i="43"/>
  <c r="J563" i="43"/>
  <c r="I563" i="43"/>
  <c r="H563" i="43"/>
  <c r="K562" i="43"/>
  <c r="J562" i="43"/>
  <c r="I562" i="43"/>
  <c r="H562" i="43"/>
  <c r="K561" i="43"/>
  <c r="J561" i="43"/>
  <c r="I561" i="43"/>
  <c r="H561" i="43"/>
  <c r="K560" i="43"/>
  <c r="J560" i="43"/>
  <c r="I560" i="43"/>
  <c r="H560" i="43"/>
  <c r="K559" i="43"/>
  <c r="J559" i="43"/>
  <c r="I559" i="43"/>
  <c r="H559" i="43"/>
  <c r="K558" i="43"/>
  <c r="J558" i="43"/>
  <c r="I558" i="43"/>
  <c r="H558" i="43"/>
  <c r="K557" i="43"/>
  <c r="J557" i="43"/>
  <c r="I557" i="43"/>
  <c r="H557" i="43"/>
  <c r="K556" i="43"/>
  <c r="J556" i="43"/>
  <c r="I556" i="43"/>
  <c r="H556" i="43"/>
  <c r="K555" i="43"/>
  <c r="J555" i="43"/>
  <c r="I555" i="43"/>
  <c r="H555" i="43"/>
  <c r="K554" i="43"/>
  <c r="J554" i="43"/>
  <c r="I554" i="43"/>
  <c r="H554" i="43"/>
  <c r="K553" i="43"/>
  <c r="J553" i="43"/>
  <c r="I553" i="43"/>
  <c r="H553" i="43"/>
  <c r="K552" i="43"/>
  <c r="J552" i="43"/>
  <c r="I552" i="43"/>
  <c r="H552" i="43"/>
  <c r="K551" i="43"/>
  <c r="J551" i="43"/>
  <c r="I551" i="43"/>
  <c r="H551" i="43"/>
  <c r="K550" i="43"/>
  <c r="J550" i="43"/>
  <c r="I550" i="43"/>
  <c r="H550" i="43"/>
  <c r="K549" i="43"/>
  <c r="J549" i="43"/>
  <c r="I549" i="43"/>
  <c r="H549" i="43"/>
  <c r="K548" i="43"/>
  <c r="J548" i="43"/>
  <c r="I548" i="43"/>
  <c r="H548" i="43"/>
  <c r="K547" i="43"/>
  <c r="J547" i="43"/>
  <c r="I547" i="43"/>
  <c r="H547" i="43"/>
  <c r="K546" i="43"/>
  <c r="J546" i="43"/>
  <c r="I546" i="43"/>
  <c r="H546" i="43"/>
  <c r="K545" i="43"/>
  <c r="J545" i="43"/>
  <c r="I545" i="43"/>
  <c r="H545" i="43"/>
  <c r="K544" i="43"/>
  <c r="J544" i="43"/>
  <c r="I544" i="43"/>
  <c r="H544" i="43"/>
  <c r="K543" i="43"/>
  <c r="J543" i="43"/>
  <c r="I543" i="43"/>
  <c r="H543" i="43"/>
  <c r="K542" i="43"/>
  <c r="J542" i="43"/>
  <c r="I542" i="43"/>
  <c r="H542" i="43"/>
  <c r="K541" i="43"/>
  <c r="J541" i="43"/>
  <c r="I541" i="43"/>
  <c r="H541" i="43"/>
  <c r="K540" i="43"/>
  <c r="J540" i="43"/>
  <c r="I540" i="43"/>
  <c r="H540" i="43"/>
  <c r="K539" i="43"/>
  <c r="J539" i="43"/>
  <c r="I539" i="43"/>
  <c r="H539" i="43"/>
  <c r="K538" i="43"/>
  <c r="J538" i="43"/>
  <c r="I538" i="43"/>
  <c r="H538" i="43"/>
  <c r="K537" i="43"/>
  <c r="J537" i="43"/>
  <c r="I537" i="43"/>
  <c r="H537" i="43"/>
  <c r="K536" i="43"/>
  <c r="J536" i="43"/>
  <c r="I536" i="43"/>
  <c r="H536" i="43"/>
  <c r="K535" i="43"/>
  <c r="J535" i="43"/>
  <c r="I535" i="43"/>
  <c r="H535" i="43"/>
  <c r="K534" i="43"/>
  <c r="J534" i="43"/>
  <c r="I534" i="43"/>
  <c r="H534" i="43"/>
  <c r="K533" i="43"/>
  <c r="J533" i="43"/>
  <c r="I533" i="43"/>
  <c r="H533" i="43"/>
  <c r="K532" i="43"/>
  <c r="J532" i="43"/>
  <c r="I532" i="43"/>
  <c r="H532" i="43"/>
  <c r="K531" i="43"/>
  <c r="J531" i="43"/>
  <c r="I531" i="43"/>
  <c r="H531" i="43"/>
  <c r="K530" i="43"/>
  <c r="J530" i="43"/>
  <c r="I530" i="43"/>
  <c r="H530" i="43"/>
  <c r="K529" i="43"/>
  <c r="J529" i="43"/>
  <c r="I529" i="43"/>
  <c r="H529" i="43"/>
  <c r="K528" i="43"/>
  <c r="J528" i="43"/>
  <c r="I528" i="43"/>
  <c r="H528" i="43"/>
  <c r="K527" i="43"/>
  <c r="J527" i="43"/>
  <c r="I527" i="43"/>
  <c r="H527" i="43"/>
  <c r="K526" i="43"/>
  <c r="J526" i="43"/>
  <c r="I526" i="43"/>
  <c r="H526" i="43"/>
  <c r="K525" i="43"/>
  <c r="J525" i="43"/>
  <c r="I525" i="43"/>
  <c r="H525" i="43"/>
  <c r="K524" i="43"/>
  <c r="J524" i="43"/>
  <c r="I524" i="43"/>
  <c r="H524" i="43"/>
  <c r="K523" i="43"/>
  <c r="J523" i="43"/>
  <c r="I523" i="43"/>
  <c r="H523" i="43"/>
  <c r="K522" i="43"/>
  <c r="J522" i="43"/>
  <c r="I522" i="43"/>
  <c r="H522" i="43"/>
  <c r="K521" i="43"/>
  <c r="J521" i="43"/>
  <c r="I521" i="43"/>
  <c r="H521" i="43"/>
  <c r="K520" i="43"/>
  <c r="J520" i="43"/>
  <c r="I520" i="43"/>
  <c r="H520" i="43"/>
  <c r="K519" i="43"/>
  <c r="J519" i="43"/>
  <c r="I519" i="43"/>
  <c r="H519" i="43"/>
  <c r="K518" i="43"/>
  <c r="J518" i="43"/>
  <c r="I518" i="43"/>
  <c r="H518" i="43"/>
  <c r="K517" i="43"/>
  <c r="J517" i="43"/>
  <c r="I517" i="43"/>
  <c r="H517" i="43"/>
  <c r="K516" i="43"/>
  <c r="J516" i="43"/>
  <c r="I516" i="43"/>
  <c r="H516" i="43"/>
  <c r="K515" i="43"/>
  <c r="J515" i="43"/>
  <c r="I515" i="43"/>
  <c r="H515" i="43"/>
  <c r="K514" i="43"/>
  <c r="J514" i="43"/>
  <c r="I514" i="43"/>
  <c r="H514" i="43"/>
  <c r="K513" i="43"/>
  <c r="J513" i="43"/>
  <c r="I513" i="43"/>
  <c r="H513" i="43"/>
  <c r="K512" i="43"/>
  <c r="J512" i="43"/>
  <c r="I512" i="43"/>
  <c r="H512" i="43"/>
  <c r="K511" i="43"/>
  <c r="J511" i="43"/>
  <c r="I511" i="43"/>
  <c r="H511" i="43"/>
  <c r="K510" i="43"/>
  <c r="J510" i="43"/>
  <c r="I510" i="43"/>
  <c r="H510" i="43"/>
  <c r="K509" i="43"/>
  <c r="J509" i="43"/>
  <c r="I509" i="43"/>
  <c r="H509" i="43"/>
  <c r="K508" i="43"/>
  <c r="J508" i="43"/>
  <c r="I508" i="43"/>
  <c r="H508" i="43"/>
  <c r="K507" i="43"/>
  <c r="J507" i="43"/>
  <c r="I507" i="43"/>
  <c r="H507" i="43"/>
  <c r="K506" i="43"/>
  <c r="J506" i="43"/>
  <c r="I506" i="43"/>
  <c r="H506" i="43"/>
  <c r="K505" i="43"/>
  <c r="J505" i="43"/>
  <c r="I505" i="43"/>
  <c r="H505" i="43"/>
  <c r="K504" i="43"/>
  <c r="J504" i="43"/>
  <c r="I504" i="43"/>
  <c r="H504" i="43"/>
  <c r="K503" i="43"/>
  <c r="J503" i="43"/>
  <c r="I503" i="43"/>
  <c r="H503" i="43"/>
  <c r="K502" i="43"/>
  <c r="J502" i="43"/>
  <c r="I502" i="43"/>
  <c r="H502" i="43"/>
  <c r="K501" i="43"/>
  <c r="J501" i="43"/>
  <c r="I501" i="43"/>
  <c r="H501" i="43"/>
  <c r="K500" i="43"/>
  <c r="J500" i="43"/>
  <c r="I500" i="43"/>
  <c r="H500" i="43"/>
  <c r="K499" i="43"/>
  <c r="J499" i="43"/>
  <c r="I499" i="43"/>
  <c r="H499" i="43"/>
  <c r="K498" i="43"/>
  <c r="J498" i="43"/>
  <c r="I498" i="43"/>
  <c r="H498" i="43"/>
  <c r="K497" i="43"/>
  <c r="J497" i="43"/>
  <c r="I497" i="43"/>
  <c r="H497" i="43"/>
  <c r="K496" i="43"/>
  <c r="J496" i="43"/>
  <c r="I496" i="43"/>
  <c r="H496" i="43"/>
  <c r="K495" i="43"/>
  <c r="J495" i="43"/>
  <c r="I495" i="43"/>
  <c r="H495" i="43"/>
  <c r="K494" i="43"/>
  <c r="J494" i="43"/>
  <c r="I494" i="43"/>
  <c r="H494" i="43"/>
  <c r="K493" i="43"/>
  <c r="J493" i="43"/>
  <c r="I493" i="43"/>
  <c r="H493" i="43"/>
  <c r="K492" i="43"/>
  <c r="J492" i="43"/>
  <c r="I492" i="43"/>
  <c r="H492" i="43"/>
  <c r="K491" i="43"/>
  <c r="J491" i="43"/>
  <c r="I491" i="43"/>
  <c r="H491" i="43"/>
  <c r="K490" i="43"/>
  <c r="J490" i="43"/>
  <c r="I490" i="43"/>
  <c r="H490" i="43"/>
  <c r="K489" i="43"/>
  <c r="J489" i="43"/>
  <c r="I489" i="43"/>
  <c r="H489" i="43"/>
  <c r="K488" i="43"/>
  <c r="J488" i="43"/>
  <c r="I488" i="43"/>
  <c r="H488" i="43"/>
  <c r="K487" i="43"/>
  <c r="J487" i="43"/>
  <c r="I487" i="43"/>
  <c r="H487" i="43"/>
  <c r="K486" i="43"/>
  <c r="J486" i="43"/>
  <c r="I486" i="43"/>
  <c r="H486" i="43"/>
  <c r="K485" i="43"/>
  <c r="J485" i="43"/>
  <c r="I485" i="43"/>
  <c r="H485" i="43"/>
  <c r="K484" i="43"/>
  <c r="J484" i="43"/>
  <c r="I484" i="43"/>
  <c r="H484" i="43"/>
  <c r="K483" i="43"/>
  <c r="J483" i="43"/>
  <c r="I483" i="43"/>
  <c r="H483" i="43"/>
  <c r="K482" i="43"/>
  <c r="J482" i="43"/>
  <c r="I482" i="43"/>
  <c r="H482" i="43"/>
  <c r="K481" i="43"/>
  <c r="J481" i="43"/>
  <c r="I481" i="43"/>
  <c r="H481" i="43"/>
  <c r="K480" i="43"/>
  <c r="J480" i="43"/>
  <c r="I480" i="43"/>
  <c r="H480" i="43"/>
  <c r="K479" i="43"/>
  <c r="J479" i="43"/>
  <c r="I479" i="43"/>
  <c r="H479" i="43"/>
  <c r="K478" i="43"/>
  <c r="J478" i="43"/>
  <c r="I478" i="43"/>
  <c r="H478" i="43"/>
  <c r="K477" i="43"/>
  <c r="J477" i="43"/>
  <c r="I477" i="43"/>
  <c r="H477" i="43"/>
  <c r="K476" i="43"/>
  <c r="J476" i="43"/>
  <c r="I476" i="43"/>
  <c r="H476" i="43"/>
  <c r="K475" i="43"/>
  <c r="J475" i="43"/>
  <c r="I475" i="43"/>
  <c r="H475" i="43"/>
  <c r="K474" i="43"/>
  <c r="J474" i="43"/>
  <c r="I474" i="43"/>
  <c r="H474" i="43"/>
  <c r="K473" i="43"/>
  <c r="J473" i="43"/>
  <c r="I473" i="43"/>
  <c r="H473" i="43"/>
  <c r="K472" i="43"/>
  <c r="J472" i="43"/>
  <c r="I472" i="43"/>
  <c r="H472" i="43"/>
  <c r="K471" i="43"/>
  <c r="J471" i="43"/>
  <c r="I471" i="43"/>
  <c r="H471" i="43"/>
  <c r="K470" i="43"/>
  <c r="J470" i="43"/>
  <c r="I470" i="43"/>
  <c r="H470" i="43"/>
  <c r="K469" i="43"/>
  <c r="J469" i="43"/>
  <c r="I469" i="43"/>
  <c r="H469" i="43"/>
  <c r="K468" i="43"/>
  <c r="J468" i="43"/>
  <c r="I468" i="43"/>
  <c r="H468" i="43"/>
  <c r="K467" i="43"/>
  <c r="J467" i="43"/>
  <c r="I467" i="43"/>
  <c r="H467" i="43"/>
  <c r="K466" i="43"/>
  <c r="J466" i="43"/>
  <c r="I466" i="43"/>
  <c r="H466" i="43"/>
  <c r="K465" i="43"/>
  <c r="J465" i="43"/>
  <c r="I465" i="43"/>
  <c r="H465" i="43"/>
  <c r="K464" i="43"/>
  <c r="J464" i="43"/>
  <c r="I464" i="43"/>
  <c r="H464" i="43"/>
  <c r="K463" i="43"/>
  <c r="J463" i="43"/>
  <c r="I463" i="43"/>
  <c r="H463" i="43"/>
  <c r="K462" i="43"/>
  <c r="J462" i="43"/>
  <c r="I462" i="43"/>
  <c r="H462" i="43"/>
  <c r="K461" i="43"/>
  <c r="J461" i="43"/>
  <c r="I461" i="43"/>
  <c r="H461" i="43"/>
  <c r="K460" i="43"/>
  <c r="J460" i="43"/>
  <c r="I460" i="43"/>
  <c r="H460" i="43"/>
  <c r="K459" i="43"/>
  <c r="J459" i="43"/>
  <c r="I459" i="43"/>
  <c r="H459" i="43"/>
  <c r="K458" i="43"/>
  <c r="J458" i="43"/>
  <c r="I458" i="43"/>
  <c r="H458" i="43"/>
  <c r="K457" i="43"/>
  <c r="J457" i="43"/>
  <c r="I457" i="43"/>
  <c r="H457" i="43"/>
  <c r="K456" i="43"/>
  <c r="J456" i="43"/>
  <c r="I456" i="43"/>
  <c r="H456" i="43"/>
  <c r="K455" i="43"/>
  <c r="J455" i="43"/>
  <c r="I455" i="43"/>
  <c r="H455" i="43"/>
  <c r="K454" i="43"/>
  <c r="J454" i="43"/>
  <c r="I454" i="43"/>
  <c r="H454" i="43"/>
  <c r="K453" i="43"/>
  <c r="J453" i="43"/>
  <c r="I453" i="43"/>
  <c r="H453" i="43"/>
  <c r="K452" i="43"/>
  <c r="J452" i="43"/>
  <c r="I452" i="43"/>
  <c r="H452" i="43"/>
  <c r="K451" i="43"/>
  <c r="J451" i="43"/>
  <c r="I451" i="43"/>
  <c r="H451" i="43"/>
  <c r="K450" i="43"/>
  <c r="J450" i="43"/>
  <c r="I450" i="43"/>
  <c r="H450" i="43"/>
  <c r="K449" i="43"/>
  <c r="J449" i="43"/>
  <c r="I449" i="43"/>
  <c r="H449" i="43"/>
  <c r="K448" i="43"/>
  <c r="J448" i="43"/>
  <c r="I448" i="43"/>
  <c r="H448" i="43"/>
  <c r="K447" i="43"/>
  <c r="J447" i="43"/>
  <c r="I447" i="43"/>
  <c r="H447" i="43"/>
  <c r="K446" i="43"/>
  <c r="J446" i="43"/>
  <c r="I446" i="43"/>
  <c r="H446" i="43"/>
  <c r="K445" i="43"/>
  <c r="J445" i="43"/>
  <c r="I445" i="43"/>
  <c r="H445" i="43"/>
  <c r="K444" i="43"/>
  <c r="J444" i="43"/>
  <c r="I444" i="43"/>
  <c r="H444" i="43"/>
  <c r="K443" i="43"/>
  <c r="J443" i="43"/>
  <c r="I443" i="43"/>
  <c r="H443" i="43"/>
  <c r="K442" i="43"/>
  <c r="J442" i="43"/>
  <c r="I442" i="43"/>
  <c r="H442" i="43"/>
  <c r="K441" i="43"/>
  <c r="J441" i="43"/>
  <c r="I441" i="43"/>
  <c r="H441" i="43"/>
  <c r="K440" i="43"/>
  <c r="J440" i="43"/>
  <c r="I440" i="43"/>
  <c r="H440" i="43"/>
  <c r="K439" i="43"/>
  <c r="J439" i="43"/>
  <c r="I439" i="43"/>
  <c r="H439" i="43"/>
  <c r="K438" i="43"/>
  <c r="J438" i="43"/>
  <c r="I438" i="43"/>
  <c r="H438" i="43"/>
  <c r="K437" i="43"/>
  <c r="J437" i="43"/>
  <c r="I437" i="43"/>
  <c r="H437" i="43"/>
  <c r="K436" i="43"/>
  <c r="J436" i="43"/>
  <c r="I436" i="43"/>
  <c r="H436" i="43"/>
  <c r="K435" i="43"/>
  <c r="J435" i="43"/>
  <c r="I435" i="43"/>
  <c r="H435" i="43"/>
  <c r="K434" i="43"/>
  <c r="J434" i="43"/>
  <c r="I434" i="43"/>
  <c r="H434" i="43"/>
  <c r="K433" i="43"/>
  <c r="J433" i="43"/>
  <c r="I433" i="43"/>
  <c r="H433" i="43"/>
  <c r="K432" i="43"/>
  <c r="J432" i="43"/>
  <c r="I432" i="43"/>
  <c r="H432" i="43"/>
  <c r="K431" i="43"/>
  <c r="J431" i="43"/>
  <c r="I431" i="43"/>
  <c r="H431" i="43"/>
  <c r="K430" i="43"/>
  <c r="J430" i="43"/>
  <c r="I430" i="43"/>
  <c r="H430" i="43"/>
  <c r="K429" i="43"/>
  <c r="J429" i="43"/>
  <c r="I429" i="43"/>
  <c r="H429" i="43"/>
  <c r="K428" i="43"/>
  <c r="J428" i="43"/>
  <c r="I428" i="43"/>
  <c r="H428" i="43"/>
  <c r="K427" i="43"/>
  <c r="J427" i="43"/>
  <c r="I427" i="43"/>
  <c r="H427" i="43"/>
  <c r="K426" i="43"/>
  <c r="J426" i="43"/>
  <c r="I426" i="43"/>
  <c r="H426" i="43"/>
  <c r="K425" i="43"/>
  <c r="J425" i="43"/>
  <c r="I425" i="43"/>
  <c r="H425" i="43"/>
  <c r="K424" i="43"/>
  <c r="J424" i="43"/>
  <c r="I424" i="43"/>
  <c r="H424" i="43"/>
  <c r="K423" i="43"/>
  <c r="J423" i="43"/>
  <c r="I423" i="43"/>
  <c r="H423" i="43"/>
  <c r="K422" i="43"/>
  <c r="J422" i="43"/>
  <c r="I422" i="43"/>
  <c r="H422" i="43"/>
  <c r="K421" i="43"/>
  <c r="J421" i="43"/>
  <c r="I421" i="43"/>
  <c r="H421" i="43"/>
  <c r="K420" i="43"/>
  <c r="J420" i="43"/>
  <c r="I420" i="43"/>
  <c r="H420" i="43"/>
  <c r="K419" i="43"/>
  <c r="J419" i="43"/>
  <c r="I419" i="43"/>
  <c r="H419" i="43"/>
  <c r="K418" i="43"/>
  <c r="J418" i="43"/>
  <c r="I418" i="43"/>
  <c r="H418" i="43"/>
  <c r="K417" i="43"/>
  <c r="J417" i="43"/>
  <c r="I417" i="43"/>
  <c r="H417" i="43"/>
  <c r="K416" i="43"/>
  <c r="J416" i="43"/>
  <c r="I416" i="43"/>
  <c r="H416" i="43"/>
  <c r="K415" i="43"/>
  <c r="J415" i="43"/>
  <c r="I415" i="43"/>
  <c r="H415" i="43"/>
  <c r="K414" i="43"/>
  <c r="J414" i="43"/>
  <c r="I414" i="43"/>
  <c r="H414" i="43"/>
  <c r="K413" i="43"/>
  <c r="J413" i="43"/>
  <c r="I413" i="43"/>
  <c r="H413" i="43"/>
  <c r="K412" i="43"/>
  <c r="J412" i="43"/>
  <c r="I412" i="43"/>
  <c r="H412" i="43"/>
  <c r="K411" i="43"/>
  <c r="J411" i="43"/>
  <c r="I411" i="43"/>
  <c r="H411" i="43"/>
  <c r="K410" i="43"/>
  <c r="J410" i="43"/>
  <c r="I410" i="43"/>
  <c r="H410" i="43"/>
  <c r="K409" i="43"/>
  <c r="J409" i="43"/>
  <c r="I409" i="43"/>
  <c r="H409" i="43"/>
  <c r="K408" i="43"/>
  <c r="J408" i="43"/>
  <c r="I408" i="43"/>
  <c r="H408" i="43"/>
  <c r="K407" i="43"/>
  <c r="J407" i="43"/>
  <c r="I407" i="43"/>
  <c r="H407" i="43"/>
  <c r="K406" i="43"/>
  <c r="J406" i="43"/>
  <c r="I406" i="43"/>
  <c r="H406" i="43"/>
  <c r="K405" i="43"/>
  <c r="J405" i="43"/>
  <c r="I405" i="43"/>
  <c r="H405" i="43"/>
  <c r="K404" i="43"/>
  <c r="J404" i="43"/>
  <c r="I404" i="43"/>
  <c r="H404" i="43"/>
  <c r="K403" i="43"/>
  <c r="J403" i="43"/>
  <c r="I403" i="43"/>
  <c r="H403" i="43"/>
  <c r="K402" i="43"/>
  <c r="J402" i="43"/>
  <c r="I402" i="43"/>
  <c r="H402" i="43"/>
  <c r="K401" i="43"/>
  <c r="J401" i="43"/>
  <c r="I401" i="43"/>
  <c r="H401" i="43"/>
  <c r="K400" i="43"/>
  <c r="J400" i="43"/>
  <c r="I400" i="43"/>
  <c r="H400" i="43"/>
  <c r="K399" i="43"/>
  <c r="J399" i="43"/>
  <c r="I399" i="43"/>
  <c r="H399" i="43"/>
  <c r="K398" i="43"/>
  <c r="J398" i="43"/>
  <c r="I398" i="43"/>
  <c r="H398" i="43"/>
  <c r="K397" i="43"/>
  <c r="J397" i="43"/>
  <c r="I397" i="43"/>
  <c r="H397" i="43"/>
  <c r="K396" i="43"/>
  <c r="J396" i="43"/>
  <c r="I396" i="43"/>
  <c r="H396" i="43"/>
  <c r="K395" i="43"/>
  <c r="J395" i="43"/>
  <c r="I395" i="43"/>
  <c r="H395" i="43"/>
  <c r="K394" i="43"/>
  <c r="J394" i="43"/>
  <c r="I394" i="43"/>
  <c r="H394" i="43"/>
  <c r="K393" i="43"/>
  <c r="J393" i="43"/>
  <c r="I393" i="43"/>
  <c r="H393" i="43"/>
  <c r="K392" i="43"/>
  <c r="J392" i="43"/>
  <c r="I392" i="43"/>
  <c r="H392" i="43"/>
  <c r="K391" i="43"/>
  <c r="J391" i="43"/>
  <c r="I391" i="43"/>
  <c r="H391" i="43"/>
  <c r="K390" i="43"/>
  <c r="J390" i="43"/>
  <c r="I390" i="43"/>
  <c r="H390" i="43"/>
  <c r="K389" i="43"/>
  <c r="J389" i="43"/>
  <c r="I389" i="43"/>
  <c r="H389" i="43"/>
  <c r="K388" i="43"/>
  <c r="J388" i="43"/>
  <c r="I388" i="43"/>
  <c r="H388" i="43"/>
  <c r="K387" i="43"/>
  <c r="J387" i="43"/>
  <c r="I387" i="43"/>
  <c r="H387" i="43"/>
  <c r="K386" i="43"/>
  <c r="J386" i="43"/>
  <c r="I386" i="43"/>
  <c r="H386" i="43"/>
  <c r="K385" i="43"/>
  <c r="J385" i="43"/>
  <c r="I385" i="43"/>
  <c r="H385" i="43"/>
  <c r="K384" i="43"/>
  <c r="J384" i="43"/>
  <c r="I384" i="43"/>
  <c r="H384" i="43"/>
  <c r="K383" i="43"/>
  <c r="J383" i="43"/>
  <c r="I383" i="43"/>
  <c r="H383" i="43"/>
  <c r="K382" i="43"/>
  <c r="J382" i="43"/>
  <c r="I382" i="43"/>
  <c r="H382" i="43"/>
  <c r="K381" i="43"/>
  <c r="J381" i="43"/>
  <c r="I381" i="43"/>
  <c r="H381" i="43"/>
  <c r="K380" i="43"/>
  <c r="J380" i="43"/>
  <c r="I380" i="43"/>
  <c r="H380" i="43"/>
  <c r="K379" i="43"/>
  <c r="J379" i="43"/>
  <c r="I379" i="43"/>
  <c r="H379" i="43"/>
  <c r="K378" i="43"/>
  <c r="J378" i="43"/>
  <c r="I378" i="43"/>
  <c r="H378" i="43"/>
  <c r="K377" i="43"/>
  <c r="J377" i="43"/>
  <c r="I377" i="43"/>
  <c r="H377" i="43"/>
  <c r="K376" i="43"/>
  <c r="J376" i="43"/>
  <c r="I376" i="43"/>
  <c r="H376" i="43"/>
  <c r="K375" i="43"/>
  <c r="J375" i="43"/>
  <c r="I375" i="43"/>
  <c r="H375" i="43"/>
  <c r="K374" i="43"/>
  <c r="J374" i="43"/>
  <c r="I374" i="43"/>
  <c r="H374" i="43"/>
  <c r="K373" i="43"/>
  <c r="J373" i="43"/>
  <c r="I373" i="43"/>
  <c r="H373" i="43"/>
  <c r="K372" i="43"/>
  <c r="J372" i="43"/>
  <c r="I372" i="43"/>
  <c r="H372" i="43"/>
  <c r="K371" i="43"/>
  <c r="J371" i="43"/>
  <c r="I371" i="43"/>
  <c r="H371" i="43"/>
  <c r="K370" i="43"/>
  <c r="J370" i="43"/>
  <c r="I370" i="43"/>
  <c r="H370" i="43"/>
  <c r="K369" i="43"/>
  <c r="J369" i="43"/>
  <c r="I369" i="43"/>
  <c r="H369" i="43"/>
  <c r="K368" i="43"/>
  <c r="J368" i="43"/>
  <c r="I368" i="43"/>
  <c r="H368" i="43"/>
  <c r="K367" i="43"/>
  <c r="J367" i="43"/>
  <c r="I367" i="43"/>
  <c r="H367" i="43"/>
  <c r="K366" i="43"/>
  <c r="J366" i="43"/>
  <c r="I366" i="43"/>
  <c r="H366" i="43"/>
  <c r="K365" i="43"/>
  <c r="J365" i="43"/>
  <c r="I365" i="43"/>
  <c r="H365" i="43"/>
  <c r="K364" i="43"/>
  <c r="J364" i="43"/>
  <c r="I364" i="43"/>
  <c r="H364" i="43"/>
  <c r="K363" i="43"/>
  <c r="J363" i="43"/>
  <c r="I363" i="43"/>
  <c r="H363" i="43"/>
  <c r="K362" i="43"/>
  <c r="J362" i="43"/>
  <c r="I362" i="43"/>
  <c r="H362" i="43"/>
  <c r="K361" i="43"/>
  <c r="J361" i="43"/>
  <c r="I361" i="43"/>
  <c r="H361" i="43"/>
  <c r="K360" i="43"/>
  <c r="J360" i="43"/>
  <c r="I360" i="43"/>
  <c r="H360" i="43"/>
  <c r="K359" i="43"/>
  <c r="J359" i="43"/>
  <c r="I359" i="43"/>
  <c r="H359" i="43"/>
  <c r="K358" i="43"/>
  <c r="J358" i="43"/>
  <c r="I358" i="43"/>
  <c r="H358" i="43"/>
  <c r="K357" i="43"/>
  <c r="J357" i="43"/>
  <c r="I357" i="43"/>
  <c r="H357" i="43"/>
  <c r="K356" i="43"/>
  <c r="J356" i="43"/>
  <c r="I356" i="43"/>
  <c r="H356" i="43"/>
  <c r="K355" i="43"/>
  <c r="J355" i="43"/>
  <c r="I355" i="43"/>
  <c r="H355" i="43"/>
  <c r="K354" i="43"/>
  <c r="J354" i="43"/>
  <c r="I354" i="43"/>
  <c r="H354" i="43"/>
  <c r="K353" i="43"/>
  <c r="J353" i="43"/>
  <c r="I353" i="43"/>
  <c r="H353" i="43"/>
  <c r="K352" i="43"/>
  <c r="J352" i="43"/>
  <c r="I352" i="43"/>
  <c r="H352" i="43"/>
  <c r="K351" i="43"/>
  <c r="J351" i="43"/>
  <c r="I351" i="43"/>
  <c r="H351" i="43"/>
  <c r="K350" i="43"/>
  <c r="J350" i="43"/>
  <c r="I350" i="43"/>
  <c r="H350" i="43"/>
  <c r="K349" i="43"/>
  <c r="J349" i="43"/>
  <c r="I349" i="43"/>
  <c r="H349" i="43"/>
  <c r="K348" i="43"/>
  <c r="J348" i="43"/>
  <c r="I348" i="43"/>
  <c r="H348" i="43"/>
  <c r="K347" i="43"/>
  <c r="J347" i="43"/>
  <c r="I347" i="43"/>
  <c r="H347" i="43"/>
  <c r="K346" i="43"/>
  <c r="J346" i="43"/>
  <c r="I346" i="43"/>
  <c r="H346" i="43"/>
  <c r="K345" i="43"/>
  <c r="J345" i="43"/>
  <c r="I345" i="43"/>
  <c r="H345" i="43"/>
  <c r="K344" i="43"/>
  <c r="J344" i="43"/>
  <c r="I344" i="43"/>
  <c r="H344" i="43"/>
  <c r="K343" i="43"/>
  <c r="J343" i="43"/>
  <c r="I343" i="43"/>
  <c r="H343" i="43"/>
  <c r="K342" i="43"/>
  <c r="J342" i="43"/>
  <c r="I342" i="43"/>
  <c r="H342" i="43"/>
  <c r="K341" i="43"/>
  <c r="J341" i="43"/>
  <c r="I341" i="43"/>
  <c r="H341" i="43"/>
  <c r="K340" i="43"/>
  <c r="J340" i="43"/>
  <c r="I340" i="43"/>
  <c r="H340" i="43"/>
  <c r="K339" i="43"/>
  <c r="J339" i="43"/>
  <c r="I339" i="43"/>
  <c r="H339" i="43"/>
  <c r="K338" i="43"/>
  <c r="J338" i="43"/>
  <c r="I338" i="43"/>
  <c r="H338" i="43"/>
  <c r="K337" i="43"/>
  <c r="J337" i="43"/>
  <c r="I337" i="43"/>
  <c r="H337" i="43"/>
  <c r="K336" i="43"/>
  <c r="J336" i="43"/>
  <c r="I336" i="43"/>
  <c r="H336" i="43"/>
  <c r="K335" i="43"/>
  <c r="J335" i="43"/>
  <c r="I335" i="43"/>
  <c r="H335" i="43"/>
  <c r="K334" i="43"/>
  <c r="J334" i="43"/>
  <c r="I334" i="43"/>
  <c r="H334" i="43"/>
  <c r="K333" i="43"/>
  <c r="J333" i="43"/>
  <c r="I333" i="43"/>
  <c r="H333" i="43"/>
  <c r="K332" i="43"/>
  <c r="J332" i="43"/>
  <c r="I332" i="43"/>
  <c r="H332" i="43"/>
  <c r="K331" i="43"/>
  <c r="J331" i="43"/>
  <c r="I331" i="43"/>
  <c r="H331" i="43"/>
  <c r="K330" i="43"/>
  <c r="J330" i="43"/>
  <c r="I330" i="43"/>
  <c r="H330" i="43"/>
  <c r="K329" i="43"/>
  <c r="J329" i="43"/>
  <c r="I329" i="43"/>
  <c r="H329" i="43"/>
  <c r="K328" i="43"/>
  <c r="J328" i="43"/>
  <c r="I328" i="43"/>
  <c r="H328" i="43"/>
  <c r="K327" i="43"/>
  <c r="J327" i="43"/>
  <c r="I327" i="43"/>
  <c r="H327" i="43"/>
  <c r="K326" i="43"/>
  <c r="J326" i="43"/>
  <c r="I326" i="43"/>
  <c r="H326" i="43"/>
  <c r="K325" i="43"/>
  <c r="J325" i="43"/>
  <c r="I325" i="43"/>
  <c r="H325" i="43"/>
  <c r="K324" i="43"/>
  <c r="J324" i="43"/>
  <c r="I324" i="43"/>
  <c r="H324" i="43"/>
  <c r="K323" i="43"/>
  <c r="J323" i="43"/>
  <c r="I323" i="43"/>
  <c r="H323" i="43"/>
  <c r="K322" i="43"/>
  <c r="J322" i="43"/>
  <c r="I322" i="43"/>
  <c r="H322" i="43"/>
  <c r="K321" i="43"/>
  <c r="J321" i="43"/>
  <c r="I321" i="43"/>
  <c r="H321" i="43"/>
  <c r="K320" i="43"/>
  <c r="J320" i="43"/>
  <c r="I320" i="43"/>
  <c r="H320" i="43"/>
  <c r="K319" i="43"/>
  <c r="J319" i="43"/>
  <c r="I319" i="43"/>
  <c r="H319" i="43"/>
  <c r="K318" i="43"/>
  <c r="J318" i="43"/>
  <c r="I318" i="43"/>
  <c r="H318" i="43"/>
  <c r="K317" i="43"/>
  <c r="J317" i="43"/>
  <c r="I317" i="43"/>
  <c r="H317" i="43"/>
  <c r="K316" i="43"/>
  <c r="J316" i="43"/>
  <c r="I316" i="43"/>
  <c r="H316" i="43"/>
  <c r="K315" i="43"/>
  <c r="J315" i="43"/>
  <c r="I315" i="43"/>
  <c r="H315" i="43"/>
  <c r="K314" i="43"/>
  <c r="J314" i="43"/>
  <c r="I314" i="43"/>
  <c r="H314" i="43"/>
  <c r="K313" i="43"/>
  <c r="J313" i="43"/>
  <c r="I313" i="43"/>
  <c r="H313" i="43"/>
  <c r="K312" i="43"/>
  <c r="J312" i="43"/>
  <c r="I312" i="43"/>
  <c r="H312" i="43"/>
  <c r="K311" i="43"/>
  <c r="J311" i="43"/>
  <c r="I311" i="43"/>
  <c r="H311" i="43"/>
  <c r="K310" i="43"/>
  <c r="J310" i="43"/>
  <c r="I310" i="43"/>
  <c r="H310" i="43"/>
  <c r="K309" i="43"/>
  <c r="J309" i="43"/>
  <c r="I309" i="43"/>
  <c r="H309" i="43"/>
  <c r="K308" i="43"/>
  <c r="J308" i="43"/>
  <c r="I308" i="43"/>
  <c r="H308" i="43"/>
  <c r="K307" i="43"/>
  <c r="J307" i="43"/>
  <c r="I307" i="43"/>
  <c r="H307" i="43"/>
  <c r="K306" i="43"/>
  <c r="J306" i="43"/>
  <c r="I306" i="43"/>
  <c r="H306" i="43"/>
  <c r="K305" i="43"/>
  <c r="J305" i="43"/>
  <c r="I305" i="43"/>
  <c r="H305" i="43"/>
  <c r="K304" i="43"/>
  <c r="J304" i="43"/>
  <c r="I304" i="43"/>
  <c r="H304" i="43"/>
  <c r="K303" i="43"/>
  <c r="J303" i="43"/>
  <c r="I303" i="43"/>
  <c r="H303" i="43"/>
  <c r="K302" i="43"/>
  <c r="J302" i="43"/>
  <c r="I302" i="43"/>
  <c r="H302" i="43"/>
  <c r="K301" i="43"/>
  <c r="J301" i="43"/>
  <c r="I301" i="43"/>
  <c r="H301" i="43"/>
  <c r="K300" i="43"/>
  <c r="J300" i="43"/>
  <c r="I300" i="43"/>
  <c r="H300" i="43"/>
  <c r="K299" i="43"/>
  <c r="J299" i="43"/>
  <c r="I299" i="43"/>
  <c r="H299" i="43"/>
  <c r="K298" i="43"/>
  <c r="J298" i="43"/>
  <c r="I298" i="43"/>
  <c r="H298" i="43"/>
  <c r="K297" i="43"/>
  <c r="J297" i="43"/>
  <c r="I297" i="43"/>
  <c r="H297" i="43"/>
  <c r="K296" i="43"/>
  <c r="J296" i="43"/>
  <c r="I296" i="43"/>
  <c r="H296" i="43"/>
  <c r="K295" i="43"/>
  <c r="J295" i="43"/>
  <c r="I295" i="43"/>
  <c r="H295" i="43"/>
  <c r="K294" i="43"/>
  <c r="J294" i="43"/>
  <c r="I294" i="43"/>
  <c r="H294" i="43"/>
  <c r="K293" i="43"/>
  <c r="J293" i="43"/>
  <c r="I293" i="43"/>
  <c r="H293" i="43"/>
  <c r="K292" i="43"/>
  <c r="J292" i="43"/>
  <c r="I292" i="43"/>
  <c r="H292" i="43"/>
  <c r="K291" i="43"/>
  <c r="J291" i="43"/>
  <c r="I291" i="43"/>
  <c r="H291" i="43"/>
  <c r="K290" i="43"/>
  <c r="J290" i="43"/>
  <c r="I290" i="43"/>
  <c r="H290" i="43"/>
  <c r="K289" i="43"/>
  <c r="J289" i="43"/>
  <c r="I289" i="43"/>
  <c r="H289" i="43"/>
  <c r="K288" i="43"/>
  <c r="J288" i="43"/>
  <c r="I288" i="43"/>
  <c r="H288" i="43"/>
  <c r="K287" i="43"/>
  <c r="J287" i="43"/>
  <c r="I287" i="43"/>
  <c r="H287" i="43"/>
  <c r="K286" i="43"/>
  <c r="J286" i="43"/>
  <c r="I286" i="43"/>
  <c r="H286" i="43"/>
  <c r="K285" i="43"/>
  <c r="J285" i="43"/>
  <c r="I285" i="43"/>
  <c r="H285" i="43"/>
  <c r="K284" i="43"/>
  <c r="J284" i="43"/>
  <c r="I284" i="43"/>
  <c r="H284" i="43"/>
  <c r="K283" i="43"/>
  <c r="J283" i="43"/>
  <c r="I283" i="43"/>
  <c r="H283" i="43"/>
  <c r="K282" i="43"/>
  <c r="J282" i="43"/>
  <c r="I282" i="43"/>
  <c r="H282" i="43"/>
  <c r="K281" i="43"/>
  <c r="J281" i="43"/>
  <c r="I281" i="43"/>
  <c r="H281" i="43"/>
  <c r="K280" i="43"/>
  <c r="J280" i="43"/>
  <c r="I280" i="43"/>
  <c r="H280" i="43"/>
  <c r="K279" i="43"/>
  <c r="J279" i="43"/>
  <c r="I279" i="43"/>
  <c r="H279" i="43"/>
  <c r="K278" i="43"/>
  <c r="J278" i="43"/>
  <c r="I278" i="43"/>
  <c r="H278" i="43"/>
  <c r="K277" i="43"/>
  <c r="J277" i="43"/>
  <c r="I277" i="43"/>
  <c r="H277" i="43"/>
  <c r="K276" i="43"/>
  <c r="J276" i="43"/>
  <c r="I276" i="43"/>
  <c r="H276" i="43"/>
  <c r="K275" i="43"/>
  <c r="J275" i="43"/>
  <c r="I275" i="43"/>
  <c r="H275" i="43"/>
  <c r="K274" i="43"/>
  <c r="J274" i="43"/>
  <c r="I274" i="43"/>
  <c r="H274" i="43"/>
  <c r="K273" i="43"/>
  <c r="J273" i="43"/>
  <c r="I273" i="43"/>
  <c r="H273" i="43"/>
  <c r="K272" i="43"/>
  <c r="J272" i="43"/>
  <c r="I272" i="43"/>
  <c r="H272" i="43"/>
  <c r="K271" i="43"/>
  <c r="J271" i="43"/>
  <c r="I271" i="43"/>
  <c r="H271" i="43"/>
  <c r="K270" i="43"/>
  <c r="J270" i="43"/>
  <c r="I270" i="43"/>
  <c r="H270" i="43"/>
  <c r="K269" i="43"/>
  <c r="J269" i="43"/>
  <c r="I269" i="43"/>
  <c r="H269" i="43"/>
  <c r="K268" i="43"/>
  <c r="J268" i="43"/>
  <c r="I268" i="43"/>
  <c r="H268" i="43"/>
  <c r="K267" i="43"/>
  <c r="J267" i="43"/>
  <c r="I267" i="43"/>
  <c r="H267" i="43"/>
  <c r="K266" i="43"/>
  <c r="J266" i="43"/>
  <c r="I266" i="43"/>
  <c r="H266" i="43"/>
  <c r="K265" i="43"/>
  <c r="J265" i="43"/>
  <c r="I265" i="43"/>
  <c r="H265" i="43"/>
  <c r="K264" i="43"/>
  <c r="J264" i="43"/>
  <c r="I264" i="43"/>
  <c r="H264" i="43"/>
  <c r="K263" i="43"/>
  <c r="J263" i="43"/>
  <c r="I263" i="43"/>
  <c r="H263" i="43"/>
  <c r="K262" i="43"/>
  <c r="J262" i="43"/>
  <c r="I262" i="43"/>
  <c r="H262" i="43"/>
  <c r="K261" i="43"/>
  <c r="J261" i="43"/>
  <c r="I261" i="43"/>
  <c r="H261" i="43"/>
  <c r="K260" i="43"/>
  <c r="J260" i="43"/>
  <c r="I260" i="43"/>
  <c r="H260" i="43"/>
  <c r="K259" i="43"/>
  <c r="J259" i="43"/>
  <c r="I259" i="43"/>
  <c r="H259" i="43"/>
  <c r="K258" i="43"/>
  <c r="J258" i="43"/>
  <c r="I258" i="43"/>
  <c r="H258" i="43"/>
  <c r="K257" i="43"/>
  <c r="J257" i="43"/>
  <c r="I257" i="43"/>
  <c r="H257" i="43"/>
  <c r="K256" i="43"/>
  <c r="J256" i="43"/>
  <c r="I256" i="43"/>
  <c r="H256" i="43"/>
  <c r="K255" i="43"/>
  <c r="J255" i="43"/>
  <c r="I255" i="43"/>
  <c r="H255" i="43"/>
  <c r="K254" i="43"/>
  <c r="J254" i="43"/>
  <c r="I254" i="43"/>
  <c r="H254" i="43"/>
  <c r="K253" i="43"/>
  <c r="J253" i="43"/>
  <c r="I253" i="43"/>
  <c r="H253" i="43"/>
  <c r="K252" i="43"/>
  <c r="J252" i="43"/>
  <c r="I252" i="43"/>
  <c r="H252" i="43"/>
  <c r="K251" i="43"/>
  <c r="J251" i="43"/>
  <c r="I251" i="43"/>
  <c r="H251" i="43"/>
  <c r="K250" i="43"/>
  <c r="J250" i="43"/>
  <c r="I250" i="43"/>
  <c r="H250" i="43"/>
  <c r="K249" i="43"/>
  <c r="J249" i="43"/>
  <c r="I249" i="43"/>
  <c r="H249" i="43"/>
  <c r="K248" i="43"/>
  <c r="J248" i="43"/>
  <c r="I248" i="43"/>
  <c r="H248" i="43"/>
  <c r="K247" i="43"/>
  <c r="J247" i="43"/>
  <c r="I247" i="43"/>
  <c r="H247" i="43"/>
  <c r="K246" i="43"/>
  <c r="J246" i="43"/>
  <c r="I246" i="43"/>
  <c r="H246" i="43"/>
  <c r="K245" i="43"/>
  <c r="J245" i="43"/>
  <c r="I245" i="43"/>
  <c r="H245" i="43"/>
  <c r="K244" i="43"/>
  <c r="J244" i="43"/>
  <c r="I244" i="43"/>
  <c r="H244" i="43"/>
  <c r="K243" i="43"/>
  <c r="J243" i="43"/>
  <c r="I243" i="43"/>
  <c r="H243" i="43"/>
  <c r="K242" i="43"/>
  <c r="J242" i="43"/>
  <c r="I242" i="43"/>
  <c r="H242" i="43"/>
  <c r="K241" i="43"/>
  <c r="J241" i="43"/>
  <c r="I241" i="43"/>
  <c r="H241" i="43"/>
  <c r="K240" i="43"/>
  <c r="J240" i="43"/>
  <c r="I240" i="43"/>
  <c r="H240" i="43"/>
  <c r="K239" i="43"/>
  <c r="J239" i="43"/>
  <c r="I239" i="43"/>
  <c r="H239" i="43"/>
  <c r="K238" i="43"/>
  <c r="J238" i="43"/>
  <c r="I238" i="43"/>
  <c r="H238" i="43"/>
  <c r="K237" i="43"/>
  <c r="J237" i="43"/>
  <c r="I237" i="43"/>
  <c r="H237" i="43"/>
  <c r="K236" i="43"/>
  <c r="J236" i="43"/>
  <c r="I236" i="43"/>
  <c r="H236" i="43"/>
  <c r="K235" i="43"/>
  <c r="J235" i="43"/>
  <c r="I235" i="43"/>
  <c r="H235" i="43"/>
  <c r="K234" i="43"/>
  <c r="J234" i="43"/>
  <c r="I234" i="43"/>
  <c r="H234" i="43"/>
  <c r="K233" i="43"/>
  <c r="J233" i="43"/>
  <c r="I233" i="43"/>
  <c r="H233" i="43"/>
  <c r="K232" i="43"/>
  <c r="J232" i="43"/>
  <c r="I232" i="43"/>
  <c r="H232" i="43"/>
  <c r="K231" i="43"/>
  <c r="J231" i="43"/>
  <c r="I231" i="43"/>
  <c r="H231" i="43"/>
  <c r="K230" i="43"/>
  <c r="J230" i="43"/>
  <c r="I230" i="43"/>
  <c r="H230" i="43"/>
  <c r="K229" i="43"/>
  <c r="J229" i="43"/>
  <c r="I229" i="43"/>
  <c r="H229" i="43"/>
  <c r="K228" i="43"/>
  <c r="J228" i="43"/>
  <c r="I228" i="43"/>
  <c r="H228" i="43"/>
  <c r="K227" i="43"/>
  <c r="J227" i="43"/>
  <c r="I227" i="43"/>
  <c r="H227" i="43"/>
  <c r="K226" i="43"/>
  <c r="J226" i="43"/>
  <c r="I226" i="43"/>
  <c r="H226" i="43"/>
  <c r="K225" i="43"/>
  <c r="J225" i="43"/>
  <c r="I225" i="43"/>
  <c r="H225" i="43"/>
  <c r="K224" i="43"/>
  <c r="J224" i="43"/>
  <c r="I224" i="43"/>
  <c r="H224" i="43"/>
  <c r="K223" i="43"/>
  <c r="J223" i="43"/>
  <c r="I223" i="43"/>
  <c r="H223" i="43"/>
  <c r="K222" i="43"/>
  <c r="J222" i="43"/>
  <c r="I222" i="43"/>
  <c r="H222" i="43"/>
  <c r="K221" i="43"/>
  <c r="J221" i="43"/>
  <c r="I221" i="43"/>
  <c r="H221" i="43"/>
  <c r="K220" i="43"/>
  <c r="J220" i="43"/>
  <c r="I220" i="43"/>
  <c r="H220" i="43"/>
  <c r="K219" i="43"/>
  <c r="J219" i="43"/>
  <c r="I219" i="43"/>
  <c r="H219" i="43"/>
  <c r="K218" i="43"/>
  <c r="J218" i="43"/>
  <c r="I218" i="43"/>
  <c r="H218" i="43"/>
  <c r="K217" i="43"/>
  <c r="J217" i="43"/>
  <c r="I217" i="43"/>
  <c r="H217" i="43"/>
  <c r="K216" i="43"/>
  <c r="J216" i="43"/>
  <c r="I216" i="43"/>
  <c r="H216" i="43"/>
  <c r="K215" i="43"/>
  <c r="J215" i="43"/>
  <c r="I215" i="43"/>
  <c r="H215" i="43"/>
  <c r="K214" i="43"/>
  <c r="J214" i="43"/>
  <c r="I214" i="43"/>
  <c r="H214" i="43"/>
  <c r="K213" i="43"/>
  <c r="J213" i="43"/>
  <c r="I213" i="43"/>
  <c r="H213" i="43"/>
  <c r="K212" i="43"/>
  <c r="J212" i="43"/>
  <c r="I212" i="43"/>
  <c r="H212" i="43"/>
  <c r="K211" i="43"/>
  <c r="J211" i="43"/>
  <c r="I211" i="43"/>
  <c r="H211" i="43"/>
  <c r="K210" i="43"/>
  <c r="J210" i="43"/>
  <c r="I210" i="43"/>
  <c r="H210" i="43"/>
  <c r="K209" i="43"/>
  <c r="J209" i="43"/>
  <c r="I209" i="43"/>
  <c r="H209" i="43"/>
  <c r="K208" i="43"/>
  <c r="J208" i="43"/>
  <c r="I208" i="43"/>
  <c r="H208" i="43"/>
  <c r="K207" i="43"/>
  <c r="J207" i="43"/>
  <c r="I207" i="43"/>
  <c r="H207" i="43"/>
  <c r="K206" i="43"/>
  <c r="J206" i="43"/>
  <c r="I206" i="43"/>
  <c r="H206" i="43"/>
  <c r="K205" i="43"/>
  <c r="J205" i="43"/>
  <c r="I205" i="43"/>
  <c r="H205" i="43"/>
  <c r="K204" i="43"/>
  <c r="J204" i="43"/>
  <c r="I204" i="43"/>
  <c r="H204" i="43"/>
  <c r="K203" i="43"/>
  <c r="J203" i="43"/>
  <c r="I203" i="43"/>
  <c r="H203" i="43"/>
  <c r="K202" i="43"/>
  <c r="J202" i="43"/>
  <c r="I202" i="43"/>
  <c r="H202" i="43"/>
  <c r="K201" i="43"/>
  <c r="J201" i="43"/>
  <c r="I201" i="43"/>
  <c r="H201" i="43"/>
  <c r="K200" i="43"/>
  <c r="J200" i="43"/>
  <c r="I200" i="43"/>
  <c r="H200" i="43"/>
  <c r="K199" i="43"/>
  <c r="J199" i="43"/>
  <c r="I199" i="43"/>
  <c r="H199" i="43"/>
  <c r="K198" i="43"/>
  <c r="J198" i="43"/>
  <c r="I198" i="43"/>
  <c r="H198" i="43"/>
  <c r="K197" i="43"/>
  <c r="J197" i="43"/>
  <c r="I197" i="43"/>
  <c r="H197" i="43"/>
  <c r="K196" i="43"/>
  <c r="J196" i="43"/>
  <c r="I196" i="43"/>
  <c r="H196" i="43"/>
  <c r="K195" i="43"/>
  <c r="J195" i="43"/>
  <c r="I195" i="43"/>
  <c r="H195" i="43"/>
  <c r="K194" i="43"/>
  <c r="J194" i="43"/>
  <c r="I194" i="43"/>
  <c r="H194" i="43"/>
  <c r="K193" i="43"/>
  <c r="J193" i="43"/>
  <c r="I193" i="43"/>
  <c r="H193" i="43"/>
  <c r="K192" i="43"/>
  <c r="J192" i="43"/>
  <c r="I192" i="43"/>
  <c r="H192" i="43"/>
  <c r="K191" i="43"/>
  <c r="J191" i="43"/>
  <c r="I191" i="43"/>
  <c r="H191" i="43"/>
  <c r="K190" i="43"/>
  <c r="J190" i="43"/>
  <c r="I190" i="43"/>
  <c r="H190" i="43"/>
  <c r="K189" i="43"/>
  <c r="J189" i="43"/>
  <c r="I189" i="43"/>
  <c r="H189" i="43"/>
  <c r="K188" i="43"/>
  <c r="J188" i="43"/>
  <c r="I188" i="43"/>
  <c r="H188" i="43"/>
  <c r="K187" i="43"/>
  <c r="J187" i="43"/>
  <c r="I187" i="43"/>
  <c r="H187" i="43"/>
  <c r="K186" i="43"/>
  <c r="J186" i="43"/>
  <c r="I186" i="43"/>
  <c r="H186" i="43"/>
  <c r="K185" i="43"/>
  <c r="J185" i="43"/>
  <c r="I185" i="43"/>
  <c r="H185" i="43"/>
  <c r="K184" i="43"/>
  <c r="J184" i="43"/>
  <c r="I184" i="43"/>
  <c r="H184" i="43"/>
  <c r="K183" i="43"/>
  <c r="J183" i="43"/>
  <c r="I183" i="43"/>
  <c r="H183" i="43"/>
  <c r="K182" i="43"/>
  <c r="J182" i="43"/>
  <c r="I182" i="43"/>
  <c r="H182" i="43"/>
  <c r="K181" i="43"/>
  <c r="J181" i="43"/>
  <c r="I181" i="43"/>
  <c r="H181" i="43"/>
  <c r="K180" i="43"/>
  <c r="J180" i="43"/>
  <c r="I180" i="43"/>
  <c r="H180" i="43"/>
  <c r="K179" i="43"/>
  <c r="J179" i="43"/>
  <c r="I179" i="43"/>
  <c r="H179" i="43"/>
  <c r="K178" i="43"/>
  <c r="J178" i="43"/>
  <c r="I178" i="43"/>
  <c r="H178" i="43"/>
  <c r="K177" i="43"/>
  <c r="J177" i="43"/>
  <c r="I177" i="43"/>
  <c r="H177" i="43"/>
  <c r="K176" i="43"/>
  <c r="J176" i="43"/>
  <c r="I176" i="43"/>
  <c r="H176" i="43"/>
  <c r="K175" i="43"/>
  <c r="J175" i="43"/>
  <c r="I175" i="43"/>
  <c r="H175" i="43"/>
  <c r="K174" i="43"/>
  <c r="J174" i="43"/>
  <c r="I174" i="43"/>
  <c r="H174" i="43"/>
  <c r="K173" i="43"/>
  <c r="J173" i="43"/>
  <c r="I173" i="43"/>
  <c r="H173" i="43"/>
  <c r="K172" i="43"/>
  <c r="J172" i="43"/>
  <c r="I172" i="43"/>
  <c r="H172" i="43"/>
  <c r="K171" i="43"/>
  <c r="J171" i="43"/>
  <c r="I171" i="43"/>
  <c r="H171" i="43"/>
  <c r="K170" i="43"/>
  <c r="J170" i="43"/>
  <c r="I170" i="43"/>
  <c r="H170" i="43"/>
  <c r="K169" i="43"/>
  <c r="J169" i="43"/>
  <c r="I169" i="43"/>
  <c r="H169" i="43"/>
  <c r="K168" i="43"/>
  <c r="J168" i="43"/>
  <c r="I168" i="43"/>
  <c r="H168" i="43"/>
  <c r="K167" i="43"/>
  <c r="J167" i="43"/>
  <c r="I167" i="43"/>
  <c r="H167" i="43"/>
  <c r="K166" i="43"/>
  <c r="J166" i="43"/>
  <c r="I166" i="43"/>
  <c r="H166" i="43"/>
  <c r="K165" i="43"/>
  <c r="J165" i="43"/>
  <c r="I165" i="43"/>
  <c r="H165" i="43"/>
  <c r="K164" i="43"/>
  <c r="J164" i="43"/>
  <c r="I164" i="43"/>
  <c r="H164" i="43"/>
  <c r="K163" i="43"/>
  <c r="J163" i="43"/>
  <c r="I163" i="43"/>
  <c r="H163" i="43"/>
  <c r="K162" i="43"/>
  <c r="J162" i="43"/>
  <c r="I162" i="43"/>
  <c r="H162" i="43"/>
  <c r="K161" i="43"/>
  <c r="J161" i="43"/>
  <c r="I161" i="43"/>
  <c r="H161" i="43"/>
  <c r="K160" i="43"/>
  <c r="J160" i="43"/>
  <c r="I160" i="43"/>
  <c r="H160" i="43"/>
  <c r="K159" i="43"/>
  <c r="J159" i="43"/>
  <c r="I159" i="43"/>
  <c r="H159" i="43"/>
  <c r="K158" i="43"/>
  <c r="J158" i="43"/>
  <c r="I158" i="43"/>
  <c r="H158" i="43"/>
  <c r="K157" i="43"/>
  <c r="J157" i="43"/>
  <c r="I157" i="43"/>
  <c r="H157" i="43"/>
  <c r="K156" i="43"/>
  <c r="J156" i="43"/>
  <c r="I156" i="43"/>
  <c r="H156" i="43"/>
  <c r="K155" i="43"/>
  <c r="J155" i="43"/>
  <c r="I155" i="43"/>
  <c r="H155" i="43"/>
  <c r="K154" i="43"/>
  <c r="J154" i="43"/>
  <c r="I154" i="43"/>
  <c r="H154" i="43"/>
  <c r="K153" i="43"/>
  <c r="J153" i="43"/>
  <c r="I153" i="43"/>
  <c r="H153" i="43"/>
  <c r="K152" i="43"/>
  <c r="J152" i="43"/>
  <c r="I152" i="43"/>
  <c r="H152" i="43"/>
  <c r="K151" i="43"/>
  <c r="J151" i="43"/>
  <c r="I151" i="43"/>
  <c r="H151" i="43"/>
  <c r="K150" i="43"/>
  <c r="J150" i="43"/>
  <c r="I150" i="43"/>
  <c r="H150" i="43"/>
  <c r="K149" i="43"/>
  <c r="J149" i="43"/>
  <c r="I149" i="43"/>
  <c r="H149" i="43"/>
  <c r="K148" i="43"/>
  <c r="J148" i="43"/>
  <c r="I148" i="43"/>
  <c r="H148" i="43"/>
  <c r="K147" i="43"/>
  <c r="J147" i="43"/>
  <c r="I147" i="43"/>
  <c r="H147" i="43"/>
  <c r="K146" i="43"/>
  <c r="J146" i="43"/>
  <c r="I146" i="43"/>
  <c r="H146" i="43"/>
  <c r="K145" i="43"/>
  <c r="J145" i="43"/>
  <c r="I145" i="43"/>
  <c r="H145" i="43"/>
  <c r="K144" i="43"/>
  <c r="J144" i="43"/>
  <c r="I144" i="43"/>
  <c r="H144" i="43"/>
  <c r="K143" i="43"/>
  <c r="J143" i="43"/>
  <c r="I143" i="43"/>
  <c r="H143" i="43"/>
  <c r="K142" i="43"/>
  <c r="J142" i="43"/>
  <c r="I142" i="43"/>
  <c r="H142" i="43"/>
  <c r="K141" i="43"/>
  <c r="J141" i="43"/>
  <c r="I141" i="43"/>
  <c r="H141" i="43"/>
  <c r="K140" i="43"/>
  <c r="J140" i="43"/>
  <c r="I140" i="43"/>
  <c r="H140" i="43"/>
  <c r="K139" i="43"/>
  <c r="J139" i="43"/>
  <c r="I139" i="43"/>
  <c r="H139" i="43"/>
  <c r="K138" i="43"/>
  <c r="J138" i="43"/>
  <c r="I138" i="43"/>
  <c r="H138" i="43"/>
  <c r="K137" i="43"/>
  <c r="J137" i="43"/>
  <c r="I137" i="43"/>
  <c r="H137" i="43"/>
  <c r="K136" i="43"/>
  <c r="J136" i="43"/>
  <c r="I136" i="43"/>
  <c r="H136" i="43"/>
  <c r="K135" i="43"/>
  <c r="J135" i="43"/>
  <c r="I135" i="43"/>
  <c r="H135" i="43"/>
  <c r="K134" i="43"/>
  <c r="J134" i="43"/>
  <c r="I134" i="43"/>
  <c r="H134" i="43"/>
  <c r="K133" i="43"/>
  <c r="J133" i="43"/>
  <c r="I133" i="43"/>
  <c r="H133" i="43"/>
  <c r="K132" i="43"/>
  <c r="J132" i="43"/>
  <c r="I132" i="43"/>
  <c r="H132" i="43"/>
  <c r="K131" i="43"/>
  <c r="J131" i="43"/>
  <c r="I131" i="43"/>
  <c r="H131" i="43"/>
  <c r="K130" i="43"/>
  <c r="J130" i="43"/>
  <c r="I130" i="43"/>
  <c r="H130" i="43"/>
  <c r="K129" i="43"/>
  <c r="J129" i="43"/>
  <c r="I129" i="43"/>
  <c r="H129" i="43"/>
  <c r="K128" i="43"/>
  <c r="J128" i="43"/>
  <c r="I128" i="43"/>
  <c r="H128" i="43"/>
  <c r="K127" i="43"/>
  <c r="J127" i="43"/>
  <c r="I127" i="43"/>
  <c r="H127" i="43"/>
  <c r="K126" i="43"/>
  <c r="J126" i="43"/>
  <c r="I126" i="43"/>
  <c r="H126" i="43"/>
  <c r="K125" i="43"/>
  <c r="J125" i="43"/>
  <c r="I125" i="43"/>
  <c r="H125" i="43"/>
  <c r="K124" i="43"/>
  <c r="J124" i="43"/>
  <c r="I124" i="43"/>
  <c r="H124" i="43"/>
  <c r="K123" i="43"/>
  <c r="J123" i="43"/>
  <c r="I123" i="43"/>
  <c r="H123" i="43"/>
  <c r="K122" i="43"/>
  <c r="J122" i="43"/>
  <c r="I122" i="43"/>
  <c r="H122" i="43"/>
  <c r="K121" i="43"/>
  <c r="J121" i="43"/>
  <c r="I121" i="43"/>
  <c r="H121" i="43"/>
  <c r="K120" i="43"/>
  <c r="J120" i="43"/>
  <c r="I120" i="43"/>
  <c r="H120" i="43"/>
  <c r="K119" i="43"/>
  <c r="J119" i="43"/>
  <c r="I119" i="43"/>
  <c r="H119" i="43"/>
  <c r="K118" i="43"/>
  <c r="J118" i="43"/>
  <c r="I118" i="43"/>
  <c r="H118" i="43"/>
  <c r="K117" i="43"/>
  <c r="J117" i="43"/>
  <c r="I117" i="43"/>
  <c r="H117" i="43"/>
  <c r="K116" i="43"/>
  <c r="J116" i="43"/>
  <c r="I116" i="43"/>
  <c r="H116" i="43"/>
  <c r="K115" i="43"/>
  <c r="J115" i="43"/>
  <c r="I115" i="43"/>
  <c r="H115" i="43"/>
  <c r="K114" i="43"/>
  <c r="J114" i="43"/>
  <c r="I114" i="43"/>
  <c r="H114" i="43"/>
  <c r="K113" i="43"/>
  <c r="J113" i="43"/>
  <c r="I113" i="43"/>
  <c r="H113" i="43"/>
  <c r="K112" i="43"/>
  <c r="J112" i="43"/>
  <c r="I112" i="43"/>
  <c r="H112" i="43"/>
  <c r="K111" i="43"/>
  <c r="J111" i="43"/>
  <c r="I111" i="43"/>
  <c r="H111" i="43"/>
  <c r="K110" i="43"/>
  <c r="J110" i="43"/>
  <c r="I110" i="43"/>
  <c r="H110" i="43"/>
  <c r="K109" i="43"/>
  <c r="J109" i="43"/>
  <c r="I109" i="43"/>
  <c r="H109" i="43"/>
  <c r="K108" i="43"/>
  <c r="J108" i="43"/>
  <c r="I108" i="43"/>
  <c r="H108" i="43"/>
  <c r="K107" i="43"/>
  <c r="J107" i="43"/>
  <c r="I107" i="43"/>
  <c r="H107" i="43"/>
  <c r="K106" i="43"/>
  <c r="J106" i="43"/>
  <c r="I106" i="43"/>
  <c r="H106" i="43"/>
  <c r="K105" i="43"/>
  <c r="J105" i="43"/>
  <c r="I105" i="43"/>
  <c r="H105" i="43"/>
  <c r="K104" i="43"/>
  <c r="J104" i="43"/>
  <c r="I104" i="43"/>
  <c r="H104" i="43"/>
  <c r="K103" i="43"/>
  <c r="J103" i="43"/>
  <c r="I103" i="43"/>
  <c r="H103" i="43"/>
  <c r="K102" i="43"/>
  <c r="J102" i="43"/>
  <c r="I102" i="43"/>
  <c r="H102" i="43"/>
  <c r="K101" i="43"/>
  <c r="J101" i="43"/>
  <c r="I101" i="43"/>
  <c r="H101" i="43"/>
  <c r="K100" i="43"/>
  <c r="J100" i="43"/>
  <c r="I100" i="43"/>
  <c r="H100" i="43"/>
  <c r="K99" i="43"/>
  <c r="J99" i="43"/>
  <c r="I99" i="43"/>
  <c r="H99" i="43"/>
  <c r="K98" i="43"/>
  <c r="J98" i="43"/>
  <c r="I98" i="43"/>
  <c r="H98" i="43"/>
  <c r="K97" i="43"/>
  <c r="J97" i="43"/>
  <c r="I97" i="43"/>
  <c r="H97" i="43"/>
  <c r="K96" i="43"/>
  <c r="J96" i="43"/>
  <c r="I96" i="43"/>
  <c r="H96" i="43"/>
  <c r="K95" i="43"/>
  <c r="J95" i="43"/>
  <c r="I95" i="43"/>
  <c r="H95" i="43"/>
  <c r="K94" i="43"/>
  <c r="J94" i="43"/>
  <c r="I94" i="43"/>
  <c r="H94" i="43"/>
  <c r="K93" i="43"/>
  <c r="J93" i="43"/>
  <c r="I93" i="43"/>
  <c r="H93" i="43"/>
  <c r="K92" i="43"/>
  <c r="J92" i="43"/>
  <c r="I92" i="43"/>
  <c r="H92" i="43"/>
  <c r="K91" i="43"/>
  <c r="J91" i="43"/>
  <c r="I91" i="43"/>
  <c r="H91" i="43"/>
  <c r="K90" i="43"/>
  <c r="J90" i="43"/>
  <c r="I90" i="43"/>
  <c r="H90" i="43"/>
  <c r="K89" i="43"/>
  <c r="J89" i="43"/>
  <c r="I89" i="43"/>
  <c r="H89" i="43"/>
  <c r="K88" i="43"/>
  <c r="J88" i="43"/>
  <c r="I88" i="43"/>
  <c r="H88" i="43"/>
  <c r="K87" i="43"/>
  <c r="J87" i="43"/>
  <c r="I87" i="43"/>
  <c r="H87" i="43"/>
  <c r="K86" i="43"/>
  <c r="J86" i="43"/>
  <c r="I86" i="43"/>
  <c r="H86" i="43"/>
  <c r="K85" i="43"/>
  <c r="J85" i="43"/>
  <c r="I85" i="43"/>
  <c r="H85" i="43"/>
  <c r="K84" i="43"/>
  <c r="J84" i="43"/>
  <c r="I84" i="43"/>
  <c r="H84" i="43"/>
  <c r="K83" i="43"/>
  <c r="J83" i="43"/>
  <c r="I83" i="43"/>
  <c r="H83" i="43"/>
  <c r="K82" i="43"/>
  <c r="J82" i="43"/>
  <c r="I82" i="43"/>
  <c r="H82" i="43"/>
  <c r="K81" i="43"/>
  <c r="J81" i="43"/>
  <c r="I81" i="43"/>
  <c r="H81" i="43"/>
  <c r="K80" i="43"/>
  <c r="J80" i="43"/>
  <c r="I80" i="43"/>
  <c r="H80" i="43"/>
  <c r="K79" i="43"/>
  <c r="J79" i="43"/>
  <c r="I79" i="43"/>
  <c r="H79" i="43"/>
  <c r="K78" i="43"/>
  <c r="J78" i="43"/>
  <c r="I78" i="43"/>
  <c r="H78" i="43"/>
  <c r="K77" i="43"/>
  <c r="J77" i="43"/>
  <c r="I77" i="43"/>
  <c r="H77" i="43"/>
  <c r="K76" i="43"/>
  <c r="J76" i="43"/>
  <c r="I76" i="43"/>
  <c r="H76" i="43"/>
  <c r="K75" i="43"/>
  <c r="J75" i="43"/>
  <c r="I75" i="43"/>
  <c r="H75" i="43"/>
  <c r="K74" i="43"/>
  <c r="J74" i="43"/>
  <c r="I74" i="43"/>
  <c r="H74" i="43"/>
  <c r="K73" i="43"/>
  <c r="J73" i="43"/>
  <c r="I73" i="43"/>
  <c r="H73" i="43"/>
  <c r="K72" i="43"/>
  <c r="J72" i="43"/>
  <c r="I72" i="43"/>
  <c r="H72" i="43"/>
  <c r="K71" i="43"/>
  <c r="J71" i="43"/>
  <c r="I71" i="43"/>
  <c r="H71" i="43"/>
  <c r="K70" i="43"/>
  <c r="J70" i="43"/>
  <c r="I70" i="43"/>
  <c r="H70" i="43"/>
  <c r="K69" i="43"/>
  <c r="J69" i="43"/>
  <c r="I69" i="43"/>
  <c r="H69" i="43"/>
  <c r="K68" i="43"/>
  <c r="J68" i="43"/>
  <c r="I68" i="43"/>
  <c r="H68" i="43"/>
  <c r="K67" i="43"/>
  <c r="J67" i="43"/>
  <c r="I67" i="43"/>
  <c r="H67" i="43"/>
  <c r="K66" i="43"/>
  <c r="J66" i="43"/>
  <c r="I66" i="43"/>
  <c r="H66" i="43"/>
  <c r="K65" i="43"/>
  <c r="J65" i="43"/>
  <c r="I65" i="43"/>
  <c r="H65" i="43"/>
  <c r="K64" i="43"/>
  <c r="J64" i="43"/>
  <c r="I64" i="43"/>
  <c r="H64" i="43"/>
  <c r="K63" i="43"/>
  <c r="J63" i="43"/>
  <c r="I63" i="43"/>
  <c r="H63" i="43"/>
  <c r="K62" i="43"/>
  <c r="J62" i="43"/>
  <c r="I62" i="43"/>
  <c r="H62" i="43"/>
  <c r="K61" i="43"/>
  <c r="J61" i="43"/>
  <c r="I61" i="43"/>
  <c r="H61" i="43"/>
  <c r="K60" i="43"/>
  <c r="J60" i="43"/>
  <c r="I60" i="43"/>
  <c r="H60" i="43"/>
  <c r="K59" i="43"/>
  <c r="J59" i="43"/>
  <c r="I59" i="43"/>
  <c r="H59" i="43"/>
  <c r="K58" i="43"/>
  <c r="J58" i="43"/>
  <c r="I58" i="43"/>
  <c r="H58" i="43"/>
  <c r="K57" i="43"/>
  <c r="J57" i="43"/>
  <c r="I57" i="43"/>
  <c r="H57" i="43"/>
  <c r="K56" i="43"/>
  <c r="J56" i="43"/>
  <c r="I56" i="43"/>
  <c r="H56" i="43"/>
  <c r="K55" i="43"/>
  <c r="J55" i="43"/>
  <c r="I55" i="43"/>
  <c r="H55" i="43"/>
  <c r="K54" i="43"/>
  <c r="J54" i="43"/>
  <c r="I54" i="43"/>
  <c r="H54" i="43"/>
  <c r="K53" i="43"/>
  <c r="J53" i="43"/>
  <c r="I53" i="43"/>
  <c r="H53" i="43"/>
  <c r="K52" i="43"/>
  <c r="J52" i="43"/>
  <c r="I52" i="43"/>
  <c r="H52" i="43"/>
  <c r="K51" i="43"/>
  <c r="J51" i="43"/>
  <c r="I51" i="43"/>
  <c r="H51" i="43"/>
  <c r="K50" i="43"/>
  <c r="J50" i="43"/>
  <c r="I50" i="43"/>
  <c r="H50" i="43"/>
  <c r="K49" i="43"/>
  <c r="J49" i="43"/>
  <c r="I49" i="43"/>
  <c r="H49" i="43"/>
  <c r="K48" i="43"/>
  <c r="J48" i="43"/>
  <c r="I48" i="43"/>
  <c r="H48" i="43"/>
  <c r="K47" i="43"/>
  <c r="J47" i="43"/>
  <c r="I47" i="43"/>
  <c r="H47" i="43"/>
  <c r="K46" i="43"/>
  <c r="J46" i="43"/>
  <c r="I46" i="43"/>
  <c r="H46" i="43"/>
  <c r="K45" i="43"/>
  <c r="J45" i="43"/>
  <c r="I45" i="43"/>
  <c r="H45" i="43"/>
  <c r="K44" i="43"/>
  <c r="J44" i="43"/>
  <c r="I44" i="43"/>
  <c r="H44" i="43"/>
  <c r="K43" i="43"/>
  <c r="J43" i="43"/>
  <c r="I43" i="43"/>
  <c r="H43" i="43"/>
  <c r="K42" i="43"/>
  <c r="J42" i="43"/>
  <c r="I42" i="43"/>
  <c r="H42" i="43"/>
  <c r="K41" i="43"/>
  <c r="J41" i="43"/>
  <c r="I41" i="43"/>
  <c r="H41" i="43"/>
  <c r="K40" i="43"/>
  <c r="J40" i="43"/>
  <c r="I40" i="43"/>
  <c r="H40" i="43"/>
  <c r="K39" i="43"/>
  <c r="J39" i="43"/>
  <c r="I39" i="43"/>
  <c r="H39" i="43"/>
  <c r="K38" i="43"/>
  <c r="J38" i="43"/>
  <c r="I38" i="43"/>
  <c r="H38" i="43"/>
  <c r="K37" i="43"/>
  <c r="J37" i="43"/>
  <c r="I37" i="43"/>
  <c r="H37" i="43"/>
  <c r="K36" i="43"/>
  <c r="J36" i="43"/>
  <c r="I36" i="43"/>
  <c r="H36" i="43"/>
  <c r="K35" i="43"/>
  <c r="J35" i="43"/>
  <c r="I35" i="43"/>
  <c r="H35" i="43"/>
  <c r="K34" i="43"/>
  <c r="J34" i="43"/>
  <c r="I34" i="43"/>
  <c r="H34" i="43"/>
  <c r="K33" i="43"/>
  <c r="J33" i="43"/>
  <c r="I33" i="43"/>
  <c r="H33" i="43"/>
  <c r="K32" i="43"/>
  <c r="J32" i="43"/>
  <c r="I32" i="43"/>
  <c r="H32" i="43"/>
  <c r="K31" i="43"/>
  <c r="J31" i="43"/>
  <c r="I31" i="43"/>
  <c r="H31" i="43"/>
  <c r="K30" i="43"/>
  <c r="J30" i="43"/>
  <c r="I30" i="43"/>
  <c r="H30" i="43"/>
  <c r="K29" i="43"/>
  <c r="J29" i="43"/>
  <c r="I29" i="43"/>
  <c r="H29" i="43"/>
  <c r="K28" i="43"/>
  <c r="J28" i="43"/>
  <c r="I28" i="43"/>
  <c r="H28" i="43"/>
  <c r="K27" i="43"/>
  <c r="J27" i="43"/>
  <c r="I27" i="43"/>
  <c r="H27" i="43"/>
  <c r="K26" i="43"/>
  <c r="J26" i="43"/>
  <c r="I26" i="43"/>
  <c r="H26" i="43"/>
  <c r="K25" i="43"/>
  <c r="J25" i="43"/>
  <c r="I25" i="43"/>
  <c r="H25" i="43"/>
  <c r="K24" i="43"/>
  <c r="J24" i="43"/>
  <c r="I24" i="43"/>
  <c r="H24" i="43"/>
  <c r="K23" i="43"/>
  <c r="J23" i="43"/>
  <c r="I23" i="43"/>
  <c r="H23" i="43"/>
  <c r="K22" i="43"/>
  <c r="J22" i="43"/>
  <c r="I22" i="43"/>
  <c r="H22" i="43"/>
  <c r="K21" i="43"/>
  <c r="J21" i="43"/>
  <c r="I21" i="43"/>
  <c r="H21" i="43"/>
  <c r="K20" i="43"/>
  <c r="J20" i="43"/>
  <c r="I20" i="43"/>
  <c r="H20" i="43"/>
  <c r="K19" i="43"/>
  <c r="J19" i="43"/>
  <c r="I19" i="43"/>
  <c r="H19" i="43"/>
  <c r="K18" i="43"/>
  <c r="J18" i="43"/>
  <c r="I18" i="43"/>
  <c r="H18" i="43"/>
  <c r="K17" i="43"/>
  <c r="J17" i="43"/>
  <c r="I17" i="43"/>
  <c r="H17" i="43"/>
  <c r="K16" i="43"/>
  <c r="J16" i="43"/>
  <c r="I16" i="43"/>
  <c r="H16" i="43"/>
  <c r="K15" i="43"/>
  <c r="J15" i="43"/>
  <c r="I15" i="43"/>
  <c r="H15" i="43"/>
  <c r="K14" i="43"/>
  <c r="J14" i="43"/>
  <c r="I14" i="43"/>
  <c r="H14" i="43"/>
  <c r="K13" i="43"/>
  <c r="J13" i="43"/>
  <c r="I13" i="43"/>
  <c r="H13" i="43"/>
  <c r="K12" i="43"/>
  <c r="J12" i="43"/>
  <c r="I12" i="43"/>
  <c r="H12" i="43"/>
  <c r="K11" i="43"/>
  <c r="J11" i="43"/>
  <c r="I11" i="43"/>
  <c r="H11" i="43"/>
  <c r="K10" i="43"/>
  <c r="J10" i="43"/>
  <c r="I10" i="43"/>
  <c r="H10" i="43"/>
  <c r="D3465" i="69"/>
  <c r="D3464" i="69"/>
  <c r="D3463" i="69"/>
  <c r="D3462" i="69"/>
  <c r="D3461" i="69"/>
  <c r="D3460" i="69"/>
  <c r="D3459" i="69"/>
  <c r="D3458" i="69"/>
  <c r="D3457" i="69"/>
  <c r="D3456" i="69"/>
  <c r="D3455" i="69"/>
  <c r="D3454" i="69"/>
  <c r="D3453" i="69"/>
  <c r="D3452" i="69"/>
  <c r="D3451" i="69"/>
  <c r="D3450" i="69"/>
  <c r="D3449" i="69"/>
  <c r="D3448" i="69"/>
  <c r="D3447" i="69"/>
  <c r="D3446" i="69"/>
  <c r="D3445" i="69"/>
  <c r="D3444" i="69"/>
  <c r="D3443" i="69"/>
  <c r="D3442" i="69"/>
  <c r="D3441" i="69"/>
  <c r="D3440" i="69"/>
  <c r="D3439" i="69"/>
  <c r="D3438" i="69"/>
  <c r="D3437" i="69"/>
  <c r="D3436" i="69"/>
  <c r="D3435" i="69"/>
  <c r="D3434" i="69"/>
  <c r="D3433" i="69"/>
  <c r="D3432" i="69"/>
  <c r="D3431" i="69"/>
  <c r="D3430" i="69"/>
  <c r="D3429" i="69"/>
  <c r="D3428" i="69"/>
  <c r="D3427" i="69"/>
  <c r="D3426" i="69"/>
  <c r="D3425" i="69"/>
  <c r="D3424" i="69"/>
  <c r="D3423" i="69"/>
  <c r="D3422" i="69"/>
  <c r="D3421" i="69"/>
  <c r="D3420" i="69"/>
  <c r="D3419" i="69"/>
  <c r="D3418" i="69"/>
  <c r="D3417" i="69"/>
  <c r="D3416" i="69"/>
  <c r="D3415" i="69"/>
  <c r="D3414" i="69"/>
  <c r="D3413" i="69"/>
  <c r="D3412" i="69"/>
  <c r="D3411" i="69"/>
  <c r="D3410" i="69"/>
  <c r="D3409" i="69"/>
  <c r="D3408" i="69"/>
  <c r="D3407" i="69"/>
  <c r="D3406" i="69"/>
  <c r="D3405" i="69"/>
  <c r="D3404" i="69"/>
  <c r="D3403" i="69"/>
  <c r="D3402" i="69"/>
  <c r="D3401" i="69"/>
  <c r="D3400" i="69"/>
  <c r="D3399" i="69"/>
  <c r="D3398" i="69"/>
  <c r="D3397" i="69"/>
  <c r="D3396" i="69"/>
  <c r="M23" i="84"/>
  <c r="R22" i="84"/>
  <c r="N13" i="84"/>
  <c r="K12" i="84"/>
  <c r="P70" i="84"/>
  <c r="Q49" i="69"/>
  <c r="V46" i="69"/>
  <c r="R19" i="69"/>
  <c r="R20" i="69" s="1"/>
  <c r="A11" i="69"/>
  <c r="G9" i="69"/>
  <c r="F9" i="69"/>
  <c r="P2" i="69"/>
  <c r="P1" i="69"/>
  <c r="AM117" i="42"/>
  <c r="AL117" i="42"/>
  <c r="AK117" i="42"/>
  <c r="AJ117" i="42"/>
  <c r="AI117" i="42"/>
  <c r="AM116" i="42"/>
  <c r="AL116" i="42"/>
  <c r="AK116" i="42"/>
  <c r="AJ116" i="42"/>
  <c r="AI116" i="42"/>
  <c r="AM115" i="42"/>
  <c r="AL115" i="42"/>
  <c r="AK115" i="42"/>
  <c r="AJ115" i="42"/>
  <c r="AI115" i="42"/>
  <c r="AM114" i="42"/>
  <c r="AL114" i="42"/>
  <c r="AK114" i="42"/>
  <c r="AJ114" i="42"/>
  <c r="AI114" i="42"/>
  <c r="AN113" i="42"/>
  <c r="AM113" i="42"/>
  <c r="AL113" i="42"/>
  <c r="AK113" i="42"/>
  <c r="AJ113" i="42"/>
  <c r="AI113" i="42"/>
  <c r="AN112" i="42"/>
  <c r="AM112" i="42"/>
  <c r="AL112" i="42"/>
  <c r="AK112" i="42"/>
  <c r="AJ112" i="42"/>
  <c r="AI112" i="42"/>
  <c r="AN111" i="42"/>
  <c r="AM111" i="42"/>
  <c r="AL111" i="42"/>
  <c r="AK111" i="42"/>
  <c r="AJ111" i="42"/>
  <c r="AI111" i="42"/>
  <c r="AN110" i="42"/>
  <c r="AM110" i="42"/>
  <c r="AL110" i="42"/>
  <c r="AK110" i="42"/>
  <c r="AJ110" i="42"/>
  <c r="AI110" i="42"/>
  <c r="AN109" i="42"/>
  <c r="AM109" i="42"/>
  <c r="AL109" i="42"/>
  <c r="AK109" i="42"/>
  <c r="AJ109" i="42"/>
  <c r="AI109" i="42"/>
  <c r="AN108" i="42"/>
  <c r="AM108" i="42"/>
  <c r="AL108" i="42"/>
  <c r="AK108" i="42"/>
  <c r="AJ108" i="42"/>
  <c r="AI108" i="42"/>
  <c r="AN107" i="42"/>
  <c r="AM107" i="42"/>
  <c r="AL107" i="42"/>
  <c r="AK107" i="42"/>
  <c r="AJ107" i="42"/>
  <c r="AI107" i="42"/>
  <c r="AN106" i="42"/>
  <c r="AM106" i="42"/>
  <c r="AL106" i="42"/>
  <c r="AK106" i="42"/>
  <c r="AJ106" i="42"/>
  <c r="AI106" i="42"/>
  <c r="AN105" i="42"/>
  <c r="AM105" i="42"/>
  <c r="AL105" i="42"/>
  <c r="AK105" i="42"/>
  <c r="AJ105" i="42"/>
  <c r="AI105" i="42"/>
  <c r="AN104" i="42"/>
  <c r="AM104" i="42"/>
  <c r="AL104" i="42"/>
  <c r="AK104" i="42"/>
  <c r="AJ104" i="42"/>
  <c r="AI104" i="42"/>
  <c r="AN103" i="42"/>
  <c r="AM103" i="42"/>
  <c r="AL103" i="42"/>
  <c r="AK103" i="42"/>
  <c r="AJ103" i="42"/>
  <c r="AI103" i="42"/>
  <c r="AN102" i="42"/>
  <c r="AM102" i="42"/>
  <c r="AL102" i="42"/>
  <c r="AK102" i="42"/>
  <c r="AJ102" i="42"/>
  <c r="AI102" i="42"/>
  <c r="AN101" i="42"/>
  <c r="AM101" i="42"/>
  <c r="AL101" i="42"/>
  <c r="AK101" i="42"/>
  <c r="AJ101" i="42"/>
  <c r="AI101" i="42"/>
  <c r="AN100" i="42"/>
  <c r="AM100" i="42"/>
  <c r="AL100" i="42"/>
  <c r="AK100" i="42"/>
  <c r="AJ100" i="42"/>
  <c r="AI100" i="42"/>
  <c r="AN99" i="42"/>
  <c r="AM99" i="42"/>
  <c r="AL99" i="42"/>
  <c r="AK99" i="42"/>
  <c r="AJ99" i="42"/>
  <c r="AI99" i="42"/>
  <c r="AN98" i="42"/>
  <c r="AM98" i="42"/>
  <c r="AL98" i="42"/>
  <c r="AK98" i="42"/>
  <c r="AJ98" i="42"/>
  <c r="AI98" i="42"/>
  <c r="AH98" i="42"/>
  <c r="AG98" i="42"/>
  <c r="AA98" i="42"/>
  <c r="AN97" i="42"/>
  <c r="AM97" i="42"/>
  <c r="AL97" i="42"/>
  <c r="AK97" i="42"/>
  <c r="AJ97" i="42"/>
  <c r="AI97" i="42"/>
  <c r="AH97" i="42"/>
  <c r="AG97" i="42"/>
  <c r="AA97" i="42"/>
  <c r="AN96" i="42"/>
  <c r="AM96" i="42"/>
  <c r="AL96" i="42"/>
  <c r="AK96" i="42"/>
  <c r="AJ96" i="42"/>
  <c r="AI96" i="42"/>
  <c r="AH96" i="42"/>
  <c r="AG96" i="42"/>
  <c r="AA96" i="42"/>
  <c r="AN95" i="42"/>
  <c r="AM95" i="42"/>
  <c r="AL95" i="42"/>
  <c r="AK95" i="42"/>
  <c r="AJ95" i="42"/>
  <c r="AI95" i="42"/>
  <c r="AH95" i="42"/>
  <c r="AG95" i="42"/>
  <c r="AA95" i="42"/>
  <c r="AN94" i="42"/>
  <c r="AM94" i="42"/>
  <c r="AL94" i="42"/>
  <c r="AK94" i="42"/>
  <c r="AJ94" i="42"/>
  <c r="AI94" i="42"/>
  <c r="AH94" i="42"/>
  <c r="AG94" i="42"/>
  <c r="AF94" i="42"/>
  <c r="AE94" i="42"/>
  <c r="AD94" i="42"/>
  <c r="AC94" i="42"/>
  <c r="AB94" i="42"/>
  <c r="AA94" i="42"/>
  <c r="AN93" i="42"/>
  <c r="AM93" i="42"/>
  <c r="AL93" i="42"/>
  <c r="AK93" i="42"/>
  <c r="AJ93" i="42"/>
  <c r="AI93" i="42"/>
  <c r="AH93" i="42"/>
  <c r="AG93" i="42"/>
  <c r="AF93" i="42"/>
  <c r="AE93" i="42"/>
  <c r="AD93" i="42"/>
  <c r="AC93" i="42"/>
  <c r="AB93" i="42"/>
  <c r="AA93" i="42"/>
  <c r="AN92" i="42"/>
  <c r="AM92" i="42"/>
  <c r="AL92" i="42"/>
  <c r="AK92" i="42"/>
  <c r="AJ92" i="42"/>
  <c r="AI92" i="42"/>
  <c r="AH92" i="42"/>
  <c r="AG92" i="42"/>
  <c r="AF92" i="42"/>
  <c r="AE92" i="42"/>
  <c r="AD92" i="42"/>
  <c r="AC92" i="42"/>
  <c r="AB92" i="42"/>
  <c r="AA92" i="42"/>
  <c r="AN91" i="42"/>
  <c r="AM91" i="42"/>
  <c r="AL91" i="42"/>
  <c r="AK91" i="42"/>
  <c r="AH91" i="42"/>
  <c r="AG91" i="42"/>
  <c r="AF91" i="42"/>
  <c r="AE91" i="42"/>
  <c r="AD91" i="42"/>
  <c r="AC91" i="42"/>
  <c r="AB91" i="42"/>
  <c r="AA91" i="42"/>
  <c r="AN90" i="42"/>
  <c r="AM90" i="42"/>
  <c r="AL90" i="42"/>
  <c r="AK90" i="42"/>
  <c r="AH90" i="42"/>
  <c r="AG90" i="42"/>
  <c r="AF90" i="42"/>
  <c r="AE90" i="42"/>
  <c r="AD90" i="42"/>
  <c r="AC90" i="42"/>
  <c r="AB90" i="42"/>
  <c r="AA90" i="42"/>
  <c r="AN89" i="42"/>
  <c r="AM89" i="42"/>
  <c r="AL89" i="42"/>
  <c r="AK89" i="42"/>
  <c r="AJ89" i="42"/>
  <c r="AI89" i="42"/>
  <c r="AH89" i="42"/>
  <c r="AG89" i="42"/>
  <c r="AF89" i="42"/>
  <c r="AE89" i="42"/>
  <c r="AD89" i="42"/>
  <c r="AC89" i="42"/>
  <c r="AB89" i="42"/>
  <c r="AA89" i="42"/>
  <c r="AN88" i="42"/>
  <c r="AM88" i="42"/>
  <c r="AL88" i="42"/>
  <c r="AK88" i="42"/>
  <c r="AI88" i="42"/>
  <c r="AD88" i="42"/>
  <c r="AC88" i="42"/>
  <c r="AB88" i="42"/>
  <c r="AA88" i="42"/>
  <c r="O88" i="42"/>
  <c r="AF88" i="42" s="1"/>
  <c r="N88" i="42"/>
  <c r="AN87" i="42"/>
  <c r="AM87" i="42"/>
  <c r="AL87" i="42"/>
  <c r="AK87" i="42"/>
  <c r="AD87" i="42"/>
  <c r="AC87" i="42"/>
  <c r="AB87" i="42"/>
  <c r="AA87" i="42"/>
  <c r="O87" i="42"/>
  <c r="AG87" i="42" s="1"/>
  <c r="N87" i="42"/>
  <c r="AE87" i="42" s="1"/>
  <c r="AN86" i="42"/>
  <c r="AM86" i="42"/>
  <c r="AL86" i="42"/>
  <c r="AK86" i="42"/>
  <c r="AD86" i="42"/>
  <c r="AC86" i="42"/>
  <c r="AB86" i="42"/>
  <c r="AA86" i="42"/>
  <c r="O86" i="42"/>
  <c r="N86" i="42"/>
  <c r="AE86" i="42" s="1"/>
  <c r="AN85" i="42"/>
  <c r="AM85" i="42"/>
  <c r="AL85" i="42"/>
  <c r="AK85" i="42"/>
  <c r="AD85" i="42"/>
  <c r="AC85" i="42"/>
  <c r="AB85" i="42"/>
  <c r="AA85" i="42"/>
  <c r="O85" i="42"/>
  <c r="AF85" i="42" s="1"/>
  <c r="N85" i="42"/>
  <c r="AH85" i="42" s="1"/>
  <c r="AN84" i="42"/>
  <c r="AM84" i="42"/>
  <c r="AL84" i="42"/>
  <c r="AK84" i="42"/>
  <c r="AJ84" i="42"/>
  <c r="AI84" i="42"/>
  <c r="AD84" i="42"/>
  <c r="AC84" i="42"/>
  <c r="AB84" i="42"/>
  <c r="AA84" i="42"/>
  <c r="O84" i="42"/>
  <c r="AG84" i="42" s="1"/>
  <c r="N84" i="42"/>
  <c r="AH84" i="42" s="1"/>
  <c r="AN83" i="42"/>
  <c r="AM83" i="42"/>
  <c r="AL83" i="42"/>
  <c r="AK83" i="42"/>
  <c r="AD83" i="42"/>
  <c r="AC83" i="42"/>
  <c r="AB83" i="42"/>
  <c r="AA83" i="42"/>
  <c r="O83" i="42"/>
  <c r="N83" i="42"/>
  <c r="AE83" i="42" s="1"/>
  <c r="AN82" i="42"/>
  <c r="AM82" i="42"/>
  <c r="AL82" i="42"/>
  <c r="AK82" i="42"/>
  <c r="AD82" i="42"/>
  <c r="AC82" i="42"/>
  <c r="AB82" i="42"/>
  <c r="AA82" i="42"/>
  <c r="O82" i="42"/>
  <c r="AF82" i="42" s="1"/>
  <c r="N82" i="42"/>
  <c r="AH82" i="42" s="1"/>
  <c r="AN81" i="42"/>
  <c r="L81" i="66" s="1"/>
  <c r="AM81" i="42"/>
  <c r="O81" i="66" s="1"/>
  <c r="AL81" i="42"/>
  <c r="AK81" i="42"/>
  <c r="AD81" i="42"/>
  <c r="AC81" i="42"/>
  <c r="AB81" i="42"/>
  <c r="AA81" i="42"/>
  <c r="O81" i="42"/>
  <c r="AG81" i="42" s="1"/>
  <c r="N81" i="42"/>
  <c r="AN80" i="42"/>
  <c r="L80" i="66" s="1"/>
  <c r="AM80" i="42"/>
  <c r="O80" i="66" s="1"/>
  <c r="AL80" i="42"/>
  <c r="AK80" i="42"/>
  <c r="AJ80" i="42"/>
  <c r="M80" i="66" s="1"/>
  <c r="AD80" i="42"/>
  <c r="AC80" i="42"/>
  <c r="AB80" i="42"/>
  <c r="AA80" i="42"/>
  <c r="O80" i="42"/>
  <c r="N80" i="42"/>
  <c r="AE80" i="42" s="1"/>
  <c r="AN79" i="42"/>
  <c r="L79" i="66" s="1"/>
  <c r="AM79" i="42"/>
  <c r="O79" i="66" s="1"/>
  <c r="AL79" i="42"/>
  <c r="AK79" i="42"/>
  <c r="AJ79" i="42"/>
  <c r="M79" i="66" s="1"/>
  <c r="AI79" i="42"/>
  <c r="AD79" i="42"/>
  <c r="AC79" i="42"/>
  <c r="AB79" i="42"/>
  <c r="AA79" i="42"/>
  <c r="O79" i="42"/>
  <c r="AF79" i="42" s="1"/>
  <c r="N79" i="42"/>
  <c r="AE79" i="42" s="1"/>
  <c r="AN78" i="42"/>
  <c r="L78" i="66" s="1"/>
  <c r="AM78" i="42"/>
  <c r="O78" i="66" s="1"/>
  <c r="AL78" i="42"/>
  <c r="AK78" i="42"/>
  <c r="AD78" i="42"/>
  <c r="AC78" i="42"/>
  <c r="AB78" i="42"/>
  <c r="AA78" i="42"/>
  <c r="O78" i="42"/>
  <c r="AG78" i="42" s="1"/>
  <c r="N78" i="42"/>
  <c r="AH78" i="42" s="1"/>
  <c r="AN77" i="42"/>
  <c r="L77" i="66" s="1"/>
  <c r="AM77" i="42"/>
  <c r="O77" i="66" s="1"/>
  <c r="AL77" i="42"/>
  <c r="AK77" i="42"/>
  <c r="AD77" i="42"/>
  <c r="AC77" i="42"/>
  <c r="AB77" i="42"/>
  <c r="AA77" i="42"/>
  <c r="O77" i="42"/>
  <c r="N77" i="42"/>
  <c r="AE77" i="42" s="1"/>
  <c r="AN76" i="42"/>
  <c r="L76" i="66" s="1"/>
  <c r="AM76" i="42"/>
  <c r="O76" i="66" s="1"/>
  <c r="AL76" i="42"/>
  <c r="AK76" i="42"/>
  <c r="AJ76" i="42"/>
  <c r="M76" i="66" s="1"/>
  <c r="AI76" i="42"/>
  <c r="AD76" i="42"/>
  <c r="AC76" i="42"/>
  <c r="AB76" i="42"/>
  <c r="AA76" i="42"/>
  <c r="O76" i="42"/>
  <c r="AF76" i="42" s="1"/>
  <c r="N76" i="42"/>
  <c r="AE76" i="42" s="1"/>
  <c r="AN75" i="42"/>
  <c r="L75" i="66" s="1"/>
  <c r="AM75" i="42"/>
  <c r="O75" i="66" s="1"/>
  <c r="AL75" i="42"/>
  <c r="AK75" i="42"/>
  <c r="AD75" i="42"/>
  <c r="AC75" i="42"/>
  <c r="AB75" i="42"/>
  <c r="AA75" i="42"/>
  <c r="O75" i="42"/>
  <c r="AG75" i="42" s="1"/>
  <c r="N75" i="42"/>
  <c r="AH75" i="42" s="1"/>
  <c r="AN74" i="42"/>
  <c r="L74" i="66" s="1"/>
  <c r="AM74" i="42"/>
  <c r="O74" i="66" s="1"/>
  <c r="AL74" i="42"/>
  <c r="AK74" i="42"/>
  <c r="AD74" i="42"/>
  <c r="AC74" i="42"/>
  <c r="AB74" i="42"/>
  <c r="AA74" i="42"/>
  <c r="O74" i="42"/>
  <c r="AF74" i="42" s="1"/>
  <c r="N74" i="42"/>
  <c r="AE74" i="42" s="1"/>
  <c r="AN73" i="42"/>
  <c r="L73" i="66" s="1"/>
  <c r="AM73" i="42"/>
  <c r="O73" i="66" s="1"/>
  <c r="AL73" i="42"/>
  <c r="AK73" i="42"/>
  <c r="AD73" i="42"/>
  <c r="AC73" i="42"/>
  <c r="AB73" i="42"/>
  <c r="AA73" i="42"/>
  <c r="O73" i="42"/>
  <c r="AF73" i="42" s="1"/>
  <c r="N73" i="42"/>
  <c r="AH73" i="42" s="1"/>
  <c r="AN71" i="42"/>
  <c r="L71" i="66" s="1"/>
  <c r="AM71" i="42"/>
  <c r="O71" i="66" s="1"/>
  <c r="AL71" i="42"/>
  <c r="AK71" i="42"/>
  <c r="AD71" i="42"/>
  <c r="AC71" i="42"/>
  <c r="AB71" i="42"/>
  <c r="AA71" i="42"/>
  <c r="O71" i="42"/>
  <c r="AG71" i="42" s="1"/>
  <c r="N71" i="42"/>
  <c r="AH71" i="42" s="1"/>
  <c r="AN70" i="42"/>
  <c r="L70" i="66" s="1"/>
  <c r="AM70" i="42"/>
  <c r="O70" i="66" s="1"/>
  <c r="AL70" i="42"/>
  <c r="AK70" i="42"/>
  <c r="AD70" i="42"/>
  <c r="AC70" i="42"/>
  <c r="AB70" i="42"/>
  <c r="AA70" i="42"/>
  <c r="O70" i="42"/>
  <c r="AF70" i="42" s="1"/>
  <c r="N70" i="42"/>
  <c r="AE70" i="42" s="1"/>
  <c r="AN69" i="42"/>
  <c r="L69" i="66" s="1"/>
  <c r="AM69" i="42"/>
  <c r="O69" i="66" s="1"/>
  <c r="AL69" i="42"/>
  <c r="AK69" i="42"/>
  <c r="AD69" i="42"/>
  <c r="AC69" i="42"/>
  <c r="AB69" i="42"/>
  <c r="AA69" i="42"/>
  <c r="O69" i="42"/>
  <c r="AF69" i="42" s="1"/>
  <c r="N69" i="42"/>
  <c r="AH69" i="42" s="1"/>
  <c r="AN68" i="42"/>
  <c r="L68" i="66" s="1"/>
  <c r="AM68" i="42"/>
  <c r="O68" i="66" s="1"/>
  <c r="AL68" i="42"/>
  <c r="AK68" i="42"/>
  <c r="AD68" i="42"/>
  <c r="AC68" i="42"/>
  <c r="AB68" i="42"/>
  <c r="AA68" i="42"/>
  <c r="O68" i="42"/>
  <c r="AF68" i="42" s="1"/>
  <c r="N68" i="42"/>
  <c r="AE68" i="42" s="1"/>
  <c r="AN67" i="42"/>
  <c r="L67" i="66" s="1"/>
  <c r="AM67" i="42"/>
  <c r="O67" i="66" s="1"/>
  <c r="AL67" i="42"/>
  <c r="AK67" i="42"/>
  <c r="AD67" i="42"/>
  <c r="AC67" i="42"/>
  <c r="AB67" i="42"/>
  <c r="AA67" i="42"/>
  <c r="O67" i="42"/>
  <c r="AF67" i="42" s="1"/>
  <c r="N67" i="42"/>
  <c r="AE67" i="42" s="1"/>
  <c r="AN66" i="42"/>
  <c r="L66" i="66" s="1"/>
  <c r="AM66" i="42"/>
  <c r="O66" i="66" s="1"/>
  <c r="AL66" i="42"/>
  <c r="AK66" i="42"/>
  <c r="AD66" i="42"/>
  <c r="AC66" i="42"/>
  <c r="AB66" i="42"/>
  <c r="AA66" i="42"/>
  <c r="O66" i="42"/>
  <c r="AF66" i="42" s="1"/>
  <c r="N66" i="42"/>
  <c r="AH66" i="42" s="1"/>
  <c r="AN65" i="42"/>
  <c r="L65" i="66" s="1"/>
  <c r="AM65" i="42"/>
  <c r="O65" i="66" s="1"/>
  <c r="AL65" i="42"/>
  <c r="AK65" i="42"/>
  <c r="AD65" i="42"/>
  <c r="AC65" i="42"/>
  <c r="AB65" i="42"/>
  <c r="AA65" i="42"/>
  <c r="O65" i="42"/>
  <c r="AF65" i="42" s="1"/>
  <c r="N65" i="42"/>
  <c r="AE65" i="42" s="1"/>
  <c r="AN64" i="42"/>
  <c r="L64" i="66" s="1"/>
  <c r="AM64" i="42"/>
  <c r="O64" i="66" s="1"/>
  <c r="AL64" i="42"/>
  <c r="AK64" i="42"/>
  <c r="AD64" i="42"/>
  <c r="AC64" i="42"/>
  <c r="AB64" i="42"/>
  <c r="AA64" i="42"/>
  <c r="O64" i="42"/>
  <c r="AF64" i="42" s="1"/>
  <c r="N64" i="42"/>
  <c r="AE64" i="42" s="1"/>
  <c r="AN63" i="42"/>
  <c r="L63" i="66" s="1"/>
  <c r="AM63" i="42"/>
  <c r="O63" i="66" s="1"/>
  <c r="AL63" i="42"/>
  <c r="AK63" i="42"/>
  <c r="AD63" i="42"/>
  <c r="AC63" i="42"/>
  <c r="AB63" i="42"/>
  <c r="AA63" i="42"/>
  <c r="O63" i="42"/>
  <c r="AF63" i="42" s="1"/>
  <c r="N63" i="42"/>
  <c r="AH63" i="42" s="1"/>
  <c r="AN62" i="42"/>
  <c r="L62" i="66" s="1"/>
  <c r="AM62" i="42"/>
  <c r="O62" i="66" s="1"/>
  <c r="AL62" i="42"/>
  <c r="AK62" i="42"/>
  <c r="AD62" i="42"/>
  <c r="AC62" i="42"/>
  <c r="AB62" i="42"/>
  <c r="AA62" i="42"/>
  <c r="O62" i="42"/>
  <c r="AG62" i="42" s="1"/>
  <c r="N62" i="42"/>
  <c r="AH62" i="42" s="1"/>
  <c r="AN61" i="42"/>
  <c r="L61" i="66" s="1"/>
  <c r="AM61" i="42"/>
  <c r="O61" i="66" s="1"/>
  <c r="AL61" i="42"/>
  <c r="AK61" i="42"/>
  <c r="AD61" i="42"/>
  <c r="AC61" i="42"/>
  <c r="AB61" i="42"/>
  <c r="AA61" i="42"/>
  <c r="O61" i="42"/>
  <c r="AF61" i="42" s="1"/>
  <c r="N61" i="42"/>
  <c r="AE61" i="42" s="1"/>
  <c r="AN60" i="42"/>
  <c r="L60" i="66" s="1"/>
  <c r="AM60" i="42"/>
  <c r="O60" i="66" s="1"/>
  <c r="AL60" i="42"/>
  <c r="AK60" i="42"/>
  <c r="AD60" i="42"/>
  <c r="AC60" i="42"/>
  <c r="AB60" i="42"/>
  <c r="AA60" i="42"/>
  <c r="O60" i="42"/>
  <c r="AF60" i="42" s="1"/>
  <c r="N60" i="42"/>
  <c r="AH60" i="42" s="1"/>
  <c r="AN58" i="42"/>
  <c r="L58" i="66" s="1"/>
  <c r="AM58" i="42"/>
  <c r="O58" i="66" s="1"/>
  <c r="AL58" i="42"/>
  <c r="AK58" i="42"/>
  <c r="AD58" i="42"/>
  <c r="AC58" i="42"/>
  <c r="AB58" i="42"/>
  <c r="AA58" i="42"/>
  <c r="O58" i="42"/>
  <c r="AG58" i="42" s="1"/>
  <c r="N58" i="42"/>
  <c r="AH58" i="42" s="1"/>
  <c r="AN57" i="42"/>
  <c r="L57" i="66" s="1"/>
  <c r="AM57" i="42"/>
  <c r="O57" i="66" s="1"/>
  <c r="AL57" i="42"/>
  <c r="AK57" i="42"/>
  <c r="AD57" i="42"/>
  <c r="AC57" i="42"/>
  <c r="AB57" i="42"/>
  <c r="AA57" i="42"/>
  <c r="R57" i="42"/>
  <c r="O57" i="42"/>
  <c r="AF57" i="42" s="1"/>
  <c r="N57" i="42"/>
  <c r="AE57" i="42" s="1"/>
  <c r="AN56" i="42"/>
  <c r="L56" i="66" s="1"/>
  <c r="AM56" i="42"/>
  <c r="O56" i="66" s="1"/>
  <c r="AL56" i="42"/>
  <c r="AK56" i="42"/>
  <c r="AD56" i="42"/>
  <c r="AC56" i="42"/>
  <c r="AB56" i="42"/>
  <c r="AA56" i="42"/>
  <c r="O56" i="42"/>
  <c r="AG56" i="42" s="1"/>
  <c r="N56" i="42"/>
  <c r="AH56" i="42" s="1"/>
  <c r="AN55" i="42"/>
  <c r="L55" i="66" s="1"/>
  <c r="AM55" i="42"/>
  <c r="O55" i="66" s="1"/>
  <c r="AL55" i="42"/>
  <c r="AK55" i="42"/>
  <c r="AD55" i="42"/>
  <c r="AC55" i="42"/>
  <c r="AB55" i="42"/>
  <c r="AA55" i="42"/>
  <c r="O55" i="42"/>
  <c r="AF55" i="42" s="1"/>
  <c r="N55" i="42"/>
  <c r="AH55" i="42" s="1"/>
  <c r="AN54" i="42"/>
  <c r="L54" i="66" s="1"/>
  <c r="AM54" i="42"/>
  <c r="O54" i="66" s="1"/>
  <c r="AL54" i="42"/>
  <c r="AK54" i="42"/>
  <c r="AD54" i="42"/>
  <c r="AC54" i="42"/>
  <c r="AB54" i="42"/>
  <c r="AA54" i="42"/>
  <c r="O54" i="42"/>
  <c r="N54" i="42"/>
  <c r="AH54" i="42" s="1"/>
  <c r="AN52" i="42"/>
  <c r="L52" i="66" s="1"/>
  <c r="AM52" i="42"/>
  <c r="O52" i="66" s="1"/>
  <c r="AL52" i="42"/>
  <c r="AK52" i="42"/>
  <c r="AD52" i="42"/>
  <c r="AC52" i="42"/>
  <c r="AB52" i="42"/>
  <c r="AA52" i="42"/>
  <c r="O52" i="42"/>
  <c r="AG52" i="42" s="1"/>
  <c r="N52" i="42"/>
  <c r="AH52" i="42" s="1"/>
  <c r="AN51" i="42"/>
  <c r="L51" i="66" s="1"/>
  <c r="AM51" i="42"/>
  <c r="O51" i="66" s="1"/>
  <c r="AL51" i="42"/>
  <c r="AK51" i="42"/>
  <c r="AJ51" i="42"/>
  <c r="M51" i="66" s="1"/>
  <c r="AD51" i="42"/>
  <c r="AC51" i="42"/>
  <c r="AB51" i="42"/>
  <c r="AA51" i="42"/>
  <c r="R51" i="42"/>
  <c r="O51" i="42"/>
  <c r="AG51" i="42" s="1"/>
  <c r="N51" i="42"/>
  <c r="AH51" i="42" s="1"/>
  <c r="AN49" i="42"/>
  <c r="L50" i="66" s="1"/>
  <c r="AM49" i="42"/>
  <c r="O50" i="66" s="1"/>
  <c r="AL49" i="42"/>
  <c r="AK49" i="42"/>
  <c r="AD49" i="42"/>
  <c r="AC49" i="42"/>
  <c r="AB49" i="42"/>
  <c r="AA49" i="42"/>
  <c r="R49" i="42"/>
  <c r="O49" i="42"/>
  <c r="AG49" i="42" s="1"/>
  <c r="N49" i="42"/>
  <c r="AH49" i="42" s="1"/>
  <c r="AN48" i="42"/>
  <c r="L49" i="66" s="1"/>
  <c r="AM48" i="42"/>
  <c r="O49" i="66" s="1"/>
  <c r="AL48" i="42"/>
  <c r="AK48" i="42"/>
  <c r="AC48" i="42"/>
  <c r="AB48" i="42"/>
  <c r="AA48" i="42"/>
  <c r="O48" i="42"/>
  <c r="N48" i="42"/>
  <c r="M48" i="42"/>
  <c r="C49" i="66" s="1"/>
  <c r="AN46" i="42"/>
  <c r="L47" i="66" s="1"/>
  <c r="AM46" i="42"/>
  <c r="O47" i="66" s="1"/>
  <c r="AL46" i="42"/>
  <c r="AK46" i="42"/>
  <c r="AJ46" i="42"/>
  <c r="M47" i="66" s="1"/>
  <c r="AI46" i="42"/>
  <c r="AD46" i="42"/>
  <c r="AC46" i="42"/>
  <c r="AB46" i="42"/>
  <c r="AA46" i="42"/>
  <c r="O46" i="42"/>
  <c r="AF46" i="42" s="1"/>
  <c r="N46" i="42"/>
  <c r="AE46" i="42" s="1"/>
  <c r="AN45" i="42"/>
  <c r="L46" i="66" s="1"/>
  <c r="AM45" i="42"/>
  <c r="O46" i="66" s="1"/>
  <c r="AL45" i="42"/>
  <c r="AK45" i="42"/>
  <c r="AD45" i="42"/>
  <c r="AC45" i="42"/>
  <c r="AB45" i="42"/>
  <c r="AA45" i="42"/>
  <c r="O45" i="42"/>
  <c r="AF45" i="42" s="1"/>
  <c r="N45" i="42"/>
  <c r="AE45" i="42" s="1"/>
  <c r="AN44" i="42"/>
  <c r="L45" i="66" s="1"/>
  <c r="AM44" i="42"/>
  <c r="O45" i="66" s="1"/>
  <c r="AL44" i="42"/>
  <c r="AK44" i="42"/>
  <c r="AD44" i="42"/>
  <c r="AC44" i="42"/>
  <c r="AB44" i="42"/>
  <c r="AA44" i="42"/>
  <c r="O44" i="42"/>
  <c r="AG44" i="42" s="1"/>
  <c r="N44" i="42"/>
  <c r="AH44" i="42" s="1"/>
  <c r="AN43" i="42"/>
  <c r="L44" i="66" s="1"/>
  <c r="AM43" i="42"/>
  <c r="O44" i="66" s="1"/>
  <c r="AL43" i="42"/>
  <c r="AK43" i="42"/>
  <c r="AJ43" i="42"/>
  <c r="M44" i="66" s="1"/>
  <c r="AI43" i="42"/>
  <c r="AD43" i="42"/>
  <c r="AC43" i="42"/>
  <c r="AB43" i="42"/>
  <c r="AA43" i="42"/>
  <c r="O43" i="42"/>
  <c r="AF43" i="42" s="1"/>
  <c r="N43" i="42"/>
  <c r="AE43" i="42" s="1"/>
  <c r="AN42" i="42"/>
  <c r="L43" i="66" s="1"/>
  <c r="AM42" i="42"/>
  <c r="O43" i="66" s="1"/>
  <c r="AL42" i="42"/>
  <c r="AK42" i="42"/>
  <c r="AJ42" i="42"/>
  <c r="M43" i="66" s="1"/>
  <c r="AI42" i="42"/>
  <c r="AC42" i="42"/>
  <c r="AB42" i="42"/>
  <c r="AA42" i="42"/>
  <c r="O42" i="42"/>
  <c r="AF42" i="42" s="1"/>
  <c r="N42" i="42"/>
  <c r="AE42" i="42" s="1"/>
  <c r="M42" i="42"/>
  <c r="AD42" i="42" s="1"/>
  <c r="AN41" i="42"/>
  <c r="L42" i="66" s="1"/>
  <c r="AM41" i="42"/>
  <c r="O42" i="66" s="1"/>
  <c r="AL41" i="42"/>
  <c r="AK41" i="42"/>
  <c r="AD41" i="42"/>
  <c r="AC41" i="42"/>
  <c r="AB41" i="42"/>
  <c r="AA41" i="42"/>
  <c r="O41" i="42"/>
  <c r="AG41" i="42" s="1"/>
  <c r="N41" i="42"/>
  <c r="AH41" i="42" s="1"/>
  <c r="AN40" i="42"/>
  <c r="L41" i="66" s="1"/>
  <c r="AM40" i="42"/>
  <c r="O41" i="66" s="1"/>
  <c r="AL40" i="42"/>
  <c r="AK40" i="42"/>
  <c r="AJ40" i="42"/>
  <c r="M41" i="66" s="1"/>
  <c r="AD40" i="42"/>
  <c r="AC40" i="42"/>
  <c r="AB40" i="42"/>
  <c r="AA40" i="42"/>
  <c r="O40" i="42"/>
  <c r="N40" i="42"/>
  <c r="AH40" i="42" s="1"/>
  <c r="AN39" i="42"/>
  <c r="L40" i="66" s="1"/>
  <c r="AM39" i="42"/>
  <c r="O40" i="66" s="1"/>
  <c r="AL39" i="42"/>
  <c r="AK39" i="42"/>
  <c r="AD39" i="42"/>
  <c r="AC39" i="42"/>
  <c r="AB39" i="42"/>
  <c r="AA39" i="42"/>
  <c r="O39" i="42"/>
  <c r="AG39" i="42" s="1"/>
  <c r="N39" i="42"/>
  <c r="AH39" i="42" s="1"/>
  <c r="AN38" i="42"/>
  <c r="L39" i="66" s="1"/>
  <c r="AM38" i="42"/>
  <c r="O39" i="66" s="1"/>
  <c r="AL38" i="42"/>
  <c r="AK38" i="42"/>
  <c r="AJ38" i="42"/>
  <c r="M39" i="66" s="1"/>
  <c r="AI38" i="42"/>
  <c r="AD38" i="42"/>
  <c r="AC38" i="42"/>
  <c r="AB38" i="42"/>
  <c r="AA38" i="42"/>
  <c r="O38" i="42"/>
  <c r="AG38" i="42" s="1"/>
  <c r="N38" i="42"/>
  <c r="AH38" i="42" s="1"/>
  <c r="AN37" i="42"/>
  <c r="L38" i="66" s="1"/>
  <c r="AM37" i="42"/>
  <c r="O38" i="66" s="1"/>
  <c r="AL37" i="42"/>
  <c r="AK37" i="42"/>
  <c r="AJ37" i="42"/>
  <c r="M38" i="66" s="1"/>
  <c r="AI37" i="42"/>
  <c r="AD37" i="42"/>
  <c r="AC37" i="42"/>
  <c r="AB37" i="42"/>
  <c r="AA37" i="42"/>
  <c r="O37" i="42"/>
  <c r="N37" i="42"/>
  <c r="AH37" i="42" s="1"/>
  <c r="AN36" i="42"/>
  <c r="L37" i="66" s="1"/>
  <c r="AM36" i="42"/>
  <c r="O37" i="66" s="1"/>
  <c r="AL36" i="42"/>
  <c r="AK36" i="42"/>
  <c r="AD36" i="42"/>
  <c r="AC36" i="42"/>
  <c r="AB36" i="42"/>
  <c r="AA36" i="42"/>
  <c r="O36" i="42"/>
  <c r="AG36" i="42" s="1"/>
  <c r="N36" i="42"/>
  <c r="AH36" i="42" s="1"/>
  <c r="AN35" i="42"/>
  <c r="L36" i="66" s="1"/>
  <c r="AM35" i="42"/>
  <c r="O36" i="66" s="1"/>
  <c r="AL35" i="42"/>
  <c r="AK35" i="42"/>
  <c r="AD35" i="42"/>
  <c r="AC35" i="42"/>
  <c r="AB35" i="42"/>
  <c r="AA35" i="42"/>
  <c r="O35" i="42"/>
  <c r="AG35" i="42" s="1"/>
  <c r="N35" i="42"/>
  <c r="AH35" i="42" s="1"/>
  <c r="AN34" i="42"/>
  <c r="L35" i="66" s="1"/>
  <c r="AM34" i="42"/>
  <c r="O35" i="66" s="1"/>
  <c r="AL34" i="42"/>
  <c r="AK34" i="42"/>
  <c r="AJ34" i="42"/>
  <c r="M35" i="66" s="1"/>
  <c r="AI34" i="42"/>
  <c r="AD34" i="42"/>
  <c r="AC34" i="42"/>
  <c r="AB34" i="42"/>
  <c r="AA34" i="42"/>
  <c r="O34" i="42"/>
  <c r="N34" i="42"/>
  <c r="AH34" i="42" s="1"/>
  <c r="AN33" i="42"/>
  <c r="L34" i="66" s="1"/>
  <c r="AM33" i="42"/>
  <c r="O34" i="66" s="1"/>
  <c r="AL33" i="42"/>
  <c r="AK33" i="42"/>
  <c r="AD33" i="42"/>
  <c r="AC33" i="42"/>
  <c r="AB33" i="42"/>
  <c r="AA33" i="42"/>
  <c r="O33" i="42"/>
  <c r="AG33" i="42" s="1"/>
  <c r="N33" i="42"/>
  <c r="AE33" i="42" s="1"/>
  <c r="AN32" i="42"/>
  <c r="L33" i="66" s="1"/>
  <c r="AM32" i="42"/>
  <c r="O33" i="66" s="1"/>
  <c r="AL32" i="42"/>
  <c r="AK32" i="42"/>
  <c r="AD32" i="42"/>
  <c r="AC32" i="42"/>
  <c r="AB32" i="42"/>
  <c r="AA32" i="42"/>
  <c r="O32" i="42"/>
  <c r="AF32" i="42" s="1"/>
  <c r="N32" i="42"/>
  <c r="AH32" i="42" s="1"/>
  <c r="AN31" i="42"/>
  <c r="L32" i="66" s="1"/>
  <c r="AM31" i="42"/>
  <c r="O32" i="66" s="1"/>
  <c r="AL31" i="42"/>
  <c r="AK31" i="42"/>
  <c r="AD31" i="42"/>
  <c r="AC31" i="42"/>
  <c r="AB31" i="42"/>
  <c r="AA31" i="42"/>
  <c r="O31" i="42"/>
  <c r="N31" i="42"/>
  <c r="AH31" i="42" s="1"/>
  <c r="AN30" i="42"/>
  <c r="L31" i="66" s="1"/>
  <c r="AM30" i="42"/>
  <c r="O31" i="66" s="1"/>
  <c r="AL30" i="42"/>
  <c r="AK30" i="42"/>
  <c r="AJ30" i="42"/>
  <c r="M31" i="66" s="1"/>
  <c r="AI30" i="42"/>
  <c r="AD30" i="42"/>
  <c r="AC30" i="42"/>
  <c r="AB30" i="42"/>
  <c r="AA30" i="42"/>
  <c r="O30" i="42"/>
  <c r="AG30" i="42" s="1"/>
  <c r="N30" i="42"/>
  <c r="AH30" i="42" s="1"/>
  <c r="AN29" i="42"/>
  <c r="L30" i="66" s="1"/>
  <c r="AM29" i="42"/>
  <c r="O30" i="66" s="1"/>
  <c r="AL29" i="42"/>
  <c r="AK29" i="42"/>
  <c r="AD29" i="42"/>
  <c r="AC29" i="42"/>
  <c r="AB29" i="42"/>
  <c r="AA29" i="42"/>
  <c r="O29" i="42"/>
  <c r="AG29" i="42" s="1"/>
  <c r="N29" i="42"/>
  <c r="AH29" i="42" s="1"/>
  <c r="AN28" i="42"/>
  <c r="L29" i="66" s="1"/>
  <c r="AM28" i="42"/>
  <c r="O29" i="66" s="1"/>
  <c r="AL28" i="42"/>
  <c r="AK28" i="42"/>
  <c r="AJ28" i="42"/>
  <c r="M29" i="66" s="1"/>
  <c r="AI28" i="42"/>
  <c r="AD28" i="42"/>
  <c r="AC28" i="42"/>
  <c r="AB28" i="42"/>
  <c r="AA28" i="42"/>
  <c r="O28" i="42"/>
  <c r="N28" i="42"/>
  <c r="AH28" i="42" s="1"/>
  <c r="AN27" i="42"/>
  <c r="L28" i="66" s="1"/>
  <c r="AM27" i="42"/>
  <c r="O28" i="66" s="1"/>
  <c r="AL27" i="42"/>
  <c r="AK27" i="42"/>
  <c r="AD27" i="42"/>
  <c r="AC27" i="42"/>
  <c r="AB27" i="42"/>
  <c r="AA27" i="42"/>
  <c r="O27" i="42"/>
  <c r="AG27" i="42" s="1"/>
  <c r="N27" i="42"/>
  <c r="AE27" i="42" s="1"/>
  <c r="AN26" i="42"/>
  <c r="L27" i="66" s="1"/>
  <c r="AM26" i="42"/>
  <c r="O27" i="66" s="1"/>
  <c r="AL26" i="42"/>
  <c r="AK26" i="42"/>
  <c r="AD26" i="42"/>
  <c r="AC26" i="42"/>
  <c r="AB26" i="42"/>
  <c r="AA26" i="42"/>
  <c r="O26" i="42"/>
  <c r="AG26" i="42" s="1"/>
  <c r="N26" i="42"/>
  <c r="AE26" i="42" s="1"/>
  <c r="AN25" i="42"/>
  <c r="L26" i="66" s="1"/>
  <c r="AM25" i="42"/>
  <c r="O26" i="66" s="1"/>
  <c r="AL25" i="42"/>
  <c r="AK25" i="42"/>
  <c r="AD25" i="42"/>
  <c r="AC25" i="42"/>
  <c r="AB25" i="42"/>
  <c r="AA25" i="42"/>
  <c r="O25" i="42"/>
  <c r="N25" i="42"/>
  <c r="AH25" i="42" s="1"/>
  <c r="AN24" i="42"/>
  <c r="L25" i="66" s="1"/>
  <c r="AM24" i="42"/>
  <c r="O25" i="66" s="1"/>
  <c r="AL24" i="42"/>
  <c r="AK24" i="42"/>
  <c r="AD24" i="42"/>
  <c r="AC24" i="42"/>
  <c r="AB24" i="42"/>
  <c r="AA24" i="42"/>
  <c r="O24" i="42"/>
  <c r="AG24" i="42" s="1"/>
  <c r="N24" i="42"/>
  <c r="AH24" i="42" s="1"/>
  <c r="AN23" i="42"/>
  <c r="L24" i="66" s="1"/>
  <c r="AM23" i="42"/>
  <c r="O24" i="66" s="1"/>
  <c r="AL23" i="42"/>
  <c r="AK23" i="42"/>
  <c r="AD23" i="42"/>
  <c r="AC23" i="42"/>
  <c r="AB23" i="42"/>
  <c r="AA23" i="42"/>
  <c r="O23" i="42"/>
  <c r="AF23" i="42" s="1"/>
  <c r="N23" i="42"/>
  <c r="AH23" i="42" s="1"/>
  <c r="AN22" i="42"/>
  <c r="L23" i="66" s="1"/>
  <c r="AM22" i="42"/>
  <c r="O23" i="66" s="1"/>
  <c r="AL22" i="42"/>
  <c r="AK22" i="42"/>
  <c r="AJ22" i="42"/>
  <c r="M23" i="66" s="1"/>
  <c r="AI22" i="42"/>
  <c r="AD22" i="42"/>
  <c r="AC22" i="42"/>
  <c r="AB22" i="42"/>
  <c r="AA22" i="42"/>
  <c r="O22" i="42"/>
  <c r="N22" i="42"/>
  <c r="AE22" i="42" s="1"/>
  <c r="AN21" i="42"/>
  <c r="L22" i="66" s="1"/>
  <c r="AM21" i="42"/>
  <c r="O22" i="66" s="1"/>
  <c r="AL21" i="42"/>
  <c r="AK21" i="42"/>
  <c r="AD21" i="42"/>
  <c r="AC21" i="42"/>
  <c r="AB21" i="42"/>
  <c r="AA21" i="42"/>
  <c r="O21" i="42"/>
  <c r="AG21" i="42" s="1"/>
  <c r="N21" i="42"/>
  <c r="AH21" i="42" s="1"/>
  <c r="AN20" i="42"/>
  <c r="L21" i="66" s="1"/>
  <c r="AM20" i="42"/>
  <c r="O21" i="66" s="1"/>
  <c r="AL20" i="42"/>
  <c r="AK20" i="42"/>
  <c r="AJ20" i="42"/>
  <c r="M21" i="66" s="1"/>
  <c r="AD20" i="42"/>
  <c r="AC20" i="42"/>
  <c r="AB20" i="42"/>
  <c r="AA20" i="42"/>
  <c r="O20" i="42"/>
  <c r="AG20" i="42" s="1"/>
  <c r="N20" i="42"/>
  <c r="AH20" i="42" s="1"/>
  <c r="AN19" i="42"/>
  <c r="L20" i="66" s="1"/>
  <c r="AM19" i="42"/>
  <c r="O20" i="66" s="1"/>
  <c r="AL19" i="42"/>
  <c r="AK19" i="42"/>
  <c r="AD19" i="42"/>
  <c r="AC19" i="42"/>
  <c r="AB19" i="42"/>
  <c r="AA19" i="42"/>
  <c r="O19" i="42"/>
  <c r="N19" i="42"/>
  <c r="AH19" i="42" s="1"/>
  <c r="AN18" i="42"/>
  <c r="L19" i="66" s="1"/>
  <c r="AM18" i="42"/>
  <c r="O19" i="66" s="1"/>
  <c r="AL18" i="42"/>
  <c r="AK18" i="42"/>
  <c r="AJ18" i="42"/>
  <c r="M19" i="66" s="1"/>
  <c r="AI18" i="42"/>
  <c r="AD18" i="42"/>
  <c r="AC18" i="42"/>
  <c r="AB18" i="42"/>
  <c r="AA18" i="42"/>
  <c r="O18" i="42"/>
  <c r="AG18" i="42" s="1"/>
  <c r="N18" i="42"/>
  <c r="AE18" i="42" s="1"/>
  <c r="AN17" i="42"/>
  <c r="L18" i="66" s="1"/>
  <c r="AM17" i="42"/>
  <c r="O18" i="66" s="1"/>
  <c r="AL17" i="42"/>
  <c r="AK17" i="42"/>
  <c r="AJ17" i="42"/>
  <c r="M18" i="66" s="1"/>
  <c r="AI17" i="42"/>
  <c r="AD17" i="42"/>
  <c r="AC17" i="42"/>
  <c r="AB17" i="42"/>
  <c r="AA17" i="42"/>
  <c r="O17" i="42"/>
  <c r="AG17" i="42" s="1"/>
  <c r="N17" i="42"/>
  <c r="AH17" i="42" s="1"/>
  <c r="AN16" i="42"/>
  <c r="L17" i="66" s="1"/>
  <c r="AM16" i="42"/>
  <c r="O17" i="66" s="1"/>
  <c r="AL16" i="42"/>
  <c r="AK16" i="42"/>
  <c r="AC16" i="42"/>
  <c r="AB16" i="42"/>
  <c r="AA16" i="42"/>
  <c r="R16" i="42"/>
  <c r="O16" i="42"/>
  <c r="N16" i="42"/>
  <c r="M16" i="42"/>
  <c r="AN15" i="42"/>
  <c r="L16" i="66" s="1"/>
  <c r="AM15" i="42"/>
  <c r="O16" i="66" s="1"/>
  <c r="AL15" i="42"/>
  <c r="AK15" i="42"/>
  <c r="AJ15" i="42"/>
  <c r="M16" i="66" s="1"/>
  <c r="AI15" i="42"/>
  <c r="AD15" i="42"/>
  <c r="AC15" i="42"/>
  <c r="AB15" i="42"/>
  <c r="AA15" i="42"/>
  <c r="O15" i="42"/>
  <c r="AG15" i="42" s="1"/>
  <c r="N15" i="42"/>
  <c r="AE15" i="42" s="1"/>
  <c r="AN14" i="42"/>
  <c r="L15" i="66" s="1"/>
  <c r="AM14" i="42"/>
  <c r="O15" i="66" s="1"/>
  <c r="AL14" i="42"/>
  <c r="AK14" i="42"/>
  <c r="AD14" i="42"/>
  <c r="AC14" i="42"/>
  <c r="AB14" i="42"/>
  <c r="AA14" i="42"/>
  <c r="O14" i="42"/>
  <c r="AG14" i="42" s="1"/>
  <c r="N14" i="42"/>
  <c r="AE14" i="42" s="1"/>
  <c r="AN13" i="42"/>
  <c r="L14" i="66" s="1"/>
  <c r="AM13" i="42"/>
  <c r="O14" i="66" s="1"/>
  <c r="AL13" i="42"/>
  <c r="AK13" i="42"/>
  <c r="AJ13" i="42"/>
  <c r="M14" i="66" s="1"/>
  <c r="AI13" i="42"/>
  <c r="AD13" i="42"/>
  <c r="AC13" i="42"/>
  <c r="AB13" i="42"/>
  <c r="AA13" i="42"/>
  <c r="O13" i="42"/>
  <c r="AG13" i="42" s="1"/>
  <c r="N13" i="42"/>
  <c r="AN12" i="42"/>
  <c r="L13" i="66" s="1"/>
  <c r="AM12" i="42"/>
  <c r="O13" i="66" s="1"/>
  <c r="AL12" i="42"/>
  <c r="AK12" i="42"/>
  <c r="AD12" i="42"/>
  <c r="AC12" i="42"/>
  <c r="AB12" i="42"/>
  <c r="AA12" i="42"/>
  <c r="O12" i="42"/>
  <c r="AF12" i="42" s="1"/>
  <c r="N12" i="42"/>
  <c r="AH12" i="42" s="1"/>
  <c r="AN11" i="42"/>
  <c r="L12" i="66" s="1"/>
  <c r="AM11" i="42"/>
  <c r="O12" i="66" s="1"/>
  <c r="AL11" i="42"/>
  <c r="AK11" i="42"/>
  <c r="AJ11" i="42"/>
  <c r="M12" i="66" s="1"/>
  <c r="AI11" i="42"/>
  <c r="AD11" i="42"/>
  <c r="AC11" i="42"/>
  <c r="AB11" i="42"/>
  <c r="AA11" i="42"/>
  <c r="O11" i="42"/>
  <c r="AF11" i="42" s="1"/>
  <c r="N11" i="42"/>
  <c r="AE11" i="42" s="1"/>
  <c r="AN10" i="42"/>
  <c r="L11" i="66" s="1"/>
  <c r="AM10" i="42"/>
  <c r="O11" i="66" s="1"/>
  <c r="AL10" i="42"/>
  <c r="AK10" i="42"/>
  <c r="AJ10" i="42"/>
  <c r="M11" i="66" s="1"/>
  <c r="AI10" i="42"/>
  <c r="AD10" i="42"/>
  <c r="AC10" i="42"/>
  <c r="AB10" i="42"/>
  <c r="AA10" i="42"/>
  <c r="O10" i="42"/>
  <c r="AG10" i="42" s="1"/>
  <c r="N10" i="42"/>
  <c r="AN9" i="42"/>
  <c r="L10" i="66" s="1"/>
  <c r="AM9" i="42"/>
  <c r="O10" i="66" s="1"/>
  <c r="AL9" i="42"/>
  <c r="AK9" i="42"/>
  <c r="AJ9" i="42"/>
  <c r="M10" i="66" s="1"/>
  <c r="AI9" i="42"/>
  <c r="AD9" i="42"/>
  <c r="AC9" i="42"/>
  <c r="AB9" i="42"/>
  <c r="AA9" i="42"/>
  <c r="O9" i="42"/>
  <c r="AG9" i="42" s="1"/>
  <c r="N9" i="42"/>
  <c r="AH9" i="42" s="1"/>
  <c r="U730" i="55"/>
  <c r="T730" i="55"/>
  <c r="U729" i="55"/>
  <c r="T729" i="55"/>
  <c r="U728" i="55"/>
  <c r="T728" i="55"/>
  <c r="U727" i="55"/>
  <c r="T727" i="55"/>
  <c r="U726" i="55"/>
  <c r="T726" i="55"/>
  <c r="U725" i="55"/>
  <c r="T725" i="55"/>
  <c r="U724" i="55"/>
  <c r="T724" i="55"/>
  <c r="U723" i="55"/>
  <c r="T723" i="55"/>
  <c r="U722" i="55"/>
  <c r="T722" i="55"/>
  <c r="U721" i="55"/>
  <c r="T721" i="55"/>
  <c r="U720" i="55"/>
  <c r="T720" i="55"/>
  <c r="U719" i="55"/>
  <c r="T719" i="55"/>
  <c r="U718" i="55"/>
  <c r="T718" i="55"/>
  <c r="U717" i="55"/>
  <c r="T717" i="55"/>
  <c r="U716" i="55"/>
  <c r="T716" i="55"/>
  <c r="U715" i="55"/>
  <c r="T715" i="55"/>
  <c r="U714" i="55"/>
  <c r="T714" i="55"/>
  <c r="W713" i="55"/>
  <c r="W714" i="55" s="1"/>
  <c r="U713" i="55"/>
  <c r="T713" i="55"/>
  <c r="U712" i="55"/>
  <c r="T712" i="55"/>
  <c r="U711" i="55"/>
  <c r="T711" i="55"/>
  <c r="U710" i="55"/>
  <c r="T710" i="55"/>
  <c r="U709" i="55"/>
  <c r="T709" i="55"/>
  <c r="U708" i="55"/>
  <c r="T708" i="55"/>
  <c r="U707" i="55"/>
  <c r="T707" i="55"/>
  <c r="U706" i="55"/>
  <c r="T706" i="55"/>
  <c r="U705" i="55"/>
  <c r="T705" i="55"/>
  <c r="U704" i="55"/>
  <c r="T704" i="55"/>
  <c r="U703" i="55"/>
  <c r="T703" i="55"/>
  <c r="U702" i="55"/>
  <c r="T702" i="55"/>
  <c r="U701" i="55"/>
  <c r="T701" i="55"/>
  <c r="U700" i="55"/>
  <c r="T700" i="55"/>
  <c r="U699" i="55"/>
  <c r="T699" i="55"/>
  <c r="U698" i="55"/>
  <c r="T698" i="55"/>
  <c r="U697" i="55"/>
  <c r="T697" i="55"/>
  <c r="U696" i="55"/>
  <c r="T696" i="55"/>
  <c r="U695" i="55"/>
  <c r="T695" i="55"/>
  <c r="U694" i="55"/>
  <c r="T694" i="55"/>
  <c r="U693" i="55"/>
  <c r="T693" i="55"/>
  <c r="U692" i="55"/>
  <c r="T692" i="55"/>
  <c r="U691" i="55"/>
  <c r="T691" i="55"/>
  <c r="U690" i="55"/>
  <c r="T690" i="55"/>
  <c r="U689" i="55"/>
  <c r="T689" i="55"/>
  <c r="U688" i="55"/>
  <c r="T688" i="55"/>
  <c r="U687" i="55"/>
  <c r="T687" i="55"/>
  <c r="U686" i="55"/>
  <c r="T686" i="55"/>
  <c r="U685" i="55"/>
  <c r="T685" i="55"/>
  <c r="U684" i="55"/>
  <c r="T684" i="55"/>
  <c r="U683" i="55"/>
  <c r="T683" i="55"/>
  <c r="U682" i="55"/>
  <c r="T682" i="55"/>
  <c r="U681" i="55"/>
  <c r="T681" i="55"/>
  <c r="U680" i="55"/>
  <c r="T680" i="55"/>
  <c r="U679" i="55"/>
  <c r="T679" i="55"/>
  <c r="U678" i="55"/>
  <c r="T678" i="55"/>
  <c r="U677" i="55"/>
  <c r="T677" i="55"/>
  <c r="U676" i="55"/>
  <c r="T676" i="55"/>
  <c r="U675" i="55"/>
  <c r="T675" i="55"/>
  <c r="U674" i="55"/>
  <c r="T674" i="55"/>
  <c r="U673" i="55"/>
  <c r="T673" i="55"/>
  <c r="U672" i="55"/>
  <c r="T672" i="55"/>
  <c r="U671" i="55"/>
  <c r="T671" i="55"/>
  <c r="U670" i="55"/>
  <c r="T670" i="55"/>
  <c r="U669" i="55"/>
  <c r="T669" i="55"/>
  <c r="U668" i="55"/>
  <c r="T668" i="55"/>
  <c r="U667" i="55"/>
  <c r="T667" i="55"/>
  <c r="U666" i="55"/>
  <c r="T666" i="55"/>
  <c r="U665" i="55"/>
  <c r="T665" i="55"/>
  <c r="U664" i="55"/>
  <c r="T664" i="55"/>
  <c r="U663" i="55"/>
  <c r="T663" i="55"/>
  <c r="U662" i="55"/>
  <c r="T662" i="55"/>
  <c r="U661" i="55"/>
  <c r="T661" i="55"/>
  <c r="U660" i="55"/>
  <c r="T660" i="55"/>
  <c r="U659" i="55"/>
  <c r="T659" i="55"/>
  <c r="U658" i="55"/>
  <c r="T658" i="55"/>
  <c r="U657" i="55"/>
  <c r="T657" i="55"/>
  <c r="U656" i="55"/>
  <c r="T656" i="55"/>
  <c r="U655" i="55"/>
  <c r="T655" i="55"/>
  <c r="U654" i="55"/>
  <c r="T654" i="55"/>
  <c r="U653" i="55"/>
  <c r="T653" i="55"/>
  <c r="U652" i="55"/>
  <c r="T652" i="55"/>
  <c r="U651" i="55"/>
  <c r="T651" i="55"/>
  <c r="U650" i="55"/>
  <c r="T650" i="55"/>
  <c r="U649" i="55"/>
  <c r="T649" i="55"/>
  <c r="U648" i="55"/>
  <c r="T648" i="55"/>
  <c r="U647" i="55"/>
  <c r="T647" i="55"/>
  <c r="U646" i="55"/>
  <c r="T646" i="55"/>
  <c r="U645" i="55"/>
  <c r="T645" i="55"/>
  <c r="U644" i="55"/>
  <c r="T644" i="55"/>
  <c r="U643" i="55"/>
  <c r="T643" i="55"/>
  <c r="U642" i="55"/>
  <c r="T642" i="55"/>
  <c r="U641" i="55"/>
  <c r="T641" i="55"/>
  <c r="U640" i="55"/>
  <c r="T640" i="55"/>
  <c r="U639" i="55"/>
  <c r="T639" i="55"/>
  <c r="U638" i="55"/>
  <c r="T638" i="55"/>
  <c r="U637" i="55"/>
  <c r="T637" i="55"/>
  <c r="U636" i="55"/>
  <c r="T636" i="55"/>
  <c r="U635" i="55"/>
  <c r="T635" i="55"/>
  <c r="U634" i="55"/>
  <c r="T634" i="55"/>
  <c r="U633" i="55"/>
  <c r="T633" i="55"/>
  <c r="U632" i="55"/>
  <c r="T632" i="55"/>
  <c r="U631" i="55"/>
  <c r="T631" i="55"/>
  <c r="U630" i="55"/>
  <c r="T630" i="55"/>
  <c r="U629" i="55"/>
  <c r="T629" i="55"/>
  <c r="U628" i="55"/>
  <c r="T628" i="55"/>
  <c r="U627" i="55"/>
  <c r="T627" i="55"/>
  <c r="U626" i="55"/>
  <c r="T626" i="55"/>
  <c r="U625" i="55"/>
  <c r="T625" i="55"/>
  <c r="U624" i="55"/>
  <c r="T624" i="55"/>
  <c r="U623" i="55"/>
  <c r="T623" i="55"/>
  <c r="U622" i="55"/>
  <c r="T622" i="55"/>
  <c r="U621" i="55"/>
  <c r="T621" i="55"/>
  <c r="U620" i="55"/>
  <c r="T620" i="55"/>
  <c r="U619" i="55"/>
  <c r="T619" i="55"/>
  <c r="U618" i="55"/>
  <c r="T618" i="55"/>
  <c r="U617" i="55"/>
  <c r="T617" i="55"/>
  <c r="U616" i="55"/>
  <c r="T616" i="55"/>
  <c r="U615" i="55"/>
  <c r="T615" i="55"/>
  <c r="U614" i="55"/>
  <c r="T614" i="55"/>
  <c r="U613" i="55"/>
  <c r="T613" i="55"/>
  <c r="U612" i="55"/>
  <c r="T612" i="55"/>
  <c r="U611" i="55"/>
  <c r="T611" i="55"/>
  <c r="U610" i="55"/>
  <c r="T610" i="55"/>
  <c r="U609" i="55"/>
  <c r="T609" i="55"/>
  <c r="U608" i="55"/>
  <c r="T608" i="55"/>
  <c r="U607" i="55"/>
  <c r="T607" i="55"/>
  <c r="U606" i="55"/>
  <c r="T606" i="55"/>
  <c r="U605" i="55"/>
  <c r="T605" i="55"/>
  <c r="U604" i="55"/>
  <c r="T604" i="55"/>
  <c r="U603" i="55"/>
  <c r="T603" i="55"/>
  <c r="U602" i="55"/>
  <c r="T602" i="55"/>
  <c r="U601" i="55"/>
  <c r="T601" i="55"/>
  <c r="U600" i="55"/>
  <c r="T600" i="55"/>
  <c r="U599" i="55"/>
  <c r="T599" i="55"/>
  <c r="U598" i="55"/>
  <c r="T598" i="55"/>
  <c r="U597" i="55"/>
  <c r="T597" i="55"/>
  <c r="U596" i="55"/>
  <c r="T596" i="55"/>
  <c r="U595" i="55"/>
  <c r="T595" i="55"/>
  <c r="U594" i="55"/>
  <c r="T594" i="55"/>
  <c r="U593" i="55"/>
  <c r="T593" i="55"/>
  <c r="U592" i="55"/>
  <c r="T592" i="55"/>
  <c r="U591" i="55"/>
  <c r="T591" i="55"/>
  <c r="U590" i="55"/>
  <c r="T590" i="55"/>
  <c r="U589" i="55"/>
  <c r="T589" i="55"/>
  <c r="U588" i="55"/>
  <c r="T588" i="55"/>
  <c r="U587" i="55"/>
  <c r="T587" i="55"/>
  <c r="U586" i="55"/>
  <c r="T586" i="55"/>
  <c r="U585" i="55"/>
  <c r="T585" i="55"/>
  <c r="U584" i="55"/>
  <c r="T584" i="55"/>
  <c r="U583" i="55"/>
  <c r="T583" i="55"/>
  <c r="U582" i="55"/>
  <c r="T582" i="55"/>
  <c r="U581" i="55"/>
  <c r="T581" i="55"/>
  <c r="U580" i="55"/>
  <c r="T580" i="55"/>
  <c r="U579" i="55"/>
  <c r="T579" i="55"/>
  <c r="U578" i="55"/>
  <c r="T578" i="55"/>
  <c r="U577" i="55"/>
  <c r="T577" i="55"/>
  <c r="U576" i="55"/>
  <c r="T576" i="55"/>
  <c r="U575" i="55"/>
  <c r="T575" i="55"/>
  <c r="U574" i="55"/>
  <c r="T574" i="55"/>
  <c r="U573" i="55"/>
  <c r="T573" i="55"/>
  <c r="U572" i="55"/>
  <c r="T572" i="55"/>
  <c r="U571" i="55"/>
  <c r="T571" i="55"/>
  <c r="U570" i="55"/>
  <c r="T570" i="55"/>
  <c r="U569" i="55"/>
  <c r="T569" i="55"/>
  <c r="U568" i="55"/>
  <c r="T568" i="55"/>
  <c r="U567" i="55"/>
  <c r="T567" i="55"/>
  <c r="U566" i="55"/>
  <c r="T566" i="55"/>
  <c r="U565" i="55"/>
  <c r="T565" i="55"/>
  <c r="U564" i="55"/>
  <c r="T564" i="55"/>
  <c r="U563" i="55"/>
  <c r="T563" i="55"/>
  <c r="U562" i="55"/>
  <c r="T562" i="55"/>
  <c r="U561" i="55"/>
  <c r="T561" i="55"/>
  <c r="U560" i="55"/>
  <c r="T560" i="55"/>
  <c r="U559" i="55"/>
  <c r="T559" i="55"/>
  <c r="U558" i="55"/>
  <c r="T558" i="55"/>
  <c r="U557" i="55"/>
  <c r="T557" i="55"/>
  <c r="U556" i="55"/>
  <c r="T556" i="55"/>
  <c r="U555" i="55"/>
  <c r="T555" i="55"/>
  <c r="U554" i="55"/>
  <c r="T554" i="55"/>
  <c r="U553" i="55"/>
  <c r="T553" i="55"/>
  <c r="U552" i="55"/>
  <c r="T552" i="55"/>
  <c r="U551" i="55"/>
  <c r="T551" i="55"/>
  <c r="U550" i="55"/>
  <c r="T550" i="55"/>
  <c r="U549" i="55"/>
  <c r="T549" i="55"/>
  <c r="U548" i="55"/>
  <c r="T548" i="55"/>
  <c r="U547" i="55"/>
  <c r="T547" i="55"/>
  <c r="U546" i="55"/>
  <c r="T546" i="55"/>
  <c r="U545" i="55"/>
  <c r="T545" i="55"/>
  <c r="U544" i="55"/>
  <c r="T544" i="55"/>
  <c r="U543" i="55"/>
  <c r="T543" i="55"/>
  <c r="U542" i="55"/>
  <c r="T542" i="55"/>
  <c r="U541" i="55"/>
  <c r="T541" i="55"/>
  <c r="U540" i="55"/>
  <c r="T540" i="55"/>
  <c r="U539" i="55"/>
  <c r="T539" i="55"/>
  <c r="U538" i="55"/>
  <c r="T538" i="55"/>
  <c r="U537" i="55"/>
  <c r="T537" i="55"/>
  <c r="U536" i="55"/>
  <c r="T536" i="55"/>
  <c r="U535" i="55"/>
  <c r="T535" i="55"/>
  <c r="U534" i="55"/>
  <c r="T534" i="55"/>
  <c r="U533" i="55"/>
  <c r="T533" i="55"/>
  <c r="U532" i="55"/>
  <c r="T532" i="55"/>
  <c r="U531" i="55"/>
  <c r="T531" i="55"/>
  <c r="U530" i="55"/>
  <c r="T530" i="55"/>
  <c r="U529" i="55"/>
  <c r="T529" i="55"/>
  <c r="U528" i="55"/>
  <c r="T528" i="55"/>
  <c r="U527" i="55"/>
  <c r="T527" i="55"/>
  <c r="U526" i="55"/>
  <c r="T526" i="55"/>
  <c r="U525" i="55"/>
  <c r="T525" i="55"/>
  <c r="U524" i="55"/>
  <c r="T524" i="55"/>
  <c r="U523" i="55"/>
  <c r="T523" i="55"/>
  <c r="U522" i="55"/>
  <c r="T522" i="55"/>
  <c r="U521" i="55"/>
  <c r="T521" i="55"/>
  <c r="U520" i="55"/>
  <c r="T520" i="55"/>
  <c r="U519" i="55"/>
  <c r="T519" i="55"/>
  <c r="U518" i="55"/>
  <c r="T518" i="55"/>
  <c r="U517" i="55"/>
  <c r="T517" i="55"/>
  <c r="U516" i="55"/>
  <c r="T516" i="55"/>
  <c r="U515" i="55"/>
  <c r="T515" i="55"/>
  <c r="U514" i="55"/>
  <c r="T514" i="55"/>
  <c r="U513" i="55"/>
  <c r="T513" i="55"/>
  <c r="U512" i="55"/>
  <c r="T512" i="55"/>
  <c r="U511" i="55"/>
  <c r="T511" i="55"/>
  <c r="U510" i="55"/>
  <c r="T510" i="55"/>
  <c r="U509" i="55"/>
  <c r="T509" i="55"/>
  <c r="U508" i="55"/>
  <c r="T508" i="55"/>
  <c r="U507" i="55"/>
  <c r="T507" i="55"/>
  <c r="U506" i="55"/>
  <c r="T506" i="55"/>
  <c r="U505" i="55"/>
  <c r="T505" i="55"/>
  <c r="U504" i="55"/>
  <c r="T504" i="55"/>
  <c r="U503" i="55"/>
  <c r="T503" i="55"/>
  <c r="U502" i="55"/>
  <c r="T502" i="55"/>
  <c r="U501" i="55"/>
  <c r="T501" i="55"/>
  <c r="U500" i="55"/>
  <c r="T500" i="55"/>
  <c r="U499" i="55"/>
  <c r="T499" i="55"/>
  <c r="U498" i="55"/>
  <c r="T498" i="55"/>
  <c r="U497" i="55"/>
  <c r="T497" i="55"/>
  <c r="U496" i="55"/>
  <c r="T496" i="55"/>
  <c r="U495" i="55"/>
  <c r="T495" i="55"/>
  <c r="U494" i="55"/>
  <c r="T494" i="55"/>
  <c r="U493" i="55"/>
  <c r="T493" i="55"/>
  <c r="U492" i="55"/>
  <c r="T492" i="55"/>
  <c r="U491" i="55"/>
  <c r="T491" i="55"/>
  <c r="U490" i="55"/>
  <c r="T490" i="55"/>
  <c r="U489" i="55"/>
  <c r="T489" i="55"/>
  <c r="U488" i="55"/>
  <c r="T488" i="55"/>
  <c r="U487" i="55"/>
  <c r="T487" i="55"/>
  <c r="U486" i="55"/>
  <c r="T486" i="55"/>
  <c r="U485" i="55"/>
  <c r="T485" i="55"/>
  <c r="U484" i="55"/>
  <c r="T484" i="55"/>
  <c r="U483" i="55"/>
  <c r="T483" i="55"/>
  <c r="U482" i="55"/>
  <c r="T482" i="55"/>
  <c r="U481" i="55"/>
  <c r="T481" i="55"/>
  <c r="U480" i="55"/>
  <c r="T480" i="55"/>
  <c r="U479" i="55"/>
  <c r="T479" i="55"/>
  <c r="U478" i="55"/>
  <c r="T478" i="55"/>
  <c r="U477" i="55"/>
  <c r="T477" i="55"/>
  <c r="U476" i="55"/>
  <c r="T476" i="55"/>
  <c r="U475" i="55"/>
  <c r="T475" i="55"/>
  <c r="U474" i="55"/>
  <c r="T474" i="55"/>
  <c r="U473" i="55"/>
  <c r="T473" i="55"/>
  <c r="U472" i="55"/>
  <c r="T472" i="55"/>
  <c r="U471" i="55"/>
  <c r="T471" i="55"/>
  <c r="U470" i="55"/>
  <c r="T470" i="55"/>
  <c r="U469" i="55"/>
  <c r="T469" i="55"/>
  <c r="U468" i="55"/>
  <c r="T468" i="55"/>
  <c r="U467" i="55"/>
  <c r="T467" i="55"/>
  <c r="U466" i="55"/>
  <c r="T466" i="55"/>
  <c r="U465" i="55"/>
  <c r="T465" i="55"/>
  <c r="U464" i="55"/>
  <c r="T464" i="55"/>
  <c r="U463" i="55"/>
  <c r="T463" i="55"/>
  <c r="U462" i="55"/>
  <c r="T462" i="55"/>
  <c r="U461" i="55"/>
  <c r="T461" i="55"/>
  <c r="U460" i="55"/>
  <c r="T460" i="55"/>
  <c r="U459" i="55"/>
  <c r="T459" i="55"/>
  <c r="U458" i="55"/>
  <c r="T458" i="55"/>
  <c r="U457" i="55"/>
  <c r="T457" i="55"/>
  <c r="U456" i="55"/>
  <c r="T456" i="55"/>
  <c r="U455" i="55"/>
  <c r="T455" i="55"/>
  <c r="U454" i="55"/>
  <c r="T454" i="55"/>
  <c r="U453" i="55"/>
  <c r="T453" i="55"/>
  <c r="U452" i="55"/>
  <c r="T452" i="55"/>
  <c r="U451" i="55"/>
  <c r="T451" i="55"/>
  <c r="U450" i="55"/>
  <c r="T450" i="55"/>
  <c r="U449" i="55"/>
  <c r="T449" i="55"/>
  <c r="U448" i="55"/>
  <c r="T448" i="55"/>
  <c r="U447" i="55"/>
  <c r="T447" i="55"/>
  <c r="U446" i="55"/>
  <c r="T446" i="55"/>
  <c r="U445" i="55"/>
  <c r="T445" i="55"/>
  <c r="U444" i="55"/>
  <c r="T444" i="55"/>
  <c r="U443" i="55"/>
  <c r="T443" i="55"/>
  <c r="U442" i="55"/>
  <c r="T442" i="55"/>
  <c r="U441" i="55"/>
  <c r="T441" i="55"/>
  <c r="U440" i="55"/>
  <c r="T440" i="55"/>
  <c r="U439" i="55"/>
  <c r="T439" i="55"/>
  <c r="U438" i="55"/>
  <c r="T438" i="55"/>
  <c r="U437" i="55"/>
  <c r="T437" i="55"/>
  <c r="U436" i="55"/>
  <c r="T436" i="55"/>
  <c r="U435" i="55"/>
  <c r="T435" i="55"/>
  <c r="U434" i="55"/>
  <c r="T434" i="55"/>
  <c r="U433" i="55"/>
  <c r="T433" i="55"/>
  <c r="U432" i="55"/>
  <c r="T432" i="55"/>
  <c r="U431" i="55"/>
  <c r="T431" i="55"/>
  <c r="U430" i="55"/>
  <c r="T430" i="55"/>
  <c r="U429" i="55"/>
  <c r="T429" i="55"/>
  <c r="U428" i="55"/>
  <c r="T428" i="55"/>
  <c r="U427" i="55"/>
  <c r="T427" i="55"/>
  <c r="U426" i="55"/>
  <c r="T426" i="55"/>
  <c r="U425" i="55"/>
  <c r="T425" i="55"/>
  <c r="U424" i="55"/>
  <c r="T424" i="55"/>
  <c r="U423" i="55"/>
  <c r="T423" i="55"/>
  <c r="U422" i="55"/>
  <c r="T422" i="55"/>
  <c r="U421" i="55"/>
  <c r="T421" i="55"/>
  <c r="U420" i="55"/>
  <c r="T420" i="55"/>
  <c r="U419" i="55"/>
  <c r="T419" i="55"/>
  <c r="U418" i="55"/>
  <c r="T418" i="55"/>
  <c r="U417" i="55"/>
  <c r="T417" i="55"/>
  <c r="U416" i="55"/>
  <c r="T416" i="55"/>
  <c r="U411" i="55"/>
  <c r="T411" i="55"/>
  <c r="U410" i="55"/>
  <c r="T410" i="55"/>
  <c r="U409" i="55"/>
  <c r="T409" i="55"/>
  <c r="U408" i="55"/>
  <c r="T408" i="55"/>
  <c r="U407" i="55"/>
  <c r="T407" i="55"/>
  <c r="U406" i="55"/>
  <c r="T406" i="55"/>
  <c r="U405" i="55"/>
  <c r="T405" i="55"/>
  <c r="U404" i="55"/>
  <c r="T404" i="55"/>
  <c r="U403" i="55"/>
  <c r="T403" i="55"/>
  <c r="U402" i="55"/>
  <c r="T402" i="55"/>
  <c r="U401" i="55"/>
  <c r="T401" i="55"/>
  <c r="U400" i="55"/>
  <c r="T400" i="55"/>
  <c r="U399" i="55"/>
  <c r="T399" i="55"/>
  <c r="U398" i="55"/>
  <c r="T398" i="55"/>
  <c r="U397" i="55"/>
  <c r="T397" i="55"/>
  <c r="U396" i="55"/>
  <c r="D122" i="55"/>
  <c r="C122" i="55"/>
  <c r="D121" i="55"/>
  <c r="C121" i="55"/>
  <c r="D120" i="55"/>
  <c r="C120" i="55"/>
  <c r="D119" i="55"/>
  <c r="C119" i="55"/>
  <c r="D118" i="55"/>
  <c r="C118" i="55"/>
  <c r="D117" i="55"/>
  <c r="C117" i="55"/>
  <c r="D116" i="55"/>
  <c r="C116" i="55"/>
  <c r="D115" i="55"/>
  <c r="C115" i="55"/>
  <c r="D114" i="55"/>
  <c r="C114" i="55"/>
  <c r="D113" i="55"/>
  <c r="C113" i="55"/>
  <c r="D112" i="55"/>
  <c r="C112" i="55"/>
  <c r="D111" i="55"/>
  <c r="C111" i="55"/>
  <c r="D110" i="55"/>
  <c r="C110" i="55"/>
  <c r="D109" i="55"/>
  <c r="C109" i="55"/>
  <c r="D108" i="55"/>
  <c r="C108" i="55"/>
  <c r="D107" i="55"/>
  <c r="C107" i="55"/>
  <c r="D106" i="55"/>
  <c r="C106" i="55"/>
  <c r="D105" i="55"/>
  <c r="C105" i="55"/>
  <c r="D104" i="55"/>
  <c r="C104" i="55"/>
  <c r="D103" i="55"/>
  <c r="C103" i="55"/>
  <c r="D102" i="55"/>
  <c r="C102" i="55"/>
  <c r="D101" i="55"/>
  <c r="C101" i="55"/>
  <c r="D100" i="55"/>
  <c r="C100" i="55"/>
  <c r="D99" i="55"/>
  <c r="C99" i="55"/>
  <c r="D98" i="55"/>
  <c r="C98" i="55"/>
  <c r="D97" i="55"/>
  <c r="C97" i="55"/>
  <c r="D96" i="55"/>
  <c r="C96" i="55"/>
  <c r="D95" i="55"/>
  <c r="C95" i="55"/>
  <c r="D94" i="55"/>
  <c r="C94" i="55"/>
  <c r="D93" i="55"/>
  <c r="C93" i="55"/>
  <c r="D92" i="55"/>
  <c r="C92" i="55"/>
  <c r="D91" i="55"/>
  <c r="C91" i="55"/>
  <c r="D90" i="55"/>
  <c r="C90" i="55"/>
  <c r="D89" i="55"/>
  <c r="C89" i="55"/>
  <c r="D88" i="55"/>
  <c r="C88" i="55"/>
  <c r="D87" i="55"/>
  <c r="C87" i="55"/>
  <c r="D86" i="55"/>
  <c r="C86" i="55"/>
  <c r="D85" i="55"/>
  <c r="C85" i="55"/>
  <c r="D84" i="55"/>
  <c r="C84" i="55"/>
  <c r="D83" i="55"/>
  <c r="C83" i="55"/>
  <c r="D82" i="55"/>
  <c r="C82" i="55"/>
  <c r="D81" i="55"/>
  <c r="C81" i="55"/>
  <c r="D80" i="55"/>
  <c r="C80" i="55"/>
  <c r="D79" i="55"/>
  <c r="C79" i="55"/>
  <c r="D78" i="55"/>
  <c r="C78" i="55"/>
  <c r="D77" i="55"/>
  <c r="C77" i="55"/>
  <c r="D76" i="55"/>
  <c r="C76" i="55"/>
  <c r="D75" i="55"/>
  <c r="C75" i="55"/>
  <c r="D74" i="55"/>
  <c r="C74" i="55"/>
  <c r="D73" i="55"/>
  <c r="C73" i="55"/>
  <c r="D72" i="55"/>
  <c r="C72" i="55"/>
  <c r="D71" i="55"/>
  <c r="C71" i="55"/>
  <c r="D70" i="55"/>
  <c r="C70" i="55"/>
  <c r="D69" i="55"/>
  <c r="C69" i="55"/>
  <c r="D67" i="55"/>
  <c r="C67" i="55"/>
  <c r="D66" i="55"/>
  <c r="C66" i="55"/>
  <c r="D65" i="55"/>
  <c r="C65" i="55"/>
  <c r="D64" i="55"/>
  <c r="C64" i="55"/>
  <c r="D63" i="55"/>
  <c r="C63" i="55"/>
  <c r="D62" i="55"/>
  <c r="C62" i="55"/>
  <c r="D61" i="55"/>
  <c r="C61" i="55"/>
  <c r="D60" i="55"/>
  <c r="C60" i="55"/>
  <c r="D59" i="55"/>
  <c r="C59" i="55"/>
  <c r="D58" i="55"/>
  <c r="C58" i="55"/>
  <c r="D57" i="55"/>
  <c r="C57" i="55"/>
  <c r="D56" i="55"/>
  <c r="C56" i="55"/>
  <c r="D54" i="55"/>
  <c r="C54" i="55"/>
  <c r="D53" i="55"/>
  <c r="C53" i="55"/>
  <c r="D52" i="55"/>
  <c r="C52" i="55"/>
  <c r="D51" i="55"/>
  <c r="C51" i="55"/>
  <c r="D50" i="55"/>
  <c r="C50" i="55"/>
  <c r="D48" i="55"/>
  <c r="C48" i="55"/>
  <c r="D47" i="55"/>
  <c r="C47" i="55"/>
  <c r="D46" i="55"/>
  <c r="C46" i="55"/>
  <c r="D45" i="55"/>
  <c r="C45" i="55"/>
  <c r="D43" i="55"/>
  <c r="C43" i="55"/>
  <c r="D42" i="55"/>
  <c r="C42" i="55"/>
  <c r="D41" i="55"/>
  <c r="C41" i="55"/>
  <c r="D40" i="55"/>
  <c r="C40" i="55"/>
  <c r="D39" i="55"/>
  <c r="C39" i="55"/>
  <c r="D38" i="55"/>
  <c r="C38" i="55"/>
  <c r="D37" i="55"/>
  <c r="C37" i="55"/>
  <c r="D36" i="55"/>
  <c r="C36" i="55"/>
  <c r="D35" i="55"/>
  <c r="C35" i="55"/>
  <c r="D34" i="55"/>
  <c r="C34" i="55"/>
  <c r="D33" i="55"/>
  <c r="C33" i="55"/>
  <c r="D32" i="55"/>
  <c r="C32" i="55"/>
  <c r="D31" i="55"/>
  <c r="C31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13" i="55"/>
  <c r="C13" i="55"/>
  <c r="D12" i="55"/>
  <c r="C12" i="55"/>
  <c r="D11" i="55"/>
  <c r="C11" i="55"/>
  <c r="D10" i="55"/>
  <c r="C10" i="55"/>
  <c r="D9" i="55"/>
  <c r="C9" i="55"/>
  <c r="D8" i="55"/>
  <c r="C8" i="55"/>
  <c r="D7" i="55"/>
  <c r="C7" i="55"/>
  <c r="D6" i="55"/>
  <c r="C6" i="55"/>
  <c r="B93" i="86"/>
  <c r="A93" i="86"/>
  <c r="B92" i="86"/>
  <c r="A92" i="86"/>
  <c r="B91" i="86"/>
  <c r="A91" i="86"/>
  <c r="B90" i="86"/>
  <c r="A90" i="86"/>
  <c r="B89" i="86"/>
  <c r="A89" i="86"/>
  <c r="B88" i="86"/>
  <c r="A88" i="86"/>
  <c r="B87" i="86"/>
  <c r="A87" i="86"/>
  <c r="B86" i="86"/>
  <c r="A86" i="86"/>
  <c r="B85" i="86"/>
  <c r="A85" i="86"/>
  <c r="B84" i="86"/>
  <c r="A84" i="86"/>
  <c r="B83" i="86"/>
  <c r="A83" i="86"/>
  <c r="B82" i="86"/>
  <c r="A82" i="86"/>
  <c r="B81" i="86"/>
  <c r="A81" i="86"/>
  <c r="E679" i="91"/>
  <c r="E678" i="91"/>
  <c r="E677" i="91"/>
  <c r="E676" i="91"/>
  <c r="E675" i="91"/>
  <c r="E674" i="91"/>
  <c r="E673" i="91"/>
  <c r="E672" i="91"/>
  <c r="E671" i="91"/>
  <c r="E670" i="91"/>
  <c r="E669" i="91"/>
  <c r="E668" i="91"/>
  <c r="E667" i="91"/>
  <c r="E666" i="91"/>
  <c r="E665" i="91"/>
  <c r="E664" i="91"/>
  <c r="E663" i="91"/>
  <c r="E662" i="91"/>
  <c r="E661" i="91"/>
  <c r="E660" i="91"/>
  <c r="E659" i="91"/>
  <c r="E658" i="91"/>
  <c r="E657" i="91"/>
  <c r="E656" i="91"/>
  <c r="E655" i="91"/>
  <c r="E654" i="91"/>
  <c r="E653" i="91"/>
  <c r="E652" i="91"/>
  <c r="E651" i="91"/>
  <c r="E650" i="91"/>
  <c r="E649" i="91"/>
  <c r="E648" i="91"/>
  <c r="E647" i="91"/>
  <c r="E646" i="91"/>
  <c r="E645" i="91"/>
  <c r="E644" i="91"/>
  <c r="E643" i="91"/>
  <c r="E642" i="91"/>
  <c r="E641" i="91"/>
  <c r="E640" i="91"/>
  <c r="E639" i="91"/>
  <c r="E638" i="91"/>
  <c r="E637" i="91"/>
  <c r="E636" i="91"/>
  <c r="E635" i="91"/>
  <c r="E634" i="91"/>
  <c r="E633" i="91"/>
  <c r="E632" i="91"/>
  <c r="E631" i="91"/>
  <c r="E630" i="91"/>
  <c r="E629" i="91"/>
  <c r="E628" i="91"/>
  <c r="E627" i="91"/>
  <c r="E626" i="91"/>
  <c r="E625" i="91"/>
  <c r="E624" i="91"/>
  <c r="E623" i="91"/>
  <c r="E622" i="91"/>
  <c r="E621" i="91"/>
  <c r="E620" i="91"/>
  <c r="E619" i="91"/>
  <c r="E618" i="91"/>
  <c r="E617" i="91"/>
  <c r="E616" i="91"/>
  <c r="E615" i="91"/>
  <c r="E614" i="91"/>
  <c r="E613" i="91"/>
  <c r="E612" i="91"/>
  <c r="E611" i="91"/>
  <c r="E610" i="91"/>
  <c r="E609" i="91"/>
  <c r="E608" i="91"/>
  <c r="E607" i="91"/>
  <c r="E606" i="91"/>
  <c r="E605" i="91"/>
  <c r="E604" i="91"/>
  <c r="E603" i="91"/>
  <c r="E602" i="91"/>
  <c r="E601" i="91"/>
  <c r="E600" i="91"/>
  <c r="E599" i="91"/>
  <c r="E598" i="91"/>
  <c r="E597" i="91"/>
  <c r="E596" i="91"/>
  <c r="E595" i="91"/>
  <c r="E594" i="91"/>
  <c r="E593" i="91"/>
  <c r="E592" i="91"/>
  <c r="E591" i="91"/>
  <c r="E590" i="91"/>
  <c r="E589" i="91"/>
  <c r="E588" i="91"/>
  <c r="E587" i="91"/>
  <c r="E586" i="91"/>
  <c r="E585" i="91"/>
  <c r="E584" i="91"/>
  <c r="E583" i="91"/>
  <c r="E582" i="91"/>
  <c r="E581" i="91"/>
  <c r="E580" i="91"/>
  <c r="E579" i="91"/>
  <c r="E578" i="91"/>
  <c r="E577" i="91"/>
  <c r="E576" i="91"/>
  <c r="E575" i="91"/>
  <c r="E574" i="91"/>
  <c r="E573" i="91"/>
  <c r="E572" i="91"/>
  <c r="E571" i="91"/>
  <c r="E570" i="91"/>
  <c r="E569" i="91"/>
  <c r="E568" i="91"/>
  <c r="E567" i="91"/>
  <c r="E566" i="91"/>
  <c r="E565" i="91"/>
  <c r="E564" i="91"/>
  <c r="E563" i="91"/>
  <c r="E562" i="91"/>
  <c r="E561" i="91"/>
  <c r="E560" i="91"/>
  <c r="E559" i="91"/>
  <c r="E558" i="91"/>
  <c r="E557" i="91"/>
  <c r="E556" i="91"/>
  <c r="E555" i="91"/>
  <c r="E554" i="91"/>
  <c r="E553" i="91"/>
  <c r="E552" i="91"/>
  <c r="E551" i="91"/>
  <c r="E550" i="91"/>
  <c r="E549" i="91"/>
  <c r="E548" i="91"/>
  <c r="E547" i="91"/>
  <c r="E546" i="91"/>
  <c r="E545" i="91"/>
  <c r="E544" i="91"/>
  <c r="E543" i="91"/>
  <c r="E542" i="91"/>
  <c r="E541" i="91"/>
  <c r="E540" i="91"/>
  <c r="E539" i="91"/>
  <c r="E538" i="91"/>
  <c r="E537" i="91"/>
  <c r="E536" i="91"/>
  <c r="E535" i="91"/>
  <c r="E534" i="91"/>
  <c r="E533" i="91"/>
  <c r="E532" i="91"/>
  <c r="E531" i="91"/>
  <c r="E530" i="91"/>
  <c r="E529" i="91"/>
  <c r="E528" i="91"/>
  <c r="E527" i="91"/>
  <c r="E526" i="91"/>
  <c r="E525" i="91"/>
  <c r="E524" i="91"/>
  <c r="E523" i="91"/>
  <c r="E522" i="91"/>
  <c r="E521" i="91"/>
  <c r="E520" i="91"/>
  <c r="E519" i="91"/>
  <c r="E518" i="91"/>
  <c r="E517" i="91"/>
  <c r="E516" i="91"/>
  <c r="E515" i="91"/>
  <c r="E514" i="91"/>
  <c r="E513" i="91"/>
  <c r="E512" i="91"/>
  <c r="E511" i="91"/>
  <c r="E510" i="91"/>
  <c r="E509" i="91"/>
  <c r="E508" i="91"/>
  <c r="E507" i="91"/>
  <c r="E506" i="91"/>
  <c r="E505" i="91"/>
  <c r="E504" i="91"/>
  <c r="E503" i="91"/>
  <c r="E502" i="91"/>
  <c r="E501" i="91"/>
  <c r="E500" i="91"/>
  <c r="E499" i="91"/>
  <c r="E498" i="91"/>
  <c r="E497" i="91"/>
  <c r="E496" i="91"/>
  <c r="E495" i="91"/>
  <c r="E494" i="91"/>
  <c r="E493" i="91"/>
  <c r="E492" i="91"/>
  <c r="E491" i="91"/>
  <c r="E490" i="91"/>
  <c r="E489" i="91"/>
  <c r="E488" i="91"/>
  <c r="E487" i="91"/>
  <c r="E486" i="91"/>
  <c r="E485" i="91"/>
  <c r="E484" i="91"/>
  <c r="E483" i="91"/>
  <c r="E482" i="91"/>
  <c r="E481" i="91"/>
  <c r="E480" i="91"/>
  <c r="E479" i="91"/>
  <c r="E478" i="91"/>
  <c r="E477" i="91"/>
  <c r="E476" i="91"/>
  <c r="E475" i="91"/>
  <c r="E474" i="91"/>
  <c r="E473" i="91"/>
  <c r="E472" i="91"/>
  <c r="E471" i="91"/>
  <c r="E470" i="91"/>
  <c r="E469" i="91"/>
  <c r="E468" i="91"/>
  <c r="E467" i="91"/>
  <c r="E466" i="91"/>
  <c r="E465" i="91"/>
  <c r="E464" i="91"/>
  <c r="E463" i="91"/>
  <c r="E462" i="91"/>
  <c r="E461" i="91"/>
  <c r="E460" i="91"/>
  <c r="E459" i="91"/>
  <c r="E458" i="91"/>
  <c r="E457" i="91"/>
  <c r="E456" i="91"/>
  <c r="E455" i="91"/>
  <c r="E454" i="91"/>
  <c r="E453" i="91"/>
  <c r="E452" i="91"/>
  <c r="E451" i="91"/>
  <c r="E450" i="91"/>
  <c r="E449" i="91"/>
  <c r="E448" i="91"/>
  <c r="E447" i="91"/>
  <c r="E446" i="91"/>
  <c r="E445" i="91"/>
  <c r="E444" i="91"/>
  <c r="E443" i="91"/>
  <c r="E442" i="91"/>
  <c r="E441" i="91"/>
  <c r="E440" i="91"/>
  <c r="E439" i="91"/>
  <c r="E438" i="91"/>
  <c r="E437" i="91"/>
  <c r="E436" i="91"/>
  <c r="E435" i="91"/>
  <c r="E434" i="91"/>
  <c r="E433" i="91"/>
  <c r="E432" i="91"/>
  <c r="E431" i="91"/>
  <c r="E430" i="91"/>
  <c r="E429" i="91"/>
  <c r="E428" i="91"/>
  <c r="E427" i="91"/>
  <c r="E426" i="91"/>
  <c r="E425" i="91"/>
  <c r="E424" i="91"/>
  <c r="E423" i="91"/>
  <c r="E422" i="91"/>
  <c r="E421" i="91"/>
  <c r="E420" i="91"/>
  <c r="E419" i="91"/>
  <c r="E418" i="91"/>
  <c r="E417" i="91"/>
  <c r="E416" i="91"/>
  <c r="E415" i="91"/>
  <c r="E414" i="91"/>
  <c r="E413" i="91"/>
  <c r="E412" i="91"/>
  <c r="E411" i="91"/>
  <c r="E410" i="91"/>
  <c r="E409" i="91"/>
  <c r="E408" i="91"/>
  <c r="E407" i="91"/>
  <c r="E406" i="91"/>
  <c r="E405" i="91"/>
  <c r="E404" i="91"/>
  <c r="E403" i="91"/>
  <c r="E402" i="91"/>
  <c r="E401" i="91"/>
  <c r="E400" i="91"/>
  <c r="E399" i="91"/>
  <c r="E398" i="91"/>
  <c r="E397" i="91"/>
  <c r="E396" i="91"/>
  <c r="E395" i="91"/>
  <c r="E394" i="91"/>
  <c r="E393" i="91"/>
  <c r="E392" i="91"/>
  <c r="E391" i="91"/>
  <c r="E390" i="91"/>
  <c r="E389" i="91"/>
  <c r="E388" i="91"/>
  <c r="E387" i="91"/>
  <c r="E386" i="91"/>
  <c r="E385" i="91"/>
  <c r="E384" i="91"/>
  <c r="E383" i="91"/>
  <c r="E382" i="91"/>
  <c r="E381" i="91"/>
  <c r="E380" i="91"/>
  <c r="E379" i="91"/>
  <c r="E378" i="91"/>
  <c r="E377" i="91"/>
  <c r="E376" i="91"/>
  <c r="E375" i="91"/>
  <c r="E374" i="91"/>
  <c r="E373" i="91"/>
  <c r="E372" i="91"/>
  <c r="E371" i="91"/>
  <c r="E370" i="91"/>
  <c r="E369" i="91"/>
  <c r="E368" i="91"/>
  <c r="E367" i="91"/>
  <c r="E366" i="91"/>
  <c r="E365" i="91"/>
  <c r="E364" i="91"/>
  <c r="E363" i="91"/>
  <c r="E362" i="91"/>
  <c r="E361" i="91"/>
  <c r="E360" i="91"/>
  <c r="E359" i="91"/>
  <c r="E358" i="91"/>
  <c r="E357" i="91"/>
  <c r="E356" i="91"/>
  <c r="E355" i="91"/>
  <c r="E354" i="91"/>
  <c r="E353" i="91"/>
  <c r="E352" i="91"/>
  <c r="E351" i="91"/>
  <c r="E350" i="91"/>
  <c r="E349" i="91"/>
  <c r="E348" i="91"/>
  <c r="E347" i="91"/>
  <c r="E346" i="91"/>
  <c r="E345" i="91"/>
  <c r="E344" i="91"/>
  <c r="E343" i="91"/>
  <c r="E342" i="91"/>
  <c r="E341" i="91"/>
  <c r="E340" i="91"/>
  <c r="E339" i="91"/>
  <c r="E338" i="91"/>
  <c r="E337" i="91"/>
  <c r="E336" i="91"/>
  <c r="E335" i="91"/>
  <c r="E334" i="91"/>
  <c r="E333" i="91"/>
  <c r="E332" i="91"/>
  <c r="E331" i="91"/>
  <c r="E330" i="91"/>
  <c r="E329" i="91"/>
  <c r="E328" i="91"/>
  <c r="E327" i="91"/>
  <c r="E326" i="91"/>
  <c r="E325" i="91"/>
  <c r="E324" i="91"/>
  <c r="E323" i="91"/>
  <c r="E322" i="91"/>
  <c r="E321" i="91"/>
  <c r="E320" i="91"/>
  <c r="E319" i="91"/>
  <c r="E318" i="91"/>
  <c r="E317" i="91"/>
  <c r="E316" i="91"/>
  <c r="E315" i="91"/>
  <c r="E314" i="91"/>
  <c r="E313" i="91"/>
  <c r="E312" i="91"/>
  <c r="E311" i="91"/>
  <c r="E310" i="91"/>
  <c r="E309" i="91"/>
  <c r="E308" i="91"/>
  <c r="E307" i="91"/>
  <c r="E306" i="91"/>
  <c r="E305" i="91"/>
  <c r="E304" i="91"/>
  <c r="E303" i="91"/>
  <c r="E302" i="91"/>
  <c r="E301" i="91"/>
  <c r="E300" i="91"/>
  <c r="E299" i="91"/>
  <c r="E298" i="91"/>
  <c r="E297" i="91"/>
  <c r="E296" i="91"/>
  <c r="E295" i="91"/>
  <c r="E294" i="91"/>
  <c r="E293" i="91"/>
  <c r="E292" i="91"/>
  <c r="E291" i="91"/>
  <c r="E290" i="91"/>
  <c r="E289" i="91"/>
  <c r="E288" i="91"/>
  <c r="E287" i="91"/>
  <c r="E286" i="91"/>
  <c r="E285" i="91"/>
  <c r="E284" i="91"/>
  <c r="E283" i="91"/>
  <c r="E282" i="91"/>
  <c r="E281" i="91"/>
  <c r="E280" i="91"/>
  <c r="E279" i="91"/>
  <c r="E278" i="91"/>
  <c r="E277" i="91"/>
  <c r="E276" i="91"/>
  <c r="E275" i="91"/>
  <c r="E274" i="91"/>
  <c r="E273" i="91"/>
  <c r="E272" i="91"/>
  <c r="E271" i="91"/>
  <c r="E270" i="91"/>
  <c r="E269" i="91"/>
  <c r="E268" i="91"/>
  <c r="E267" i="91"/>
  <c r="E266" i="91"/>
  <c r="E265" i="91"/>
  <c r="E264" i="91"/>
  <c r="E263" i="91"/>
  <c r="E262" i="91"/>
  <c r="E261" i="91"/>
  <c r="E260" i="91"/>
  <c r="E259" i="91"/>
  <c r="E258" i="91"/>
  <c r="E257" i="91"/>
  <c r="E256" i="91"/>
  <c r="E255" i="91"/>
  <c r="E254" i="91"/>
  <c r="E253" i="91"/>
  <c r="E252" i="91"/>
  <c r="E251" i="91"/>
  <c r="E250" i="91"/>
  <c r="E249" i="91"/>
  <c r="E248" i="91"/>
  <c r="E247" i="91"/>
  <c r="E246" i="91"/>
  <c r="E245" i="91"/>
  <c r="E244" i="91"/>
  <c r="E243" i="91"/>
  <c r="E242" i="91"/>
  <c r="E241" i="91"/>
  <c r="E240" i="91"/>
  <c r="E239" i="91"/>
  <c r="E238" i="91"/>
  <c r="E237" i="91"/>
  <c r="E236" i="91"/>
  <c r="E235" i="91"/>
  <c r="E234" i="91"/>
  <c r="E233" i="91"/>
  <c r="E232" i="91"/>
  <c r="E231" i="91"/>
  <c r="E230" i="91"/>
  <c r="E229" i="91"/>
  <c r="E228" i="91"/>
  <c r="E227" i="91"/>
  <c r="E226" i="91"/>
  <c r="E225" i="91"/>
  <c r="E224" i="91"/>
  <c r="E223" i="91"/>
  <c r="E222" i="91"/>
  <c r="E221" i="91"/>
  <c r="E220" i="91"/>
  <c r="E219" i="91"/>
  <c r="E218" i="91"/>
  <c r="E217" i="91"/>
  <c r="E216" i="91"/>
  <c r="E215" i="91"/>
  <c r="E214" i="91"/>
  <c r="E213" i="91"/>
  <c r="E212" i="91"/>
  <c r="E211" i="91"/>
  <c r="E210" i="91"/>
  <c r="E209" i="91"/>
  <c r="E208" i="91"/>
  <c r="E207" i="91"/>
  <c r="E206" i="91"/>
  <c r="E205" i="91"/>
  <c r="E204" i="91"/>
  <c r="E203" i="91"/>
  <c r="E202" i="91"/>
  <c r="E201" i="91"/>
  <c r="E200" i="91"/>
  <c r="E199" i="91"/>
  <c r="E198" i="91"/>
  <c r="E197" i="91"/>
  <c r="E196" i="91"/>
  <c r="E195" i="91"/>
  <c r="E194" i="91"/>
  <c r="E193" i="91"/>
  <c r="E192" i="91"/>
  <c r="E191" i="91"/>
  <c r="E190" i="91"/>
  <c r="E189" i="91"/>
  <c r="E188" i="91"/>
  <c r="E187" i="91"/>
  <c r="E186" i="91"/>
  <c r="E185" i="91"/>
  <c r="E184" i="91"/>
  <c r="E183" i="91"/>
  <c r="E182" i="91"/>
  <c r="E181" i="91"/>
  <c r="E180" i="91"/>
  <c r="E179" i="91"/>
  <c r="E178" i="91"/>
  <c r="E177" i="91"/>
  <c r="E176" i="91"/>
  <c r="E175" i="91"/>
  <c r="E174" i="91"/>
  <c r="E173" i="91"/>
  <c r="E172" i="91"/>
  <c r="E171" i="91"/>
  <c r="E170" i="91"/>
  <c r="E169" i="91"/>
  <c r="E168" i="91"/>
  <c r="E167" i="91"/>
  <c r="E166" i="91"/>
  <c r="E165" i="91"/>
  <c r="E164" i="91"/>
  <c r="E163" i="91"/>
  <c r="E162" i="91"/>
  <c r="E161" i="91"/>
  <c r="E160" i="91"/>
  <c r="E159" i="91"/>
  <c r="E158" i="91"/>
  <c r="E157" i="91"/>
  <c r="E156" i="91"/>
  <c r="E155" i="91"/>
  <c r="E154" i="91"/>
  <c r="E153" i="91"/>
  <c r="E152" i="91"/>
  <c r="E151" i="91"/>
  <c r="E150" i="91"/>
  <c r="E149" i="91"/>
  <c r="E148" i="91"/>
  <c r="E147" i="91"/>
  <c r="E146" i="91"/>
  <c r="E145" i="91"/>
  <c r="E144" i="91"/>
  <c r="E143" i="91"/>
  <c r="E142" i="91"/>
  <c r="E141" i="91"/>
  <c r="E140" i="91"/>
  <c r="E139" i="91"/>
  <c r="E138" i="91"/>
  <c r="E137" i="91"/>
  <c r="E136" i="91"/>
  <c r="E135" i="91"/>
  <c r="E134" i="91"/>
  <c r="E133" i="91"/>
  <c r="E132" i="91"/>
  <c r="E131" i="91"/>
  <c r="E130" i="91"/>
  <c r="E129" i="91"/>
  <c r="E128" i="91"/>
  <c r="E127" i="91"/>
  <c r="E126" i="91"/>
  <c r="E125" i="91"/>
  <c r="E124" i="91"/>
  <c r="E123" i="91"/>
  <c r="E122" i="91"/>
  <c r="E121" i="91"/>
  <c r="E120" i="91"/>
  <c r="E119" i="91"/>
  <c r="E118" i="91"/>
  <c r="E117" i="91"/>
  <c r="E116" i="91"/>
  <c r="E115" i="91"/>
  <c r="E114" i="91"/>
  <c r="E113" i="91"/>
  <c r="E112" i="91"/>
  <c r="E111" i="91"/>
  <c r="E110" i="91"/>
  <c r="E109" i="91"/>
  <c r="E108" i="91"/>
  <c r="E107" i="91"/>
  <c r="E106" i="91"/>
  <c r="E105" i="91"/>
  <c r="E104" i="91"/>
  <c r="E103" i="91"/>
  <c r="E102" i="91"/>
  <c r="E101" i="91"/>
  <c r="E100" i="91"/>
  <c r="E99" i="91"/>
  <c r="E98" i="91"/>
  <c r="E97" i="91"/>
  <c r="E96" i="91"/>
  <c r="E95" i="91"/>
  <c r="E94" i="91"/>
  <c r="E93" i="91"/>
  <c r="E92" i="91"/>
  <c r="E91" i="91"/>
  <c r="E90" i="91"/>
  <c r="E89" i="91"/>
  <c r="E88" i="91"/>
  <c r="E87" i="91"/>
  <c r="E86" i="91"/>
  <c r="E85" i="91"/>
  <c r="E84" i="91"/>
  <c r="E83" i="91"/>
  <c r="E82" i="91"/>
  <c r="E81" i="91"/>
  <c r="E80" i="91"/>
  <c r="E79" i="91"/>
  <c r="E78" i="91"/>
  <c r="E77" i="91"/>
  <c r="E76" i="91"/>
  <c r="E75" i="91"/>
  <c r="E74" i="91"/>
  <c r="E73" i="91"/>
  <c r="E72" i="91"/>
  <c r="E71" i="91"/>
  <c r="E70" i="91"/>
  <c r="E69" i="91"/>
  <c r="E68" i="91"/>
  <c r="E67" i="91"/>
  <c r="E66" i="91"/>
  <c r="E65" i="91"/>
  <c r="E64" i="91"/>
  <c r="E63" i="91"/>
  <c r="E62" i="91"/>
  <c r="E61" i="91"/>
  <c r="E60" i="91"/>
  <c r="E59" i="91"/>
  <c r="E58" i="91"/>
  <c r="E57" i="91"/>
  <c r="E56" i="91"/>
  <c r="E55" i="91"/>
  <c r="E54" i="91"/>
  <c r="E53" i="91"/>
  <c r="E52" i="91"/>
  <c r="E51" i="91"/>
  <c r="E50" i="91"/>
  <c r="E49" i="91"/>
  <c r="E48" i="91"/>
  <c r="E47" i="91"/>
  <c r="E46" i="91"/>
  <c r="E45" i="91"/>
  <c r="E44" i="91"/>
  <c r="E43" i="91"/>
  <c r="E42" i="91"/>
  <c r="E41" i="91"/>
  <c r="E40" i="91"/>
  <c r="E39" i="91"/>
  <c r="E38" i="91"/>
  <c r="E37" i="91"/>
  <c r="E36" i="91"/>
  <c r="Y35" i="91"/>
  <c r="E35" i="91"/>
  <c r="Y34" i="91"/>
  <c r="E34" i="91"/>
  <c r="Y33" i="91"/>
  <c r="E33" i="91"/>
  <c r="Y32" i="91"/>
  <c r="E32" i="91"/>
  <c r="Y31" i="91"/>
  <c r="E31" i="91"/>
  <c r="Y30" i="91"/>
  <c r="E30" i="91"/>
  <c r="Y29" i="91"/>
  <c r="E29" i="91"/>
  <c r="Y28" i="91"/>
  <c r="E28" i="91"/>
  <c r="E27" i="91"/>
  <c r="E26" i="91"/>
  <c r="Y25" i="91"/>
  <c r="E25" i="91"/>
  <c r="Y24" i="91"/>
  <c r="E24" i="91"/>
  <c r="Y23" i="91"/>
  <c r="E23" i="91"/>
  <c r="Y22" i="91"/>
  <c r="E22" i="91"/>
  <c r="Y21" i="91"/>
  <c r="E21" i="91"/>
  <c r="Y20" i="91"/>
  <c r="E20" i="91"/>
  <c r="Y19" i="91"/>
  <c r="E19" i="91"/>
  <c r="Y18" i="91"/>
  <c r="E18" i="91"/>
  <c r="Y17" i="91"/>
  <c r="E17" i="91"/>
  <c r="Y16" i="91"/>
  <c r="E16" i="91"/>
  <c r="Y15" i="91"/>
  <c r="E15" i="91"/>
  <c r="Y14" i="91"/>
  <c r="E14" i="91"/>
  <c r="E13" i="91"/>
  <c r="Y12" i="91"/>
  <c r="E12" i="91"/>
  <c r="Y11" i="91"/>
  <c r="E11" i="91"/>
  <c r="Y10" i="91"/>
  <c r="E10" i="91"/>
  <c r="Y9" i="91"/>
  <c r="E9" i="91"/>
  <c r="Y8" i="91"/>
  <c r="E8" i="91"/>
  <c r="Y7" i="91"/>
  <c r="E7" i="91"/>
  <c r="Y6" i="91"/>
  <c r="E6" i="91"/>
  <c r="Y5" i="91"/>
  <c r="E5" i="91"/>
  <c r="Y4" i="91"/>
  <c r="E4" i="91"/>
  <c r="E3" i="91"/>
  <c r="E2" i="91"/>
  <c r="G86" i="99"/>
  <c r="G85" i="99"/>
  <c r="G84" i="99"/>
  <c r="G83" i="99"/>
  <c r="G82" i="99"/>
  <c r="G81" i="99"/>
  <c r="G80" i="99"/>
  <c r="G79" i="99"/>
  <c r="G78" i="99"/>
  <c r="G77" i="99"/>
  <c r="G76" i="99"/>
  <c r="G75" i="99"/>
  <c r="G74" i="99"/>
  <c r="G73" i="99"/>
  <c r="G72" i="99"/>
  <c r="G71" i="99"/>
  <c r="G70" i="99"/>
  <c r="G69" i="99"/>
  <c r="G68" i="99"/>
  <c r="G67" i="99"/>
  <c r="G66" i="99"/>
  <c r="G65" i="99"/>
  <c r="G64" i="99"/>
  <c r="G63" i="99"/>
  <c r="G62" i="99"/>
  <c r="G61" i="99"/>
  <c r="G60" i="99"/>
  <c r="G59" i="99"/>
  <c r="G58" i="99"/>
  <c r="G57" i="99"/>
  <c r="G56" i="99"/>
  <c r="G55" i="99"/>
  <c r="G54" i="99"/>
  <c r="G53" i="99"/>
  <c r="G52" i="99"/>
  <c r="G51" i="99"/>
  <c r="G50" i="99"/>
  <c r="G49" i="99"/>
  <c r="G48" i="99"/>
  <c r="G47" i="99"/>
  <c r="G46" i="99"/>
  <c r="G45" i="99"/>
  <c r="G44" i="99"/>
  <c r="G43" i="99"/>
  <c r="G42" i="99"/>
  <c r="G41" i="99"/>
  <c r="G40" i="99"/>
  <c r="G39" i="99"/>
  <c r="G38" i="99"/>
  <c r="G37" i="99"/>
  <c r="G36" i="99"/>
  <c r="G35" i="99"/>
  <c r="G34" i="99"/>
  <c r="F32" i="99"/>
  <c r="D32" i="99"/>
  <c r="G31" i="99"/>
  <c r="G30" i="99"/>
  <c r="G29" i="99"/>
  <c r="G28" i="99"/>
  <c r="G27" i="99"/>
  <c r="G26" i="99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G9" i="99"/>
  <c r="G8" i="99"/>
  <c r="G7" i="99"/>
  <c r="G6" i="99"/>
  <c r="AC79" i="95"/>
  <c r="I79" i="95"/>
  <c r="H79" i="95"/>
  <c r="AC78" i="95"/>
  <c r="I78" i="95"/>
  <c r="H78" i="95"/>
  <c r="AC77" i="95"/>
  <c r="I77" i="95"/>
  <c r="H77" i="95"/>
  <c r="AC76" i="95"/>
  <c r="I76" i="95"/>
  <c r="H76" i="95"/>
  <c r="AC75" i="95"/>
  <c r="I75" i="95"/>
  <c r="H75" i="95"/>
  <c r="AC74" i="95"/>
  <c r="I74" i="95"/>
  <c r="H74" i="95"/>
  <c r="AC73" i="95"/>
  <c r="I73" i="95"/>
  <c r="H73" i="95"/>
  <c r="AC72" i="95"/>
  <c r="I72" i="95"/>
  <c r="H72" i="95"/>
  <c r="AC71" i="95"/>
  <c r="I71" i="95"/>
  <c r="H71" i="95"/>
  <c r="AC70" i="95"/>
  <c r="I70" i="95"/>
  <c r="H70" i="95"/>
  <c r="AC69" i="95"/>
  <c r="I69" i="95"/>
  <c r="H69" i="95"/>
  <c r="AC68" i="95"/>
  <c r="I68" i="95"/>
  <c r="H68" i="95"/>
  <c r="AC67" i="95"/>
  <c r="I67" i="95"/>
  <c r="H67" i="95"/>
  <c r="AC66" i="95"/>
  <c r="I66" i="95"/>
  <c r="H66" i="95"/>
  <c r="AC65" i="95"/>
  <c r="I65" i="95"/>
  <c r="H65" i="95"/>
  <c r="AC64" i="95"/>
  <c r="I64" i="95"/>
  <c r="H64" i="95"/>
  <c r="AC63" i="95"/>
  <c r="I63" i="95"/>
  <c r="H63" i="95"/>
  <c r="AC62" i="95"/>
  <c r="I62" i="95"/>
  <c r="H62" i="95"/>
  <c r="AC61" i="95"/>
  <c r="I61" i="95"/>
  <c r="H61" i="95"/>
  <c r="AC60" i="95"/>
  <c r="I60" i="95"/>
  <c r="H60" i="95"/>
  <c r="AC59" i="95"/>
  <c r="I59" i="95"/>
  <c r="H59" i="95"/>
  <c r="AC58" i="95"/>
  <c r="I58" i="95"/>
  <c r="H58" i="95"/>
  <c r="AC57" i="95"/>
  <c r="I57" i="95"/>
  <c r="H57" i="95"/>
  <c r="AC56" i="95"/>
  <c r="I56" i="95"/>
  <c r="H56" i="95"/>
  <c r="AC55" i="95"/>
  <c r="I55" i="95"/>
  <c r="H55" i="95"/>
  <c r="AC54" i="95"/>
  <c r="I54" i="95"/>
  <c r="H54" i="95"/>
  <c r="AC53" i="95"/>
  <c r="I53" i="95"/>
  <c r="H53" i="95"/>
  <c r="AC52" i="95"/>
  <c r="I52" i="95"/>
  <c r="H52" i="95"/>
  <c r="AC51" i="95"/>
  <c r="I51" i="95"/>
  <c r="H51" i="95"/>
  <c r="AC50" i="95"/>
  <c r="I50" i="95"/>
  <c r="H50" i="95"/>
  <c r="AC49" i="95"/>
  <c r="I49" i="95"/>
  <c r="H49" i="95"/>
  <c r="AC48" i="95"/>
  <c r="I48" i="95"/>
  <c r="H48" i="95"/>
  <c r="AC47" i="95"/>
  <c r="I47" i="95"/>
  <c r="H47" i="95"/>
  <c r="AC46" i="95"/>
  <c r="I46" i="95"/>
  <c r="H46" i="95"/>
  <c r="AC45" i="95"/>
  <c r="I45" i="95"/>
  <c r="H45" i="95"/>
  <c r="AC44" i="95"/>
  <c r="I44" i="95"/>
  <c r="H44" i="95"/>
  <c r="AC43" i="95"/>
  <c r="I43" i="95"/>
  <c r="H43" i="95"/>
  <c r="AC42" i="95"/>
  <c r="I42" i="95"/>
  <c r="H42" i="95"/>
  <c r="AC41" i="95"/>
  <c r="I41" i="95"/>
  <c r="H41" i="95"/>
  <c r="AC40" i="95"/>
  <c r="I40" i="95"/>
  <c r="H40" i="95"/>
  <c r="AC39" i="95"/>
  <c r="I39" i="95"/>
  <c r="H39" i="95"/>
  <c r="AC38" i="95"/>
  <c r="I38" i="95"/>
  <c r="H38" i="95"/>
  <c r="AC37" i="95"/>
  <c r="I37" i="95"/>
  <c r="H37" i="95"/>
  <c r="AC36" i="95"/>
  <c r="I36" i="95"/>
  <c r="H36" i="95"/>
  <c r="AC35" i="95"/>
  <c r="I35" i="95"/>
  <c r="H35" i="95"/>
  <c r="AC34" i="95"/>
  <c r="I34" i="95"/>
  <c r="H34" i="95"/>
  <c r="AC33" i="95"/>
  <c r="I33" i="95"/>
  <c r="H33" i="95"/>
  <c r="AC32" i="95"/>
  <c r="I32" i="95"/>
  <c r="H32" i="95"/>
  <c r="AC31" i="95"/>
  <c r="I31" i="95"/>
  <c r="H31" i="95"/>
  <c r="AC30" i="95"/>
  <c r="I30" i="95"/>
  <c r="H30" i="95"/>
  <c r="AC29" i="95"/>
  <c r="I29" i="95"/>
  <c r="H29" i="95"/>
  <c r="AC28" i="95"/>
  <c r="I28" i="95"/>
  <c r="H28" i="95"/>
  <c r="AC27" i="95"/>
  <c r="I27" i="95"/>
  <c r="H27" i="95"/>
  <c r="AC26" i="95"/>
  <c r="I26" i="95"/>
  <c r="H26" i="95"/>
  <c r="AC25" i="95"/>
  <c r="I25" i="95"/>
  <c r="H25" i="95"/>
  <c r="AC24" i="95"/>
  <c r="I24" i="95"/>
  <c r="H24" i="95"/>
  <c r="AC23" i="95"/>
  <c r="I23" i="95"/>
  <c r="H23" i="95"/>
  <c r="AC22" i="95"/>
  <c r="AC21" i="95"/>
  <c r="AC20" i="95"/>
  <c r="AC19" i="95"/>
  <c r="AC18" i="95"/>
  <c r="AC17" i="95"/>
  <c r="AC16" i="95"/>
  <c r="AC15" i="95"/>
  <c r="AC14" i="95"/>
  <c r="AC13" i="95"/>
  <c r="AC12" i="95"/>
  <c r="AC11" i="95"/>
  <c r="AC10" i="95"/>
  <c r="AC9" i="95"/>
  <c r="AC8" i="95"/>
  <c r="AC7" i="95"/>
  <c r="AC6" i="95"/>
  <c r="AC5" i="95"/>
  <c r="AC4" i="95"/>
  <c r="AC3" i="95"/>
  <c r="I74" i="92"/>
  <c r="I73" i="92"/>
  <c r="I72" i="92"/>
  <c r="I71" i="92"/>
  <c r="I70" i="92"/>
  <c r="I69" i="92"/>
  <c r="I68" i="92"/>
  <c r="I67" i="92"/>
  <c r="I66" i="92"/>
  <c r="I65" i="92"/>
  <c r="I64" i="92"/>
  <c r="I63" i="92"/>
  <c r="O24" i="92"/>
  <c r="I19" i="92"/>
  <c r="I17" i="92"/>
  <c r="I40" i="98"/>
  <c r="L40" i="98" s="1"/>
  <c r="I39" i="98"/>
  <c r="L39" i="98" s="1"/>
  <c r="I38" i="98"/>
  <c r="L38" i="98" s="1"/>
  <c r="I37" i="98"/>
  <c r="L37" i="98" s="1"/>
  <c r="I36" i="98"/>
  <c r="L36" i="98" s="1"/>
  <c r="E40" i="93"/>
  <c r="D17" i="92" s="1"/>
  <c r="E27" i="93"/>
  <c r="I10" i="92" s="1"/>
  <c r="E17" i="93"/>
  <c r="I9" i="94" s="1"/>
  <c r="E12" i="93"/>
  <c r="D18" i="92" s="1"/>
  <c r="E8" i="93"/>
  <c r="D19" i="92" s="1"/>
  <c r="E4" i="93"/>
  <c r="D13" i="94" s="1"/>
  <c r="C199" i="94"/>
  <c r="O24" i="94"/>
  <c r="I19" i="94"/>
  <c r="I17" i="94"/>
  <c r="D14" i="94"/>
  <c r="I10" i="94"/>
  <c r="I11" i="94" s="1"/>
  <c r="E39" i="50"/>
  <c r="AK2" i="97"/>
  <c r="AP2" i="97"/>
  <c r="AP2" i="4"/>
  <c r="E41" i="50"/>
  <c r="E38" i="50"/>
  <c r="AK2" i="4"/>
  <c r="F34" i="7" l="1"/>
  <c r="F35" i="7" s="1"/>
  <c r="I9" i="92"/>
  <c r="D17" i="94"/>
  <c r="J53" i="66"/>
  <c r="K53" i="66" s="1"/>
  <c r="C17" i="66"/>
  <c r="M6" i="49"/>
  <c r="AI82" i="42"/>
  <c r="AI86" i="42"/>
  <c r="AI90" i="42"/>
  <c r="AJ39" i="42"/>
  <c r="M40" i="66" s="1"/>
  <c r="AJ75" i="42"/>
  <c r="M75" i="66" s="1"/>
  <c r="AI91" i="42"/>
  <c r="AJ52" i="42"/>
  <c r="M52" i="66" s="1"/>
  <c r="AJ74" i="42"/>
  <c r="M74" i="66" s="1"/>
  <c r="AJ57" i="42"/>
  <c r="M57" i="66" s="1"/>
  <c r="AJ70" i="42"/>
  <c r="M70" i="66" s="1"/>
  <c r="AJ35" i="42"/>
  <c r="M36" i="66" s="1"/>
  <c r="AJ24" i="42"/>
  <c r="M25" i="66" s="1"/>
  <c r="AJ21" i="42"/>
  <c r="M22" i="66" s="1"/>
  <c r="AI58" i="42"/>
  <c r="AC57" i="101"/>
  <c r="AJ32" i="42"/>
  <c r="M33" i="66" s="1"/>
  <c r="AD32" i="101"/>
  <c r="AJ65" i="42"/>
  <c r="M65" i="66" s="1"/>
  <c r="AJ54" i="42"/>
  <c r="M54" i="66" s="1"/>
  <c r="AD53" i="101"/>
  <c r="AJ77" i="42"/>
  <c r="M77" i="66" s="1"/>
  <c r="AD76" i="101"/>
  <c r="AJ85" i="42"/>
  <c r="AJ87" i="42"/>
  <c r="AJ60" i="42"/>
  <c r="M60" i="66" s="1"/>
  <c r="AD59" i="101"/>
  <c r="AJ61" i="42"/>
  <c r="M61" i="66" s="1"/>
  <c r="AD60" i="101"/>
  <c r="AI67" i="42"/>
  <c r="AC66" i="101"/>
  <c r="AI40" i="42"/>
  <c r="AC40" i="101"/>
  <c r="AJ23" i="42"/>
  <c r="M24" i="66" s="1"/>
  <c r="AD23" i="101"/>
  <c r="AJ58" i="42"/>
  <c r="M58" i="66" s="1"/>
  <c r="AD57" i="101"/>
  <c r="AJ62" i="42"/>
  <c r="M62" i="66" s="1"/>
  <c r="AD61" i="101"/>
  <c r="AJ26" i="42"/>
  <c r="M27" i="66" s="1"/>
  <c r="AD26" i="101"/>
  <c r="AJ67" i="42"/>
  <c r="M67" i="66" s="1"/>
  <c r="AJ63" i="42"/>
  <c r="M63" i="66" s="1"/>
  <c r="AD62" i="101"/>
  <c r="AJ55" i="42"/>
  <c r="M55" i="66" s="1"/>
  <c r="AD54" i="101"/>
  <c r="AJ64" i="42"/>
  <c r="M64" i="66" s="1"/>
  <c r="AD63" i="101"/>
  <c r="AI61" i="42"/>
  <c r="AC60" i="101"/>
  <c r="AJ83" i="42"/>
  <c r="AD82" i="101"/>
  <c r="AJ69" i="42"/>
  <c r="M69" i="66" s="1"/>
  <c r="I21" i="92"/>
  <c r="AJ44" i="42"/>
  <c r="M45" i="66" s="1"/>
  <c r="AD44" i="101"/>
  <c r="AJ56" i="42"/>
  <c r="M56" i="66" s="1"/>
  <c r="AD55" i="101"/>
  <c r="AJ33" i="42"/>
  <c r="M34" i="66" s="1"/>
  <c r="AD33" i="101"/>
  <c r="AI64" i="42"/>
  <c r="AC63" i="101"/>
  <c r="AJ45" i="42"/>
  <c r="M46" i="66" s="1"/>
  <c r="AD45" i="101"/>
  <c r="AI83" i="42"/>
  <c r="AC82" i="101"/>
  <c r="AI27" i="42"/>
  <c r="E11" i="66"/>
  <c r="D11" i="66" s="1"/>
  <c r="E76" i="66"/>
  <c r="G76" i="66" s="1"/>
  <c r="AJ48" i="42"/>
  <c r="M49" i="66" s="1"/>
  <c r="AD48" i="101"/>
  <c r="AJ12" i="42"/>
  <c r="M13" i="66" s="1"/>
  <c r="AD12" i="101"/>
  <c r="AJ36" i="42"/>
  <c r="M37" i="66" s="1"/>
  <c r="AD36" i="101"/>
  <c r="AI78" i="42"/>
  <c r="AC77" i="101"/>
  <c r="AI41" i="42"/>
  <c r="AC41" i="101"/>
  <c r="AI14" i="42"/>
  <c r="AC14" i="101"/>
  <c r="AJ78" i="42"/>
  <c r="M78" i="66" s="1"/>
  <c r="AI81" i="42"/>
  <c r="AC80" i="101"/>
  <c r="AI73" i="42"/>
  <c r="AC72" i="101"/>
  <c r="AI77" i="42"/>
  <c r="AI57" i="42"/>
  <c r="AC56" i="101"/>
  <c r="AI35" i="42"/>
  <c r="AC35" i="101"/>
  <c r="AJ19" i="42"/>
  <c r="M20" i="66" s="1"/>
  <c r="AD19" i="101"/>
  <c r="AJ66" i="42"/>
  <c r="M66" i="66" s="1"/>
  <c r="AJ68" i="42"/>
  <c r="M68" i="66" s="1"/>
  <c r="AD67" i="101"/>
  <c r="AJ81" i="42"/>
  <c r="M81" i="66" s="1"/>
  <c r="AJ73" i="42"/>
  <c r="M73" i="66" s="1"/>
  <c r="AJ27" i="42"/>
  <c r="M28" i="66" s="1"/>
  <c r="AD27" i="101"/>
  <c r="AI85" i="42"/>
  <c r="AC84" i="101"/>
  <c r="AI87" i="42"/>
  <c r="AC86" i="101"/>
  <c r="AJ25" i="42"/>
  <c r="M26" i="66" s="1"/>
  <c r="AJ49" i="42"/>
  <c r="M50" i="66" s="1"/>
  <c r="AD49" i="101"/>
  <c r="AJ41" i="42"/>
  <c r="M42" i="66" s="1"/>
  <c r="AD41" i="101"/>
  <c r="AJ14" i="42"/>
  <c r="M15" i="66" s="1"/>
  <c r="AD14" i="101"/>
  <c r="AI80" i="42"/>
  <c r="AC79" i="101"/>
  <c r="AJ82" i="42"/>
  <c r="AD81" i="101"/>
  <c r="AJ86" i="42"/>
  <c r="AJ88" i="42"/>
  <c r="AJ90" i="42"/>
  <c r="AD89" i="101"/>
  <c r="AJ91" i="42"/>
  <c r="AD90" i="101"/>
  <c r="E17" i="66"/>
  <c r="G17" i="66" s="1"/>
  <c r="E68" i="66"/>
  <c r="G68" i="66" s="1"/>
  <c r="AJ16" i="42"/>
  <c r="M17" i="66" s="1"/>
  <c r="AD16" i="101"/>
  <c r="AJ31" i="42"/>
  <c r="M32" i="66" s="1"/>
  <c r="AD31" i="101"/>
  <c r="AJ29" i="42"/>
  <c r="M30" i="66" s="1"/>
  <c r="AD29" i="101"/>
  <c r="E36" i="66"/>
  <c r="D36" i="66" s="1"/>
  <c r="E49" i="66"/>
  <c r="D49" i="66" s="1"/>
  <c r="E13" i="66"/>
  <c r="D13" i="66" s="1"/>
  <c r="I21" i="94"/>
  <c r="I24" i="94" s="1"/>
  <c r="E72" i="66"/>
  <c r="D72" i="66" s="1"/>
  <c r="E23" i="66"/>
  <c r="D23" i="66" s="1"/>
  <c r="E46" i="66"/>
  <c r="G46" i="66" s="1"/>
  <c r="E40" i="66"/>
  <c r="G40" i="66" s="1"/>
  <c r="E22" i="66"/>
  <c r="E59" i="66"/>
  <c r="D59" i="66" s="1"/>
  <c r="E21" i="66"/>
  <c r="E35" i="66"/>
  <c r="G35" i="66" s="1"/>
  <c r="E55" i="66"/>
  <c r="D55" i="66" s="1"/>
  <c r="E41" i="66"/>
  <c r="E80" i="66"/>
  <c r="D80" i="66" s="1"/>
  <c r="AJ71" i="42"/>
  <c r="M71" i="66" s="1"/>
  <c r="D18" i="94"/>
  <c r="H13" i="66"/>
  <c r="E28" i="66"/>
  <c r="G28" i="66" s="1"/>
  <c r="E16" i="66"/>
  <c r="G16" i="66" s="1"/>
  <c r="E50" i="66"/>
  <c r="G50" i="66" s="1"/>
  <c r="E67" i="66"/>
  <c r="D67" i="66" s="1"/>
  <c r="E32" i="66"/>
  <c r="D32" i="66" s="1"/>
  <c r="E30" i="66"/>
  <c r="D30" i="66" s="1"/>
  <c r="E27" i="66"/>
  <c r="G27" i="66" s="1"/>
  <c r="E60" i="66"/>
  <c r="D60" i="66" s="1"/>
  <c r="E57" i="66"/>
  <c r="D57" i="66" s="1"/>
  <c r="E70" i="66"/>
  <c r="G70" i="66" s="1"/>
  <c r="E26" i="66"/>
  <c r="D26" i="66" s="1"/>
  <c r="E69" i="66"/>
  <c r="E53" i="66"/>
  <c r="G53" i="66" s="1"/>
  <c r="E73" i="66"/>
  <c r="D73" i="66" s="1"/>
  <c r="E37" i="66"/>
  <c r="D37" i="66" s="1"/>
  <c r="E45" i="66"/>
  <c r="D45" i="66" s="1"/>
  <c r="E77" i="66"/>
  <c r="G77" i="66" s="1"/>
  <c r="E81" i="66"/>
  <c r="G81" i="66" s="1"/>
  <c r="AG52" i="66"/>
  <c r="W35" i="66"/>
  <c r="E32" i="57"/>
  <c r="G32" i="57"/>
  <c r="E54" i="66"/>
  <c r="G54" i="66" s="1"/>
  <c r="H41" i="90"/>
  <c r="I11" i="92"/>
  <c r="G1" i="57"/>
  <c r="E64" i="66"/>
  <c r="G64" i="66" s="1"/>
  <c r="E61" i="66"/>
  <c r="D61" i="66" s="1"/>
  <c r="E43" i="66"/>
  <c r="E66" i="66"/>
  <c r="D66" i="66" s="1"/>
  <c r="E15" i="66"/>
  <c r="E58" i="66"/>
  <c r="G58" i="66" s="1"/>
  <c r="E56" i="66"/>
  <c r="G56" i="66" s="1"/>
  <c r="E44" i="66"/>
  <c r="G44" i="66" s="1"/>
  <c r="E52" i="66"/>
  <c r="G52" i="66" s="1"/>
  <c r="E47" i="66"/>
  <c r="G47" i="66" s="1"/>
  <c r="E39" i="66"/>
  <c r="D39" i="66" s="1"/>
  <c r="E71" i="66"/>
  <c r="G71" i="66" s="1"/>
  <c r="E42" i="66"/>
  <c r="D42" i="66" s="1"/>
  <c r="E34" i="66"/>
  <c r="G34" i="66" s="1"/>
  <c r="E65" i="66"/>
  <c r="D65" i="66" s="1"/>
  <c r="E63" i="66"/>
  <c r="D63" i="66" s="1"/>
  <c r="E25" i="66"/>
  <c r="G25" i="66" s="1"/>
  <c r="E62" i="66"/>
  <c r="G62" i="66" s="1"/>
  <c r="E20" i="66"/>
  <c r="G20" i="66" s="1"/>
  <c r="E29" i="66"/>
  <c r="G29" i="66" s="1"/>
  <c r="E48" i="66"/>
  <c r="D48" i="66" s="1"/>
  <c r="E33" i="66"/>
  <c r="G33" i="66" s="1"/>
  <c r="E74" i="66"/>
  <c r="G74" i="66" s="1"/>
  <c r="E51" i="66"/>
  <c r="D51" i="66" s="1"/>
  <c r="E24" i="66"/>
  <c r="G24" i="66" s="1"/>
  <c r="E12" i="66"/>
  <c r="G12" i="66" s="1"/>
  <c r="E38" i="66"/>
  <c r="G38" i="66" s="1"/>
  <c r="AD75" i="66"/>
  <c r="U59" i="66"/>
  <c r="W42" i="66"/>
  <c r="J77" i="66"/>
  <c r="K77" i="66" s="1"/>
  <c r="K41" i="90"/>
  <c r="D21" i="92"/>
  <c r="R34" i="36"/>
  <c r="D19" i="94"/>
  <c r="I41" i="98"/>
  <c r="U74" i="66"/>
  <c r="W59" i="66"/>
  <c r="X40" i="66"/>
  <c r="AD16" i="66"/>
  <c r="T34" i="36"/>
  <c r="D13" i="92"/>
  <c r="D14" i="92" s="1"/>
  <c r="R10" i="66"/>
  <c r="E18" i="66"/>
  <c r="D18" i="66" s="1"/>
  <c r="G5" i="36"/>
  <c r="G7" i="36" s="1"/>
  <c r="AF81" i="66"/>
  <c r="T66" i="66"/>
  <c r="X11" i="66"/>
  <c r="T71" i="66"/>
  <c r="AE81" i="42"/>
  <c r="M7" i="49"/>
  <c r="AL91" i="46"/>
  <c r="AH48" i="42"/>
  <c r="AD48" i="42"/>
  <c r="H14" i="66"/>
  <c r="J50" i="66"/>
  <c r="K50" i="66" s="1"/>
  <c r="J74" i="66"/>
  <c r="K74" i="66" s="1"/>
  <c r="J78" i="66"/>
  <c r="K78" i="66" s="1"/>
  <c r="G75" i="66"/>
  <c r="D79" i="66"/>
  <c r="H44" i="66"/>
  <c r="J48" i="66"/>
  <c r="K48" i="66" s="1"/>
  <c r="J52" i="66"/>
  <c r="K52" i="66" s="1"/>
  <c r="G41" i="66"/>
  <c r="P72" i="66"/>
  <c r="J76" i="66"/>
  <c r="K76" i="66" s="1"/>
  <c r="J80" i="66"/>
  <c r="K80" i="66" s="1"/>
  <c r="H25" i="66"/>
  <c r="J29" i="66"/>
  <c r="K29" i="66" s="1"/>
  <c r="J33" i="66"/>
  <c r="K33" i="66" s="1"/>
  <c r="AH16" i="42"/>
  <c r="E10" i="66"/>
  <c r="T10" i="66"/>
  <c r="P53" i="66"/>
  <c r="AG48" i="42"/>
  <c r="H60" i="66"/>
  <c r="J64" i="66"/>
  <c r="K64" i="66" s="1"/>
  <c r="J68" i="66"/>
  <c r="K68" i="66" s="1"/>
  <c r="J72" i="66"/>
  <c r="K72" i="66" s="1"/>
  <c r="J40" i="66"/>
  <c r="K40" i="66" s="1"/>
  <c r="J54" i="66"/>
  <c r="K54" i="66" s="1"/>
  <c r="J58" i="66"/>
  <c r="K58" i="66" s="1"/>
  <c r="H41" i="66"/>
  <c r="P48" i="66"/>
  <c r="J59" i="66"/>
  <c r="K59" i="66" s="1"/>
  <c r="F10" i="66"/>
  <c r="F9" i="66" s="1"/>
  <c r="J18" i="66"/>
  <c r="K18" i="66" s="1"/>
  <c r="H22" i="66"/>
  <c r="H26" i="66"/>
  <c r="J30" i="66"/>
  <c r="K30" i="66" s="1"/>
  <c r="H34" i="66"/>
  <c r="P59" i="66"/>
  <c r="J71" i="66"/>
  <c r="K71" i="66" s="1"/>
  <c r="H3" i="66"/>
  <c r="G69" i="66"/>
  <c r="G14" i="66"/>
  <c r="G22" i="66"/>
  <c r="J38" i="66"/>
  <c r="K38" i="66" s="1"/>
  <c r="J42" i="66"/>
  <c r="K42" i="66" s="1"/>
  <c r="J46" i="66"/>
  <c r="K46" i="66" s="1"/>
  <c r="J65" i="66"/>
  <c r="K65" i="66" s="1"/>
  <c r="C43" i="66"/>
  <c r="C9" i="66" s="1"/>
  <c r="AD16" i="42"/>
  <c r="H4" i="66"/>
  <c r="G19" i="66"/>
  <c r="J47" i="66"/>
  <c r="K47" i="66" s="1"/>
  <c r="J62" i="66"/>
  <c r="K62" i="66" s="1"/>
  <c r="J66" i="66"/>
  <c r="K66" i="66" s="1"/>
  <c r="J70" i="66"/>
  <c r="K70" i="66" s="1"/>
  <c r="J11" i="66"/>
  <c r="K11" i="66" s="1"/>
  <c r="H19" i="66"/>
  <c r="H23" i="66"/>
  <c r="J27" i="66"/>
  <c r="K27" i="66" s="1"/>
  <c r="H31" i="66"/>
  <c r="J35" i="66"/>
  <c r="K35" i="66" s="1"/>
  <c r="H56" i="66"/>
  <c r="J17" i="66"/>
  <c r="K17" i="66" s="1"/>
  <c r="J12" i="66"/>
  <c r="K12" i="66" s="1"/>
  <c r="J16" i="66"/>
  <c r="K16" i="66" s="1"/>
  <c r="H20" i="66"/>
  <c r="J24" i="66"/>
  <c r="K24" i="66" s="1"/>
  <c r="J28" i="66"/>
  <c r="K28" i="66" s="1"/>
  <c r="J32" i="66"/>
  <c r="K32" i="66" s="1"/>
  <c r="D78" i="66"/>
  <c r="AL69" i="46"/>
  <c r="AS94" i="46"/>
  <c r="AL18" i="46"/>
  <c r="AL21" i="46"/>
  <c r="AL73" i="46"/>
  <c r="AS19" i="46"/>
  <c r="AL50" i="46"/>
  <c r="AS40" i="46"/>
  <c r="AL24" i="46"/>
  <c r="AL76" i="46"/>
  <c r="AL13" i="46"/>
  <c r="AS52" i="46"/>
  <c r="AC18" i="66"/>
  <c r="T12" i="66"/>
  <c r="Z12" i="66"/>
  <c r="U10" i="66"/>
  <c r="X10" i="66"/>
  <c r="U11" i="66"/>
  <c r="W11" i="66"/>
  <c r="Q13" i="66"/>
  <c r="Z15" i="66"/>
  <c r="AD11" i="66"/>
  <c r="R13" i="66"/>
  <c r="AG11" i="66"/>
  <c r="AD13" i="66"/>
  <c r="AA10" i="66"/>
  <c r="AF30" i="66"/>
  <c r="AC10" i="66"/>
  <c r="Q44" i="66"/>
  <c r="AD10" i="66"/>
  <c r="R12" i="66"/>
  <c r="Q14" i="66"/>
  <c r="S87" i="84"/>
  <c r="R14" i="66"/>
  <c r="Q17" i="66"/>
  <c r="U14" i="66"/>
  <c r="Q11" i="66"/>
  <c r="Q10" i="66"/>
  <c r="X27" i="66"/>
  <c r="AD14" i="66"/>
  <c r="T24" i="66"/>
  <c r="AA11" i="66"/>
  <c r="AG21" i="66"/>
  <c r="Q15" i="66"/>
  <c r="AD18" i="66"/>
  <c r="AF10" i="66"/>
  <c r="W8" i="84"/>
  <c r="U87" i="84"/>
  <c r="Q12" i="66"/>
  <c r="U13" i="66"/>
  <c r="Z14" i="66"/>
  <c r="AA15" i="66"/>
  <c r="U12" i="66"/>
  <c r="W13" i="66"/>
  <c r="AA14" i="66"/>
  <c r="AD15" i="66"/>
  <c r="Z10" i="66"/>
  <c r="AJ10" i="66" s="1"/>
  <c r="AJ9" i="66" s="1"/>
  <c r="Z11" i="66"/>
  <c r="W12" i="66"/>
  <c r="Z13" i="66"/>
  <c r="AC14" i="66"/>
  <c r="AF15" i="66"/>
  <c r="X19" i="66"/>
  <c r="AC22" i="66"/>
  <c r="AG25" i="66"/>
  <c r="W28" i="66"/>
  <c r="AA12" i="66"/>
  <c r="AF13" i="66"/>
  <c r="AF14" i="66"/>
  <c r="U17" i="66"/>
  <c r="AF11" i="66"/>
  <c r="AC12" i="66"/>
  <c r="AG13" i="66"/>
  <c r="AF17" i="66"/>
  <c r="AD12" i="66"/>
  <c r="R16" i="66"/>
  <c r="AG17" i="66"/>
  <c r="T16" i="66"/>
  <c r="T20" i="66"/>
  <c r="X23" i="66"/>
  <c r="AC26" i="66"/>
  <c r="R29" i="66"/>
  <c r="U16" i="66"/>
  <c r="W15" i="66"/>
  <c r="Z16" i="66"/>
  <c r="X15" i="66"/>
  <c r="AA16" i="66"/>
  <c r="Z19" i="66"/>
  <c r="U20" i="66"/>
  <c r="Q21" i="66"/>
  <c r="AD22" i="66"/>
  <c r="Z23" i="66"/>
  <c r="U24" i="66"/>
  <c r="Q25" i="66"/>
  <c r="AD26" i="66"/>
  <c r="Z27" i="66"/>
  <c r="X28" i="66"/>
  <c r="T29" i="66"/>
  <c r="AG30" i="66"/>
  <c r="W32" i="66"/>
  <c r="W16" i="66"/>
  <c r="R17" i="66"/>
  <c r="AF18" i="66"/>
  <c r="AA19" i="66"/>
  <c r="W20" i="66"/>
  <c r="R21" i="66"/>
  <c r="AF22" i="66"/>
  <c r="AA23" i="66"/>
  <c r="W24" i="66"/>
  <c r="R25" i="66"/>
  <c r="AF26" i="66"/>
  <c r="AA27" i="66"/>
  <c r="Z28" i="66"/>
  <c r="U29" i="66"/>
  <c r="X32" i="66"/>
  <c r="AG10" i="66"/>
  <c r="AC11" i="66"/>
  <c r="X12" i="66"/>
  <c r="T13" i="66"/>
  <c r="AG14" i="66"/>
  <c r="AC15" i="66"/>
  <c r="X16" i="66"/>
  <c r="T17" i="66"/>
  <c r="AG18" i="66"/>
  <c r="AC19" i="66"/>
  <c r="X20" i="66"/>
  <c r="T21" i="66"/>
  <c r="AG22" i="66"/>
  <c r="AC23" i="66"/>
  <c r="X24" i="66"/>
  <c r="T25" i="66"/>
  <c r="AG26" i="66"/>
  <c r="AC27" i="66"/>
  <c r="AA28" i="66"/>
  <c r="X29" i="66"/>
  <c r="Q18" i="66"/>
  <c r="AD19" i="66"/>
  <c r="Z20" i="66"/>
  <c r="U21" i="66"/>
  <c r="Q22" i="66"/>
  <c r="AD23" i="66"/>
  <c r="Z24" i="66"/>
  <c r="U25" i="66"/>
  <c r="Q26" i="66"/>
  <c r="AD27" i="66"/>
  <c r="AC28" i="66"/>
  <c r="Z29" i="66"/>
  <c r="W17" i="66"/>
  <c r="R18" i="66"/>
  <c r="AF19" i="66"/>
  <c r="AA20" i="66"/>
  <c r="W21" i="66"/>
  <c r="R22" i="66"/>
  <c r="AF23" i="66"/>
  <c r="AA24" i="66"/>
  <c r="W25" i="66"/>
  <c r="R26" i="66"/>
  <c r="AF27" i="66"/>
  <c r="AD28" i="66"/>
  <c r="AA29" i="66"/>
  <c r="R31" i="66"/>
  <c r="X13" i="66"/>
  <c r="T14" i="66"/>
  <c r="AG15" i="66"/>
  <c r="AC16" i="66"/>
  <c r="X17" i="66"/>
  <c r="T18" i="66"/>
  <c r="AG19" i="66"/>
  <c r="AC20" i="66"/>
  <c r="X21" i="66"/>
  <c r="T22" i="66"/>
  <c r="AG23" i="66"/>
  <c r="AC24" i="66"/>
  <c r="X25" i="66"/>
  <c r="T26" i="66"/>
  <c r="AG27" i="66"/>
  <c r="AF28" i="66"/>
  <c r="AA31" i="66"/>
  <c r="T33" i="66"/>
  <c r="Z17" i="66"/>
  <c r="U18" i="66"/>
  <c r="Q19" i="66"/>
  <c r="AD20" i="66"/>
  <c r="Z21" i="66"/>
  <c r="U22" i="66"/>
  <c r="Q23" i="66"/>
  <c r="AD24" i="66"/>
  <c r="Z25" i="66"/>
  <c r="U26" i="66"/>
  <c r="Q27" i="66"/>
  <c r="AG28" i="66"/>
  <c r="AC31" i="66"/>
  <c r="U33" i="66"/>
  <c r="W10" i="66"/>
  <c r="R11" i="66"/>
  <c r="AF12" i="66"/>
  <c r="AA13" i="66"/>
  <c r="W14" i="66"/>
  <c r="R15" i="66"/>
  <c r="AF16" i="66"/>
  <c r="AA17" i="66"/>
  <c r="W18" i="66"/>
  <c r="R19" i="66"/>
  <c r="AF20" i="66"/>
  <c r="AA21" i="66"/>
  <c r="W22" i="66"/>
  <c r="R23" i="66"/>
  <c r="AF24" i="66"/>
  <c r="AA25" i="66"/>
  <c r="W26" i="66"/>
  <c r="R27" i="66"/>
  <c r="AD31" i="66"/>
  <c r="T11" i="66"/>
  <c r="AG12" i="66"/>
  <c r="AC13" i="66"/>
  <c r="X14" i="66"/>
  <c r="T15" i="66"/>
  <c r="AG16" i="66"/>
  <c r="AC17" i="66"/>
  <c r="X18" i="66"/>
  <c r="T19" i="66"/>
  <c r="AG20" i="66"/>
  <c r="AC21" i="66"/>
  <c r="X22" i="66"/>
  <c r="T23" i="66"/>
  <c r="AG24" i="66"/>
  <c r="AC25" i="66"/>
  <c r="X26" i="66"/>
  <c r="T27" i="66"/>
  <c r="Q30" i="66"/>
  <c r="AG31" i="66"/>
  <c r="U15" i="66"/>
  <c r="Q16" i="66"/>
  <c r="AD17" i="66"/>
  <c r="Z18" i="66"/>
  <c r="U19" i="66"/>
  <c r="Q20" i="66"/>
  <c r="AD21" i="66"/>
  <c r="Z22" i="66"/>
  <c r="U23" i="66"/>
  <c r="Q24" i="66"/>
  <c r="AD25" i="66"/>
  <c r="Z26" i="66"/>
  <c r="U27" i="66"/>
  <c r="T28" i="66"/>
  <c r="T30" i="66"/>
  <c r="AA18" i="66"/>
  <c r="W19" i="66"/>
  <c r="R20" i="66"/>
  <c r="AF21" i="66"/>
  <c r="AA22" i="66"/>
  <c r="W23" i="66"/>
  <c r="R24" i="66"/>
  <c r="AF25" i="66"/>
  <c r="AA26" i="66"/>
  <c r="W27" i="66"/>
  <c r="U28" i="66"/>
  <c r="Q29" i="66"/>
  <c r="W30" i="66"/>
  <c r="Q34" i="66"/>
  <c r="R34" i="66"/>
  <c r="Z32" i="66"/>
  <c r="W33" i="66"/>
  <c r="T34" i="66"/>
  <c r="T36" i="66"/>
  <c r="W29" i="66"/>
  <c r="R30" i="66"/>
  <c r="AF31" i="66"/>
  <c r="AA32" i="66"/>
  <c r="X33" i="66"/>
  <c r="W34" i="66"/>
  <c r="AC32" i="66"/>
  <c r="AA33" i="66"/>
  <c r="X34" i="66"/>
  <c r="AC40" i="66"/>
  <c r="U30" i="66"/>
  <c r="Q31" i="66"/>
  <c r="AD32" i="66"/>
  <c r="AC33" i="66"/>
  <c r="Z34" i="66"/>
  <c r="AF32" i="66"/>
  <c r="AD33" i="66"/>
  <c r="AA34" i="66"/>
  <c r="U37" i="66"/>
  <c r="AC29" i="66"/>
  <c r="X30" i="66"/>
  <c r="T31" i="66"/>
  <c r="AG32" i="66"/>
  <c r="AF33" i="66"/>
  <c r="Q28" i="66"/>
  <c r="AD29" i="66"/>
  <c r="Z30" i="66"/>
  <c r="U31" i="66"/>
  <c r="Q32" i="66"/>
  <c r="AG33" i="66"/>
  <c r="R28" i="66"/>
  <c r="AF29" i="66"/>
  <c r="AA30" i="66"/>
  <c r="W31" i="66"/>
  <c r="R32" i="66"/>
  <c r="AG29" i="66"/>
  <c r="AC30" i="66"/>
  <c r="X31" i="66"/>
  <c r="T32" i="66"/>
  <c r="U35" i="66"/>
  <c r="AD30" i="66"/>
  <c r="Z31" i="66"/>
  <c r="U32" i="66"/>
  <c r="R33" i="66"/>
  <c r="Z33" i="66"/>
  <c r="U34" i="66"/>
  <c r="Q35" i="66"/>
  <c r="AA38" i="66"/>
  <c r="R35" i="66"/>
  <c r="Q36" i="66"/>
  <c r="AC38" i="66"/>
  <c r="T35" i="66"/>
  <c r="R36" i="66"/>
  <c r="T37" i="66"/>
  <c r="AD38" i="66"/>
  <c r="T41" i="66"/>
  <c r="U36" i="66"/>
  <c r="W37" i="66"/>
  <c r="U41" i="66"/>
  <c r="AC34" i="66"/>
  <c r="X35" i="66"/>
  <c r="W36" i="66"/>
  <c r="AC37" i="66"/>
  <c r="Q33" i="66"/>
  <c r="AD34" i="66"/>
  <c r="Z35" i="66"/>
  <c r="X36" i="66"/>
  <c r="AD37" i="66"/>
  <c r="AF34" i="66"/>
  <c r="AA35" i="66"/>
  <c r="Z36" i="66"/>
  <c r="AF37" i="66"/>
  <c r="AG34" i="66"/>
  <c r="AC35" i="66"/>
  <c r="AA36" i="66"/>
  <c r="AG37" i="66"/>
  <c r="U42" i="66"/>
  <c r="AD35" i="66"/>
  <c r="AC36" i="66"/>
  <c r="W40" i="66"/>
  <c r="AF35" i="66"/>
  <c r="AG36" i="66"/>
  <c r="V19" i="9"/>
  <c r="V15" i="9"/>
  <c r="Y12" i="9"/>
  <c r="V13" i="9"/>
  <c r="V10" i="9"/>
  <c r="V9" i="9"/>
  <c r="V21" i="9"/>
  <c r="V16" i="9"/>
  <c r="V11" i="9"/>
  <c r="Y10" i="9"/>
  <c r="W13" i="9"/>
  <c r="W11" i="9"/>
  <c r="V14" i="9"/>
  <c r="Y8" i="9"/>
  <c r="Y16" i="9"/>
  <c r="V23" i="9"/>
  <c r="W9" i="9"/>
  <c r="V12" i="9"/>
  <c r="W19" i="9"/>
  <c r="V24" i="9"/>
  <c r="W21" i="9"/>
  <c r="V17" i="9"/>
  <c r="V8" i="9"/>
  <c r="W17" i="9"/>
  <c r="W15" i="9"/>
  <c r="Y14" i="9"/>
  <c r="W25" i="9"/>
  <c r="W24" i="9"/>
  <c r="G79" i="9"/>
  <c r="G56" i="9"/>
  <c r="G60" i="9" s="1"/>
  <c r="G62" i="9" s="1"/>
  <c r="Y23" i="9"/>
  <c r="Y9" i="9"/>
  <c r="Y11" i="9"/>
  <c r="Y13" i="9"/>
  <c r="Y15" i="9"/>
  <c r="Y17" i="9"/>
  <c r="Y19" i="9"/>
  <c r="Y24" i="9"/>
  <c r="G24" i="9"/>
  <c r="V22" i="9"/>
  <c r="Y21" i="9"/>
  <c r="V18" i="9"/>
  <c r="V20" i="9"/>
  <c r="G93" i="9"/>
  <c r="W8" i="9"/>
  <c r="W10" i="9"/>
  <c r="W12" i="9"/>
  <c r="W14" i="9"/>
  <c r="W16" i="9"/>
  <c r="W18" i="9"/>
  <c r="W20" i="9"/>
  <c r="Y22" i="9"/>
  <c r="Y18" i="9"/>
  <c r="Y20" i="9"/>
  <c r="G111" i="9"/>
  <c r="G40" i="9"/>
  <c r="V26" i="9"/>
  <c r="W26" i="9"/>
  <c r="W22" i="9"/>
  <c r="Y26" i="9"/>
  <c r="V25" i="9"/>
  <c r="W23" i="9"/>
  <c r="Y25" i="9"/>
  <c r="AS85" i="46"/>
  <c r="AL67" i="46"/>
  <c r="AS23" i="46"/>
  <c r="AS14" i="46"/>
  <c r="AS35" i="46"/>
  <c r="AL30" i="46"/>
  <c r="AL68" i="46"/>
  <c r="AL16" i="46"/>
  <c r="AL25" i="46"/>
  <c r="AL44" i="46"/>
  <c r="AL82" i="46"/>
  <c r="AL33" i="46"/>
  <c r="AL56" i="46"/>
  <c r="AS63" i="46"/>
  <c r="AL47" i="46"/>
  <c r="AL65" i="46"/>
  <c r="AL28" i="46"/>
  <c r="AS26" i="46"/>
  <c r="AS62" i="46"/>
  <c r="AL59" i="46"/>
  <c r="AL64" i="46"/>
  <c r="AL100" i="46"/>
  <c r="AC18" i="101" s="1"/>
  <c r="Q37" i="66"/>
  <c r="AF38" i="66"/>
  <c r="Z40" i="66"/>
  <c r="W41" i="66"/>
  <c r="AD42" i="66"/>
  <c r="R37" i="66"/>
  <c r="AA40" i="66"/>
  <c r="X41" i="66"/>
  <c r="AF42" i="66"/>
  <c r="U44" i="66"/>
  <c r="Z41" i="66"/>
  <c r="AG42" i="66"/>
  <c r="W44" i="66"/>
  <c r="W46" i="66"/>
  <c r="R38" i="66"/>
  <c r="AD40" i="66"/>
  <c r="AA41" i="66"/>
  <c r="AC44" i="66"/>
  <c r="AG46" i="66"/>
  <c r="T38" i="66"/>
  <c r="AC39" i="66"/>
  <c r="AF40" i="66"/>
  <c r="AC41" i="66"/>
  <c r="AD44" i="66"/>
  <c r="X37" i="66"/>
  <c r="U38" i="66"/>
  <c r="AG40" i="66"/>
  <c r="AD41" i="66"/>
  <c r="AG35" i="66"/>
  <c r="AD36" i="66"/>
  <c r="Z37" i="66"/>
  <c r="W38" i="66"/>
  <c r="Q43" i="66"/>
  <c r="AF36" i="66"/>
  <c r="AA37" i="66"/>
  <c r="X38" i="66"/>
  <c r="Z43" i="66"/>
  <c r="AA47" i="66"/>
  <c r="Z38" i="66"/>
  <c r="Q40" i="66"/>
  <c r="AA43" i="66"/>
  <c r="Q45" i="66"/>
  <c r="R40" i="66"/>
  <c r="R41" i="66"/>
  <c r="Q42" i="66"/>
  <c r="AG43" i="66"/>
  <c r="R45" i="66"/>
  <c r="AF45" i="66"/>
  <c r="O1" i="49"/>
  <c r="D27" i="84"/>
  <c r="C25" i="84" s="1"/>
  <c r="AL11" i="46"/>
  <c r="AL37" i="46"/>
  <c r="AL49" i="46"/>
  <c r="AL61" i="46"/>
  <c r="AL8" i="46"/>
  <c r="AL15" i="46"/>
  <c r="AL46" i="46"/>
  <c r="AL58" i="46"/>
  <c r="AL79" i="46"/>
  <c r="AL88" i="46"/>
  <c r="AL97" i="46"/>
  <c r="AL27" i="46"/>
  <c r="AL10" i="46"/>
  <c r="AL22" i="46"/>
  <c r="AS32" i="46"/>
  <c r="AL34" i="46"/>
  <c r="AL41" i="46"/>
  <c r="AL53" i="46"/>
  <c r="AS20" i="46"/>
  <c r="AL43" i="46"/>
  <c r="AL55" i="46"/>
  <c r="AS70" i="46"/>
  <c r="AS17" i="46"/>
  <c r="AS29" i="46"/>
  <c r="AL31" i="46"/>
  <c r="AL38" i="46"/>
  <c r="AS66" i="46"/>
  <c r="AL36" i="46"/>
  <c r="AL39" i="46"/>
  <c r="AL42" i="46"/>
  <c r="AL45" i="46"/>
  <c r="AL48" i="46"/>
  <c r="AL51" i="46"/>
  <c r="AL54" i="46"/>
  <c r="AL57" i="46"/>
  <c r="AL60" i="46"/>
  <c r="AL72" i="46"/>
  <c r="AL75" i="46"/>
  <c r="AL78" i="46"/>
  <c r="AL81" i="46"/>
  <c r="AL84" i="46"/>
  <c r="AL87" i="46"/>
  <c r="AL90" i="46"/>
  <c r="AL93" i="46"/>
  <c r="AL96" i="46"/>
  <c r="AL99" i="46"/>
  <c r="AL9" i="46"/>
  <c r="AL12" i="46"/>
  <c r="AL71" i="46"/>
  <c r="AL74" i="46"/>
  <c r="AL77" i="46"/>
  <c r="AL80" i="46"/>
  <c r="AL83" i="46"/>
  <c r="AL86" i="46"/>
  <c r="AL89" i="46"/>
  <c r="AL92" i="46"/>
  <c r="AL95" i="46"/>
  <c r="AL98" i="46"/>
  <c r="N26" i="66"/>
  <c r="P26" i="66" s="1"/>
  <c r="J33" i="84"/>
  <c r="I34" i="84"/>
  <c r="E34" i="84" s="1"/>
  <c r="I66" i="84"/>
  <c r="E66" i="84" s="1"/>
  <c r="I67" i="84"/>
  <c r="E67" i="84" s="1"/>
  <c r="J81" i="84"/>
  <c r="F81" i="84" s="1"/>
  <c r="J82" i="84"/>
  <c r="F82" i="84" s="1"/>
  <c r="I78" i="84"/>
  <c r="J78" i="84"/>
  <c r="F78" i="84" s="1"/>
  <c r="I33" i="84"/>
  <c r="E33" i="84" s="1"/>
  <c r="I82" i="84"/>
  <c r="E82" i="84" s="1"/>
  <c r="J67" i="84"/>
  <c r="F67" i="84" s="1"/>
  <c r="J34" i="84"/>
  <c r="J66" i="84"/>
  <c r="F66" i="84" s="1"/>
  <c r="I81" i="84"/>
  <c r="E81" i="84" s="1"/>
  <c r="I19" i="84"/>
  <c r="E19" i="84" s="1"/>
  <c r="J19" i="84"/>
  <c r="F19" i="84" s="1"/>
  <c r="C15" i="84"/>
  <c r="N57" i="66"/>
  <c r="P57" i="66" s="1"/>
  <c r="N58" i="66"/>
  <c r="P58" i="66" s="1"/>
  <c r="N60" i="66"/>
  <c r="P60" i="66" s="1"/>
  <c r="N61" i="66"/>
  <c r="P61" i="66" s="1"/>
  <c r="N62" i="66"/>
  <c r="P62" i="66" s="1"/>
  <c r="N63" i="66"/>
  <c r="P63" i="66" s="1"/>
  <c r="N64" i="66"/>
  <c r="P64" i="66" s="1"/>
  <c r="N65" i="66"/>
  <c r="P65" i="66" s="1"/>
  <c r="N66" i="66"/>
  <c r="P66" i="66" s="1"/>
  <c r="N67" i="66"/>
  <c r="P67" i="66" s="1"/>
  <c r="N68" i="66"/>
  <c r="P68" i="66" s="1"/>
  <c r="N69" i="66"/>
  <c r="P69" i="66" s="1"/>
  <c r="N70" i="66"/>
  <c r="P70" i="66" s="1"/>
  <c r="N71" i="66"/>
  <c r="P71" i="66" s="1"/>
  <c r="N73" i="66"/>
  <c r="P73" i="66" s="1"/>
  <c r="N74" i="66"/>
  <c r="P74" i="66" s="1"/>
  <c r="N75" i="66"/>
  <c r="P75" i="66" s="1"/>
  <c r="N76" i="66"/>
  <c r="P76" i="66" s="1"/>
  <c r="N77" i="66"/>
  <c r="P77" i="66" s="1"/>
  <c r="N78" i="66"/>
  <c r="P78" i="66" s="1"/>
  <c r="N79" i="66"/>
  <c r="P79" i="66" s="1"/>
  <c r="N80" i="66"/>
  <c r="P80" i="66" s="1"/>
  <c r="N81" i="66"/>
  <c r="P81" i="66" s="1"/>
  <c r="N17" i="66"/>
  <c r="P17" i="66" s="1"/>
  <c r="N18" i="66"/>
  <c r="P18" i="66" s="1"/>
  <c r="N19" i="66"/>
  <c r="P19" i="66" s="1"/>
  <c r="N20" i="66"/>
  <c r="P20" i="66" s="1"/>
  <c r="N21" i="66"/>
  <c r="P21" i="66" s="1"/>
  <c r="N22" i="66"/>
  <c r="P22" i="66" s="1"/>
  <c r="N23" i="66"/>
  <c r="P23" i="66" s="1"/>
  <c r="N24" i="66"/>
  <c r="P24" i="66" s="1"/>
  <c r="N25" i="66"/>
  <c r="P25" i="66" s="1"/>
  <c r="N27" i="66"/>
  <c r="P27" i="66" s="1"/>
  <c r="N28" i="66"/>
  <c r="P28" i="66" s="1"/>
  <c r="N29" i="66"/>
  <c r="P29" i="66" s="1"/>
  <c r="N30" i="66"/>
  <c r="P30" i="66" s="1"/>
  <c r="N32" i="66"/>
  <c r="P32" i="66" s="1"/>
  <c r="N33" i="66"/>
  <c r="P33" i="66" s="1"/>
  <c r="N34" i="66"/>
  <c r="P34" i="66" s="1"/>
  <c r="N35" i="66"/>
  <c r="P35" i="66" s="1"/>
  <c r="N36" i="66"/>
  <c r="P36" i="66" s="1"/>
  <c r="N37" i="66"/>
  <c r="P37" i="66" s="1"/>
  <c r="N38" i="66"/>
  <c r="P38" i="66" s="1"/>
  <c r="N39" i="66"/>
  <c r="P39" i="66" s="1"/>
  <c r="N40" i="66"/>
  <c r="P40" i="66" s="1"/>
  <c r="N41" i="66"/>
  <c r="P41" i="66" s="1"/>
  <c r="N42" i="66"/>
  <c r="P42" i="66" s="1"/>
  <c r="N49" i="66"/>
  <c r="P49" i="66" s="1"/>
  <c r="N14" i="66"/>
  <c r="P14" i="66" s="1"/>
  <c r="L9" i="66"/>
  <c r="N10" i="66"/>
  <c r="P10" i="66" s="1"/>
  <c r="N11" i="66"/>
  <c r="P11" i="66" s="1"/>
  <c r="N12" i="66"/>
  <c r="P12" i="66" s="1"/>
  <c r="N13" i="66"/>
  <c r="P13" i="66" s="1"/>
  <c r="N15" i="66"/>
  <c r="N16" i="66"/>
  <c r="P16" i="66" s="1"/>
  <c r="N31" i="66"/>
  <c r="P31" i="66" s="1"/>
  <c r="N43" i="66"/>
  <c r="P43" i="66" s="1"/>
  <c r="N44" i="66"/>
  <c r="P44" i="66" s="1"/>
  <c r="N45" i="66"/>
  <c r="P45" i="66" s="1"/>
  <c r="N46" i="66"/>
  <c r="P46" i="66" s="1"/>
  <c r="N47" i="66"/>
  <c r="P47" i="66" s="1"/>
  <c r="N50" i="66"/>
  <c r="P50" i="66" s="1"/>
  <c r="N51" i="66"/>
  <c r="P51" i="66" s="1"/>
  <c r="N52" i="66"/>
  <c r="P52" i="66" s="1"/>
  <c r="N54" i="66"/>
  <c r="P54" i="66" s="1"/>
  <c r="N55" i="66"/>
  <c r="P55" i="66" s="1"/>
  <c r="N56" i="66"/>
  <c r="P56" i="66" s="1"/>
  <c r="X43" i="66"/>
  <c r="T44" i="66"/>
  <c r="U47" i="66"/>
  <c r="AA48" i="66"/>
  <c r="W50" i="66"/>
  <c r="Q46" i="66"/>
  <c r="X47" i="66"/>
  <c r="AD48" i="66"/>
  <c r="AC50" i="66"/>
  <c r="AC43" i="66"/>
  <c r="X44" i="66"/>
  <c r="U45" i="66"/>
  <c r="Z46" i="66"/>
  <c r="AC47" i="66"/>
  <c r="R42" i="66"/>
  <c r="AD43" i="66"/>
  <c r="Z44" i="66"/>
  <c r="W45" i="66"/>
  <c r="AA46" i="66"/>
  <c r="T42" i="66"/>
  <c r="AF43" i="66"/>
  <c r="AA44" i="66"/>
  <c r="X45" i="66"/>
  <c r="AC46" i="66"/>
  <c r="AC45" i="66"/>
  <c r="AD46" i="66"/>
  <c r="U49" i="66"/>
  <c r="X49" i="66"/>
  <c r="X42" i="66"/>
  <c r="R43" i="66"/>
  <c r="AG44" i="66"/>
  <c r="AG45" i="66"/>
  <c r="AG38" i="66"/>
  <c r="T40" i="66"/>
  <c r="AF41" i="66"/>
  <c r="Z42" i="66"/>
  <c r="T43" i="66"/>
  <c r="Q38" i="66"/>
  <c r="U40" i="66"/>
  <c r="AG41" i="66"/>
  <c r="AA42" i="66"/>
  <c r="U43" i="66"/>
  <c r="Q41" i="66"/>
  <c r="AC42" i="66"/>
  <c r="W43" i="66"/>
  <c r="K7" i="36"/>
  <c r="K8" i="36" s="1"/>
  <c r="AA45" i="66"/>
  <c r="U46" i="66"/>
  <c r="AG47" i="66"/>
  <c r="U48" i="66"/>
  <c r="Q47" i="66"/>
  <c r="W48" i="66"/>
  <c r="Q49" i="66"/>
  <c r="R44" i="66"/>
  <c r="AD45" i="66"/>
  <c r="X46" i="66"/>
  <c r="R47" i="66"/>
  <c r="X48" i="66"/>
  <c r="R49" i="66"/>
  <c r="U51" i="66"/>
  <c r="T47" i="66"/>
  <c r="Z48" i="66"/>
  <c r="T49" i="66"/>
  <c r="T50" i="66"/>
  <c r="W51" i="66"/>
  <c r="Z51" i="66"/>
  <c r="W47" i="66"/>
  <c r="AC48" i="66"/>
  <c r="W49" i="66"/>
  <c r="AA50" i="66"/>
  <c r="AA51" i="66"/>
  <c r="T45" i="66"/>
  <c r="AF46" i="66"/>
  <c r="Z47" i="66"/>
  <c r="AF48" i="66"/>
  <c r="Z49" i="66"/>
  <c r="AD50" i="66"/>
  <c r="AG48" i="66"/>
  <c r="AA49" i="66"/>
  <c r="AF50" i="66"/>
  <c r="Q56" i="66"/>
  <c r="Q48" i="66"/>
  <c r="AC49" i="66"/>
  <c r="AG50" i="66"/>
  <c r="R46" i="66"/>
  <c r="AD47" i="66"/>
  <c r="R48" i="66"/>
  <c r="AG49" i="66"/>
  <c r="Q52" i="66"/>
  <c r="AF44" i="66"/>
  <c r="Z45" i="66"/>
  <c r="T46" i="66"/>
  <c r="AF47" i="66"/>
  <c r="T48" i="66"/>
  <c r="U56" i="66"/>
  <c r="X51" i="66"/>
  <c r="R52" i="66"/>
  <c r="R54" i="66"/>
  <c r="Z56" i="66"/>
  <c r="AF58" i="66"/>
  <c r="T52" i="66"/>
  <c r="T54" i="66"/>
  <c r="U55" i="66"/>
  <c r="AG56" i="66"/>
  <c r="U52" i="66"/>
  <c r="U54" i="66"/>
  <c r="W55" i="66"/>
  <c r="R63" i="66"/>
  <c r="Q50" i="66"/>
  <c r="AC51" i="66"/>
  <c r="W52" i="66"/>
  <c r="X54" i="66"/>
  <c r="AA55" i="66"/>
  <c r="R50" i="66"/>
  <c r="AD51" i="66"/>
  <c r="X52" i="66"/>
  <c r="Z54" i="66"/>
  <c r="AD55" i="66"/>
  <c r="AF51" i="66"/>
  <c r="Z52" i="66"/>
  <c r="AA54" i="66"/>
  <c r="AF55" i="66"/>
  <c r="U50" i="66"/>
  <c r="AG51" i="66"/>
  <c r="AA52" i="66"/>
  <c r="AC54" i="66"/>
  <c r="U57" i="66"/>
  <c r="Q51" i="66"/>
  <c r="AC52" i="66"/>
  <c r="AG53" i="66"/>
  <c r="AD54" i="66"/>
  <c r="AD57" i="66"/>
  <c r="AD49" i="66"/>
  <c r="X50" i="66"/>
  <c r="R51" i="66"/>
  <c r="AD52" i="66"/>
  <c r="AG54" i="66"/>
  <c r="AF49" i="66"/>
  <c r="Z50" i="66"/>
  <c r="T51" i="66"/>
  <c r="AF52" i="66"/>
  <c r="Q53" i="66"/>
  <c r="AF57" i="66"/>
  <c r="AG58" i="66"/>
  <c r="AF59" i="66"/>
  <c r="X63" i="66"/>
  <c r="W68" i="66"/>
  <c r="R53" i="66"/>
  <c r="X55" i="66"/>
  <c r="R56" i="66"/>
  <c r="AG57" i="66"/>
  <c r="AG59" i="66"/>
  <c r="AG63" i="66"/>
  <c r="T53" i="66"/>
  <c r="AF54" i="66"/>
  <c r="Z55" i="66"/>
  <c r="T56" i="66"/>
  <c r="U66" i="66"/>
  <c r="U53" i="66"/>
  <c r="X66" i="66"/>
  <c r="W53" i="66"/>
  <c r="Q54" i="66"/>
  <c r="AC55" i="66"/>
  <c r="W56" i="66"/>
  <c r="R57" i="66"/>
  <c r="W62" i="66"/>
  <c r="X53" i="66"/>
  <c r="X56" i="66"/>
  <c r="T57" i="66"/>
  <c r="AC62" i="66"/>
  <c r="Z53" i="66"/>
  <c r="Q58" i="66"/>
  <c r="Q60" i="66"/>
  <c r="AD62" i="66"/>
  <c r="AA53" i="66"/>
  <c r="AG55" i="66"/>
  <c r="AA56" i="66"/>
  <c r="W57" i="66"/>
  <c r="X58" i="66"/>
  <c r="AA60" i="66"/>
  <c r="AC53" i="66"/>
  <c r="W54" i="66"/>
  <c r="Q55" i="66"/>
  <c r="AC56" i="66"/>
  <c r="X57" i="66"/>
  <c r="Z58" i="66"/>
  <c r="AD53" i="66"/>
  <c r="R55" i="66"/>
  <c r="AD56" i="66"/>
  <c r="Z57" i="66"/>
  <c r="AA58" i="66"/>
  <c r="T59" i="66"/>
  <c r="AF53" i="66"/>
  <c r="T55" i="66"/>
  <c r="AF56" i="66"/>
  <c r="AC57" i="66"/>
  <c r="AD58" i="66"/>
  <c r="R58" i="66"/>
  <c r="X59" i="66"/>
  <c r="R60" i="66"/>
  <c r="AF62" i="66"/>
  <c r="T58" i="66"/>
  <c r="Z59" i="66"/>
  <c r="T60" i="66"/>
  <c r="W65" i="66"/>
  <c r="AA57" i="66"/>
  <c r="U58" i="66"/>
  <c r="AA59" i="66"/>
  <c r="U60" i="66"/>
  <c r="X65" i="66"/>
  <c r="W58" i="66"/>
  <c r="AC59" i="66"/>
  <c r="W60" i="66"/>
  <c r="Z65" i="66"/>
  <c r="AD59" i="66"/>
  <c r="X60" i="66"/>
  <c r="R64" i="66"/>
  <c r="AC65" i="66"/>
  <c r="R67" i="66"/>
  <c r="Z60" i="66"/>
  <c r="U62" i="66"/>
  <c r="Q63" i="66"/>
  <c r="AC64" i="66"/>
  <c r="W67" i="66"/>
  <c r="AD64" i="66"/>
  <c r="Q57" i="66"/>
  <c r="AC58" i="66"/>
  <c r="Q59" i="66"/>
  <c r="AF60" i="66"/>
  <c r="X62" i="66"/>
  <c r="T63" i="66"/>
  <c r="AF64" i="66"/>
  <c r="R59" i="66"/>
  <c r="AG60" i="66"/>
  <c r="Z62" i="66"/>
  <c r="U63" i="66"/>
  <c r="AG64" i="66"/>
  <c r="AA62" i="66"/>
  <c r="W63" i="66"/>
  <c r="AA65" i="66"/>
  <c r="W66" i="66"/>
  <c r="T67" i="66"/>
  <c r="AA68" i="66"/>
  <c r="AC68" i="66"/>
  <c r="Q64" i="66"/>
  <c r="AD65" i="66"/>
  <c r="Z66" i="66"/>
  <c r="X67" i="66"/>
  <c r="AF68" i="66"/>
  <c r="AF65" i="66"/>
  <c r="AC66" i="66"/>
  <c r="AC67" i="66"/>
  <c r="R70" i="66"/>
  <c r="X74" i="66"/>
  <c r="Z63" i="66"/>
  <c r="T64" i="66"/>
  <c r="AD66" i="66"/>
  <c r="AG67" i="66"/>
  <c r="AA70" i="66"/>
  <c r="AG62" i="66"/>
  <c r="AA63" i="66"/>
  <c r="W64" i="66"/>
  <c r="Q65" i="66"/>
  <c r="AG66" i="66"/>
  <c r="AF70" i="66"/>
  <c r="AC60" i="66"/>
  <c r="Q62" i="66"/>
  <c r="AC63" i="66"/>
  <c r="X64" i="66"/>
  <c r="R65" i="66"/>
  <c r="AD60" i="66"/>
  <c r="R62" i="66"/>
  <c r="AD63" i="66"/>
  <c r="Z64" i="66"/>
  <c r="T65" i="66"/>
  <c r="X69" i="66"/>
  <c r="T62" i="66"/>
  <c r="AF63" i="66"/>
  <c r="AA64" i="66"/>
  <c r="U65" i="66"/>
  <c r="Q66" i="66"/>
  <c r="AC69" i="66"/>
  <c r="R66" i="66"/>
  <c r="Q68" i="66"/>
  <c r="AF69" i="66"/>
  <c r="Q67" i="66"/>
  <c r="R68" i="66"/>
  <c r="AG69" i="66"/>
  <c r="AD39" i="66"/>
  <c r="AF39" i="66"/>
  <c r="AF66" i="66"/>
  <c r="Z67" i="66"/>
  <c r="T68" i="66"/>
  <c r="AG70" i="66"/>
  <c r="Q77" i="66"/>
  <c r="AG39" i="66"/>
  <c r="AA67" i="66"/>
  <c r="U68" i="66"/>
  <c r="X73" i="66"/>
  <c r="U77" i="66"/>
  <c r="Q39" i="66"/>
  <c r="T69" i="66"/>
  <c r="Z73" i="66"/>
  <c r="W77" i="66"/>
  <c r="R39" i="66"/>
  <c r="AD67" i="66"/>
  <c r="X68" i="66"/>
  <c r="U69" i="66"/>
  <c r="AA73" i="66"/>
  <c r="AF75" i="66"/>
  <c r="T39" i="66"/>
  <c r="AF67" i="66"/>
  <c r="Z68" i="66"/>
  <c r="W69" i="66"/>
  <c r="Q70" i="66"/>
  <c r="U39" i="66"/>
  <c r="T72" i="66"/>
  <c r="W39" i="66"/>
  <c r="Z69" i="66"/>
  <c r="T70" i="66"/>
  <c r="AD71" i="66"/>
  <c r="Z72" i="66"/>
  <c r="X39" i="66"/>
  <c r="AD68" i="66"/>
  <c r="AA69" i="66"/>
  <c r="U70" i="66"/>
  <c r="AF71" i="66"/>
  <c r="AA72" i="66"/>
  <c r="Z39" i="66"/>
  <c r="W70" i="66"/>
  <c r="AG71" i="66"/>
  <c r="AC72" i="66"/>
  <c r="T74" i="66"/>
  <c r="AA39" i="66"/>
  <c r="U64" i="66"/>
  <c r="AG65" i="66"/>
  <c r="AA66" i="66"/>
  <c r="U67" i="66"/>
  <c r="AG68" i="66"/>
  <c r="AD69" i="66"/>
  <c r="X70" i="66"/>
  <c r="AE34" i="42"/>
  <c r="AH42" i="42"/>
  <c r="U71" i="66"/>
  <c r="AD72" i="66"/>
  <c r="AC73" i="66"/>
  <c r="AG74" i="66"/>
  <c r="Z70" i="66"/>
  <c r="W71" i="66"/>
  <c r="AF72" i="66"/>
  <c r="AD73" i="66"/>
  <c r="X71" i="66"/>
  <c r="AG72" i="66"/>
  <c r="AF73" i="66"/>
  <c r="W76" i="66"/>
  <c r="Q69" i="66"/>
  <c r="AC70" i="66"/>
  <c r="Z71" i="66"/>
  <c r="Z76" i="66"/>
  <c r="R69" i="66"/>
  <c r="AD70" i="66"/>
  <c r="AA71" i="66"/>
  <c r="AA76" i="66"/>
  <c r="T78" i="66"/>
  <c r="AC71" i="66"/>
  <c r="Q72" i="66"/>
  <c r="R75" i="66"/>
  <c r="X78" i="66"/>
  <c r="AG61" i="66"/>
  <c r="R72" i="66"/>
  <c r="AA75" i="66"/>
  <c r="U73" i="66"/>
  <c r="Q74" i="66"/>
  <c r="AC75" i="66"/>
  <c r="X72" i="66"/>
  <c r="W73" i="66"/>
  <c r="R74" i="66"/>
  <c r="H50" i="66"/>
  <c r="H72" i="66"/>
  <c r="D20" i="66"/>
  <c r="AH65" i="42"/>
  <c r="AE62" i="42"/>
  <c r="AE17" i="42"/>
  <c r="J23" i="66"/>
  <c r="K23" i="66" s="1"/>
  <c r="AE38" i="42"/>
  <c r="AG60" i="42"/>
  <c r="AG82" i="42"/>
  <c r="J56" i="66"/>
  <c r="K56" i="66" s="1"/>
  <c r="AG65" i="42"/>
  <c r="H62" i="66"/>
  <c r="AG75" i="66"/>
  <c r="AC76" i="66"/>
  <c r="X77" i="66"/>
  <c r="Z78" i="66"/>
  <c r="W74" i="66"/>
  <c r="Q75" i="66"/>
  <c r="AD76" i="66"/>
  <c r="Z77" i="66"/>
  <c r="AC78" i="66"/>
  <c r="AF76" i="66"/>
  <c r="AC77" i="66"/>
  <c r="AG78" i="66"/>
  <c r="AF80" i="66"/>
  <c r="Z74" i="66"/>
  <c r="T75" i="66"/>
  <c r="AG76" i="66"/>
  <c r="AD77" i="66"/>
  <c r="Q71" i="66"/>
  <c r="U72" i="66"/>
  <c r="AG73" i="66"/>
  <c r="AA74" i="66"/>
  <c r="U75" i="66"/>
  <c r="AF77" i="66"/>
  <c r="R71" i="66"/>
  <c r="W72" i="66"/>
  <c r="Q73" i="66"/>
  <c r="AC74" i="66"/>
  <c r="W75" i="66"/>
  <c r="Q76" i="66"/>
  <c r="R73" i="66"/>
  <c r="AD74" i="66"/>
  <c r="X75" i="66"/>
  <c r="R76" i="66"/>
  <c r="T73" i="66"/>
  <c r="AF74" i="66"/>
  <c r="Z75" i="66"/>
  <c r="T76" i="66"/>
  <c r="T79" i="66"/>
  <c r="AA79" i="66"/>
  <c r="X76" i="66"/>
  <c r="R77" i="66"/>
  <c r="R78" i="66"/>
  <c r="AF79" i="66"/>
  <c r="J26" i="66"/>
  <c r="K26" i="66" s="1"/>
  <c r="D22" i="66"/>
  <c r="D41" i="66"/>
  <c r="J34" i="66"/>
  <c r="K34" i="66" s="1"/>
  <c r="AG43" i="42"/>
  <c r="AG88" i="42"/>
  <c r="J41" i="66"/>
  <c r="K41" i="66" s="1"/>
  <c r="AH43" i="42"/>
  <c r="AF87" i="42"/>
  <c r="AG11" i="42"/>
  <c r="H36" i="66"/>
  <c r="J44" i="66"/>
  <c r="K44" i="66" s="1"/>
  <c r="AF84" i="42"/>
  <c r="AF15" i="42"/>
  <c r="J60" i="66"/>
  <c r="K60" i="66" s="1"/>
  <c r="G65" i="66"/>
  <c r="H59" i="66"/>
  <c r="AH18" i="42"/>
  <c r="J14" i="66"/>
  <c r="K14" i="66" s="1"/>
  <c r="AG46" i="42"/>
  <c r="AE75" i="42"/>
  <c r="AE23" i="42"/>
  <c r="AH46" i="42"/>
  <c r="G45" i="66"/>
  <c r="AH76" i="42"/>
  <c r="H30" i="66"/>
  <c r="G43" i="66"/>
  <c r="AF26" i="42"/>
  <c r="AF27" i="42"/>
  <c r="AG79" i="42"/>
  <c r="H38" i="66"/>
  <c r="AG69" i="42"/>
  <c r="AH27" i="42"/>
  <c r="AE52" i="42"/>
  <c r="AH79" i="42"/>
  <c r="AF35" i="42"/>
  <c r="AG74" i="42"/>
  <c r="AF38" i="42"/>
  <c r="J22" i="66"/>
  <c r="K22" i="66" s="1"/>
  <c r="H68" i="66"/>
  <c r="AF51" i="42"/>
  <c r="H71" i="66"/>
  <c r="AF18" i="42"/>
  <c r="AF39" i="42"/>
  <c r="H66" i="66"/>
  <c r="H32" i="66"/>
  <c r="H42" i="66"/>
  <c r="H47" i="66"/>
  <c r="AF62" i="42"/>
  <c r="H28" i="66"/>
  <c r="H54" i="66"/>
  <c r="X61" i="66"/>
  <c r="R79" i="66"/>
  <c r="AD80" i="66"/>
  <c r="AG81" i="66"/>
  <c r="Z61" i="66"/>
  <c r="Z83" i="66"/>
  <c r="AA61" i="66"/>
  <c r="U76" i="66"/>
  <c r="AG77" i="66"/>
  <c r="AA78" i="66"/>
  <c r="U79" i="66"/>
  <c r="AC83" i="66"/>
  <c r="AC61" i="66"/>
  <c r="W79" i="66"/>
  <c r="Q80" i="66"/>
  <c r="AG83" i="66"/>
  <c r="AD61" i="66"/>
  <c r="AD78" i="66"/>
  <c r="X79" i="66"/>
  <c r="R80" i="66"/>
  <c r="Z85" i="66"/>
  <c r="AF61" i="66"/>
  <c r="T77" i="66"/>
  <c r="AF78" i="66"/>
  <c r="Z79" i="66"/>
  <c r="T80" i="66"/>
  <c r="AG85" i="66"/>
  <c r="U80" i="66"/>
  <c r="X81" i="66"/>
  <c r="Z87" i="66"/>
  <c r="Q61" i="66"/>
  <c r="Q78" i="66"/>
  <c r="AC79" i="66"/>
  <c r="W80" i="66"/>
  <c r="Z81" i="66"/>
  <c r="AG87" i="66"/>
  <c r="R61" i="66"/>
  <c r="AD79" i="66"/>
  <c r="X80" i="66"/>
  <c r="AA81" i="66"/>
  <c r="Z89" i="66"/>
  <c r="T61" i="66"/>
  <c r="Z80" i="66"/>
  <c r="AC81" i="66"/>
  <c r="U61" i="66"/>
  <c r="AA77" i="66"/>
  <c r="U78" i="66"/>
  <c r="AG79" i="66"/>
  <c r="AA80" i="66"/>
  <c r="AD81" i="66"/>
  <c r="W61" i="66"/>
  <c r="W78" i="66"/>
  <c r="Q79" i="66"/>
  <c r="AC80" i="66"/>
  <c r="H16" i="66"/>
  <c r="AG23" i="42"/>
  <c r="AH33" i="42"/>
  <c r="AG42" i="42"/>
  <c r="AE51" i="42"/>
  <c r="AH61" i="42"/>
  <c r="AG73" i="42"/>
  <c r="AE82" i="42"/>
  <c r="J20" i="66"/>
  <c r="K20" i="66" s="1"/>
  <c r="G61" i="66"/>
  <c r="G67" i="66"/>
  <c r="H80" i="66"/>
  <c r="D19" i="66"/>
  <c r="H78" i="66"/>
  <c r="H24" i="66"/>
  <c r="AF75" i="42"/>
  <c r="AH83" i="42"/>
  <c r="AH26" i="42"/>
  <c r="AH45" i="42"/>
  <c r="AF52" i="42"/>
  <c r="AE84" i="42"/>
  <c r="H53" i="66"/>
  <c r="H74" i="66"/>
  <c r="D77" i="66"/>
  <c r="D75" i="66"/>
  <c r="H77" i="66"/>
  <c r="AE21" i="42"/>
  <c r="AE29" i="42"/>
  <c r="AG12" i="42"/>
  <c r="AF30" i="42"/>
  <c r="AF48" i="42"/>
  <c r="AG57" i="42"/>
  <c r="AG68" i="42"/>
  <c r="AF78" i="42"/>
  <c r="J13" i="66"/>
  <c r="K13" i="66" s="1"/>
  <c r="H29" i="66"/>
  <c r="H35" i="66"/>
  <c r="G49" i="66"/>
  <c r="AE66" i="42"/>
  <c r="AE39" i="42"/>
  <c r="AH57" i="42"/>
  <c r="AE69" i="42"/>
  <c r="AE88" i="42"/>
  <c r="AH22" i="42"/>
  <c r="AE32" i="42"/>
  <c r="H48" i="66"/>
  <c r="H65" i="66"/>
  <c r="AF56" i="42"/>
  <c r="AH15" i="42"/>
  <c r="AG61" i="42"/>
  <c r="AH88" i="42"/>
  <c r="K4" i="36"/>
  <c r="N4" i="36" s="1"/>
  <c r="K5" i="36"/>
  <c r="N5" i="36" s="1"/>
  <c r="O9" i="66"/>
  <c r="G51" i="66"/>
  <c r="G72" i="66"/>
  <c r="G79" i="66"/>
  <c r="D14" i="66"/>
  <c r="G78" i="66"/>
  <c r="D69" i="66"/>
  <c r="D16" i="66"/>
  <c r="N8" i="49"/>
  <c r="AH87" i="42"/>
  <c r="AH11" i="42"/>
  <c r="AE12" i="42"/>
  <c r="AE35" i="42"/>
  <c r="AE55" i="42"/>
  <c r="AE78" i="42"/>
  <c r="AE30" i="42"/>
  <c r="AE41" i="42"/>
  <c r="AE48" i="42"/>
  <c r="AH68" i="42"/>
  <c r="AE19" i="42"/>
  <c r="AE24" i="42"/>
  <c r="AE56" i="42"/>
  <c r="AH70" i="42"/>
  <c r="AE85" i="42"/>
  <c r="AE20" i="42"/>
  <c r="AE31" i="42"/>
  <c r="AE36" i="42"/>
  <c r="AH64" i="42"/>
  <c r="AH74" i="42"/>
  <c r="AA83" i="66"/>
  <c r="AA85" i="66"/>
  <c r="AA87" i="66"/>
  <c r="AA89" i="66"/>
  <c r="AC85" i="66"/>
  <c r="AC87" i="66"/>
  <c r="AC89" i="66"/>
  <c r="AD83" i="66"/>
  <c r="AD85" i="66"/>
  <c r="AD87" i="66"/>
  <c r="AD89" i="66"/>
  <c r="AF83" i="66"/>
  <c r="AF85" i="66"/>
  <c r="AF87" i="66"/>
  <c r="AF89" i="66"/>
  <c r="AG89" i="66"/>
  <c r="Q81" i="66"/>
  <c r="Z82" i="66"/>
  <c r="Z84" i="66"/>
  <c r="Z86" i="66"/>
  <c r="Z88" i="66"/>
  <c r="AG80" i="66"/>
  <c r="R81" i="66"/>
  <c r="AA82" i="66"/>
  <c r="AA84" i="66"/>
  <c r="AA86" i="66"/>
  <c r="AA88" i="66"/>
  <c r="T81" i="66"/>
  <c r="AC82" i="66"/>
  <c r="AC84" i="66"/>
  <c r="AC86" i="66"/>
  <c r="AC88" i="66"/>
  <c r="U81" i="66"/>
  <c r="AD82" i="66"/>
  <c r="AD84" i="66"/>
  <c r="AD86" i="66"/>
  <c r="AD88" i="66"/>
  <c r="W81" i="66"/>
  <c r="AF82" i="66"/>
  <c r="AF84" i="66"/>
  <c r="AF86" i="66"/>
  <c r="AF88" i="66"/>
  <c r="AG82" i="66"/>
  <c r="AG84" i="66"/>
  <c r="AG86" i="66"/>
  <c r="AF14" i="42"/>
  <c r="AF17" i="42"/>
  <c r="AE25" i="42"/>
  <c r="AF29" i="42"/>
  <c r="AF10" i="42"/>
  <c r="AH14" i="42"/>
  <c r="AG45" i="42"/>
  <c r="AG55" i="42"/>
  <c r="AE60" i="42"/>
  <c r="AG64" i="42"/>
  <c r="AE73" i="42"/>
  <c r="AH77" i="42"/>
  <c r="AH81" i="42"/>
  <c r="AH86" i="42"/>
  <c r="J25" i="66"/>
  <c r="K25" i="66" s="1"/>
  <c r="J69" i="66"/>
  <c r="K69" i="66" s="1"/>
  <c r="H69" i="66"/>
  <c r="J79" i="66"/>
  <c r="K79" i="66" s="1"/>
  <c r="H79" i="66"/>
  <c r="J45" i="66"/>
  <c r="K45" i="66" s="1"/>
  <c r="H45" i="66"/>
  <c r="J57" i="66"/>
  <c r="K57" i="66" s="1"/>
  <c r="H57" i="66"/>
  <c r="AG40" i="42"/>
  <c r="AF40" i="42"/>
  <c r="J43" i="66"/>
  <c r="K43" i="66" s="1"/>
  <c r="J55" i="66"/>
  <c r="K55" i="66" s="1"/>
  <c r="H55" i="66"/>
  <c r="J67" i="66"/>
  <c r="K67" i="66" s="1"/>
  <c r="H67" i="66"/>
  <c r="AH13" i="42"/>
  <c r="AE13" i="42"/>
  <c r="AG28" i="42"/>
  <c r="AF28" i="42"/>
  <c r="AG54" i="42"/>
  <c r="AF54" i="42"/>
  <c r="AG80" i="42"/>
  <c r="AF80" i="42"/>
  <c r="G21" i="66"/>
  <c r="D21" i="66"/>
  <c r="G31" i="66"/>
  <c r="D31" i="66"/>
  <c r="J21" i="66"/>
  <c r="K21" i="66" s="1"/>
  <c r="H21" i="66"/>
  <c r="AH10" i="42"/>
  <c r="AE10" i="42"/>
  <c r="AG25" i="42"/>
  <c r="AF25" i="42"/>
  <c r="AG37" i="42"/>
  <c r="AF37" i="42"/>
  <c r="D12" i="66"/>
  <c r="J19" i="66"/>
  <c r="K19" i="66" s="1"/>
  <c r="J31" i="66"/>
  <c r="K31" i="66" s="1"/>
  <c r="D38" i="66"/>
  <c r="J75" i="66"/>
  <c r="K75" i="66" s="1"/>
  <c r="H75" i="66"/>
  <c r="AE16" i="42"/>
  <c r="AF20" i="42"/>
  <c r="AG66" i="42"/>
  <c r="AG77" i="42"/>
  <c r="AF77" i="42"/>
  <c r="AG86" i="42"/>
  <c r="AF86" i="42"/>
  <c r="J15" i="66"/>
  <c r="K15" i="66" s="1"/>
  <c r="H15" i="66"/>
  <c r="H17" i="66"/>
  <c r="H18" i="66"/>
  <c r="J39" i="66"/>
  <c r="K39" i="66" s="1"/>
  <c r="H39" i="66"/>
  <c r="J51" i="66"/>
  <c r="K51" i="66" s="1"/>
  <c r="H51" i="66"/>
  <c r="J63" i="66"/>
  <c r="K63" i="66" s="1"/>
  <c r="H63" i="66"/>
  <c r="J73" i="66"/>
  <c r="K73" i="66" s="1"/>
  <c r="H73" i="66"/>
  <c r="AG16" i="42"/>
  <c r="AF16" i="42"/>
  <c r="AG70" i="42"/>
  <c r="D10" i="66"/>
  <c r="AE9" i="42"/>
  <c r="AE40" i="42"/>
  <c r="AE44" i="42"/>
  <c r="AF9" i="42"/>
  <c r="AG32" i="42"/>
  <c r="AF44" i="42"/>
  <c r="AE71" i="42"/>
  <c r="H11" i="66"/>
  <c r="D27" i="66"/>
  <c r="J37" i="66"/>
  <c r="K37" i="66" s="1"/>
  <c r="H37" i="66"/>
  <c r="J49" i="66"/>
  <c r="K49" i="66" s="1"/>
  <c r="H49" i="66"/>
  <c r="J61" i="66"/>
  <c r="K61" i="66" s="1"/>
  <c r="H61" i="66"/>
  <c r="AE28" i="42"/>
  <c r="AF13" i="42"/>
  <c r="AG22" i="42"/>
  <c r="AF22" i="42"/>
  <c r="AF24" i="42"/>
  <c r="AG34" i="42"/>
  <c r="AF34" i="42"/>
  <c r="AF36" i="42"/>
  <c r="AE54" i="42"/>
  <c r="AE58" i="42"/>
  <c r="AH80" i="42"/>
  <c r="AF58" i="42"/>
  <c r="AE63" i="42"/>
  <c r="AG67" i="42"/>
  <c r="AF71" i="42"/>
  <c r="H12" i="66"/>
  <c r="AE37" i="42"/>
  <c r="AF41" i="42"/>
  <c r="AE49" i="42"/>
  <c r="AG63" i="42"/>
  <c r="AH67" i="42"/>
  <c r="AG76" i="42"/>
  <c r="AF81" i="42"/>
  <c r="AG85" i="42"/>
  <c r="J81" i="66"/>
  <c r="K81" i="66" s="1"/>
  <c r="H81" i="66"/>
  <c r="G15" i="66"/>
  <c r="D15" i="66"/>
  <c r="AG19" i="42"/>
  <c r="AF19" i="42"/>
  <c r="AF21" i="42"/>
  <c r="AG31" i="42"/>
  <c r="AF31" i="42"/>
  <c r="AF33" i="42"/>
  <c r="AF49" i="42"/>
  <c r="AG83" i="42"/>
  <c r="AF83" i="42"/>
  <c r="D56" i="66"/>
  <c r="H27" i="66"/>
  <c r="H33" i="66"/>
  <c r="H40" i="66"/>
  <c r="H46" i="66"/>
  <c r="H52" i="66"/>
  <c r="H58" i="66"/>
  <c r="H64" i="66"/>
  <c r="H70" i="66"/>
  <c r="H76" i="66"/>
  <c r="G15" i="50"/>
  <c r="J15" i="50" s="1"/>
  <c r="G3" i="44"/>
  <c r="E5" i="44" s="1"/>
  <c r="G18" i="50"/>
  <c r="J18" i="50" s="1"/>
  <c r="G14" i="49"/>
  <c r="J38" i="49"/>
  <c r="G14" i="50"/>
  <c r="G15" i="49"/>
  <c r="J15" i="49" s="1"/>
  <c r="G16" i="49"/>
  <c r="J16" i="49" s="1"/>
  <c r="G17" i="49"/>
  <c r="J17" i="49" s="1"/>
  <c r="G16" i="50"/>
  <c r="J16" i="50" s="1"/>
  <c r="Q64" i="84"/>
  <c r="T74" i="84"/>
  <c r="T55" i="84"/>
  <c r="Q70" i="84"/>
  <c r="R70" i="84"/>
  <c r="S70" i="84"/>
  <c r="T70" i="84"/>
  <c r="K70" i="84"/>
  <c r="T9" i="84"/>
  <c r="L70" i="84"/>
  <c r="M70" i="84"/>
  <c r="N70" i="84"/>
  <c r="E58" i="55"/>
  <c r="E71" i="55"/>
  <c r="E83" i="55"/>
  <c r="E51" i="55"/>
  <c r="E119" i="55"/>
  <c r="E7" i="55"/>
  <c r="E13" i="55"/>
  <c r="E19" i="55"/>
  <c r="E25" i="55"/>
  <c r="E32" i="55"/>
  <c r="E45" i="55"/>
  <c r="E59" i="55"/>
  <c r="E65" i="55"/>
  <c r="E72" i="55"/>
  <c r="E78" i="55"/>
  <c r="E84" i="55"/>
  <c r="E90" i="55"/>
  <c r="E96" i="55"/>
  <c r="E102" i="55"/>
  <c r="E108" i="55"/>
  <c r="E114" i="55"/>
  <c r="E120" i="55"/>
  <c r="S80" i="84"/>
  <c r="E8" i="55"/>
  <c r="E14" i="55"/>
  <c r="E20" i="55"/>
  <c r="E42" i="55"/>
  <c r="F32" i="51"/>
  <c r="E60" i="55"/>
  <c r="E73" i="55"/>
  <c r="E85" i="55"/>
  <c r="E97" i="55"/>
  <c r="E109" i="55"/>
  <c r="E121" i="55"/>
  <c r="T20" i="84"/>
  <c r="E117" i="55"/>
  <c r="H7" i="84"/>
  <c r="E9" i="55"/>
  <c r="E15" i="55"/>
  <c r="E21" i="55"/>
  <c r="E27" i="55"/>
  <c r="E40" i="55"/>
  <c r="E54" i="55"/>
  <c r="E61" i="55"/>
  <c r="E67" i="55"/>
  <c r="E74" i="55"/>
  <c r="E80" i="55"/>
  <c r="E86" i="55"/>
  <c r="E92" i="55"/>
  <c r="E98" i="55"/>
  <c r="E104" i="55"/>
  <c r="E110" i="55"/>
  <c r="E116" i="55"/>
  <c r="E41" i="55"/>
  <c r="E48" i="55"/>
  <c r="E62" i="55"/>
  <c r="E75" i="55"/>
  <c r="E87" i="55"/>
  <c r="E99" i="55"/>
  <c r="E111" i="55"/>
  <c r="P3" i="69"/>
  <c r="E35" i="55"/>
  <c r="E118" i="55"/>
  <c r="E89" i="55"/>
  <c r="E101" i="55"/>
  <c r="E113" i="55"/>
  <c r="R16" i="84"/>
  <c r="N59" i="84"/>
  <c r="T72" i="84"/>
  <c r="E31" i="55"/>
  <c r="E37" i="55"/>
  <c r="E43" i="55"/>
  <c r="E6" i="55"/>
  <c r="E12" i="55"/>
  <c r="E18" i="55"/>
  <c r="E24" i="55"/>
  <c r="E64" i="55"/>
  <c r="E77" i="55"/>
  <c r="R11" i="84"/>
  <c r="T8" i="84"/>
  <c r="T40" i="84"/>
  <c r="E95" i="55"/>
  <c r="E107" i="55"/>
  <c r="G8" i="69"/>
  <c r="M77" i="84"/>
  <c r="T53" i="84"/>
  <c r="E26" i="55"/>
  <c r="E39" i="55"/>
  <c r="E53" i="55"/>
  <c r="E79" i="55"/>
  <c r="J49" i="84"/>
  <c r="F49" i="84" s="1"/>
  <c r="P17" i="84"/>
  <c r="T10" i="84"/>
  <c r="E46" i="55"/>
  <c r="E66" i="55"/>
  <c r="E91" i="55"/>
  <c r="E115" i="55"/>
  <c r="R32" i="84"/>
  <c r="O63" i="84"/>
  <c r="S38" i="84"/>
  <c r="I49" i="84"/>
  <c r="E49" i="84" s="1"/>
  <c r="P21" i="84"/>
  <c r="E38" i="55"/>
  <c r="N14" i="84"/>
  <c r="E34" i="55"/>
  <c r="E47" i="55"/>
  <c r="E10" i="55"/>
  <c r="E16" i="55"/>
  <c r="E22" i="55"/>
  <c r="E28" i="55"/>
  <c r="E56" i="55"/>
  <c r="E69" i="55"/>
  <c r="E81" i="55"/>
  <c r="E93" i="55"/>
  <c r="E105" i="55"/>
  <c r="E122" i="55"/>
  <c r="T16" i="84"/>
  <c r="T11" i="84"/>
  <c r="M54" i="84"/>
  <c r="O60" i="84"/>
  <c r="N73" i="84"/>
  <c r="R31" i="84"/>
  <c r="N75" i="84"/>
  <c r="U20" i="84"/>
  <c r="I50" i="84"/>
  <c r="E50" i="84" s="1"/>
  <c r="E33" i="55"/>
  <c r="E103" i="55"/>
  <c r="N69" i="84"/>
  <c r="J50" i="84"/>
  <c r="F50" i="84" s="1"/>
  <c r="U15" i="9"/>
  <c r="T45" i="84"/>
  <c r="E52" i="55"/>
  <c r="O17" i="84"/>
  <c r="S48" i="84"/>
  <c r="E11" i="55"/>
  <c r="E17" i="55"/>
  <c r="E23" i="55"/>
  <c r="E29" i="55"/>
  <c r="E36" i="55"/>
  <c r="E50" i="55"/>
  <c r="E57" i="55"/>
  <c r="E63" i="55"/>
  <c r="E70" i="55"/>
  <c r="E76" i="55"/>
  <c r="E82" i="55"/>
  <c r="E88" i="55"/>
  <c r="E94" i="55"/>
  <c r="E100" i="55"/>
  <c r="E106" i="55"/>
  <c r="E112" i="55"/>
  <c r="O11" i="84"/>
  <c r="Q8" i="84"/>
  <c r="O20" i="84"/>
  <c r="L56" i="84"/>
  <c r="K56" i="84"/>
  <c r="S56" i="84"/>
  <c r="R56" i="84"/>
  <c r="Q56" i="84"/>
  <c r="P56" i="84"/>
  <c r="M56" i="84"/>
  <c r="T65" i="84"/>
  <c r="S65" i="84"/>
  <c r="R65" i="84"/>
  <c r="Q65" i="84"/>
  <c r="P65" i="84"/>
  <c r="O65" i="84"/>
  <c r="N65" i="84"/>
  <c r="M65" i="84"/>
  <c r="T42" i="84"/>
  <c r="S42" i="84"/>
  <c r="R42" i="84"/>
  <c r="O42" i="84"/>
  <c r="N42" i="84"/>
  <c r="M42" i="84"/>
  <c r="L42" i="84"/>
  <c r="S61" i="84"/>
  <c r="R61" i="84"/>
  <c r="Q61" i="84"/>
  <c r="P61" i="84"/>
  <c r="N61" i="84"/>
  <c r="M61" i="84"/>
  <c r="L61" i="84"/>
  <c r="K61" i="84"/>
  <c r="T61" i="84"/>
  <c r="M18" i="84"/>
  <c r="L18" i="84"/>
  <c r="K18" i="84"/>
  <c r="R18" i="84"/>
  <c r="N18" i="84"/>
  <c r="O43" i="84"/>
  <c r="N43" i="84"/>
  <c r="M43" i="84"/>
  <c r="T43" i="84"/>
  <c r="S43" i="84"/>
  <c r="P43" i="84"/>
  <c r="K83" i="84"/>
  <c r="T83" i="84"/>
  <c r="S83" i="84"/>
  <c r="R83" i="84"/>
  <c r="Q83" i="84"/>
  <c r="P83" i="84"/>
  <c r="O83" i="84"/>
  <c r="N83" i="84"/>
  <c r="L83" i="84"/>
  <c r="T35" i="84"/>
  <c r="Q35" i="84"/>
  <c r="P35" i="84"/>
  <c r="O35" i="84"/>
  <c r="N35" i="84"/>
  <c r="K35" i="84"/>
  <c r="O9" i="84"/>
  <c r="L10" i="84"/>
  <c r="K17" i="84"/>
  <c r="O18" i="84"/>
  <c r="R38" i="84"/>
  <c r="O40" i="84"/>
  <c r="R43" i="84"/>
  <c r="S45" i="84"/>
  <c r="S74" i="84"/>
  <c r="S12" i="84"/>
  <c r="R12" i="84"/>
  <c r="Q12" i="84"/>
  <c r="L12" i="84"/>
  <c r="T12" i="84"/>
  <c r="T23" i="84"/>
  <c r="S23" i="84"/>
  <c r="P23" i="84"/>
  <c r="O23" i="84"/>
  <c r="N23" i="84"/>
  <c r="P9" i="84"/>
  <c r="N10" i="84"/>
  <c r="N16" i="84"/>
  <c r="M17" i="84"/>
  <c r="P18" i="84"/>
  <c r="K22" i="84"/>
  <c r="Q23" i="84"/>
  <c r="P86" i="84"/>
  <c r="O86" i="84"/>
  <c r="N86" i="84"/>
  <c r="M86" i="84"/>
  <c r="L86" i="84"/>
  <c r="K86" i="84"/>
  <c r="T86" i="84"/>
  <c r="S86" i="84"/>
  <c r="R86" i="84"/>
  <c r="Q86" i="84"/>
  <c r="Q68" i="84"/>
  <c r="P68" i="84"/>
  <c r="O68" i="84"/>
  <c r="N68" i="84"/>
  <c r="M68" i="84"/>
  <c r="L68" i="84"/>
  <c r="K68" i="84"/>
  <c r="R68" i="84"/>
  <c r="S8" i="84"/>
  <c r="R8" i="84"/>
  <c r="M8" i="84"/>
  <c r="M41" i="84"/>
  <c r="L41" i="84"/>
  <c r="K41" i="84"/>
  <c r="T41" i="84"/>
  <c r="S41" i="84"/>
  <c r="R41" i="84"/>
  <c r="Q41" i="84"/>
  <c r="N41" i="84"/>
  <c r="R40" i="84"/>
  <c r="Q40" i="84"/>
  <c r="P40" i="84"/>
  <c r="M40" i="84"/>
  <c r="L40" i="84"/>
  <c r="K40" i="84"/>
  <c r="S40" i="84"/>
  <c r="K39" i="84"/>
  <c r="R39" i="84"/>
  <c r="Q39" i="84"/>
  <c r="P39" i="84"/>
  <c r="O39" i="84"/>
  <c r="L39" i="84"/>
  <c r="R57" i="84"/>
  <c r="Q57" i="84"/>
  <c r="P57" i="84"/>
  <c r="O57" i="84"/>
  <c r="M57" i="84"/>
  <c r="L57" i="84"/>
  <c r="K57" i="84"/>
  <c r="S57" i="84"/>
  <c r="Q76" i="84"/>
  <c r="P76" i="84"/>
  <c r="O76" i="84"/>
  <c r="N76" i="84"/>
  <c r="M76" i="84"/>
  <c r="L76" i="84"/>
  <c r="K76" i="84"/>
  <c r="R76" i="84"/>
  <c r="Q9" i="84"/>
  <c r="O10" i="84"/>
  <c r="K11" i="84"/>
  <c r="K14" i="84"/>
  <c r="O16" i="84"/>
  <c r="N17" i="84"/>
  <c r="Q18" i="84"/>
  <c r="K21" i="84"/>
  <c r="P22" i="84"/>
  <c r="R23" i="84"/>
  <c r="K32" i="84"/>
  <c r="K42" i="84"/>
  <c r="S72" i="84"/>
  <c r="L13" i="84"/>
  <c r="K13" i="84"/>
  <c r="Q13" i="84"/>
  <c r="M13" i="84"/>
  <c r="P24" i="84"/>
  <c r="O24" i="84"/>
  <c r="N24" i="84"/>
  <c r="K24" i="84"/>
  <c r="Q24" i="84"/>
  <c r="G7" i="84"/>
  <c r="S9" i="84"/>
  <c r="P10" i="84"/>
  <c r="N11" i="84"/>
  <c r="L14" i="84"/>
  <c r="P16" i="84"/>
  <c r="S18" i="84"/>
  <c r="N21" i="84"/>
  <c r="Q22" i="84"/>
  <c r="L32" i="84"/>
  <c r="L35" i="84"/>
  <c r="P42" i="84"/>
  <c r="M53" i="84"/>
  <c r="N55" i="84"/>
  <c r="N57" i="84"/>
  <c r="M69" i="84"/>
  <c r="Q84" i="84"/>
  <c r="P84" i="84"/>
  <c r="O84" i="84"/>
  <c r="N84" i="84"/>
  <c r="M84" i="84"/>
  <c r="L84" i="84"/>
  <c r="K84" i="84"/>
  <c r="T84" i="84"/>
  <c r="S84" i="84"/>
  <c r="R84" i="84"/>
  <c r="T44" i="84"/>
  <c r="Q44" i="84"/>
  <c r="P44" i="84"/>
  <c r="O44" i="84"/>
  <c r="N44" i="84"/>
  <c r="K44" i="84"/>
  <c r="R59" i="84"/>
  <c r="Q59" i="84"/>
  <c r="P59" i="84"/>
  <c r="O59" i="84"/>
  <c r="M59" i="84"/>
  <c r="L59" i="84"/>
  <c r="K59" i="84"/>
  <c r="S59" i="84"/>
  <c r="K85" i="84"/>
  <c r="T85" i="84"/>
  <c r="S85" i="84"/>
  <c r="R85" i="84"/>
  <c r="Q85" i="84"/>
  <c r="P85" i="84"/>
  <c r="O85" i="84"/>
  <c r="N85" i="84"/>
  <c r="M85" i="84"/>
  <c r="L85" i="84"/>
  <c r="Q45" i="84"/>
  <c r="P45" i="84"/>
  <c r="O45" i="84"/>
  <c r="L45" i="84"/>
  <c r="K45" i="84"/>
  <c r="R45" i="84"/>
  <c r="K77" i="84"/>
  <c r="T77" i="84"/>
  <c r="S77" i="84"/>
  <c r="R77" i="84"/>
  <c r="Q77" i="84"/>
  <c r="P77" i="84"/>
  <c r="O77" i="84"/>
  <c r="L77" i="84"/>
  <c r="Q72" i="84"/>
  <c r="P72" i="84"/>
  <c r="O72" i="84"/>
  <c r="N72" i="84"/>
  <c r="M72" i="84"/>
  <c r="L72" i="84"/>
  <c r="K72" i="84"/>
  <c r="R72" i="84"/>
  <c r="K71" i="84"/>
  <c r="T71" i="84"/>
  <c r="S71" i="84"/>
  <c r="R71" i="84"/>
  <c r="Q71" i="84"/>
  <c r="P71" i="84"/>
  <c r="O71" i="84"/>
  <c r="L71" i="84"/>
  <c r="Q10" i="84"/>
  <c r="M14" i="84"/>
  <c r="T18" i="84"/>
  <c r="O21" i="84"/>
  <c r="K31" i="84"/>
  <c r="Q32" i="84"/>
  <c r="M35" i="84"/>
  <c r="M39" i="84"/>
  <c r="Q42" i="84"/>
  <c r="L44" i="84"/>
  <c r="S53" i="84"/>
  <c r="T57" i="84"/>
  <c r="T59" i="84"/>
  <c r="O61" i="84"/>
  <c r="K65" i="84"/>
  <c r="N77" i="84"/>
  <c r="P11" i="84"/>
  <c r="M12" i="84"/>
  <c r="O13" i="84"/>
  <c r="S16" i="84"/>
  <c r="P20" i="84"/>
  <c r="L31" i="84"/>
  <c r="R35" i="84"/>
  <c r="N39" i="84"/>
  <c r="M44" i="84"/>
  <c r="M48" i="84"/>
  <c r="L65" i="84"/>
  <c r="M75" i="84"/>
  <c r="Q14" i="84"/>
  <c r="P14" i="84"/>
  <c r="O14" i="84"/>
  <c r="R14" i="84"/>
  <c r="S10" i="84"/>
  <c r="R10" i="84"/>
  <c r="M10" i="84"/>
  <c r="Q53" i="84"/>
  <c r="P53" i="84"/>
  <c r="O53" i="84"/>
  <c r="N53" i="84"/>
  <c r="L53" i="84"/>
  <c r="K53" i="84"/>
  <c r="R53" i="84"/>
  <c r="S21" i="84"/>
  <c r="R21" i="84"/>
  <c r="Q21" i="84"/>
  <c r="M21" i="84"/>
  <c r="L21" i="84"/>
  <c r="T21" i="84"/>
  <c r="L9" i="84"/>
  <c r="K9" i="84"/>
  <c r="R9" i="84"/>
  <c r="Q80" i="84"/>
  <c r="P80" i="84"/>
  <c r="O80" i="84"/>
  <c r="N80" i="84"/>
  <c r="M80" i="84"/>
  <c r="L80" i="84"/>
  <c r="K80" i="84"/>
  <c r="T80" i="84"/>
  <c r="R80" i="84"/>
  <c r="Q74" i="84"/>
  <c r="P74" i="84"/>
  <c r="O74" i="84"/>
  <c r="N74" i="84"/>
  <c r="M74" i="84"/>
  <c r="L74" i="84"/>
  <c r="K74" i="84"/>
  <c r="R74" i="84"/>
  <c r="Q11" i="84"/>
  <c r="N12" i="84"/>
  <c r="P13" i="84"/>
  <c r="S14" i="84"/>
  <c r="Q20" i="84"/>
  <c r="L24" i="84"/>
  <c r="M31" i="84"/>
  <c r="S35" i="84"/>
  <c r="S39" i="84"/>
  <c r="R44" i="84"/>
  <c r="N48" i="84"/>
  <c r="K8" i="84"/>
  <c r="O12" i="84"/>
  <c r="R13" i="84"/>
  <c r="T14" i="84"/>
  <c r="M24" i="84"/>
  <c r="Q31" i="84"/>
  <c r="T39" i="84"/>
  <c r="O41" i="84"/>
  <c r="S44" i="84"/>
  <c r="M73" i="84"/>
  <c r="M83" i="84"/>
  <c r="K79" i="84"/>
  <c r="T79" i="84"/>
  <c r="S79" i="84"/>
  <c r="R79" i="84"/>
  <c r="Q79" i="84"/>
  <c r="P79" i="84"/>
  <c r="O79" i="84"/>
  <c r="N79" i="84"/>
  <c r="L79" i="84"/>
  <c r="O32" i="84"/>
  <c r="N32" i="84"/>
  <c r="M32" i="84"/>
  <c r="T32" i="84"/>
  <c r="S32" i="84"/>
  <c r="P32" i="84"/>
  <c r="L58" i="84"/>
  <c r="K58" i="84"/>
  <c r="S58" i="84"/>
  <c r="R58" i="84"/>
  <c r="Q58" i="84"/>
  <c r="P58" i="84"/>
  <c r="M58" i="84"/>
  <c r="K69" i="84"/>
  <c r="T69" i="84"/>
  <c r="S69" i="84"/>
  <c r="R69" i="84"/>
  <c r="Q69" i="84"/>
  <c r="P69" i="84"/>
  <c r="O69" i="84"/>
  <c r="L69" i="84"/>
  <c r="S63" i="84"/>
  <c r="R63" i="84"/>
  <c r="Q63" i="84"/>
  <c r="P63" i="84"/>
  <c r="N63" i="84"/>
  <c r="M63" i="84"/>
  <c r="L63" i="84"/>
  <c r="K63" i="84"/>
  <c r="T63" i="84"/>
  <c r="R55" i="84"/>
  <c r="Q55" i="84"/>
  <c r="P55" i="84"/>
  <c r="O55" i="84"/>
  <c r="M55" i="84"/>
  <c r="L55" i="84"/>
  <c r="K55" i="84"/>
  <c r="S55" i="84"/>
  <c r="P38" i="84"/>
  <c r="O38" i="84"/>
  <c r="N38" i="84"/>
  <c r="K38" i="84"/>
  <c r="T38" i="84"/>
  <c r="Q38" i="84"/>
  <c r="M62" i="84"/>
  <c r="L62" i="84"/>
  <c r="K62" i="84"/>
  <c r="T62" i="84"/>
  <c r="S62" i="84"/>
  <c r="R62" i="84"/>
  <c r="Q62" i="84"/>
  <c r="N62" i="84"/>
  <c r="L8" i="84"/>
  <c r="P12" i="84"/>
  <c r="S13" i="84"/>
  <c r="R24" i="84"/>
  <c r="P41" i="84"/>
  <c r="N56" i="84"/>
  <c r="N58" i="84"/>
  <c r="N8" i="84"/>
  <c r="T13" i="84"/>
  <c r="S24" i="84"/>
  <c r="K43" i="84"/>
  <c r="O56" i="84"/>
  <c r="O58" i="84"/>
  <c r="M71" i="84"/>
  <c r="M79" i="84"/>
  <c r="L16" i="84"/>
  <c r="K16" i="84"/>
  <c r="Q16" i="84"/>
  <c r="M16" i="84"/>
  <c r="M11" i="84"/>
  <c r="L11" i="84"/>
  <c r="S11" i="84"/>
  <c r="K54" i="84"/>
  <c r="T54" i="84"/>
  <c r="R54" i="84"/>
  <c r="Q54" i="84"/>
  <c r="P54" i="84"/>
  <c r="O54" i="84"/>
  <c r="L54" i="84"/>
  <c r="M60" i="84"/>
  <c r="L60" i="84"/>
  <c r="K60" i="84"/>
  <c r="T60" i="84"/>
  <c r="S60" i="84"/>
  <c r="R60" i="84"/>
  <c r="Q60" i="84"/>
  <c r="N60" i="84"/>
  <c r="K73" i="84"/>
  <c r="T73" i="84"/>
  <c r="S73" i="84"/>
  <c r="R73" i="84"/>
  <c r="Q73" i="84"/>
  <c r="P73" i="84"/>
  <c r="O73" i="84"/>
  <c r="L73" i="84"/>
  <c r="T31" i="84"/>
  <c r="S31" i="84"/>
  <c r="P31" i="84"/>
  <c r="O31" i="84"/>
  <c r="N31" i="84"/>
  <c r="K75" i="84"/>
  <c r="T75" i="84"/>
  <c r="S75" i="84"/>
  <c r="R75" i="84"/>
  <c r="Q75" i="84"/>
  <c r="P75" i="84"/>
  <c r="O75" i="84"/>
  <c r="L75" i="84"/>
  <c r="N64" i="84"/>
  <c r="M64" i="84"/>
  <c r="L64" i="84"/>
  <c r="K64" i="84"/>
  <c r="T64" i="84"/>
  <c r="S64" i="84"/>
  <c r="R64" i="84"/>
  <c r="O64" i="84"/>
  <c r="S17" i="84"/>
  <c r="R17" i="84"/>
  <c r="Q17" i="84"/>
  <c r="L17" i="84"/>
  <c r="T17" i="84"/>
  <c r="M20" i="84"/>
  <c r="L20" i="84"/>
  <c r="K20" i="84"/>
  <c r="S20" i="84"/>
  <c r="R20" i="84"/>
  <c r="N20" i="84"/>
  <c r="O8" i="84"/>
  <c r="M9" i="84"/>
  <c r="K23" i="84"/>
  <c r="T24" i="84"/>
  <c r="L38" i="84"/>
  <c r="L43" i="84"/>
  <c r="M45" i="84"/>
  <c r="N54" i="84"/>
  <c r="T56" i="84"/>
  <c r="T58" i="84"/>
  <c r="P60" i="84"/>
  <c r="O62" i="84"/>
  <c r="S68" i="84"/>
  <c r="N71" i="84"/>
  <c r="S76" i="84"/>
  <c r="N22" i="84"/>
  <c r="M22" i="84"/>
  <c r="L22" i="84"/>
  <c r="T22" i="84"/>
  <c r="S22" i="84"/>
  <c r="O22" i="84"/>
  <c r="K48" i="84"/>
  <c r="T48" i="84"/>
  <c r="R48" i="84"/>
  <c r="Q48" i="84"/>
  <c r="P48" i="84"/>
  <c r="O48" i="84"/>
  <c r="L48" i="84"/>
  <c r="P8" i="84"/>
  <c r="N9" i="84"/>
  <c r="K10" i="84"/>
  <c r="L23" i="84"/>
  <c r="M38" i="84"/>
  <c r="N40" i="84"/>
  <c r="Q43" i="84"/>
  <c r="N45" i="84"/>
  <c r="S54" i="84"/>
  <c r="P62" i="84"/>
  <c r="P64" i="84"/>
  <c r="T68" i="84"/>
  <c r="T76" i="84"/>
  <c r="U17" i="9"/>
  <c r="T23" i="9"/>
  <c r="T25" i="9"/>
  <c r="U26" i="9"/>
  <c r="T22" i="9"/>
  <c r="U12" i="9"/>
  <c r="U18" i="9"/>
  <c r="T11" i="9"/>
  <c r="T20" i="9"/>
  <c r="T13" i="9"/>
  <c r="U16" i="9"/>
  <c r="T10" i="9"/>
  <c r="U21" i="9"/>
  <c r="U9" i="9"/>
  <c r="T14" i="9"/>
  <c r="T8" i="9"/>
  <c r="T19" i="9"/>
  <c r="T24" i="9"/>
  <c r="A32" i="51"/>
  <c r="E38" i="49"/>
  <c r="A34" i="7"/>
  <c r="D46" i="66" l="1"/>
  <c r="D47" i="66"/>
  <c r="D53" i="66"/>
  <c r="D74" i="66"/>
  <c r="G59" i="66"/>
  <c r="D81" i="66"/>
  <c r="D50" i="66"/>
  <c r="D28" i="66"/>
  <c r="G39" i="66"/>
  <c r="D40" i="66"/>
  <c r="D33" i="66"/>
  <c r="I24" i="92"/>
  <c r="G36" i="66"/>
  <c r="G37" i="66"/>
  <c r="U7" i="84"/>
  <c r="H43" i="66"/>
  <c r="G66" i="66"/>
  <c r="G30" i="66"/>
  <c r="G32" i="66"/>
  <c r="G55" i="66"/>
  <c r="D76" i="66"/>
  <c r="G23" i="66"/>
  <c r="D71" i="66"/>
  <c r="G73" i="66"/>
  <c r="G11" i="66"/>
  <c r="D70" i="66"/>
  <c r="D68" i="66"/>
  <c r="D52" i="66"/>
  <c r="D54" i="66"/>
  <c r="G48" i="66"/>
  <c r="D29" i="66"/>
  <c r="D17" i="66"/>
  <c r="G18" i="66"/>
  <c r="G80" i="66"/>
  <c r="AI68" i="42"/>
  <c r="AC67" i="101"/>
  <c r="AI23" i="42"/>
  <c r="AC23" i="101"/>
  <c r="AI70" i="42"/>
  <c r="AC69" i="101"/>
  <c r="AI62" i="42"/>
  <c r="AC61" i="101"/>
  <c r="AI33" i="42"/>
  <c r="AC33" i="101"/>
  <c r="D35" i="66"/>
  <c r="D24" i="66"/>
  <c r="AI69" i="42"/>
  <c r="AC68" i="101"/>
  <c r="AI16" i="42"/>
  <c r="AC16" i="101"/>
  <c r="E9" i="66"/>
  <c r="E3" i="66" s="1"/>
  <c r="D3" i="66" s="1"/>
  <c r="AI74" i="42"/>
  <c r="AC73" i="101"/>
  <c r="AI66" i="42"/>
  <c r="AC65" i="101"/>
  <c r="AI25" i="42"/>
  <c r="AC25" i="101"/>
  <c r="AI60" i="42"/>
  <c r="AC59" i="101"/>
  <c r="AI45" i="42"/>
  <c r="AC45" i="101"/>
  <c r="AI65" i="42"/>
  <c r="AC64" i="101"/>
  <c r="AI21" i="42"/>
  <c r="AC21" i="101"/>
  <c r="AI29" i="42"/>
  <c r="AC29" i="101"/>
  <c r="G42" i="66"/>
  <c r="D64" i="66"/>
  <c r="AI36" i="42"/>
  <c r="AC36" i="101"/>
  <c r="AI39" i="42"/>
  <c r="AC39" i="101"/>
  <c r="AI54" i="42"/>
  <c r="AC53" i="101"/>
  <c r="AI48" i="42"/>
  <c r="AC48" i="101"/>
  <c r="G13" i="66"/>
  <c r="G63" i="66"/>
  <c r="D44" i="66"/>
  <c r="AI12" i="42"/>
  <c r="AC12" i="101"/>
  <c r="AI71" i="42"/>
  <c r="AC70" i="101"/>
  <c r="AI19" i="42"/>
  <c r="AC19" i="101"/>
  <c r="AI49" i="42"/>
  <c r="AC49" i="101"/>
  <c r="AI32" i="42"/>
  <c r="AC32" i="101"/>
  <c r="G26" i="66"/>
  <c r="J10" i="66"/>
  <c r="K10" i="66" s="1"/>
  <c r="K9" i="66" s="1"/>
  <c r="AI63" i="42"/>
  <c r="AC62" i="101"/>
  <c r="AI24" i="42"/>
  <c r="AC24" i="101"/>
  <c r="AI56" i="42"/>
  <c r="AC55" i="101"/>
  <c r="AI31" i="42"/>
  <c r="AC31" i="101"/>
  <c r="D21" i="94"/>
  <c r="D24" i="94" s="1"/>
  <c r="I26" i="94" s="1"/>
  <c r="AI75" i="42"/>
  <c r="AC74" i="101"/>
  <c r="D25" i="66"/>
  <c r="G60" i="66"/>
  <c r="AI51" i="42"/>
  <c r="AC50" i="101"/>
  <c r="AI52" i="42"/>
  <c r="AC51" i="101"/>
  <c r="AI26" i="42"/>
  <c r="AC26" i="101"/>
  <c r="AI55" i="42"/>
  <c r="AC54" i="101"/>
  <c r="AI44" i="42"/>
  <c r="AC44" i="101"/>
  <c r="AI20" i="42"/>
  <c r="AC20" i="101"/>
  <c r="D62" i="66"/>
  <c r="D58" i="66"/>
  <c r="G57" i="66"/>
  <c r="D34" i="66"/>
  <c r="D24" i="92"/>
  <c r="G10" i="66"/>
  <c r="AI10" i="66"/>
  <c r="AI9" i="66" s="1"/>
  <c r="H10" i="66"/>
  <c r="H9" i="66"/>
  <c r="D43" i="66"/>
  <c r="AL19" i="66"/>
  <c r="AL25" i="66"/>
  <c r="AL33" i="66"/>
  <c r="AL27" i="66"/>
  <c r="AL24" i="66"/>
  <c r="AL14" i="66"/>
  <c r="AL13" i="66"/>
  <c r="AL31" i="66"/>
  <c r="AL30" i="66"/>
  <c r="AL18" i="66"/>
  <c r="AL15" i="66"/>
  <c r="AL26" i="66"/>
  <c r="AL21" i="66"/>
  <c r="AL12" i="66"/>
  <c r="AL23" i="66"/>
  <c r="AL43" i="66"/>
  <c r="AL29" i="66"/>
  <c r="AL34" i="66"/>
  <c r="AL20" i="66"/>
  <c r="AL11" i="66"/>
  <c r="AL17" i="66"/>
  <c r="AL16" i="66"/>
  <c r="AL22" i="66"/>
  <c r="AL44" i="66"/>
  <c r="AL32" i="66"/>
  <c r="AL28" i="66"/>
  <c r="AL37" i="66"/>
  <c r="AL38" i="66"/>
  <c r="AL40" i="66"/>
  <c r="AL35" i="66"/>
  <c r="AL36" i="66"/>
  <c r="AL42" i="66"/>
  <c r="AL41" i="66"/>
  <c r="G116" i="9"/>
  <c r="AL45" i="66"/>
  <c r="J43" i="84"/>
  <c r="F43" i="84" s="1"/>
  <c r="J23" i="84"/>
  <c r="F23" i="84" s="1"/>
  <c r="I86" i="84"/>
  <c r="I23" i="84"/>
  <c r="E23" i="84" s="1"/>
  <c r="J65" i="84"/>
  <c r="F65" i="84" s="1"/>
  <c r="I65" i="84"/>
  <c r="E65" i="84" s="1"/>
  <c r="J16" i="84"/>
  <c r="F16" i="84" s="1"/>
  <c r="I16" i="84"/>
  <c r="E16" i="84" s="1"/>
  <c r="J72" i="84"/>
  <c r="F72" i="84" s="1"/>
  <c r="J84" i="84"/>
  <c r="F84" i="84" s="1"/>
  <c r="J61" i="84"/>
  <c r="F61" i="84" s="1"/>
  <c r="J86" i="84"/>
  <c r="F86" i="84" s="1"/>
  <c r="I40" i="84"/>
  <c r="I75" i="84"/>
  <c r="I73" i="84"/>
  <c r="I70" i="84"/>
  <c r="E70" i="84" s="1"/>
  <c r="I63" i="84"/>
  <c r="I85" i="84"/>
  <c r="I57" i="84"/>
  <c r="I39" i="84"/>
  <c r="J17" i="84"/>
  <c r="F17" i="84" s="1"/>
  <c r="J22" i="84"/>
  <c r="F22" i="84" s="1"/>
  <c r="J20" i="84"/>
  <c r="F20" i="84" s="1"/>
  <c r="J64" i="84"/>
  <c r="F64" i="84" s="1"/>
  <c r="I38" i="84"/>
  <c r="J80" i="84"/>
  <c r="F80" i="84" s="1"/>
  <c r="J31" i="84"/>
  <c r="J44" i="84"/>
  <c r="F44" i="84" s="1"/>
  <c r="J45" i="84"/>
  <c r="F45" i="84" s="1"/>
  <c r="I14" i="84"/>
  <c r="E14" i="84" s="1"/>
  <c r="J56" i="84"/>
  <c r="F56" i="84" s="1"/>
  <c r="I17" i="84"/>
  <c r="E17" i="84" s="1"/>
  <c r="J14" i="84"/>
  <c r="F14" i="84" s="1"/>
  <c r="I54" i="84"/>
  <c r="I43" i="84"/>
  <c r="J63" i="84"/>
  <c r="F63" i="84" s="1"/>
  <c r="I79" i="84"/>
  <c r="I74" i="84"/>
  <c r="J77" i="84"/>
  <c r="J57" i="84"/>
  <c r="F57" i="84" s="1"/>
  <c r="I41" i="84"/>
  <c r="J75" i="84"/>
  <c r="F75" i="84" s="1"/>
  <c r="J74" i="84"/>
  <c r="F74" i="84" s="1"/>
  <c r="I59" i="84"/>
  <c r="J41" i="84"/>
  <c r="F41" i="84" s="1"/>
  <c r="I22" i="84"/>
  <c r="E22" i="84" s="1"/>
  <c r="I18" i="84"/>
  <c r="E18" i="84" s="1"/>
  <c r="J42" i="84"/>
  <c r="F42" i="84" s="1"/>
  <c r="J73" i="84"/>
  <c r="F73" i="84" s="1"/>
  <c r="I69" i="84"/>
  <c r="I53" i="84"/>
  <c r="E53" i="84" s="1"/>
  <c r="J85" i="84"/>
  <c r="F85" i="84" s="1"/>
  <c r="J59" i="84"/>
  <c r="F59" i="84" s="1"/>
  <c r="I42" i="84"/>
  <c r="J40" i="84"/>
  <c r="F40" i="84" s="1"/>
  <c r="I35" i="84"/>
  <c r="E35" i="84" s="1"/>
  <c r="J18" i="84"/>
  <c r="F18" i="84" s="1"/>
  <c r="J38" i="84"/>
  <c r="F38" i="84" s="1"/>
  <c r="I60" i="84"/>
  <c r="E60" i="84" s="1"/>
  <c r="I55" i="84"/>
  <c r="J53" i="84"/>
  <c r="F53" i="84" s="1"/>
  <c r="I31" i="84"/>
  <c r="E31" i="84" s="1"/>
  <c r="I71" i="84"/>
  <c r="I32" i="84"/>
  <c r="E32" i="84" s="1"/>
  <c r="I76" i="84"/>
  <c r="J60" i="84"/>
  <c r="F60" i="84" s="1"/>
  <c r="J55" i="84"/>
  <c r="F55" i="84" s="1"/>
  <c r="J79" i="84"/>
  <c r="F79" i="84" s="1"/>
  <c r="J76" i="84"/>
  <c r="F76" i="84" s="1"/>
  <c r="I83" i="84"/>
  <c r="E83" i="84" s="1"/>
  <c r="I62" i="84"/>
  <c r="J24" i="84"/>
  <c r="F24" i="84" s="1"/>
  <c r="I72" i="84"/>
  <c r="I84" i="84"/>
  <c r="J35" i="84"/>
  <c r="I24" i="84"/>
  <c r="E24" i="84" s="1"/>
  <c r="I61" i="84"/>
  <c r="J54" i="84"/>
  <c r="F54" i="84" s="1"/>
  <c r="J62" i="84"/>
  <c r="F62" i="84" s="1"/>
  <c r="J32" i="84"/>
  <c r="I21" i="84"/>
  <c r="E21" i="84" s="1"/>
  <c r="J39" i="84"/>
  <c r="F39" i="84" s="1"/>
  <c r="J69" i="84"/>
  <c r="F69" i="84" s="1"/>
  <c r="I77" i="84"/>
  <c r="E77" i="84" s="1"/>
  <c r="I68" i="84"/>
  <c r="I58" i="84"/>
  <c r="J21" i="84"/>
  <c r="F21" i="84" s="1"/>
  <c r="J71" i="84"/>
  <c r="F71" i="84" s="1"/>
  <c r="I44" i="84"/>
  <c r="J68" i="84"/>
  <c r="F68" i="84" s="1"/>
  <c r="J83" i="84"/>
  <c r="J70" i="84"/>
  <c r="F70" i="84" s="1"/>
  <c r="I20" i="84"/>
  <c r="E20" i="84" s="1"/>
  <c r="I64" i="84"/>
  <c r="J58" i="84"/>
  <c r="F58" i="84" s="1"/>
  <c r="I80" i="84"/>
  <c r="I45" i="84"/>
  <c r="I56" i="84"/>
  <c r="N9" i="66"/>
  <c r="P15" i="66"/>
  <c r="P9" i="66" s="1"/>
  <c r="AL49" i="66"/>
  <c r="AL47" i="66"/>
  <c r="AL46" i="66"/>
  <c r="AL55" i="66"/>
  <c r="AL51" i="66"/>
  <c r="AL52" i="66"/>
  <c r="AL50" i="66"/>
  <c r="AL48" i="66"/>
  <c r="AL53" i="66"/>
  <c r="AL54" i="66"/>
  <c r="AL59" i="66"/>
  <c r="AL56" i="66"/>
  <c r="AL57" i="66"/>
  <c r="AL69" i="66"/>
  <c r="AL58" i="66"/>
  <c r="AL39" i="66"/>
  <c r="AL60" i="66"/>
  <c r="AL62" i="66"/>
  <c r="AL63" i="66"/>
  <c r="AL64" i="66"/>
  <c r="AL68" i="66"/>
  <c r="AL65" i="66"/>
  <c r="AL66" i="66"/>
  <c r="AL67" i="66"/>
  <c r="AL73" i="66"/>
  <c r="AL70" i="66"/>
  <c r="AL74" i="66"/>
  <c r="AL71" i="66"/>
  <c r="AL77" i="66"/>
  <c r="AL72" i="66"/>
  <c r="AL75" i="66"/>
  <c r="AL76" i="66"/>
  <c r="AL79" i="66"/>
  <c r="R9" i="66"/>
  <c r="X9" i="66"/>
  <c r="W9" i="66"/>
  <c r="T9" i="66"/>
  <c r="AL61" i="66"/>
  <c r="U9" i="66"/>
  <c r="AL78" i="66"/>
  <c r="AA9" i="66"/>
  <c r="AD9" i="66"/>
  <c r="AG9" i="66"/>
  <c r="Z9" i="66"/>
  <c r="AC9" i="66"/>
  <c r="AL81" i="66"/>
  <c r="AF9" i="66"/>
  <c r="AL80" i="66"/>
  <c r="Q9" i="66"/>
  <c r="G5" i="44"/>
  <c r="F7" i="44"/>
  <c r="G7" i="44" s="1"/>
  <c r="J14" i="50"/>
  <c r="J19" i="50" s="1"/>
  <c r="G19" i="50"/>
  <c r="J39" i="49"/>
  <c r="G19" i="49"/>
  <c r="J14" i="49"/>
  <c r="J19" i="49" s="1"/>
  <c r="C78" i="84"/>
  <c r="D49" i="84"/>
  <c r="C81" i="84"/>
  <c r="C67" i="84"/>
  <c r="F33" i="51"/>
  <c r="D33" i="84"/>
  <c r="E78" i="84"/>
  <c r="F33" i="84"/>
  <c r="T7" i="84"/>
  <c r="I12" i="84"/>
  <c r="E12" i="84" s="1"/>
  <c r="Q7" i="84"/>
  <c r="I10" i="84"/>
  <c r="E10" i="84" s="1"/>
  <c r="C82" i="84"/>
  <c r="I48" i="84"/>
  <c r="E48" i="84" s="1"/>
  <c r="D34" i="84"/>
  <c r="F34" i="84"/>
  <c r="J9" i="84"/>
  <c r="F9" i="84" s="1"/>
  <c r="N7" i="84"/>
  <c r="C66" i="84"/>
  <c r="C19" i="84"/>
  <c r="I11" i="84"/>
  <c r="E11" i="84" s="1"/>
  <c r="P7" i="84"/>
  <c r="J11" i="84"/>
  <c r="F11" i="84" s="1"/>
  <c r="L7" i="84"/>
  <c r="J8" i="84"/>
  <c r="J10" i="84"/>
  <c r="F10" i="84" s="1"/>
  <c r="K7" i="84"/>
  <c r="I8" i="84"/>
  <c r="I13" i="84"/>
  <c r="E13" i="84" s="1"/>
  <c r="M7" i="84"/>
  <c r="J48" i="84"/>
  <c r="O7" i="84"/>
  <c r="J13" i="84"/>
  <c r="F13" i="84" s="1"/>
  <c r="R7" i="84"/>
  <c r="J12" i="84"/>
  <c r="F12" i="84" s="1"/>
  <c r="I9" i="84"/>
  <c r="E9" i="84" s="1"/>
  <c r="S7" i="84"/>
  <c r="A35" i="7"/>
  <c r="A33" i="51"/>
  <c r="E39" i="49"/>
  <c r="I30" i="92" l="1"/>
  <c r="G9" i="66"/>
  <c r="J9" i="66"/>
  <c r="D9" i="66"/>
  <c r="AL10" i="66"/>
  <c r="J41" i="49"/>
  <c r="J23" i="49"/>
  <c r="J22" i="49"/>
  <c r="J21" i="49"/>
  <c r="J21" i="50"/>
  <c r="J22" i="50"/>
  <c r="J23" i="50"/>
  <c r="C70" i="84"/>
  <c r="F36" i="7"/>
  <c r="C23" i="84"/>
  <c r="C38" i="84"/>
  <c r="C21" i="84"/>
  <c r="C86" i="84"/>
  <c r="C16" i="84"/>
  <c r="W7" i="84"/>
  <c r="C65" i="84"/>
  <c r="F34" i="51"/>
  <c r="C53" i="84"/>
  <c r="C24" i="84"/>
  <c r="E86" i="84"/>
  <c r="C17" i="84"/>
  <c r="C10" i="84"/>
  <c r="C13" i="84"/>
  <c r="C9" i="84"/>
  <c r="C60" i="84"/>
  <c r="C12" i="84"/>
  <c r="E38" i="84"/>
  <c r="C22" i="84"/>
  <c r="I2" i="84"/>
  <c r="J2" i="84" s="1"/>
  <c r="C20" i="84"/>
  <c r="F83" i="84"/>
  <c r="C83" i="84"/>
  <c r="C69" i="84"/>
  <c r="E69" i="84"/>
  <c r="D32" i="84"/>
  <c r="F32" i="84"/>
  <c r="E55" i="84"/>
  <c r="C55" i="84"/>
  <c r="C85" i="84"/>
  <c r="E85" i="84"/>
  <c r="E43" i="84"/>
  <c r="C43" i="84"/>
  <c r="E41" i="84"/>
  <c r="C41" i="84"/>
  <c r="F48" i="84"/>
  <c r="D48" i="84"/>
  <c r="F77" i="84"/>
  <c r="C77" i="84"/>
  <c r="C58" i="84"/>
  <c r="E58" i="84"/>
  <c r="C18" i="84"/>
  <c r="D31" i="84"/>
  <c r="F31" i="84"/>
  <c r="C59" i="84"/>
  <c r="E59" i="84"/>
  <c r="C68" i="84"/>
  <c r="E68" i="84"/>
  <c r="I7" i="84"/>
  <c r="E8" i="84"/>
  <c r="C73" i="84"/>
  <c r="E73" i="84"/>
  <c r="E39" i="84"/>
  <c r="C39" i="84"/>
  <c r="E64" i="84"/>
  <c r="C64" i="84"/>
  <c r="E40" i="84"/>
  <c r="C40" i="84"/>
  <c r="C80" i="84"/>
  <c r="E80" i="84"/>
  <c r="C11" i="84"/>
  <c r="E44" i="84"/>
  <c r="C44" i="84"/>
  <c r="C14" i="84"/>
  <c r="C56" i="84"/>
  <c r="E56" i="84"/>
  <c r="C57" i="84"/>
  <c r="E57" i="84"/>
  <c r="C61" i="84"/>
  <c r="E61" i="84"/>
  <c r="E42" i="84"/>
  <c r="C42" i="84"/>
  <c r="E54" i="84"/>
  <c r="C54" i="84"/>
  <c r="E76" i="84"/>
  <c r="C76" i="84"/>
  <c r="C71" i="84"/>
  <c r="E71" i="84"/>
  <c r="C63" i="84"/>
  <c r="E63" i="84"/>
  <c r="D35" i="84"/>
  <c r="F35" i="84"/>
  <c r="E79" i="84"/>
  <c r="C79" i="84"/>
  <c r="J7" i="84"/>
  <c r="F8" i="84"/>
  <c r="E45" i="84"/>
  <c r="C45" i="84"/>
  <c r="E62" i="84"/>
  <c r="C62" i="84"/>
  <c r="C74" i="84"/>
  <c r="E74" i="84"/>
  <c r="C75" i="84"/>
  <c r="E75" i="84"/>
  <c r="C84" i="84"/>
  <c r="E84" i="84"/>
  <c r="E72" i="84"/>
  <c r="C72" i="84"/>
  <c r="E41" i="49"/>
  <c r="A34" i="51"/>
  <c r="A36" i="7"/>
  <c r="N43" i="50" l="1"/>
  <c r="J25" i="50"/>
  <c r="J27" i="50" s="1"/>
  <c r="J25" i="49"/>
  <c r="J27" i="49" s="1"/>
  <c r="X7" i="84"/>
  <c r="C51" i="84"/>
  <c r="I4" i="84"/>
  <c r="C29" i="84"/>
  <c r="C36" i="84"/>
  <c r="C8" i="84"/>
  <c r="C6" i="84" s="1"/>
  <c r="E7" i="84"/>
  <c r="F7" i="84"/>
  <c r="E25" i="50"/>
  <c r="E27" i="49"/>
  <c r="E27" i="50"/>
  <c r="E25" i="49"/>
  <c r="J29" i="50" l="1"/>
  <c r="J29" i="49"/>
  <c r="E29" i="50"/>
  <c r="E29" i="49"/>
</calcChain>
</file>

<file path=xl/sharedStrings.xml><?xml version="1.0" encoding="utf-8"?>
<sst xmlns="http://schemas.openxmlformats.org/spreadsheetml/2006/main" count="29774" uniqueCount="6176">
  <si>
    <t>Code</t>
  </si>
  <si>
    <t>Desc</t>
  </si>
  <si>
    <t>Balance</t>
  </si>
  <si>
    <t>Month</t>
  </si>
  <si>
    <t>Date</t>
  </si>
  <si>
    <t>laib</t>
  </si>
  <si>
    <t>assets</t>
  </si>
  <si>
    <t>VAT</t>
  </si>
  <si>
    <t>Purchase Order</t>
  </si>
  <si>
    <t xml:space="preserve"> </t>
  </si>
  <si>
    <t>Vendor</t>
  </si>
  <si>
    <t>Sharjah - UAE</t>
  </si>
  <si>
    <t>P.O.NO.</t>
  </si>
  <si>
    <t>SR</t>
  </si>
  <si>
    <t>Description</t>
  </si>
  <si>
    <t>Qty</t>
  </si>
  <si>
    <t>Rate</t>
  </si>
  <si>
    <t>Amount</t>
  </si>
  <si>
    <t>Required</t>
  </si>
  <si>
    <t>VAT 5%</t>
  </si>
  <si>
    <t>Total</t>
  </si>
  <si>
    <t>With Regards.</t>
  </si>
  <si>
    <t xml:space="preserve">      For, AlHazam Electro Mechanical Works L.L.C                                      </t>
  </si>
  <si>
    <t>General Accountant</t>
  </si>
  <si>
    <t>Customer</t>
  </si>
  <si>
    <t>م</t>
  </si>
  <si>
    <t>Polt No</t>
  </si>
  <si>
    <t>Location</t>
  </si>
  <si>
    <t>Project</t>
  </si>
  <si>
    <t>25/2024</t>
  </si>
  <si>
    <t>Employees &amp; Saleries   العاملين والمرتبات</t>
  </si>
  <si>
    <t>الموظف</t>
  </si>
  <si>
    <t xml:space="preserve">بيانات العاملين </t>
  </si>
  <si>
    <t>Cash on Hand</t>
  </si>
  <si>
    <t>ENOC PETROL</t>
  </si>
  <si>
    <t>PETROL RECHARGING</t>
  </si>
  <si>
    <t>Petty cash sejish</t>
  </si>
  <si>
    <t>Petty cash sijesh 1</t>
  </si>
  <si>
    <t>SIJ 2</t>
  </si>
  <si>
    <t>Naquodi - GDFRA</t>
  </si>
  <si>
    <t>E - Dirham FAB</t>
  </si>
  <si>
    <t>NBD Bank</t>
  </si>
  <si>
    <t>EMIRATES ISLAMIC BANK</t>
  </si>
  <si>
    <t>NEW NBD</t>
  </si>
  <si>
    <t>Petty cash Eng - Mohamed</t>
  </si>
  <si>
    <t>Petty cash Ahmed Elsawaf</t>
  </si>
  <si>
    <t>Accounts Receivable</t>
  </si>
  <si>
    <t>Allowance for Doubtful Account</t>
  </si>
  <si>
    <t>Inventory</t>
  </si>
  <si>
    <t>Prepaid Expenses</t>
  </si>
  <si>
    <t>Work in Progress</t>
  </si>
  <si>
    <t>Materials-Unused &amp; Unassigned</t>
  </si>
  <si>
    <t>Refundable Deposits</t>
  </si>
  <si>
    <t>Property and Equipment</t>
  </si>
  <si>
    <t>Car Installment</t>
  </si>
  <si>
    <t>Furniture</t>
  </si>
  <si>
    <t>Accum. Depreciation - Prop&amp;Eqt</t>
  </si>
  <si>
    <t>Accounts Payable</t>
  </si>
  <si>
    <t>VALUE ADDED TAX - VAT</t>
  </si>
  <si>
    <t>Sales Tax Payable</t>
  </si>
  <si>
    <t>Deductions Payable</t>
  </si>
  <si>
    <t>Federal Payroll Taxes Payable</t>
  </si>
  <si>
    <t>FUTA Payable</t>
  </si>
  <si>
    <t>State Payroll Taxes Payable</t>
  </si>
  <si>
    <t>SUTA Payable</t>
  </si>
  <si>
    <t>Local Taxes Payable</t>
  </si>
  <si>
    <t>Income Taxes Payable</t>
  </si>
  <si>
    <t>Customer Deposits</t>
  </si>
  <si>
    <t>Current Portion Long-Term Debt</t>
  </si>
  <si>
    <t>Long Term Debt-Noncurrent</t>
  </si>
  <si>
    <t>Retained Earnings</t>
  </si>
  <si>
    <t>Paid-in Capital</t>
  </si>
  <si>
    <t>Common Stock</t>
  </si>
  <si>
    <t>Dividends Paid</t>
  </si>
  <si>
    <t>Projects Income</t>
  </si>
  <si>
    <t>Maintenance Income</t>
  </si>
  <si>
    <t>Interest Income</t>
  </si>
  <si>
    <t>Other Income</t>
  </si>
  <si>
    <t>Sales Discounts</t>
  </si>
  <si>
    <t>Labor Costs</t>
  </si>
  <si>
    <t>Labor Burden</t>
  </si>
  <si>
    <t>Materials Costs</t>
  </si>
  <si>
    <t>Ac Units Cost</t>
  </si>
  <si>
    <t>DUCT Costs</t>
  </si>
  <si>
    <t>Pipe cost</t>
  </si>
  <si>
    <t>Accessories Cost</t>
  </si>
  <si>
    <t>Subcontract Costs</t>
  </si>
  <si>
    <t>Commission Cost</t>
  </si>
  <si>
    <t>Cost of Sales-Salary &amp; Wage</t>
  </si>
  <si>
    <t>Inventory Adjustments</t>
  </si>
  <si>
    <t>Overtime Expenses</t>
  </si>
  <si>
    <t>Wages Expense</t>
  </si>
  <si>
    <t>Petrol Expenses</t>
  </si>
  <si>
    <t>Medical Expenses</t>
  </si>
  <si>
    <t>Dewa Expenses</t>
  </si>
  <si>
    <t>Sewa Expenses</t>
  </si>
  <si>
    <t>Parking Expenses</t>
  </si>
  <si>
    <t>Licenses Expenses</t>
  </si>
  <si>
    <t>Telephone Expenses</t>
  </si>
  <si>
    <t>Fax Expenses</t>
  </si>
  <si>
    <t>Internet Expenses</t>
  </si>
  <si>
    <t>Salik Expenses</t>
  </si>
  <si>
    <t>Advertising Expenses</t>
  </si>
  <si>
    <t>Stationary Expenses</t>
  </si>
  <si>
    <t>Visa Expenses</t>
  </si>
  <si>
    <t>Design Expenses</t>
  </si>
  <si>
    <t>Oil Change Expenses</t>
  </si>
  <si>
    <t>Rents Expenses</t>
  </si>
  <si>
    <t>Car Repair Expenses</t>
  </si>
  <si>
    <t>Store Rent</t>
  </si>
  <si>
    <t>Miscellaneous</t>
  </si>
  <si>
    <t>Applied Labor Burden</t>
  </si>
  <si>
    <t>Du Card Expenses</t>
  </si>
  <si>
    <t>Etisalat Card Expenses</t>
  </si>
  <si>
    <t>Fines Expenses</t>
  </si>
  <si>
    <t>Cars Renewal</t>
  </si>
  <si>
    <t>Car Wash Expenses</t>
  </si>
  <si>
    <t>Gas Expenses</t>
  </si>
  <si>
    <t>Commission Expenses</t>
  </si>
  <si>
    <t>SCHOOL EXPENSES</t>
  </si>
  <si>
    <t>Air Ticket Expenses</t>
  </si>
  <si>
    <t>PETROL - AHMED</t>
  </si>
  <si>
    <t>PETROL - SIJEESH</t>
  </si>
  <si>
    <t>PETROL - RATESH</t>
  </si>
  <si>
    <t>Transportation Expenses</t>
  </si>
  <si>
    <t>Employee Benefit Programs Exp</t>
  </si>
  <si>
    <t>Payroll Tax Expense</t>
  </si>
  <si>
    <t>Bad Debt Expense</t>
  </si>
  <si>
    <t>ExpenseS</t>
  </si>
  <si>
    <t>OTHER  EXPENSES</t>
  </si>
  <si>
    <t>Rent Equipment Expense</t>
  </si>
  <si>
    <t>Maintenance &amp; Repairs Expense</t>
  </si>
  <si>
    <t>FOOD EXPENSES</t>
  </si>
  <si>
    <t>Other Expenses</t>
  </si>
  <si>
    <t>Licenses and Permits Expense</t>
  </si>
  <si>
    <t>Postage and Freight Expense</t>
  </si>
  <si>
    <t>Travel Expense</t>
  </si>
  <si>
    <t>Office Supplies Expense</t>
  </si>
  <si>
    <t>Telephone Expense</t>
  </si>
  <si>
    <t>Utilities Expense</t>
  </si>
  <si>
    <t>Service Charge Expense</t>
  </si>
  <si>
    <t>Purchase Disc-Expense Items</t>
  </si>
  <si>
    <t>Insurance Expense</t>
  </si>
  <si>
    <t>Depreciation Expense</t>
  </si>
  <si>
    <t>Gain/Loss - Sale of Assets Exp</t>
  </si>
  <si>
    <t>capital</t>
  </si>
  <si>
    <t>revenue</t>
  </si>
  <si>
    <t>cost centers</t>
  </si>
  <si>
    <t>expenses</t>
  </si>
  <si>
    <t>GAsem Al Annab</t>
  </si>
  <si>
    <t>FATMA - DAYNAMIC ZONE</t>
  </si>
  <si>
    <t>OSMAN AHLI</t>
  </si>
  <si>
    <t>MOHAMED MUHAIR . AREEJ</t>
  </si>
  <si>
    <t>RASHED FALASI - AREEJ</t>
  </si>
  <si>
    <t>KHALFAN AHMED - ANAAB</t>
  </si>
  <si>
    <t>HESSA BELOSHI</t>
  </si>
  <si>
    <t>MUBARAK . ARCHPIX</t>
  </si>
  <si>
    <t>RASHED MARZOKI</t>
  </si>
  <si>
    <t>KHALIFA . ARCHPIX</t>
  </si>
  <si>
    <t>AMMAR - ARCHPIX</t>
  </si>
  <si>
    <t>Mohamed Saif - HBC</t>
  </si>
  <si>
    <t>Amna Ahmed</t>
  </si>
  <si>
    <t>UTS Carrier</t>
  </si>
  <si>
    <t>Takeef</t>
  </si>
  <si>
    <t>Al Junaid Indust. Group</t>
  </si>
  <si>
    <t>Al Muthathawerah</t>
  </si>
  <si>
    <t>BEST CHOICE INDUSTRIES LLC</t>
  </si>
  <si>
    <t>BAB AL TABREED A/C UNITS FIX.CONT</t>
  </si>
  <si>
    <t>V105</t>
  </si>
  <si>
    <t>V120</t>
  </si>
  <si>
    <t>V125</t>
  </si>
  <si>
    <t>V138</t>
  </si>
  <si>
    <t>V350</t>
  </si>
  <si>
    <t>V386</t>
  </si>
  <si>
    <t>V395</t>
  </si>
  <si>
    <t>end</t>
  </si>
  <si>
    <t>DEEPAK</t>
  </si>
  <si>
    <t>SIJ</t>
  </si>
  <si>
    <t>SIJEESH</t>
  </si>
  <si>
    <t>COMMISSION</t>
  </si>
  <si>
    <t>DEPPAK</t>
  </si>
  <si>
    <t>Commission - Areej</t>
  </si>
  <si>
    <t>AREEJ COMMISSION</t>
  </si>
  <si>
    <t>DEEPAK DESIGN</t>
  </si>
  <si>
    <t>DEPPAK - DESIGN</t>
  </si>
  <si>
    <t>COMMISSION / IBTESAM</t>
  </si>
  <si>
    <t>MOHAMED KHAMIS</t>
  </si>
  <si>
    <t>MATROSHI</t>
  </si>
  <si>
    <t>DEPAK DESIGN</t>
  </si>
  <si>
    <t>shop drawing</t>
  </si>
  <si>
    <t>H/M/120/2023</t>
  </si>
  <si>
    <t>sij</t>
  </si>
  <si>
    <t>SALIM SALMIN</t>
  </si>
  <si>
    <t>OMAR SULTAN</t>
  </si>
  <si>
    <t>FAMTA ESSA ALI</t>
  </si>
  <si>
    <t>Address</t>
  </si>
  <si>
    <t>Phone</t>
  </si>
  <si>
    <t>Person 1</t>
  </si>
  <si>
    <t>Email</t>
  </si>
  <si>
    <t>Person 2</t>
  </si>
  <si>
    <t xml:space="preserve">Ref </t>
  </si>
  <si>
    <t>Accounts Tree</t>
  </si>
  <si>
    <t>LPO No</t>
  </si>
  <si>
    <t>quotation</t>
  </si>
  <si>
    <t>Items</t>
  </si>
  <si>
    <t>Quantity</t>
  </si>
  <si>
    <t>Price</t>
  </si>
  <si>
    <t>Po Value</t>
  </si>
  <si>
    <t>VAT Code</t>
  </si>
  <si>
    <t>Tel 5144454</t>
  </si>
  <si>
    <t>TRX  55445454554</t>
  </si>
  <si>
    <t>Project Details :-</t>
  </si>
  <si>
    <t>quotation Ref:-</t>
  </si>
  <si>
    <t>ID</t>
  </si>
  <si>
    <t>199-2024</t>
  </si>
  <si>
    <t>200-2024</t>
  </si>
  <si>
    <t>dfdfd/dfffdf</t>
  </si>
  <si>
    <t>Delivered Total</t>
  </si>
  <si>
    <t>201-2024</t>
  </si>
  <si>
    <t>vv99999ffff8</t>
  </si>
  <si>
    <t>Contract Value</t>
  </si>
  <si>
    <t>Vairation</t>
  </si>
  <si>
    <t>Value</t>
  </si>
  <si>
    <t>Notes</t>
  </si>
  <si>
    <t>CARRIER</t>
  </si>
  <si>
    <t>Commission</t>
  </si>
  <si>
    <t>SIJESH</t>
  </si>
  <si>
    <t>COPPER PIPES</t>
  </si>
  <si>
    <t>macs</t>
  </si>
  <si>
    <t>awtar</t>
  </si>
  <si>
    <t>Trane</t>
  </si>
  <si>
    <t>cost centers  purchases</t>
  </si>
  <si>
    <t>38CKM060-X-9</t>
  </si>
  <si>
    <t>FB4CSL060L00</t>
  </si>
  <si>
    <t>38CKM048-X-9</t>
  </si>
  <si>
    <t>FB4CSL048L00</t>
  </si>
  <si>
    <t>38CKM030-X-7</t>
  </si>
  <si>
    <t>FB4CSL030L00</t>
  </si>
  <si>
    <t>38CKM042-X-9</t>
  </si>
  <si>
    <t>FB4CSL042L00</t>
  </si>
  <si>
    <t>Percentage</t>
  </si>
  <si>
    <t>work done</t>
  </si>
  <si>
    <t>Ducting work</t>
  </si>
  <si>
    <t>After Installation</t>
  </si>
  <si>
    <t>Indoor Units</t>
  </si>
  <si>
    <t>Outdoor Units</t>
  </si>
  <si>
    <t>Piping work</t>
  </si>
  <si>
    <t xml:space="preserve">TOTAL </t>
  </si>
  <si>
    <t xml:space="preserve">Amount </t>
  </si>
  <si>
    <t>Advance Cheque No #  CASH ( 55000 ENG MOHAME ACCOUNT  + 10000 SIJ ACCOUNT )</t>
  </si>
  <si>
    <t>2nd Payment Cheque no # 86</t>
  </si>
  <si>
    <t>3rd Payment Cheque no # 96</t>
  </si>
  <si>
    <t>4th Payment Cheque no #</t>
  </si>
  <si>
    <t>Reminder commission ARCHPIX</t>
  </si>
  <si>
    <t>LPO</t>
  </si>
  <si>
    <t>CARREIR - 77/2022</t>
  </si>
  <si>
    <t>Bab Tabreed - Duct</t>
  </si>
  <si>
    <t>CARREIR</t>
  </si>
  <si>
    <t>MACS</t>
  </si>
  <si>
    <t>BCI</t>
  </si>
  <si>
    <t xml:space="preserve">Bab Tabreed </t>
  </si>
  <si>
    <t>Junaid</t>
  </si>
  <si>
    <t>303</t>
  </si>
  <si>
    <t>SAFA AL WADI</t>
  </si>
  <si>
    <t>ABDULLA MIZAR</t>
  </si>
  <si>
    <t>abdullah ertikaz</t>
  </si>
  <si>
    <t>ABDULLAH JUMA  . DAR</t>
  </si>
  <si>
    <t>ABDULLAH MULLA</t>
  </si>
  <si>
    <t>ABDULRHMAN ESSA</t>
  </si>
  <si>
    <t>ADNAN 4 VILLA</t>
  </si>
  <si>
    <t>AHMED GHANIM</t>
  </si>
  <si>
    <t>Ahmed malik</t>
  </si>
  <si>
    <t>AHMED SAIF</t>
  </si>
  <si>
    <t>ALI SHEHI</t>
  </si>
  <si>
    <t xml:space="preserve">AMMAR . ARCHPIX  </t>
  </si>
  <si>
    <t xml:space="preserve">AMNA </t>
  </si>
  <si>
    <t>AREEFA</t>
  </si>
  <si>
    <t>ERTIKAZ - AHMED HELAL</t>
  </si>
  <si>
    <t>Essa KHALIFA</t>
  </si>
  <si>
    <t>faisal egy build</t>
  </si>
  <si>
    <t>FAISAL JASEEM - AREEJ</t>
  </si>
  <si>
    <t xml:space="preserve">FARES  VILLA  </t>
  </si>
  <si>
    <t>FAROUQ MARZOKI</t>
  </si>
  <si>
    <t>FATMA ESSA</t>
  </si>
  <si>
    <t>HAMID . IBTESAM</t>
  </si>
  <si>
    <t>HARITH - AREEJ (2)</t>
  </si>
  <si>
    <t>HASSAN NAQIB</t>
  </si>
  <si>
    <t>HBC MOHAMED SAIF</t>
  </si>
  <si>
    <t>HESSA</t>
  </si>
  <si>
    <t>khalaf Falasi</t>
  </si>
  <si>
    <t xml:space="preserve">KHALFAN  VILLA  </t>
  </si>
  <si>
    <t>MAJID</t>
  </si>
  <si>
    <t>MARWAN IBTESAM</t>
  </si>
  <si>
    <t>MARZOK MATROSHI-ARCHPIX</t>
  </si>
  <si>
    <t>MESHAL SAQAR</t>
  </si>
  <si>
    <t>mohamed ABDULLAH Jassem</t>
  </si>
  <si>
    <t xml:space="preserve">MOHAMED MUHAIR . AREEJ </t>
  </si>
  <si>
    <t xml:space="preserve">MOHAMED SAIF </t>
  </si>
  <si>
    <t>MOZA IBTESAM</t>
  </si>
  <si>
    <t>MUBARK . ARCHPIX</t>
  </si>
  <si>
    <t>MUHAIR . AREEJ</t>
  </si>
  <si>
    <t>NAEEMA ERTIKAZ</t>
  </si>
  <si>
    <t>Rashed Ahmed Yousef Mohamed - Archpix</t>
  </si>
  <si>
    <t>RASHED KHALIFA</t>
  </si>
  <si>
    <t>Rashed salem. Jumairah</t>
  </si>
  <si>
    <t>Saeed . Archpix</t>
  </si>
  <si>
    <t>Samah . Archpix (2)</t>
  </si>
  <si>
    <t>Shams Saeed Sultan AL Kitbee</t>
  </si>
  <si>
    <t xml:space="preserve">SHIHAB . ARCHPIX </t>
  </si>
  <si>
    <t>shihab anab</t>
  </si>
  <si>
    <t xml:space="preserve">SUHAIL MAJLIS   </t>
  </si>
  <si>
    <t>SUHAIL VILLA</t>
  </si>
  <si>
    <t>SULTAN .DYNAMIC</t>
  </si>
  <si>
    <t>SULTAN. IBTESAM</t>
  </si>
  <si>
    <t xml:space="preserve">TCC . MARIAM </t>
  </si>
  <si>
    <t>Client</t>
  </si>
  <si>
    <t>Ismail Abdullrahman Ahmed</t>
  </si>
  <si>
    <t>Omar Sultan Mohammad Sultan Alsharif</t>
  </si>
  <si>
    <t>Majed Ahmed Abdulla Al shehhi</t>
  </si>
  <si>
    <t>Amna Ahmad Mohammad Saleh</t>
  </si>
  <si>
    <t>Meshal Mohammad Saqer Ismail Harqoos</t>
  </si>
  <si>
    <t>Rashed Ahmed Yousef Mohamed</t>
  </si>
  <si>
    <t>Project Details</t>
  </si>
  <si>
    <t xml:space="preserve">Private Villa (  G + 1 ) </t>
  </si>
  <si>
    <t>Al Awir First - Dubai</t>
  </si>
  <si>
    <t>Jumaira Third - Dubai</t>
  </si>
  <si>
    <t xml:space="preserve">Private Villa (G + 1) </t>
  </si>
  <si>
    <t>AL Awir First Dubai</t>
  </si>
  <si>
    <t xml:space="preserve">Private Villa (G + 2) </t>
  </si>
  <si>
    <t xml:space="preserve">Private Villa (G + 2 ) </t>
  </si>
  <si>
    <t xml:space="preserve">Private Villa (G + 1 + R) </t>
  </si>
  <si>
    <t>Madinat Hind Third - DUBAI</t>
  </si>
  <si>
    <t xml:space="preserve">Private Villa ( G + 2 ) </t>
  </si>
  <si>
    <t>Umm Nahad Third - DUBAI</t>
  </si>
  <si>
    <t>WADI ALSHBAK - DUBAI</t>
  </si>
  <si>
    <t>AlAwir First - DUBAI</t>
  </si>
  <si>
    <t>Al khwaneej Second - DUBAI</t>
  </si>
  <si>
    <t>Nadd Al Hamar ,Dubai</t>
  </si>
  <si>
    <t>Al Awir First, Dubai</t>
  </si>
  <si>
    <t xml:space="preserve">Private Villa (Ground Only) </t>
  </si>
  <si>
    <t>AL AWIR FIRST, Dubai</t>
  </si>
  <si>
    <t>Private Villa (G+2)</t>
  </si>
  <si>
    <t>Awir 1st - Dubai</t>
  </si>
  <si>
    <t>AlBarsha South First - Dubai</t>
  </si>
  <si>
    <t>Polt</t>
  </si>
  <si>
    <t>Constualt</t>
  </si>
  <si>
    <t>sum coll</t>
  </si>
  <si>
    <t xml:space="preserve">sum spend </t>
  </si>
  <si>
    <t>carr lpo1</t>
  </si>
  <si>
    <t>carrpay1</t>
  </si>
  <si>
    <t>carr actual1</t>
  </si>
  <si>
    <t>carr nots</t>
  </si>
  <si>
    <t>with vat</t>
  </si>
  <si>
    <t>vat</t>
  </si>
  <si>
    <t>Mohamed Marqooq Abdullah AL Matroushi</t>
  </si>
  <si>
    <t>Private Villa ( G + 1 + R + SB )</t>
  </si>
  <si>
    <t>Muhaisnah 1st - Dubai</t>
  </si>
  <si>
    <t>لا</t>
  </si>
  <si>
    <t>Polt Place</t>
  </si>
  <si>
    <t>code</t>
  </si>
  <si>
    <t>cc</t>
  </si>
  <si>
    <t>ABDULLA KHALID YOUSUF MIRZA ALI ALHAJ NASSER</t>
  </si>
  <si>
    <t>Private Villa (G + 2 + SB + CW)</t>
  </si>
  <si>
    <t>CON NO</t>
  </si>
  <si>
    <t>QU NO</t>
  </si>
  <si>
    <t>6/2024</t>
  </si>
  <si>
    <t>Advance Cheque No #  003</t>
  </si>
  <si>
    <t>COMMISSION FOR ARCHPIX</t>
  </si>
  <si>
    <t xml:space="preserve">COMMISSION </t>
  </si>
  <si>
    <t>MR – Abdulla Ali Mohamed Ghuloom AlHamar</t>
  </si>
  <si>
    <t>Private Villa ( G + 1 )</t>
  </si>
  <si>
    <t>Al Awir 1st –Dubai</t>
  </si>
  <si>
    <t>41/2022</t>
  </si>
  <si>
    <t>11/2024</t>
  </si>
  <si>
    <t>CARRIER - 139/2023</t>
  </si>
  <si>
    <t>716 - CHEQUE</t>
  </si>
  <si>
    <t>Advance Cheque No #  2236</t>
  </si>
  <si>
    <t>1st payment Cheque no # 3073</t>
  </si>
  <si>
    <t>2nd Payment Cheque no # 3162</t>
  </si>
  <si>
    <t>Reminder commission ertikaz ( 5000 )</t>
  </si>
  <si>
    <t>BAB TABREED</t>
  </si>
  <si>
    <t>CARREIR - INDOOR</t>
  </si>
  <si>
    <t>CARREIR - OUTDOOR</t>
  </si>
  <si>
    <t>carrier</t>
  </si>
  <si>
    <t>OG</t>
  </si>
  <si>
    <t>Advance Cheque No #  290485</t>
  </si>
  <si>
    <t>1st payment Cheque no # 290545</t>
  </si>
  <si>
    <t>2nd Payment Cheque no # 290615</t>
  </si>
  <si>
    <t>3rd Payment Cheque no # 290633</t>
  </si>
  <si>
    <t>4th Payment Cheque no # 290634</t>
  </si>
  <si>
    <t>6th Payment  Cheque no # CASH</t>
  </si>
  <si>
    <t xml:space="preserve">6th Payment  Cheque no # </t>
  </si>
  <si>
    <t>Reminder commission Areej</t>
  </si>
  <si>
    <t>SIJ INVOICES</t>
  </si>
  <si>
    <t>BAB ALTABREED</t>
  </si>
  <si>
    <t>TAQEEF</t>
  </si>
  <si>
    <t>Abdulrahman Essa Ali Yousuf Alsher</t>
  </si>
  <si>
    <t>65/2024</t>
  </si>
  <si>
    <t>14/2024</t>
  </si>
  <si>
    <t>Advance Cheque No #  CASH</t>
  </si>
  <si>
    <t>Adnan Ameen Mohamed Ali Al Marzouqi</t>
  </si>
  <si>
    <t>Private 4 Villa (G + 1+ ROOF</t>
  </si>
  <si>
    <t>3r/2024</t>
  </si>
  <si>
    <t>1/2024</t>
  </si>
  <si>
    <t>Advance Cheque No #  11594</t>
  </si>
  <si>
    <t>COMISSION FOR DUBAI SKY</t>
  </si>
  <si>
    <t>SHOP DRAWING</t>
  </si>
  <si>
    <t>Ahmed Abdullah mohamed Malik</t>
  </si>
  <si>
    <t>Private Villa (  G + 1 + Roof + SB )</t>
  </si>
  <si>
    <t>64R01/2023</t>
  </si>
  <si>
    <t>17/2023</t>
  </si>
  <si>
    <t xml:space="preserve"> CARREIR 90/2023</t>
  </si>
  <si>
    <t>Advance Cheque No # 445</t>
  </si>
  <si>
    <t xml:space="preserve">Ahmed Saif Mohamed Al shamsi </t>
  </si>
  <si>
    <t>30R/2023</t>
  </si>
  <si>
    <t>7/2023</t>
  </si>
  <si>
    <t>295000 /310000</t>
  </si>
  <si>
    <t>78/2023</t>
  </si>
  <si>
    <t>Advance Cheque No # 500230</t>
  </si>
  <si>
    <t xml:space="preserve">1st payment Cheque no #  </t>
  </si>
  <si>
    <t>2nd Payment Cheque no #</t>
  </si>
  <si>
    <t>Deepak - design</t>
  </si>
  <si>
    <t>MASC</t>
  </si>
  <si>
    <t>20/6/2024</t>
  </si>
  <si>
    <t xml:space="preserve">H/M/122R/2022 </t>
  </si>
  <si>
    <t xml:space="preserve">24/22 </t>
  </si>
  <si>
    <t>Advance Cheque No # CASH - ENG MOHAMED</t>
  </si>
  <si>
    <t>1st payment Cheque no #  CASH - ENG MOHAMED</t>
  </si>
  <si>
    <t>Carrier - indoor</t>
  </si>
  <si>
    <t>Carrier - Wall</t>
  </si>
  <si>
    <t xml:space="preserve">Carrier </t>
  </si>
  <si>
    <t>BCI - Grill</t>
  </si>
  <si>
    <t>Depaak</t>
  </si>
  <si>
    <t>CARRIER - 137 / 2022</t>
  </si>
  <si>
    <t>تم تشغيل الماكينات 1/5/2024</t>
  </si>
  <si>
    <t>Ammar Anwar Hamdan Habib</t>
  </si>
  <si>
    <t xml:space="preserve">Villa (  G + 1 + Service Block ) </t>
  </si>
  <si>
    <t>Nadd Hessa - Dubai</t>
  </si>
  <si>
    <t>: 626 1355</t>
  </si>
  <si>
    <t>106R/2023</t>
  </si>
  <si>
    <t>22/2023</t>
  </si>
  <si>
    <t>H/M/129/2023</t>
  </si>
  <si>
    <t>Advance Cheque No # BANK TRANSFER</t>
  </si>
  <si>
    <t>1st payment Cheque no #  BANK TRANSFER</t>
  </si>
  <si>
    <t>ARCHPIX - COMMISSION</t>
  </si>
  <si>
    <t>HESHAM - COMMISSION</t>
  </si>
  <si>
    <t>31/1/2024</t>
  </si>
  <si>
    <t>/36R/2024</t>
  </si>
  <si>
    <t>5/2024</t>
  </si>
  <si>
    <t>LPO 49/24</t>
  </si>
  <si>
    <t>Advance Cheque No #  BANK TARNS</t>
  </si>
  <si>
    <t>25/4/2024</t>
  </si>
  <si>
    <t xml:space="preserve">1st payment Cheque no # </t>
  </si>
  <si>
    <t xml:space="preserve">COMMISSION FOR AREEJ </t>
  </si>
  <si>
    <t>13/3/2024</t>
  </si>
  <si>
    <t>BEST CHOOICE</t>
  </si>
  <si>
    <t xml:space="preserve">AAREFA ABDULAZIZ ESHAQ MOHAMMAD </t>
  </si>
  <si>
    <t>Al AWIR 71113111FIRST- DUBAI</t>
  </si>
  <si>
    <t>22R1/2024</t>
  </si>
  <si>
    <t>9/2024</t>
  </si>
  <si>
    <t xml:space="preserve">Villa (  B + G + 1 + R + 2 Service Block) </t>
  </si>
  <si>
    <t xml:space="preserve">24R/2022 </t>
  </si>
  <si>
    <t>7/2022</t>
  </si>
  <si>
    <t>30000 Var / Variation Grill + Wall mounted + PLNIUM BOX +++ 10000 //cable tray+aluminum cladding</t>
  </si>
  <si>
    <t>Advance Cheque No #  1610</t>
  </si>
  <si>
    <t>1st payment Cheque no # 1839</t>
  </si>
  <si>
    <t>3rd Payment Cheque no # 1990</t>
  </si>
  <si>
    <t>4th Payment Cheque no # 2061</t>
  </si>
  <si>
    <t>5th Payment  Cheque no # 2169</t>
  </si>
  <si>
    <t>6th Payment  Cheque no # 2747</t>
  </si>
  <si>
    <t>7th Payment  Cheque no # 50415</t>
  </si>
  <si>
    <t>8th Payment  Cheque no #3074</t>
  </si>
  <si>
    <t>TRANE</t>
  </si>
  <si>
    <t>COPPER PIPES - ERTIKAZ</t>
  </si>
  <si>
    <t>Juinaid - SA</t>
  </si>
  <si>
    <t>TRANE - Two AC wall</t>
  </si>
  <si>
    <t>MACS - CALDDING</t>
  </si>
  <si>
    <t>SAFA AL WADI - CLADDING</t>
  </si>
  <si>
    <t>BCI - LOOVER</t>
  </si>
  <si>
    <t>OSMAN - INSULLATION</t>
  </si>
  <si>
    <t>NASSIR - ROYAL</t>
  </si>
  <si>
    <t>30/11/2023</t>
  </si>
  <si>
    <t>Shahab Ahmed Murad</t>
  </si>
  <si>
    <t xml:space="preserve">Private Villa ( Ground Only ) </t>
  </si>
  <si>
    <t>158/2023</t>
  </si>
  <si>
    <t>27/2023</t>
  </si>
  <si>
    <t>H/M/159/2023</t>
  </si>
  <si>
    <t>1st payment Cheque no # CASH</t>
  </si>
  <si>
    <t xml:space="preserve">SHOP DRAWING </t>
  </si>
  <si>
    <t>Samah Ahmed Rashed Falasi</t>
  </si>
  <si>
    <t xml:space="preserve">Private Villa (  G + 1 + R ) </t>
  </si>
  <si>
    <t>16/2023</t>
  </si>
  <si>
    <t>3/2023</t>
  </si>
  <si>
    <t>lpo 01/2024</t>
  </si>
  <si>
    <t>Advance Cheque No # 26</t>
  </si>
  <si>
    <t>1st payment Cheque no #  219</t>
  </si>
  <si>
    <t>2nd Payment Cheque no # 500231</t>
  </si>
  <si>
    <t>COMMISSION Archpix</t>
  </si>
  <si>
    <t>COMMISSION Archpix - HESHAM</t>
  </si>
  <si>
    <t>Deepak</t>
  </si>
  <si>
    <t>BEST CHOICE</t>
  </si>
  <si>
    <t>Saeed Abdullah Khalifa Al Malek</t>
  </si>
  <si>
    <t>/13R/2023</t>
  </si>
  <si>
    <t>02/2023</t>
  </si>
  <si>
    <t>15/2023</t>
  </si>
  <si>
    <t>Var //2 MACHIN 5 TON</t>
  </si>
  <si>
    <t>Advance Cheque No # 44</t>
  </si>
  <si>
    <t>1st payment Cheque no #  04</t>
  </si>
  <si>
    <t>2nd Payment Cheque no # TRANS</t>
  </si>
  <si>
    <t>COMMISSION Archpix - ENG</t>
  </si>
  <si>
    <t>Carrier</t>
  </si>
  <si>
    <t xml:space="preserve">Rashed Salem Ahmad AlMadhaani </t>
  </si>
  <si>
    <t xml:space="preserve">Private Villa (G+2+Majlis Block  ) </t>
  </si>
  <si>
    <t>128/2023</t>
  </si>
  <si>
    <t>33/2023</t>
  </si>
  <si>
    <t>LPO 04/2024</t>
  </si>
  <si>
    <t>have 2 contacts 33+34</t>
  </si>
  <si>
    <t>Advance Cheque No #  4404</t>
  </si>
  <si>
    <t>1st payment Cheque no # 4628</t>
  </si>
  <si>
    <t>Rashed AliPrivate Villa (  G + 1 )  Mohamed Al Marzoqi</t>
  </si>
  <si>
    <t>Awir First- Dubai</t>
  </si>
  <si>
    <t>14R01/2023</t>
  </si>
  <si>
    <t>18/2023</t>
  </si>
  <si>
    <t>CARRIER 91/2023</t>
  </si>
  <si>
    <t>Advance Cheque No # 500177</t>
  </si>
  <si>
    <t>24R1/2024</t>
  </si>
  <si>
    <t xml:space="preserve"> Rashed Khalifa Obaid Humaid Al Falasi</t>
  </si>
  <si>
    <t>7/2024</t>
  </si>
  <si>
    <t>Rashed Khalifa Rashed Al Falasi</t>
  </si>
  <si>
    <t xml:space="preserve">Private Villa (  Ground Only  ) </t>
  </si>
  <si>
    <t>81R01/2022</t>
  </si>
  <si>
    <t>28/22</t>
  </si>
  <si>
    <t>#08/2023</t>
  </si>
  <si>
    <t>lpo 90/2024</t>
  </si>
  <si>
    <t>Advance Cheque No # 09</t>
  </si>
  <si>
    <t>1st payment Cheque no #  bank transfer</t>
  </si>
  <si>
    <t>2nd Payment Cheque no # bank transfer</t>
  </si>
  <si>
    <t>3rd Payment Cheque no # bank transfer</t>
  </si>
  <si>
    <t>COMMISSION AREEJ - ENG</t>
  </si>
  <si>
    <t>bab tabreed</t>
  </si>
  <si>
    <t>Othamn Qasem Ali Ahli</t>
  </si>
  <si>
    <t>18/2022</t>
  </si>
  <si>
    <t>6/2022</t>
  </si>
  <si>
    <t>Carrier  48/2022</t>
  </si>
  <si>
    <t>carr //Lpo 98 /2024 تكمله للسابق وليس جديد</t>
  </si>
  <si>
    <t>Advance Cheque No #  Cash</t>
  </si>
  <si>
    <t>1st payment Cheque no # Cash</t>
  </si>
  <si>
    <t>2nd Payment Cheque no # Cash</t>
  </si>
  <si>
    <t>3rd Payment Cheque no # Cash</t>
  </si>
  <si>
    <t>4th Payment Cheque no # cash</t>
  </si>
  <si>
    <t>5th Payment  Cheque no # cash</t>
  </si>
  <si>
    <t>6th Payment  Cheque no # TRNS</t>
  </si>
  <si>
    <t>sij invoices</t>
  </si>
  <si>
    <t>SIJ invoices</t>
  </si>
  <si>
    <t>Marzooq Abdullah Mohamed ALMatroshi</t>
  </si>
  <si>
    <t xml:space="preserve">Private Villa ( G + 1 + SB ) </t>
  </si>
  <si>
    <t>153/2023</t>
  </si>
  <si>
    <t xml:space="preserve">/26/23 </t>
  </si>
  <si>
    <t>12R/2024</t>
  </si>
  <si>
    <t>Advance Cheque No #  89</t>
  </si>
  <si>
    <t>1st payment Cheque no # 97</t>
  </si>
  <si>
    <t xml:space="preserve"> commission Archpix ( 10500 ) chq</t>
  </si>
  <si>
    <t>commission cash</t>
  </si>
  <si>
    <t>15/5/2024</t>
  </si>
  <si>
    <t>Essa Khalifa Ali Mohammad Almheiri</t>
  </si>
  <si>
    <t>10R1/2024</t>
  </si>
  <si>
    <t>03/2024</t>
  </si>
  <si>
    <t xml:space="preserve">Advance Cheque No #  </t>
  </si>
  <si>
    <t>Faisal Yousef Ahmed Al Mudarreb</t>
  </si>
  <si>
    <t>/48R/2021</t>
  </si>
  <si>
    <t>no contract available</t>
  </si>
  <si>
    <t>Advance Cheque No # 17121</t>
  </si>
  <si>
    <t>DEPAAK DESIGN</t>
  </si>
  <si>
    <t>Faisal Jassem Mohamed Al Tamimi</t>
  </si>
  <si>
    <t xml:space="preserve">Private Villa (  Ground Only ) </t>
  </si>
  <si>
    <t>81R/2023</t>
  </si>
  <si>
    <t xml:space="preserve">19/23 </t>
  </si>
  <si>
    <t xml:space="preserve">  CARRIER 128-2023</t>
  </si>
  <si>
    <t>Advance Cheque No # 56 FROM CONTRACTOR</t>
  </si>
  <si>
    <t>1st payment Cheque no # 82 - CONTRACTOR</t>
  </si>
  <si>
    <t>2nd Payment Cheque no # 113 CONTRACTOR</t>
  </si>
  <si>
    <t>CARRIER - INDOOR</t>
  </si>
  <si>
    <t>CARRIER -</t>
  </si>
  <si>
    <t>86/2022</t>
  </si>
  <si>
    <t xml:space="preserve">18/22  </t>
  </si>
  <si>
    <t xml:space="preserve">الليسيلى - دبى </t>
  </si>
  <si>
    <t xml:space="preserve">فارس محمد فارس المزروعى </t>
  </si>
  <si>
    <t>Var //5000 not addedd</t>
  </si>
  <si>
    <t>Advance Cheque No # cash</t>
  </si>
  <si>
    <t>138R1/2023</t>
  </si>
  <si>
    <t>Farouq Mohamed Ameen Marzoki</t>
  </si>
  <si>
    <t>Private Villa ( G + 1 + Roof )</t>
  </si>
  <si>
    <t>29/23</t>
  </si>
  <si>
    <t>LPO 07/24</t>
  </si>
  <si>
    <t>1st payment Cheque no # BANK TRANSFER</t>
  </si>
  <si>
    <t xml:space="preserve"> commission</t>
  </si>
  <si>
    <t xml:space="preserve">SIJ </t>
  </si>
  <si>
    <t xml:space="preserve">Fatma Essa Ali Yousuf Alsher </t>
  </si>
  <si>
    <t xml:space="preserve">Private Villa (G) </t>
  </si>
  <si>
    <t>/64R1/2024</t>
  </si>
  <si>
    <t>13/2024</t>
  </si>
  <si>
    <t>Harith Ahmed Abdullah Al Zarooni</t>
  </si>
  <si>
    <t>76R03/2023</t>
  </si>
  <si>
    <t xml:space="preserve">20/23 </t>
  </si>
  <si>
    <t>CARRIER 112/2023</t>
  </si>
  <si>
    <t>Advance Cheque No # 100019</t>
  </si>
  <si>
    <t>1st payment Cheque no #  31</t>
  </si>
  <si>
    <t>2nd Payment Cheque no # 32</t>
  </si>
  <si>
    <t>3rd Payment Cheque no # 34</t>
  </si>
  <si>
    <t>Hassan Khamis Naqib</t>
  </si>
  <si>
    <t>Private Villa (  G + 1)</t>
  </si>
  <si>
    <t>50R/2023</t>
  </si>
  <si>
    <t>150-2023</t>
  </si>
  <si>
    <t>Advance Cheque No # bank Transfer</t>
  </si>
  <si>
    <t>1st payment Cheque no #  bank Transfer</t>
  </si>
  <si>
    <t>2nd Payment Cheque no # bank Transfer</t>
  </si>
  <si>
    <t>3rd Payment Cheque no # bank Transfer</t>
  </si>
  <si>
    <t>MACS - DUCT</t>
  </si>
  <si>
    <t>29/11/2023</t>
  </si>
  <si>
    <t>30/7/2023</t>
  </si>
  <si>
    <t>Mohamed Saif Abdullah AL wael</t>
  </si>
  <si>
    <t xml:space="preserve">Private Villa (G+1+Roof) </t>
  </si>
  <si>
    <t>143R/2023</t>
  </si>
  <si>
    <t>لأا يوجد رقم بالعقد</t>
  </si>
  <si>
    <t>Advance Cheque No #  2967</t>
  </si>
  <si>
    <t>1st payment Cheque no #  3189</t>
  </si>
  <si>
    <t>Hessa Ahmed Juma El Beloshi</t>
  </si>
  <si>
    <t xml:space="preserve">Private Villa (  G + 2 ) </t>
  </si>
  <si>
    <t>10/2023</t>
  </si>
  <si>
    <t>4/2023</t>
  </si>
  <si>
    <t>Advance Cheque No # CASH ENG - MOHAMED</t>
  </si>
  <si>
    <t>1st payment Cheque no #  transfer</t>
  </si>
  <si>
    <t>29R1/2024</t>
  </si>
  <si>
    <t>8/2024</t>
  </si>
  <si>
    <t>32R/2024</t>
  </si>
  <si>
    <t>4/2024</t>
  </si>
  <si>
    <t>Advance Cheque No #  BANK TRANS</t>
  </si>
  <si>
    <t>49R1/2024</t>
  </si>
  <si>
    <t>Mohamed Khamis Naqib</t>
  </si>
  <si>
    <t>21R/2023</t>
  </si>
  <si>
    <t>/12/23</t>
  </si>
  <si>
    <t>83/ 2023</t>
  </si>
  <si>
    <t>تم التشغيل 15/3/2024</t>
  </si>
  <si>
    <t>Advance Cheque No # TRANSFER</t>
  </si>
  <si>
    <t>1st payment Cheque no #  Cash - Mohamed</t>
  </si>
  <si>
    <t>2nd Payment Cheque no # cash - al hazam</t>
  </si>
  <si>
    <t>3rd Payment Cheque no # TRANS</t>
  </si>
  <si>
    <t>commission Areej</t>
  </si>
  <si>
    <t>BAB TABREED - DUCT</t>
  </si>
  <si>
    <t>Mohamed Saif Al ketbi</t>
  </si>
  <si>
    <t>103R01/2022</t>
  </si>
  <si>
    <t>25/2022</t>
  </si>
  <si>
    <t>L/P/02/2024</t>
  </si>
  <si>
    <t>Advance Cheque No # 101278</t>
  </si>
  <si>
    <t>2nd Payment Cheque no # 124105</t>
  </si>
  <si>
    <t>BAB Tabreed</t>
  </si>
  <si>
    <t>18/1/2024</t>
  </si>
  <si>
    <t>97/2022</t>
  </si>
  <si>
    <t xml:space="preserve">/22/22 </t>
  </si>
  <si>
    <t xml:space="preserve">الطوار الثانيه - دبى </t>
  </si>
  <si>
    <t>CARRIER / 127 - 2022</t>
  </si>
  <si>
    <t>Advance Cheque No # 500211</t>
  </si>
  <si>
    <t>1st payment Cheque no # 500228</t>
  </si>
  <si>
    <t>2nd Payment Cheque no # 500245</t>
  </si>
  <si>
    <t>3rd Payment Cheque no # 500199</t>
  </si>
  <si>
    <t>Bab Al tabreed</t>
  </si>
  <si>
    <t>CaRRIER</t>
  </si>
  <si>
    <t>JUNAID - SA</t>
  </si>
  <si>
    <t>GRILL - BCI</t>
  </si>
  <si>
    <t>BAB AL TABREED</t>
  </si>
  <si>
    <t>safa alwadi</t>
  </si>
  <si>
    <t>Muhayer Saif Al Ketbi</t>
  </si>
  <si>
    <t xml:space="preserve">Private Villa (  Ground Only) </t>
  </si>
  <si>
    <t>104R02/2022</t>
  </si>
  <si>
    <t xml:space="preserve">26/22 </t>
  </si>
  <si>
    <t>18/24</t>
  </si>
  <si>
    <t>Advance Cheque No # 101279</t>
  </si>
  <si>
    <t>1st payment Cheque no #  0022</t>
  </si>
  <si>
    <t>24/4/2024</t>
  </si>
  <si>
    <t>23/1/2024</t>
  </si>
  <si>
    <t>15/1/2024</t>
  </si>
  <si>
    <t xml:space="preserve">Nayea Mohammad Salem Benwas Alketbi </t>
  </si>
  <si>
    <t>Al Khwaneej Second - DUBAI</t>
  </si>
  <si>
    <t>187/2023</t>
  </si>
  <si>
    <t>35/2023</t>
  </si>
  <si>
    <t>8*2024</t>
  </si>
  <si>
    <t>Advance Cheque No #  cash</t>
  </si>
  <si>
    <t>1st payment Cheque no # TRANS</t>
  </si>
  <si>
    <t>CARRier</t>
  </si>
  <si>
    <t xml:space="preserve">deepak </t>
  </si>
  <si>
    <t>Naeema saleh ahmad Abdulla</t>
  </si>
  <si>
    <t xml:space="preserve">Private Villa ( G+1+ Roof ) </t>
  </si>
  <si>
    <t>wadi shabak - Dubai</t>
  </si>
  <si>
    <t>154/2023</t>
  </si>
  <si>
    <t>31/2023</t>
  </si>
  <si>
    <t>lpo 05/24</t>
  </si>
  <si>
    <t>Advance Cheque No #  3499</t>
  </si>
  <si>
    <t>1st payment Cheque no # 3706</t>
  </si>
  <si>
    <t>31R/2024</t>
  </si>
  <si>
    <t>10/2024</t>
  </si>
  <si>
    <t>القيمه بالعقد 241500</t>
  </si>
  <si>
    <t>Sultan Mohamed Al meheri</t>
  </si>
  <si>
    <t xml:space="preserve">Private Villa ( Ground Only) </t>
  </si>
  <si>
    <t>116/2021</t>
  </si>
  <si>
    <t>3/2021</t>
  </si>
  <si>
    <t>Advance Cheque No #  CASH - ENG . MOHAMED</t>
  </si>
  <si>
    <t>Sultan Juma Mubarak Al suwaidi</t>
  </si>
  <si>
    <t>63R/2022</t>
  </si>
  <si>
    <t xml:space="preserve">13/22  </t>
  </si>
  <si>
    <t>Advance Cheque No # 2455</t>
  </si>
  <si>
    <t>1st payment Cheque no #  2550</t>
  </si>
  <si>
    <t>2nd Payment Cheque no # 2593</t>
  </si>
  <si>
    <t>3rd Payment Cheque no # 2679</t>
  </si>
  <si>
    <t>4th Payment Cheque no # bank Transfer</t>
  </si>
  <si>
    <t>5th Payment  Cheque no # bank trans</t>
  </si>
  <si>
    <t>Commission areej</t>
  </si>
  <si>
    <t>Al Junaid - SA</t>
  </si>
  <si>
    <t>MACS - Caldding</t>
  </si>
  <si>
    <t>Ahmed Ghanim Abdullah Ahli</t>
  </si>
  <si>
    <t xml:space="preserve">Private Villa (  G + 1 + Majlis + SB) </t>
  </si>
  <si>
    <t>72R01/2022</t>
  </si>
  <si>
    <t>20/2022</t>
  </si>
  <si>
    <t>CARRIER 128/2022</t>
  </si>
  <si>
    <t xml:space="preserve">Advance Cheque No # </t>
  </si>
  <si>
    <t>1st payment Cheque no # 1366</t>
  </si>
  <si>
    <t>2nd Payment Cheque no # 1380</t>
  </si>
  <si>
    <t>3rd Payment Cheque no # 1380 - 50% Variation</t>
  </si>
  <si>
    <t>4th Payment Cheque no # CASH</t>
  </si>
  <si>
    <t>commission cost - Asri</t>
  </si>
  <si>
    <t>sijesh</t>
  </si>
  <si>
    <t>ALUMINIUM CALDING</t>
  </si>
  <si>
    <t>ABDULLA MOHAMMAD ABDULLA ALMULLA</t>
  </si>
  <si>
    <t>Madinat Hind Third - Dubai</t>
  </si>
  <si>
    <t>170R/2023</t>
  </si>
  <si>
    <t xml:space="preserve">30/23 </t>
  </si>
  <si>
    <t>Advance Cheque No #  3497</t>
  </si>
  <si>
    <t>deepak</t>
  </si>
  <si>
    <t>14/6/2024</t>
  </si>
  <si>
    <t>10/2019</t>
  </si>
  <si>
    <t>بدون عرض اعمال</t>
  </si>
  <si>
    <t>Advance Cheque No #  DIWAN TRANSFER</t>
  </si>
  <si>
    <t>1st payment Cheque no # 2</t>
  </si>
  <si>
    <t xml:space="preserve">2nd Payment Cheque no # Cash </t>
  </si>
  <si>
    <t>4th Payment Cheque no # TRANS</t>
  </si>
  <si>
    <t>DESIGN - DEPAK</t>
  </si>
  <si>
    <t>COMMISSION - ABU MARIAM</t>
  </si>
  <si>
    <t>AERO FOAM - SIJ ( SWAUDI - SHARJAH )</t>
  </si>
  <si>
    <t>AWTAR</t>
  </si>
  <si>
    <t>awtatr</t>
  </si>
  <si>
    <t>خلف العبد الله سرور الفلاسى</t>
  </si>
  <si>
    <t>فيلا خاصه ارضى + ثانى</t>
  </si>
  <si>
    <t>العوير 1 – دبى</t>
  </si>
  <si>
    <t>87/2022</t>
  </si>
  <si>
    <t xml:space="preserve">/19/22  </t>
  </si>
  <si>
    <t xml:space="preserve">خلفان محمد فارس المزروعى </t>
  </si>
  <si>
    <t>CARRIER NO H/M/124/2022</t>
  </si>
  <si>
    <t>Var notes // 10000 + 15000</t>
  </si>
  <si>
    <t>Advance Cheque No # CASH</t>
  </si>
  <si>
    <t>1st payment Cheque no # 925</t>
  </si>
  <si>
    <t>2nd Payment Cheque no # CASH</t>
  </si>
  <si>
    <t>31/3/2024</t>
  </si>
  <si>
    <t xml:space="preserve">BAB TABREED </t>
  </si>
  <si>
    <t>Khalifa Juma Salem Al shamsi</t>
  </si>
  <si>
    <t xml:space="preserve">Private Villa (  G + 1 + Service Block ) </t>
  </si>
  <si>
    <t>123/2023</t>
  </si>
  <si>
    <t>21/2023</t>
  </si>
  <si>
    <t>CARRIER 121/2023</t>
  </si>
  <si>
    <t>Advance Cheque No # Bank Transfer</t>
  </si>
  <si>
    <t>3rd Payment Cheque no #</t>
  </si>
  <si>
    <t>DEPAAK</t>
  </si>
  <si>
    <t>Marwan Mohamed Ali Jameel</t>
  </si>
  <si>
    <t>1/2023</t>
  </si>
  <si>
    <t>1st payment Cheque no #  500240</t>
  </si>
  <si>
    <t>2nd Payment Cheque no # Bank trans</t>
  </si>
  <si>
    <t>23/5/2024</t>
  </si>
  <si>
    <t>sijeesh</t>
  </si>
  <si>
    <t>BCI - GRILL</t>
  </si>
  <si>
    <t xml:space="preserve">sij  </t>
  </si>
  <si>
    <t xml:space="preserve">على الشيحي                                                                          </t>
  </si>
  <si>
    <t xml:space="preserve">موزه خلفان صهيل                                                                  </t>
  </si>
  <si>
    <t>59r/2024</t>
  </si>
  <si>
    <t>18/2024</t>
  </si>
  <si>
    <t>Advance Cheque No # 001202</t>
  </si>
  <si>
    <t>/89/2024</t>
  </si>
  <si>
    <t xml:space="preserve">17/24 </t>
  </si>
  <si>
    <t>Archpix</t>
  </si>
  <si>
    <t>Advance Cheque No # trns</t>
  </si>
  <si>
    <t xml:space="preserve">Commission - Archpix </t>
  </si>
  <si>
    <t>Salem Abdullah Abdulkhaliq</t>
  </si>
  <si>
    <t>01R/2023</t>
  </si>
  <si>
    <t>CARRIER 79/2023</t>
  </si>
  <si>
    <t>Advance Cheque No # 4382</t>
  </si>
  <si>
    <t>1st payment Cheque no #  4625</t>
  </si>
  <si>
    <t>commision</t>
  </si>
  <si>
    <t>73R02/2022</t>
  </si>
  <si>
    <t>23/2022</t>
  </si>
  <si>
    <t>carrier 129R/2023 /DISCOUNT 4558 aed</t>
  </si>
  <si>
    <t>Advance Cheque No # 2719</t>
  </si>
  <si>
    <t>1st payment Cheque no #  2871</t>
  </si>
  <si>
    <t xml:space="preserve">2nd Payment Cheque no # 2932 </t>
  </si>
  <si>
    <t>3rd Payment Cheque no # 2933</t>
  </si>
  <si>
    <t>4th Payment Cheque no # 3316</t>
  </si>
  <si>
    <t>5th Payment  Cheque no # 3483</t>
  </si>
  <si>
    <t>Sijeesh</t>
  </si>
  <si>
    <t>commission - asri</t>
  </si>
  <si>
    <t xml:space="preserve">BETA </t>
  </si>
  <si>
    <t>Bab Tabreed</t>
  </si>
  <si>
    <t>JUNAID</t>
  </si>
  <si>
    <t>25/12/2023</t>
  </si>
  <si>
    <t>SALEM  HESSA</t>
  </si>
  <si>
    <t>Salem sultan Salem Bilal</t>
  </si>
  <si>
    <t>/08/2023</t>
  </si>
  <si>
    <t>05/2023</t>
  </si>
  <si>
    <t>84/2023</t>
  </si>
  <si>
    <t xml:space="preserve">124/2021 </t>
  </si>
  <si>
    <t>/20/21</t>
  </si>
  <si>
    <t>1st payment Cheque no #  100155</t>
  </si>
  <si>
    <t>2nd Payment Cheque no # cash - ENG</t>
  </si>
  <si>
    <t>3rd Payment Cheque no # cash - ENG</t>
  </si>
  <si>
    <t>Trust commission</t>
  </si>
  <si>
    <t>Contact No</t>
  </si>
  <si>
    <t>Quo No</t>
  </si>
  <si>
    <t>Revenue</t>
  </si>
  <si>
    <t>Expences</t>
  </si>
  <si>
    <t>consualt</t>
  </si>
  <si>
    <t>38CKM024-X-7</t>
  </si>
  <si>
    <t>FB4CSL024L00</t>
  </si>
  <si>
    <t>38CKM036-X-7</t>
  </si>
  <si>
    <t>FB4CSL036L00</t>
  </si>
  <si>
    <t>H/M/94/2024</t>
  </si>
  <si>
    <t>NO</t>
  </si>
  <si>
    <t>Before Delivery</t>
  </si>
  <si>
    <t>38KHG018H</t>
  </si>
  <si>
    <t>42KHG018H</t>
  </si>
  <si>
    <t>38QHA036VSN</t>
  </si>
  <si>
    <t>42QHA036VSN</t>
  </si>
  <si>
    <t>S</t>
  </si>
  <si>
    <t xml:space="preserve">Enoc </t>
  </si>
  <si>
    <t>Noqodi</t>
  </si>
  <si>
    <t>Bank</t>
  </si>
  <si>
    <t>safe chq</t>
  </si>
  <si>
    <t>CARRIER 143/2023</t>
  </si>
  <si>
    <t>/03/2024</t>
  </si>
  <si>
    <t>Shihab Ahmed Saleh Ertikaz</t>
  </si>
  <si>
    <t>Advance Cheque No # 3376</t>
  </si>
  <si>
    <t>1st payment Cheque no #  3498</t>
  </si>
  <si>
    <t>2nd Payment Cheque no # 3884</t>
  </si>
  <si>
    <t>depaak</t>
  </si>
  <si>
    <t>payment Cheque no #  3404</t>
  </si>
  <si>
    <t>Best Choice inv 0050100 - lpo 107-24</t>
  </si>
  <si>
    <t>SAIF . IDEAL Abbas</t>
  </si>
  <si>
    <t>carrier lpo 189 /23</t>
  </si>
  <si>
    <t xml:space="preserve">lpo 189-23 omran saif </t>
  </si>
  <si>
    <t xml:space="preserve">TO </t>
  </si>
  <si>
    <t>project:</t>
  </si>
  <si>
    <t>Grill &amp; Diffuser</t>
  </si>
  <si>
    <t>Testing &amp; Commissioning.</t>
  </si>
  <si>
    <t>Advanced</t>
  </si>
  <si>
    <t xml:space="preserve">  Previous payment</t>
  </si>
  <si>
    <t xml:space="preserve">For, AlHazam Electro Mechanical Works L.L.C                                      </t>
  </si>
  <si>
    <t xml:space="preserve">              General Accountant</t>
  </si>
  <si>
    <t>BANK ACCOUNT NO # 1014603439702</t>
  </si>
  <si>
    <t>IBAN NO # AE420260001014603439702</t>
  </si>
  <si>
    <t>BANK NAME : EMIRATES NBD</t>
  </si>
  <si>
    <t xml:space="preserve">DEDUCTIONS                    </t>
  </si>
  <si>
    <t>Sijeesh Exp june 24</t>
  </si>
  <si>
    <t>Mohamed Abbas Al Bloushi</t>
  </si>
  <si>
    <t xml:space="preserve">Private Villa (G + 1 + Block service) </t>
  </si>
  <si>
    <t>Al Awire First -Dubai</t>
  </si>
  <si>
    <t>Gaith Mohammad Aiahli</t>
  </si>
  <si>
    <t>Dubai</t>
  </si>
  <si>
    <t>Payment - Trans / ADV 5% Inv 84/2024   1677</t>
  </si>
  <si>
    <t>Advance Cheque No # 500231</t>
  </si>
  <si>
    <t xml:space="preserve"> OGENERAL        H/M/123/2024</t>
  </si>
  <si>
    <t xml:space="preserve">تم تعديل العقد بموافقه علي الواتس الي 39000 ددرهم   Ogeneral </t>
  </si>
  <si>
    <t>Taqeef 10-20-10-180335</t>
  </si>
  <si>
    <t>carrier lp 112/2023</t>
  </si>
  <si>
    <t>carrier lp 02/2024</t>
  </si>
  <si>
    <t>AMOUNT</t>
  </si>
  <si>
    <t>TOTAL + VAT</t>
  </si>
  <si>
    <t>PAID</t>
  </si>
  <si>
    <t>MS – Moza Khalfan Suhail</t>
  </si>
  <si>
    <t>MR – Hamad Abdullah AlSwedi</t>
  </si>
  <si>
    <t>MR – Muhayer Saif Al Ketbi</t>
  </si>
  <si>
    <t xml:space="preserve">MR – Rashed Salem Ahmad AlMadhaani </t>
  </si>
  <si>
    <t>MR – Salem Abdullah Abdalkhaliq</t>
  </si>
  <si>
    <t>MS – HESSA AHMED BOLSHI</t>
  </si>
  <si>
    <t>MR – MOHAMED SAIF H.B.C</t>
  </si>
  <si>
    <t>MR - ESSA KHALIFA</t>
  </si>
  <si>
    <t>9R</t>
  </si>
  <si>
    <t>MR - MOHAMED ALMATROSHI</t>
  </si>
  <si>
    <t>MR MUBARAK ARCHPIX</t>
  </si>
  <si>
    <t>MR SAMAH AHMED RASHED</t>
  </si>
  <si>
    <t>MR AHMED SAIF ALSHAMSY</t>
  </si>
  <si>
    <t>MR Adnan Ameen Mohamed ALI Al Marzouqi</t>
  </si>
  <si>
    <t>MR Shihab Ahmed Darwish Saleh</t>
  </si>
  <si>
    <t>MR – Shihab Ahmed Murad</t>
  </si>
  <si>
    <t>MR – ABDULLA MOHAMMAD ALMULLA</t>
  </si>
  <si>
    <t>MR – Naaema Sallah Ahmed Abdullah</t>
  </si>
  <si>
    <t>MR. HASSAN KHAMIS NAQIB</t>
  </si>
  <si>
    <t>MR. RASHED KHALAF ALFALASI</t>
  </si>
  <si>
    <t>MR. SAEED ABDULLAH KHALIFA</t>
  </si>
  <si>
    <t>MR. AMNA AHMED MOHAMED SALLEH</t>
  </si>
  <si>
    <t>AGRICULTURAL GROUP L.L.C</t>
  </si>
  <si>
    <t>MR. MAJIED AHMED ABDULLA ALSHEHI</t>
  </si>
  <si>
    <t>MR. MOHAMED SAIF</t>
  </si>
  <si>
    <t>MR. MOHAMED JASSEM</t>
  </si>
  <si>
    <t>MR. NAYAE BENWAS</t>
  </si>
  <si>
    <t>ABDULLA KHALID YOUSUF   ARCHPIX</t>
  </si>
  <si>
    <t>MR.Mohamed Khamis</t>
  </si>
  <si>
    <t>Marwan - DR . Ibtesam</t>
  </si>
  <si>
    <t>31R</t>
  </si>
  <si>
    <t>Ahmed Ghanim . Asri</t>
  </si>
  <si>
    <t>MR . Harith Areej</t>
  </si>
  <si>
    <t>Naaema Ertikaz</t>
  </si>
  <si>
    <t>MR. ISMAIL ABDULRAHMAN</t>
  </si>
  <si>
    <t>MR. AAREFA ABDULAZIZ</t>
  </si>
  <si>
    <t>MR. Omar Sultan</t>
  </si>
  <si>
    <t>MR. RASHED KHALIFA</t>
  </si>
  <si>
    <t>SHIHAB ELANAB</t>
  </si>
  <si>
    <t>Harith areej</t>
  </si>
  <si>
    <t>Mr Sultan</t>
  </si>
  <si>
    <t>Mr khalifa muhasina</t>
  </si>
  <si>
    <t>Mr OMAR SULTAN</t>
  </si>
  <si>
    <t>khalifa .ARCHPIX</t>
  </si>
  <si>
    <t xml:space="preserve"> MR - SAIF ABBAS . IDEAL</t>
  </si>
  <si>
    <t>MOHAMED MYHAIR . ITLIA</t>
  </si>
  <si>
    <t>MYHAIR . ITLIA</t>
  </si>
  <si>
    <t>Ahmed Saif Mohamed Al shamsi</t>
  </si>
  <si>
    <t xml:space="preserve"> MS - HESSA</t>
  </si>
  <si>
    <t xml:space="preserve"> MR.SAEED ARCHPIX</t>
  </si>
  <si>
    <t xml:space="preserve">SEVEN SEAS </t>
  </si>
  <si>
    <t>MR. Marzok Matroshi</t>
  </si>
  <si>
    <t>MR. Farooq Marzooki</t>
  </si>
  <si>
    <t xml:space="preserve"> MR. AHMED HELAL</t>
  </si>
  <si>
    <t>MR. AHMED HELAL</t>
  </si>
  <si>
    <t xml:space="preserve"> MR. Meshaal Mohamed</t>
  </si>
  <si>
    <t>MR. Ammar archpix</t>
  </si>
  <si>
    <t xml:space="preserve"> Fatima . Dynamic</t>
  </si>
  <si>
    <t>SAEED . DYNAMIC</t>
  </si>
  <si>
    <t>SULTAN . DYNAMIC</t>
  </si>
  <si>
    <t>SHIKHA ALI</t>
  </si>
  <si>
    <t>Wahat Al Khair Technical Works LLC</t>
  </si>
  <si>
    <t>MR. Salem Sultan</t>
  </si>
  <si>
    <t>Othman Qasem Ahli</t>
  </si>
  <si>
    <t xml:space="preserve">ABDURHMAN ESSA ALI </t>
  </si>
  <si>
    <t>GHAIS MOHAMED ALAHLI</t>
  </si>
  <si>
    <t>ISAMIL MOHAMED DAWED ELBILIDI</t>
  </si>
  <si>
    <t>MOHAMED SAIF ABDULLAH hbc</t>
  </si>
  <si>
    <t>Mohamed Saif Al Shamsi</t>
  </si>
  <si>
    <t>Samah Falasi</t>
  </si>
  <si>
    <t>Shihab Ertikaz</t>
  </si>
  <si>
    <t>Abdullah Al Mulla</t>
  </si>
  <si>
    <t>Muhayer Saif Naya Benwas al ketbi</t>
  </si>
  <si>
    <t>Mohamed Muhayer Saif Al Ketbi</t>
  </si>
  <si>
    <t>Yakoob Yousef /yearly maintaintance</t>
  </si>
  <si>
    <t>Yakoob Yousef / maintainance comproser change</t>
  </si>
  <si>
    <t>Majid shihi</t>
  </si>
  <si>
    <t>Mohamed Abbas</t>
  </si>
  <si>
    <t>Faisel Areej</t>
  </si>
  <si>
    <t>Mohamed abdullah Jassem</t>
  </si>
  <si>
    <t>UnPaid</t>
  </si>
  <si>
    <t>Inv Ref</t>
  </si>
  <si>
    <t xml:space="preserve">Date </t>
  </si>
  <si>
    <t>Ref</t>
  </si>
  <si>
    <t>Carrier lp 9-2024</t>
  </si>
  <si>
    <t>Viration</t>
  </si>
  <si>
    <t>BD1</t>
  </si>
  <si>
    <t>BD2</t>
  </si>
  <si>
    <t>BD3</t>
  </si>
  <si>
    <t>BD4</t>
  </si>
  <si>
    <t>BD5</t>
  </si>
  <si>
    <t>Var Value</t>
  </si>
  <si>
    <t>Count</t>
  </si>
  <si>
    <t xml:space="preserve">Private Villa (G+1) </t>
  </si>
  <si>
    <t>Private Villa ( G+1 )</t>
  </si>
  <si>
    <t xml:space="preserve">AL Mizhar 3rd - Dubai </t>
  </si>
  <si>
    <t>MADINAT HIND 4, Dubai</t>
  </si>
  <si>
    <t>Omar Mohamed Abdullah Ahli</t>
  </si>
  <si>
    <t>Pre Fabricated G1 Duct 0.56 Gg</t>
  </si>
  <si>
    <t>S CLEET</t>
  </si>
  <si>
    <t>C CLEAT</t>
  </si>
  <si>
    <t>7229 RJ</t>
  </si>
  <si>
    <t>Shams Saeed  AL Kitbee</t>
  </si>
  <si>
    <t>H/M/130/2024</t>
  </si>
  <si>
    <t xml:space="preserve">0.56 MM BARE GI DUCT  (AGIS UAE) </t>
  </si>
  <si>
    <t>S CLEATS</t>
  </si>
  <si>
    <t>C CLEATS</t>
  </si>
  <si>
    <t xml:space="preserve"> Adnan 4 Villa</t>
  </si>
  <si>
    <t>H/M/129/2024</t>
  </si>
  <si>
    <t xml:space="preserve">var// solt -- carr in 2430.75 </t>
  </si>
  <si>
    <t>carr chq 27043 -*</t>
  </si>
  <si>
    <t>Advance Cheque No #  TRANSFER ON ACCOUNT</t>
  </si>
  <si>
    <t>1st payment Cheque no # BANK TRANS</t>
  </si>
  <si>
    <t xml:space="preserve">2nd Payment Cheque no # </t>
  </si>
  <si>
    <t>25/3/2024</t>
  </si>
  <si>
    <t>Best Choice inv 0050062</t>
  </si>
  <si>
    <t>ABDULLAH . EBTESAM</t>
  </si>
  <si>
    <t>Abdullah Juma Al Falasi</t>
  </si>
  <si>
    <t>Typical Two &gt;&gt; Private Villa ( G + 1 + SB )</t>
  </si>
  <si>
    <t>1/2022</t>
  </si>
  <si>
    <t>15/2021</t>
  </si>
  <si>
    <t>1st payment Cheque no # 147</t>
  </si>
  <si>
    <t>Mubark Ismail AL Meheri</t>
  </si>
  <si>
    <t>Private Villa (  G + 1 + Roof )</t>
  </si>
  <si>
    <t xml:space="preserve"> H/M/57R/2023</t>
  </si>
  <si>
    <t xml:space="preserve"> H/M/13/2023</t>
  </si>
  <si>
    <t>: Awir 1st  - Dubai</t>
  </si>
  <si>
    <t>H/M/13R/2023</t>
  </si>
  <si>
    <t xml:space="preserve">: H/M/02/23 </t>
  </si>
  <si>
    <t>H/M/15/23</t>
  </si>
  <si>
    <t xml:space="preserve">القوز الثانيه - دبى </t>
  </si>
  <si>
    <t>فيلا ( ارضى + اول )</t>
  </si>
  <si>
    <t xml:space="preserve"> H/M/67/2023 </t>
  </si>
  <si>
    <t xml:space="preserve"> CARRIER H/M/81/2023</t>
  </si>
  <si>
    <t xml:space="preserve">/ احمد محمد فارس المزروعى </t>
  </si>
  <si>
    <t xml:space="preserve">: H/M/17/22  </t>
  </si>
  <si>
    <t xml:space="preserve">بمنطقة  الليسيلى - دبى </t>
  </si>
  <si>
    <t>فيلا ( ارضى + اول + خدمات )</t>
  </si>
  <si>
    <t xml:space="preserve">العناب </t>
  </si>
  <si>
    <t>H/M/34/2022</t>
  </si>
  <si>
    <t>CARRIER 126/2022</t>
  </si>
  <si>
    <t>Ahmed villa</t>
  </si>
  <si>
    <t xml:space="preserve">Bci -louver </t>
  </si>
  <si>
    <t>16/12/2023</t>
  </si>
  <si>
    <t>1st payment Cheque no #  CASH</t>
  </si>
  <si>
    <t>Commission - Hesham</t>
  </si>
  <si>
    <t>commission - Archpix</t>
  </si>
  <si>
    <t xml:space="preserve">BEST CHOICE </t>
  </si>
  <si>
    <t>20/4/2024</t>
  </si>
  <si>
    <t>30/4/2024</t>
  </si>
  <si>
    <t>: Private Villa ( G + 1 )</t>
  </si>
  <si>
    <t>Wadi Shabak - Dubai</t>
  </si>
  <si>
    <t>H/M/120R/2023</t>
  </si>
  <si>
    <t>payment - trns-Inv 74/2024</t>
  </si>
  <si>
    <t xml:space="preserve">2nd Payment Cheque no # inv 86 </t>
  </si>
  <si>
    <t xml:space="preserve">MOHAMED ABD ELSALAM            م.محمد ع السلام  </t>
  </si>
  <si>
    <t xml:space="preserve">SIJEESH SIVARAMAN                       م. سجيش </t>
  </si>
  <si>
    <t xml:space="preserve">Basem Tarek Sharway                         باسم </t>
  </si>
  <si>
    <t xml:space="preserve">GABER MOHAMED                               جابر      </t>
  </si>
  <si>
    <t xml:space="preserve">AHMED ABDELSALAM                 م. احمد ع السلام </t>
  </si>
  <si>
    <t>RAJESH SUKESAN SUKESAN           رجيش</t>
  </si>
  <si>
    <t>SANTOSH PHOOL CHAND                شــانـتــش</t>
  </si>
  <si>
    <t>SUKCHAND SEKH AMANAT             ســكــهانــد</t>
  </si>
  <si>
    <t>VISHNU PADINHARE PURAKKAL    فــيــشــن</t>
  </si>
  <si>
    <t xml:space="preserve">SAJITH SUDARSANAN                     ســاجــس     </t>
  </si>
  <si>
    <t>ONKAR GURPAL SINGH                  اونــكــر</t>
  </si>
  <si>
    <t>PAWAN KUMAR SHARMA                  بــوان</t>
  </si>
  <si>
    <t>RATHEESH KUMAR MUTHU          ريــتــــاش</t>
  </si>
  <si>
    <t>SIMUL KANTI DEY                           ســيــمــول</t>
  </si>
  <si>
    <t>Shiju mohanan mohanan            شــيــجــو موهنان</t>
  </si>
  <si>
    <t>Anurag kumar basant sharma       انـــراج</t>
  </si>
  <si>
    <t>3 DAYS MAY</t>
  </si>
  <si>
    <t>Vacation from 1-6 to 21-6</t>
  </si>
  <si>
    <t xml:space="preserve">cut 10 days </t>
  </si>
  <si>
    <t xml:space="preserve">Vacation </t>
  </si>
  <si>
    <t>Fine cut April+May+June</t>
  </si>
  <si>
    <t>June  Total</t>
  </si>
  <si>
    <t>July  Total</t>
  </si>
  <si>
    <t>تخصم 440 درهم / مصاريف سفر عمان</t>
  </si>
  <si>
    <t>Resign 5/2024</t>
  </si>
  <si>
    <t xml:space="preserve">1 carrier A/C from our own store </t>
  </si>
  <si>
    <t>General Manager</t>
  </si>
  <si>
    <t>Supervisor</t>
  </si>
  <si>
    <t>Accountant</t>
  </si>
  <si>
    <t>pro</t>
  </si>
  <si>
    <t>A/ C Technician</t>
  </si>
  <si>
    <t>Labour</t>
  </si>
  <si>
    <t>H/M/133/2024</t>
  </si>
  <si>
    <t>RAG BLACK 900mm x 150mm</t>
  </si>
  <si>
    <t>72595 [7]</t>
  </si>
  <si>
    <t>AED</t>
  </si>
  <si>
    <t>june-24</t>
  </si>
  <si>
    <t>July-24</t>
  </si>
  <si>
    <t>Empolyee</t>
  </si>
  <si>
    <t>Work Days</t>
  </si>
  <si>
    <t>Other Deduct</t>
  </si>
  <si>
    <t>Net Salary</t>
  </si>
  <si>
    <t>H/M/134/2024</t>
  </si>
  <si>
    <t>RLSD 2slot x 20mm x 1000mm</t>
  </si>
  <si>
    <t>74912 [5]</t>
  </si>
  <si>
    <t>38KHG024H</t>
  </si>
  <si>
    <t>42KHG024H</t>
  </si>
  <si>
    <t>Deducts</t>
  </si>
  <si>
    <t>Over time / Other Add</t>
  </si>
  <si>
    <t>Days Salary</t>
  </si>
  <si>
    <t>Basic Salary</t>
  </si>
  <si>
    <t>مخالفات مرور 200 قديم +400 في 3/7</t>
  </si>
  <si>
    <t xml:space="preserve">باقي 500 مخالفات </t>
  </si>
  <si>
    <t xml:space="preserve">Last day 14-7 + Vac 15-7 to 6-8 </t>
  </si>
  <si>
    <t xml:space="preserve">العقد ب 230 الف وملف البروجكت  مسجل 375 الف </t>
  </si>
  <si>
    <t>H/M/135/2024</t>
  </si>
  <si>
    <t>Pre Fabricated G1 Duct 0.7 mm</t>
  </si>
  <si>
    <t>7230 RJ</t>
  </si>
  <si>
    <t>H/M/136/2024</t>
  </si>
  <si>
    <t>7379 RJ</t>
  </si>
  <si>
    <t>H/M/137/2024</t>
  </si>
  <si>
    <t>241324-A</t>
  </si>
  <si>
    <t>H/M/138/2024</t>
  </si>
  <si>
    <t>38KHG012H</t>
  </si>
  <si>
    <t>42KHG012H</t>
  </si>
  <si>
    <t>Shams Saeed</t>
  </si>
  <si>
    <t>Payments -Chq 193 /28-7 / Inv 85-2024  --- Last Invoice 100%</t>
  </si>
  <si>
    <t>Payments - Cuq 1220 / 29-7 / Inv  89-2024</t>
  </si>
  <si>
    <t xml:space="preserve">payments - Trans -Inv 88-2024  </t>
  </si>
  <si>
    <t>Carrier Inv  -Chq 903</t>
  </si>
  <si>
    <t xml:space="preserve">Climate Masters - 4 units *4510 </t>
  </si>
  <si>
    <t xml:space="preserve">Climate Masters - 1 units *4510 </t>
  </si>
  <si>
    <t>Old payment now recored - Variation collection -no vat no inv</t>
  </si>
  <si>
    <t xml:space="preserve"> MR. Rashed Ahmed Yousef</t>
  </si>
  <si>
    <t>UTS Carrier          14385</t>
  </si>
  <si>
    <t>Collection</t>
  </si>
  <si>
    <t>pi</t>
  </si>
  <si>
    <t>PI</t>
  </si>
  <si>
    <t>H/M/137R/2024</t>
  </si>
  <si>
    <t>H/M/139/2024</t>
  </si>
  <si>
    <t>H/M/140/2024</t>
  </si>
  <si>
    <t>7445 J</t>
  </si>
  <si>
    <t>S Cleet</t>
  </si>
  <si>
    <t>C Cleat</t>
  </si>
  <si>
    <t>LSD BLACK DEFLECTOR 30mtr</t>
  </si>
  <si>
    <t>0.56 MM BARE GI DUCT (AGIS UAE)</t>
  </si>
  <si>
    <t>\5345345\7777</t>
  </si>
  <si>
    <t>Lpo Notes</t>
  </si>
  <si>
    <t>Slot diffuser Reflector -30 meter</t>
  </si>
  <si>
    <t>73828 [2]</t>
  </si>
  <si>
    <t>H/M/131/2024</t>
  </si>
  <si>
    <t>Hilal villa</t>
  </si>
  <si>
    <t>H/M/132/2024</t>
  </si>
  <si>
    <t>Des</t>
  </si>
  <si>
    <t>acc</t>
  </si>
  <si>
    <t>chq</t>
  </si>
  <si>
    <t>chq date</t>
  </si>
  <si>
    <t>Prefouse payment</t>
  </si>
  <si>
    <t>Unpaid</t>
  </si>
  <si>
    <t>Var Line Before vat</t>
  </si>
  <si>
    <t>Var Line no vat</t>
  </si>
  <si>
    <t>one line 1</t>
  </si>
  <si>
    <t>value</t>
  </si>
  <si>
    <t>one line 2</t>
  </si>
  <si>
    <t>one line 3</t>
  </si>
  <si>
    <t>one line 4</t>
  </si>
  <si>
    <t>one line 5</t>
  </si>
  <si>
    <t>\24045924</t>
  </si>
  <si>
    <t>Essa khalifa</t>
  </si>
  <si>
    <t>\0050224</t>
  </si>
  <si>
    <t>\0050223</t>
  </si>
  <si>
    <t>\0050225</t>
  </si>
  <si>
    <t>\0050201</t>
  </si>
  <si>
    <t>increase sij</t>
  </si>
  <si>
    <t>80111 (3)</t>
  </si>
  <si>
    <t>H/M/141/2024</t>
  </si>
  <si>
    <t>RLSD   -  2slot x 20mm x 1000mm</t>
  </si>
  <si>
    <t>RLSD   -  2slot x 20mm x 1200mm</t>
  </si>
  <si>
    <t>RLBG DB   -  1500mm x 150mm</t>
  </si>
  <si>
    <t>RLBG DB   -  2800mm x 150mm</t>
  </si>
  <si>
    <t>RLBG DB   -  3100mm x 150mm</t>
  </si>
  <si>
    <t>RLBG DB   -  3250mm x 150mm</t>
  </si>
  <si>
    <t>RLBG DB   -  3750mm x 150mm</t>
  </si>
  <si>
    <t>RLBG DB   -  3800mm x 150mm</t>
  </si>
  <si>
    <t>RLBG DB   -  4800mm x 150mm</t>
  </si>
  <si>
    <t>RLBG DB   -  4900mm x 150mm</t>
  </si>
  <si>
    <t>RLBG DB   -  5100mm x 150mm</t>
  </si>
  <si>
    <t>RAD 4WS   -  6 " x 6"</t>
  </si>
  <si>
    <t>RAD 4WS   -  9 " x 9"</t>
  </si>
  <si>
    <t>RAD 4WS   -  12 " x 12"</t>
  </si>
  <si>
    <t>Balck</t>
  </si>
  <si>
    <t>LPO 25/ 2024</t>
  </si>
  <si>
    <t xml:space="preserve">38CKM036-X-7
</t>
  </si>
  <si>
    <t>38KHB030HN</t>
  </si>
  <si>
    <t>42KHB030HN</t>
  </si>
  <si>
    <t xml:space="preserve">LPO 78/ 2023 </t>
  </si>
  <si>
    <t xml:space="preserve">38CKM018-X-7
</t>
  </si>
  <si>
    <t>AHMED SAIF SHAMSY</t>
  </si>
  <si>
    <t xml:space="preserve">FB4CSL018L00
</t>
  </si>
  <si>
    <t xml:space="preserve">38CKM024-X-7
</t>
  </si>
  <si>
    <t xml:space="preserve">FB4CSL024L00
</t>
  </si>
  <si>
    <t xml:space="preserve">38CKM030-X-7
</t>
  </si>
  <si>
    <t xml:space="preserve">FB4CSL030L00
</t>
  </si>
  <si>
    <t xml:space="preserve">38CKM036-X-9
</t>
  </si>
  <si>
    <t xml:space="preserve">FB4CSL037L00
</t>
  </si>
  <si>
    <t xml:space="preserve">38CKM042-X-9
</t>
  </si>
  <si>
    <t xml:space="preserve">FB4CSL042L00
</t>
  </si>
  <si>
    <t xml:space="preserve">38CKM048-X-9
</t>
  </si>
  <si>
    <t xml:space="preserve">FB4CSL048L00
</t>
  </si>
  <si>
    <t xml:space="preserve">38CKM060-X-9
</t>
  </si>
  <si>
    <t xml:space="preserve">LPO 18 / 2024 </t>
  </si>
  <si>
    <t>MUHAIRY</t>
  </si>
  <si>
    <t>50TCMD09A9A1-0A0A0</t>
  </si>
  <si>
    <t xml:space="preserve">LPO 08/ 2024  </t>
  </si>
  <si>
    <t>NAYEEA BENWAS </t>
  </si>
  <si>
    <t xml:space="preserve">LPO 15 / 2023  </t>
  </si>
  <si>
    <t>SAEED ARCHPIX</t>
  </si>
  <si>
    <t xml:space="preserve">FB4CSL060L00
</t>
  </si>
  <si>
    <t xml:space="preserve">42KHG018H
</t>
  </si>
  <si>
    <t xml:space="preserve">38QHA036VSN
</t>
  </si>
  <si>
    <t xml:space="preserve">42QHA036VSN
</t>
  </si>
  <si>
    <t>MOHAMED SAIF H.B.C</t>
  </si>
  <si>
    <t xml:space="preserve">LPO 121/ 2023  </t>
  </si>
  <si>
    <t>KHALIFA ARCHPIX</t>
  </si>
  <si>
    <t xml:space="preserve">38CKM042-X-9
</t>
  </si>
  <si>
    <t>LPO 49/2024</t>
  </si>
  <si>
    <t>amna</t>
  </si>
  <si>
    <t>38QTD048V</t>
  </si>
  <si>
    <t>42QTD048V</t>
  </si>
  <si>
    <t>Received</t>
  </si>
  <si>
    <t>Lpo Sum Inv</t>
  </si>
  <si>
    <t>Lpo Sum Chqs</t>
  </si>
  <si>
    <t>Lpo Value +Vat</t>
  </si>
  <si>
    <t>Lpo Blc</t>
  </si>
  <si>
    <t>Perform Invoice</t>
  </si>
  <si>
    <t>H/M/95/2024</t>
  </si>
  <si>
    <t>Gulf Hills Contracting LL - Store Sales 2 Units</t>
  </si>
  <si>
    <t>Omar Yousuf Mohamed Al Hajji Al Falasi</t>
  </si>
  <si>
    <t>Store Sales ( 2 ) A/C units 3.5Tonz ( 2 units x 4595 AED )</t>
  </si>
  <si>
    <t>Variation works Of Grill</t>
  </si>
  <si>
    <t>A/C works - Advance Amount 15% of Contract</t>
  </si>
  <si>
    <t>Al Mizhar Second - DUBAI</t>
  </si>
  <si>
    <t>H/M/109/2024</t>
  </si>
  <si>
    <t>20/2024</t>
  </si>
  <si>
    <t xml:space="preserve"> Villa ( G + 1) Villa + Service Block</t>
  </si>
  <si>
    <t>var 3500 grill color</t>
  </si>
  <si>
    <t>Payment trns</t>
  </si>
  <si>
    <t>H/M/142/2024</t>
  </si>
  <si>
    <t>7226 RJ</t>
  </si>
  <si>
    <t>LPO 79/2023</t>
  </si>
  <si>
    <t xml:space="preserve">FB4CSL036L00
</t>
  </si>
  <si>
    <t xml:space="preserve">42KHB030HN
</t>
  </si>
  <si>
    <t xml:space="preserve">38KHG018H
</t>
  </si>
  <si>
    <t xml:space="preserve">42KHG024H
</t>
  </si>
  <si>
    <t xml:space="preserve">50ZPM-60A9A1A0A0AS
</t>
  </si>
  <si>
    <t>LPO 04/ 2024</t>
  </si>
  <si>
    <t>RASHED SALIM JUMAIRH</t>
  </si>
  <si>
    <t>AMMAR HUMDAN HABIB</t>
  </si>
  <si>
    <t>LPO 07/ 2024</t>
  </si>
  <si>
    <t xml:space="preserve">Farouq Mohamed Ameen Marzoki </t>
  </si>
  <si>
    <t>FTB-002DX13-24V</t>
  </si>
  <si>
    <t>LPO 48/2022</t>
  </si>
  <si>
    <t>OSMAN . AHLI</t>
  </si>
  <si>
    <t>lpo 2-2024</t>
  </si>
  <si>
    <t>LPO 02 / 2024</t>
  </si>
  <si>
    <t>Mohamed Muhayer</t>
  </si>
  <si>
    <t>lpo120-2023</t>
  </si>
  <si>
    <t>lpo 3-2024</t>
  </si>
  <si>
    <t>lpo 18-2024</t>
  </si>
  <si>
    <t>[Chq.911 Val= 11078]</t>
  </si>
  <si>
    <t xml:space="preserve">  AL Hazam TRN# 100231719400003</t>
  </si>
  <si>
    <t>H/M/143/2024</t>
  </si>
  <si>
    <t>7544 RJ</t>
  </si>
  <si>
    <t>H/M/144/2024</t>
  </si>
  <si>
    <t>7559 RJ</t>
  </si>
  <si>
    <t>August-24</t>
  </si>
  <si>
    <t>Over T -Friday 2/8</t>
  </si>
  <si>
    <t>OT 1 Hr*28Days 3-8 : 30-8</t>
  </si>
  <si>
    <t>August  Total</t>
  </si>
  <si>
    <t>H/M/143/2023</t>
  </si>
  <si>
    <t>H/M/150/2023</t>
  </si>
  <si>
    <t>H/M/01/2023</t>
  </si>
  <si>
    <t>H/M/189/2023</t>
  </si>
  <si>
    <t>H/M/05/2024</t>
  </si>
  <si>
    <t>H/M/12R/2024</t>
  </si>
  <si>
    <t>H/M/98/2024</t>
  </si>
  <si>
    <t>stroe</t>
  </si>
  <si>
    <t>H/M/96/2024</t>
  </si>
  <si>
    <t>20% advance of ac works</t>
  </si>
  <si>
    <t xml:space="preserve">Naeema Saleh Ahmad Abdullah </t>
  </si>
  <si>
    <t>Marzok almatroshi</t>
  </si>
  <si>
    <t>Osman Ahli</t>
  </si>
  <si>
    <t xml:space="preserve"> 38KHB030HN</t>
  </si>
  <si>
    <t>H/M/03/2024</t>
  </si>
  <si>
    <t>MOHAMED ABDULLAH JASSEM</t>
  </si>
  <si>
    <t>FTB-002DX21-24V</t>
  </si>
  <si>
    <t>Mubark  Al Meheri</t>
  </si>
  <si>
    <t xml:space="preserve">38KHG024H
</t>
  </si>
  <si>
    <t xml:space="preserve">FTB-002DX13-24V
</t>
  </si>
  <si>
    <t>42TKS024-71UCR1</t>
  </si>
  <si>
    <t>42TKS036-71UCR1</t>
  </si>
  <si>
    <t>42TKS048-71UCR1</t>
  </si>
  <si>
    <t xml:space="preserve">Omran Saif </t>
  </si>
  <si>
    <t>50TCMD09A9A1-0B0A0</t>
  </si>
  <si>
    <t>50TCMA07A9A1-0B0A0</t>
  </si>
  <si>
    <t>50TCMD12A9A1-0B0A0</t>
  </si>
  <si>
    <t>H/M/112/2023</t>
  </si>
  <si>
    <t>Harith Ahmed Abdullah Zarooni</t>
  </si>
  <si>
    <t xml:space="preserve">42TKS024-71UCR1
</t>
  </si>
  <si>
    <t xml:space="preserve">42TKS036-71UCR1
</t>
  </si>
  <si>
    <t xml:space="preserve">42TKS048-71UCR1
</t>
  </si>
  <si>
    <t xml:space="preserve">42TKS060-71UCR1
</t>
  </si>
  <si>
    <t xml:space="preserve"> 50TCMD12A9A1-0B0A0
</t>
  </si>
  <si>
    <t xml:space="preserve">FTB-002DX21-24V
</t>
  </si>
  <si>
    <t>H/M/15/2023</t>
  </si>
  <si>
    <t xml:space="preserve">SAIF . IDEAL Abbas /Omran Saif </t>
  </si>
  <si>
    <t>chq 11004Aed 4-8</t>
  </si>
  <si>
    <t>Not New lpo-complete 48-2022 lpo</t>
  </si>
  <si>
    <t>&amp;lpo 98-2024 complete it</t>
  </si>
  <si>
    <t>Ogeneral LPO 124/2024 @14122 AED [Chq.906 Val= 11015]</t>
  </si>
  <si>
    <t>2 lpos for project 129R/2023 @205589 after dis 4558</t>
  </si>
  <si>
    <t>[3160147127 Val= 17314] [3160147180 Val= 6678] [Climate Masters - 4 units *4510 @18942 ]</t>
  </si>
  <si>
    <t>\3160147125 val = 18957 [3160147211 Val= 8295]</t>
  </si>
  <si>
    <t>LPO 129 R/ 2023</t>
  </si>
  <si>
    <t>FTB-002DX13-24V-W</t>
  </si>
  <si>
    <t>40CAS-L6</t>
  </si>
  <si>
    <t xml:space="preserve">LPO 09 R/ 2024  </t>
  </si>
  <si>
    <t xml:space="preserve">[3160146601 Val= 14385] 1 carrier A/C from our own store@4570    ***  Climate Masters - 1 units *4510 </t>
  </si>
  <si>
    <t xml:space="preserve">38KHB030HN
</t>
  </si>
  <si>
    <t>Shihab Ahmed Darwish Saleh</t>
  </si>
  <si>
    <t>[Chq.907 Val= 25615 ]</t>
  </si>
  <si>
    <t>ملحوظه تم استلام كل الكميات ؟!!</t>
  </si>
  <si>
    <t>Total Chqs Paid</t>
  </si>
  <si>
    <t>Total Invoices Received</t>
  </si>
  <si>
    <t>Balance of Paid and not received</t>
  </si>
  <si>
    <t>Balance Not Paid yet for LPO</t>
  </si>
  <si>
    <t>المتبقي من الشيكات المدفوعه</t>
  </si>
  <si>
    <t xml:space="preserve">المتبقي من طلب الشراء </t>
  </si>
  <si>
    <t xml:space="preserve">27 Project </t>
  </si>
  <si>
    <t>LPO Quantity</t>
  </si>
  <si>
    <t>Received Quantity</t>
  </si>
  <si>
    <t>Balance Quantity</t>
  </si>
  <si>
    <t>increase mr.sijeesh</t>
  </si>
  <si>
    <t>commission -Areej/Pro. 282 Omar yousef</t>
  </si>
  <si>
    <t>No LPO</t>
  </si>
  <si>
    <t>H/M/123/2022</t>
  </si>
  <si>
    <t>Suhail mohamed</t>
  </si>
  <si>
    <t>H/M/145/2024</t>
  </si>
  <si>
    <t>Discount</t>
  </si>
  <si>
    <t>H/M/97/2024</t>
  </si>
  <si>
    <t>Retention</t>
  </si>
  <si>
    <t xml:space="preserve">   AL Hazam TRN# 100231719400003</t>
  </si>
  <si>
    <t>Advance %</t>
  </si>
  <si>
    <t>Retention %</t>
  </si>
  <si>
    <t>Mohamed Abdullah Jaseem</t>
  </si>
  <si>
    <t xml:space="preserve">Private Villa ( Ground + SERVICE BLOCK ) </t>
  </si>
  <si>
    <t xml:space="preserve">  Previous payments</t>
  </si>
  <si>
    <t xml:space="preserve">100 % of A/C Installtion Contract +  Viration works  At villa </t>
  </si>
  <si>
    <t>H/M/99/2024</t>
  </si>
  <si>
    <t>Payment trnsRec. 1803</t>
  </si>
  <si>
    <t>Payment trnsRec. 1804</t>
  </si>
  <si>
    <t>Mohamed Saif Mohamed Al shamsi</t>
  </si>
  <si>
    <t>NAEEA Benwas</t>
  </si>
  <si>
    <t>Ismail  archpix</t>
  </si>
  <si>
    <t>7646 RJ</t>
  </si>
  <si>
    <t>H/M/146/2024</t>
  </si>
  <si>
    <t>Pre Fabricated G1 Duct  0.7mm</t>
  </si>
  <si>
    <t>Payment Cheque no # cash /Sepreted vairation paid 23100</t>
  </si>
  <si>
    <t xml:space="preserve"> Variation Grill color change</t>
  </si>
  <si>
    <t>H/M/100/2024</t>
  </si>
  <si>
    <t>Dubai Sky Contracting L.L.C    \Project:-Adnan Ameen Mohamed Ali Al Marzouqi</t>
  </si>
  <si>
    <t>Payment trnsRec. 1805</t>
  </si>
  <si>
    <t>Payment trnsRec. 1807Rec. advance 20% inv 96-2024</t>
  </si>
  <si>
    <t>SAEED BELOSHI Dynamic</t>
  </si>
  <si>
    <t>Payment trnsRec. 1808Rec. Final payment inv 61-2024</t>
  </si>
  <si>
    <t>Payment 4007Rec. 1809Rec. Advance 15% invoice 57-2024</t>
  </si>
  <si>
    <t>chq 11004Aed 4-8[3160147500 Val= 11004]</t>
  </si>
  <si>
    <t>Ogeneral LPO 124/2024 @14122 AED [Chq.906 Val= 11015][3160147498 Val= 11014]</t>
  </si>
  <si>
    <t>[Chq.911 Val= 11078][3160147499 Val= 11518]</t>
  </si>
  <si>
    <t>[3160147127 Val= 17314] [3160147180 Val= 6678] [Climate Masters - 4 units *4510 @18942 ][3160147501 Val= 31122]</t>
  </si>
  <si>
    <t>ADEL DEELEB AHMAD MOHAMMED</t>
  </si>
  <si>
    <t>21/2024</t>
  </si>
  <si>
    <t>84R/2024</t>
  </si>
  <si>
    <t>H/M/101/2024</t>
  </si>
  <si>
    <t xml:space="preserve">Advance 15 % Of Contract Value - A/C Installation </t>
  </si>
  <si>
    <t>Sijeesh Exp july 24</t>
  </si>
  <si>
    <t>H/M/147/2024</t>
  </si>
  <si>
    <t>N</t>
  </si>
  <si>
    <t>H/M/32/2024</t>
  </si>
  <si>
    <t>ESSA KHALIFA ALI</t>
  </si>
  <si>
    <t>42TKS030-71UCR1</t>
  </si>
  <si>
    <t>42TKS042-71UCR1</t>
  </si>
  <si>
    <t>42TKS060-71UCR1</t>
  </si>
  <si>
    <t>H/M/34/2024</t>
  </si>
  <si>
    <t>Adnan Ameen</t>
  </si>
  <si>
    <t xml:space="preserve">Omar Yousuf Mohamed </t>
  </si>
  <si>
    <t>OMAR SULTAN AL SHERIF</t>
  </si>
  <si>
    <t>Abdullah Khaled Mizar</t>
  </si>
  <si>
    <t>Have Quo =</t>
  </si>
  <si>
    <t>Have Email =</t>
  </si>
  <si>
    <t>No reply</t>
  </si>
  <si>
    <t>   115,920</t>
  </si>
  <si>
    <t>   104,755</t>
  </si>
  <si>
    <t>MACS -Al Muthathawerah</t>
  </si>
  <si>
    <t>RLSD     2slot x 20mm x 5100mm</t>
  </si>
  <si>
    <t>RLSD     2slot x 20mm x 4400mm</t>
  </si>
  <si>
    <t>RLSD     2slot x 20mm x 6200mm</t>
  </si>
  <si>
    <t>RLSD     2slot x 20mm x 1900mm</t>
  </si>
  <si>
    <t>RLSD     2slot x 20mm x 2550mm</t>
  </si>
  <si>
    <t>RLSD     2slot x 20mm x 5450mm</t>
  </si>
  <si>
    <t>RLSD     2slot x 20mm x 1200mm</t>
  </si>
  <si>
    <t>RLSD     3slot x 20mm x 4200mm</t>
  </si>
  <si>
    <t>RLSD     3slot x 20mm x 6800mm</t>
  </si>
  <si>
    <t>RLSD     3slot x 20mm x 7250mm</t>
  </si>
  <si>
    <t>RLSD     3slot x 20mm x 3980mm</t>
  </si>
  <si>
    <t>RLSD     3slot x 20mm x 3900mm</t>
  </si>
  <si>
    <t>RLSD     3slot x 20mm x 4000mm</t>
  </si>
  <si>
    <t>RLBG     4050mm x 90mm</t>
  </si>
  <si>
    <t>RLBG     5450mm x 90mm</t>
  </si>
  <si>
    <t>RLBG     6600mm x 90mm</t>
  </si>
  <si>
    <t>RLBG     4300mm x 90mm</t>
  </si>
  <si>
    <t>RLBG     3850mm x 90mm</t>
  </si>
  <si>
    <t>RLBG     4350mm x 90mm</t>
  </si>
  <si>
    <t>EAL + WM     150mm x 150mm</t>
  </si>
  <si>
    <t>EAL + WM     200mm x 200mm</t>
  </si>
  <si>
    <t>RAD 4WS     225mm x 225mm</t>
  </si>
  <si>
    <t>H/M/148/2024</t>
  </si>
  <si>
    <t>77621 [9]</t>
  </si>
  <si>
    <t>H/M/18/2024</t>
  </si>
  <si>
    <t xml:space="preserve">Payment 4023Rec. 1811Rec. inv 87-2024 - include 50% var </t>
  </si>
  <si>
    <t>H/M/149/2024</t>
  </si>
  <si>
    <t>20 mm Ductmate Flange</t>
  </si>
  <si>
    <t>Duct Mate Corner 20mm</t>
  </si>
  <si>
    <t>20 mm Ductmate Cleat</t>
  </si>
  <si>
    <t>Pre Fabricated GI Duct 0.7mm</t>
  </si>
  <si>
    <t>Pre Fabricated GI Duct 0.9 Gg</t>
  </si>
  <si>
    <t>RJ 7832</t>
  </si>
  <si>
    <t>H/M/150/2024</t>
  </si>
  <si>
    <t>SO30455</t>
  </si>
  <si>
    <t xml:space="preserve">SA ( Sound Attanuator ) (90.0 X 40.0 X 100.0) CM </t>
  </si>
  <si>
    <t>H/M/151/2024</t>
  </si>
  <si>
    <t>7847 rj</t>
  </si>
  <si>
    <t>H/M/102/2024</t>
  </si>
  <si>
    <t xml:space="preserve">Private Villa (G + 1 ) </t>
  </si>
  <si>
    <t>Ertkaz building contracting LLC          /Meshal Mohammad Saqer Ismail Harqoos</t>
  </si>
  <si>
    <t>Collected</t>
  </si>
  <si>
    <t>In</t>
  </si>
  <si>
    <t>Out</t>
  </si>
  <si>
    <t>Chq</t>
  </si>
  <si>
    <t>Last update</t>
  </si>
  <si>
    <t>Invoices</t>
  </si>
  <si>
    <t>Contracts</t>
  </si>
  <si>
    <t>Sales  - Invoices</t>
  </si>
  <si>
    <t>Onwer</t>
  </si>
  <si>
    <t>Sales 1 / Maint. 2</t>
  </si>
  <si>
    <t>G:\Other computers\My Laptop\NEW ALHAZAM\INVOICES\2024 INVOICES\</t>
  </si>
  <si>
    <t xml:space="preserve">Purchases - LPO     </t>
  </si>
  <si>
    <t>H/M/152/2024</t>
  </si>
  <si>
    <t>Sum Lpos</t>
  </si>
  <si>
    <t xml:space="preserve">Sum Vat </t>
  </si>
  <si>
    <t>Lpos Purchased</t>
  </si>
  <si>
    <t>VAT Paid</t>
  </si>
  <si>
    <t>Chq Paid</t>
  </si>
  <si>
    <t>Inv. Received</t>
  </si>
  <si>
    <t>Balance Not Received</t>
  </si>
  <si>
    <t>Sum</t>
  </si>
  <si>
    <t>Paid</t>
  </si>
  <si>
    <t xml:space="preserve">Receivced </t>
  </si>
  <si>
    <t xml:space="preserve">Unreceived </t>
  </si>
  <si>
    <t>Payable Value</t>
  </si>
  <si>
    <t>Net Purchases / Sales</t>
  </si>
  <si>
    <t>Individual</t>
  </si>
  <si>
    <t>Vat Collected</t>
  </si>
  <si>
    <t xml:space="preserve">Retention </t>
  </si>
  <si>
    <t>Purchases</t>
  </si>
  <si>
    <t>Spend/Contract</t>
  </si>
  <si>
    <t>Collect/Contract</t>
  </si>
  <si>
    <t>Projects  Analysize</t>
  </si>
  <si>
    <t>G:\Other computers\My Laptop\NEW ALHAZAM\PROJECTS\</t>
  </si>
  <si>
    <t>Pre Fabricated GI Duct .56 Gg</t>
  </si>
  <si>
    <t>Pre Fabricated GI Duct  0.7 mm</t>
  </si>
  <si>
    <t xml:space="preserve">C Cleat </t>
  </si>
  <si>
    <t>RJ 7897</t>
  </si>
  <si>
    <t xml:space="preserve">Consulting </t>
  </si>
  <si>
    <t>June</t>
  </si>
  <si>
    <t>July</t>
  </si>
  <si>
    <t>August</t>
  </si>
  <si>
    <t>September</t>
  </si>
  <si>
    <t>October</t>
  </si>
  <si>
    <t>Novmber</t>
  </si>
  <si>
    <t>Coll %</t>
  </si>
  <si>
    <t>Coll.</t>
  </si>
  <si>
    <t>December</t>
  </si>
  <si>
    <t>Purs / Coll %</t>
  </si>
  <si>
    <t>Finishe Progress</t>
  </si>
  <si>
    <t xml:space="preserve">Purchase </t>
  </si>
  <si>
    <t>Ratios   %</t>
  </si>
  <si>
    <t xml:space="preserve">100 : 91 </t>
  </si>
  <si>
    <t xml:space="preserve">90 : 81 </t>
  </si>
  <si>
    <t xml:space="preserve">80 : 71 </t>
  </si>
  <si>
    <t xml:space="preserve">70 : 61 </t>
  </si>
  <si>
    <t>40 : 0</t>
  </si>
  <si>
    <t>50 : 41</t>
  </si>
  <si>
    <t>60 : 51</t>
  </si>
  <si>
    <t>Projects Analysize</t>
  </si>
  <si>
    <t>Total Coll.</t>
  </si>
  <si>
    <t>Total Pur.</t>
  </si>
  <si>
    <t xml:space="preserve">5/8 Off </t>
  </si>
  <si>
    <t>Vacation last work day 15-8 Back @31-8</t>
  </si>
  <si>
    <t>Start 8-8 After Vacation + Fines Blc@ 500 AED</t>
  </si>
  <si>
    <t>7914 RJ</t>
  </si>
  <si>
    <t xml:space="preserve">Pre Fabricated G1 Duct 0.7 mm </t>
  </si>
  <si>
    <t>H/M/153/2024</t>
  </si>
  <si>
    <t>Var.</t>
  </si>
  <si>
    <t xml:space="preserve">Balance </t>
  </si>
  <si>
    <t>Purs / Cont %</t>
  </si>
  <si>
    <t xml:space="preserve">Totals </t>
  </si>
  <si>
    <t>Value + Var. + VAT</t>
  </si>
  <si>
    <t>Off 1 day @ 31/8 // slry paid cash from mr.sijeesh</t>
  </si>
  <si>
    <t>5/8 Half Day sick  + 6/8 Off Sick leave  No Deduct</t>
  </si>
  <si>
    <t>Ansari Fees</t>
  </si>
  <si>
    <t>Paid In Cash</t>
  </si>
  <si>
    <t>Chq Value</t>
  </si>
  <si>
    <t>+</t>
  </si>
  <si>
    <t>-</t>
  </si>
  <si>
    <t xml:space="preserve">Chq  926 @ 31-8-2024   // Rec 1968 </t>
  </si>
  <si>
    <t>H/M/148R/2024</t>
  </si>
  <si>
    <t>Hamad Abdullah  Al swaidi</t>
  </si>
  <si>
    <t>Last Inv No</t>
  </si>
  <si>
    <t>Last Inv Date</t>
  </si>
  <si>
    <t>Lastinv No</t>
  </si>
  <si>
    <t>Lastinv Date</t>
  </si>
  <si>
    <t>Inv Type</t>
  </si>
  <si>
    <t>LastInv value</t>
  </si>
  <si>
    <t>LastInv vat</t>
  </si>
  <si>
    <t>LastInv -paid value</t>
  </si>
  <si>
    <t>Val + VAT</t>
  </si>
  <si>
    <t>count of invs</t>
  </si>
  <si>
    <t>Invs Count</t>
  </si>
  <si>
    <t>Balance to Coll</t>
  </si>
  <si>
    <t>Purs %</t>
  </si>
  <si>
    <t>Coll.   &amp;  Purchases</t>
  </si>
  <si>
    <t>O.H</t>
  </si>
  <si>
    <t>Profit  %</t>
  </si>
  <si>
    <t>Profit</t>
  </si>
  <si>
    <t>Profit AED</t>
  </si>
  <si>
    <t>Over Head</t>
  </si>
  <si>
    <t>Blc performa</t>
  </si>
  <si>
    <t>Show&amp;Hide</t>
  </si>
  <si>
    <t xml:space="preserve"> Purs</t>
  </si>
  <si>
    <t xml:space="preserve"> O.H</t>
  </si>
  <si>
    <t>Sales &amp; Invoices</t>
  </si>
  <si>
    <t>Purchases &amp; Lpos</t>
  </si>
  <si>
    <t>Assests</t>
  </si>
  <si>
    <t>Bank Acc.</t>
  </si>
  <si>
    <t>Eng.Moh Acc</t>
  </si>
  <si>
    <t>Mr.Sijeesh Acc</t>
  </si>
  <si>
    <t>Income</t>
  </si>
  <si>
    <t>Expenses O.H</t>
  </si>
  <si>
    <t>November</t>
  </si>
  <si>
    <t>Debit</t>
  </si>
  <si>
    <t>Credit</t>
  </si>
  <si>
    <t xml:space="preserve">receipt </t>
  </si>
  <si>
    <t>Project ID</t>
  </si>
  <si>
    <t>H/M/154/2024</t>
  </si>
  <si>
    <t>7960  JJ</t>
  </si>
  <si>
    <t>7962  JJ</t>
  </si>
  <si>
    <t>H/M/155/2024</t>
  </si>
  <si>
    <t>Pre Fabricated G1 Duct 0.7mm</t>
  </si>
  <si>
    <t>xxxx</t>
  </si>
  <si>
    <t>cash Purchases</t>
  </si>
  <si>
    <t xml:space="preserve"> Payable Chqs</t>
  </si>
  <si>
    <t>Collectable Chqs</t>
  </si>
  <si>
    <t>September-24</t>
  </si>
  <si>
    <t>july invoices  MACS</t>
  </si>
  <si>
    <t>H/M/156/2024</t>
  </si>
  <si>
    <t>RAG DD   3300mm x 150mm</t>
  </si>
  <si>
    <t>RAG DD   3520mm x 150mm</t>
  </si>
  <si>
    <t>RAG DD   1000mm x 150mm</t>
  </si>
  <si>
    <t>RAG DD   850mm x 150mm</t>
  </si>
  <si>
    <t>RAG DD   950mm x 150mm</t>
  </si>
  <si>
    <t>RAG DD   750mm x 150mm</t>
  </si>
  <si>
    <t>RAD 4WS   300mm x 300mm</t>
  </si>
  <si>
    <t>RAD 4WS   225mm x 225mm</t>
  </si>
  <si>
    <t>EAL + WM   150mm x 150mm</t>
  </si>
  <si>
    <t>EAL + WM   200mm x 200mm</t>
  </si>
  <si>
    <t>H/M/157/2024</t>
  </si>
  <si>
    <t>RAG DD  850mm x  150mm</t>
  </si>
  <si>
    <t>RAG DD  900mm x 150mm</t>
  </si>
  <si>
    <t xml:space="preserve">RAG DD  950mm x 150mm </t>
  </si>
  <si>
    <t>RAG DD  1050mm x  150mm</t>
  </si>
  <si>
    <t xml:space="preserve">RAD 4WS  225mm x  225mm </t>
  </si>
  <si>
    <t>RAD 4WS   375mm x 375mm</t>
  </si>
  <si>
    <t>RLSD  2slot x 20mm x 1500mm</t>
  </si>
  <si>
    <t>H/M/158/2024</t>
  </si>
  <si>
    <t>123RASGA18-FD</t>
  </si>
  <si>
    <t>123RASGA24-FD</t>
  </si>
  <si>
    <t>120RASGA36-FU</t>
  </si>
  <si>
    <t xml:space="preserve"> Ref S65178</t>
  </si>
  <si>
    <t xml:space="preserve"> Pre Fabricated Gi GI DUCT 0.56 MM</t>
  </si>
  <si>
    <t>H/M/159/2024</t>
  </si>
  <si>
    <t>8009 JJ</t>
  </si>
  <si>
    <t>H/M/160/2024</t>
  </si>
  <si>
    <t>H/M/161/2024</t>
  </si>
  <si>
    <t>start  6-7-2024 after vacation &amp; + leave salary @450 AED  ( from 4/2023 to 30/4/2024</t>
  </si>
  <si>
    <t xml:space="preserve">Collection - Muhayer 216 /Inv 77-2024 Cash </t>
  </si>
  <si>
    <t>Sales Invoice</t>
  </si>
  <si>
    <t>Post</t>
  </si>
  <si>
    <t>p</t>
  </si>
  <si>
    <t>un paid lpos</t>
  </si>
  <si>
    <t xml:space="preserve"> Supplier LPOS</t>
  </si>
  <si>
    <t>=</t>
  </si>
  <si>
    <t>unpaid lpos</t>
  </si>
  <si>
    <t>Carrier  Summry</t>
  </si>
  <si>
    <t>All</t>
  </si>
  <si>
    <t>Pre Fabricated Gi Duct 0.56 Gg</t>
  </si>
  <si>
    <t>8048 RJ</t>
  </si>
  <si>
    <t>H/M/162/2024</t>
  </si>
  <si>
    <t xml:space="preserve">Pre Fabricated Gi Duct 0.56 Gg </t>
  </si>
  <si>
    <t xml:space="preserve">S Cleet </t>
  </si>
  <si>
    <t xml:space="preserve">8047 RJ </t>
  </si>
  <si>
    <t>[14295 Val= 58][14295 Val= 58]</t>
  </si>
  <si>
    <t>[14588 Val= 525.82]</t>
  </si>
  <si>
    <t>[14609 Val= 54.6]</t>
  </si>
  <si>
    <t>[14630 Val= 1337.3]</t>
  </si>
  <si>
    <t>[14859 Val= 2307.5]</t>
  </si>
  <si>
    <t>[14984 Val= 2081.2]</t>
  </si>
  <si>
    <t>[14959 Val= 219.03]</t>
  </si>
  <si>
    <t>[15026 Val= 181.63]</t>
  </si>
  <si>
    <t>[15038 Val= 166.8]</t>
  </si>
  <si>
    <t>[15106 Val= 311.44]</t>
  </si>
  <si>
    <t>[15128 Val= 1293.11]</t>
  </si>
  <si>
    <t>[15146 Val= 154]</t>
  </si>
  <si>
    <t>[000 Val= 142]</t>
  </si>
  <si>
    <t>Purchases - Sijeesh 8- 2024</t>
  </si>
  <si>
    <t>Cash In Hand</t>
  </si>
  <si>
    <t>H/M/103/2024</t>
  </si>
  <si>
    <t>H/M/106/2024</t>
  </si>
  <si>
    <t xml:space="preserve">A/C works - 90% of Contracted Value </t>
  </si>
  <si>
    <t xml:space="preserve"> -  Previous payments</t>
  </si>
  <si>
    <t>High Beam Contracting L.L.C   /  Pro:-    Mohamed Saif Abdullah AL wael</t>
  </si>
  <si>
    <t>H/M/104/2024</t>
  </si>
  <si>
    <t>H/M/105/2024</t>
  </si>
  <si>
    <t>Piping work &amp; Exhaust fan    100%</t>
  </si>
  <si>
    <t xml:space="preserve">Variation- Increase In A/C machine Units By supplier </t>
  </si>
  <si>
    <t>Testing &amp; Commissioning.      100%</t>
  </si>
  <si>
    <t>manintenace                              100%</t>
  </si>
  <si>
    <t xml:space="preserve">Contract Value </t>
  </si>
  <si>
    <t>H/M/163/2024</t>
  </si>
  <si>
    <t>INVOICE 03 - MYHAIR.pdf</t>
  </si>
  <si>
    <t>INVOICE 01 . ( Moza Villa ).pdf</t>
  </si>
  <si>
    <t>INVOICE 05 - SALIM SALMIN JUMAIRAH.pdf</t>
  </si>
  <si>
    <t>INVOICE 07 - mohamed saif .HBC.pdf</t>
  </si>
  <si>
    <t>INVOICE 02 -  MR.HAMAD.pdf</t>
  </si>
  <si>
    <t>INVOICE 06- MS - HESSA.pdf</t>
  </si>
  <si>
    <t>INVOICE 08 - ESSA KHALIFA.pdf</t>
  </si>
  <si>
    <t>INVOICE 09 .Mr . M .Matroshi.pdf</t>
  </si>
  <si>
    <t>INVOICE 13 -  Ahmed Saif Mohamed Al shamsi.pdf</t>
  </si>
  <si>
    <t>INVOICE 12 -  MR.Hamad Abdullah AlSwedi.pdf</t>
  </si>
  <si>
    <t>INVOICE 16 - SHIHAB ELANAB.pdf</t>
  </si>
  <si>
    <t>INVOICE 10 - Mubarak.pdf</t>
  </si>
  <si>
    <t>INVOICE 19 - MR.Hassan khamis.pdf</t>
  </si>
  <si>
    <t>INVOICE 21 -  MR.SAEED ARCHPIX.pdf</t>
  </si>
  <si>
    <t>INVOICE 17 - ABDULLAH MULLA.pdf</t>
  </si>
  <si>
    <t>INVOICE 18 - Naaema Ertikaz.pdf</t>
  </si>
  <si>
    <t>INVOICE 15 -  SHIHAB ERTIKAZ.pdf</t>
  </si>
  <si>
    <t>INVOICE 23 - MR. IBRAHIM.pdf</t>
  </si>
  <si>
    <t>INVOICE 22 - AMNA. AREEJ.pdf</t>
  </si>
  <si>
    <t>INVOICE 24 - MR. MAJID SHEHI.pdf</t>
  </si>
  <si>
    <t>INVOICE 11 -  MR. SAMAH.pdf</t>
  </si>
  <si>
    <t>INVOICE 30 - Marwan - DR . Ibtesam.pdf</t>
  </si>
  <si>
    <t>INVOICE 31 - Ahmed Ghanim . Asri.pdf</t>
  </si>
  <si>
    <t>INVOICE 32 - MR . Harith Areej.pdf</t>
  </si>
  <si>
    <t>INVOICE 33 - Naaema Ertikaz.pdf</t>
  </si>
  <si>
    <t>INVOICE 29 -  MR.Mohamed Khamis.pdf</t>
  </si>
  <si>
    <t>INVOICE 38 - SHIHAB ELANAB.pdf</t>
  </si>
  <si>
    <t>INVOICE 39 - Harith areej.pdf</t>
  </si>
  <si>
    <t>INVOICE 26 -  MR. MOHAMED JASSEM.pdf</t>
  </si>
  <si>
    <t>INVOICE 40 - Mr Sultan.pdf</t>
  </si>
  <si>
    <t>INVOICE 41 - Mr khalifa muhasina.pdf</t>
  </si>
  <si>
    <t>INVOICE 09R  .Mr . M .Matroshi.pdf</t>
  </si>
  <si>
    <t>INVOICE 31R - Ahmed Ghanim . Asri.pdf</t>
  </si>
  <si>
    <t>INVOICE 43 - khalifa .ARCHPIX.pdf</t>
  </si>
  <si>
    <t>INVOICE 44R1 - MR - SAIF ABBAS . IDEAL.pdf</t>
  </si>
  <si>
    <t>INVOICE 44R - MR - SAIF ABBAS . IDEAL.pdf</t>
  </si>
  <si>
    <t>INVOICE 44- MR - SAIF ABBAS . IDEAL.pdf</t>
  </si>
  <si>
    <t>INVOICE 47 - MYHAIR . ITLIA.pdf</t>
  </si>
  <si>
    <t>INVOICE 48 -  Ahmed Saif Mohamed Al shamsi.pdf</t>
  </si>
  <si>
    <t>INVOICE 49 - MS - HESSA.pdf</t>
  </si>
  <si>
    <t>INVOICE 46 - MOHAMED MYHAIR . ITLIA.pdf</t>
  </si>
  <si>
    <t>INVOICE 52 -  MR. MOHAMED JASSEM.pdf</t>
  </si>
  <si>
    <t>INVOICE 25 -  MR. MOHAMED SAIF.pdf</t>
  </si>
  <si>
    <t>INVOICE 51 - SEVEN SEAS.pdf</t>
  </si>
  <si>
    <t>INVOICE 27 -  MR. NAYAE BENWAS.pdf</t>
  </si>
  <si>
    <t>INVOICE 50 -  MR.SAEED ARCHPIX.pdf</t>
  </si>
  <si>
    <t>INVOICE 53 -  MR. Marzok Matroshi.pdf</t>
  </si>
  <si>
    <t>INVOICE 42 - OMAR SULTAN.pdf</t>
  </si>
  <si>
    <t>INVOICE 54 -  MR. Farooq Marzooki.pdf</t>
  </si>
  <si>
    <t>INVOICE 55 -  MR. AHMED HELAL.pdf</t>
  </si>
  <si>
    <t>INVOICE 56 -  MR. AHMED HELAL.pdf</t>
  </si>
  <si>
    <t>INVOICE 57 -  MR. Meshaal Mohamed.pdf</t>
  </si>
  <si>
    <t>INVOICE 20 -  MR. Rashed alfalasi.pdf</t>
  </si>
  <si>
    <t>INVOICE 60 . Fatima . Dynamic.pdf</t>
  </si>
  <si>
    <t>INVOICE 61 - Mr.SAEED . DYNAMIC.pdf</t>
  </si>
  <si>
    <t>INVOICE 62 - SULTAN . DYNAMIC.pdf</t>
  </si>
  <si>
    <t>INVOICE 58 -  MR. Ammar archpix.pdf</t>
  </si>
  <si>
    <t>INVOICE 63 - SHIKHA ALI.pdf</t>
  </si>
  <si>
    <t>INVOICE 64 - WAHET ALKHAIR . Villa.pdf</t>
  </si>
  <si>
    <t>INVOICE 59- ALI SHEHI.pdf</t>
  </si>
  <si>
    <t>INVOICE 66 -  MR. Salem Sultan.pdf</t>
  </si>
  <si>
    <t>INVOICE 04 - RASHED SALIM JUMAIRAH.pdf</t>
  </si>
  <si>
    <t>INVOICE 67 - OSMAN AHLI.pdf</t>
  </si>
  <si>
    <t>INVOICE 68 -  MRS.FATAM ESSA.pdf</t>
  </si>
  <si>
    <t>INVOICE 69 -  MR.ABDULLRMAN ESSA.pdf</t>
  </si>
  <si>
    <t>INVOICE 70 -  MR.GHAIS (AQUA).pdf</t>
  </si>
  <si>
    <t>INVOICE 71 -  MR.Ismail Dawood Albeidli.pdf</t>
  </si>
  <si>
    <t>INVOICE 72 -  MR. MOHAMED SAIF.pdf</t>
  </si>
  <si>
    <t>INVOICE 73 -  MR.Mohamed saif shamsi.pdf</t>
  </si>
  <si>
    <t>INVOICE 74 -  MR. SAMAH .pdf</t>
  </si>
  <si>
    <t>INVOICE 75 -  SHIHAB ERTIKAZ.pdf</t>
  </si>
  <si>
    <t>INVOICE 76 - Mr.  Abdullah Mulla.pdf</t>
  </si>
  <si>
    <t>INVOICE 77 -  MR.Muhayer Saif - OG order.pdf</t>
  </si>
  <si>
    <t>INVOICE 78 -  MR.Mohamed Muhayer Saif - OG order.pdf</t>
  </si>
  <si>
    <t>INVOICE 79 -  MR. Rashed Ahmed Yousef.pdf</t>
  </si>
  <si>
    <t>INVOICE 80- YAKOOB YOUSEF.pdf</t>
  </si>
  <si>
    <t>INVOICE 81- YAKOOB YOUSEF.pdf</t>
  </si>
  <si>
    <t>INVOICE 82 -  Mrs. Shams Saeed Sultan AL Kitbee.pdf</t>
  </si>
  <si>
    <t>INVOICE 82 -  Mrs. Shams Saeed Sultan AL Kitbee - Copy.pdf</t>
  </si>
  <si>
    <t>INVOICE 83 - Mr.Majed .pdf</t>
  </si>
  <si>
    <t>INVOICE 84 -  Mrs. mohamed abbas .pdf</t>
  </si>
  <si>
    <t>INVOICE 86 -  MR. MOHAMED JASSEM.pdf</t>
  </si>
  <si>
    <t>INVOICE 85 -  Mr Faisel Areej .pdf</t>
  </si>
  <si>
    <t>INVOICE 87 - Naaema Ertikaz .pdf</t>
  </si>
  <si>
    <t>INVOICE 88 -  MR. Ammar archpix .pdf</t>
  </si>
  <si>
    <t>INVOICE 89 - Mrs.shams.pdf</t>
  </si>
  <si>
    <t>INVOICE 88 -  MR. Ammar archpix T .pdf</t>
  </si>
  <si>
    <t>INVOICE 91 - Mrs.Mubark Ismail.PDF</t>
  </si>
  <si>
    <t>INVOICE 90 - Mrs.saeed archpix.pdf</t>
  </si>
  <si>
    <t>INVOICE 92 - Mr.Hassan Kamis.PDF</t>
  </si>
  <si>
    <t>INVOICE 93 -  Store Sales  2 units.pdf</t>
  </si>
  <si>
    <t>INVOICE 95 -Omar Yousuf Mohamed Al Hajji Al Falasi.PDF</t>
  </si>
  <si>
    <t>INVOICE 94 - Mr.Ammar  Tax.PDF</t>
  </si>
  <si>
    <t>INVOICE 97-Essa Khalifa.PDF</t>
  </si>
  <si>
    <t>INVOICE 98   -Mohamed Abdullah Jassem .PDF</t>
  </si>
  <si>
    <t>INVOICE 96 - ABDULLAH WALLMOUNTED .PDF</t>
  </si>
  <si>
    <t>INVOICE 100. - Dubai Sky Mr.Adnan.pdf</t>
  </si>
  <si>
    <t>INVOICE 101   -Mr.ADEL DEELEB .PDF</t>
  </si>
  <si>
    <t>INVOICE 102   -Mr. Meshal Saqer.PDF</t>
  </si>
  <si>
    <t>INVOICE 99   -Mohamed Saif.PDF</t>
  </si>
  <si>
    <t>INVOICE 103   -Mr.Ammar Anwar - Piping Inv .PDF</t>
  </si>
  <si>
    <t>INVOICE 104   -Mr.Ammar Anwar -Variation Price Increase In.PDF</t>
  </si>
  <si>
    <t>INVOICE 105   -Mr.Ammar Anwar Final Inv .PDF</t>
  </si>
  <si>
    <t>INVOICE 106  -High Beam (Mr.Mohamed Saif HBC ).PDF</t>
  </si>
  <si>
    <t>H/M/164/2024</t>
  </si>
  <si>
    <t>255 - ESSA KHALIFA</t>
  </si>
  <si>
    <t>8144 RJ</t>
  </si>
  <si>
    <t>Climate</t>
  </si>
  <si>
    <t>Store</t>
  </si>
  <si>
    <t>[3160146601 Val= 14385] 1 carrier A/C from our own store@4570    ***  Climate Masters - 1 units *4510 [Chq.908 Val= 26964][3160147642 Val= 26964]</t>
  </si>
  <si>
    <t>Sijeesh Exp August 24</t>
  </si>
  <si>
    <t>SEP-2021</t>
  </si>
  <si>
    <t>OCT-2021</t>
  </si>
  <si>
    <t>NOV-2021</t>
  </si>
  <si>
    <t>APR-2023</t>
  </si>
  <si>
    <t>JUL-2024</t>
  </si>
  <si>
    <t>leave salary  450 AED @ 9-2021</t>
  </si>
  <si>
    <t>leave salary  450 AED @ 10-2021</t>
  </si>
  <si>
    <t>leave salary  450 AED @ 11-2021</t>
  </si>
  <si>
    <t>Select Empolyee :-</t>
  </si>
  <si>
    <t>ALL</t>
  </si>
  <si>
    <t>all</t>
  </si>
  <si>
    <t>H/M/107/2024</t>
  </si>
  <si>
    <t xml:space="preserve">A/C Works -    95% Of Contracted Value </t>
  </si>
  <si>
    <t xml:space="preserve">( Deduct ) -   Previouse Payments </t>
  </si>
  <si>
    <t>Muhayer Saif Al Ketbi  -  216</t>
  </si>
  <si>
    <t>H/M/108/2024</t>
  </si>
  <si>
    <t xml:space="preserve">A/C works    100% of contracted Value </t>
  </si>
  <si>
    <t>(Dedcut)   - Previouse Payments</t>
  </si>
  <si>
    <t>Mohamed Saif Al ketbi  -  217</t>
  </si>
  <si>
    <t xml:space="preserve">Selection Change 2 AC units </t>
  </si>
  <si>
    <t>Collection - Moh.Muhayer 217 /Inv 99-2024 Cash  xx</t>
  </si>
  <si>
    <t>A/C Works - Advance 15 % of Contract H/M/22/2024</t>
  </si>
  <si>
    <t>Omar Mohamed Abdullah Ahli  -  286</t>
  </si>
  <si>
    <t>Al Rouya Al Motakamela Architechture Consultants</t>
  </si>
  <si>
    <t>H/M/165/2024</t>
  </si>
  <si>
    <t>H/M/166/2024</t>
  </si>
  <si>
    <t>H/M/110/2024</t>
  </si>
  <si>
    <t>TO Mr.</t>
  </si>
  <si>
    <t xml:space="preserve">Mr. Sultan </t>
  </si>
  <si>
    <t xml:space="preserve">Fan motor - InDoor                                                    QTY  1  </t>
  </si>
  <si>
    <t xml:space="preserve">Capacitor                                                                       QTY  3  </t>
  </si>
  <si>
    <t xml:space="preserve">Fan motor - OutDoor                                                 QTY  2  </t>
  </si>
  <si>
    <t xml:space="preserve">A/C Duct split service                                                QTY  6 </t>
  </si>
  <si>
    <t>Inv 109/2024 - Omar Ahli 286 - advance 15 %  trnsfr</t>
  </si>
  <si>
    <t>Inv 101/2024 - Adel Deeleb 285 - advance 15 %  trnsfr</t>
  </si>
  <si>
    <t>Inv 55/2024 -ahmed helala - varation - Chq 4108</t>
  </si>
  <si>
    <t>Inv 56/2024 -ahmed helala - 100% of work - Chq 4106</t>
  </si>
  <si>
    <t>Inv 102/2024 - meshal saqer 275 -  100% indoor units  - Chq 4107</t>
  </si>
  <si>
    <t xml:space="preserve">Chq 927 - Carrier - Lpo 165/24 -Meshal saqer 275 </t>
  </si>
  <si>
    <t>LPO END</t>
  </si>
  <si>
    <t>LPO END ****</t>
  </si>
  <si>
    <t>[Chq. Val= ]</t>
  </si>
  <si>
    <t>Chq Case</t>
  </si>
  <si>
    <t>c</t>
  </si>
  <si>
    <t>123RARGA25</t>
  </si>
  <si>
    <t>126RAOGA25</t>
  </si>
  <si>
    <t>123RARGA30</t>
  </si>
  <si>
    <t>126RAOGA30</t>
  </si>
  <si>
    <t>120ARGA36FMTB-U</t>
  </si>
  <si>
    <t>124AOGA36FRTDSU</t>
  </si>
  <si>
    <t>120ARGA45FMTD-U</t>
  </si>
  <si>
    <t>124AOGA45FRTDSU</t>
  </si>
  <si>
    <t>120ARGA60FHTB-U</t>
  </si>
  <si>
    <t>124AOGA60FRTBSU</t>
  </si>
  <si>
    <t>740UTY-RVNGU</t>
  </si>
  <si>
    <t>LPO END *****</t>
  </si>
  <si>
    <t>Consultant : - Design Avenue Engineering Consultant</t>
  </si>
  <si>
    <t>Inv 91/2024 - Mubark 233 -  100 work  / trsnfer</t>
  </si>
  <si>
    <t>[2991 Val= 1050][2991 Val= ][2991 Val= 0]</t>
  </si>
  <si>
    <t>39 day</t>
  </si>
  <si>
    <t>OT 1 Hr Days 3-8  to 16-9</t>
  </si>
  <si>
    <t>Invoice Received</t>
  </si>
  <si>
    <t>Chqs Paid</t>
  </si>
  <si>
    <t>Received Invs - Chqs</t>
  </si>
  <si>
    <t>BAB AL TABREED A/C UNITS FIX.CONT lpo 161/24</t>
  </si>
  <si>
    <t>BAB AL TABREED A/C UNITS FIX.CONT lpo 162/24</t>
  </si>
  <si>
    <t>H/M/167/2024</t>
  </si>
  <si>
    <t>None</t>
  </si>
  <si>
    <t>H/M/168/2024</t>
  </si>
  <si>
    <t>shihab villa</t>
  </si>
  <si>
    <t xml:space="preserve">BAB AL TABREED A/C UNITS FIX.CONT lpo 167 </t>
  </si>
  <si>
    <t>BAB AL TABREED A/C UNITS FIX.CONT  lpo 168</t>
  </si>
  <si>
    <t>H/M/169/2024</t>
  </si>
  <si>
    <t>8264 JJ</t>
  </si>
  <si>
    <t>H/M/170/2024</t>
  </si>
  <si>
    <t xml:space="preserve"> RLSD 2slot x 20mm x 700mm</t>
  </si>
  <si>
    <t xml:space="preserve"> RLSD 2slot x 20mm x 1000mm</t>
  </si>
  <si>
    <t xml:space="preserve"> RLSD 2slot x 20mm x 1400mm</t>
  </si>
  <si>
    <t xml:space="preserve"> RLSD 2slot x 20mm x 3200mm</t>
  </si>
  <si>
    <t xml:space="preserve"> RLSD 2slot x 20mm x 3300mm</t>
  </si>
  <si>
    <t xml:space="preserve"> RLSD 2slot x 20mm x 3400mm</t>
  </si>
  <si>
    <t xml:space="preserve"> RLSD 2slot x 20mm x 4100mm</t>
  </si>
  <si>
    <t xml:space="preserve"> RLSD 2slot x 20mm x 4700mm</t>
  </si>
  <si>
    <t xml:space="preserve"> RLSD 2slot x 20mm x 5950mm</t>
  </si>
  <si>
    <t>***LPO END****</t>
  </si>
  <si>
    <t>Color White 9003 + End Cap 45  + Delivery Ras Al Khaima</t>
  </si>
  <si>
    <t xml:space="preserve">Carrie - Lpo 120/2023 Shihab 243 - inv. Recived </t>
  </si>
  <si>
    <t>[Chq.907 Val= 25615 ][3160147497 Val= 22260][3160147737 Val= 3354.75][Inv.3160149324 Val= 2005.5][Chq. Val= 2005]</t>
  </si>
  <si>
    <t>Security Chuques</t>
  </si>
  <si>
    <t>No Date</t>
  </si>
  <si>
    <t>100 % of A/C Installtion Contract</t>
  </si>
  <si>
    <t>H/M/171/2024</t>
  </si>
  <si>
    <t>38QSM060V</t>
  </si>
  <si>
    <t>42QSM060V</t>
  </si>
  <si>
    <t>***LPO END ***</t>
  </si>
  <si>
    <t>Store / Sami Ahmed / Maintainance</t>
  </si>
  <si>
    <t>H/M/172/2024</t>
  </si>
  <si>
    <t>8332JJ</t>
  </si>
  <si>
    <t xml:space="preserve">ABDULLAH . EBTESAM بدون عقد موقع </t>
  </si>
  <si>
    <t xml:space="preserve">Abdullah Mohamed Saif AL Muhari بدون عقد موقع </t>
  </si>
  <si>
    <t>Advance Cheque No # 003422</t>
  </si>
  <si>
    <t>Collection Inv 49/2024 - Hessa</t>
  </si>
  <si>
    <t>\3160147125 val = 18957 [3160147211 Val= 8295][3160147738 Val= 3622.5][Chq. Val= 20244]</t>
  </si>
  <si>
    <t xml:space="preserve">Sales Inv. 100/2024 - Adnan 256 / Chq 12223 </t>
  </si>
  <si>
    <t>\2405983[InvNo.paid Val= 0 Chq= 4900]</t>
  </si>
  <si>
    <t>[112402631 Val= 6234.9][InvNo.chq 932 Val= 0 Chq= 6235]</t>
  </si>
  <si>
    <t>[2406582 Val= 4683.80][InvNo.chq 932 Val= 0 Chq= 4684]</t>
  </si>
  <si>
    <t xml:space="preserve">Chqs Cancelled </t>
  </si>
  <si>
    <t>Replace</t>
  </si>
  <si>
    <t>xxxxx9</t>
  </si>
  <si>
    <t>Sales Inv. 108/2024 - Mohamed muhair 217 /coll. Cash by mr.ahmed</t>
  </si>
  <si>
    <t>NoDate</t>
  </si>
  <si>
    <t xml:space="preserve">pending 2 units 18H 1.5  // 24-9-2024 trsnfer pending blnc 3050.26 AED to LPO 78/2023 adnan 256 </t>
  </si>
  <si>
    <t>leave salary  450 AED @ 6-2023</t>
  </si>
  <si>
    <t>passport hand to him 28-9 //</t>
  </si>
  <si>
    <t>MAJID Al shehhi</t>
  </si>
  <si>
    <t xml:space="preserve">Accounts Analysize  </t>
  </si>
  <si>
    <t>H/M/173/2024</t>
  </si>
  <si>
    <t>8413 RJ</t>
  </si>
  <si>
    <t xml:space="preserve">Coll. Inv 83/24 Majid 285 - trnsfr </t>
  </si>
  <si>
    <t xml:space="preserve">pur.Carr. Lpo 34/24 Adnan 256 inv received </t>
  </si>
  <si>
    <t xml:space="preserve">1500 var gril 1st floor 3/9/24 </t>
  </si>
  <si>
    <t>till 30-5-2024</t>
  </si>
  <si>
    <t>تخصم 2000 درهم / فيزا 600 + 1400 تعديل وضع  / 400 شهري من 9-2024</t>
  </si>
  <si>
    <t xml:space="preserve">Salary Increase @ 300 AED </t>
  </si>
  <si>
    <t>Car Fines Blnc @ 500 AED</t>
  </si>
  <si>
    <t xml:space="preserve">Cut  400 AED  / Visa Charges 2000 -  1St </t>
  </si>
  <si>
    <r>
      <rPr>
        <b/>
        <i/>
        <u/>
        <sz val="9"/>
        <color rgb="FFFF0000"/>
        <rFont val="Arial"/>
        <family val="2"/>
      </rPr>
      <t>Cut 13 Days</t>
    </r>
    <r>
      <rPr>
        <b/>
        <sz val="9"/>
        <rFont val="Arial"/>
        <family val="2"/>
      </rPr>
      <t xml:space="preserve"> (  August/ 8        =  1 off * 3 Penlty      /   +  ( September /9  =  10  Off  from 1:10/9 )</t>
    </r>
  </si>
  <si>
    <t xml:space="preserve">Leave Salary No.6 from 6/2023 to 6/2024 </t>
  </si>
  <si>
    <t xml:space="preserve">Hold </t>
  </si>
  <si>
    <t>leave salary  450 AED @ 9-2024</t>
  </si>
  <si>
    <t>leave salary  450 AED @ 7-2024</t>
  </si>
  <si>
    <t>leave salary  450 AED @ 4-2023</t>
  </si>
  <si>
    <t>Period Sum</t>
  </si>
  <si>
    <t>Chq  948 Value   74942 AED - Ansari</t>
  </si>
  <si>
    <t>H/M/111/2024</t>
  </si>
  <si>
    <t xml:space="preserve">Variation Work /  Grill Shitting at 1st Floor </t>
  </si>
  <si>
    <t>Ammar Anwar Hamdan Habib  -  242</t>
  </si>
  <si>
    <t>H/M/112/2024</t>
  </si>
  <si>
    <t xml:space="preserve">A/C Installing  100 % of contract Value </t>
  </si>
  <si>
    <t xml:space="preserve">Deductable   - Previouse Payments </t>
  </si>
  <si>
    <t>Ertikaz Building Contracting LLC   / Project : - Shihab Ahmed Saleh Ertikaz  -  243</t>
  </si>
  <si>
    <t>Majid Shihi</t>
  </si>
  <si>
    <t>H/M/48/2024</t>
  </si>
  <si>
    <t>Cash Purchases</t>
  </si>
  <si>
    <t xml:space="preserve">Year </t>
  </si>
  <si>
    <t>Carrier   - invoice not printed</t>
  </si>
  <si>
    <t>Inv 2407408 MACS - Lpo 163/24   Rashed Balooshi 278 received</t>
  </si>
  <si>
    <t>Pur.bab al tabreed Inv 15165  / lpo 60 adnan</t>
  </si>
  <si>
    <t>Pur.bab al tabreed Inv 15228  / lpo  173 adnan</t>
  </si>
  <si>
    <t>Pur.bab al tabreed Inv 15278  / lpo 164 essa</t>
  </si>
  <si>
    <t xml:space="preserve">Pur.bab al tabreed Inv 15458  / lpo  169 marzouk </t>
  </si>
  <si>
    <t xml:space="preserve">Pur.bab al tabreed Inv 15530  / lpo 172 farouk </t>
  </si>
  <si>
    <t>Pur.bab al tabreed Inv 15703  / lpo  174 adnan</t>
  </si>
  <si>
    <t>H/M/174/2024</t>
  </si>
  <si>
    <t xml:space="preserve">Deepak - Project Drowings - 279 shams </t>
  </si>
  <si>
    <t xml:space="preserve">Deepak - Project Drowings - 282 Omar yousef </t>
  </si>
  <si>
    <t>Deepak - Project Drowings - 286 Omar Ahli</t>
  </si>
  <si>
    <t>Deepak - Project Drowings - 285 adel deleep</t>
  </si>
  <si>
    <t xml:space="preserve">Pur. Solt / BestChoice inv 50566 - 279 shams </t>
  </si>
  <si>
    <t>[0050323 Val= 7350.42][Chq.930 Val= 7350]</t>
  </si>
  <si>
    <t>All Color   Black //Slot &amp; RAD Color  Blac /// kLower Color White //[0050446 Val= 6400.99][Chq.930 Val= 6401]</t>
  </si>
  <si>
    <t>8454 JJ</t>
  </si>
  <si>
    <t>Pre Fabricated G1 Duct 0.9 Gg</t>
  </si>
  <si>
    <t>H/M/175/2024</t>
  </si>
  <si>
    <t>8465 jj</t>
  </si>
  <si>
    <t>H/M/176/2024</t>
  </si>
  <si>
    <t>8533 RJ</t>
  </si>
  <si>
    <t xml:space="preserve">Bab Al Tabreed   </t>
  </si>
  <si>
    <t>Customers</t>
  </si>
  <si>
    <t>Ahmed Said - Business bay</t>
  </si>
  <si>
    <t>Al safa Buiding (B+G+2)</t>
  </si>
  <si>
    <t>Eissa Villa</t>
  </si>
  <si>
    <t>Nassir villa</t>
  </si>
  <si>
    <t>3okasha projects</t>
  </si>
  <si>
    <t>Hamid Villa</t>
  </si>
  <si>
    <t>Al Ain mosque - Shiekh Salem</t>
  </si>
  <si>
    <t>Yaqoub Yousef villa</t>
  </si>
  <si>
    <t>Gamal villa - Dubai land</t>
  </si>
  <si>
    <t>Nagedad Villa - Waheda</t>
  </si>
  <si>
    <t>Ibrahem Villa</t>
  </si>
  <si>
    <t>Munzeer Villa</t>
  </si>
  <si>
    <t>Yasser Asker</t>
  </si>
  <si>
    <t>Gassem Villa</t>
  </si>
  <si>
    <t>G + 2 Ajman</t>
  </si>
  <si>
    <t>Jamil Villa</t>
  </si>
  <si>
    <t>Ahmed Soliman - Al Barsha</t>
  </si>
  <si>
    <t>Zabeel Villa</t>
  </si>
  <si>
    <t>The Villa</t>
  </si>
  <si>
    <t>g + 6 Depa</t>
  </si>
  <si>
    <t>Mohamed Hassan Villa</t>
  </si>
  <si>
    <t>Saif Mubark Villa</t>
  </si>
  <si>
    <t>Khamis Al Shimasi</t>
  </si>
  <si>
    <t>Marwan Villa</t>
  </si>
  <si>
    <t>Ayyad villa</t>
  </si>
  <si>
    <t>Al Nass Typing</t>
  </si>
  <si>
    <t>Dubai Marina</t>
  </si>
  <si>
    <t>Tecom - YAsser Asker</t>
  </si>
  <si>
    <t>Khawaneej Villa - Maintenance</t>
  </si>
  <si>
    <t>6 Villa Mirdif - Maintenance</t>
  </si>
  <si>
    <t>Eng - Rafee</t>
  </si>
  <si>
    <t>Sultan Maintenance 4 Machines</t>
  </si>
  <si>
    <t>Dynamic Zone - Belal</t>
  </si>
  <si>
    <t>Progress 4 Machines</t>
  </si>
  <si>
    <t>Mizhir Villa - Khalid Eissa - Progress</t>
  </si>
  <si>
    <t>Al Jihan - The Villa</t>
  </si>
  <si>
    <t>Sherif Mall</t>
  </si>
  <si>
    <t>6 - Villa / Abd Al Rehim</t>
  </si>
  <si>
    <t>Romeo - Villa In Palm Jumerah</t>
  </si>
  <si>
    <t>romeo - Villa Inpalm Jumera 2</t>
  </si>
  <si>
    <t>Oil FZCO</t>
  </si>
  <si>
    <t>Reda - Dynamic Zone</t>
  </si>
  <si>
    <t>Depa ( G + 6 )</t>
  </si>
  <si>
    <t>sheikh Salim Villa - Main</t>
  </si>
  <si>
    <t>Depa - Main</t>
  </si>
  <si>
    <t>Laisaly</t>
  </si>
  <si>
    <t>Khawaneej Comporessor - Main</t>
  </si>
  <si>
    <t>Mohamed Sultan - Ajman</t>
  </si>
  <si>
    <t>Al Qusais - Main</t>
  </si>
  <si>
    <t>Al Qusais Main 2</t>
  </si>
  <si>
    <t>Jodran - Al Warqaa Villa - Main</t>
  </si>
  <si>
    <t>Trans Gulf Cement Products</t>
  </si>
  <si>
    <t>Ibrahem Elwan - Main</t>
  </si>
  <si>
    <t>Install 2 Unit In Naif</t>
  </si>
  <si>
    <t>Laisy - Comprosser</t>
  </si>
  <si>
    <t>JASEM VILLA</t>
  </si>
  <si>
    <t>Ahmed Al Khayat</t>
  </si>
  <si>
    <t>Ali Hassan Said</t>
  </si>
  <si>
    <t>Erum Evais</t>
  </si>
  <si>
    <t>Nooh Mohamed Al tamimi</t>
  </si>
  <si>
    <t>Ethar Contracting</t>
  </si>
  <si>
    <t>Khamis Al Amimi</t>
  </si>
  <si>
    <t>ZAHRA HUSEEN - AJMAN</t>
  </si>
  <si>
    <t>HESHAM - AL ANAAB CONTRACTING</t>
  </si>
  <si>
    <t>MAJED AL SEWEDY</t>
  </si>
  <si>
    <t>MARAWAN DAYNAMIC ZONE</t>
  </si>
  <si>
    <t>Sultan Farm</t>
  </si>
  <si>
    <t>Al MEDAN</t>
  </si>
  <si>
    <t>Dena Rahsed</t>
  </si>
  <si>
    <t>Future House  2 Villas</t>
  </si>
  <si>
    <t>Khalid Ahmed</t>
  </si>
  <si>
    <t>ALMURAQQABT BUILDING</t>
  </si>
  <si>
    <t>Saif Al Mazroii</t>
  </si>
  <si>
    <t>Farm House Hareb</t>
  </si>
  <si>
    <t>AL MURUR - G+4</t>
  </si>
  <si>
    <t>NAIF BUILDING</t>
  </si>
  <si>
    <t>AHMED BIN HINDI</t>
  </si>
  <si>
    <t>ALASBAB - NAD ALHUMAR</t>
  </si>
  <si>
    <t>Ali Al warqaa - Main</t>
  </si>
  <si>
    <t>Gamal Dubai Land - Maintenance</t>
  </si>
  <si>
    <t>Eng - Ayad  - Main</t>
  </si>
  <si>
    <t>Ajamn - Main</t>
  </si>
  <si>
    <t>ENG - WALEED / MAIN</t>
  </si>
  <si>
    <t>Suliman - ALSATWA</t>
  </si>
  <si>
    <t>Khalid - ALKHAWANIIJ - ALANAAB</t>
  </si>
  <si>
    <t>Majed Sabry</t>
  </si>
  <si>
    <t>Trst columns Contracting - Main</t>
  </si>
  <si>
    <t>AL SATWA 2</t>
  </si>
  <si>
    <t>ROYAL HOUSE REAL STATE BROKER</t>
  </si>
  <si>
    <t>Rowad AL Jazeera - Waheda Villa</t>
  </si>
  <si>
    <t>Jumera Palm</t>
  </si>
  <si>
    <t>HAMAM - DYNAMIC ZONE</t>
  </si>
  <si>
    <t>SALIM SAIF - DYNAMIC ZONE</t>
  </si>
  <si>
    <t>Sultan  - Abu Dhabi  - Main</t>
  </si>
  <si>
    <t>EMAM  ROOM - MASJED</t>
  </si>
  <si>
    <t>AHMED ABDULLAH - ALANNAB</t>
  </si>
  <si>
    <t>LABOUR ACCOMMODATION - DIP</t>
  </si>
  <si>
    <t>154 AL BADAA</t>
  </si>
  <si>
    <t>DAWOOD  - HOSHI</t>
  </si>
  <si>
    <t>Egy Build Contracting</t>
  </si>
  <si>
    <t>ADNAN ALI MULLA IBRAHEM</t>
  </si>
  <si>
    <t>Sultan rashed salem</t>
  </si>
  <si>
    <t>MAIN - AJMAN G + 2 / 6 VILLA MIRDIF</t>
  </si>
  <si>
    <t>KSK - JISBINDER - DUBAI LAND</t>
  </si>
  <si>
    <t>Jeikor - Al Satwa 2</t>
  </si>
  <si>
    <t>Beyat</t>
  </si>
  <si>
    <t>JEIKOR - MERDIF</t>
  </si>
  <si>
    <t>Ahmed Obaid</t>
  </si>
  <si>
    <t>Abraj Al khaleej</t>
  </si>
  <si>
    <t>ARFA MUBARK - HOSHI</t>
  </si>
  <si>
    <t>masjid al batihaa</t>
  </si>
  <si>
    <t>Mohamed Al Timimi - Green Riich</t>
  </si>
  <si>
    <t>Abdel Wahed - Emirates Sands</t>
  </si>
  <si>
    <t>NEW LABOUR ACCOMMODATION</t>
  </si>
  <si>
    <t>FAHU - SAMIR - ABYAT - JUMERAH REST</t>
  </si>
  <si>
    <t>AHMED JABER - DYNAMIC</t>
  </si>
  <si>
    <t>Mohamed ATIQ</t>
  </si>
  <si>
    <t>AMNA SHADAD - DYNAMIC ZONE</t>
  </si>
  <si>
    <t>ZAINAB MOHAMED</t>
  </si>
  <si>
    <t>SUOOD SULTAN</t>
  </si>
  <si>
    <t>IBRAHIM - DYNAMIC</t>
  </si>
  <si>
    <t>SAEED SHEHI - DAYNAMIC</t>
  </si>
  <si>
    <t>JUMERAH VILLA 65000</t>
  </si>
  <si>
    <t>Majed Yousef - Egy Build</t>
  </si>
  <si>
    <t>DIP - SAMEER 7000</t>
  </si>
  <si>
    <t>UM RASHED</t>
  </si>
  <si>
    <t>SHADIA NAFEA</t>
  </si>
  <si>
    <t>UM ABDULLAH - AWR</t>
  </si>
  <si>
    <t>MASJID UM RAMOL</t>
  </si>
  <si>
    <t>SAEED KHALAF</t>
  </si>
  <si>
    <t>MADIHA . DYNAMIC</t>
  </si>
  <si>
    <t>QADRYA DYNAMIC ZONE</t>
  </si>
  <si>
    <t>ALROSTAMANI REAL ESTATE CO</t>
  </si>
  <si>
    <t>KHALAF FALASI</t>
  </si>
  <si>
    <t>MOHAMED SUWADI - SHARJAH</t>
  </si>
  <si>
    <t>SAMIR - DUBAI HILLS 40000</t>
  </si>
  <si>
    <t>AHMED ABDULLAH ALI</t>
  </si>
  <si>
    <t>SALIM -UM QWUAIN</t>
  </si>
  <si>
    <t>MOTOR CITY  - SHOP - SAMIR</t>
  </si>
  <si>
    <t>BADRYAA - CROQUIS</t>
  </si>
  <si>
    <t>HI STYLE - ALI MOHAMED AMIRI</t>
  </si>
  <si>
    <t>Khalifa Sultan Al Ali</t>
  </si>
  <si>
    <t>SAEED OBAID - DYNAMIC</t>
  </si>
  <si>
    <t>ABDEL KARIM - DYNAMIC</t>
  </si>
  <si>
    <t>Hareb - Al badaa</t>
  </si>
  <si>
    <t>hamid al shamsi</t>
  </si>
  <si>
    <t>SALIM - RAK VILLA</t>
  </si>
  <si>
    <t>MR - SALIM - WARQAA</t>
  </si>
  <si>
    <t>SAMIR - UM SUQAIM</t>
  </si>
  <si>
    <t>MUNA - WADI SHABAK</t>
  </si>
  <si>
    <t>ALQUOZ - MOSQUE</t>
  </si>
  <si>
    <t>MOHAMED MARI - ANNAB - ABU MARIAM</t>
  </si>
  <si>
    <t>SAMIR - MEDOS- MAINTENANCE</t>
  </si>
  <si>
    <t>WALEED ABU BAKR - DYNAMIC</t>
  </si>
  <si>
    <t>BABEL STAR - ASEEM</t>
  </si>
  <si>
    <t>JEIKOR - HELAL BUILDING</t>
  </si>
  <si>
    <t>AISHA - ROYAA</t>
  </si>
  <si>
    <t>FATIMA - SANDS</t>
  </si>
  <si>
    <t>SALIM - MOSQUE - OUD MUTEENA</t>
  </si>
  <si>
    <t>SAIF - AJMAN</t>
  </si>
  <si>
    <t>SAMIR - SHOWROOM - SAFA</t>
  </si>
  <si>
    <t>BELOSHI - DYNAMIC</t>
  </si>
  <si>
    <t>ABDULLAH SUWAIDI</t>
  </si>
  <si>
    <t>MOHAMED  RASHED</t>
  </si>
  <si>
    <t>TARAHUM - ABDULLAH RASHED</t>
  </si>
  <si>
    <t>MOAHMED TARESH - SALEM BRO</t>
  </si>
  <si>
    <t>KHALIFA - QUOZE</t>
  </si>
  <si>
    <t>ALI RAK</t>
  </si>
  <si>
    <t>NAFGA</t>
  </si>
  <si>
    <t>AL MEDAN</t>
  </si>
  <si>
    <t>NOHA - TWO UNITS</t>
  </si>
  <si>
    <t>KAMLA MOHAMED</t>
  </si>
  <si>
    <t>RONAK - RIMAL - MILAD</t>
  </si>
  <si>
    <t>FAISAL EGY BUILD</t>
  </si>
  <si>
    <t>FAHED DYNAMIC ZONE</t>
  </si>
  <si>
    <t>MARAWAN - BAGHDAD GATES</t>
  </si>
  <si>
    <t>ALI . AREEJ</t>
  </si>
  <si>
    <t>NASIR &amp; AISHA ROYAL</t>
  </si>
  <si>
    <t>MR - KHALIFA QUOZE . IBTESAM</t>
  </si>
  <si>
    <t>EBTESAM - MASFOUT</t>
  </si>
  <si>
    <t>Aisha - DTC</t>
  </si>
  <si>
    <t>MAYED . AREEJ</t>
  </si>
  <si>
    <t>SULTAN HAJRI</t>
  </si>
  <si>
    <t>MOHAMED MEHERI . AREEJ</t>
  </si>
  <si>
    <t>DCM CONTRACTING . SHEHI</t>
  </si>
  <si>
    <t>TCC - MARIAM OBAID</t>
  </si>
  <si>
    <t>Saeed Bin Yaquob - IBTESAM</t>
  </si>
  <si>
    <t>AMER ABBAS YOUSEF</t>
  </si>
  <si>
    <t>HAMAD SHAMSI - ABU DHABI</t>
  </si>
  <si>
    <t>FATIMA - DYNAMIC</t>
  </si>
  <si>
    <t>SULTAN MEHERI - IBTESAM</t>
  </si>
  <si>
    <t>BAHA RESTAURANT</t>
  </si>
  <si>
    <t>AHMED HELAL - ERTIKAZ</t>
  </si>
  <si>
    <t>MOHAMED KHALID - SARAH</t>
  </si>
  <si>
    <t>Abdullah Juma - Dar Dubai</t>
  </si>
  <si>
    <t>AJMAN  BUILDING - AISHA</t>
  </si>
  <si>
    <t>MOHAMED MATROSHI</t>
  </si>
  <si>
    <t>SAEED OBAID SHAMSI</t>
  </si>
  <si>
    <t>JASSEM BELOSHI</t>
  </si>
  <si>
    <t>TRAHUM CHARITY FOUNDATION</t>
  </si>
  <si>
    <t>SUHAIL MAZROIE - ABU MARIAM</t>
  </si>
  <si>
    <t>AHMED AHLI - ASRI</t>
  </si>
  <si>
    <t>SULTAN JUMA - DYNAMIC</t>
  </si>
  <si>
    <t>MOZA - IBTESAM</t>
  </si>
  <si>
    <t>ALI SHEHI - EBTESAM</t>
  </si>
  <si>
    <t>SAIF - IDEAL SYSTEMS CONTRACTING</t>
  </si>
  <si>
    <t>MUHAIR . AREEJ ( 165000 )</t>
  </si>
  <si>
    <t>ABDULLAH GHULOOM - ERTIKAZ</t>
  </si>
  <si>
    <t>SAEED - ARCHPIX</t>
  </si>
  <si>
    <t>SAMAH - ARCHPIX</t>
  </si>
  <si>
    <t>MARWAN - IBTESAM</t>
  </si>
  <si>
    <t>khalfan Midea - Ibtesam</t>
  </si>
  <si>
    <t>SALEM HESSA</t>
  </si>
  <si>
    <t>AHMED SAIF SHAMSI</t>
  </si>
  <si>
    <t>MOHAMED SAIF SHAMSI</t>
  </si>
  <si>
    <t>AHMED FARES - ANAAB</t>
  </si>
  <si>
    <t>FARES MOHAMED - ANAAB</t>
  </si>
  <si>
    <t>MOHAMED KHAMIS - AREEJ</t>
  </si>
  <si>
    <t>FATIMA IBTESAM</t>
  </si>
  <si>
    <t>HASSAN KAHMIS NAQIB - AREEJ</t>
  </si>
  <si>
    <t>Ahmed Abdullah Malik</t>
  </si>
  <si>
    <t>HAMAD SAWUDI . IBTESAM</t>
  </si>
  <si>
    <t>HARITH - AREEJ</t>
  </si>
  <si>
    <t>FAISAL  JASEEM - DIAGRAM</t>
  </si>
  <si>
    <t>EMIRATES HILLS - MAINTENANCE</t>
  </si>
  <si>
    <t>SHIHAB - ERTIKAZ</t>
  </si>
  <si>
    <t>MAGED SULTAN - HESSA</t>
  </si>
  <si>
    <t>SALIM SALMIN - ABDEL KHALIQ</t>
  </si>
  <si>
    <t>Marzok Almatroshi - Archpix</t>
  </si>
  <si>
    <t>ABDULLAH MULLAH</t>
  </si>
  <si>
    <t>Deaira shop</t>
  </si>
  <si>
    <t>farouq marzoki</t>
  </si>
  <si>
    <t>ABDULLAH JASSEM-DYNAMIC</t>
  </si>
  <si>
    <t>RASHED SALEM. JUMAIRAH</t>
  </si>
  <si>
    <t>SHIHAB ALNAB</t>
  </si>
  <si>
    <t>NAEEAA BENWAS</t>
  </si>
  <si>
    <t>ESSA KHALIFA</t>
  </si>
  <si>
    <t>ADNAN DUBAI SKY</t>
  </si>
  <si>
    <t>NAAEMA SALEH - ERTIKAZ</t>
  </si>
  <si>
    <t>MAJID ALSHEHY</t>
  </si>
  <si>
    <t>ABDULLAH MIZAR</t>
  </si>
  <si>
    <t>ISMAIL ABDULRAHMAN</t>
  </si>
  <si>
    <t>AREEFA AREEJ</t>
  </si>
  <si>
    <t>MR IBRAHIM AGRICULTURAL</t>
  </si>
  <si>
    <t>Rashed khalifa abid</t>
  </si>
  <si>
    <t>Omar Sultan</t>
  </si>
  <si>
    <t>SEVEN SEAS LLC</t>
  </si>
  <si>
    <t>HAMAD ELMEARI</t>
  </si>
  <si>
    <t>HESHAM OFFICE</t>
  </si>
  <si>
    <t>WAHET ALKHAIRE</t>
  </si>
  <si>
    <t>SHIKHA ALI JUMA ALMEHARI</t>
  </si>
  <si>
    <t>meshaal saqar - irtekaz</t>
  </si>
  <si>
    <t>FATMA ESSA ALI</t>
  </si>
  <si>
    <t>ABDULRHMAN ESSA ALI</t>
  </si>
  <si>
    <t>A</t>
  </si>
  <si>
    <t xml:space="preserve">Vendor </t>
  </si>
  <si>
    <t>V101</t>
  </si>
  <si>
    <t>Abu Said Trading</t>
  </si>
  <si>
    <t>V102</t>
  </si>
  <si>
    <t>cherian Trading Co</t>
  </si>
  <si>
    <t>V103</t>
  </si>
  <si>
    <t>power Max</t>
  </si>
  <si>
    <t>V104</t>
  </si>
  <si>
    <t>Al Fayha A/C Devices Spare part</t>
  </si>
  <si>
    <t>V106</t>
  </si>
  <si>
    <t>Rebaiya Zueaid Blding Materials</t>
  </si>
  <si>
    <t>V107</t>
  </si>
  <si>
    <t>Noor Al Maqdis</t>
  </si>
  <si>
    <t>V108</t>
  </si>
  <si>
    <t>Hassan &amp; Yousuf</t>
  </si>
  <si>
    <t>V109</t>
  </si>
  <si>
    <t>Al Madeena</t>
  </si>
  <si>
    <t>V110</t>
  </si>
  <si>
    <t>Taxi Pick up</t>
  </si>
  <si>
    <t>V111</t>
  </si>
  <si>
    <t>Topaz Steel Trading</t>
  </si>
  <si>
    <t>V112</t>
  </si>
  <si>
    <t>Royal Apex</t>
  </si>
  <si>
    <t>V113</t>
  </si>
  <si>
    <t>Raheel transport</t>
  </si>
  <si>
    <t>V114</t>
  </si>
  <si>
    <t>Nasser Al mAtrooshi</t>
  </si>
  <si>
    <t>V115</t>
  </si>
  <si>
    <t>Smooth Solution</t>
  </si>
  <si>
    <t>V116</t>
  </si>
  <si>
    <t>AAB Tools</t>
  </si>
  <si>
    <t>V117</t>
  </si>
  <si>
    <t>Techno Pro</t>
  </si>
  <si>
    <t>V118</t>
  </si>
  <si>
    <t>SeaGull</t>
  </si>
  <si>
    <t>V119</t>
  </si>
  <si>
    <t>AL Ajwaa</t>
  </si>
  <si>
    <t>V121</t>
  </si>
  <si>
    <t>Super Cool</t>
  </si>
  <si>
    <t>V122</t>
  </si>
  <si>
    <t>ALDhia Transport</t>
  </si>
  <si>
    <t>V123</t>
  </si>
  <si>
    <t>Al Fayha A/c.Devices</t>
  </si>
  <si>
    <t>V124</t>
  </si>
  <si>
    <t>Advanced technical &amp; eng</t>
  </si>
  <si>
    <t>V126</t>
  </si>
  <si>
    <t>Luckky Star EQUIPMENT</t>
  </si>
  <si>
    <t>V127</t>
  </si>
  <si>
    <t>Safinat Al Noor</t>
  </si>
  <si>
    <t>V128</t>
  </si>
  <si>
    <t>Juma Al Majid - Trane</t>
  </si>
  <si>
    <t>V129</t>
  </si>
  <si>
    <t>Al Emadi Air Conditioning</t>
  </si>
  <si>
    <t>V130</t>
  </si>
  <si>
    <t>Power Cool TRading</t>
  </si>
  <si>
    <t>V131</t>
  </si>
  <si>
    <t>F J CARE TECHNICAL SERVICES</t>
  </si>
  <si>
    <t>V132</t>
  </si>
  <si>
    <t>Fortune International trdg - L.G</t>
  </si>
  <si>
    <t>V133</t>
  </si>
  <si>
    <t>Al muhandis Electric Spare Part</t>
  </si>
  <si>
    <t>V134</t>
  </si>
  <si>
    <t>UNIGULF</t>
  </si>
  <si>
    <t>V135</t>
  </si>
  <si>
    <t>Leminar</t>
  </si>
  <si>
    <t>V136</t>
  </si>
  <si>
    <t>Zinat Al Fareej</t>
  </si>
  <si>
    <t>V137</t>
  </si>
  <si>
    <t>Al Ramadi BLD.Materials TRDG</t>
  </si>
  <si>
    <t>V140</t>
  </si>
  <si>
    <t>HATTA</t>
  </si>
  <si>
    <t>V141</t>
  </si>
  <si>
    <t>Oxegen Sharjah</t>
  </si>
  <si>
    <t>V142</t>
  </si>
  <si>
    <t>juma Al Majid Group</t>
  </si>
  <si>
    <t>V143</t>
  </si>
  <si>
    <t>Al Qemah A/C System Accessories</t>
  </si>
  <si>
    <t>V144</t>
  </si>
  <si>
    <t>Nour Al ANOUAR</t>
  </si>
  <si>
    <t>V145</t>
  </si>
  <si>
    <t>HOWHI GENERAL TRADING</t>
  </si>
  <si>
    <t>V146</t>
  </si>
  <si>
    <t>UBT</t>
  </si>
  <si>
    <t>V147</t>
  </si>
  <si>
    <t>ADVANCE TECHNICAL SPARE PARTS CO.</t>
  </si>
  <si>
    <t>V148</t>
  </si>
  <si>
    <t>AL SADIA</t>
  </si>
  <si>
    <t>V149</t>
  </si>
  <si>
    <t>NEW QAMAR AL HUDA TRADING</t>
  </si>
  <si>
    <t>V150</t>
  </si>
  <si>
    <t>FAKHRI &amp; BROTHERS</t>
  </si>
  <si>
    <t>V151</t>
  </si>
  <si>
    <t>DESERT AIR A/C.UNITS</t>
  </si>
  <si>
    <t>V152</t>
  </si>
  <si>
    <t>WATER BIRD CHEMICAL</t>
  </si>
  <si>
    <t>V153</t>
  </si>
  <si>
    <t>Najran General Trading</t>
  </si>
  <si>
    <t>V154</t>
  </si>
  <si>
    <t>Mohamed abdullrahim</t>
  </si>
  <si>
    <t>V155</t>
  </si>
  <si>
    <t>AL KHALIJ ENTERPRISES</t>
  </si>
  <si>
    <t>V156</t>
  </si>
  <si>
    <t>COOL HOME</t>
  </si>
  <si>
    <t>V157</t>
  </si>
  <si>
    <t>JABAL AL NOOR</t>
  </si>
  <si>
    <t>V158</t>
  </si>
  <si>
    <t>FINE TOOLS</t>
  </si>
  <si>
    <t>V159</t>
  </si>
  <si>
    <t>NAJM ALMUSTAQBEL</t>
  </si>
  <si>
    <t>V160</t>
  </si>
  <si>
    <t>IQRAA BUILDING MATERIALS</t>
  </si>
  <si>
    <t>V161</t>
  </si>
  <si>
    <t>AL MANAR A/C</t>
  </si>
  <si>
    <t>V162</t>
  </si>
  <si>
    <t>MOHAMED MUBARK</t>
  </si>
  <si>
    <t>V163</t>
  </si>
  <si>
    <t>BLUE STAR TECHNICAL</t>
  </si>
  <si>
    <t>V164</t>
  </si>
  <si>
    <t>GULF CROWN BUILDING MATERIALS</t>
  </si>
  <si>
    <t>V165</t>
  </si>
  <si>
    <t>M.T.MAXTEX</t>
  </si>
  <si>
    <t>V166</t>
  </si>
  <si>
    <t>DESCO</t>
  </si>
  <si>
    <t>V167</t>
  </si>
  <si>
    <t>BINDUJA</t>
  </si>
  <si>
    <t>V168</t>
  </si>
  <si>
    <t>AHMED GHANIM BUILDING</t>
  </si>
  <si>
    <t>V169</t>
  </si>
  <si>
    <t>AL ASHJAN BUILDING MATERIALS</t>
  </si>
  <si>
    <t>V170</t>
  </si>
  <si>
    <t>SKY LIGHT</t>
  </si>
  <si>
    <t>V171</t>
  </si>
  <si>
    <t>CITY MAN STAR</t>
  </si>
  <si>
    <t>V172</t>
  </si>
  <si>
    <t>Royal Hammer Trading</t>
  </si>
  <si>
    <t>V173</t>
  </si>
  <si>
    <t>Wahat Meshref</t>
  </si>
  <si>
    <t>V174</t>
  </si>
  <si>
    <t>Al AQEELA BUILDING MATERIALS</t>
  </si>
  <si>
    <t>V175</t>
  </si>
  <si>
    <t>RAZEEN BUILDING MATERIALS TRADING</t>
  </si>
  <si>
    <t>V176</t>
  </si>
  <si>
    <t>BRIGHT VIEW BUILDING MATERIAL</t>
  </si>
  <si>
    <t>V177</t>
  </si>
  <si>
    <t>TOP LINE BUILDING MATERIALS</t>
  </si>
  <si>
    <t>V178</t>
  </si>
  <si>
    <t>AL HAYER BUILDING MATERIALS</t>
  </si>
  <si>
    <t>V179</t>
  </si>
  <si>
    <t>OBAID KHALIFA BLDG</t>
  </si>
  <si>
    <t>V180</t>
  </si>
  <si>
    <t>RAJ CONDITIONING SYSTEM</t>
  </si>
  <si>
    <t>V181</t>
  </si>
  <si>
    <t>AMB AIR CONDITION</t>
  </si>
  <si>
    <t>V182</t>
  </si>
  <si>
    <t>AIRTEC</t>
  </si>
  <si>
    <t>V183</t>
  </si>
  <si>
    <t>AL MARMOOM</t>
  </si>
  <si>
    <t>V184</t>
  </si>
  <si>
    <t>BROAD WAY</t>
  </si>
  <si>
    <t>V185</t>
  </si>
  <si>
    <t>AL MATHER STEEL WORKS</t>
  </si>
  <si>
    <t>V186</t>
  </si>
  <si>
    <t>ELECTROMECH CO.</t>
  </si>
  <si>
    <t>V187</t>
  </si>
  <si>
    <t>AHMED MOHD GHANIM</t>
  </si>
  <si>
    <t>V188</t>
  </si>
  <si>
    <t>DELMON</t>
  </si>
  <si>
    <t>V189</t>
  </si>
  <si>
    <t>ALMARWA</t>
  </si>
  <si>
    <t>V190</t>
  </si>
  <si>
    <t>A NOON INTERNATIONAL TRADING</t>
  </si>
  <si>
    <t>V191</t>
  </si>
  <si>
    <t>AL KHAWANIIJ GEN.TRDG</t>
  </si>
  <si>
    <t>V192</t>
  </si>
  <si>
    <t>AL AWTAR</t>
  </si>
  <si>
    <t>V193</t>
  </si>
  <si>
    <t>FATIMA HUSSAIN</t>
  </si>
  <si>
    <t>V194</t>
  </si>
  <si>
    <t>GULF-O-FLEX</t>
  </si>
  <si>
    <t>V195</t>
  </si>
  <si>
    <t>HAYAT BUILDING MATERIALS</t>
  </si>
  <si>
    <t>V196</t>
  </si>
  <si>
    <t>ABAZAR</t>
  </si>
  <si>
    <t>V197</t>
  </si>
  <si>
    <t>Abu Murrah</t>
  </si>
  <si>
    <t>V198</t>
  </si>
  <si>
    <t>BAWABAT AL FALAH</t>
  </si>
  <si>
    <t>V199</t>
  </si>
  <si>
    <t>BLUE WATER BUILDING MATERIAL</t>
  </si>
  <si>
    <t>V200</t>
  </si>
  <si>
    <t>NOUR AL QAMAR</t>
  </si>
  <si>
    <t>V201</t>
  </si>
  <si>
    <t>ALSIDRA BUILDING MATERIALS</t>
  </si>
  <si>
    <t>V202</t>
  </si>
  <si>
    <t>SUROR ALMADINA</t>
  </si>
  <si>
    <t>V203</t>
  </si>
  <si>
    <t>HUSAINI AJMER BUILDING MATERIAL TRADING</t>
  </si>
  <si>
    <t>V204</t>
  </si>
  <si>
    <t>CLI-MAX</t>
  </si>
  <si>
    <t>V205</t>
  </si>
  <si>
    <t>AHMED MARRAH BUILDING MATERIALS</t>
  </si>
  <si>
    <t>V206</t>
  </si>
  <si>
    <t>FAREED AHMED A/C SPARE PARTS</t>
  </si>
  <si>
    <t>V207</t>
  </si>
  <si>
    <t>AL NOOR TRADING EST</t>
  </si>
  <si>
    <t>V208</t>
  </si>
  <si>
    <t>COOL AIR REFRIGRATION EQUIPMENT</t>
  </si>
  <si>
    <t>V209</t>
  </si>
  <si>
    <t>TITANIC TRADING</t>
  </si>
  <si>
    <t>V210</t>
  </si>
  <si>
    <t>JASI BUILDING</t>
  </si>
  <si>
    <t>V211</t>
  </si>
  <si>
    <t>AL DOHA ELECTRICAL EQUIPMENT</t>
  </si>
  <si>
    <t>V212</t>
  </si>
  <si>
    <t>AL HUTAIB BUILDING MATERIALS</t>
  </si>
  <si>
    <t>V213</t>
  </si>
  <si>
    <t>MECANO BUILDING MATERIALS</t>
  </si>
  <si>
    <t>V214</t>
  </si>
  <si>
    <t>KADI PRINTING</t>
  </si>
  <si>
    <t>V215</t>
  </si>
  <si>
    <t>JHELUM BUILDING MATERIALS</t>
  </si>
  <si>
    <t>V216</t>
  </si>
  <si>
    <t>ALAMEERA BUILDING MATERIALS</t>
  </si>
  <si>
    <t>V217</t>
  </si>
  <si>
    <t>ALRAEDON TRADING</t>
  </si>
  <si>
    <t>V218</t>
  </si>
  <si>
    <t>AL MARWA BLDG.MATERIALS</t>
  </si>
  <si>
    <t>V219</t>
  </si>
  <si>
    <t>DAR ALFEDA HARD</t>
  </si>
  <si>
    <t>V220</t>
  </si>
  <si>
    <t>ROYAL PIPES TRADING</t>
  </si>
  <si>
    <t>V221</t>
  </si>
  <si>
    <t>AL ANDHIMAH AL HANDASIAH SWICH GEAR CON</t>
  </si>
  <si>
    <t>V222</t>
  </si>
  <si>
    <t>SAFARIO</t>
  </si>
  <si>
    <t>V223</t>
  </si>
  <si>
    <t>MAIMANY BUILDING MATERIAL TRADING</t>
  </si>
  <si>
    <t>V224</t>
  </si>
  <si>
    <t>AL MURRAH ELECT.</t>
  </si>
  <si>
    <t>V225</t>
  </si>
  <si>
    <t>HUSAINI AJMER BUILDING</t>
  </si>
  <si>
    <t>V226</t>
  </si>
  <si>
    <t>AL JUNAIBI BUILDING MATERILAS</t>
  </si>
  <si>
    <t>V227</t>
  </si>
  <si>
    <t>BADRI</t>
  </si>
  <si>
    <t>V229</t>
  </si>
  <si>
    <t>ADWAA AL WADI</t>
  </si>
  <si>
    <t>V230</t>
  </si>
  <si>
    <t>ABU ALI TRADING</t>
  </si>
  <si>
    <t>V231</t>
  </si>
  <si>
    <t>HOR ANZ ELETRIC</t>
  </si>
  <si>
    <t>V232</t>
  </si>
  <si>
    <t>ISMAIL SHAH</t>
  </si>
  <si>
    <t>V233</t>
  </si>
  <si>
    <t>AL MENTAD A/C SPARE PART</t>
  </si>
  <si>
    <t>V234</t>
  </si>
  <si>
    <t>SUPER WAVE</t>
  </si>
  <si>
    <t>V235</t>
  </si>
  <si>
    <t>V236</t>
  </si>
  <si>
    <t>WADI AL SAFA</t>
  </si>
  <si>
    <t>V237</t>
  </si>
  <si>
    <t>MBS TOOLS &amp; BUILDING MATERIALS</t>
  </si>
  <si>
    <t>V238</t>
  </si>
  <si>
    <t>LAMASAT AL MOHTARFEEN</t>
  </si>
  <si>
    <t>V239</t>
  </si>
  <si>
    <t>AL SIFA AIRCONDITION &amp; REF.CO.LLC</t>
  </si>
  <si>
    <t>V240</t>
  </si>
  <si>
    <t>Trosten Industrial Company</t>
  </si>
  <si>
    <t>V241</t>
  </si>
  <si>
    <t>FAWAZ REF &amp; AC</t>
  </si>
  <si>
    <t>V242</t>
  </si>
  <si>
    <t>AL ROLLA TRADING LLC</t>
  </si>
  <si>
    <t>V243</t>
  </si>
  <si>
    <t>STAR COOL</t>
  </si>
  <si>
    <t>V244</t>
  </si>
  <si>
    <t>GARDEN VALLEY BUILDING MATERIALS</t>
  </si>
  <si>
    <t>V245</t>
  </si>
  <si>
    <t>NEW EXPERT BUILDING MATERIALS</t>
  </si>
  <si>
    <t>V246</t>
  </si>
  <si>
    <t>RAMESH HIRA</t>
  </si>
  <si>
    <t>V247</t>
  </si>
  <si>
    <t>DEIRA CROWN BUILDING MATERIALS</t>
  </si>
  <si>
    <t>V248</t>
  </si>
  <si>
    <t>AL SHAMLY TRADING</t>
  </si>
  <si>
    <t>V249</t>
  </si>
  <si>
    <t>MARHABA BUILDING MAT.CO</t>
  </si>
  <si>
    <t>V250</t>
  </si>
  <si>
    <t>AL SAFRAN BLDG. MATERIALS</t>
  </si>
  <si>
    <t>V251</t>
  </si>
  <si>
    <t>BALGHANIM</t>
  </si>
  <si>
    <t>V252</t>
  </si>
  <si>
    <t>LASPINAS</t>
  </si>
  <si>
    <t>V253</t>
  </si>
  <si>
    <t>Standard Coll World</t>
  </si>
  <si>
    <t>V254</t>
  </si>
  <si>
    <t>AL GHANI STORES</t>
  </si>
  <si>
    <t>V255</t>
  </si>
  <si>
    <t>MOHAMMED SADIQ</t>
  </si>
  <si>
    <t>V256</t>
  </si>
  <si>
    <t>Bolt Star Materials</t>
  </si>
  <si>
    <t>V257</t>
  </si>
  <si>
    <t>INTERCOOL AIR CONDITIONING</t>
  </si>
  <si>
    <t>V258</t>
  </si>
  <si>
    <t>AL IRFAN CONST. EQUIP RENTAL</t>
  </si>
  <si>
    <t>V259</t>
  </si>
  <si>
    <t>DSS STEEL</t>
  </si>
  <si>
    <t>V260</t>
  </si>
  <si>
    <t>INTER COOL A/C</t>
  </si>
  <si>
    <t>V261</t>
  </si>
  <si>
    <t>BETA</t>
  </si>
  <si>
    <t>V262</t>
  </si>
  <si>
    <t>RUKN AL BATOOL AC REF</t>
  </si>
  <si>
    <t>V263</t>
  </si>
  <si>
    <t>GREEN CORNER</t>
  </si>
  <si>
    <t>V264</t>
  </si>
  <si>
    <t>CHANDNI TRADING LLC</t>
  </si>
  <si>
    <t>V265</t>
  </si>
  <si>
    <t>JUMA AL SUWAIDI ELECT SANITARY</t>
  </si>
  <si>
    <t>V266</t>
  </si>
  <si>
    <t>DUKE STEEL TRADING</t>
  </si>
  <si>
    <t>V267</t>
  </si>
  <si>
    <t>WOTEK</t>
  </si>
  <si>
    <t>V268</t>
  </si>
  <si>
    <t>AL SAFEENA AL HAMRAA</t>
  </si>
  <si>
    <t>V269</t>
  </si>
  <si>
    <t>JNAH AL NORAS</t>
  </si>
  <si>
    <t>V270</t>
  </si>
  <si>
    <t>NAJMAT MIRDIF BUILDING</t>
  </si>
  <si>
    <t>V271</t>
  </si>
  <si>
    <t>NASA ELECTRICALS</t>
  </si>
  <si>
    <t>V272</t>
  </si>
  <si>
    <t>AL LABEEB TRADING</t>
  </si>
  <si>
    <t>V273</t>
  </si>
  <si>
    <t>ABBAS ALI HARDWARE</t>
  </si>
  <si>
    <t>V274</t>
  </si>
  <si>
    <t>REDHA FARHAN TRADING</t>
  </si>
  <si>
    <t>V275</t>
  </si>
  <si>
    <t>AL MAJD HARDWARE TRADING</t>
  </si>
  <si>
    <t>V276</t>
  </si>
  <si>
    <t>NAJMAT AL QAMAR BUILDING MATERILAS</t>
  </si>
  <si>
    <t>V277</t>
  </si>
  <si>
    <t>GAMA ELECT.TR.LLC</t>
  </si>
  <si>
    <t>V278</t>
  </si>
  <si>
    <t>ARCTIC</t>
  </si>
  <si>
    <t>V279</t>
  </si>
  <si>
    <t>FK TOOLS</t>
  </si>
  <si>
    <t>V280</t>
  </si>
  <si>
    <t>AL BATAEH BLDG .MAT.TR</t>
  </si>
  <si>
    <t>V281</t>
  </si>
  <si>
    <t>BIN THANI HARDWARE</t>
  </si>
  <si>
    <t>V282</t>
  </si>
  <si>
    <t>ZAKIR HOSSAIN</t>
  </si>
  <si>
    <t>V283</t>
  </si>
  <si>
    <t>RUBAIYA ZUEAID BLDG MATERIALS</t>
  </si>
  <si>
    <t>V284</t>
  </si>
  <si>
    <t>OBAID MASOOD</t>
  </si>
  <si>
    <t>V285</t>
  </si>
  <si>
    <t>DELICE BUILDING MATERIALS</t>
  </si>
  <si>
    <t>V286</t>
  </si>
  <si>
    <t>TOOLBOX</t>
  </si>
  <si>
    <t>V287</t>
  </si>
  <si>
    <t>CHINA WALL TRADING</t>
  </si>
  <si>
    <t>V288</t>
  </si>
  <si>
    <t>UMAIR RASHED TR</t>
  </si>
  <si>
    <t>V289</t>
  </si>
  <si>
    <t>V28M0</t>
  </si>
  <si>
    <t>V290</t>
  </si>
  <si>
    <t>FALAK AL MADINA HYPERMARKET</t>
  </si>
  <si>
    <t>V291</t>
  </si>
  <si>
    <t>BLUE DIAMOND BUILDING MATERIALS</t>
  </si>
  <si>
    <t>V292</t>
  </si>
  <si>
    <t>REFRIGATION EQUIPMENT ENTERPRISES</t>
  </si>
  <si>
    <t>V293</t>
  </si>
  <si>
    <t>AL SHAMALI &amp; WARIS TRAD</t>
  </si>
  <si>
    <t>V294</t>
  </si>
  <si>
    <t>BURKAN BUILDING MATERIALS</t>
  </si>
  <si>
    <t>V295</t>
  </si>
  <si>
    <t>AL MANAR AC SPAREPARTS</t>
  </si>
  <si>
    <t>V296</t>
  </si>
  <si>
    <t>AL BEHAR AL SABAA HARDWARE</t>
  </si>
  <si>
    <t>V297</t>
  </si>
  <si>
    <t>ROHMIX</t>
  </si>
  <si>
    <t>V298</t>
  </si>
  <si>
    <t>YASIN KHAMIS BUILDING MATERIALS</t>
  </si>
  <si>
    <t>V299</t>
  </si>
  <si>
    <t>COOL PLUS</t>
  </si>
  <si>
    <t>V300</t>
  </si>
  <si>
    <t>DESERT STARS</t>
  </si>
  <si>
    <t>V301</t>
  </si>
  <si>
    <t>AL YAQEEN HARDWARE TRADING</t>
  </si>
  <si>
    <t>V302</t>
  </si>
  <si>
    <t>HASSAN ABBAS TRADING</t>
  </si>
  <si>
    <t>V303</t>
  </si>
  <si>
    <t>AL DASHTI BUILDING MATERIALS</t>
  </si>
  <si>
    <t>V304</t>
  </si>
  <si>
    <t>SITRA SANITARY</t>
  </si>
  <si>
    <t>V305</t>
  </si>
  <si>
    <t>KOREA &amp; MIDDLE EAST</t>
  </si>
  <si>
    <t>V306</t>
  </si>
  <si>
    <t>SAHAR AL SHARQ TRADING</t>
  </si>
  <si>
    <t>V307</t>
  </si>
  <si>
    <t>STEELEX BUILDING MATERIALS</t>
  </si>
  <si>
    <t>V308</t>
  </si>
  <si>
    <t>ALNAKIYA TRADING</t>
  </si>
  <si>
    <t>V309</t>
  </si>
  <si>
    <t>AL FAISAL A/C SPARE PARTS TRADING</t>
  </si>
  <si>
    <t>V310</t>
  </si>
  <si>
    <t>KAWAN HARDWARE TRADING</t>
  </si>
  <si>
    <t>V311</t>
  </si>
  <si>
    <t>AL SAQF ALAALI</t>
  </si>
  <si>
    <t>V312</t>
  </si>
  <si>
    <t>STANDARD TECHNICAL PARTS</t>
  </si>
  <si>
    <t>V313</t>
  </si>
  <si>
    <t>SHANAVAS</t>
  </si>
  <si>
    <t>V314</t>
  </si>
  <si>
    <t>AL SUWAIS STEEL FABRICATION</t>
  </si>
  <si>
    <t>V315</t>
  </si>
  <si>
    <t>SAF</t>
  </si>
  <si>
    <t>V316</t>
  </si>
  <si>
    <t>PRIME QUALITY</t>
  </si>
  <si>
    <t>V317</t>
  </si>
  <si>
    <t>NOOR AL FAJR PAINTS</t>
  </si>
  <si>
    <t>V318</t>
  </si>
  <si>
    <t>V319</t>
  </si>
  <si>
    <t>NEW COLOUR FAIR</t>
  </si>
  <si>
    <t>V320</t>
  </si>
  <si>
    <t>MEGA CITY BUILDING MATERIALS</t>
  </si>
  <si>
    <t>V321</t>
  </si>
  <si>
    <t>SAHARI</t>
  </si>
  <si>
    <t>V322</t>
  </si>
  <si>
    <t>EMIRATES BUILDING MATERIALS</t>
  </si>
  <si>
    <t>V323</t>
  </si>
  <si>
    <t>LUCKY HANDS TRADING</t>
  </si>
  <si>
    <t>V324</t>
  </si>
  <si>
    <t>BETEC CAD INDUSTRIES</t>
  </si>
  <si>
    <t>V325</t>
  </si>
  <si>
    <t>DAIKIN AIR CONDTIONING LLC</t>
  </si>
  <si>
    <t>V326</t>
  </si>
  <si>
    <t>CHILL AIR AC SPARE PARTS TRADING</t>
  </si>
  <si>
    <t>V327</t>
  </si>
  <si>
    <t>AL HAQ AIR CONDITIONING SPARE</t>
  </si>
  <si>
    <t>V328</t>
  </si>
  <si>
    <t>AAMIR A/C</t>
  </si>
  <si>
    <t>V329</t>
  </si>
  <si>
    <t>TOP RANGE</t>
  </si>
  <si>
    <t>V330</t>
  </si>
  <si>
    <t>QAMAR ALZEYAN BUILDING MATERIALS</t>
  </si>
  <si>
    <t>V331</t>
  </si>
  <si>
    <t>ANBI AIR CONDITION</t>
  </si>
  <si>
    <t>V332</t>
  </si>
  <si>
    <t>GULF DUCT INDUSTRIES</t>
  </si>
  <si>
    <t>V333</t>
  </si>
  <si>
    <t>ALAM TAKEEF</t>
  </si>
  <si>
    <t>V334</t>
  </si>
  <si>
    <t>NAJMAT AL AWEER</t>
  </si>
  <si>
    <t>V335</t>
  </si>
  <si>
    <t>KSR</t>
  </si>
  <si>
    <t>V336</t>
  </si>
  <si>
    <t>MAJESTIC AIR CONDITION</t>
  </si>
  <si>
    <t>V337</t>
  </si>
  <si>
    <t>TANOOF AC</t>
  </si>
  <si>
    <t>V338</t>
  </si>
  <si>
    <t>AL FURSAH TRADING</t>
  </si>
  <si>
    <t>V339</t>
  </si>
  <si>
    <t>HOLLYWOOD AIR CONDITIONING</t>
  </si>
  <si>
    <t>V340</t>
  </si>
  <si>
    <t>MUTHEER BUILDING MATERILAS LLC</t>
  </si>
  <si>
    <t>V341</t>
  </si>
  <si>
    <t>ZAPHYR AC</t>
  </si>
  <si>
    <t>V342</t>
  </si>
  <si>
    <t>BENAIR TRADING CO . LLC</t>
  </si>
  <si>
    <t>V343</t>
  </si>
  <si>
    <t>BETA INDUSTRIAL LLC</t>
  </si>
  <si>
    <t>V345</t>
  </si>
  <si>
    <t>FRIENDS AIR CONDITION &amp; REFRIG</t>
  </si>
  <si>
    <t>V346</t>
  </si>
  <si>
    <t>OMAR JUMA KALANDAR</t>
  </si>
  <si>
    <t>V347</t>
  </si>
  <si>
    <t>MAMOON AUTO SPARE PARTS</t>
  </si>
  <si>
    <t>V348</t>
  </si>
  <si>
    <t>B.M.AIR CONDITIONING CO.</t>
  </si>
  <si>
    <t>V349</t>
  </si>
  <si>
    <t>AL YASH BUILDING MAT</t>
  </si>
  <si>
    <t>V351</t>
  </si>
  <si>
    <t>DAR AL QIMAH</t>
  </si>
  <si>
    <t>V352</t>
  </si>
  <si>
    <t>MAH AC</t>
  </si>
  <si>
    <t>V353</t>
  </si>
  <si>
    <t>RANEEN AL SHAMS</t>
  </si>
  <si>
    <t>V354</t>
  </si>
  <si>
    <t>AL REYADH STAR BUILDING</t>
  </si>
  <si>
    <t>V355</t>
  </si>
  <si>
    <t>ALNAJM AL AZRAQ</t>
  </si>
  <si>
    <t>V356</t>
  </si>
  <si>
    <t>PULIKAL BLDG.MAT.TRDG</t>
  </si>
  <si>
    <t>V357</t>
  </si>
  <si>
    <t>DANAT AL NABAAH</t>
  </si>
  <si>
    <t>V358</t>
  </si>
  <si>
    <t>NAJMAT AL KHAWANEEJ</t>
  </si>
  <si>
    <t>V359</t>
  </si>
  <si>
    <t>SRG</t>
  </si>
  <si>
    <t>V360</t>
  </si>
  <si>
    <t>SOLID HOUSE BUILDING MATERIALS</t>
  </si>
  <si>
    <t>V361</t>
  </si>
  <si>
    <t>AL IHTHIAYATI AUTO SPARE PARTS</t>
  </si>
  <si>
    <t>V362</t>
  </si>
  <si>
    <t>AIKAH GENERAL TRADING</t>
  </si>
  <si>
    <t>V363</t>
  </si>
  <si>
    <t>CABLE PLUS</t>
  </si>
  <si>
    <t>V364</t>
  </si>
  <si>
    <t>BLUE RIVER BUILDING MATERILAS</t>
  </si>
  <si>
    <t>V366</t>
  </si>
  <si>
    <t>AL KASSAR TRADING CO. LLC</t>
  </si>
  <si>
    <t>V367</t>
  </si>
  <si>
    <t>GREEN HORIZON</t>
  </si>
  <si>
    <t>V368</t>
  </si>
  <si>
    <t>SMART FIX</t>
  </si>
  <si>
    <t>V369</t>
  </si>
  <si>
    <t>ELECTRIC WAY</t>
  </si>
  <si>
    <t>V370</t>
  </si>
  <si>
    <t>NOOR ALBARSHA</t>
  </si>
  <si>
    <t>V371</t>
  </si>
  <si>
    <t>UMHER GENERAL TRADING</t>
  </si>
  <si>
    <t>V372</t>
  </si>
  <si>
    <t>NEW MARTECH AIRCO &amp; REF SPARE</t>
  </si>
  <si>
    <t>V373</t>
  </si>
  <si>
    <t>SEAMAS GENERAL TRADING</t>
  </si>
  <si>
    <t>V374</t>
  </si>
  <si>
    <t>FAJR ALMADINA AC</t>
  </si>
  <si>
    <t>V375</t>
  </si>
  <si>
    <t>O.U.N BUILDING MATERIALS</t>
  </si>
  <si>
    <t>V376</t>
  </si>
  <si>
    <t>GRAND HARDWARE PAINTS</t>
  </si>
  <si>
    <t>V377</t>
  </si>
  <si>
    <t>AALI AL JAWDA ELECT</t>
  </si>
  <si>
    <t>V378</t>
  </si>
  <si>
    <t>COOL ZONE TRADING LLC</t>
  </si>
  <si>
    <t>V379</t>
  </si>
  <si>
    <t>JET HYDRAULICS</t>
  </si>
  <si>
    <t>V380</t>
  </si>
  <si>
    <t>AGKUJA TRADING LLC</t>
  </si>
  <si>
    <t>V381</t>
  </si>
  <si>
    <t>NAJMAT AL AZRAH HARDWARE</t>
  </si>
  <si>
    <t>V382</t>
  </si>
  <si>
    <t>AL KAMAL BUILDING MATERIALS</t>
  </si>
  <si>
    <t>V383</t>
  </si>
  <si>
    <t>EMIRATES STAR BUILDING</t>
  </si>
  <si>
    <t>V384</t>
  </si>
  <si>
    <t>SPARETECHNIC EST</t>
  </si>
  <si>
    <t>V385</t>
  </si>
  <si>
    <t>AL FURJAN STAR BUILDING</t>
  </si>
  <si>
    <t>V387</t>
  </si>
  <si>
    <t>AL JALAL TRADING EST.</t>
  </si>
  <si>
    <t>V388</t>
  </si>
  <si>
    <t>PANACHE BUILDING TRADING</t>
  </si>
  <si>
    <t>V389</t>
  </si>
  <si>
    <t>DHAW AL NAJAM</t>
  </si>
  <si>
    <t>V390</t>
  </si>
  <si>
    <t>HAMID PATAWARY AIRCONDITION</t>
  </si>
  <si>
    <t>V391</t>
  </si>
  <si>
    <t>TECNALCO TECHNICAL REF.</t>
  </si>
  <si>
    <t>V392</t>
  </si>
  <si>
    <t>BETTER CHOICE</t>
  </si>
  <si>
    <t>V393</t>
  </si>
  <si>
    <t>SMART CHOICE BUILDING MATERIALS</t>
  </si>
  <si>
    <t>V394</t>
  </si>
  <si>
    <t>AL MOHALAB STEEL</t>
  </si>
  <si>
    <t>CLIMATE MASTER AC TRADING</t>
  </si>
  <si>
    <t>V396</t>
  </si>
  <si>
    <t>SAFA AL WADI TECHNICAL SERVICES</t>
  </si>
  <si>
    <t>V397</t>
  </si>
  <si>
    <t>TUBA METAL COATING</t>
  </si>
  <si>
    <t>V398</t>
  </si>
  <si>
    <t>SKYTOUCH BUILDING MATEIALS</t>
  </si>
  <si>
    <t>V399</t>
  </si>
  <si>
    <t>MEDIA GENERAL TRADING LLC</t>
  </si>
  <si>
    <t>V400</t>
  </si>
  <si>
    <t>BUILD MART</t>
  </si>
  <si>
    <t>V401</t>
  </si>
  <si>
    <t>DESERT MOON STEEL TRADING</t>
  </si>
  <si>
    <t>V402</t>
  </si>
  <si>
    <t>AL NAJAF GENERATORS RENTAL</t>
  </si>
  <si>
    <t>V403</t>
  </si>
  <si>
    <t>HIRA INDUSTRIES</t>
  </si>
  <si>
    <t>V404</t>
  </si>
  <si>
    <t>DUBAI INDUSTRIAL GASES</t>
  </si>
  <si>
    <t>V405</t>
  </si>
  <si>
    <t>ALTHAF HUSSAIN KURBAN</t>
  </si>
  <si>
    <t>V406</t>
  </si>
  <si>
    <t>Adnan Yousef heavy rental</t>
  </si>
  <si>
    <t>V407</t>
  </si>
  <si>
    <t>al tasmeem al asari</t>
  </si>
  <si>
    <t>V408</t>
  </si>
  <si>
    <t>SYED QAISAR TRANSPORT L.L.C</t>
  </si>
  <si>
    <t>V409</t>
  </si>
  <si>
    <t>SIRAJCO INTERNATIONAL</t>
  </si>
  <si>
    <t>V410</t>
  </si>
  <si>
    <t>ZADJALI B.M.T</t>
  </si>
  <si>
    <t>V450</t>
  </si>
  <si>
    <t>HASSAN ALSHAMMAR</t>
  </si>
  <si>
    <t>V451</t>
  </si>
  <si>
    <t>HAIDER BLDG</t>
  </si>
  <si>
    <t>V452</t>
  </si>
  <si>
    <t>IRSHAD HUSSAIN</t>
  </si>
  <si>
    <t>V453</t>
  </si>
  <si>
    <t>Al Tameem A/C</t>
  </si>
  <si>
    <t>V454</t>
  </si>
  <si>
    <t>RASHED MEHMOOD</t>
  </si>
  <si>
    <t>V455</t>
  </si>
  <si>
    <t>CH.M.KAMRAN</t>
  </si>
  <si>
    <t>V456</t>
  </si>
  <si>
    <t>Public Vendors</t>
  </si>
  <si>
    <t>AC</t>
  </si>
  <si>
    <t>Dubai- UAE / Tel: 04-4199197</t>
  </si>
  <si>
    <t>SALES MANAGER \ AHMED MAHMOUD</t>
  </si>
  <si>
    <t>ahmed.mahmoud@carrier.com</t>
  </si>
  <si>
    <t>Sales Coordinator \ NIDA  04-4199119</t>
  </si>
  <si>
    <t>nida.ashi@carrier.com</t>
  </si>
  <si>
    <t xml:space="preserve"> TAKEEF Dubai- UAE</t>
  </si>
  <si>
    <t>Sharjah - UAE / 050-6611207</t>
  </si>
  <si>
    <t>SALES \ YOUSEF</t>
  </si>
  <si>
    <t>y.sharabati@taqeef.com</t>
  </si>
  <si>
    <t>SALES \ ODAI  04-5065034</t>
  </si>
  <si>
    <t>o.hreinat@taqeef.com</t>
  </si>
  <si>
    <t>Duct</t>
  </si>
  <si>
    <t>056-6036769</t>
  </si>
  <si>
    <t>MOHAMED FAWZY</t>
  </si>
  <si>
    <t>info@aljunaidgroup.com</t>
  </si>
  <si>
    <t xml:space="preserve">050-1679961  / 04-2037199 </t>
  </si>
  <si>
    <t>MOHAMED ISLAM</t>
  </si>
  <si>
    <t>mohd.islam@al-majid.com  / a.zahran@al-majid.com</t>
  </si>
  <si>
    <t xml:space="preserve"> copper pipes</t>
  </si>
  <si>
    <t>04-2277200</t>
  </si>
  <si>
    <t>0 6-5 351 750  / 050-4970338</t>
  </si>
  <si>
    <t>INQUIRE \ ANSAR</t>
  </si>
  <si>
    <t>estimation@macsuae.com  /ansar@macsuae.com</t>
  </si>
  <si>
    <t>OWNER \ ALI /  alis@macsuae.com</t>
  </si>
  <si>
    <t>04-2248852</t>
  </si>
  <si>
    <t>ISMAIL</t>
  </si>
  <si>
    <t>fakhribr@emirates.net.ae</t>
  </si>
  <si>
    <t>06-5420525</t>
  </si>
  <si>
    <t>SALES \ SIDDIQUE</t>
  </si>
  <si>
    <t>siddique@alawtar.ae</t>
  </si>
  <si>
    <t>INQUIRE \  06-5420525</t>
  </si>
  <si>
    <t>info@alawtar.ae</t>
  </si>
  <si>
    <t>04-8067665  /97156 5088975</t>
  </si>
  <si>
    <t>HUSSAIN - trosten</t>
  </si>
  <si>
    <t>hussain@trosten-industries.com</t>
  </si>
  <si>
    <t xml:space="preserve">971 4 8159 300 </t>
  </si>
  <si>
    <t>ABDDON</t>
  </si>
  <si>
    <t>abbadi.m@daikinmea.com</t>
  </si>
  <si>
    <t>Grill</t>
  </si>
  <si>
    <t>050-4749604</t>
  </si>
  <si>
    <t>INQUIRE \ HAIDER</t>
  </si>
  <si>
    <t>bcillc@emirates.net.ae  -  haider@bcillc.ae</t>
  </si>
  <si>
    <t>Tel 5144454 /056-1314587</t>
  </si>
  <si>
    <t>TOMAS</t>
  </si>
  <si>
    <t>LPOs</t>
  </si>
  <si>
    <t>انــشاء طــلــب جــديـــد</t>
  </si>
  <si>
    <t>تصدير PDF</t>
  </si>
  <si>
    <t>حـــذف طلب</t>
  </si>
  <si>
    <t>حـــفـــظ الطلب</t>
  </si>
  <si>
    <t xml:space="preserve">Projects Transactions </t>
  </si>
  <si>
    <t>Select Project</t>
  </si>
  <si>
    <t>انــشاء فاتوره جــديـــد</t>
  </si>
  <si>
    <t>حـــفـــظ الفاتوره</t>
  </si>
  <si>
    <t>فاتوره نسب</t>
  </si>
  <si>
    <t>فاتوره عاديه</t>
  </si>
  <si>
    <t>Contract</t>
  </si>
  <si>
    <t xml:space="preserve">Varation </t>
  </si>
  <si>
    <t>Prev. Payments</t>
  </si>
  <si>
    <t>Testing %</t>
  </si>
  <si>
    <t>A/C LPO</t>
  </si>
  <si>
    <t>AC Lpo Val.</t>
  </si>
  <si>
    <t xml:space="preserve">Sum </t>
  </si>
  <si>
    <t>AC Lpo Blnc</t>
  </si>
  <si>
    <t>Spend</t>
  </si>
  <si>
    <t>Gross. Profit</t>
  </si>
  <si>
    <t xml:space="preserve">VAT </t>
  </si>
  <si>
    <t>%</t>
  </si>
  <si>
    <t>Project Notes</t>
  </si>
  <si>
    <t>Tufayel Ahmed Emon Asuk Uddin      طفيل احمد</t>
  </si>
  <si>
    <t xml:space="preserve">General Ledger </t>
  </si>
  <si>
    <t>Mnth</t>
  </si>
  <si>
    <t>Rashed Ahmed Yousef Mohamed Al Balooshi- Archpix</t>
  </si>
  <si>
    <t>Rashed Ahmed Yousef Mohamed Al Balooshi</t>
  </si>
  <si>
    <t>H/M/113/2024</t>
  </si>
  <si>
    <t>Rashed Ahmed Yousef Mohamed Al Balooshi  -  278</t>
  </si>
  <si>
    <t>H/M/114/2024</t>
  </si>
  <si>
    <t xml:space="preserve">  A/C Works - 100 % of Contract Value </t>
  </si>
  <si>
    <t>Previouse Payments</t>
  </si>
  <si>
    <t>Discount At Invoice 108/2023</t>
  </si>
  <si>
    <t>Ertkaz building contracting LLC    / Project :MR – Abdulla Ali Mohamed Ghuloom AlHamar  -  219</t>
  </si>
  <si>
    <t>Farouk varation 12000</t>
  </si>
  <si>
    <t>Adel deelp selection change</t>
  </si>
  <si>
    <t xml:space="preserve">mohamed abbas selection change </t>
  </si>
  <si>
    <t xml:space="preserve">cancel </t>
  </si>
  <si>
    <t>suckhand leave slsry ductoment / mr.ahmed</t>
  </si>
  <si>
    <t>Purs.  Mr.Sijeesh Sept-2024 / AHMED G-211</t>
  </si>
  <si>
    <t>Purs.  Mr.Sijeesh Sept-2024 / SAIF . -215</t>
  </si>
  <si>
    <t>Purs.  Mr.Sijeesh Sept-2024 / MUHAIR -216</t>
  </si>
  <si>
    <t>Purs.  Mr.Sijeesh Sept-2024 / MOHAMED-217</t>
  </si>
  <si>
    <t>Purs.  Mr.Sijeesh Sept-2024 / Saeed .-221</t>
  </si>
  <si>
    <t>Purs.  Mr.Sijeesh Sept-2024 / HESSA-225</t>
  </si>
  <si>
    <t>Purs.  Mr.Sijeesh Sept-2024 / HAMID .-237</t>
  </si>
  <si>
    <t>Purs.  Mr.Sijeesh Sept-2024 / SHIHAB -243</t>
  </si>
  <si>
    <t>Purs.  Mr.Sijeesh Sept-2024 / FAROUQ -249</t>
  </si>
  <si>
    <t>Purs.  Mr.Sijeesh Sept-2024 / HBC MOH-252</t>
  </si>
  <si>
    <t>Purs.  Mr.Sijeesh Sept-2024 / NAEEA B-254</t>
  </si>
  <si>
    <t>Purs.  Mr.Sijeesh Sept-2024 / Essa KH-255</t>
  </si>
  <si>
    <t>Purs.  Mr.Sijeesh Sept-2024 / ADNAN 4-256</t>
  </si>
  <si>
    <t>Purs.  Mr.Sijeesh Sept-2024 / NAEEMA -257</t>
  </si>
  <si>
    <t>Purs.  Mr.Sijeesh Sept-2024 / MAJID A-258</t>
  </si>
  <si>
    <t>Purs.  Mr.Sijeesh Sept-2024 / ABDULLA-259</t>
  </si>
  <si>
    <t>Purs.  Mr.Sijeesh Sept-2024 / OMAR SU-265</t>
  </si>
  <si>
    <t>Purs.  Mr.Sijeesh Sept-2024 / Meshal -275</t>
  </si>
  <si>
    <t>Purs.  Mr.Sijeesh Sept-2024 / ABDULRH-277</t>
  </si>
  <si>
    <t>Purs.  Mr.Sijeesh Sept-2024 / Rashed -278</t>
  </si>
  <si>
    <t>Purs.  Mr.Sijeesh Sept-2024 / Omar Yo-282</t>
  </si>
  <si>
    <t>Purs.  Mr.Sijeesh Sept-2024 / ABDULLA-284</t>
  </si>
  <si>
    <t>Purs.  Mr.Sijeesh Sept-2024 / Omar Mo-286</t>
  </si>
  <si>
    <t>Ahmed helal Salem Almansoori -ERTIKAZ</t>
  </si>
  <si>
    <t xml:space="preserve"> AHMED HELAL -ERTIKAZ </t>
  </si>
  <si>
    <t xml:space="preserve">Project Visit + Report Third Pary - Ammar 242 /Eng moh </t>
  </si>
  <si>
    <t xml:space="preserve">Project Visit + Report Third Pary - ahmed hellal  202 /Eng moh </t>
  </si>
  <si>
    <t>8546 JJ</t>
  </si>
  <si>
    <t>H/M/177/2024</t>
  </si>
  <si>
    <t xml:space="preserve">Pre Fabricated G1 Duct 0.9 Gg </t>
  </si>
  <si>
    <t>Coll.Inv Sls -106/2024 Moh. Saif HBC 252    / chq 3648</t>
  </si>
  <si>
    <t>Purs. Taqeef Inv 183062 / Muhair saif 216  Lpo 158/2024</t>
  </si>
  <si>
    <t>October-24</t>
  </si>
  <si>
    <t>Capital</t>
  </si>
  <si>
    <t xml:space="preserve">Accounts   </t>
  </si>
  <si>
    <t>DB</t>
  </si>
  <si>
    <t>CR</t>
  </si>
  <si>
    <t>Blnc Of LPO To Rc.Invs</t>
  </si>
  <si>
    <t>Blnc Of LPO To Payment</t>
  </si>
  <si>
    <t>Diff In Quantity</t>
  </si>
  <si>
    <t xml:space="preserve">Quo. Received </t>
  </si>
  <si>
    <t>G:\Other computers\My Laptop\NEW ALHAZAM\PROJECTS\Projects 2024.xlsx</t>
  </si>
  <si>
    <t>Pur.Carrier Lpo 34/2024 - Adnan 256 Inv rec</t>
  </si>
  <si>
    <t>[Chq. Val= 60369][Payment. Val= 3240.5 trns pending bln from lpo 25/24 + 78/23][Inv.3160149614 Val= 34881][Inv.3160150051 Val= 28725]</t>
  </si>
  <si>
    <t xml:space="preserve"> /2 Exp / 256 / 6/10/2024 / Pur.Carrier Lpo 34/2024 - Adnan 256 Inv rec / 28728</t>
  </si>
  <si>
    <t>Eng.Moh File</t>
  </si>
  <si>
    <t>Projects File</t>
  </si>
  <si>
    <t>Invoice File</t>
  </si>
  <si>
    <t>Mr.Sijeesh File</t>
  </si>
  <si>
    <t>Payments File</t>
  </si>
  <si>
    <t>G:\Other computers\My Laptop\NEW ALHAZAM\INVOICES\2024 INVOICES\INVOICE LIST 2024.xlsx</t>
  </si>
  <si>
    <t>G:\Other computers\My Laptop\NEW ALHAZAM\ENG.MOHAMED PEETY CASH\MOHAMED.xlsx</t>
  </si>
  <si>
    <t>Folder</t>
  </si>
  <si>
    <t>G:\Other computers\My Laptop\NEW ALHAZAM\</t>
  </si>
  <si>
    <t>Details</t>
  </si>
  <si>
    <t xml:space="preserve">Advance 15% invoice </t>
  </si>
  <si>
    <t>inv 87-2024 - includ</t>
  </si>
  <si>
    <t xml:space="preserve">5 units invoice - 4 </t>
  </si>
  <si>
    <t xml:space="preserve">july invoices  best </t>
  </si>
  <si>
    <t>july invoices  bab t</t>
  </si>
  <si>
    <t xml:space="preserve">LPO 9-2024 Moh saif </t>
  </si>
  <si>
    <t>Mr.sijeesh /Increase</t>
  </si>
  <si>
    <t>Lpo 32-2024 / Essa k</t>
  </si>
  <si>
    <t>Lpo 05/2024 Naeema s</t>
  </si>
  <si>
    <t>Salay August 24 /Ans</t>
  </si>
  <si>
    <t xml:space="preserve">Mr.Sijeesh custody  </t>
  </si>
  <si>
    <t>Inv 55/2024 -ahmed h</t>
  </si>
  <si>
    <t>Inv 56/2024 -ahmed h</t>
  </si>
  <si>
    <t>Inv 102/2024 - mesha</t>
  </si>
  <si>
    <t>Chq 883 - Increase m</t>
  </si>
  <si>
    <t xml:space="preserve">Chq 927 - Carrier - </t>
  </si>
  <si>
    <t>august payments - Al</t>
  </si>
  <si>
    <t>August payments - ba</t>
  </si>
  <si>
    <t>Balance invoice from</t>
  </si>
  <si>
    <t>August payments -Bes</t>
  </si>
  <si>
    <t>Payments-Carrier -Lp</t>
  </si>
  <si>
    <t xml:space="preserve">increase mr.sijeesh </t>
  </si>
  <si>
    <t>Security chq 741 - t</t>
  </si>
  <si>
    <t xml:space="preserve"> Emp. Contract Benef</t>
  </si>
  <si>
    <t xml:space="preserve"> Chq 943 -Emp. Benef</t>
  </si>
  <si>
    <t xml:space="preserve"> Chq 944 -Emp. Benef</t>
  </si>
  <si>
    <t xml:space="preserve"> Chq 945 -Emp. Benef</t>
  </si>
  <si>
    <t xml:space="preserve"> Chq 946 -Emp. Benef</t>
  </si>
  <si>
    <t xml:space="preserve">carrie - Lpo05/2024 </t>
  </si>
  <si>
    <t>carrie - Lpo 138/202</t>
  </si>
  <si>
    <t>carrie - Lpo 34/2024</t>
  </si>
  <si>
    <t xml:space="preserve">Sales Inv. 100/2024 </t>
  </si>
  <si>
    <t xml:space="preserve">MACS / August Bills </t>
  </si>
  <si>
    <t>Housing allowance  -</t>
  </si>
  <si>
    <t>Security chq 743 - t</t>
  </si>
  <si>
    <t>Chq 949 / Carrier Lp</t>
  </si>
  <si>
    <t>Salary September 9-2</t>
  </si>
  <si>
    <t>Chq 950 / Increase m</t>
  </si>
  <si>
    <t>Coll.Inv Sls -106/20</t>
  </si>
  <si>
    <t xml:space="preserve">Cash Flow </t>
  </si>
  <si>
    <t>34870 97588</t>
  </si>
  <si>
    <t>رقم مكاني</t>
  </si>
  <si>
    <t>Pur. Carrier Lpo 165/24 - Meshal 275 -Recvd</t>
  </si>
  <si>
    <t>Pur. Carrier Lpo 48/2024  -Majid shihi 258 -Recvd</t>
  </si>
  <si>
    <t xml:space="preserve"> /2 Exp / 275 / 18/9/2024 / Pur. Carrier Lpo 165/24 - Meshal 275 -Recvd / 24706.5</t>
  </si>
  <si>
    <t>[ Val= chq 927 =24707][Inv.3160149268 Val= 24706.5]</t>
  </si>
  <si>
    <t xml:space="preserve"> /LPO Inv Received / </t>
  </si>
  <si>
    <t xml:space="preserve"> /2 Exp / 258 / 3/10/2024 / Pur. Carrier Lpo 48/2024  -Majid shihi 258 -Recvd / 26418</t>
  </si>
  <si>
    <t>[Chq. Val= 26418][Inv.3160149979 Val= 26418]</t>
  </si>
  <si>
    <t>G:\Other computers\My Laptop\NEW ALHAZAM\LPO\2024</t>
  </si>
  <si>
    <t>Chqs Paid Not received</t>
  </si>
  <si>
    <t xml:space="preserve">Sales Inv 107/2024 - Muhair 216 - Paid </t>
  </si>
  <si>
    <t xml:space="preserve"> /2 Exp / 216 / 8/10/2024 / Sales Inv 107/2024 - Muhair 216 - Paid  / 9702 / Inv  Coll / 107 / 0</t>
  </si>
  <si>
    <t xml:space="preserve"> /1 Coll / 216 / 8/10/2024 / Sales Inv 107/2024 - Muhair 216 - Paid  / 9702 /  / Inv  Coll / 107 / 9702</t>
  </si>
  <si>
    <t xml:space="preserve">essa khalifa varation 6700 </t>
  </si>
  <si>
    <t xml:space="preserve">meshal saqer varation 9550 </t>
  </si>
  <si>
    <t>يوجد عقد ب 125 الف خاص بالعميل // Varation Aproved by 9550 AED @8-10-2024</t>
  </si>
  <si>
    <t xml:space="preserve">Payment - Meshal Saqer 275 / Transfer Part of Varation </t>
  </si>
  <si>
    <t xml:space="preserve"> /1 Coll / 275 / 8/10/2024 / Payment - Meshal Saqer 275 / Transfer Part of Varation  / 3550 / </t>
  </si>
  <si>
    <t>aproved / no doc yet</t>
  </si>
  <si>
    <t>Reduced 1 hrs / was off     5 / August</t>
  </si>
  <si>
    <t>Reduced 2 hrs / was off     5 + 6/  August</t>
  </si>
  <si>
    <t xml:space="preserve">Over Time  { From 29-7 July : 16-9 Sept.  } </t>
  </si>
  <si>
    <t>Hour Rate 8 hrs / day</t>
  </si>
  <si>
    <t xml:space="preserve">Over Time Hrs </t>
  </si>
  <si>
    <t>Net Value</t>
  </si>
  <si>
    <t xml:space="preserve">Over Time AED </t>
  </si>
  <si>
    <t>Over time   Total</t>
  </si>
  <si>
    <t>cut  250 AED / 50% of Car fines //Pending @250 Aed</t>
  </si>
  <si>
    <t>cut  300 AED / 50% of Car fines  // Pending @300 Aed</t>
  </si>
  <si>
    <t>H/M/115/2024</t>
  </si>
  <si>
    <t>Varation ( Liner Slot Grill )</t>
  </si>
  <si>
    <t>Marzooq Abdullah Mohamed ALMatroshi  -  246</t>
  </si>
  <si>
    <t>No Dirham and No Fils</t>
  </si>
  <si>
    <t>Var Slot liner in cntrct</t>
  </si>
  <si>
    <t>H/M/116/2024</t>
  </si>
  <si>
    <t>A/C Works - 100 % of Duct work (25% )</t>
  </si>
  <si>
    <t xml:space="preserve">Deduction  -  Advance Value  ( 5% ) </t>
  </si>
  <si>
    <t>Abdulrahman Essa Ali Yousuf Alsher  -  277</t>
  </si>
  <si>
    <t xml:space="preserve">Coll Inv 106/24 /abdurahman essa 277 - cash </t>
  </si>
  <si>
    <t xml:space="preserve"> /1 Coll / 277 / 10/10/2024 / Coll Inv 106/24 /abdurahman essa 277 - cash  / 28350 /  / Inv  Coll / 106 / 28350</t>
  </si>
  <si>
    <t xml:space="preserve">Increase mr.Sijeesh </t>
  </si>
  <si>
    <t>H/M/117/2024</t>
  </si>
  <si>
    <t>H/M/118/2024</t>
  </si>
  <si>
    <t>Farouq Mohamed Ameen Marzoki  -  249</t>
  </si>
  <si>
    <t xml:space="preserve">Saif Ali Hussain Abass </t>
  </si>
  <si>
    <t xml:space="preserve">Private Villa (B + G + 1) </t>
  </si>
  <si>
    <t xml:space="preserve">Wadi Shabak– Dubai </t>
  </si>
  <si>
    <t xml:space="preserve">review carrier // Contract with Constuctor 375000 // Diff 50000 will be paid by Mr. Saif </t>
  </si>
  <si>
    <t>H/M/119/2024</t>
  </si>
  <si>
    <t>A/C Service   ( 12 ) a/c units</t>
  </si>
  <si>
    <t>Change Cable Outdoor To A/C Rotor   ( 2 ) a/c Units</t>
  </si>
  <si>
    <t xml:space="preserve">Repare Gas Leak  </t>
  </si>
  <si>
    <t xml:space="preserve">Dr. Ibtisam   / Maintance /  </t>
  </si>
  <si>
    <t>A/C Service For ( 10 ) A/C units</t>
  </si>
  <si>
    <t>arrived  14-10</t>
  </si>
  <si>
    <t>H/M/178/2024</t>
  </si>
  <si>
    <t>***LPO End ****</t>
  </si>
  <si>
    <t>38KHB036HN-1</t>
  </si>
  <si>
    <t>42KHB036HN-1</t>
  </si>
  <si>
    <t>H/M/179/2024</t>
  </si>
  <si>
    <t>**LPO End ***</t>
  </si>
  <si>
    <t xml:space="preserve"> AE/RLC/102/QT/
3110141377/1024</t>
  </si>
  <si>
    <t>Adel Saqar Faraj Saqer - External</t>
  </si>
  <si>
    <t>H/M/999/2024</t>
  </si>
  <si>
    <t xml:space="preserve">BARE GI DUCT (AGIS UAE)  0.56 MM </t>
  </si>
  <si>
    <t>Quo Not Reveiced</t>
  </si>
  <si>
    <t>H/M/07/2024</t>
  </si>
  <si>
    <t>contract 24 mr.ahmed // ertikaz</t>
  </si>
  <si>
    <t>H/M/120/2024</t>
  </si>
  <si>
    <t xml:space="preserve">A/C Work - Progress   100 % of Contract </t>
  </si>
  <si>
    <t xml:space="preserve">Varation - Slot Liner Grill </t>
  </si>
  <si>
    <t>Deductions -  All Previouse Payments</t>
  </si>
  <si>
    <t>Hassan Khamis Naqib  -  234</t>
  </si>
  <si>
    <t>8639 RJ</t>
  </si>
  <si>
    <t>H/M/180/2024</t>
  </si>
  <si>
    <t>Pre Fabricated G1 Duct 0.7 MM</t>
  </si>
  <si>
    <t>Hassan Khamis Naqib Khamis Almusharak</t>
  </si>
  <si>
    <t xml:space="preserve">مريم عبيد الفلاسى   </t>
  </si>
  <si>
    <t xml:space="preserve">
H/M/99/2022
</t>
  </si>
  <si>
    <t>Processed</t>
  </si>
  <si>
    <t>   57,835</t>
  </si>
  <si>
    <t>no</t>
  </si>
  <si>
    <t xml:space="preserve">Allowed Discount - Meshal Saqer 275 / For new contract 24 /2024 </t>
  </si>
  <si>
    <t>Sls Inv 90/24 Saeed Khalifa 221 - 100% of contract + Varation</t>
  </si>
  <si>
    <t xml:space="preserve"> /1 Coll / 275 / 14/10/2024 / Allowed Discount - Meshal Saqer 275 / For new contract 24 /2024  / 3000 / </t>
  </si>
  <si>
    <t xml:space="preserve"> / Inv  Coll / 90 / 0</t>
  </si>
  <si>
    <t xml:space="preserve"> /1 Coll / 221 / 14/10/2024 / Sls Inv 90/24 Saeed Khalifa 221 - 100% of contract + Varation / 22634 / 1118.2</t>
  </si>
  <si>
    <t xml:space="preserve"> /1 Coll / 249 / 12/10/2024 / Coll Inv 118/24 Farouq 249  / 86184 / 4104 / Inv  Coll / 118 / 90288</t>
  </si>
  <si>
    <t>Coll Inv 120/24 Hassan Naqib 234  /100% contract +Varartion</t>
  </si>
  <si>
    <t xml:space="preserve"> /1 Coll / 234 / 14/10/2024 / Coll Inv 120/24 Hassan Naqib 234  /100% contract +Varartion / 16054.5 / 764.5 / Inv  Coll / 120 / 16054.5</t>
  </si>
  <si>
    <t xml:space="preserve"> / LPO Chq paid / </t>
  </si>
  <si>
    <t>Chq 952  Carrier /15</t>
  </si>
  <si>
    <t>[Inv.183062 Val= 18609.52][Chq.trnsfr Val= 18609.52]</t>
  </si>
  <si>
    <t>Coll Inv 118/24 Farouq 249  chq 22 /14-10-2024</t>
  </si>
  <si>
    <t>Coll Inv 118/24 Faro</t>
  </si>
  <si>
    <t xml:space="preserve">Replaced By Inv 120 </t>
  </si>
  <si>
    <t>SHIP TO 7SEAS /SIJ</t>
  </si>
  <si>
    <t>internet sij home may</t>
  </si>
  <si>
    <t>phoe bill maysij</t>
  </si>
  <si>
    <t>SIJ CHILDREN SCHOOL CHQ NO 849</t>
  </si>
  <si>
    <t>BILL PHOE MAY 2024 ENG MOH</t>
  </si>
  <si>
    <t>INCREASE SIJ CH867</t>
  </si>
  <si>
    <t>COM/FATMA ESSA PROJECT</t>
  </si>
  <si>
    <t>2 mobile phoe for accounts office</t>
  </si>
  <si>
    <t>new pc for accounts office</t>
  </si>
  <si>
    <t>sewa sijeesh may 24</t>
  </si>
  <si>
    <t>sewa labours may</t>
  </si>
  <si>
    <t>etisalat may office</t>
  </si>
  <si>
    <t>increase sij chk 869</t>
  </si>
  <si>
    <t>increase sij chk 870</t>
  </si>
  <si>
    <t>EGN MOHAMED LAPTOP REPAIR</t>
  </si>
  <si>
    <t>DEWA BILL MAY 24</t>
  </si>
  <si>
    <t>ENG MOHAMED CASH WITHDRAW</t>
  </si>
  <si>
    <t>ENG MOHAMED BAK WITHDRAW</t>
  </si>
  <si>
    <t>MOHAMED ROOM RENT - 620</t>
  </si>
  <si>
    <t>NEW WORK ENTRY PERMIT FOR GABER</t>
  </si>
  <si>
    <t>RENEW LABOR CARD SIJ</t>
  </si>
  <si>
    <t>RENEW LABOUR CARD SIJ</t>
  </si>
  <si>
    <t>RENEW WORK ELECTRIC PERMIT</t>
  </si>
  <si>
    <t>MODIFY PERSON INFORMATION</t>
  </si>
  <si>
    <t>DUBAI INSURANCE.</t>
  </si>
  <si>
    <t>ANURAJ NEW VISA EXP FEES PAYMENT</t>
  </si>
  <si>
    <t>ANURAJ NEW VISA EXP</t>
  </si>
  <si>
    <t>GABER MEDIC+ ID</t>
  </si>
  <si>
    <t>NEW RESIDENCY FOR GABER</t>
  </si>
  <si>
    <t>fees payment (second visit-2/3) gaber mohamed</t>
  </si>
  <si>
    <t>Off CLEAN may 24</t>
  </si>
  <si>
    <t>off note books</t>
  </si>
  <si>
    <t>off backcover + glass</t>
  </si>
  <si>
    <t>Off coffee</t>
  </si>
  <si>
    <t>off water</t>
  </si>
  <si>
    <t>off coff</t>
  </si>
  <si>
    <t>off suger</t>
  </si>
  <si>
    <t>off repair lumb</t>
  </si>
  <si>
    <t>transportation in eid / gaber</t>
  </si>
  <si>
    <t>off bens</t>
  </si>
  <si>
    <t>off</t>
  </si>
  <si>
    <t>off clean june 24</t>
  </si>
  <si>
    <t>petro / sij</t>
  </si>
  <si>
    <t>sij / grocery</t>
  </si>
  <si>
    <t>airport parking sij</t>
  </si>
  <si>
    <t>sij daguther E ID</t>
  </si>
  <si>
    <t>anurag kumar june24 salary</t>
  </si>
  <si>
    <t>2 new sim card</t>
  </si>
  <si>
    <t>medicen /mohman</t>
  </si>
  <si>
    <t>oman bus + visa / gaber</t>
  </si>
  <si>
    <t>rechage mr.ahmed phone</t>
  </si>
  <si>
    <t>sij phone installment</t>
  </si>
  <si>
    <t>rateesh bill june 24</t>
  </si>
  <si>
    <t>stickers</t>
  </si>
  <si>
    <t>Banners</t>
  </si>
  <si>
    <t>capacitor + ac map</t>
  </si>
  <si>
    <t>drill machine</t>
  </si>
  <si>
    <t>gas r 22</t>
  </si>
  <si>
    <t>tube bender</t>
  </si>
  <si>
    <t>lever type</t>
  </si>
  <si>
    <t>hand swaging</t>
  </si>
  <si>
    <t>ahmed car</t>
  </si>
  <si>
    <t>ahmed car  wash june 24</t>
  </si>
  <si>
    <t>sijeesh car</t>
  </si>
  <si>
    <t>sijeesh car repair june 24</t>
  </si>
  <si>
    <t>rateesh car wash</t>
  </si>
  <si>
    <t>rateesh car</t>
  </si>
  <si>
    <t>rateesh car repairs june 24</t>
  </si>
  <si>
    <t>Main income 6-24 / khld shiba</t>
  </si>
  <si>
    <t>Main income 6-24 / dubai land</t>
  </si>
  <si>
    <t>Main income 6-24 / saeedfalasi</t>
  </si>
  <si>
    <t>Main income 6-24 / sij</t>
  </si>
  <si>
    <t>ENOC BILL 6/2024</t>
  </si>
  <si>
    <t>OVER TIMEJUNE 24 ENG MOH</t>
  </si>
  <si>
    <t>PETROL ENG MOH JUNE 24</t>
  </si>
  <si>
    <t>ADVERTISE ENG MOH JUNE 24</t>
  </si>
  <si>
    <t>VAT RETURNS 4-6/2024</t>
  </si>
  <si>
    <t>VAT RETURNS 4-6/2024 FEES</t>
  </si>
  <si>
    <t>VAT RETURNS 4-6/2024 VAT</t>
  </si>
  <si>
    <t>VAT RETURNS 4-6/2024 CASH</t>
  </si>
  <si>
    <t>basem custody diff /rec 1658</t>
  </si>
  <si>
    <t>commerical lisense renew 3-7-2024 to 3-7-2025</t>
  </si>
  <si>
    <t>salary june 24</t>
  </si>
  <si>
    <t>fees /salary june 24</t>
  </si>
  <si>
    <t>PHONE BILL SIJ 6/24</t>
  </si>
  <si>
    <t>PHONE BILL SIJ 6/24  FEES</t>
  </si>
  <si>
    <t>NET SIJ 6/2024</t>
  </si>
  <si>
    <t>Cash salary/gaber rec1659 -eg moh</t>
  </si>
  <si>
    <t>cash withdraw from bank/increase</t>
  </si>
  <si>
    <t>cash withdraw from bank/increase eng moh</t>
  </si>
  <si>
    <t>chq874 increase custody</t>
  </si>
  <si>
    <t>chq875 increase custody</t>
  </si>
  <si>
    <t>chq875 increase custody  sij 12-6</t>
  </si>
  <si>
    <t>chq874 increase custody  sij 12-6</t>
  </si>
  <si>
    <t>ARCHPIX -RASHED YOUSEF PRO 278</t>
  </si>
  <si>
    <t>ARCHPIX -RASHED YOUSEF PRO 278  COMMISSION</t>
  </si>
  <si>
    <t>ARCHPIX -RASHED YOUSEF PRO 278  COMMISSION CHQ 877</t>
  </si>
  <si>
    <t>taqeef visit chagres pro 204</t>
  </si>
  <si>
    <t>PLOTTING FARQ249</t>
  </si>
  <si>
    <t>FOOD STAFF ESSA255</t>
  </si>
  <si>
    <t>A1 PRINT +A2 PRINT</t>
  </si>
  <si>
    <t>SEWA SIJ APARTMENT 6/24</t>
  </si>
  <si>
    <t>SEWA LABORS 6-2024</t>
  </si>
  <si>
    <t>JUNE 2024OFFICE</t>
  </si>
  <si>
    <t>DEWA JUNE 2024OFFICE</t>
  </si>
  <si>
    <t>petrol-saeed archpix 221</t>
  </si>
  <si>
    <t>OFFICE SUPP - SUGER + OTHER ENG MOH</t>
  </si>
  <si>
    <t>RENEW SIJ ID</t>
  </si>
  <si>
    <t>YOUSEF YAQOUB</t>
  </si>
  <si>
    <t>HARIS</t>
  </si>
  <si>
    <t>PARKING 5 TICKTS</t>
  </si>
  <si>
    <t>RECHAGE MR.AHMED JUKY</t>
  </si>
  <si>
    <t>PARKING</t>
  </si>
  <si>
    <t>ENERGIZER</t>
  </si>
  <si>
    <t>ANURAGE JULY SALAY</t>
  </si>
  <si>
    <t>SIJ CAR BREAKS +OIL</t>
  </si>
  <si>
    <t>SPARY +OTHER</t>
  </si>
  <si>
    <t>SAFETY SHOES</t>
  </si>
  <si>
    <t>DRILL</t>
  </si>
  <si>
    <t>AHMED CAR WASH +OIL</t>
  </si>
  <si>
    <t>AHMED CAR NSOR</t>
  </si>
  <si>
    <t>SIJESSH EID</t>
  </si>
  <si>
    <t>LADDER</t>
  </si>
  <si>
    <t>RATEESH PHONE JULY</t>
  </si>
  <si>
    <t>SIJ CAR OIL+ GEAR OIL</t>
  </si>
  <si>
    <t>SIJ CAR BREKS</t>
  </si>
  <si>
    <t>OMAN VISIT ANURAG</t>
  </si>
  <si>
    <t>PHOTOS</t>
  </si>
  <si>
    <t>RATEESH CAR WASH</t>
  </si>
  <si>
    <t>MOHANA MEDICIEN</t>
  </si>
  <si>
    <t>AHMEDAUGUST</t>
  </si>
  <si>
    <t>5 TICKTS</t>
  </si>
  <si>
    <t>WATER</t>
  </si>
  <si>
    <t>SIJ CAR WASH</t>
  </si>
  <si>
    <t>AHMED CAR FULL BODY WASH</t>
  </si>
  <si>
    <t>AHMED CAR TYER</t>
  </si>
  <si>
    <t>AHMED BREAKS &amp; OTHERS</t>
  </si>
  <si>
    <t>JULY OFFICE EXP</t>
  </si>
  <si>
    <t>depaak -Moh abbas 281</t>
  </si>
  <si>
    <t>depaak -gaith 280</t>
  </si>
  <si>
    <t>depaak -rashed ahmyousef 278</t>
  </si>
  <si>
    <t>depaak -abdurahman shair277</t>
  </si>
  <si>
    <t>depaak -fatam essia 276</t>
  </si>
  <si>
    <t>depaak -paymets fees</t>
  </si>
  <si>
    <t>depaak -july</t>
  </si>
  <si>
    <t>PETROL AYA 254</t>
  </si>
  <si>
    <t>OFFICES SUPPLIES SUGER+OTHER</t>
  </si>
  <si>
    <t>PETROL+A1PLOTTING -AMNA262</t>
  </si>
  <si>
    <t>mobile bile eg moh june 24</t>
  </si>
  <si>
    <t>RECHARGE ENOC</t>
  </si>
  <si>
    <t>INCREASE SIJEESH CHQ 892</t>
  </si>
  <si>
    <t>renew suchad id</t>
  </si>
  <si>
    <t>update compay data</t>
  </si>
  <si>
    <t>dubai insurance suchand</t>
  </si>
  <si>
    <t>renew work permit suchand</t>
  </si>
  <si>
    <t>renew -register id card suchand</t>
  </si>
  <si>
    <t>medical + id suchand</t>
  </si>
  <si>
    <t>FEE ENG MOH HOME RENT FEES</t>
  </si>
  <si>
    <t>HOUSING ENG MOH 8/24 TO 8/25</t>
  </si>
  <si>
    <t>HOUSING ENG MOH 8/24 TO 8/25/CAR PARKIG</t>
  </si>
  <si>
    <t>FOOD STAFF-AMMAR 242</t>
  </si>
  <si>
    <t>RENEW ID SUCKSHAND</t>
  </si>
  <si>
    <t>RECHAGE NAQODI</t>
  </si>
  <si>
    <t>FEE RECHAGE NAQODI</t>
  </si>
  <si>
    <t>VAT RECHAGE NAQODI</t>
  </si>
  <si>
    <t>FOOD STAFF - AMMAR 242</t>
  </si>
  <si>
    <t>CASH WITHDRAW ENG MOH</t>
  </si>
  <si>
    <t>FOOD STAFF -AMMAR 242</t>
  </si>
  <si>
    <t>FOOD STAFF NAIMYA257</t>
  </si>
  <si>
    <t>INCREASE CHQ 898</t>
  </si>
  <si>
    <t>INCREASE CHQ 898 SIJEESH</t>
  </si>
  <si>
    <t>FOOD STAFF SHAMS 279</t>
  </si>
  <si>
    <t>FOOD STAFF ADNAN 256</t>
  </si>
  <si>
    <t>TAXI -AMMAR 242</t>
  </si>
  <si>
    <t>salay 7-2024</t>
  </si>
  <si>
    <t>salay 7-2024 fees</t>
  </si>
  <si>
    <t>salay 7-2024 chq900</t>
  </si>
  <si>
    <t>PLOTTING + SPRAY RASHED 278</t>
  </si>
  <si>
    <t>ENOC BILL 7-24</t>
  </si>
  <si>
    <t>ENOC BILL 7-24  VAT</t>
  </si>
  <si>
    <t>INCREASE SIJ CQ904</t>
  </si>
  <si>
    <t>FOOD STAFF AMMAR 242</t>
  </si>
  <si>
    <t>FOOD STAFF RASHED 264</t>
  </si>
  <si>
    <t>INCREASE ENG MOH CASH WITH</t>
  </si>
  <si>
    <t>FOOD STAFF MOH HBC 252</t>
  </si>
  <si>
    <t>com/areej-omar yousef 282</t>
  </si>
  <si>
    <t>FOODSTAFF SHAMS 279</t>
  </si>
  <si>
    <t>PETROL  SHAMS 279</t>
  </si>
  <si>
    <t>increase eng moh-withdraw</t>
  </si>
  <si>
    <t>increase sij chq 915</t>
  </si>
  <si>
    <t>recharcge enco</t>
  </si>
  <si>
    <t>TAXI SHAMS -279</t>
  </si>
  <si>
    <t>increase sij chq 918</t>
  </si>
  <si>
    <t>FOOD STAFF</t>
  </si>
  <si>
    <t>increase sij chq920</t>
  </si>
  <si>
    <t>MAINT. INCOME 7-2024- HARIS VILLA</t>
  </si>
  <si>
    <t>MAINT INCOME -7/24  BLOSHI-TRNASER</t>
  </si>
  <si>
    <t>new residency -anurag</t>
  </si>
  <si>
    <t>INCREASE - CASH WITHDRAW</t>
  </si>
  <si>
    <t>INCREASE - CASH WITHDRAW ENG MOH</t>
  </si>
  <si>
    <t>INCREASE - CSH WITHDRAW</t>
  </si>
  <si>
    <t>INCREASE - CSH WITHDRAW ENG MOH</t>
  </si>
  <si>
    <t>OFFICE RENT 2ND PAYMENT CHQ NO 841</t>
  </si>
  <si>
    <t>AHMED EW PHONE CHARGE</t>
  </si>
  <si>
    <t>AHMED EW PHONE CHARGE / OTHER NO</t>
  </si>
  <si>
    <t>AHMED EW PHONE CHARGE /</t>
  </si>
  <si>
    <t>PARKING , SIJEESH CAR</t>
  </si>
  <si>
    <t>STAFF PHOE 8-2024 - SIJ</t>
  </si>
  <si>
    <t>TESTER +HOSE  CLIP</t>
  </si>
  <si>
    <t>GAS REGULATOR +CUTTING TOURCH +OTHER</t>
  </si>
  <si>
    <t>LADER 9 STEPS</t>
  </si>
  <si>
    <t>CASH WASH AHMED</t>
  </si>
  <si>
    <t>CASH WASH +OIL CHANGE SIJEESH</t>
  </si>
  <si>
    <t>REOAIRES CAR RETISSH</t>
  </si>
  <si>
    <t>TUBELESS CAR -RETEESH</t>
  </si>
  <si>
    <t>DUCT4 INCH INSULATED + OTHER</t>
  </si>
  <si>
    <t>FITTING CRIMPING HOSE</t>
  </si>
  <si>
    <t>BATTERY +CHARGER</t>
  </si>
  <si>
    <t>PHONE - RETEESH 8-2024</t>
  </si>
  <si>
    <t>REPAIR CHARES</t>
  </si>
  <si>
    <t>SALARIES 8/24 - ANSARI CHQ 926</t>
  </si>
  <si>
    <t>SALARIES 8/24 - ANSARI CHQ 926 FEES</t>
  </si>
  <si>
    <t>SALARIES 8/24 - ANSARI CHQ 926 VAT</t>
  </si>
  <si>
    <t>ENOC BILL 8-24</t>
  </si>
  <si>
    <t>ENOC BILL 8-24 VAT</t>
  </si>
  <si>
    <t>INCEASE MR SIJEESH CHQ 882</t>
  </si>
  <si>
    <t>RENEW EST.Card to 2025</t>
  </si>
  <si>
    <t>RENEW EST.Card to 2025 VAT</t>
  </si>
  <si>
    <t>RENEW EST.Card to 2025 FEES NOQODI</t>
  </si>
  <si>
    <t>RENEW EST.Card to 2025  FEES VAT</t>
  </si>
  <si>
    <t>TO MR.ISMAIL KAFEL BY ENG MOH</t>
  </si>
  <si>
    <t>INCREASE MR.SIJEESH 19-8</t>
  </si>
  <si>
    <t>INCREASE MR.SIJEESH 21/8</t>
  </si>
  <si>
    <t>INCREASE MR.SIJEESH 29/8</t>
  </si>
  <si>
    <t>INCREASE MR.SIJEESH BILL 8-24</t>
  </si>
  <si>
    <t>ENOC RECHARGE 25/8</t>
  </si>
  <si>
    <t>OFF NET BILL 8-24</t>
  </si>
  <si>
    <t>NOQODI CHRG 4/9</t>
  </si>
  <si>
    <t>NOQODI CHRG 4/9 FEES</t>
  </si>
  <si>
    <t>NOQODI CHRG 4/9 FEES VAT</t>
  </si>
  <si>
    <t>OFFICE /TISSUE + BAGS + OTHER</t>
  </si>
  <si>
    <t>NEW QUOTA APPLY</t>
  </si>
  <si>
    <t>NEW QUOTA APPLY FEES</t>
  </si>
  <si>
    <t>ANURAG/DUBAI INSURANCE</t>
  </si>
  <si>
    <t>ANURAG/WORK CONTRACT</t>
  </si>
  <si>
    <t>ANURAG/MIDEAL + ID</t>
  </si>
  <si>
    <t>ANURAG/CONTRACT SUBMISSION</t>
  </si>
  <si>
    <t>INCREASE MR.SIJEESH CHQ 883</t>
  </si>
  <si>
    <t>PHONE BILL-8/24- ENG MOH PHONE 5452</t>
  </si>
  <si>
    <t>PHONE BILL-7/24- ENG MOH PHONE 5452</t>
  </si>
  <si>
    <t>PHONE BILL-6/24- ENG MOH PHONE 5452</t>
  </si>
  <si>
    <t>ENOCH RECHARGE /ENG MOH@ 22-9 -2024</t>
  </si>
  <si>
    <t>SALK ACC RECHAGE FROM 11/2023 TO 9/2024 -ENG MOH</t>
  </si>
  <si>
    <t>CHQ 938 INCREASE MR.SIJEESH</t>
  </si>
  <si>
    <t>INCREASE SIJ / CASH DEPOSIT</t>
  </si>
  <si>
    <t>MR.SIJ MOBILE 8289 BILL 7-24 @1-8-2024</t>
  </si>
  <si>
    <t>MR.SIJ MOBILE BILL 7-24 @1-8-2024</t>
  </si>
  <si>
    <t>MR.SIJ MOBILE 8289 BILL 8-24 @1-9-2024</t>
  </si>
  <si>
    <t>MR.SIJ HOME NET 8-204 @ 1-9-2024</t>
  </si>
  <si>
    <t>SEWA - STAFF HUS 7-24 @12/7</t>
  </si>
  <si>
    <t>SEWA - STAFF HUS 8-24 @9/8</t>
  </si>
  <si>
    <t>SEWA - STAFF HUS 9-24 @9/9</t>
  </si>
  <si>
    <t>SEWA - SIJEESH HUS 7-24 @12/7</t>
  </si>
  <si>
    <t>SEWA - SIJEESH HUS 8-24 @9/8</t>
  </si>
  <si>
    <t>SEWA - SIJEESH HUS 9-24 @9/9</t>
  </si>
  <si>
    <t>GAS- SIJ HUS 8-24 @8/9</t>
  </si>
  <si>
    <t>GAS- STAFF HUS 8-24 @8/9</t>
  </si>
  <si>
    <t>PRINTER INK - COLOR / OFFICE</t>
  </si>
  <si>
    <t>EMP.BENEFITS ENG MOH /2024 - SCHOOL EXPENSES//CHQS 943 10-10-24+944 15-12-24+94515-2/25+946 15-4-25</t>
  </si>
  <si>
    <t>EMP.BENEFITS 2024/SCHOOL EXPNSES CHQ 941 10/10/24</t>
  </si>
  <si>
    <t>DEWA BILL/OFFICE 8-2024</t>
  </si>
  <si>
    <t>car 84130j insurancerenew to 14/10/2025</t>
  </si>
  <si>
    <t>car 38575 R insurancerenew to 14/10/2025</t>
  </si>
  <si>
    <t>renew cars insurance 3587 R + 84130 J to 14/10/2025</t>
  </si>
  <si>
    <t>VISA/TUFAYEL / JOBOFFR+CINTRACT</t>
  </si>
  <si>
    <t>VISA/TUFAYEL / DUBAIINSURANCE</t>
  </si>
  <si>
    <t>VISA/TUFAYEL / DUBAIINSURANCE VAT</t>
  </si>
  <si>
    <t>VISA/TUFAYEL / WORK PERMIT APPROVE</t>
  </si>
  <si>
    <t>VISA/TUFAYEL / WORK PERMIT APPROVE + JOB OFFR + DUBAI INSURANCE</t>
  </si>
  <si>
    <t>RENEW ID / RAJESH/TO 2026 -WRK PERMIT</t>
  </si>
  <si>
    <t>RENEW ID / RAJESH/TO 2026 -LABOUR CARD</t>
  </si>
  <si>
    <t>RENEW ID / RAJESH/TO 2026 -DUBAI INSURANCE</t>
  </si>
  <si>
    <t>RENEW ID / RAJESH/TO 2026 -DUBAI INSURANCE VAT</t>
  </si>
  <si>
    <t>RENEW ID / RAJESH/TO 2026 -WRK PERMINT + LBUR CARD +DUBAI INSURANCE +</t>
  </si>
  <si>
    <t>salary sept-2024 chq 948</t>
  </si>
  <si>
    <t>ENOC BILL 9-2024</t>
  </si>
  <si>
    <t>ENOC BILL 9-2024 VAT</t>
  </si>
  <si>
    <t>MAINTANCE INCOMESEPT - 2024 MR.SIJEESH</t>
  </si>
  <si>
    <t>THIRD PARTY VISIT TO AMMAR PROJECT 242</t>
  </si>
  <si>
    <t>THIRD PARTY VISIT TO  AHMED HILAL PROJECT 202</t>
  </si>
  <si>
    <t>THIRD PARTY VISIT TO  AHMED HILAL PROJECT 202 + AMMAR 242</t>
  </si>
  <si>
    <t>AHMED PHONE 9-24/SIJ EXP 9-24</t>
  </si>
  <si>
    <t>COPY PAPAR /SIJEESH EXP9-24</t>
  </si>
  <si>
    <t>/SIJ EXP 9-24</t>
  </si>
  <si>
    <t>AHMED PHONE 9-24/SIJ EXP 9-24 OTHERPHOE</t>
  </si>
  <si>
    <t>CABLE INV /SIJ EXP 9-24 OTHERPHOE</t>
  </si>
  <si>
    <t>CARS WASH 84130 /SIJ EXP 9-24 OTHERPHOE</t>
  </si>
  <si>
    <t>SAFET JECKT /SIJ EXP 9-24</t>
  </si>
  <si>
    <t>SAFET SHOES/SIJ EXP 9-24</t>
  </si>
  <si>
    <t>ARWASH 7193SIJ EXP 9-24</t>
  </si>
  <si>
    <t>CARS WASH 35875/SIJ EXP 9-24 OTHERPHOE</t>
  </si>
  <si>
    <t>LAMP OFFICE/SIJ EXP 9-24</t>
  </si>
  <si>
    <t>HUSOING / RAJESH FOR 9-24</t>
  </si>
  <si>
    <t>CHNG OIL  CAR 65875+SIJ EXP 9-24</t>
  </si>
  <si>
    <t>PANSHER CAR 71983+SIJ EXP 9-24</t>
  </si>
  <si>
    <t>CHNG OIL  CAR 71983+SIJ EXP 9-24</t>
  </si>
  <si>
    <t>PANSHER CAR NISSAN+SIJ EXP 9-24</t>
  </si>
  <si>
    <t>NEW TWO TUUYRS 84130+SIJ EXP 9-24</t>
  </si>
  <si>
    <t>RATEESH PHONE 9-24+SIJ EXP 9-24</t>
  </si>
  <si>
    <t>CAR EXAM AHMED CAR+SIJ EXP 9-24</t>
  </si>
  <si>
    <t>SIJESH PHONE INSTALL +SIJ EXP 9-24</t>
  </si>
  <si>
    <t>OFFICE CLEAN 8-2024/ SIJ EXP</t>
  </si>
  <si>
    <t>COFFEE OFFICE / SIJ EXP 9-2024</t>
  </si>
  <si>
    <t>EXPESES 9-2024</t>
  </si>
  <si>
    <t>chq 950 increase mr.sijeesh</t>
  </si>
  <si>
    <t>Deepak -drawing- pro 279 shams</t>
  </si>
  <si>
    <t>Deepak -drawing- pro 282 omar yousef</t>
  </si>
  <si>
    <t>Deepak -drawing- pro 286 omr ahli</t>
  </si>
  <si>
    <t>Deepak -drawing- pro 285 adel  deleep</t>
  </si>
  <si>
    <t>Deepak transfer -drawing- 4 projects</t>
  </si>
  <si>
    <t>INCREASE MR.SIJEESH / CHQ 937</t>
  </si>
  <si>
    <t>RECHARGE NODODI ENG MOH</t>
  </si>
  <si>
    <t>NEW WRK PERMIT // HITE  BT - NOQODIPAY</t>
  </si>
  <si>
    <t>NEW WRK PERMIT // HITE  BT - NOQODIPAY FEES</t>
  </si>
  <si>
    <t>NEW WRK PERMIT // HITE  BT - NOQODIPAY + FEES</t>
  </si>
  <si>
    <t>VISA/NEW WRK PERMIT / TUFAYEL AHMED / NOQODIPAY</t>
  </si>
  <si>
    <t>VISA/NEW WRK PERMIT / TUFAYEL AHMED / NOQODIPAY FEES</t>
  </si>
  <si>
    <t>VISA/NEW WRK PERMIT / TUFAYEL AHMED / NOQODIPAY VAT</t>
  </si>
  <si>
    <t>OFFICE RENT 3RD PAYMENT CHQ NO 842</t>
  </si>
  <si>
    <t>Sls - Inv H/M/73/2024/ MOHAMED SAIF SHAMSI/ 228</t>
  </si>
  <si>
    <t>Sls - Inv H/M/68/2024/ FATMA ESSA ALI/ 276</t>
  </si>
  <si>
    <t>Sls - Inv H/M/69/2024/ ABDULRHMAN ESSA ALI/ 277</t>
  </si>
  <si>
    <t>Sls - Inv H/M/59/2024/ ALI SHEHI - EBTESAM/ 214</t>
  </si>
  <si>
    <t>Sls - Inv H/M/80/2024/ Yaqoub Yousef villa/ 8</t>
  </si>
  <si>
    <t>Sls - Inv H/M/81/2025/ Yaqoub Yousef villa/ 8</t>
  </si>
  <si>
    <t>Sls - Inv H/M/43/2024/ KHALIFA . ARCHPIX/ 241</t>
  </si>
  <si>
    <t>Sls - Inv H/M/14/2024./ ADNAN DUBAI SKY/ 256</t>
  </si>
  <si>
    <t>Sls - Inv H/M/24/2024/ MAJID ALSHEHY/ 258</t>
  </si>
  <si>
    <t>Sls - Inv H/M/28/2024/ ABDULLAH MIZAR/ 259</t>
  </si>
  <si>
    <t>Sls - Inv H/M/35/2024/ AREEFA AREEJ/ 261</t>
  </si>
  <si>
    <t>Sls - Inv H/M/34/2024/ ISMAIL ABDULRAHMAN/ 260</t>
  </si>
  <si>
    <t>Sls - Inv H/M/37/2024/ Rashed khalifa abid/ 264</t>
  </si>
  <si>
    <t>Sls - Inv H/M/42/2024/ Omar Sultan/ 265</t>
  </si>
  <si>
    <t>Sls - Inv H/M/79/2024/ Rashed Ahmed Yousef Mohamed - Archpix/ 278</t>
  </si>
  <si>
    <t>Sls - Inv H/M/82/2024/ Shams Saeed Sultan AL Kitbee/ 279</t>
  </si>
  <si>
    <t>Sls - Inv H/M/78/2024/ MOHAMED MUHAIR . AREEJ/ 217</t>
  </si>
  <si>
    <t>Sls - Inv H/M/70/2024/ Gaith/ 280</t>
  </si>
  <si>
    <t>Sls - Inv H/M/72/2024/ Mohamed Saif - HBC/ 252</t>
  </si>
  <si>
    <t>Sls - Inv H/M/75/2024/ SHIHAB - ERTIKAZ/ 243</t>
  </si>
  <si>
    <t>Sls - Inv H/M/84/2024/ Mohamed Abbas Al Bloushi/ 281</t>
  </si>
  <si>
    <t>Sls - Inv H/M/86/2024/ ABDULLAH JASSEM-DYNAMIC/ 250</t>
  </si>
  <si>
    <t>Sls - Inv H/M/74/2024/ SAMAH - ARCHPIX/ 222</t>
  </si>
  <si>
    <t>Sls - Inv H/M/89/2024/ Shams Saeed Sultan AL Kitbee/ 279</t>
  </si>
  <si>
    <t>Sls - Inv H/M/88/2025/ AMMAR - ARCHPIX/ 242</t>
  </si>
  <si>
    <t>Sls - Inv H/M/85/2026/ FAISAL  JASEEM - DIAGRAM/ 239</t>
  </si>
  <si>
    <t>Sls - Inv H/M/95/2024/ Omar Yousef/ 282</t>
  </si>
  <si>
    <t>Sls - Inv H/M/94/2024/ AMMAR - ARCHPIX/ 242</t>
  </si>
  <si>
    <t>Sls - Inv H/M/97/2024/ ESSA KHALIFA/ 255</t>
  </si>
  <si>
    <t>Sls - Inv H/M/57/2024/ meshaal saqar - irtekaz/ 275</t>
  </si>
  <si>
    <t>Sls - Inv H/M/98/2024/ ABDULLAH JASSEM-DYNAMIC/ 250</t>
  </si>
  <si>
    <t>Sls - Inv H/M/61/2024/ SAEED OBAID SHAMSI/ 207</t>
  </si>
  <si>
    <t>Sls - Inv H/M/96/2024/ Abdullah Mohamed saif al muhari/ 284</t>
  </si>
  <si>
    <t>Sls - Inv H/M/100/2024/ ADNAN DUBAI SKY/ 256</t>
  </si>
  <si>
    <t>Sls - Inv H/M/87/2024/ NAEEAA BENWAS/ 254</t>
  </si>
  <si>
    <t>Sls - Inv H/M/99/2024/ MOHAMED MUHAIR . AREEJ/ 217</t>
  </si>
  <si>
    <t>Sls - Inv H/M/77/2024/ MUHAIR . AREEJ ( 165000 )/ 216</t>
  </si>
  <si>
    <t>Sls - Inv H/M/101/2025/ ADEL DEELEP AHMED/ 285</t>
  </si>
  <si>
    <t>Sls - Inv H/M/108/2024/ MOHAMED MUHAIR . AREEJ/ 217</t>
  </si>
  <si>
    <t>Sls - Inv H/M/102/2024/ meshaal saqar - irtekaz/ 275</t>
  </si>
  <si>
    <t>Sls - Inv H/M/55/2024/ AHMED HELAL - ERTIKAZ/ 202</t>
  </si>
  <si>
    <t>Sls - Inv H/M/56/2025/ AHMED HELAL - ERTIKAZ/ 202</t>
  </si>
  <si>
    <t>Sls - Inv H/M/109/2025/ OMAR MOHAMMED ABD AHLI/ 286</t>
  </si>
  <si>
    <t>Sls - Inv H/M/91/2025/ MUBARAK . ARCHPIX/ 233</t>
  </si>
  <si>
    <t>Sls - Inv H/M/110/2024/ Sultan Maintenance 4 Machines/ 33</t>
  </si>
  <si>
    <t>Sls - Inv H/M/83/2024/ MAJID ALSHEHY/ 258</t>
  </si>
  <si>
    <t>Sls - Inv H/M/106/2024/ Mohamed Saif - HBC/ 252</t>
  </si>
  <si>
    <t>Sls - Inv H/M/107/2024/ MUHAIR . AREEJ ( 165000 )/ 216</t>
  </si>
  <si>
    <t>Sales to 8-10-2024</t>
  </si>
  <si>
    <t xml:space="preserve">Coll - Chq 1/6/2024CR/ MOHAMED SAIF SHAMSI/ 228/ </t>
  </si>
  <si>
    <t>Coll - Chq CASH/ ABDULRHMAN ESSA ALI/ 277/ 1797</t>
  </si>
  <si>
    <t>Coll - Chq CASH/ FATMA ESSA ALI/ 276/ 1798</t>
  </si>
  <si>
    <t>Coll - Chq TRNS/ OSMAN AHLI/ 197/ TRNS1111</t>
  </si>
  <si>
    <t>Coll - Chq TRN/ ALI SHEHI - EBTESAM/ 214/ 22222</t>
  </si>
  <si>
    <t>Coll - Chq trns/ KHALIFA . ARCHPIX/ 241/ 1657</t>
  </si>
  <si>
    <t xml:space="preserve">Coll - Chq trnsCR/ KHALIFA . ARCHPIX/ 241/ </t>
  </si>
  <si>
    <t>Coll - Chq 3706/ NAAEMA SALEH - ERTIKAZ/ 257/ 3706</t>
  </si>
  <si>
    <t>Coll - Chq trns/ Yaqoub Yousef villa/ 8/ 1656</t>
  </si>
  <si>
    <t>Coll - Chq trs/ Yaqoub Yousef villa/ 8/ 1661</t>
  </si>
  <si>
    <t>Coll - Chq 1202/ Shams Saeed Sultan AL Kitbee/ 279/ 1662</t>
  </si>
  <si>
    <t>Coll - Chq trns/ Rashed Ahmed Yousef Mohamed -/ 278/ 1663</t>
  </si>
  <si>
    <t>Coll - Chq 3422/ Gaith/ 280/ 1668</t>
  </si>
  <si>
    <t>Coll - Chq CASH/ MOHAMED MUHAIR . AREEJ/ 217/ 1669</t>
  </si>
  <si>
    <t>Coll - Chq 3404/ Mohamed Saif - HBC/ 252/ 1673</t>
  </si>
  <si>
    <t>Coll - Chq 3884/ SHIHAB - ERTIKAZ/ 243/ 1675</t>
  </si>
  <si>
    <t>Coll - Chq trs/ Mohamed Abbas Al Bloushi/ 281/ 1677</t>
  </si>
  <si>
    <t xml:space="preserve">Coll - Chq trsCR/ Mohamed Abbas Al Bloushi/ 281/ </t>
  </si>
  <si>
    <t>Coll - Chq TRNS/ ABDULLAH JASSEM-DYNAMIC/ 250/ 1681</t>
  </si>
  <si>
    <t>Coll - Chq TRNS/ SAMAH - ARCHPIX/ 222/ 1682</t>
  </si>
  <si>
    <t xml:space="preserve">Coll - Chq TRNSCR/ AMMAR - ARCHPIX/ 242/ </t>
  </si>
  <si>
    <t xml:space="preserve">Coll - Chq TRNSCR/ FAISAL  JASEEM - DIAGRAM/ 239/ </t>
  </si>
  <si>
    <t xml:space="preserve">Coll - Chq 193CR/ FAISAL  JASEEM - DIAGRAM/ 239/ </t>
  </si>
  <si>
    <t>Coll - Chq 1220/ Shams Saeed Sultan AL Kitbee/ 279/ 1692</t>
  </si>
  <si>
    <t xml:space="preserve">Coll - Chq TRNS/ Store/ 283/ </t>
  </si>
  <si>
    <t>Coll - Chq trns/ Omar Yousef/ 282/ 1801</t>
  </si>
  <si>
    <t>Coll - Chq trs/ AMMAR - ARCHPIX/ 242/ 1803</t>
  </si>
  <si>
    <t>Coll - Chq trns/ ESSA KHALIFA/ 255/ 1804</t>
  </si>
  <si>
    <t>Coll - Chq 4007/ meshaal saqar - irtekaz/ 275/ 1809</t>
  </si>
  <si>
    <t>Coll - Chq trns/ ABDULLAH JASSEM-DYNAMIC/ 250/ 1805</t>
  </si>
  <si>
    <t>Coll - Chq trs/ Abdullah Mohamed saif al muhar/ 284/ 1807</t>
  </si>
  <si>
    <t>Coll - Chq trs/ SAEED OBAID SHAMSI/ 207/ 1808</t>
  </si>
  <si>
    <t>Coll - Chq 4023/ NAAEMA SALEH - ERTIKAZ/ 257/ 1811</t>
  </si>
  <si>
    <t>Coll - Chq CSH/ MOHAMED MUHAIR . AREEJ/ 217/ CSH</t>
  </si>
  <si>
    <t>Coll - Chq CSH/ MUHAIR . AREEJ ( 165000 )/ 216/ CSH1</t>
  </si>
  <si>
    <t>Coll - Chq TRNS/ ADEL DEELEP AHMED/ 285/ 1817</t>
  </si>
  <si>
    <t>Coll - Chq TRS/ OMAR MOHAMMED ABD AHLI/ 286/ 1821</t>
  </si>
  <si>
    <t>Coll - Chq TRS/ MUBARAK . ARCHPIX/ 233/ 1822</t>
  </si>
  <si>
    <t>Coll - Chq 4107/ meshaal saqar - irtekaz/ 275/ 1818</t>
  </si>
  <si>
    <t>Coll - Chq 4106/ AHMED HELAL - ERTIKAZ/ 202/ 1820</t>
  </si>
  <si>
    <t>Coll - Chq 4108/ AHMED HELAL - ERTIKAZ/ 202/ 1819</t>
  </si>
  <si>
    <t>Coll - Chq 12223/ ADNAN DUBAI SKY/ 256/ 1825</t>
  </si>
  <si>
    <t xml:space="preserve">Coll - Chq TRNSFCR/ Sultan Maintenance 4 Machines/ 33/ </t>
  </si>
  <si>
    <t>Coll - Chq CASH T ENG MOH/IN108/ MOHAMED MUHAIR . AREEJ/ 217/ 1828</t>
  </si>
  <si>
    <t xml:space="preserve">Coll - Chq TRNSFRCR/ MAJID ALSHEHY/ 258/ </t>
  </si>
  <si>
    <t>Coll - Chq 3648/ Mohamed Saif - HBC/ 252/ 1830</t>
  </si>
  <si>
    <t>Coll - Chq CHS/ MUHAIR . AREEJ ( 165000 )/ 216/ 1827</t>
  </si>
  <si>
    <t>Coll - Chq TRNS/ meshaal saqar - irtekaz/ 275/ 1831</t>
  </si>
  <si>
    <t>Collection to 8-10-24</t>
  </si>
  <si>
    <t>Pur - Proj 249/ CSHO-01810/24/ Vend -129</t>
  </si>
  <si>
    <t>Pur - Proj 241/ CSHO-01811//24/ Vend -129</t>
  </si>
  <si>
    <t>Pur - Proj 246/ CSS1-00950/24/ Vend -129</t>
  </si>
  <si>
    <t>Pur - Proj 252/ RB2450186/ Vend -262</t>
  </si>
  <si>
    <t>Pur - Proj 246/ RB24/50303/ Vend -262</t>
  </si>
  <si>
    <t>Pur - Proj 252/ 122849/ Vend -356</t>
  </si>
  <si>
    <t>Pur - Proj 217/ 136336/ Vend -404</t>
  </si>
  <si>
    <t>Pur - Proj 246/ 38741/ Vend -381</t>
  </si>
  <si>
    <t>Pur - Proj 246/ CAS/0053542/2024/ Vend -150</t>
  </si>
  <si>
    <t>Pur - Proj 258/ CAS/0053547/2024/ Vend -150</t>
  </si>
  <si>
    <t>Pur - Proj 252/ N-6157-2024/ Vend -107</t>
  </si>
  <si>
    <t>Pur - Proj 262/ 49951/ Vend -350</t>
  </si>
  <si>
    <t>Pur - Proj 252/ 13516/ Vend -386</t>
  </si>
  <si>
    <t>Pur - Proj 241/ 35670/ Vend -351</t>
  </si>
  <si>
    <t>Pur - Proj 249/ 38794/ Vend -381</t>
  </si>
  <si>
    <t>Pur - Proj 251/ 480013/ Vend -401</t>
  </si>
  <si>
    <t>Pur - Proj 222/ 88888/ Vend -191</t>
  </si>
  <si>
    <t>Pur - Proj 241/ CSS1-00967/24/ Vend -129</t>
  </si>
  <si>
    <t>Pur - Proj 245/ N-6201-2024/ Vend -107</t>
  </si>
  <si>
    <t>Pur - Proj 217/ RB24/504059/ Vend -262</t>
  </si>
  <si>
    <t>Pur - Proj 262/ 3160144618/ Vend -105</t>
  </si>
  <si>
    <t>Pur - Proj 251/ 3160144620/ Vend -105</t>
  </si>
  <si>
    <t>Pur - Proj 245/ 3160144622/ Vend -105</t>
  </si>
  <si>
    <t>Pur - Proj 251/ N-6254-2024/ Vend -107</t>
  </si>
  <si>
    <t>Pur - Proj 241/ N-7306-2024/ Vend -107</t>
  </si>
  <si>
    <t>Pur - Proj 251/ RB24/504213/ Vend -262</t>
  </si>
  <si>
    <t>Pur - Proj 197/ 316044702/ Vend -105</t>
  </si>
  <si>
    <t>Pur - Proj 249/ 480156/ Vend -401</t>
  </si>
  <si>
    <t>Pur - Proj 242/ N-6300-2024/ Vend -107</t>
  </si>
  <si>
    <t>Pur - Proj 242/ RB24/504329/ Vend -262</t>
  </si>
  <si>
    <t>Pur - Proj 249/ RB24/504342/ Vend -262</t>
  </si>
  <si>
    <t>Pur - Proj 247/ 123360/ Vend -356</t>
  </si>
  <si>
    <t>Pur - Proj 226/ 13581/ Vend -386</t>
  </si>
  <si>
    <t>Pur - Proj 257/ 13582/ Vend -386</t>
  </si>
  <si>
    <t>Pur - Proj 242/ 14105/ Vend -456</t>
  </si>
  <si>
    <t>Pur - Proj 225/ 3160144745/ Vend -105</t>
  </si>
  <si>
    <t>Pur - Proj 197/ 3160144746/ Vend -105</t>
  </si>
  <si>
    <t>Pur - Proj 245/ 96369628/ Vend -403</t>
  </si>
  <si>
    <t>Pur - Proj 257/ 96369630/ Vend -403</t>
  </si>
  <si>
    <t>Pur - Proj 252/ CSDR02433/24/ Vend -129</t>
  </si>
  <si>
    <t>Pur - Proj 245/ RB24/504440/ Vend -262</t>
  </si>
  <si>
    <t>Pur - Proj 227/ 3160144796/ Vend -105</t>
  </si>
  <si>
    <t>Pur - Proj 256/ 3160144796/ Vend -105</t>
  </si>
  <si>
    <t>Pur - Proj 216/ 3160144797/ Vend -105</t>
  </si>
  <si>
    <t>Pur - Proj 245/ N-6389-2024/ Vend -107</t>
  </si>
  <si>
    <t>Pur - Proj 245/ RB24/504545/ Vend -262</t>
  </si>
  <si>
    <t>Pur - Proj 245/ 123532/ Vend -356</t>
  </si>
  <si>
    <t>Pur - Proj 245/ 84488/ Vend -191</t>
  </si>
  <si>
    <t>Pur - Proj 250/ RB24/504649/ Vend -262</t>
  </si>
  <si>
    <t>Pur - Proj 221/ 123673/ Vend -356</t>
  </si>
  <si>
    <t>Pur - Proj 245/ 123705/ Vend -356</t>
  </si>
  <si>
    <t>Pur - Proj 249/ 136613/ Vend -404</t>
  </si>
  <si>
    <t>Pur - Proj 250/ 136614/ Vend -404</t>
  </si>
  <si>
    <t>Pur - Proj 249/ RB24/504781/ Vend -262</t>
  </si>
  <si>
    <t>Pur - Proj 265/ 123864/ Vend -356</t>
  </si>
  <si>
    <t>Pur - Proj 217/ 1264/ Vend -455</t>
  </si>
  <si>
    <t>Pur - Proj 252/ 13630/ Vend -386</t>
  </si>
  <si>
    <t>Pur - Proj 210/ 13631/ Vend -386</t>
  </si>
  <si>
    <t>Pur - Proj 241/ CSHO-01972/24/ Vend -129</t>
  </si>
  <si>
    <t>Pur - Proj 249/ N-6505-2024/ Vend -107</t>
  </si>
  <si>
    <t>Pur - Proj 257/ RB24/504893/ Vend -262</t>
  </si>
  <si>
    <t>Pur - Proj / RB24/504894/ Vend -262</t>
  </si>
  <si>
    <t>Pur - Proj 275/ 123929/ Vend -356</t>
  </si>
  <si>
    <t>Pur - Proj 246/ 136712/ Vend -404</t>
  </si>
  <si>
    <t>Pur - Proj 247/ 96369934/ Vend -403</t>
  </si>
  <si>
    <t>Pur - Proj 245/ CSHO-01988/24/ Vend -129</t>
  </si>
  <si>
    <t>Pur - Proj 252/ RB24/5049456/ Vend -262</t>
  </si>
  <si>
    <t>Pur - Proj 256/ 124126/ Vend -356</t>
  </si>
  <si>
    <t>Pur - Proj 217/ 3660/ Vend -456</t>
  </si>
  <si>
    <t>Pur - Proj 246/ 70606396/ Vend -456</t>
  </si>
  <si>
    <t>Pur - Proj 246/ CA-2024-06307/ Vend -326</t>
  </si>
  <si>
    <t>Pur - Proj 247/ 192858/ Vend -456</t>
  </si>
  <si>
    <t>Pur - Proj 247/ 2404792/ Vend -138</t>
  </si>
  <si>
    <t>Pur - Proj 249/ CSHO-02023/24/ Vend -129</t>
  </si>
  <si>
    <t>Pur - Proj 247/ INC-02/32882/ Vend -321</t>
  </si>
  <si>
    <t>Pur - Proj 246/ 136818/ Vend -404</t>
  </si>
  <si>
    <t>Pur - Proj 249/ 4657/ Vend -456</t>
  </si>
  <si>
    <t>Pur - Proj 257/ N-6697-2024/ Vend -107</t>
  </si>
  <si>
    <t>Pur - Proj 256/ NST/82896/ Vend -456</t>
  </si>
  <si>
    <t>Pur - Proj 275/ NST/82896/ Vend -456</t>
  </si>
  <si>
    <t>Pur - Proj 247/ RB24/5049877/ Vend -262</t>
  </si>
  <si>
    <t>Pur - Proj 257/ RB24/5049878/ Vend -262</t>
  </si>
  <si>
    <t>Pur - Proj 247/ 35976/ Vend -351</t>
  </si>
  <si>
    <t>Pur - Proj / 72317/ Vend -345</t>
  </si>
  <si>
    <t>Pur - Proj 257/ RB24/5050007/ Vend -262</t>
  </si>
  <si>
    <t>Pur - Proj 250/ 164/ Vend -456</t>
  </si>
  <si>
    <t>Pur - Proj 218/ 3160145137/ Vend -105</t>
  </si>
  <si>
    <t>Pur - Proj 217/ 3160145138/ Vend -105</t>
  </si>
  <si>
    <t>Pur - Proj 227/ 3160145139/ Vend -105</t>
  </si>
  <si>
    <t>Pur - Proj 225/ 3160145140/ Vend -105</t>
  </si>
  <si>
    <t>Pur - Proj 256/ 3160145140/ Vend -105</t>
  </si>
  <si>
    <t>Pur - Proj 242/ 38819/ Vend -381</t>
  </si>
  <si>
    <t>Pur - Proj 217/ 13770/ Vend -386</t>
  </si>
  <si>
    <t>Pur - Proj 242/ CAS/0053698/2024/ Vend -150</t>
  </si>
  <si>
    <t>Pur - Proj 247/ CSHO-021.3/24/ Vend -129</t>
  </si>
  <si>
    <t>Pur - Proj 242/ CSHO-02102/24/ Vend -129</t>
  </si>
  <si>
    <t>Pur - Proj 247/ 36055/ Vend -351</t>
  </si>
  <si>
    <t>Pur - Proj 242/ CAS/0053707/2024/ Vend -150</t>
  </si>
  <si>
    <t>Pur - Proj 257/ N-6859-2024/ Vend -107</t>
  </si>
  <si>
    <t>Pur - Proj / RB24/5050363/ Vend -262</t>
  </si>
  <si>
    <t>Pur - Proj 257/ RB24/5050364/ Vend -262</t>
  </si>
  <si>
    <t>Pur - Proj 251/ RB24/5050385/ Vend -262</t>
  </si>
  <si>
    <t>Pur - Proj 242/ N-6886-2024/ Vend -107</t>
  </si>
  <si>
    <t>Pur - Proj 242/ RB24/5050472/ Vend -262</t>
  </si>
  <si>
    <t>Pur - Proj 242/ 24212007512/ Vend -182</t>
  </si>
  <si>
    <t>Pur - Proj 242/ CS2403838/ Vend -257</t>
  </si>
  <si>
    <t>Pur - Proj 247/ N-6946-2024/ Vend -107</t>
  </si>
  <si>
    <t>Pur - Proj 257/ RB/24/5050615/ Vend -262</t>
  </si>
  <si>
    <t>Pur - Proj 257/ RB24/5050616/ Vend -262</t>
  </si>
  <si>
    <t>Pur - Proj 221/ 125028/ Vend -356</t>
  </si>
  <si>
    <t>Pur - Proj 242/ RB24/5050773/ Vend -262</t>
  </si>
  <si>
    <t>Pur - Proj 221/ 125086/ Vend -356</t>
  </si>
  <si>
    <t>Pur - Proj 252/ 125168/ Vend -356</t>
  </si>
  <si>
    <t>Pur - Proj 242/ 13856/ Vend -386</t>
  </si>
  <si>
    <t>Pur - Proj 251/ 96370613/ Vend -403</t>
  </si>
  <si>
    <t>Pur - Proj 242/ CSDR-02798/24/ Vend -129</t>
  </si>
  <si>
    <t>Pur - Proj 204/ RB/24/5050882/ Vend -262</t>
  </si>
  <si>
    <t>Pur - Proj 250/ 50062/ Vend -350</t>
  </si>
  <si>
    <t>Pur - Proj 242/ 96370678/ Vend -403</t>
  </si>
  <si>
    <t>Pur - Proj / DB24/1003993/ Vend -101</t>
  </si>
  <si>
    <t>Pur - Proj 252/ 13909/ Vend -386</t>
  </si>
  <si>
    <t>Pur - Proj 217/ 13910/ Vend -386</t>
  </si>
  <si>
    <t>Pur - Proj 257/ CAS/0053775/2024/ Vend -150</t>
  </si>
  <si>
    <t>Pur - Proj 257/ CSS1-01138/24/ Vend -129</t>
  </si>
  <si>
    <t>Pur - Proj 257/ CSS1-01139/24/ Vend -129</t>
  </si>
  <si>
    <t>Pur - Proj 249/ RB24/5051130/ Vend -262</t>
  </si>
  <si>
    <t>Pur - Proj 247/ RB24/5051131/ Vend -262</t>
  </si>
  <si>
    <t>Pur - Proj 222/ RB24/5051132/ Vend -262</t>
  </si>
  <si>
    <t>Pur - Proj 217/ 125373/ Vend -356</t>
  </si>
  <si>
    <t>Pur - Proj 251/ 13929/ Vend -386</t>
  </si>
  <si>
    <t>Pur - Proj 251/ 13940/ Vend -386</t>
  </si>
  <si>
    <t>Pur - Proj 242/ CS2404173/ Vend -257</t>
  </si>
  <si>
    <t>Pur - Proj / CS2404182/ Vend -260</t>
  </si>
  <si>
    <t>Pur - Proj 257/ CSS1-01145/24/ Vend -129</t>
  </si>
  <si>
    <t>Pur - Proj 204/ N-7159-2024/ Vend -107</t>
  </si>
  <si>
    <t>Pur - Proj 242/ RB24/5051258/ Vend -262</t>
  </si>
  <si>
    <t>Pur - Proj 257/ RB24/5051265/ Vend -262</t>
  </si>
  <si>
    <t>Pur - Proj 242/ RB24/5051278/ Vend -262</t>
  </si>
  <si>
    <t>Pur - Proj 221/ 125507/ Vend -356</t>
  </si>
  <si>
    <t>Pur - Proj 242/ RB24/5051388/ Vend -262</t>
  </si>
  <si>
    <t>Pur - Proj 252/ 125623/ Vend -356</t>
  </si>
  <si>
    <t>Pur - Proj 242/ 13950/ Vend -386</t>
  </si>
  <si>
    <t>Pur - Proj 257/ 39173/ Vend -381</t>
  </si>
  <si>
    <t>Pur - Proj 258/ 96370870/ Vend -403</t>
  </si>
  <si>
    <t>Pur - Proj 242/ CLIMATE MASTER/ Vend -395</t>
  </si>
  <si>
    <t>Pur - Proj 257/ RB24/5051414/ Vend -262</t>
  </si>
  <si>
    <t>Pur - Proj 242/ RB24/5051481/ Vend -262</t>
  </si>
  <si>
    <t>Pur - Proj / RB24/5051482/ Vend -262</t>
  </si>
  <si>
    <t>Pur - Proj 197/ 13981/ Vend -386</t>
  </si>
  <si>
    <t>Pur - Proj 202/ 678780/ Vend -135</t>
  </si>
  <si>
    <t>Pur - Proj 218/ RB24/5051608/ Vend -262</t>
  </si>
  <si>
    <t>Pur - Proj 251/ RB24/5051609/ Vend -262</t>
  </si>
  <si>
    <t>Pur - Proj 250/ RB24/5051630/ Vend -262</t>
  </si>
  <si>
    <t>Pur - Proj 234/ 50100/ Vend -350</t>
  </si>
  <si>
    <t>Pur - Proj 202/ 263462/ Vend -307</t>
  </si>
  <si>
    <t>Pur - Proj 202/ 88749/ Vend -358</t>
  </si>
  <si>
    <t>Pur - Proj 218/ N-7336-2024/ Vend -107</t>
  </si>
  <si>
    <t>Pur - Proj 251/ RB24/5051734/ Vend -262</t>
  </si>
  <si>
    <t>Pur - Proj 242/ RB24/5051746/ Vend -262</t>
  </si>
  <si>
    <t>Pur - Proj 257/ S24-9630/ Vend -293</t>
  </si>
  <si>
    <t>Pur - Proj 258/ 02/32925/ Vend -321</t>
  </si>
  <si>
    <t>Pur - Proj 257/ 14005/ Vend -386</t>
  </si>
  <si>
    <t>Pur - Proj 258/ CSHO-02236/24/ Vend -129</t>
  </si>
  <si>
    <t>Pur - Proj 252/ CSHO-02316/24/ Vend -129</t>
  </si>
  <si>
    <t>Pur - Proj 257/ CSHO-02318/24/ Vend -129</t>
  </si>
  <si>
    <t>Pur - Proj 250/ CSHO-02319/24/ Vend -129</t>
  </si>
  <si>
    <t>Pur - Proj 218/ 9785/ Vend -454</t>
  </si>
  <si>
    <t>Pur - Proj 217/ 9786/ Vend -454</t>
  </si>
  <si>
    <t>Pur - Proj 258/ RB24/5051971/ Vend -262</t>
  </si>
  <si>
    <t>Pur - Proj 251/ RB24/5051973/ Vend -262</t>
  </si>
  <si>
    <t>Pur - Proj 258/ 02/32931/ Vend -321</t>
  </si>
  <si>
    <t>Pur - Proj 257/ 137542/ Vend -404</t>
  </si>
  <si>
    <t>Pur - Proj 213/ 50164/ Vend -294</t>
  </si>
  <si>
    <t>Pur - Proj 197/ AN-200674/ Vend -456</t>
  </si>
  <si>
    <t>Pur - Proj 197/ CAS/0053871/2024/ Vend -150</t>
  </si>
  <si>
    <t>Pur - Proj 213/ CSS1-01192/24/ Vend -129</t>
  </si>
  <si>
    <t>Pur - Proj 257/ RB24/505204727/ Vend -262</t>
  </si>
  <si>
    <t>Pur - Proj 214/ RB24/505204728/ Vend -262</t>
  </si>
  <si>
    <t>Pur - Proj 258/ 24/14546/ Vend -173</t>
  </si>
  <si>
    <t>Pur - Proj 251/ RB24/505204837/ Vend -262</t>
  </si>
  <si>
    <t>Pur - Proj 258/ 112402202/ Vend -138</t>
  </si>
  <si>
    <t>Pur - Proj 242/ 14076/ Vend -386</t>
  </si>
  <si>
    <t>Pur - Proj 257/ 17176/ Vend -456</t>
  </si>
  <si>
    <t>Pur - Proj 197/ CSHO-02372/24/ Vend -129</t>
  </si>
  <si>
    <t>Pur - Proj 218/ CSHO-02373/24/ Vend -129</t>
  </si>
  <si>
    <t>Pur - Proj 197/ RB24/505204924/ Vend -262</t>
  </si>
  <si>
    <t>Pur - Proj 197/ 14088/ Vend -386</t>
  </si>
  <si>
    <t>Pur - Proj 250/ 36855/ Vend -456</t>
  </si>
  <si>
    <t>Pur - Proj 197/ CSS1-01215/24/ Vend -129</t>
  </si>
  <si>
    <t>Pur - Proj 197/ RB24/505205064/ Vend -262</t>
  </si>
  <si>
    <t>Pur - Proj 218/ 137679/ Vend -404</t>
  </si>
  <si>
    <t>Pur - Proj 197/ 137680/ Vend -404</t>
  </si>
  <si>
    <t>Pur - Proj 197/ 67272/ Vend -381</t>
  </si>
  <si>
    <t>Pur - Proj 197/ CSHO-02427/24/ Vend -129</t>
  </si>
  <si>
    <t>Pur - Proj 257/ N-55448-2024/ Vend -107</t>
  </si>
  <si>
    <t>Pur - Proj 197/ N-7546-2024/ Vend -107</t>
  </si>
  <si>
    <t>Pur - Proj 197/ RB24/505205171/ Vend -262</t>
  </si>
  <si>
    <t>Pur - Proj 264/ 126711/ Vend -356</t>
  </si>
  <si>
    <t>Pur - Proj 256/ 90313/ Vend -358</t>
  </si>
  <si>
    <t>Pur - Proj 197/ 96371459/ Vend -403</t>
  </si>
  <si>
    <t>Pur - Proj 197/ 14165/ Vend -386</t>
  </si>
  <si>
    <t>Pur - Proj 252/ N-7598-2024/ Vend -107</t>
  </si>
  <si>
    <t>Pur - Proj 197/ RB24/505205399/ Vend -262</t>
  </si>
  <si>
    <t>Pur - Proj 197/ RB24/505205400/ Vend -262</t>
  </si>
  <si>
    <t>Pur - Proj 252/ 90680/ Vend -358</t>
  </si>
  <si>
    <t>Pur - Proj 246/ N-7621-2024/ Vend -107</t>
  </si>
  <si>
    <t>Pur - Proj 227/ RB24/505205518/ Vend -262</t>
  </si>
  <si>
    <t>Pur - Proj 276/ 126867/ Vend -356</t>
  </si>
  <si>
    <t>Pur - Proj 221/ RB24/505205615/ Vend -262</t>
  </si>
  <si>
    <t>Pur - Proj 217/ 10-20-10-180335/ Vend -120</t>
  </si>
  <si>
    <t>Pur - Proj 228/ 10-20-10-180336/ Vend -120</t>
  </si>
  <si>
    <t>Pur - Proj 242/ 10682/ Vend -456</t>
  </si>
  <si>
    <t>Pur - Proj 256/ 21520/ Vend -127</t>
  </si>
  <si>
    <t>Pur - Proj 221/ 39845/ Vend -381</t>
  </si>
  <si>
    <t>Pur - Proj 216/ 681018/ Vend -135</t>
  </si>
  <si>
    <t>Pur - Proj 221/ CSS1-01253/24/ Vend -129</t>
  </si>
  <si>
    <t>Pur - Proj 216/ Css1-01246/24/ Vend -129</t>
  </si>
  <si>
    <t>Pur - Proj 242/ N-54844-2024/ Vend -107</t>
  </si>
  <si>
    <t>Pur - Proj 221/ N-7652-2024/ Vend -107</t>
  </si>
  <si>
    <t>Pur - Proj 227/ RB24/505205757/ Vend -262</t>
  </si>
  <si>
    <t>Pur - Proj 275/ 127050/ Vend -356</t>
  </si>
  <si>
    <t>Pur - Proj 242/ 14212/ Vend -386</t>
  </si>
  <si>
    <t>Pur - Proj 256/ 14219/ Vend -386</t>
  </si>
  <si>
    <t>Pur - Proj 216/ 26326/ Vend -456</t>
  </si>
  <si>
    <t>Pur - Proj 256/ 36649/ Vend -456</t>
  </si>
  <si>
    <t>Pur - Proj 216/ 681226/ Vend -135</t>
  </si>
  <si>
    <t>Pur - Proj 255/ 84133/ Vend -456</t>
  </si>
  <si>
    <t>Pur - Proj 242/ 96371710/ Vend -403</t>
  </si>
  <si>
    <t>Pur - Proj 252/ 96371712/ Vend -403</t>
  </si>
  <si>
    <t>Pur - Proj 252/ CS2024/4918/ Vend -243</t>
  </si>
  <si>
    <t>Pur - Proj 242/ CSDR-03252/24/ Vend -129</t>
  </si>
  <si>
    <t>Pur - Proj 256/ 127165/ Vend -356</t>
  </si>
  <si>
    <t>Pur - Proj 216/ 137956/ Vend -404</t>
  </si>
  <si>
    <t>Pur - Proj 243/ 314018838/ Vend -105</t>
  </si>
  <si>
    <t>Pur - Proj 243/ 3140188448/ Vend -105</t>
  </si>
  <si>
    <t>Pur - Proj 252/ 3160146369/ Vend -105</t>
  </si>
  <si>
    <t>Pur - Proj 216/ CSS1-01261-24/ Vend -129</t>
  </si>
  <si>
    <t>Pur - Proj 216/ CSS1-01261/24/ Vend -129</t>
  </si>
  <si>
    <t>Pur - Proj 250/ N-7693-2024/ Vend -107</t>
  </si>
  <si>
    <t>Pur - Proj 221/ N-7694-2024/ Vend -107</t>
  </si>
  <si>
    <t>Pur - Proj 242/ N-88747-2024/ Vend -107</t>
  </si>
  <si>
    <t>Pur - Proj 221/ 50170/ Vend -350</t>
  </si>
  <si>
    <t>Pur - Proj 217/ 50171/ Vend -350</t>
  </si>
  <si>
    <t>Pur - Proj 249/ 127271/ Vend -356</t>
  </si>
  <si>
    <t>Pur - Proj 250/ 127300/ Vend -356</t>
  </si>
  <si>
    <t>Pur - Proj 256/ 14249/ Vend -386</t>
  </si>
  <si>
    <t>Pur - Proj 215/ CMA-67415/ Vend -359</t>
  </si>
  <si>
    <t>Pur - Proj 215/ N-7741-2024/ Vend -107</t>
  </si>
  <si>
    <t>Pur - Proj 215/ N-7742-2024/ Vend -107</t>
  </si>
  <si>
    <t>Pur - Proj 242/ RB24/505206187/ Vend -262</t>
  </si>
  <si>
    <t>Pur - Proj 260/ 127379/ Vend -356</t>
  </si>
  <si>
    <t>Pur - Proj 215/ 96037/ Vend -456</t>
  </si>
  <si>
    <t>Pur - Proj 242/ 96047/ Vend -456</t>
  </si>
  <si>
    <t>Pur - Proj 256/ CSS1-01296/24/ Vend -129</t>
  </si>
  <si>
    <t>Pur - Proj 217/ N-7771-2024/ Vend -107</t>
  </si>
  <si>
    <t>Pur - Proj 217/ N-7772-204/ Vend -107</t>
  </si>
  <si>
    <t>Pur - Proj 256/ 14295/ Vend -386</t>
  </si>
  <si>
    <t>Pur - Proj 279/ 14299/ Vend -386</t>
  </si>
  <si>
    <t>Pur - Proj 221/ N-7823-2024/ Vend -107</t>
  </si>
  <si>
    <t>Pur - Proj 242/ RB24/505206440/ Vend -262</t>
  </si>
  <si>
    <t>Pur - Proj 256/ 281485/ Vend -456</t>
  </si>
  <si>
    <t>Pur - Proj 252/ N-7832-2024/ Vend -107</t>
  </si>
  <si>
    <t>Pur - Proj 251/ RB24/505206544/ Vend -262</t>
  </si>
  <si>
    <t>Pur - Proj 217/ RB24/505206547/ Vend -262</t>
  </si>
  <si>
    <t>Pur - Proj 251/ RB24/5052065645/ Vend -262</t>
  </si>
  <si>
    <t>Pur - Proj 256/ 96372103/ Vend -403</t>
  </si>
  <si>
    <t>Pur - Proj 279/ CSHO-02625/24/ Vend -129</t>
  </si>
  <si>
    <t>Pur - Proj 242/ CSHO-02628/24/ Vend -129</t>
  </si>
  <si>
    <t>Pur - Proj 256/ CSS1-01314/24/ Vend -129</t>
  </si>
  <si>
    <t>Pur - Proj 242/ N-54774-2024/ Vend -107</t>
  </si>
  <si>
    <t>Pur - Proj 228/ N-7890-2024/ Vend -107</t>
  </si>
  <si>
    <t>Pur - Proj 233/ N-7891-2024/ Vend -107</t>
  </si>
  <si>
    <t>Pur - Proj 256/ RB24/505206694/ Vend -262</t>
  </si>
  <si>
    <t>Pur - Proj 279/ 41500/ Vend -157</t>
  </si>
  <si>
    <t>Pur - Proj 279/ 1004799/ Vend -456</t>
  </si>
  <si>
    <t>Pur - Proj / 123940/ Vend -339</t>
  </si>
  <si>
    <t>Pur - Proj 249/ 14129/ Vend -316</t>
  </si>
  <si>
    <t>Pur - Proj 202/ 50201/ Vend -350</t>
  </si>
  <si>
    <t>Pur - Proj 279/ 109617/ Vend -456</t>
  </si>
  <si>
    <t>Pur - Proj 220/ 14347/ Vend -386</t>
  </si>
  <si>
    <t>Pur - Proj 252/ 3160146601/ Vend -105</t>
  </si>
  <si>
    <t>Pur - Proj 279/ 96372253/ Vend -403</t>
  </si>
  <si>
    <t>Pur - Proj 249/ 108696/ Vend -269</t>
  </si>
  <si>
    <t>Pur - Proj 249/ 108703/ Vend -269</t>
  </si>
  <si>
    <t>Pur - Proj 221/ 2031757/ Vend -456</t>
  </si>
  <si>
    <t>Pur - Proj 252/ 682906/ Vend -135</t>
  </si>
  <si>
    <t>Pur - Proj 262/ AS17618/ Vend -311</t>
  </si>
  <si>
    <t>Pur - Proj 252/ CS2024/5283/ Vend -243</t>
  </si>
  <si>
    <t>Pur - Proj 255/ 96372408/ Vend -403</t>
  </si>
  <si>
    <t>Pur - Proj 242/ 50210/ Vend -350</t>
  </si>
  <si>
    <t>Pur - Proj 256/ N-8075-2024/ Vend -107</t>
  </si>
  <si>
    <t>Pur - Proj 242/ RB24/505207239/ Vend -262</t>
  </si>
  <si>
    <t>Pur - Proj 242/ RB24/505207241/ Vend -262</t>
  </si>
  <si>
    <t>Pur - Proj 242/ RB24/505207247/ Vend -262</t>
  </si>
  <si>
    <t>Pur - Proj 262/ AS17934/ Vend -311</t>
  </si>
  <si>
    <t>Pur - Proj 242/ N-5548-2024/ Vend -107</t>
  </si>
  <si>
    <t>Pur - Proj 217/ N-8116-2024/ Vend -107</t>
  </si>
  <si>
    <t>Pur - Proj 262/ N-8117-2024/ Vend -107</t>
  </si>
  <si>
    <t>Pur - Proj 255/ N-8118-2024/ Vend -107</t>
  </si>
  <si>
    <t>Pur - Proj 254/ RB24/505207423/ Vend -262</t>
  </si>
  <si>
    <t>Pur - Proj 252/ 1/ Vend -456</t>
  </si>
  <si>
    <t>Pur - Proj 265/ 128374/ Vend -356</t>
  </si>
  <si>
    <t>Pur - Proj 256/ 2405924/ Vend -138</t>
  </si>
  <si>
    <t>Pur - Proj 242/ 37009/ Vend -351</t>
  </si>
  <si>
    <t>Pur - Proj 216/ CAS/0054090/2024/ Vend -150</t>
  </si>
  <si>
    <t>Pur - Proj 252/ CSS1-01369/24/ Vend -129</t>
  </si>
  <si>
    <t>Pur - Proj 228/ CSS1-01370/24/ Vend -129</t>
  </si>
  <si>
    <t>Pur - Proj 255/ CSS1-01371/24/ Vend -129</t>
  </si>
  <si>
    <t>Pur - Proj 228/ N-8177-2024/ Vend -107</t>
  </si>
  <si>
    <t>Pur - Proj 217/ 50223/ Vend -350</t>
  </si>
  <si>
    <t>Pur - Proj 233/ 50224/ Vend -350</t>
  </si>
  <si>
    <t>Pur - Proj 242/ 50225/ Vend -350</t>
  </si>
  <si>
    <t>Pur - Proj 228/ 03-1033740/ Vend -158</t>
  </si>
  <si>
    <t>Pur - Proj 255/ 2405983/ Vend -138</t>
  </si>
  <si>
    <t>Pur - Proj 252/ 683663/ Vend -135</t>
  </si>
  <si>
    <t>Pur - Proj 228/ A2/24/386639/ Vend -115</t>
  </si>
  <si>
    <t>Pur - Proj 255/ CSDR-03568/24/ Vend -129</t>
  </si>
  <si>
    <t>Pur - Proj 252/ CSHO-02760/24/ Vend -129</t>
  </si>
  <si>
    <t>Pur - Proj 242/ N-5484-2024/ Vend -107</t>
  </si>
  <si>
    <t>Pur - Proj 252/ RB24/505207674/ Vend -262</t>
  </si>
  <si>
    <t>Pur - Proj 252/ 128627/ Vend -356</t>
  </si>
  <si>
    <t>Pur - Proj 252/ 138465/ Vend -404</t>
  </si>
  <si>
    <t>Pur - Proj 262/ 14478/ Vend -386</t>
  </si>
  <si>
    <t>Pur - Proj 252/ 14486/ Vend -386</t>
  </si>
  <si>
    <t>Pur - Proj 262/ 483140/ Vend -401</t>
  </si>
  <si>
    <t>Pur - Proj 254/ CAS/0054116/2024/ Vend -150</t>
  </si>
  <si>
    <t>Pur - Proj 254/ CAS/0054117/2024/ Vend -150</t>
  </si>
  <si>
    <t>Pur - Proj 255/ CSS1-01378/24/ Vend -129</t>
  </si>
  <si>
    <t>Pur - Proj 252/ CSS1-01384/24/ Vend -129</t>
  </si>
  <si>
    <t>Pur - Proj 262/ N-8270-2024/ Vend -107</t>
  </si>
  <si>
    <t>Pur - Proj 254/ S24-11438/ Vend -293</t>
  </si>
  <si>
    <t>Pur - Proj 262/ S24-11440/ Vend -293</t>
  </si>
  <si>
    <t>Pur - Proj 279/ 3160147125/ Vend -105</t>
  </si>
  <si>
    <t>Pur - Proj 242/ 3160147127/ Vend -105</t>
  </si>
  <si>
    <t>Pur - Proj 265/ 128869/ Vend -356</t>
  </si>
  <si>
    <t>Pur - Proj 252/ 128876/ Vend -356</t>
  </si>
  <si>
    <t>Pur - Proj 262/ 138569/ Vend -404</t>
  </si>
  <si>
    <t>Pur - Proj 242/ 14545/ Vend -386</t>
  </si>
  <si>
    <t>Pur - Proj 262/ RB24/505208016/ Vend -262</t>
  </si>
  <si>
    <t>Pur - Proj 256/ 128904/ Vend -356</t>
  </si>
  <si>
    <t>Pur - Proj 257/ 684563/ Vend -135</t>
  </si>
  <si>
    <t>Pur - Proj 262/ CAS/0054152/2024/ Vend -150</t>
  </si>
  <si>
    <t>Pur - Proj 254/ CAS/0054155/2024/ Vend -150</t>
  </si>
  <si>
    <t>Pur - Proj 257/ CSS1-01417/24/ Vend -129</t>
  </si>
  <si>
    <t>Pur - Proj 256/ CSS1-01418/24/ Vend -129</t>
  </si>
  <si>
    <t>Pur - Proj 257/ RB24/505208146/ Vend -262</t>
  </si>
  <si>
    <t>Pur - Proj 280/ 129008/ Vend -356</t>
  </si>
  <si>
    <t>Pur - Proj 252/ CH24-339431/ Vend -456</t>
  </si>
  <si>
    <t>Pur - Proj 262/ N-8411-2024/ Vend -107</t>
  </si>
  <si>
    <t>Pur - Proj 262/ RB24/505208262/ Vend -262</t>
  </si>
  <si>
    <t>Pur - Proj 262/ 14588/ Vend -386</t>
  </si>
  <si>
    <t>Pur - Proj 256/ 2406176/ Vend -138</t>
  </si>
  <si>
    <t>Pur - Proj 279/ 3160147211/ Vend -105</t>
  </si>
  <si>
    <t>Pur - Proj 279/ 96372918/ Vend -403</t>
  </si>
  <si>
    <t>Pur - Proj 256/ 96372966/ Vend -403</t>
  </si>
  <si>
    <t>Pur - Proj 262/ 96372974/ Vend -403</t>
  </si>
  <si>
    <t>Pur - Proj 256/ CH24-339692/ Vend -456</t>
  </si>
  <si>
    <t>Pur - Proj 233/ CSHO-02832/24/ Vend -129</t>
  </si>
  <si>
    <t>Pur - Proj 233/ RB24/505208321/ Vend -262</t>
  </si>
  <si>
    <t>Pur - Proj 212/ RB24/505208364/ Vend -262</t>
  </si>
  <si>
    <t>Pur - Proj 233/ RB24/505208365/ Vend -262</t>
  </si>
  <si>
    <t>Pur - Proj 256/ RB24/505208366/ Vend -262</t>
  </si>
  <si>
    <t>Pur - Proj 233/ 14609/ Vend -386</t>
  </si>
  <si>
    <t>Pur - Proj 257/ 21371/ Vend -456</t>
  </si>
  <si>
    <t>Pur - Proj 264/ 95402/ Vend -358</t>
  </si>
  <si>
    <t>Pur - Proj 256/ CSHO-02847/24/ Vend -129</t>
  </si>
  <si>
    <t>Pur - Proj 252/ CSHO-02849/24/ Vend -129</t>
  </si>
  <si>
    <t>Pur - Proj 242/ CSHO-02850/24/ Vend -129</t>
  </si>
  <si>
    <t>Pur - Proj 256/ RB24/505208483/ Vend -262</t>
  </si>
  <si>
    <t>Pur - Proj 262/ RB24/505208486/ Vend -262</t>
  </si>
  <si>
    <t>Pur - Proj 279/ 124413/ Vend -339</t>
  </si>
  <si>
    <t>Pur - Proj 279/ 14630/ Vend -386</t>
  </si>
  <si>
    <t>Pur - Proj 262/ 14638/ Vend -386</t>
  </si>
  <si>
    <t>Pur - Proj 262/ 24/16976/ Vend -173</t>
  </si>
  <si>
    <t>Pur - Proj 254/ 4/ Vend -456</t>
  </si>
  <si>
    <t>Pur - Proj 257/ 685232/ Vend -135</t>
  </si>
  <si>
    <t>Pur - Proj 256/ CH24-340099/ Vend -456</t>
  </si>
  <si>
    <t>Pur - Proj 254/ N-16974-24/ Vend -107</t>
  </si>
  <si>
    <t>Pur - Proj 262/ N-8569-2024/ Vend -107</t>
  </si>
  <si>
    <t>Pur - Proj 254/ RB24/505208527/ Vend -262</t>
  </si>
  <si>
    <t>Pur - Proj 262/ RB24/505208604/ Vend -262</t>
  </si>
  <si>
    <t>Pur - Proj 279/ 138770/ Vend -404</t>
  </si>
  <si>
    <t>Pur - Proj 246/ 14643/ Vend -386</t>
  </si>
  <si>
    <t>Pur - Proj 279/ 19424/ Vend -456</t>
  </si>
  <si>
    <t>Pur - Proj 254/ 47200/ Vend -456</t>
  </si>
  <si>
    <t>Pur - Proj 220/ RB24/505208862/ Vend -262</t>
  </si>
  <si>
    <t>Pur - Proj 284/ S24-11993/ Vend -293</t>
  </si>
  <si>
    <t>Pur - Proj 279/ CSS1-01453/24/ Vend -129</t>
  </si>
  <si>
    <t>Pur - Proj 220/ CSS1-01454/24/ Vend -129</t>
  </si>
  <si>
    <t>Pur - Proj 279/ N-8645-2024/ Vend -107</t>
  </si>
  <si>
    <t>Pur - Proj 279/ RB24/505208804/ Vend -262</t>
  </si>
  <si>
    <t>Pur - Proj 279/ RB24/505208813/ Vend -262</t>
  </si>
  <si>
    <t>Pur - Proj 279/ 138852/ Vend -404</t>
  </si>
  <si>
    <t>Pur - Proj 279/ 59839/ Vend -456</t>
  </si>
  <si>
    <t>Pur - Proj 202/ 685795/ Vend -135</t>
  </si>
  <si>
    <t>Pur - Proj 279/ CAS/0054213/2024/ Vend -150</t>
  </si>
  <si>
    <t>Pur - Proj 254/ CAS/0054214/2024/ Vend -150</t>
  </si>
  <si>
    <t>Pur - Proj 279/ N-8703-2024/ Vend -107</t>
  </si>
  <si>
    <t>Pur - Proj 279/ RB24/505208926/ Vend -262</t>
  </si>
  <si>
    <t>Pur - Proj 262/ RB24/505208928/ Vend -262</t>
  </si>
  <si>
    <t>Pur - Proj 255/ 0/ Vend -456</t>
  </si>
  <si>
    <t>Pur - Proj 262/ 96484/ Vend -358</t>
  </si>
  <si>
    <t>Pur - Proj 202/ N-8739-2024/ Vend -107</t>
  </si>
  <si>
    <t>Pur - Proj 279/ N-8740-2024/ Vend -107</t>
  </si>
  <si>
    <t>Pur - Proj 279/ RB24/505208973/ Vend -262</t>
  </si>
  <si>
    <t>Pur - Proj 279/ RB24/505209025/ Vend -262</t>
  </si>
  <si>
    <t>Pur - Proj / RB24/505209033/ Vend -262</t>
  </si>
  <si>
    <t>Pur - Proj 279/ 92/ Vend -456</t>
  </si>
  <si>
    <t>Pur - Proj 246/ 14728/ Vend -386</t>
  </si>
  <si>
    <t>Pur - Proj 202/ 262127/ Vend -307</t>
  </si>
  <si>
    <t>Pur - Proj 242/ 3160147180/ Vend -105</t>
  </si>
  <si>
    <t>Pur - Proj 243/ 3160147497/ Vend -105</t>
  </si>
  <si>
    <t>Pur - Proj 217/ 3160147498/ Vend -105</t>
  </si>
  <si>
    <t>Pur - Proj 216/ 3160147499/ Vend -105</t>
  </si>
  <si>
    <t>Pur - Proj 250/ 3160147500/ Vend -105</t>
  </si>
  <si>
    <t>Pur - Proj 242/ 3160147501/ Vend -105</t>
  </si>
  <si>
    <t>Pur - Proj 279/ 685844/ Vend -135</t>
  </si>
  <si>
    <t>Pur - Proj 202/ 9558/ Vend -456</t>
  </si>
  <si>
    <t>Pur - Proj 279/ N-8787-2024/ Vend -107</t>
  </si>
  <si>
    <t>Pur - Proj 279/ RB24/505209133/ Vend -262</t>
  </si>
  <si>
    <t>Pur - Proj 252/ 50323/ Vend -350</t>
  </si>
  <si>
    <t>Pur - Proj 217/ 233/ Vend -405</t>
  </si>
  <si>
    <t>Pur - Proj 250/ 365/ Vend -456</t>
  </si>
  <si>
    <t>Pur - Proj 220/ 11390/ Vend -456</t>
  </si>
  <si>
    <t>Pur - Proj / 124576/ Vend -339</t>
  </si>
  <si>
    <t>Pur - Proj 237/ 44421/ Vend -456</t>
  </si>
  <si>
    <t>Pur - Proj 284/ CSHO-02946/24/ Vend -129</t>
  </si>
  <si>
    <t>Pur - Proj 252/ CSHO-02947/24/ Vend -129</t>
  </si>
  <si>
    <t>Pur - Proj 220/ CSHO-02949/24/ Vend -129</t>
  </si>
  <si>
    <t>Pur - Proj 255/ R24/505209249/ Vend -262</t>
  </si>
  <si>
    <t>Pur - Proj 277/ 130115/ Vend -356</t>
  </si>
  <si>
    <t>Pur - Proj 252/ 138976/ Vend -404</t>
  </si>
  <si>
    <t>Pur - Proj / 138976/ Vend -404</t>
  </si>
  <si>
    <t>Pur - Proj 220/ 22502/ Vend -456</t>
  </si>
  <si>
    <t>Pur - Proj 252/ 3160147642/ Vend -105</t>
  </si>
  <si>
    <t>Pur - Proj 252/ 5348/ Vend -456</t>
  </si>
  <si>
    <t>Pur - Proj 242/ 986443/ Vend -456</t>
  </si>
  <si>
    <t>Pur - Proj 242/ CAS/0054254/2024/ Vend -150</t>
  </si>
  <si>
    <t>Pur - Proj 252/ N-8880-2024/ Vend -107</t>
  </si>
  <si>
    <t>Pur - Proj 255/ N-8883-2024/ Vend -107</t>
  </si>
  <si>
    <t>Pur - Proj 256/ N-8884-2024/ Vend -107</t>
  </si>
  <si>
    <t>Pur - Proj 220/ RB24/505209305/ Vend -262</t>
  </si>
  <si>
    <t>Pur - Proj 220/ RB24/55209382/ Vend -262</t>
  </si>
  <si>
    <t>Pur - Proj 242/ 434/ Vend -451</t>
  </si>
  <si>
    <t>Pur - Proj / 124633/ Vend -339</t>
  </si>
  <si>
    <t>Pur - Proj 242/ 139045/ Vend -404</t>
  </si>
  <si>
    <t>Pur - Proj 255/ 3160147682/ Vend -105</t>
  </si>
  <si>
    <t>Pur - Proj 243/ 3160147737/ Vend -105</t>
  </si>
  <si>
    <t>Pur - Proj 279/ 3160147738/ Vend -105</t>
  </si>
  <si>
    <t>Pur - Proj 255/ 484043/ Vend -401</t>
  </si>
  <si>
    <t>Pur - Proj 252/ 69189/ Vend -456</t>
  </si>
  <si>
    <t>Pur - Proj 255/ 7619/ Vend -402</t>
  </si>
  <si>
    <t>Pur - Proj 242/ CAS/0054260/2024/ Vend -150</t>
  </si>
  <si>
    <t>Pur - Proj 252/ CAS/0054262/2024/ Vend -150</t>
  </si>
  <si>
    <t>Pur - Proj 242/ CSS1-01504/24/ Vend -129</t>
  </si>
  <si>
    <t>Pur - Proj 220/ RB24/757127568/ Vend -262</t>
  </si>
  <si>
    <t>Pur - Proj 252/ 130351/ Vend -356</t>
  </si>
  <si>
    <t>Pur - Proj 277/ 130372/ Vend -356</t>
  </si>
  <si>
    <t>Pur - Proj 262/ 130489/ Vend -356</t>
  </si>
  <si>
    <t>Pur - Proj 242/ 139145/ Vend -404</t>
  </si>
  <si>
    <t>Pur - Proj 275/ 2406582/ Vend -138</t>
  </si>
  <si>
    <t>Pur - Proj 275/ 85483/ Vend -456</t>
  </si>
  <si>
    <t>Pur - Proj 275/ CSHO-02995/24/ Vend -129</t>
  </si>
  <si>
    <t>Pur - Proj 242/ CSHO-03003/24/ Vend -129</t>
  </si>
  <si>
    <t>Pur - Proj 246/ RB24/757127691/ Vend -262</t>
  </si>
  <si>
    <t>Pur - Proj 220/ RB24/757127692/ Vend -262</t>
  </si>
  <si>
    <t>Pur - Proj 220/ 0/ Vend -456</t>
  </si>
  <si>
    <t>Pur - Proj 216/ 110/ Vend -456</t>
  </si>
  <si>
    <t>Pur - Proj 221/ RB24/757127774/ Vend -262</t>
  </si>
  <si>
    <t>Pur - Proj 221/ RB24/757127779/ Vend -262</t>
  </si>
  <si>
    <t>Pur - Proj 256/ 1231924/ Vend -456</t>
  </si>
  <si>
    <t>Pur - Proj 220/ 19267/ Vend -456</t>
  </si>
  <si>
    <t>Pur - Proj 275/ 96373842/ Vend -403</t>
  </si>
  <si>
    <t>Pur - Proj 246/ RB24/757127896/ Vend -262</t>
  </si>
  <si>
    <t>Pur - Proj 252/ RB24/757127907/ Vend -262</t>
  </si>
  <si>
    <t>Pur - Proj 243/ 14859/ Vend -386</t>
  </si>
  <si>
    <t>Pur - Proj 242/ 687249/ Vend -135</t>
  </si>
  <si>
    <t>Pur - Proj 255/ 139248/ Vend -404</t>
  </si>
  <si>
    <t>Pur - Proj 255/ 7743/ Vend -402</t>
  </si>
  <si>
    <t>Pur - Proj 255/ CAS/0054313/2024/ Vend -150</t>
  </si>
  <si>
    <t>Pur - Proj 242/ N-00191-2023/ Vend -107</t>
  </si>
  <si>
    <t>Pur - Proj 243/ N-00192-2023/ Vend -107</t>
  </si>
  <si>
    <t>Pur - Proj 242/ 130890/ Vend -356</t>
  </si>
  <si>
    <t>Pur - Proj 277/ 130892/ Vend -356</t>
  </si>
  <si>
    <t>Pur - Proj 250/ 130926/ Vend -356</t>
  </si>
  <si>
    <t>Pur - Proj 220/ 34826/ Vend -456</t>
  </si>
  <si>
    <t>Pur - Proj 255/ CSHO-03077/24/ Vend -129</t>
  </si>
  <si>
    <t>Pur - Proj 242/ N-00193-2023/ Vend -107</t>
  </si>
  <si>
    <t>Pur - Proj 255/ N-00194/2023/ Vend -107</t>
  </si>
  <si>
    <t>Pur - Proj 255/ N-00195/2023/ Vend -107</t>
  </si>
  <si>
    <t>Pur - Proj 220/ RB24/757128315/ Vend -262</t>
  </si>
  <si>
    <t>Pur - Proj / RB24/757128315/ Vend -262</t>
  </si>
  <si>
    <t>Pur - Proj 237/ 41197/ Vend -381</t>
  </si>
  <si>
    <t>Pur - Proj 255/ 585958/ Vend -456</t>
  </si>
  <si>
    <t>Pur - Proj 275/ 85827/ Vend -456</t>
  </si>
  <si>
    <t>Pur - Proj 275/ CS/8540/24/ Vend -364</t>
  </si>
  <si>
    <t>Pur - Proj 246/ CSHO-03103/24/ Vend -129</t>
  </si>
  <si>
    <t>Pur - Proj 246/ RB24/757128442/ Vend -262</t>
  </si>
  <si>
    <t>Pur - Proj 256/ 131189/ Vend -356</t>
  </si>
  <si>
    <t>Pur - Proj 242/ 38019/ Vend -291</t>
  </si>
  <si>
    <t>Pur - Proj 237/ 99341/ Vend -358</t>
  </si>
  <si>
    <t>Pur - Proj 246/ RB24/757128524/ Vend -262</t>
  </si>
  <si>
    <t>Pur - Proj 262/ RB24/757128525/ Vend -262</t>
  </si>
  <si>
    <t>Pur - Proj 256/ RB24/757128526/ Vend -262</t>
  </si>
  <si>
    <t>Pur - Proj 275/ 131219/ Vend -356</t>
  </si>
  <si>
    <t>Pur - Proj 275/ 14959/ Vend -386</t>
  </si>
  <si>
    <t>Pur - Proj 246/ CS2024/6328/ Vend -243</t>
  </si>
  <si>
    <t>Pur - Proj 255/ CSDR-04164/24/ Vend -129</t>
  </si>
  <si>
    <t>Pur - Proj 256/ RB24/757128632/ Vend -262</t>
  </si>
  <si>
    <t>Pur - Proj 246/ RB24/757128633/ Vend -262</t>
  </si>
  <si>
    <t>Pur - Proj 216/ 14984/ Vend -386</t>
  </si>
  <si>
    <t>Pur - Proj 246/ 31/ Vend -456</t>
  </si>
  <si>
    <t>Pur - Proj 246/ 96374269/ Vend -403</t>
  </si>
  <si>
    <t>Pur - Proj 246/ RB24/757128742/ Vend -262</t>
  </si>
  <si>
    <t>Pur - Proj 275/ RB24/757128743/ Vend -262</t>
  </si>
  <si>
    <t>Pur - Proj 255/ RB24/757128774/ Vend -262</t>
  </si>
  <si>
    <t>Pur - Proj 275/ 131443/ Vend -356</t>
  </si>
  <si>
    <t>Pur - Proj 220/ 96374168/ Vend -403</t>
  </si>
  <si>
    <t>Pur - Proj 246/ 96374367/ Vend -403</t>
  </si>
  <si>
    <t>Pur - Proj 246/ RB24/757128878/ Vend -262</t>
  </si>
  <si>
    <t>Pur - Proj 256/ RB24/757128879/ Vend -262</t>
  </si>
  <si>
    <t>Pur - Proj 246/ 0/ Vend -456</t>
  </si>
  <si>
    <t>Pur - Proj 255/ 131564/ Vend -356</t>
  </si>
  <si>
    <t>Pur - Proj 246/ 15026/ Vend -386</t>
  </si>
  <si>
    <t>Pur - Proj 249/ 15038/ Vend -386</t>
  </si>
  <si>
    <t>Pur - Proj 213/ CSS1-01597/24/ Vend -129</t>
  </si>
  <si>
    <t>Pur - Proj 257/ 3160148500/ Vend -105</t>
  </si>
  <si>
    <t>Pur - Proj 257/ 6130148517/ Vend -105</t>
  </si>
  <si>
    <t>Pur - Proj 255/ 96374522/ Vend -403</t>
  </si>
  <si>
    <t>Pur - Proj 246/ 100727/ Vend -358</t>
  </si>
  <si>
    <t>Pur - Proj 255/ 131689/ Vend -356</t>
  </si>
  <si>
    <t>Pur - Proj 255/ 131701/ Vend -356</t>
  </si>
  <si>
    <t>Pur - Proj 216/ 2024/2991/ Vend -125</t>
  </si>
  <si>
    <t>Pur - Proj 246/ 689192/ Vend -135</t>
  </si>
  <si>
    <t>Pur - Proj 216/ CAS/0054403/2024/ Vend -150</t>
  </si>
  <si>
    <t>Pur - Proj 246/ CSHO-03196/24/ Vend -129</t>
  </si>
  <si>
    <t>Pur - Proj 256/ N-9570-2024/ Vend -107</t>
  </si>
  <si>
    <t>Pur - Proj 246/ RB24/757129154/ Vend -262</t>
  </si>
  <si>
    <t>Pur - Proj 252/ 131766/ Vend -356</t>
  </si>
  <si>
    <t>Pur - Proj 216/ CSH/24/72983/ Vend -456</t>
  </si>
  <si>
    <t>Pur - Proj 216/ RB24/757129211/ Vend -262</t>
  </si>
  <si>
    <t>Pur - Proj 216/ RB24/757129248/ Vend -262</t>
  </si>
  <si>
    <t>Pur - Proj 216/ 55/ Vend -456</t>
  </si>
  <si>
    <t>Pur - Proj 215/ 101041/ Vend -358</t>
  </si>
  <si>
    <t>Pur - Proj 254/ 139607/ Vend -404</t>
  </si>
  <si>
    <t>Pur - Proj 262/ 15106/ Vend -386</t>
  </si>
  <si>
    <t>Pur - Proj 216/ 485001/ Vend -401</t>
  </si>
  <si>
    <t>Pur - Proj 216/ 485043/ Vend -401</t>
  </si>
  <si>
    <t>Pur - Proj 257/ CAS/0054410/24/ Vend -150</t>
  </si>
  <si>
    <t>Pur - Proj 257/ CAS/0054411/2024/ Vend -150</t>
  </si>
  <si>
    <t>Pur - Proj 216/ CSS1-01618/24/ Vend -129</t>
  </si>
  <si>
    <t>Pur - Proj 216/ S24-13485/ Vend -293</t>
  </si>
  <si>
    <t>Pur - Proj 257/ 1/ Vend -456</t>
  </si>
  <si>
    <t>Pur - Proj 216/ 101232/ Vend -358</t>
  </si>
  <si>
    <t>Pur - Proj 221/ 131992/ Vend -356</t>
  </si>
  <si>
    <t>Pur - Proj 257/ 139670/ Vend -404</t>
  </si>
  <si>
    <t>Pur - Proj 255/ 15128/ Vend -386</t>
  </si>
  <si>
    <t>Pur - Proj 256/ 15146/ Vend -386</t>
  </si>
  <si>
    <t>Pur - Proj 255/ RB24/757129445/ Vend -262</t>
  </si>
  <si>
    <t>Pur - Proj 216/ 10-20-10-183062/ Vend -120</t>
  </si>
  <si>
    <t>Pur - Proj 277/ 132062/ Vend -356</t>
  </si>
  <si>
    <t>Pur - Proj 259/ 132093/ Vend -356</t>
  </si>
  <si>
    <t>Pur - Proj 257/ 624/ Vend -456</t>
  </si>
  <si>
    <t>Pur - Proj 282/ AS23287/ Vend -456</t>
  </si>
  <si>
    <t>Pur - Proj 216/ CSHO-03246/24/ Vend -129</t>
  </si>
  <si>
    <t>Pur - Proj 254/ CSHO-03247/24/ Vend -129</t>
  </si>
  <si>
    <t>Pur - Proj 252/ N-9731-2024/ Vend -107</t>
  </si>
  <si>
    <t>Pur - Proj 217/ N-9732-2024/ Vend -107</t>
  </si>
  <si>
    <t>Pur - Proj 215/ S24-13694/ Vend -293</t>
  </si>
  <si>
    <t>Pur - Proj 254/ S24-13696/ Vend -293</t>
  </si>
  <si>
    <t>Pur - Proj 252/ 101639/ Vend -358</t>
  </si>
  <si>
    <t>Pur - Proj 252/ 132180/ Vend -356</t>
  </si>
  <si>
    <t>Pur - Proj 237/ 50446/ Vend -350</t>
  </si>
  <si>
    <t>Pur - Proj 217/ N-9816-2024/ Vend -107</t>
  </si>
  <si>
    <t>Pur - Proj / RB24/757129732/ Vend -262</t>
  </si>
  <si>
    <t>Pur - Proj 217/ 101998/ Vend -358</t>
  </si>
  <si>
    <t>Pur - Proj / 101998/ Vend -358</t>
  </si>
  <si>
    <t>Pur - Proj 256/ 93228/ Vend -456</t>
  </si>
  <si>
    <t>Pur - Proj 221/ CSHO-03294-24/ Vend -129</t>
  </si>
  <si>
    <t>Pur - Proj 243/ CSHO-03295/24/ Vend -129</t>
  </si>
  <si>
    <t>Pur - Proj 255/ CSS1-01661/24/ Vend -129</t>
  </si>
  <si>
    <t>Pur - Proj 221/ CSS1-01662/24/ Vend -129</t>
  </si>
  <si>
    <t>Pur - Proj 255/ RB24/757129812/ Vend -262</t>
  </si>
  <si>
    <t>Pur - Proj 275/ RB24/757129817/ Vend -262</t>
  </si>
  <si>
    <t>Pur - Proj 255/ RB24/757129834/ Vend -262</t>
  </si>
  <si>
    <t>Pur - Proj 216/ RB24/757129850/ Vend -262</t>
  </si>
  <si>
    <t>Pur - Proj 252/ 119210/ Vend -179</t>
  </si>
  <si>
    <t>Pur - Proj 252/ N-9874-2024/ Vend -107</t>
  </si>
  <si>
    <t>Pur - Proj 258/ NST/86560/ Vend -456</t>
  </si>
  <si>
    <t>Pur - Proj 255/ RB24/757129927/ Vend -262</t>
  </si>
  <si>
    <t>Pur - Proj 243/ 50465/ Vend -350</t>
  </si>
  <si>
    <t>Pur - Proj 216/ 50471/ Vend -350</t>
  </si>
  <si>
    <t>Pur - Proj 254/ RB24/757130000/ Vend -262</t>
  </si>
  <si>
    <t>Pur - Proj 284/ 102734/ Vend -358</t>
  </si>
  <si>
    <t>Pur - Proj 277/ 132630/ Vend -356</t>
  </si>
  <si>
    <t>Pur - Proj 284/ CSHO-03316/24/ Vend -129</t>
  </si>
  <si>
    <t>Pur - Proj 284/ CSHO-03317/24/ Vend -129</t>
  </si>
  <si>
    <t>Pur - Proj 216/ N-9957-2024/ Vend -107</t>
  </si>
  <si>
    <t>Pur - Proj 243/ N-9972-2024/ Vend -107</t>
  </si>
  <si>
    <t>Pur - Proj 216/ N-9973-2024/ Vend -107</t>
  </si>
  <si>
    <t>Pur - Proj 254/ RB24/757130109/ Vend -262</t>
  </si>
  <si>
    <t>Pur - Proj 275/ 139942/ Vend -404</t>
  </si>
  <si>
    <t>Pur - Proj 221/ 258691/ Vend -456</t>
  </si>
  <si>
    <t>Pur - Proj 252/ 46228/ Vend -456</t>
  </si>
  <si>
    <t>Pur - Proj 216/ CSHO-03344/24/ Vend -129</t>
  </si>
  <si>
    <t>Pur - Proj 278/ CSS1-01685/24/ Vend -129</t>
  </si>
  <si>
    <t>Pur - Proj 255/ RB24/757130217/ Vend -262</t>
  </si>
  <si>
    <t>Pur - Proj 254/ CSHO-03360/24/ Vend -129</t>
  </si>
  <si>
    <t>Pur - Proj 278/ N-10054-2024/ Vend -107</t>
  </si>
  <si>
    <t>Pur - Proj 278/ 2407408/ Vend -138</t>
  </si>
  <si>
    <t>Pur - Proj 278/ 41866/ Vend -381</t>
  </si>
  <si>
    <t>Pur - Proj 278/ 96375279/ Vend -403</t>
  </si>
  <si>
    <t>Pur - Proj 278/ CAS/0054530/2024/ Vend -150</t>
  </si>
  <si>
    <t>Pur - Proj 278/ CSS1-01703/24/ Vend -129</t>
  </si>
  <si>
    <t>Pur - Proj 278/ DIFF/ Vend -456</t>
  </si>
  <si>
    <t>Pur - Proj 216/ N-10143-2024/ Vend -107</t>
  </si>
  <si>
    <t>Pur - Proj 211/ 103910/ Vend -358</t>
  </si>
  <si>
    <t>Pur - Proj 255/ 140099/ Vend -404</t>
  </si>
  <si>
    <t>Pur - Proj 225/ CAS/0054554/2024/ Vend -150</t>
  </si>
  <si>
    <t>Pur - Proj 211/ CMA-68672/ Vend -359</t>
  </si>
  <si>
    <t>Pur - Proj 278/ RB24/757130619/ Vend -262</t>
  </si>
  <si>
    <t>Pur - Proj 255/ 133280/ Vend -356</t>
  </si>
  <si>
    <t>Pur - Proj 255/ 692137/ Vend -135</t>
  </si>
  <si>
    <t>Pur - Proj 257/ 8055/ Vend -456</t>
  </si>
  <si>
    <t>Pur - Proj 277/ 133399/ Vend -356</t>
  </si>
  <si>
    <t>Pur - Proj 249/ 140188/ Vend -404</t>
  </si>
  <si>
    <t>Pur - Proj 275/ 3160149268/ Vend -105</t>
  </si>
  <si>
    <t>Pur - Proj 275/ 485921/ Vend -401</t>
  </si>
  <si>
    <t>Pur - Proj 255/ CSHO-03426/24/ Vend -129</t>
  </si>
  <si>
    <t>Pur - Proj 275/ N-10274-2024/ Vend -107</t>
  </si>
  <si>
    <t>Pur - Proj 243/ RB24/757130775/ Vend -262</t>
  </si>
  <si>
    <t>Pur - Proj 217/ 104599/ Vend -358</t>
  </si>
  <si>
    <t>Pur - Proj 256/ 133460/ Vend -356</t>
  </si>
  <si>
    <t>Pur - Proj 254/ 23-83570/ Vend -383</t>
  </si>
  <si>
    <t>Pur - Proj 243/ 3160149324/ Vend -105</t>
  </si>
  <si>
    <t>Pur - Proj 243/ 67539/ Vend -398</t>
  </si>
  <si>
    <t>Pur - Proj 255/ 692444/ Vend -135</t>
  </si>
  <si>
    <t>Pur - Proj 249/ 96375596/ Vend -403</t>
  </si>
  <si>
    <t>Pur - Proj 254/ 140262/ Vend -404</t>
  </si>
  <si>
    <t>Pur - Proj 249/ CSS1-01750/24/ Vend -129</t>
  </si>
  <si>
    <t>Pur - Proj 249/ RB24/757130938/ Vend -262</t>
  </si>
  <si>
    <t>Pur - Proj 249/ N-10379-2024/ Vend -107</t>
  </si>
  <si>
    <t>Pur - Proj 243/ N-10411-2024/ Vend -107</t>
  </si>
  <si>
    <t>Pur - Proj 243/ RB24/757131027/ Vend -262</t>
  </si>
  <si>
    <t>Pur - Proj 249/ N-10427-2024/ Vend -107</t>
  </si>
  <si>
    <t>Pur - Proj 249/ RB24/757131102/ Vend -262</t>
  </si>
  <si>
    <t>Pur - Proj 278/ 6212/ Vend -456</t>
  </si>
  <si>
    <t>Pur - Proj 249/ 693048/ Vend -135</t>
  </si>
  <si>
    <t>Pur - Proj 249/ CR2024/2701/ Vend -243</t>
  </si>
  <si>
    <t>Pur - Proj 249/ CSDR-04684/24/ Vend -129</t>
  </si>
  <si>
    <t>Pur - Proj 249/ N-10453-2024/ Vend -107</t>
  </si>
  <si>
    <t>Pur - Proj 249/ RB24/757131150/ Vend -262</t>
  </si>
  <si>
    <t>Pur - Proj 249/ RB24/757131179/ Vend -262</t>
  </si>
  <si>
    <t>Pur - Proj 249/ 111664/ Vend -269</t>
  </si>
  <si>
    <t>Pur - Proj 249/ RB24/757131283/ Vend -262</t>
  </si>
  <si>
    <t>Pur - Proj 254/ 105822/ Vend -358</t>
  </si>
  <si>
    <t>Pur - Proj 258/ 126940/ Vend -456</t>
  </si>
  <si>
    <t>Pur - Proj 254/ 48906/ Vend -456</t>
  </si>
  <si>
    <t>Pur - Proj 256/ CSHO-03502/24/ Vend -129</t>
  </si>
  <si>
    <t>Pur - Proj 237/ N-1056-2024/ Vend -107</t>
  </si>
  <si>
    <t>Pur - Proj 265/ 134192/ Vend -356</t>
  </si>
  <si>
    <t>Pur - Proj 243/ 23-83931/ Vend -383</t>
  </si>
  <si>
    <t>Pur - Proj 256/ 3160149614/ Vend -105</t>
  </si>
  <si>
    <t>Pur - Proj 275/ 6282/ Vend -456</t>
  </si>
  <si>
    <t>Pur - Proj 256/ 693944/ Vend -135</t>
  </si>
  <si>
    <t>Pur - Proj 256/ CSS1-01781/24/ Vend -129</t>
  </si>
  <si>
    <t>Pur - Proj 256/ N-10667-2024/ Vend -107</t>
  </si>
  <si>
    <t>Pur - Proj 286/ 134257/ Vend -356</t>
  </si>
  <si>
    <t>Pur - Proj 256/ 42287/ Vend -381</t>
  </si>
  <si>
    <t>Pur - Proj 254/ RB24/757131660/ Vend -262</t>
  </si>
  <si>
    <t>Pur - Proj 256/ RB24/757131673/ Vend -262</t>
  </si>
  <si>
    <t>Pur - Proj 256/ 03-1053084/ Vend -158</t>
  </si>
  <si>
    <t>Pur - Proj 279/ 50566/ Vend -350</t>
  </si>
  <si>
    <t>Pur - Proj 258/ 24212012800/ Vend -182</t>
  </si>
  <si>
    <t>Pur - Proj 256/ CSHO-03538/24/ Vend -129</t>
  </si>
  <si>
    <t>Pur - Proj 256/ RB24/757131747/ Vend -262</t>
  </si>
  <si>
    <t>Pur - Proj 256/ RB24/757131804/ Vend -262</t>
  </si>
  <si>
    <t>Pur - Proj 255/ RB24/757131805/ Vend -262</t>
  </si>
  <si>
    <t>Pur - Proj 256/ 42368/ Vend -381</t>
  </si>
  <si>
    <t>Pur - Proj 256/ CSS1-01789/24/ Vend -129</t>
  </si>
  <si>
    <t>Pur - Proj 282/ N-10828-2024/ Vend -107</t>
  </si>
  <si>
    <t>Pur - Proj 256/ RB24/757131913/ Vend -262</t>
  </si>
  <si>
    <t>Pur - Proj 258/ 42684/ Vend -157</t>
  </si>
  <si>
    <t>Pur - Proj 275/ CSS1-01804/24/ Vend -129</t>
  </si>
  <si>
    <t>Pur - Proj 258/ N-10870-2024/ Vend -107</t>
  </si>
  <si>
    <t>Pur - Proj 275/ RB24/757131975/ Vend -262</t>
  </si>
  <si>
    <t>Pur - Proj 265/ 134880/ Vend -356</t>
  </si>
  <si>
    <t>Pur - Proj 258/ 3160149979/ Vend -105</t>
  </si>
  <si>
    <t>Pur - Proj 256/ 3160150051/ Vend -105</t>
  </si>
  <si>
    <t>Purchases to 6-10</t>
  </si>
  <si>
    <t>Pay - vend UTS Carrier/ 851CR/ Vend -</t>
  </si>
  <si>
    <t>Pay - vend Al Emadi Air Conditioning/ SIJ/ Vend -CSHO-01811//24</t>
  </si>
  <si>
    <t>Pay - vend Al Emadi Air Conditioning/ SIJ/ Vend -CSHO-01810/24</t>
  </si>
  <si>
    <t>Pay - vend Al Emadi Air Conditioning/ SIJ/ Vend -CSS1-00950/24</t>
  </si>
  <si>
    <t>Pay - vend RUKN AL BATOOL AC REF/ SIJ/ Vend -RB2450186</t>
  </si>
  <si>
    <t>Pay - vend RUKN AL BATOOL AC REF/ SIJ/ Vend -RB24/50303</t>
  </si>
  <si>
    <t>Pay - vend Noor Al Maqdis/ SIJ/ Vend -N-6157-2024</t>
  </si>
  <si>
    <t>Pay - vend FAKHRI &amp; BROTHERS/ SIJ/ Vend -CAS/0053542/2024</t>
  </si>
  <si>
    <t>Pay - vend FAKHRI &amp; BROTHERS/ SIJ/ Vend -CAS/0053547/2024</t>
  </si>
  <si>
    <t>Pay - vend PULIKAL BLDG.MAT.TRDG/ SIJ/ Vend -122849</t>
  </si>
  <si>
    <t>Pay - vend NAJMAT AL AZRAH HARDWARE/ SIJ/ Vend -38741</t>
  </si>
  <si>
    <t>Pay - vend DUBAI INDUSTRIAL GASES/ SIJ/ Vend -136336</t>
  </si>
  <si>
    <t>Pay - vend Noor Al Maqdis/ SIJ/ Vend -N-6201-2024</t>
  </si>
  <si>
    <t>Pay - vend Al Emadi Air Conditioning/ SIJ/ Vend -CSS1-00967/24</t>
  </si>
  <si>
    <t>Pay - vend AL KHAWANIIJ GEN.TRDG/ SIJ/ Vend -88888</t>
  </si>
  <si>
    <t>Pay - vend RUKN AL BATOOL AC REF/ SIJ/ Vend -RB24/504059</t>
  </si>
  <si>
    <t>Pay - vend DAR AL QIMAH/ SIJ/ Vend -35670</t>
  </si>
  <si>
    <t>Pay - vend NAJMAT AL AZRAH HARDWARE/ SIJ/ Vend -38794</t>
  </si>
  <si>
    <t>Pay - vend DESERT MOON STEEL TRADING/ SIJ/ Vend -480013</t>
  </si>
  <si>
    <t>Pay - vend / 864CR/ Vend -</t>
  </si>
  <si>
    <t>Pay - vend UTS Carrier/ 865CR/ Vend -</t>
  </si>
  <si>
    <t>Pay - vend Noor Al Maqdis/ SIJ/ Vend -N-6254-2024</t>
  </si>
  <si>
    <t>Pay - vend Noor Al Maqdis/ SIJ/ Vend -N-7306-2024</t>
  </si>
  <si>
    <t>Pay - vend RUKN AL BATOOL AC REF/ SIJ/ Vend -RB24/504213</t>
  </si>
  <si>
    <t>Pay - vend Noor Al Maqdis/ SIJ/ Vend -N-6300-2024</t>
  </si>
  <si>
    <t>Pay - vend RUKN AL BATOOL AC REF/ SIJ/ Vend -RB24/504329</t>
  </si>
  <si>
    <t>Pay - vend RUKN AL BATOOL AC REF/ SIJ/ Vend -RB24/504342</t>
  </si>
  <si>
    <t>Pay - vend DESERT MOON STEEL TRADING/ SIJ/ Vend -480156</t>
  </si>
  <si>
    <t>Pay - vend Al Emadi Air Conditioning/ SIJ/ Vend -CSDR02433/24</t>
  </si>
  <si>
    <t>Pay - vend RUKN AL BATOOL AC REF/ SIJ/ Vend -RB24/504440</t>
  </si>
  <si>
    <t>Pay - vend PULIKAL BLDG.MAT.TRDG/ SIJ/ Vend -123360</t>
  </si>
  <si>
    <t>Pay - vend HIRA INDUSTRIES/ SIJ/ Vend -96369630</t>
  </si>
  <si>
    <t>Pay - vend HIRA INDUSTRIES/ SIJ/ Vend -96369628</t>
  </si>
  <si>
    <t>Pay - vend PUPLIC VENDORS/ SIJ/ Vend -14105</t>
  </si>
  <si>
    <t>Pay - vend Noor Al Maqdis/ SIJ/ Vend -N-6389-2024</t>
  </si>
  <si>
    <t>Pay - vend RUKN AL BATOOL AC REF/ SIJ/ Vend -RB24/504545</t>
  </si>
  <si>
    <t>Pay - vend AL KHAWANIIJ GEN.TRDG/ SIJ/ Vend -84488</t>
  </si>
  <si>
    <t>Pay - vend RUKN AL BATOOL AC REF/ SIJ/ Vend -RB24/504649</t>
  </si>
  <si>
    <t>Pay - vend PULIKAL BLDG.MAT.TRDG/ SIJ/ Vend -123532</t>
  </si>
  <si>
    <t>Pay - vend UTS Carrier/ 837CR/ Vend -</t>
  </si>
  <si>
    <t>Pay - vend RUKN AL BATOOL AC REF/ SIJ/ Vend -RB24/504781</t>
  </si>
  <si>
    <t>Pay - vend PULIKAL BLDG.MAT.TRDG/ SIJ/ Vend -123705</t>
  </si>
  <si>
    <t>Pay - vend PULIKAL BLDG.MAT.TRDG/ SIJ/ Vend -123673</t>
  </si>
  <si>
    <t>Pay - vend DUBAI INDUSTRIAL GASES/ SIJ/ Vend -136613</t>
  </si>
  <si>
    <t>Pay - vend DUBAI INDUSTRIAL GASES/ SIJ/ Vend -136614</t>
  </si>
  <si>
    <t>Pay - vend Noor Al Maqdis/ SIJ/ Vend -N-6505-2024</t>
  </si>
  <si>
    <t>Pay - vend Al Emadi Air Conditioning/ SIJ/ Vend -CSHO-01972/24</t>
  </si>
  <si>
    <t>Pay - vend RUKN AL BATOOL AC REF/ SIJ/ Vend -RB24/504893</t>
  </si>
  <si>
    <t>Pay - vend RUKN AL BATOOL AC REF/ SIJ/ Vend -RB24/504894</t>
  </si>
  <si>
    <t>Pay - vend PULIKAL BLDG.MAT.TRDG/ SIJ/ Vend -123864</t>
  </si>
  <si>
    <t>Pay - vend CH.M.KAMRAN/ SIJ/ Vend -1264</t>
  </si>
  <si>
    <t>Pay - vend Al Emadi Air Conditioning/ SIJ/ Vend -CSHO-01988/24</t>
  </si>
  <si>
    <t>Pay - vend RUKN AL BATOOL AC REF/ SIJ/ Vend -RB24/5049456</t>
  </si>
  <si>
    <t>Pay - vend PULIKAL BLDG.MAT.TRDG/ SIJ/ Vend -123929</t>
  </si>
  <si>
    <t>Pay - vend HIRA INDUSTRIES/ SIJ/ Vend -96369934</t>
  </si>
  <si>
    <t>Pay - vend DUBAI INDUSTRIAL GASES/ SIJ/ Vend -136712</t>
  </si>
  <si>
    <t>Pay - vend CHILL AIR AC SPARE PARTS TRADI/ SIJ/ Vend -CA-2024-06307</t>
  </si>
  <si>
    <t>Pay - vend PULIKAL BLDG.MAT.TRDG/ SIJ/ Vend -124126</t>
  </si>
  <si>
    <t>Pay - vend PUPLIC VENDORS/ SIJ/ Vend -3660</t>
  </si>
  <si>
    <t>Pay - vend PUPLIC VENDORS/ SIJ/ Vend -70606396</t>
  </si>
  <si>
    <t>Pay - vend Al Emadi Air Conditioning/ SIJ/ Vend -CSHO-02023/24</t>
  </si>
  <si>
    <t>Pay - vend SAHARI/ SIJ/ Vend -INC-02/32882</t>
  </si>
  <si>
    <t>Pay - vend PUPLIC VENDORS/ SIJ/ Vend -192858</t>
  </si>
  <si>
    <t>Pay - vend UTS Carrier/ 854CR/ Vend -</t>
  </si>
  <si>
    <t>Pay - vend DUBAI INDUSTRIAL GASES/ SIJ/ Vend -136818</t>
  </si>
  <si>
    <t>Pay - vend PUPLIC VENDORS/ SIJ/ Vend -4657</t>
  </si>
  <si>
    <t>Pay - vend Noor Al Maqdis/ SIJ/ Vend -N-6697-2024</t>
  </si>
  <si>
    <t>Pay - vend RUKN AL BATOOL AC REF/ SIJ/ Vend -RB24/5049878</t>
  </si>
  <si>
    <t>Pay - vend RUKN AL BATOOL AC REF/ SIJ/ Vend -RB24/5049877</t>
  </si>
  <si>
    <t>Pay - vend PUPLIC VENDORS/ SIJ/ Vend -NST/82896</t>
  </si>
  <si>
    <t>Pay - vend RUKN AL BATOOL AC REF/ SIJ/ Vend -RB24/5050007</t>
  </si>
  <si>
    <t>Pay - vend FRIENDS AIR CONDITION &amp; REFRIG/ SIJ/ Vend -72317</t>
  </si>
  <si>
    <t>Pay - vend DAR AL QIMAH/ SIJ/ Vend -35976</t>
  </si>
  <si>
    <t>Pay - vend NAJMAT AL AZRAH HARDWARE/ SIJ/ Vend -38819</t>
  </si>
  <si>
    <t>Pay - vend PUPLIC VENDORS/ SIJ/ Vend -164</t>
  </si>
  <si>
    <t>Pay - vend Al Emadi Air Conditioning/ SIJ/ Vend -CSHO-02102/24</t>
  </si>
  <si>
    <t>Pay - vend Al Emadi Air Conditioning/ SIJ/ Vend -CSHO-021.3/24</t>
  </si>
  <si>
    <t>Pay - vend FAKHRI &amp; BROTHERS/ SIJ/ Vend -CAS/0053698/2024</t>
  </si>
  <si>
    <t>Pay - vend Noor Al Maqdis/ SIJ/ Vend -N-6859-2024</t>
  </si>
  <si>
    <t>Pay - vend FAKHRI &amp; BROTHERS/ SIJ/ Vend -CAS/0053707/2024</t>
  </si>
  <si>
    <t>Pay - vend RUKN AL BATOOL AC REF/ SIJ/ Vend -RB24/5050364</t>
  </si>
  <si>
    <t>Pay - vend RUKN AL BATOOL AC REF/ SIJ/ Vend -RB24/5050385</t>
  </si>
  <si>
    <t>Pay - vend RUKN AL BATOOL AC REF/ SIJ/ Vend -RB24/5050363</t>
  </si>
  <si>
    <t>Pay - vend DAR AL QIMAH/ SIJ/ Vend -36055</t>
  </si>
  <si>
    <t>Pay - vend Noor Al Maqdis/ SIJ/ Vend -N-6886-2024</t>
  </si>
  <si>
    <t>Pay - vend RUKN AL BATOOL AC REF/ SIJ/ Vend -RB24/5050472</t>
  </si>
  <si>
    <t>Pay - vend Noor Al Maqdis/ SIJ/ Vend -N-6946-2024</t>
  </si>
  <si>
    <t>Pay - vend AIRTEC/ SIJ/ Vend -24212007512</t>
  </si>
  <si>
    <t>Pay - vend INTERCOOL AIR CONDITIONING/ SIJ/ Vend -CS2403838</t>
  </si>
  <si>
    <t>Pay - vend RUKN AL BATOOL AC REF/ SIJ/ Vend -RB/24/5050615</t>
  </si>
  <si>
    <t>Pay - vend RUKN AL BATOOL AC REF/ SIJ/ Vend -RB24/5050616</t>
  </si>
  <si>
    <t>Pay - vend BEST CHOICE INDUSTRIES LLC/ 857CR/ Vend -</t>
  </si>
  <si>
    <t>Pay - vend Al Muthathawerah/ 858/ Vend -2402989</t>
  </si>
  <si>
    <t>Pay - vend Al Muthathawerah/ 858/ Vend -2403162</t>
  </si>
  <si>
    <t>Pay - vend Al Muthathawerah/ 858/ Vend -2403345</t>
  </si>
  <si>
    <t>Pay - vend Al Muthathawerah/ 858/ Vend -112401440</t>
  </si>
  <si>
    <t>Pay - vend BAB AL TABREED A/C UNITS FIX.C/ 859/ Vend -12583</t>
  </si>
  <si>
    <t>Pay - vend BAB AL TABREED A/C UNITS FIX.C/ 859/ Vend -12660</t>
  </si>
  <si>
    <t>Pay - vend BAB AL TABREED A/C UNITS FIX.C/ 859/ Vend -12704</t>
  </si>
  <si>
    <t>Pay - vend BAB AL TABREED A/C UNITS FIX.C/ 859/ Vend -12765</t>
  </si>
  <si>
    <t>Pay - vend BAB AL TABREED A/C UNITS FIX.C/ 859/ Vend -12838</t>
  </si>
  <si>
    <t>Pay - vend BAB AL TABREED A/C UNITS FIX.C/ 859/ Vend -12861</t>
  </si>
  <si>
    <t>Pay - vend BAB AL TABREED A/C UNITS FIX.C/ 859/ Vend -12888</t>
  </si>
  <si>
    <t>Pay - vend BAB AL TABREED A/C UNITS FIX.C/ 859/ Vend -12906</t>
  </si>
  <si>
    <t>Pay - vend RUKN AL BATOOL AC REF/ SIJ/ Vend -RB24/5050773</t>
  </si>
  <si>
    <t>Pay - vend PULIKAL BLDG.MAT.TRDG/ SIJ/ Vend -125028</t>
  </si>
  <si>
    <t>Pay - vend Al Emadi Air Conditioning/ SIJ/ Vend -CSDR-02798/24</t>
  </si>
  <si>
    <t>Pay - vend RUKN AL BATOOL AC REF/ SIJ/ Vend -RB/24/5050882</t>
  </si>
  <si>
    <t>Pay - vend PULIKAL BLDG.MAT.TRDG/ SIJ/ Vend -125168</t>
  </si>
  <si>
    <t>Pay - vend PULIKAL BLDG.MAT.TRDG/ SIJ/ Vend -125086</t>
  </si>
  <si>
    <t>Pay - vend HIRA INDUSTRIES/ SIJ/ Vend -96370613</t>
  </si>
  <si>
    <t>Pay - vend Abu Said Trading/ SIJ/ Vend -DB24/1003993</t>
  </si>
  <si>
    <t>Pay - vend HIRA INDUSTRIES/ SIJ/ Vend -96370678</t>
  </si>
  <si>
    <t>Pay - vend Al Emadi Air Conditioning/ SIJ/ Vend -CSS1-01138/24</t>
  </si>
  <si>
    <t>Pay - vend Al Emadi Air Conditioning/ SIJ/ Vend -CSS1-01139/24</t>
  </si>
  <si>
    <t>Pay - vend FAKHRI &amp; BROTHERS/ SIJ/ Vend -CAS/0053775/2024</t>
  </si>
  <si>
    <t>Pay - vend RUKN AL BATOOL AC REF/ SIJ/ Vend -RB24/5051132</t>
  </si>
  <si>
    <t>Pay - vend RUKN AL BATOOL AC REF/ SIJ/ Vend -RB24/5051130</t>
  </si>
  <si>
    <t>Pay - vend RUKN AL BATOOL AC REF/ SIJ/ Vend -RB24/5051131</t>
  </si>
  <si>
    <t>Pay - vend Noor Al Maqdis/ SIJ/ Vend -N-7159-2024</t>
  </si>
  <si>
    <t>Pay - vend Al Emadi Air Conditioning/ SIJ/ Vend -CSS1-01145/24</t>
  </si>
  <si>
    <t>Pay - vend INTERCOOL AIR CONDITIONING/ SIJ/ Vend -CS2404173</t>
  </si>
  <si>
    <t>Pay - vend INTER COOL A/C/ SIJ/ Vend -CS2404182</t>
  </si>
  <si>
    <t>Pay - vend RUKN AL BATOOL AC REF/ SIJ/ Vend -RB24/5051265</t>
  </si>
  <si>
    <t>Pay - vend RUKN AL BATOOL AC REF/ SIJ/ Vend -RB24/5051278</t>
  </si>
  <si>
    <t>Pay - vend RUKN AL BATOOL AC REF/ SIJ/ Vend -RB24/5051258</t>
  </si>
  <si>
    <t>Pay - vend PULIKAL BLDG.MAT.TRDG/ SIJ/ Vend -125373</t>
  </si>
  <si>
    <t>Pay - vend RUKN AL BATOOL AC REF/ SIJ/ Vend -RB24/5051388</t>
  </si>
  <si>
    <t>Pay - vend PULIKAL BLDG.MAT.TRDG/ SIJ/ Vend -125507</t>
  </si>
  <si>
    <t>Pay - vend RUKN AL BATOOL AC REF/ SIJ/ Vend -RB24/5051481</t>
  </si>
  <si>
    <t>Pay - vend RUKN AL BATOOL AC REF/ SIJ/ Vend -RB24/5051482</t>
  </si>
  <si>
    <t>Pay - vend RUKN AL BATOOL AC REF/ SIJ/ Vend -RB24/5051414</t>
  </si>
  <si>
    <t>Pay - vend PULIKAL BLDG.MAT.TRDG/ SIJ/ Vend -125623</t>
  </si>
  <si>
    <t>Pay - vend NAJMAT AL AZRAH HARDWARE/ SIJ/ Vend -39173</t>
  </si>
  <si>
    <t>Pay - vend HIRA INDUSTRIES/ SIJ/ Vend -96370870</t>
  </si>
  <si>
    <t>Pay - vend RUKN AL BATOOL AC REF/ SIJ/ Vend -RB24/5051630</t>
  </si>
  <si>
    <t>Pay - vend RUKN AL BATOOL AC REF/ SIJ/ Vend -RB24/5051609</t>
  </si>
  <si>
    <t>Pay - vend Leminar/ sij/ Vend -678780</t>
  </si>
  <si>
    <t>Pay - vend RUKN AL BATOOL AC REF/ sij/ Vend -RB24/5051608</t>
  </si>
  <si>
    <t>Pay - vend RUKN AL BATOOL AC REF/ SIJ/ Vend -RB24/5051746</t>
  </si>
  <si>
    <t>Pay - vend RUKN AL BATOOL AC REF/ SIJ/ Vend -RB24/5051734</t>
  </si>
  <si>
    <t>Pay - vend AL SHAMALI &amp; WARIS TRAD/ SIJ/ Vend -S24-9630</t>
  </si>
  <si>
    <t>Pay - vend Noor Al Maqdis/ sij/ Vend -N-7336-2024</t>
  </si>
  <si>
    <t>Pay - vend STEELEX BUILDING MATERIALS/ sij/ Vend -263462</t>
  </si>
  <si>
    <t>Pay - vend NAJMAT AL KHAWANEEJ/ sij/ Vend -88749</t>
  </si>
  <si>
    <t>Pay - vend Al Emadi Air Conditioning/ SIJ/ Vend -CSHO-02319/24</t>
  </si>
  <si>
    <t>Pay - vend Al Emadi Air Conditioning/ SIJ/ Vend -CSHO-02316/24</t>
  </si>
  <si>
    <t>Pay - vend Al Emadi Air Conditioning/ SIJ/ Vend -CSHO-02318/24</t>
  </si>
  <si>
    <t>Pay - vend Al Emadi Air Conditioning/ SIJ/ Vend -CSHO-02236/24</t>
  </si>
  <si>
    <t>Pay - vend SAHARI/ SIJ/ Vend -02/32925</t>
  </si>
  <si>
    <t>Pay - vend RUKN AL BATOOL AC REF/ SIJ/ Vend -RB24/5051973</t>
  </si>
  <si>
    <t>Pay - vend RUKN AL BATOOL AC REF/ SIJ/ Vend -RB24/5051971</t>
  </si>
  <si>
    <t>Pay - vend RASHED MEHMOOD/ sij/ Vend -9786</t>
  </si>
  <si>
    <t>Pay - vend RASHED MEHMOOD/ sij/ Vend -9785</t>
  </si>
  <si>
    <t>Pay - vend RUKN AL BATOOL AC REF/ SIJ/ Vend -RB24/505204727</t>
  </si>
  <si>
    <t>Pay - vend SAHARI/ SIJ/ Vend -02/32931</t>
  </si>
  <si>
    <t>Pay - vend DUBAI INDUSTRIAL GASES/ SIJ/ Vend -137542</t>
  </si>
  <si>
    <t>Pay - vend Al Emadi Air Conditioning/ sij/ Vend -CSS1-01192/24</t>
  </si>
  <si>
    <t>Pay - vend FAKHRI &amp; BROTHERS/ sij/ Vend -CAS/0053871/2024</t>
  </si>
  <si>
    <t>Pay - vend RUKN AL BATOOL AC REF/ sij/ Vend -RB24/505204728</t>
  </si>
  <si>
    <t>Pay - vend BURKAN BUILDING MATERIALS/ sij/ Vend -50164</t>
  </si>
  <si>
    <t>Pay - vend PUPLIC VENDORS/ sij/ Vend -AN-200674</t>
  </si>
  <si>
    <t>Pay - vend Wahat Meshref/ SIJ/ Vend -24/14546</t>
  </si>
  <si>
    <t>Pay - vend RUKN AL BATOOL AC REF/ SIJ/ Vend -RB24/505204837</t>
  </si>
  <si>
    <t>Pay - vend PUPLIC VENDORS/ SIJ/ Vend -17176</t>
  </si>
  <si>
    <t>Pay - vend Al Emadi Air Conditioning/ sij/ Vend -CSHO-02372/24</t>
  </si>
  <si>
    <t>Pay - vend Al Emadi Air Conditioning/ sij/ Vend -CSHO-02373/24</t>
  </si>
  <si>
    <t>Pay - vend RUKN AL BATOOL AC REF/ sij/ Vend -RB24/505204924</t>
  </si>
  <si>
    <t>Pay - vend PUPLIC VENDORS/ SIJ/ Vend -36855</t>
  </si>
  <si>
    <t>Pay - vend Al Emadi Air Conditioning/ sij/ Vend -CSS1-01215/24</t>
  </si>
  <si>
    <t>Pay - vend RUKN AL BATOOL AC REF/ sij/ Vend -RB24/505205064</t>
  </si>
  <si>
    <t>Pay - vend Noor Al Maqdis/ SIJ/ Vend -N-55448-2024</t>
  </si>
  <si>
    <t>Pay - vend Noor Al Maqdis/ sij/ Vend -N-7546-2024</t>
  </si>
  <si>
    <t>Pay - vend Al Emadi Air Conditioning/ sij/ Vend -CSHO-02427/24</t>
  </si>
  <si>
    <t>Pay - vend RUKN AL BATOOL AC REF/ sij/ Vend -RB24/505205171</t>
  </si>
  <si>
    <t>Pay - vend NAJMAT AL AZRAH HARDWARE/ sij/ Vend -67272</t>
  </si>
  <si>
    <t>Pay - vend DUBAI INDUSTRIAL GASES/ sij/ Vend -137680</t>
  </si>
  <si>
    <t>Pay - vend DUBAI INDUSTRIAL GASES/ sij/ Vend -137679</t>
  </si>
  <si>
    <t>Pay - vend PULIKAL BLDG.MAT.TRDG/ SIJ/ Vend -126711</t>
  </si>
  <si>
    <t>Pay - vend NAJMAT AL KHAWANEEJ/ SIJ/ Vend -90313</t>
  </si>
  <si>
    <t>Pay - vend HIRA INDUSTRIES/ sij/ Vend -96371459</t>
  </si>
  <si>
    <t>Pay - vend Noor Al Maqdis/ SIJ/ Vend -N-7598-2024</t>
  </si>
  <si>
    <t>Pay - vend RUKN AL BATOOL AC REF/ sij/ Vend -RB24/505205399</t>
  </si>
  <si>
    <t>Pay - vend RUKN AL BATOOL AC REF/ sij/ Vend -RB24/505205400</t>
  </si>
  <si>
    <t>Pay - vend Noor Al Maqdis/ SIJ/ Vend -N-7621-2024</t>
  </si>
  <si>
    <t>Pay - vend RUKN AL BATOOL AC REF/ SIJ/ Vend -RB24/505205518</t>
  </si>
  <si>
    <t>Pay - vend NAJMAT AL KHAWANEEJ/ SIJ/ Vend -90680</t>
  </si>
  <si>
    <t>Pay - vend RUKN AL BATOOL AC REF/ SIJ/ Vend -RB24/505205615</t>
  </si>
  <si>
    <t>Pay - vend PULIKAL BLDG.MAT.TRDG/ SIJ/ Vend -126867</t>
  </si>
  <si>
    <t>Pay - vend BAB AL TABREED A/C UNITS FIX.C/ 871/ Vend -12906</t>
  </si>
  <si>
    <t>Pay - vend BAB AL TABREED A/C UNITS FIX.C/ 871/ Vend -13070</t>
  </si>
  <si>
    <t>Pay - vend BAB AL TABREED A/C UNITS FIX.C/ 871/ Vend -13132</t>
  </si>
  <si>
    <t>Pay - vend BAB AL TABREED A/C UNITS FIX.C/ 871/ Vend -13137</t>
  </si>
  <si>
    <t>Pay - vend BAB AL TABREED A/C UNITS FIX.C/ 871/ Vend -13255</t>
  </si>
  <si>
    <t>Pay - vend BAB AL TABREED A/C UNITS FIX.C/ 871/ Vend -13233</t>
  </si>
  <si>
    <t>Pay - vend BAB AL TABREED A/C UNITS FIX.C/ 871/ Vend -13291</t>
  </si>
  <si>
    <t>Pay - vend BAB AL TABREED A/C UNITS FIX.C/ 871/ Vend -13396</t>
  </si>
  <si>
    <t>Pay - vend BAB AL TABREED A/C UNITS FIX.C/ 871/ Vend -13413</t>
  </si>
  <si>
    <t>Pay - vend BAB AL TABREED A/C UNITS FIX.C/ 871/ Vend -13432</t>
  </si>
  <si>
    <t>Pay - vend BAB AL TABREED A/C UNITS FIX.C/ 871/ Vend -13464</t>
  </si>
  <si>
    <t>Pay - vend Al Muthathawerah/ 872/ Vend -2403580</t>
  </si>
  <si>
    <t>Pay - vend Al Muthathawerah/ 872/ Vend -2404048</t>
  </si>
  <si>
    <t>Pay - vend BEST CHOICE INDUSTRIES LLC/ 873CR/ Vend -</t>
  </si>
  <si>
    <t>Pay - vend BEST CHOICE INDUSTRIES LLC/ 878CR/ Vend -</t>
  </si>
  <si>
    <t>Pay - vend Al Muthathawerah/ 880/ Vend -2404792</t>
  </si>
  <si>
    <t>Pay - vend Noor Al Maqdis/ SIJ/ Vend -N-7652-2024</t>
  </si>
  <si>
    <t>Pay - vend Noor Al Maqdis/ SIJ/ Vend -N-54844-2024</t>
  </si>
  <si>
    <t>Pay - vend Safinat Al Noor/ SIJ/ Vend -21520</t>
  </si>
  <si>
    <t>Pay - vend Al Emadi Air Conditioning/ SIJ/ Vend -CSS1-01253/24</t>
  </si>
  <si>
    <t>Pay - vend RUKN AL BATOOL AC REF/ SIJ/ Vend -RB24/505205757</t>
  </si>
  <si>
    <t>Pay - vend NAJMAT AL AZRAH HARDWARE/ SIJ/ Vend -39845</t>
  </si>
  <si>
    <t>Pay - vend PUPLIC VENDORS/ SIJ/ Vend -10682</t>
  </si>
  <si>
    <t>Pay - vend Al Emadi Air Conditioning/ sij/ Vend -Css1-01246/24</t>
  </si>
  <si>
    <t>Pay - vend Leminar/ sij/ Vend -681018</t>
  </si>
  <si>
    <t>Pay - vend Al Emadi Air Conditioning/ SIJ/ Vend -CSDR-03252/24</t>
  </si>
  <si>
    <t>Pay - vend STAR COOL/ SIJ/ Vend -CS2024/4918</t>
  </si>
  <si>
    <t>Pay - vend PULIKAL BLDG.MAT.TRDG/ SIJ/ Vend -127050</t>
  </si>
  <si>
    <t>Pay - vend HIRA INDUSTRIES/ SIJ/ Vend -96371710</t>
  </si>
  <si>
    <t>Pay - vend HIRA INDUSTRIES/ SIJ/ Vend -96371712</t>
  </si>
  <si>
    <t>Pay - vend PUPLIC VENDORS/ SIJ/ Vend -84133</t>
  </si>
  <si>
    <t>Pay - vend PUPLIC VENDORS/ SIJ/ Vend -36649</t>
  </si>
  <si>
    <t>Pay - vend Leminar/ sij/ Vend -681226</t>
  </si>
  <si>
    <t>Pay - vend PUPLIC VENDORS/ sij/ Vend -26326</t>
  </si>
  <si>
    <t>Pay - vend Noor Al Maqdis/ SIJ/ Vend -N-7694-2024</t>
  </si>
  <si>
    <t>Pay - vend Noor Al Maqdis/ SIJ/ Vend -N-88747-2024</t>
  </si>
  <si>
    <t>Pay - vend Noor Al Maqdis/ SIJ/ Vend -N-7693-2024</t>
  </si>
  <si>
    <t>Pay - vend PULIKAL BLDG.MAT.TRDG/ SIJ/ Vend -127165</t>
  </si>
  <si>
    <t>Pay - vend Al Emadi Air Conditioning/ sij/ Vend -CSS1-01261/24</t>
  </si>
  <si>
    <t>Pay - vend Al Emadi Air Conditioning/ sij/ Vend -CSS1-01261-24</t>
  </si>
  <si>
    <t>Pay - vend DUBAI INDUSTRIAL GASES/ sij/ Vend -137956</t>
  </si>
  <si>
    <t>Pay - vend BAB AL TABREED A/C UNITS FIX.C/ 879CR/ Vend -</t>
  </si>
  <si>
    <t>Pay - vend RUKN AL BATOOL AC REF/ SIJ/ Vend -RB24/505206187</t>
  </si>
  <si>
    <t>Pay - vend PULIKAL BLDG.MAT.TRDG/ SIJ/ Vend -127271</t>
  </si>
  <si>
    <t>Pay - vend PULIKAL BLDG.MAT.TRDG/ SIJ/ Vend -127300</t>
  </si>
  <si>
    <t>Pay - vend Noor Al Maqdis/ sij/ Vend -N-7741-2024</t>
  </si>
  <si>
    <t>Pay - vend Noor Al Maqdis/ sij/ Vend -N-7742-2024</t>
  </si>
  <si>
    <t>Pay - vend SRG/ sij/ Vend -CMA-67415</t>
  </si>
  <si>
    <t>Pay - vend Al Emadi Air Conditioning/ SIJ/ Vend -CSS1-01296/24</t>
  </si>
  <si>
    <t>Pay - vend PULIKAL BLDG.MAT.TRDG/ SIJ/ Vend -127379</t>
  </si>
  <si>
    <t>Pay - vend PUPLIC VENDORS/ SIJ/ Vend -96047</t>
  </si>
  <si>
    <t>Pay - vend Noor Al Maqdis/ sij/ Vend -N-7771-2024</t>
  </si>
  <si>
    <t>Pay - vend Noor Al Maqdis/ sij/ Vend -N-7772-204</t>
  </si>
  <si>
    <t>Pay - vend PUPLIC VENDORS/ sij/ Vend -96037</t>
  </si>
  <si>
    <t>Pay - vend UTS Carrier/ 893CR/ Vend -</t>
  </si>
  <si>
    <t>Pay - vend Noor Al Maqdis/ SIJ/ Vend -N-7823-2024</t>
  </si>
  <si>
    <t>Pay - vend RUKN AL BATOOL AC REF/ SIJ/ Vend -RB24/505206440</t>
  </si>
  <si>
    <t>Pay - vend UTS Carrier/ 897CR/ Vend -</t>
  </si>
  <si>
    <t>Pay - vend Noor Al Maqdis/ SIJ/ Vend -N-7832-2024</t>
  </si>
  <si>
    <t>Pay - vend RUKN AL BATOOL AC REF/ SIJ/ Vend -RB24/505206544</t>
  </si>
  <si>
    <t>Pay - vend RUKN AL BATOOL AC REF/ SIJ/ Vend -RB24/5052065645</t>
  </si>
  <si>
    <t>Pay - vend PUPLIC VENDORS/ SIJ/ Vend -281485</t>
  </si>
  <si>
    <t>Pay - vend RUKN AL BATOOL AC REF/ sij/ Vend -RB24/505206547</t>
  </si>
  <si>
    <t>Pay - vend Noor Al Maqdis/ SIJ/ Vend -N-7890-2024</t>
  </si>
  <si>
    <t>Pay - vend Noor Al Maqdis/ SIJ/ Vend -N-7891-2024</t>
  </si>
  <si>
    <t>Pay - vend Noor Al Maqdis/ SIJ/ Vend -N-54774-2024</t>
  </si>
  <si>
    <t>Pay - vend Al Emadi Air Conditioning/ SIJ/ Vend -CSHO-02628/24</t>
  </si>
  <si>
    <t>Pay - vend Al Emadi Air Conditioning/ SIJ/ Vend -CSS1-01314/24</t>
  </si>
  <si>
    <t>Pay - vend Al Emadi Air Conditioning/ SIJ/ Vend -CSHO-02625/24</t>
  </si>
  <si>
    <t>Pay - vend RUKN AL BATOOL AC REF/ SIJ/ Vend -RB24/505206694</t>
  </si>
  <si>
    <t>Pay - vend HIRA INDUSTRIES/ SIJ/ Vend -96372103</t>
  </si>
  <si>
    <t>Pay - vend JABAL AL NOOR/ SIJ/ Vend -41500</t>
  </si>
  <si>
    <t>Pay - vend PRIME QUALITY/ SIJ/ Vend -14129</t>
  </si>
  <si>
    <t>Pay - vend HOLLYWOOD AIR CONDITIONING/ SIJ/ Vend -123940</t>
  </si>
  <si>
    <t>Pay - vend PUPLIC VENDORS/ SIJ/ Vend -1004799</t>
  </si>
  <si>
    <t>Pay - vend HIRA INDUSTRIES/ SIJ/ Vend -96372253</t>
  </si>
  <si>
    <t>Pay - vend PUPLIC VENDORS/ SIJ/ Vend -109617</t>
  </si>
  <si>
    <t>Pay - vend Leminar/ SIJ/ Vend -682906</t>
  </si>
  <si>
    <t>Pay - vend STAR COOL/ SIJ/ Vend -CS2024/5283</t>
  </si>
  <si>
    <t>Pay - vend JNAH AL NORAS/ SIJ/ Vend -108696</t>
  </si>
  <si>
    <t>Pay - vend JNAH AL NORAS/ SIJ/ Vend -108703</t>
  </si>
  <si>
    <t>Pay - vend AL SAQF ALAALI/ SIJ/ Vend -AS17618</t>
  </si>
  <si>
    <t>Pay - vend PUPLIC VENDORS/ SIJ/ Vend -2031757</t>
  </si>
  <si>
    <t>Pay - vend HIRA INDUSTRIES/ SIJ/ Vend -96372408</t>
  </si>
  <si>
    <t>Pay - vend Takeef/ cash1691CR/ Vend -</t>
  </si>
  <si>
    <t>Pay - vend Noor Al Maqdis/ SIJ/ Vend -N-8075-2024</t>
  </si>
  <si>
    <t>Pay - vend RUKN AL BATOOL AC REF/ SIJ/ Vend -RB24/505207241</t>
  </si>
  <si>
    <t>Pay - vend RUKN AL BATOOL AC REF/ SIJ/ Vend -RB24/505207239</t>
  </si>
  <si>
    <t>Pay - vend RUKN AL BATOOL AC REF/ SIJ/ Vend -RB24/505207247</t>
  </si>
  <si>
    <t>Pay - vend Noor Al Maqdis/ SIJ/ Vend -N-5548-2024</t>
  </si>
  <si>
    <t>Pay - vend Noor Al Maqdis/ SIJ/ Vend -N-8118-2024</t>
  </si>
  <si>
    <t>Pay - vend Noor Al Maqdis/ SIJ/ Vend -N-8117-2024</t>
  </si>
  <si>
    <t>Pay - vend RUKN AL BATOOL AC REF/ SIJ/ Vend -RB24/505207423</t>
  </si>
  <si>
    <t>Pay - vend AL SAQF ALAALI/ SIJ/ Vend -AS17934</t>
  </si>
  <si>
    <t>Pay - vend Noor Al Maqdis/ sij/ Vend -N-8116-2024</t>
  </si>
  <si>
    <t>Pay - vend CLIMATE MASTER AC TRADING/ 899CR/ Vend -</t>
  </si>
  <si>
    <t>Pay - vend Noor Al Maqdis/ SIJ/ Vend -N-8177-2024</t>
  </si>
  <si>
    <t>Pay - vend Al Emadi Air Conditioning/ SIJ/ Vend -CSS1-01370/24</t>
  </si>
  <si>
    <t>Pay - vend Al Emadi Air Conditioning/ SIJ/ Vend -CSS1-01369/24</t>
  </si>
  <si>
    <t>Pay - vend Al Emadi Air Conditioning/ SIJ/ Vend -CSS1-01371/24</t>
  </si>
  <si>
    <t>Pay - vend DAR AL QIMAH/ SIJ/ Vend -37009</t>
  </si>
  <si>
    <t>Pay - vend PULIKAL BLDG.MAT.TRDG/ SIJ/ Vend -128374</t>
  </si>
  <si>
    <t>Pay - vend FAKHRI &amp; BROTHERS/ sij/ Vend -CAS/0054090/2024</t>
  </si>
  <si>
    <t>Pay - vend UTS Carrier/ 902CR/ Vend -</t>
  </si>
  <si>
    <t>Pay - vend UTS Carrier/ 903CR/ Vend -</t>
  </si>
  <si>
    <t>Pay - vend Noor Al Maqdis/ SIJ/ Vend -N-5484-2024</t>
  </si>
  <si>
    <t>Pay - vend Smooth Solution/ SIJ/ Vend -A2/24/386639</t>
  </si>
  <si>
    <t>Pay - vend Al Emadi Air Conditioning/ SIJ/ Vend -CSHO-02760/24</t>
  </si>
  <si>
    <t>Pay - vend Al Emadi Air Conditioning/ SIJ/ Vend -CSDR-03568/24</t>
  </si>
  <si>
    <t>Pay - vend Leminar/ SIJ/ Vend -683663</t>
  </si>
  <si>
    <t>Pay - vend FINE TOOLS/ SIJ/ Vend -03-1033740</t>
  </si>
  <si>
    <t>Pay - vend RUKN AL BATOOL AC REF/ SIJ/ Vend -RB24/505207674</t>
  </si>
  <si>
    <t>Pay - vend Takeef/ cash1690CR/ Vend -</t>
  </si>
  <si>
    <t>Pay - vend Noor Al Maqdis/ SIJ/ Vend -N-8270-2024</t>
  </si>
  <si>
    <t>Pay - vend Al Emadi Air Conditioning/ SIJ/ Vend -CSS1-01384/24</t>
  </si>
  <si>
    <t>Pay - vend Al Emadi Air Conditioning/ SIJ/ Vend -CSS1-01378/24</t>
  </si>
  <si>
    <t>Pay - vend FAKHRI &amp; BROTHERS/ SIJ/ Vend -CAS/0054116/2024</t>
  </si>
  <si>
    <t>Pay - vend FAKHRI &amp; BROTHERS/ SIJ/ Vend -CAS/0054117/2024</t>
  </si>
  <si>
    <t>Pay - vend AL SHAMALI &amp; WARIS TRAD/ SIJ/ Vend -S24-11438</t>
  </si>
  <si>
    <t>Pay - vend AL SHAMALI &amp; WARIS TRAD/ SIJ/ Vend -S24-11440</t>
  </si>
  <si>
    <t>Pay - vend PULIKAL BLDG.MAT.TRDG/ SIJ/ Vend -128627</t>
  </si>
  <si>
    <t>Pay - vend DESERT MOON STEEL TRADING/ SIJ/ Vend -483140</t>
  </si>
  <si>
    <t>Pay - vend DUBAI INDUSTRIAL GASES/ SIJ/ Vend -138465</t>
  </si>
  <si>
    <t>Pay - vend RUKN AL BATOOL AC REF/ SIJ/ Vend -RB24/505208016</t>
  </si>
  <si>
    <t>Pay - vend PULIKAL BLDG.MAT.TRDG/ SIJ/ Vend -128876</t>
  </si>
  <si>
    <t>Pay - vend PULIKAL BLDG.MAT.TRDG/ SIJ/ Vend -128869</t>
  </si>
  <si>
    <t>Pay - vend DUBAI INDUSTRIAL GASES/ SIJ/ Vend -138569</t>
  </si>
  <si>
    <t>Pay - vend Al Emadi Air Conditioning/ SIJ/ Vend -CSS1-01418/24</t>
  </si>
  <si>
    <t>Pay - vend Al Emadi Air Conditioning/ SIJ/ Vend -CSS1-01417/24</t>
  </si>
  <si>
    <t>Pay - vend Leminar/ SIJ/ Vend -684563</t>
  </si>
  <si>
    <t>Pay - vend FAKHRI &amp; BROTHERS/ SIJ/ Vend -CAS/0054155/2024</t>
  </si>
  <si>
    <t>Pay - vend FAKHRI &amp; BROTHERS/ SIJ/ Vend -CAS/0054152/2024</t>
  </si>
  <si>
    <t>Pay - vend RUKN AL BATOOL AC REF/ SIJ/ Vend -RB24/505208146</t>
  </si>
  <si>
    <t>Pay - vend PULIKAL BLDG.MAT.TRDG/ SIJ/ Vend -128904</t>
  </si>
  <si>
    <t>Pay - vend Al Muthathawerah/ 912CR/ Vend -</t>
  </si>
  <si>
    <t>Pay - vend Noor Al Maqdis/ SIJ/ Vend -N-8411-2024</t>
  </si>
  <si>
    <t>Pay - vend RUKN AL BATOOL AC REF/ SIJ/ Vend -RB24/505208262</t>
  </si>
  <si>
    <t>Pay - vend PULIKAL BLDG.MAT.TRDG/ SIJ/ Vend -129008</t>
  </si>
  <si>
    <t>Pay - vend PUPLIC VENDORS/ SIJ/ Vend -CH24-339431</t>
  </si>
  <si>
    <t>Pay - vend UTS Carrier/ chq 906-1951/ Vend -3160147498</t>
  </si>
  <si>
    <t>Pay - vend UTS Carrier/ chq 906-1951CR/ Vend -</t>
  </si>
  <si>
    <t>Pay - vend UTS Carrier/ chq 907-1952CR/ Vend -</t>
  </si>
  <si>
    <t>Pay - vend UTS Carrier/ chq 909-1953/ Vend -3160147500</t>
  </si>
  <si>
    <t>Pay - vend UTS Carrier/ chq 911-1954CR/ Vend -</t>
  </si>
  <si>
    <t>Pay - vend BAB AL TABREED A/C UNITS FIX.C/ chq913-1957CR/ Vend -</t>
  </si>
  <si>
    <t>Pay - vend BEST CHOICE INDUSTRIES LLC/ chq914-1956CR/ Vend -</t>
  </si>
  <si>
    <t>Pay - vend Al Emadi Air Conditioning/ SIJ/ Vend -CSHO-02832/24</t>
  </si>
  <si>
    <t>Pay - vend RUKN AL BATOOL AC REF/ SIJ/ Vend -RB24/505208365</t>
  </si>
  <si>
    <t>Pay - vend RUKN AL BATOOL AC REF/ SIJ/ Vend -RB24/505208321</t>
  </si>
  <si>
    <t>Pay - vend RUKN AL BATOOL AC REF/ SIJ/ Vend -RB24/505208366</t>
  </si>
  <si>
    <t>Pay - vend HIRA INDUSTRIES/ SIJ/ Vend -96372966</t>
  </si>
  <si>
    <t>Pay - vend HIRA INDUSTRIES/ SIJ/ Vend -96372974</t>
  </si>
  <si>
    <t>Pay - vend HIRA INDUSTRIES/ SIJ/ Vend -96372918</t>
  </si>
  <si>
    <t>Pay - vend PUPLIC VENDORS/ SIJ/ Vend -CH24-339692</t>
  </si>
  <si>
    <t>Pay - vend RUKN AL BATOOL AC REF/ sij/ Vend -RB24/505208364</t>
  </si>
  <si>
    <t>Pay - vend Al Emadi Air Conditioning/ SIJ/ Vend -CSHO-02850/24</t>
  </si>
  <si>
    <t>Pay - vend Al Emadi Air Conditioning/ SIJ/ Vend -CSHO-02849/24</t>
  </si>
  <si>
    <t>Pay - vend Al Emadi Air Conditioning/ SIJ/ Vend -CSHO-02847/24</t>
  </si>
  <si>
    <t>Pay - vend RUKN AL BATOOL AC REF/ SIJ/ Vend -RB24/505208483</t>
  </si>
  <si>
    <t>Pay - vend RUKN AL BATOOL AC REF/ SIJ/ Vend -RB24/505208486</t>
  </si>
  <si>
    <t>Pay - vend NAJMAT AL KHAWANEEJ/ SIJ/ Vend -95402</t>
  </si>
  <si>
    <t>Pay - vend PUPLIC VENDORS/ SIJ/ Vend -21371</t>
  </si>
  <si>
    <t>Pay - vend Noor Al Maqdis/ SIJ/ Vend -N-16974-24</t>
  </si>
  <si>
    <t>Pay - vend Noor Al Maqdis/ SIJ/ Vend -N-8569-2024</t>
  </si>
  <si>
    <t>Pay - vend Leminar/ SIJ/ Vend -685232</t>
  </si>
  <si>
    <t>Pay - vend Wahat Meshref/ SIJ/ Vend -24/16976</t>
  </si>
  <si>
    <t>Pay - vend RUKN AL BATOOL AC REF/ SIJ/ Vend -RB24/505208527</t>
  </si>
  <si>
    <t>Pay - vend RUKN AL BATOOL AC REF/ SIJ/ Vend -RB24/505208604</t>
  </si>
  <si>
    <t>Pay - vend HOLLYWOOD AIR CONDITIONING/ SIJ/ Vend -124413</t>
  </si>
  <si>
    <t>Pay - vend PUPLIC VENDORS/ SIJ/ Vend -4</t>
  </si>
  <si>
    <t>Pay - vend PUPLIC VENDORS/ SIJ/ Vend -CH24-340099</t>
  </si>
  <si>
    <t>Pay - vend RUKN AL BATOOL AC REF/ SIJ/ Vend -RB24/505208862</t>
  </si>
  <si>
    <t>Pay - vend AL SHAMALI &amp; WARIS TRAD/ SIJ/ Vend -S24-11993</t>
  </si>
  <si>
    <t>Pay - vend DUBAI INDUSTRIAL GASES/ SIJ/ Vend -138770</t>
  </si>
  <si>
    <t>Pay - vend PUPLIC VENDORS/ SIJ/ Vend -47200</t>
  </si>
  <si>
    <t>Pay - vend PUPLIC VENDORS/ SIJ/ Vend -19424</t>
  </si>
  <si>
    <t>Pay - vend Noor Al Maqdis/ SIJ/ Vend -N-8645-2024</t>
  </si>
  <si>
    <t>Pay - vend Al Emadi Air Conditioning/ SIJ/ Vend -CSS1-01453/24</t>
  </si>
  <si>
    <t>Pay - vend Al Emadi Air Conditioning/ SIJ/ Vend -CSS1-01454/24</t>
  </si>
  <si>
    <t>Pay - vend RUKN AL BATOOL AC REF/ SIJ/ Vend -RB24/505208813</t>
  </si>
  <si>
    <t>Pay - vend RUKN AL BATOOL AC REF/ SIJ/ Vend -RB24/505208804</t>
  </si>
  <si>
    <t>Pay - vend Noor Al Maqdis/ SIJ/ Vend -N-8703-2024</t>
  </si>
  <si>
    <t>Pay - vend FAKHRI &amp; BROTHERS/ SIJ/ Vend -CAS/0054214/2024</t>
  </si>
  <si>
    <t>Pay - vend FAKHRI &amp; BROTHERS/ SIJ/ Vend -CAS/0054213/2024</t>
  </si>
  <si>
    <t>Pay - vend RUKN AL BATOOL AC REF/ SIJ/ Vend -RB24/505208928</t>
  </si>
  <si>
    <t>Pay - vend RUKN AL BATOOL AC REF/ SIJ/ Vend -RB24/505208926</t>
  </si>
  <si>
    <t>Pay - vend DUBAI INDUSTRIAL GASES/ SIJ/ Vend -138852</t>
  </si>
  <si>
    <t>Pay - vend PUPLIC VENDORS/ SIJ/ Vend -59839</t>
  </si>
  <si>
    <t>Pay - vend UTS Carrier/ chq 908-1960CR/ Vend -</t>
  </si>
  <si>
    <t>Pay - vend Leminar/ sij/ Vend -685795</t>
  </si>
  <si>
    <t>Pay - vend Noor Al Maqdis/ SIJ/ Vend -N-8740-2024</t>
  </si>
  <si>
    <t>Pay - vend RUKN AL BATOOL AC REF/ SIJ/ Vend -RB24/505208973</t>
  </si>
  <si>
    <t>Pay - vend RUKN AL BATOOL AC REF/ SIJ/ Vend -RB24/505209025</t>
  </si>
  <si>
    <t>Pay - vend RUKN AL BATOOL AC REF/ SIJ/ Vend -RB24/505209033</t>
  </si>
  <si>
    <t>Pay - vend NAJMAT AL KHAWANEEJ/ SIJ/ Vend -96484</t>
  </si>
  <si>
    <t>Pay - vend PUPLIC VENDORS/ SIJ/ Vend -0</t>
  </si>
  <si>
    <t>Pay - vend Noor Al Maqdis/ sij/ Vend -N-8739-2024</t>
  </si>
  <si>
    <t>Pay - vend Noor Al Maqdis/ SIJ/ Vend -N-8787-2024</t>
  </si>
  <si>
    <t>Pay - vend Leminar/ SIJ/ Vend -685844</t>
  </si>
  <si>
    <t>Pay - vend RUKN AL BATOOL AC REF/ SIJ/ Vend -RB24/505209133</t>
  </si>
  <si>
    <t>Pay - vend PUPLIC VENDORS/ SIJ/ Vend -92</t>
  </si>
  <si>
    <t>Pay - vend UTS Carrier/ chq 919-1961CR/ Vend -</t>
  </si>
  <si>
    <t>Pay - vend STEELEX BUILDING MATERIALS/ sij/ Vend -262127</t>
  </si>
  <si>
    <t>Pay - vend PUPLIC VENDORS/ sij/ Vend -9558</t>
  </si>
  <si>
    <t>Pay - vend Al Emadi Air Conditioning/ SIJ/ Vend -CSHO-02947/24</t>
  </si>
  <si>
    <t>Pay - vend Al Emadi Air Conditioning/ SIJ/ Vend -CSHO-02946/24</t>
  </si>
  <si>
    <t>Pay - vend RUKN AL BATOOL AC REF/ SIJ/ Vend -R24/505209249</t>
  </si>
  <si>
    <t>Pay - vend HOLLYWOOD AIR CONDITIONING/ SIJ/ Vend -124576</t>
  </si>
  <si>
    <t>Pay - vend PUPLIC VENDORS/ SIJ/ Vend -365</t>
  </si>
  <si>
    <t>Pay - vend PUPLIC VENDORS/ SIJ/ Vend -11390</t>
  </si>
  <si>
    <t>Pay - vend PUPLIC VENDORS/ SIJ/ Vend -44421</t>
  </si>
  <si>
    <t>Pay - vend Al Emadi Air Conditioning/ sij/ Vend -CSHO-02949/24</t>
  </si>
  <si>
    <t>Pay - vend Noor Al Maqdis/ SIJ/ Vend -N-8880-2024</t>
  </si>
  <si>
    <t>Pay - vend Noor Al Maqdis/ SIJ/ Vend -N-8883-2024</t>
  </si>
  <si>
    <t>Pay - vend Noor Al Maqdis/ SIJ/ Vend -N-8884-2024</t>
  </si>
  <si>
    <t>Pay - vend FAKHRI &amp; BROTHERS/ SIJ/ Vend -CAS/0054254/2024</t>
  </si>
  <si>
    <t>Pay - vend RUKN AL BATOOL AC REF/ SIJ/ Vend -RB24/505209305</t>
  </si>
  <si>
    <t>Pay - vend RUKN AL BATOOL AC REF/ SIJ/ Vend -RB24/55209382</t>
  </si>
  <si>
    <t>Pay - vend PULIKAL BLDG.MAT.TRDG/ SIJ/ Vend -130115</t>
  </si>
  <si>
    <t>Pay - vend DUBAI INDUSTRIAL GASES/ SIJ/ Vend -138976</t>
  </si>
  <si>
    <t>Pay - vend PUPLIC VENDORS/ SIJ/ Vend -22502</t>
  </si>
  <si>
    <t>Pay - vend PUPLIC VENDORS/ SIJ/ Vend -986443</t>
  </si>
  <si>
    <t>Pay - vend PUPLIC VENDORS/ SIJ/ Vend -5348</t>
  </si>
  <si>
    <t>Pay - vend Al Emadi Air Conditioning/ SIJ/ Vend -CSS1-01504/24</t>
  </si>
  <si>
    <t>Pay - vend FAKHRI &amp; BROTHERS/ SIJ/ Vend -CAS/0054260/2024</t>
  </si>
  <si>
    <t>Pay - vend FAKHRI &amp; BROTHERS/ SIJ/ Vend -CAS/0054262/2024</t>
  </si>
  <si>
    <t>Pay - vend RUKN AL BATOOL AC REF/ SIJ/ Vend -RB24/757127568</t>
  </si>
  <si>
    <t>Pay - vend HOLLYWOOD AIR CONDITIONING/ SIJ/ Vend -124633</t>
  </si>
  <si>
    <t>Pay - vend DESERT MOON STEEL TRADING/ SIJ/ Vend -484043</t>
  </si>
  <si>
    <t>Pay - vend AL NAJAF GENERATORS RENTAL/ SIJ/ Vend -7619</t>
  </si>
  <si>
    <t>Pay - vend DUBAI INDUSTRIAL GASES/ SIJ/ Vend -139045</t>
  </si>
  <si>
    <t>Pay - vend HAIDER BLDG/ SIJ/ Vend -434</t>
  </si>
  <si>
    <t>Pay - vend PUPLIC VENDORS/ SIJ/ Vend -69189</t>
  </si>
  <si>
    <t>Pay - vend Al Emadi Air Conditioning/ SIJ/ Vend -CSHO-03003/24</t>
  </si>
  <si>
    <t>Pay - vend Al Emadi Air Conditioning/ SIJ/ Vend -CSHO-02995/24</t>
  </si>
  <si>
    <t>Pay - vend RUKN AL BATOOL AC REF/ SIJ/ Vend -RB24/757127692</t>
  </si>
  <si>
    <t>Pay - vend PULIKAL BLDG.MAT.TRDG/ SIJ/ Vend -130351</t>
  </si>
  <si>
    <t>Pay - vend PULIKAL BLDG.MAT.TRDG/ SIJ/ Vend -130489</t>
  </si>
  <si>
    <t>Pay - vend PULIKAL BLDG.MAT.TRDG/ SIJ/ Vend -130372</t>
  </si>
  <si>
    <t>Pay - vend DUBAI INDUSTRIAL GASES/ SIJ/ Vend -139145</t>
  </si>
  <si>
    <t>Pay - vend PUPLIC VENDORS/ SIJ/ Vend -85483</t>
  </si>
  <si>
    <t>Pay - vend RUKN AL BATOOL AC REF/ SIJ/ Vend -RB24/757127774</t>
  </si>
  <si>
    <t>Pay - vend RUKN AL BATOOL AC REF/ SIJ/ Vend -RB24/757127779</t>
  </si>
  <si>
    <t>Pay - vend PUPLIC VENDORS/ SIJ/ Vend -110</t>
  </si>
  <si>
    <t>Pay - vend RUKN AL BATOOL AC REF/ SIJ/ Vend -RB24/757127896</t>
  </si>
  <si>
    <t>Pay - vend RUKN AL BATOOL AC REF/ SIJ/ Vend -RB24/757127907</t>
  </si>
  <si>
    <t>Pay - vend HIRA INDUSTRIES/ SIJ/ Vend -96373842</t>
  </si>
  <si>
    <t>Pay - vend PUPLIC VENDORS/ SIJ/ Vend -19267</t>
  </si>
  <si>
    <t>Pay - vend PUPLIC VENDORS/ SIJ/ Vend -1231924</t>
  </si>
  <si>
    <t>Pay - vend Leminar/ SIJ/ Vend -687249</t>
  </si>
  <si>
    <t>Pay - vend Noor Al Maqdis/ SIJ/ Vend -N-00191-2023</t>
  </si>
  <si>
    <t>Pay - vend Noor Al Maqdis/ SIJ/ Vend -N-00192-2023</t>
  </si>
  <si>
    <t>Pay - vend FAKHRI &amp; BROTHERS/ SIJ/ Vend -CAS/0054313/2024</t>
  </si>
  <si>
    <t>Pay - vend AL NAJAF GENERATORS RENTAL/ SIJ/ Vend -7743</t>
  </si>
  <si>
    <t>Pay - vend DUBAI INDUSTRIAL GASES/ SIJ/ Vend -139248</t>
  </si>
  <si>
    <t>Pay - vend UTS Carrier/ 924CR/ Vend -</t>
  </si>
  <si>
    <t>Pay - vend Noor Al Maqdis/ SIJ/ Vend -N-00193-2023</t>
  </si>
  <si>
    <t>Pay - vend Noor Al Maqdis/ SIJ/ Vend -N-00195/2023</t>
  </si>
  <si>
    <t>Pay - vend Noor Al Maqdis/ SIJ/ Vend -N-00194/2023</t>
  </si>
  <si>
    <t>Pay - vend Al Emadi Air Conditioning/ SIJ/ Vend -CSHO-03077/24</t>
  </si>
  <si>
    <t>Pay - vend PULIKAL BLDG.MAT.TRDG/ SIJ/ Vend -130890</t>
  </si>
  <si>
    <t>Pay - vend PULIKAL BLDG.MAT.TRDG/ SIJ/ Vend -130926</t>
  </si>
  <si>
    <t>Pay - vend PULIKAL BLDG.MAT.TRDG/ SIJ/ Vend -130892</t>
  </si>
  <si>
    <t>Pay - vend PUPLIC VENDORS/ SIJ/ Vend -34826</t>
  </si>
  <si>
    <t>Pay - vend RUKN AL BATOOL AC REF/ SIJ/ Vend -RB24/757128315</t>
  </si>
  <si>
    <t>Pay - vend Al Emadi Air Conditioning/ SIJ/ Vend -CSHO-03103/24</t>
  </si>
  <si>
    <t>Pay - vend RUKN AL BATOOL AC REF/ SIJ/ Vend -RB24/757128442</t>
  </si>
  <si>
    <t>Pay - vend BLUE RIVER BUILDING MATERILAS/ SIJ/ Vend -CS/8540/24</t>
  </si>
  <si>
    <t>Pay - vend NAJMAT AL AZRAH HARDWARE/ SIJ/ Vend -41197</t>
  </si>
  <si>
    <t>Pay - vend PUPLIC VENDORS/ SIJ/ Vend -585958</t>
  </si>
  <si>
    <t>Pay - vend PUPLIC VENDORS/ SIJ/ Vend -85827</t>
  </si>
  <si>
    <t>Pay - vend RUKN AL BATOOL AC REF/ SIJ/ Vend -RB24/757128524</t>
  </si>
  <si>
    <t>Pay - vend RUKN AL BATOOL AC REF/ SIJ/ Vend -RB24/757128526</t>
  </si>
  <si>
    <t>Pay - vend RUKN AL BATOOL AC REF/ SIJ/ Vend -RB24/757128525</t>
  </si>
  <si>
    <t>Pay - vend BLUE DIAMOND BUILDING MATERIAL/ SIJ/ Vend -38019</t>
  </si>
  <si>
    <t>Pay - vend PULIKAL BLDG.MAT.TRDG/ SIJ/ Vend -131189</t>
  </si>
  <si>
    <t>Pay - vend NAJMAT AL KHAWANEEJ/ SIJ/ Vend -99341</t>
  </si>
  <si>
    <t>Pay - vend Al Emadi Air Conditioning/ SIJ/ Vend -CSDR-04164/24</t>
  </si>
  <si>
    <t>Pay - vend STAR COOL/ SIJ/ Vend -CS2024/6328</t>
  </si>
  <si>
    <t>Pay - vend RUKN AL BATOOL AC REF/ SIJ/ Vend -RB24/757128633</t>
  </si>
  <si>
    <t>Pay - vend RUKN AL BATOOL AC REF/ SIJ/ Vend -RB24/757128632</t>
  </si>
  <si>
    <t>Pay - vend PULIKAL BLDG.MAT.TRDG/ SIJ/ Vend -131219</t>
  </si>
  <si>
    <t>Pay - vend RUKN AL BATOOL AC REF/ SIJ/ Vend -RB24/757128742</t>
  </si>
  <si>
    <t>Pay - vend RUKN AL BATOOL AC REF/ SIJ/ Vend -RB24/757128774</t>
  </si>
  <si>
    <t>Pay - vend RUKN AL BATOOL AC REF/ SIJ/ Vend -RB24/757128743</t>
  </si>
  <si>
    <t>Pay - vend HIRA INDUSTRIES/ SIJ/ Vend -96374269</t>
  </si>
  <si>
    <t>Pay - vend PUPLIC VENDORS/ SIJ/ Vend -31</t>
  </si>
  <si>
    <t>Pay - vend RUKN AL BATOOL AC REF/ SIJ/ Vend -RB24/757128878</t>
  </si>
  <si>
    <t>Pay - vend RUKN AL BATOOL AC REF/ SIJ/ Vend -RB24/757128879</t>
  </si>
  <si>
    <t>Pay - vend PULIKAL BLDG.MAT.TRDG/ SIJ/ Vend -131443</t>
  </si>
  <si>
    <t>Pay - vend HIRA INDUSTRIES/ SIJ/ Vend -96374168</t>
  </si>
  <si>
    <t>Pay - vend HIRA INDUSTRIES/ SIJ/ Vend -96374367</t>
  </si>
  <si>
    <t>Pay - vend Al Emadi Air Conditioning/ SIJ/ Vend -CSS1-01597/24</t>
  </si>
  <si>
    <t>Pay - vend PULIKAL BLDG.MAT.TRDG/ SIJ/ Vend -131564</t>
  </si>
  <si>
    <t>Pay - vend HIRA INDUSTRIES/ SIJ/ Vend -96374522</t>
  </si>
  <si>
    <t>Pay - vend Noor Al Maqdis/ SIJ/ Vend -N-9570-2024</t>
  </si>
  <si>
    <t>Pay - vend Al Emadi Air Conditioning/ SIJ/ Vend -CSHO-03196/24</t>
  </si>
  <si>
    <t>Pay - vend Leminar/ SIJ/ Vend -689192</t>
  </si>
  <si>
    <t>Pay - vend FAKHRI &amp; BROTHERS/ SIJ/ Vend -CAS/0054403/2024</t>
  </si>
  <si>
    <t>Pay - vend RUKN AL BATOOL AC REF/ SIJ/ Vend -RB24/757129154</t>
  </si>
  <si>
    <t>Pay - vend PULIKAL BLDG.MAT.TRDG/ SIJ/ Vend -131701</t>
  </si>
  <si>
    <t>Pay - vend PULIKAL BLDG.MAT.TRDG/ SIJ/ Vend -131689</t>
  </si>
  <si>
    <t>Pay - vend RUKN AL BATOOL AC REF/ SIJ/ Vend -RB24/757129248</t>
  </si>
  <si>
    <t>Pay - vend RUKN AL BATOOL AC REF/ SIJ/ Vend -RB24/757129211</t>
  </si>
  <si>
    <t>Pay - vend PULIKAL BLDG.MAT.TRDG/ SIJ/ Vend -131766</t>
  </si>
  <si>
    <t>Pay - vend PUPLIC VENDORS/ SIJ/ Vend -CSH/24/72983</t>
  </si>
  <si>
    <t>Pay - vend Al Emadi Air Conditioning/ SIJ/ Vend -CSS1-01618/24</t>
  </si>
  <si>
    <t>Pay - vend FAKHRI &amp; BROTHERS/ SIJ/ Vend -CAS/0054411/2024</t>
  </si>
  <si>
    <t>Pay - vend FAKHRI &amp; BROTHERS/ SIJ/ Vend -CAS/0054410/24</t>
  </si>
  <si>
    <t>Pay - vend AL SHAMALI &amp; WARIS TRAD/ SIJ/ Vend -S24-13485</t>
  </si>
  <si>
    <t>Pay - vend NAJMAT AL KHAWANEEJ/ SIJ/ Vend -101041</t>
  </si>
  <si>
    <t>Pay - vend DESERT MOON STEEL TRADING/ SIJ/ Vend -485043</t>
  </si>
  <si>
    <t>Pay - vend DESERT MOON STEEL TRADING/ SIJ/ Vend -485001</t>
  </si>
  <si>
    <t>Pay - vend DUBAI INDUSTRIAL GASES/ SIJ/ Vend -139607</t>
  </si>
  <si>
    <t>Pay - vend PUPLIC VENDORS/ SIJ/ Vend -55</t>
  </si>
  <si>
    <t>Pay - vend RUKN AL BATOOL AC REF/ SIJ/ Vend -RB24/757129445</t>
  </si>
  <si>
    <t>Pay - vend PULIKAL BLDG.MAT.TRDG/ SIJ/ Vend -131992</t>
  </si>
  <si>
    <t>Pay - vend NAJMAT AL KHAWANEEJ/ SIJ/ Vend -101232</t>
  </si>
  <si>
    <t>Pay - vend DUBAI INDUSTRIAL GASES/ SIJ/ Vend -139670</t>
  </si>
  <si>
    <t>Pay - vend PUPLIC VENDORS/ SIJ/ Vend -1</t>
  </si>
  <si>
    <t>Pay - vend Noor Al Maqdis/ SIJ/ Vend -N-9732-2024</t>
  </si>
  <si>
    <t>Pay - vend Noor Al Maqdis/ SIJ/ Vend -N-9731-2024</t>
  </si>
  <si>
    <t>Pay - vend Al Emadi Air Conditioning/ SIJ/ Vend -CSHO-03246/24</t>
  </si>
  <si>
    <t>Pay - vend Al Emadi Air Conditioning/ SIJ/ Vend -CSHO-03247/24</t>
  </si>
  <si>
    <t>Pay - vend AL SHAMALI &amp; WARIS TRAD/ SIJ/ Vend -S24-13694</t>
  </si>
  <si>
    <t>Pay - vend AL SHAMALI &amp; WARIS TRAD/ SIJ/ Vend -S24-13696</t>
  </si>
  <si>
    <t>Pay - vend PULIKAL BLDG.MAT.TRDG/ SIJ/ Vend -132093</t>
  </si>
  <si>
    <t>Pay - vend PULIKAL BLDG.MAT.TRDG/ SIJ/ Vend -132062</t>
  </si>
  <si>
    <t>Pay - vend PUPLIC VENDORS/ SIJ/ Vend -624</t>
  </si>
  <si>
    <t>Pay - vend PUPLIC VENDORS/ SIJ/ Vend -AS23287</t>
  </si>
  <si>
    <t>Pay - vend PULIKAL BLDG.MAT.TRDG/ SIJ/ Vend -132180</t>
  </si>
  <si>
    <t>Pay - vend NAJMAT AL KHAWANEEJ/ SIJ/ Vend -101639</t>
  </si>
  <si>
    <t>Pay - vend RUKN AL BATOOL AC REF/ MAINTANCE 9-2024/ Vend -RB24/757129732</t>
  </si>
  <si>
    <t>Pay - vend Noor Al Maqdis/ SIJ/ Vend -N-9816-2024</t>
  </si>
  <si>
    <t>Pay - vend Al Emadi Air Conditioning/ SIJ/ Vend -CSHO-03294-24</t>
  </si>
  <si>
    <t>Pay - vend Al Emadi Air Conditioning/ SIJ/ Vend -CSS1-01662/24</t>
  </si>
  <si>
    <t>Pay - vend Al Emadi Air Conditioning/ SIJ/ Vend -CSHO-03295/24</t>
  </si>
  <si>
    <t>Pay - vend Al Emadi Air Conditioning/ SIJ/ Vend -CSS1-01661/24</t>
  </si>
  <si>
    <t>Pay - vend RUKN AL BATOOL AC REF/ SIJ/ Vend -RB24/757129850</t>
  </si>
  <si>
    <t>Pay - vend RUKN AL BATOOL AC REF/ SIJ/ Vend -RB24/757129834</t>
  </si>
  <si>
    <t>Pay - vend RUKN AL BATOOL AC REF/ SIJ/ Vend -RB24/757129812</t>
  </si>
  <si>
    <t>Pay - vend RUKN AL BATOOL AC REF/ SIJ/ Vend -RB24/757129817</t>
  </si>
  <si>
    <t>Pay - vend NAJMAT AL KHAWANEEJ/ SIJ/ Vend -101998</t>
  </si>
  <si>
    <t>Pay - vend PUPLIC VENDORS/ SIJ/ Vend -93228</t>
  </si>
  <si>
    <t>Pay - vend Noor Al Maqdis/ SIJ/ Vend -N-9874-2024</t>
  </si>
  <si>
    <t>Pay - vend OBAID KHALIFA BLDG/ SIJ/ Vend -119210</t>
  </si>
  <si>
    <t>Pay - vend RUKN AL BATOOL AC REF/ SIJ/ Vend -RB24/757129927</t>
  </si>
  <si>
    <t>Pay - vend PUPLIC VENDORS/ SIJ/ Vend -NST/86560</t>
  </si>
  <si>
    <t>Pay - vend RUKN AL BATOOL AC REF/ SIJ/ Vend -RB24/757130000</t>
  </si>
  <si>
    <t>Pay - vend Noor Al Maqdis/ SIJ/ Vend -N-9973-2024</t>
  </si>
  <si>
    <t>Pay - vend Noor Al Maqdis/ SIJ/ Vend -N-9957-2024</t>
  </si>
  <si>
    <t>Pay - vend Noor Al Maqdis/ SIJ/ Vend -N-9972-2024</t>
  </si>
  <si>
    <t>Pay - vend Al Emadi Air Conditioning/ SIJ/ Vend -CSHO-03317/24</t>
  </si>
  <si>
    <t>Pay - vend Al Emadi Air Conditioning/ SIJ/ Vend -CSHO-03316/24</t>
  </si>
  <si>
    <t>Pay - vend RUKN AL BATOOL AC REF/ SIJ/ Vend -RB24/757130109</t>
  </si>
  <si>
    <t>Pay - vend PULIKAL BLDG.MAT.TRDG/ SIJ/ Vend -132630</t>
  </si>
  <si>
    <t>Pay - vend NAJMAT AL KHAWANEEJ/ SIJ/ Vend -102734</t>
  </si>
  <si>
    <t>Pay - vend Al Emadi Air Conditioning/ SIJ/ Vend -CSHO-03344/24</t>
  </si>
  <si>
    <t>Pay - vend Al Emadi Air Conditioning/ SIJ/ Vend -CSS1-01685/24</t>
  </si>
  <si>
    <t>Pay - vend RUKN AL BATOOL AC REF/ SIJ/ Vend -RB24/757130217</t>
  </si>
  <si>
    <t>Pay - vend DUBAI INDUSTRIAL GASES/ SIJ/ Vend -139942</t>
  </si>
  <si>
    <t>Pay - vend PUPLIC VENDORS/ SIJ/ Vend -258691</t>
  </si>
  <si>
    <t>Pay - vend PUPLIC VENDORS/ SIJ/ Vend -46228</t>
  </si>
  <si>
    <t>Pay - vend Noor Al Maqdis/ SIJ/ Vend -N-10054-2024</t>
  </si>
  <si>
    <t>Pay - vend Al Emadi Air Conditioning/ SIJ/ Vend -CSHO-03360/24</t>
  </si>
  <si>
    <t>Pay - vend Al Emadi Air Conditioning/ SIJ/ Vend -CSS1-01703/24</t>
  </si>
  <si>
    <t>Pay - vend FAKHRI &amp; BROTHERS/ SIJ/ Vend -CAS/0054530/2024</t>
  </si>
  <si>
    <t>Pay - vend NAJMAT AL AZRAH HARDWARE/ SIJ/ Vend -41866</t>
  </si>
  <si>
    <t>Pay - vend HIRA INDUSTRIES/ SIJ/ Vend -96375279</t>
  </si>
  <si>
    <t>Pay - vend PUPLIC VENDORS/ SIJ SMLL INVS/ Vend -DIFF</t>
  </si>
  <si>
    <t>Pay - vend UTS Carrier/ 927CR/ Vend -</t>
  </si>
  <si>
    <t>Pay - vend Noor Al Maqdis/ SIJ/ Vend -N-10143-2024</t>
  </si>
  <si>
    <t>Pay - vend Al Junaid Indust. Group/ 931/ Vend -2024/2991</t>
  </si>
  <si>
    <t>Pay - vend UTS Carrier/ 933CR/ Vend -</t>
  </si>
  <si>
    <t>Pay - vend FAKHRI &amp; BROTHERS/ SIJ/ Vend -CAS/0054554/2024</t>
  </si>
  <si>
    <t>Pay - vend RUKN AL BATOOL AC REF/ SIJ/ Vend -RB24/757130619</t>
  </si>
  <si>
    <t>Pay - vend NAJMAT AL KHAWANEEJ/ SIJ/ Vend -103910</t>
  </si>
  <si>
    <t>Pay - vend SRG/ SIJ/ Vend -CMA-68672</t>
  </si>
  <si>
    <t>Pay - vend DUBAI INDUSTRIAL GASES/ SIJ/ Vend -140099</t>
  </si>
  <si>
    <t>Pay - vend Leminar/ SIJ/ Vend -692137</t>
  </si>
  <si>
    <t>Pay - vend PULIKAL BLDG.MAT.TRDG/ SIJ/ Vend -133280</t>
  </si>
  <si>
    <t>Pay - vend PUPLIC VENDORS/ SIJ/ Vend -8055</t>
  </si>
  <si>
    <t>Pay - vend BAB AL TABREED A/C UNITS FIX.C/ 929CR/ Vend -</t>
  </si>
  <si>
    <t>Pay - vend BEST CHOICE INDUSTRIES LLC/ 930CR/ Vend -</t>
  </si>
  <si>
    <t>Pay - vend BEST CHOICE INDUSTRIES LLC/ 934CR/ Vend -</t>
  </si>
  <si>
    <t>Pay - vend Noor Al Maqdis/ SIJ/ Vend -N-10274-2024</t>
  </si>
  <si>
    <t>Pay - vend Al Emadi Air Conditioning/ SIJ/ Vend -CSHO-03426/24</t>
  </si>
  <si>
    <t>Pay - vend RUKN AL BATOOL AC REF/ SIJ/ Vend -RB24/757130775</t>
  </si>
  <si>
    <t>Pay - vend PULIKAL BLDG.MAT.TRDG/ SIJ/ Vend -133399</t>
  </si>
  <si>
    <t>Pay - vend DESERT MOON STEEL TRADING/ SIJ/ Vend -485921</t>
  </si>
  <si>
    <t>Pay - vend DUBAI INDUSTRIAL GASES/ SIJ/ Vend -140188</t>
  </si>
  <si>
    <t>Pay - vend UTS Carrier/ 935CR/ Vend -</t>
  </si>
  <si>
    <t>Pay - vend UTS Carrier/ 936CR/ Vend -</t>
  </si>
  <si>
    <t>Pay - vend Leminar/ SIJ/ Vend -692444</t>
  </si>
  <si>
    <t>Pay - vend PULIKAL BLDG.MAT.TRDG/ SIJ/ Vend -133460</t>
  </si>
  <si>
    <t>Pay - vend NAJMAT AL KHAWANEEJ/ SIJ/ Vend -104599</t>
  </si>
  <si>
    <t>Pay - vend EMIRATES STAR BUILDING/ SIJ/ Vend -23-83570</t>
  </si>
  <si>
    <t>Pay - vend SKYTOUCH BUILDING MATEIALS/ SIJ/ Vend -67539</t>
  </si>
  <si>
    <t>Pay - vend HIRA INDUSTRIES/ SIJ/ Vend -96375596</t>
  </si>
  <si>
    <t>Pay - vend Al Emadi Air Conditioning/ SIJ/ Vend -CSS1-01750/24</t>
  </si>
  <si>
    <t>Pay - vend RUKN AL BATOOL AC REF/ SIJ/ Vend -RB24/757130938</t>
  </si>
  <si>
    <t>Pay - vend DUBAI INDUSTRIAL GASES/ SIJ/ Vend -140262</t>
  </si>
  <si>
    <t>Pay - vend Noor Al Maqdis/ SIJ/ Vend -N-10411-2024</t>
  </si>
  <si>
    <t>Pay - vend Noor Al Maqdis/ SIJ/ Vend -N-10379-2024</t>
  </si>
  <si>
    <t>Pay - vend RUKN AL BATOOL AC REF/ SIJ/ Vend -RB24/757131027</t>
  </si>
  <si>
    <t>Pay - vend Noor Al Maqdis/ SIJ/ Vend -N-10427-2024</t>
  </si>
  <si>
    <t>Pay - vend RUKN AL BATOOL AC REF/ SIJ/ Vend -RB24/757131102</t>
  </si>
  <si>
    <t>Pay - vend Noor Al Maqdis/ SIJ/ Vend -N-10453-2024</t>
  </si>
  <si>
    <t>Pay - vend Al Emadi Air Conditioning/ SIJ/ Vend -CSDR-04684/24</t>
  </si>
  <si>
    <t>Pay - vend Leminar/ SIJ/ Vend -693048</t>
  </si>
  <si>
    <t>Pay - vend STAR COOL/ SIJ/ Vend -CR2024/2701</t>
  </si>
  <si>
    <t>Pay - vend RUKN AL BATOOL AC REF/ SIJ/ Vend -RB24/757131150</t>
  </si>
  <si>
    <t>Pay - vend RUKN AL BATOOL AC REF/ SIJ/ Vend -RB24/757131179</t>
  </si>
  <si>
    <t>Pay - vend PUPLIC VENDORS/ SIJ/ Vend -6212</t>
  </si>
  <si>
    <t>Pay - vend UTS Carrier/ 942CR/ Vend -</t>
  </si>
  <si>
    <t>Pay - vend RUKN AL BATOOL AC REF/ SIJ/ Vend -RB24/757131283</t>
  </si>
  <si>
    <t>Pay - vend JNAH AL NORAS/ SIJ/ Vend -111664</t>
  </si>
  <si>
    <t>Pay - vend Al Muthathawerah/ 932CR/ Vend -</t>
  </si>
  <si>
    <t>Pay - vend Noor Al Maqdis/ SIJ/ Vend -N-1056-2024</t>
  </si>
  <si>
    <t>Pay - vend Al Emadi Air Conditioning/ SIJ/ Vend -CSHO-03502/24</t>
  </si>
  <si>
    <t>Pay - vend NAJMAT AL KHAWANEEJ/ SIJ/ Vend -105822</t>
  </si>
  <si>
    <t>Pay - vend PUPLIC VENDORS/ SIJ/ Vend -48906</t>
  </si>
  <si>
    <t>Pay - vend PUPLIC VENDORS/ SIJ/ Vend -126940</t>
  </si>
  <si>
    <t>Pay - vend PULIKAL BLDG.MAT.TRDG/ SIJ/ Vend -134192</t>
  </si>
  <si>
    <t>Pay - vend EMIRATES STAR BUILDING/ SIJ/ Vend -23-83931</t>
  </si>
  <si>
    <t>Pay - vend PUPLIC VENDORS/ SIJ/ Vend -6282</t>
  </si>
  <si>
    <t>Pay - vend Noor Al Maqdis/ SIJ/ Vend -N-10667-2024</t>
  </si>
  <si>
    <t>Pay - vend Al Emadi Air Conditioning/ SIJ/ Vend -CSS1-01781/24</t>
  </si>
  <si>
    <t>Pay - vend Leminar/ SIJ/ Vend -693944</t>
  </si>
  <si>
    <t>Pay - vend RUKN AL BATOOL AC REF/ SIJ/ Vend -RB24/757131660</t>
  </si>
  <si>
    <t>Pay - vend RUKN AL BATOOL AC REF/ SIJ/ Vend -RB24/757131673</t>
  </si>
  <si>
    <t>Pay - vend PULIKAL BLDG.MAT.TRDG/ SIJ/ Vend -134257</t>
  </si>
  <si>
    <t>Pay - vend NAJMAT AL AZRAH HARDWARE/ SIJ/ Vend -42287</t>
  </si>
  <si>
    <t>Pay - vend UTS Carrier/ 949CR/ Vend -</t>
  </si>
  <si>
    <t>Pay - vend FINE TOOLS/ SIJ/ Vend -03-1053084</t>
  </si>
  <si>
    <t>Pay - vend Al Emadi Air Conditioning/ SIJ/ Vend -CSHO-03538/24</t>
  </si>
  <si>
    <t>Pay - vend AIRTEC/ SIJ/ Vend -24212012800</t>
  </si>
  <si>
    <t>Pay - vend RUKN AL BATOOL AC REF/ SIJ/ Vend -RB24/757131805</t>
  </si>
  <si>
    <t>Pay - vend RUKN AL BATOOL AC REF/ SIJ/ Vend -RB24/757131804</t>
  </si>
  <si>
    <t>Pay - vend RUKN AL BATOOL AC REF/ SIJ/ Vend -RB24/757131747</t>
  </si>
  <si>
    <t>Pay - vend Noor Al Maqdis/ SIJ/ Vend -N-10828-2024</t>
  </si>
  <si>
    <t>Pay - vend Al Emadi Air Conditioning/ SIJ/ Vend -CSS1-01789/24</t>
  </si>
  <si>
    <t>Pay - vend RUKN AL BATOOL AC REF/ SIJ/ Vend -RB24/757131913</t>
  </si>
  <si>
    <t>Pay - vend NAJMAT AL AZRAH HARDWARE/ SIJ/ Vend -42368</t>
  </si>
  <si>
    <t>Pay - vend Noor Al Maqdis/ SIJ/ Vend -N-10870-2024</t>
  </si>
  <si>
    <t>Pay - vend Al Emadi Air Conditioning/ SIJ/ Vend -CSS1-01804/24</t>
  </si>
  <si>
    <t>Pay - vend JABAL AL NOOR/ SIJ/ Vend -42684</t>
  </si>
  <si>
    <t>Pay - vend RUKN AL BATOOL AC REF/ SIJ/ Vend -RB24/757131975</t>
  </si>
  <si>
    <t>Pay - vend PULIKAL BLDG.MAT.TRDG/ SIJ/ Vend -134880</t>
  </si>
  <si>
    <t>Payments to 3/10</t>
  </si>
  <si>
    <t>Payable</t>
  </si>
  <si>
    <t>From 1-1-24   :  Now</t>
  </si>
  <si>
    <t>.</t>
  </si>
  <si>
    <t>H/M/181/2024</t>
  </si>
  <si>
    <t>** LPO END ***</t>
  </si>
  <si>
    <t>8670 RJ</t>
  </si>
  <si>
    <t>H/M/121/2024</t>
  </si>
  <si>
    <t>A/C Works -  95% of Contract</t>
  </si>
  <si>
    <t xml:space="preserve">DEDUCTIONS   - Previouse Payments                   </t>
  </si>
  <si>
    <t>Shams Saeed Sultan AL Kitbee  -  279</t>
  </si>
  <si>
    <t xml:space="preserve"> Varation work Change(Grill Color + Room No 2 from wall mounted to Duct) @ 16000 AED</t>
  </si>
  <si>
    <t>Date From :-</t>
  </si>
  <si>
    <t xml:space="preserve"> To :-</t>
  </si>
  <si>
    <t xml:space="preserve">Visa / Hite BT / Medical Exam </t>
  </si>
  <si>
    <t xml:space="preserve">Office Internet Land line Bill / 9-2024 </t>
  </si>
  <si>
    <t xml:space="preserve">Eng.moh Mobile bill / 5452 - 9-2024 </t>
  </si>
  <si>
    <t xml:space="preserve">Sls Inv 106 /24 Abdurahamn Essa 277 - Paid </t>
  </si>
  <si>
    <t>106/2024</t>
  </si>
  <si>
    <t>1832</t>
  </si>
  <si>
    <t>cash</t>
  </si>
  <si>
    <t xml:space="preserve">Sewa / Mr.Sijeesh Hus / 10-24 </t>
  </si>
  <si>
    <t>Sewa / Staff Hus / 10-24</t>
  </si>
  <si>
    <t xml:space="preserve">Phone Bill / Mr.Sijeesh Mobile 8289 / 9-2024 </t>
  </si>
  <si>
    <t>Internet Bill / Mr.Sijeesh Hus 20341 / 9-2024</t>
  </si>
  <si>
    <t xml:space="preserve">Payment -Car Fines / mr.Ahmed Car 35875 / 3 Fines </t>
  </si>
  <si>
    <t xml:space="preserve">Payment -Car Fines / Mr.Rateesh  Car 84130 / 1 Fines </t>
  </si>
  <si>
    <t>Coll  Inv 90/24 Saeed Khalifa 221 - 100% of contract + Varation</t>
  </si>
  <si>
    <t>1835</t>
  </si>
  <si>
    <t xml:space="preserve">Sls Inv 118/24 Farouq 249 </t>
  </si>
  <si>
    <t xml:space="preserve">Coll Inv 118/24 Farouq 249 </t>
  </si>
  <si>
    <t>1834</t>
  </si>
  <si>
    <t>Sls Inv 120/24 Hassan Naqib 234 100% contract +Varartion</t>
  </si>
  <si>
    <t>1836</t>
  </si>
  <si>
    <t xml:space="preserve">Chq 952  Carrier /15-12-24- Lpo 7/2024 Faroq 249 </t>
  </si>
  <si>
    <t>1990</t>
  </si>
  <si>
    <t>Emirates ID  + Medical { Tufyel @ 726 AED  + Rejeesh @ 726 AED }   + Emirates ID Heti BT Itar @ 396 AED</t>
  </si>
  <si>
    <t>Quota Applying New 1  / Heti TB</t>
  </si>
  <si>
    <t xml:space="preserve">Dubai Insurance  for Visa / Heti TB </t>
  </si>
  <si>
    <t>Work Permit new visa / Heti TB</t>
  </si>
  <si>
    <t xml:space="preserve">Car Test Certificate  /84130  Rateesh car renew </t>
  </si>
  <si>
    <t xml:space="preserve">Car Renew 10-9-2025 / 84130 Rateesh </t>
  </si>
  <si>
    <t xml:space="preserve">Car Renew 10-9-2025 / 8735 Ahmed </t>
  </si>
  <si>
    <t>Enoc Rechage Acc  add 5000/</t>
  </si>
  <si>
    <t>Pay-Takeef Inv 183062 / Muhair saif / Lpo 158/24</t>
  </si>
  <si>
    <t>eng Moh</t>
  </si>
  <si>
    <t>trnsfr</t>
  </si>
  <si>
    <t xml:space="preserve">Recharge Noqodi Acc / Add 500 / </t>
  </si>
  <si>
    <t>Visa - Change Status / Emp Heti TB</t>
  </si>
  <si>
    <t xml:space="preserve">Visa - Change Status / Emp Tufyel </t>
  </si>
  <si>
    <t>Visa - New Residency / Heti TB /Noqodi</t>
  </si>
  <si>
    <t xml:space="preserve">Visa / Hite BT / Medical Exam  Sahara Center Visit </t>
  </si>
  <si>
    <t xml:space="preserve">Recharge Noqodi Acc / Add 2000 / </t>
  </si>
  <si>
    <t>lpo 6= chq  7 =inv</t>
  </si>
  <si>
    <t>id 6= pur. Exp  7= coll  + slsinv 7= coll</t>
  </si>
  <si>
    <t xml:space="preserve">Pur. Carr -Lpo 5/2024 Naeema 257 </t>
  </si>
  <si>
    <t>3160150519</t>
  </si>
  <si>
    <t xml:space="preserve"> /2 Exp / 257 / 14/10/2024 / Pur. Carr -Lpo 5/2024 Naeema 257  / 9545 /2 Exp / 257 / 14/10/2024 / Pur. Carr -Lpo 5/2024 Naeema 257  / 9555</t>
  </si>
  <si>
    <t>3160150508</t>
  </si>
  <si>
    <t xml:space="preserve"> /2 Exp / 257 / 17/10/2024 / Pur. Carr -Lpo 5/2024 Naeema 257  / 17188.5</t>
  </si>
  <si>
    <t>[Chq.922 Val= 22329][3160148500 Val= 16826.25][3160148517 Val= 5502][Chq935. Val= 41448][Inv.3160150519 Val= 9555][Inv.3160150508 Val= 17188.5]</t>
  </si>
  <si>
    <t>8677 RJ</t>
  </si>
  <si>
    <t>H/M/182/2024</t>
  </si>
  <si>
    <t>Over Timer Signutres</t>
  </si>
  <si>
    <t xml:space="preserve">Over time From </t>
  </si>
  <si>
    <t xml:space="preserve">To </t>
  </si>
  <si>
    <t xml:space="preserve">Over Time / Hrs </t>
  </si>
  <si>
    <t xml:space="preserve">Over Time  / AED </t>
  </si>
  <si>
    <t>Signture</t>
  </si>
  <si>
    <t>Direct Manager / mr.sijeesh</t>
  </si>
  <si>
    <t>H/M/122/2024</t>
  </si>
  <si>
    <t xml:space="preserve">A/C work -   100% of contract </t>
  </si>
  <si>
    <t xml:space="preserve">Variation Work  ( Grill : Slot Liner Diffuser ) </t>
  </si>
  <si>
    <t xml:space="preserve">DEDUCTIONS  -  All Previouse Payments                    </t>
  </si>
  <si>
    <t>Ahmed Ghanim Abdullah Ahli  -  211</t>
  </si>
  <si>
    <t>UnPaid VAT    -for Last Payment @ 35,000 AED     5-2024</t>
  </si>
  <si>
    <t>one line unpaid</t>
  </si>
  <si>
    <t>MaintanCE INCOMe   8 - 2024 MR.SIJEESH</t>
  </si>
  <si>
    <t>COLLECTIO/SIJ/HAMADALMRI  takeef bill</t>
  </si>
  <si>
    <t xml:space="preserve">Over time from 29-7 to 15-10 //details attached </t>
  </si>
  <si>
    <t>Office Dewa Bill 9-2024</t>
  </si>
  <si>
    <t>Emp. Tufayel Ahmed Emon  / New Residency  Exp 10-2026</t>
  </si>
  <si>
    <t>Emp.  Rajesh Sukesan  / New Residency  Exp 10-2026</t>
  </si>
  <si>
    <t xml:space="preserve">Emp. Bassem Cancel Visa charges </t>
  </si>
  <si>
    <t xml:space="preserve">Chq 953 // Mr. Sijeesh Increase </t>
  </si>
  <si>
    <t>1991</t>
  </si>
  <si>
    <t>V457</t>
  </si>
  <si>
    <t>Winner AC  - Ducts</t>
  </si>
  <si>
    <t>Mr.Faras / Sales</t>
  </si>
  <si>
    <t>Umm Al Quwain</t>
  </si>
  <si>
    <t>Info@winnerac.com</t>
  </si>
  <si>
    <t>Mr.Fras - Sales   / 0547751006</t>
  </si>
  <si>
    <t>H/M/183/2024</t>
  </si>
  <si>
    <t xml:space="preserve"> RAG 1000 X 150 </t>
  </si>
  <si>
    <t xml:space="preserve"> RAG 900 X 150 </t>
  </si>
  <si>
    <t xml:space="preserve"> RAG 800 X 150 </t>
  </si>
  <si>
    <t xml:space="preserve"> RLBG 2400 </t>
  </si>
  <si>
    <t xml:space="preserve"> RLBG 4800 </t>
  </si>
  <si>
    <t xml:space="preserve"> RLD 2 SLOT 1000</t>
  </si>
  <si>
    <t xml:space="preserve"> RLD 2 SLOT 1200</t>
  </si>
  <si>
    <t xml:space="preserve"> RLD 2 SLOT 2000</t>
  </si>
  <si>
    <t xml:space="preserve"> RLD 2 SLOT 2400</t>
  </si>
  <si>
    <t xml:space="preserve"> RLD 2 SLOT 4850 </t>
  </si>
  <si>
    <t xml:space="preserve"> RLD 2 SLOT 14250</t>
  </si>
  <si>
    <t xml:space="preserve"> RLD 2 SLOT 15170</t>
  </si>
  <si>
    <t xml:space="preserve"> RAD 9" X 9" </t>
  </si>
  <si>
    <t xml:space="preserve"> RAD 12" X 12" </t>
  </si>
  <si>
    <t>Discount Received</t>
  </si>
  <si>
    <t>***LPO End *****</t>
  </si>
  <si>
    <t xml:space="preserve">Color  = Black </t>
  </si>
  <si>
    <t>WAC/1098/24</t>
  </si>
  <si>
    <t>H/M/184/2024</t>
  </si>
  <si>
    <t xml:space="preserve">Color  = White </t>
  </si>
  <si>
    <t>****LPO End****</t>
  </si>
  <si>
    <t>WAC/1102/24</t>
  </si>
  <si>
    <t>EAL   150 X 150     Color White  With MESH</t>
  </si>
  <si>
    <t xml:space="preserve">Pur. Carr -Lpo 07/2024  Farouq 249 </t>
  </si>
  <si>
    <t>3160150533</t>
  </si>
  <si>
    <t xml:space="preserve"> /2 Exp / 249 / 18/10/2024 / Pur. Carr -Lpo 07/2024  Farouq 249  / 82089</t>
  </si>
  <si>
    <t>[Chq.952 Val= 86446][Inv.3160150533 Val= 82089]</t>
  </si>
  <si>
    <t>Pay-BestChoice 9-24 invoices / lpo 156/24 / Muhair 216</t>
  </si>
  <si>
    <t>Pay-BestChoice 9-24 invoices / lpo 157/24 / shihab 243</t>
  </si>
  <si>
    <t>1992</t>
  </si>
  <si>
    <t xml:space="preserve">Pay-BestChoice 9-24 invoices / lpo 170/24 / shams 279 </t>
  </si>
  <si>
    <t>Pay-BestChoice 9-24 invoices</t>
  </si>
  <si>
    <t>[0050471 Val= 3100.18][Chq.955 Val= 3100.7]</t>
  </si>
  <si>
    <t xml:space="preserve"> /2 Exp / 216 / 22/10/2024 / Pay-BestChoice 9-24 invoices / lpo 156/24 / Muhair 216 / 3100.7 / LPO Chq paid /  / LPO Chq paid / </t>
  </si>
  <si>
    <t>[0050465 Val= 2000.06][Chq.955 Val= 2000.3]</t>
  </si>
  <si>
    <t xml:space="preserve"> /2 Exp / 243 / 22/10/2024 / Pay-BestChoice 9-24 invoices / lpo 157/24 / shihab 243 / 2000.3 / LPO Chq paid /  / LPO Chq paid / </t>
  </si>
  <si>
    <t>[Inv.50566 Val= 3900][Chq.955 Val= 3900.8]</t>
  </si>
  <si>
    <t xml:space="preserve"> /2 Exp / 279 / 22/10/2024 / Pay-BestChoice 9-24 invoices / lpo 170/24 / shams 279  / 3900.8 / LPO Chq paid /  / LPO Chq paid / </t>
  </si>
  <si>
    <t>Approved With no Document</t>
  </si>
  <si>
    <t xml:space="preserve">Doucments to be signed </t>
  </si>
  <si>
    <t xml:space="preserve">Mohamed Khamis Saad Mubarak </t>
  </si>
  <si>
    <t>Dif</t>
  </si>
  <si>
    <t xml:space="preserve">Received </t>
  </si>
  <si>
    <r>
      <t xml:space="preserve">Carrier //  Paid </t>
    </r>
    <r>
      <rPr>
        <b/>
        <sz val="12"/>
        <color rgb="FFFF0000"/>
        <rFont val="Calibri"/>
        <family val="2"/>
        <scheme val="minor"/>
      </rPr>
      <t>&amp;</t>
    </r>
    <r>
      <rPr>
        <b/>
        <sz val="12"/>
        <color theme="1"/>
        <rFont val="Calibri"/>
        <family val="2"/>
        <scheme val="minor"/>
      </rPr>
      <t xml:space="preserve">  Not Received                </t>
    </r>
    <r>
      <rPr>
        <b/>
        <sz val="12"/>
        <color rgb="FFFF0000"/>
        <rFont val="Calibri"/>
        <family val="2"/>
        <scheme val="minor"/>
      </rPr>
      <t>Quantities</t>
    </r>
  </si>
  <si>
    <t>H/M/185/2024</t>
  </si>
  <si>
    <t>Discount Approved</t>
  </si>
  <si>
    <t>241885 R1</t>
  </si>
  <si>
    <t>تصدير Execl</t>
  </si>
  <si>
    <t>Al Hazam Electromachincal Work LLC</t>
  </si>
  <si>
    <t>2011-2024</t>
  </si>
  <si>
    <t>Balances At 31-12-2024</t>
  </si>
  <si>
    <t>1015</t>
  </si>
  <si>
    <t>1016</t>
  </si>
  <si>
    <t>1017</t>
  </si>
  <si>
    <t>1018</t>
  </si>
  <si>
    <t>1019</t>
  </si>
  <si>
    <t>1020</t>
  </si>
  <si>
    <t>1021</t>
  </si>
  <si>
    <t>1022</t>
  </si>
  <si>
    <t>1025</t>
  </si>
  <si>
    <t>1030</t>
  </si>
  <si>
    <t>1100</t>
  </si>
  <si>
    <t>1200</t>
  </si>
  <si>
    <t>1400</t>
  </si>
  <si>
    <t>1430</t>
  </si>
  <si>
    <t>1450</t>
  </si>
  <si>
    <t>1500</t>
  </si>
  <si>
    <t>1550</t>
  </si>
  <si>
    <t>1600</t>
  </si>
  <si>
    <t>1900</t>
  </si>
  <si>
    <t>2000</t>
  </si>
  <si>
    <t>2018</t>
  </si>
  <si>
    <t>2370</t>
  </si>
  <si>
    <t>3910</t>
  </si>
  <si>
    <t xml:space="preserve">Statement Of Financail Position </t>
  </si>
  <si>
    <t>Current Assets</t>
  </si>
  <si>
    <t>Total Assets</t>
  </si>
  <si>
    <t>Owners' Equity</t>
  </si>
  <si>
    <t xml:space="preserve"> Liabalities</t>
  </si>
  <si>
    <t>payroll liabilities</t>
  </si>
  <si>
    <t>Total Curr. Assets</t>
  </si>
  <si>
    <t>Non-Current Assets</t>
  </si>
  <si>
    <t>Total Liabalities</t>
  </si>
  <si>
    <t>Total Liab. + Equity</t>
  </si>
  <si>
    <t>Capital - Mr.Ismail</t>
  </si>
  <si>
    <t>Capital - Mr.Mohmed</t>
  </si>
  <si>
    <t xml:space="preserve">Accounts Manager </t>
  </si>
  <si>
    <t xml:space="preserve">General Manager </t>
  </si>
  <si>
    <t>Financial clarifications</t>
  </si>
  <si>
    <t>(1)</t>
  </si>
  <si>
    <t>(2)</t>
  </si>
  <si>
    <t xml:space="preserve">Eng.Mohamed -Custody </t>
  </si>
  <si>
    <t xml:space="preserve">MOHAMED ABD ELSALAM   </t>
  </si>
  <si>
    <t>RAJESH SUKESAN SUKESAN</t>
  </si>
  <si>
    <t>SANTOSH PHOOL CHAND</t>
  </si>
  <si>
    <t>VISHNU PADINHARE PURAKKAL</t>
  </si>
  <si>
    <t>SAJITH SUDARSANAN</t>
  </si>
  <si>
    <t>ONKAR GURPAL SINGH</t>
  </si>
  <si>
    <t>PAWAN KUMAR SHARMA</t>
  </si>
  <si>
    <t>RATHEESH KUMAR MUTHU</t>
  </si>
  <si>
    <t>SIMUL KANTI DEY</t>
  </si>
  <si>
    <t>Nagative Custody Blnc</t>
  </si>
  <si>
    <t xml:space="preserve">EOS </t>
  </si>
  <si>
    <t>EOS  + Leave Salary</t>
  </si>
  <si>
    <t>(4)</t>
  </si>
  <si>
    <t>(3)</t>
  </si>
  <si>
    <t>Yasser Ahmed Ibrahim Al Satry</t>
  </si>
  <si>
    <t>HBC Contract</t>
  </si>
  <si>
    <t>Hadaeq Sheikh Moh. Bin Rashid - Dubai</t>
  </si>
  <si>
    <t xml:space="preserve">P. Villa ( B+ G + 1 + R ) </t>
  </si>
  <si>
    <t>H/M/123/2024</t>
  </si>
  <si>
    <t xml:space="preserve">Advance  10 % of A/C Works Contract </t>
  </si>
  <si>
    <t>High Beam Contracting L.L.C     /   Proj.-    Yasser Ahmed Ibrahim Al Satry  -  287</t>
  </si>
  <si>
    <t>Prepaid Rents</t>
  </si>
  <si>
    <t>Rates</t>
  </si>
  <si>
    <t>Acual</t>
  </si>
  <si>
    <t>Work yrs</t>
  </si>
  <si>
    <t>Debit Balance</t>
  </si>
  <si>
    <t>Dates</t>
  </si>
  <si>
    <t>Monthly Salary</t>
  </si>
  <si>
    <t>Leave Salary Rate</t>
  </si>
  <si>
    <t>EOS Rate</t>
  </si>
  <si>
    <t>Leave Slry</t>
  </si>
  <si>
    <t>E O S Bouns</t>
  </si>
  <si>
    <t>paid Leave Slry</t>
  </si>
  <si>
    <t>Paid E O S Bouns</t>
  </si>
  <si>
    <t>Service Yrs</t>
  </si>
  <si>
    <t>Debit to Company</t>
  </si>
  <si>
    <t>Record</t>
  </si>
  <si>
    <t>Start Work Date</t>
  </si>
  <si>
    <t>Labour Card Exp</t>
  </si>
  <si>
    <t>ID Exp</t>
  </si>
  <si>
    <t>Passport Exp</t>
  </si>
  <si>
    <t>Job</t>
  </si>
  <si>
    <t>Nation</t>
  </si>
  <si>
    <t>تخصم 1000 درهم / مصاريف سفر عمان 400 + فيزا 600</t>
  </si>
  <si>
    <t xml:space="preserve">start </t>
  </si>
  <si>
    <t xml:space="preserve">salaar inc </t>
  </si>
  <si>
    <t>900-1100</t>
  </si>
  <si>
    <t>1100-1400</t>
  </si>
  <si>
    <t>vav</t>
  </si>
  <si>
    <t xml:space="preserve"> 3 mtns</t>
  </si>
  <si>
    <t>6 mnth</t>
  </si>
  <si>
    <t>1 month</t>
  </si>
  <si>
    <t>Emp</t>
  </si>
  <si>
    <t>SUKCHAND SEKH AMANAt</t>
  </si>
  <si>
    <t>Hussan Ali Butti Mohammad Al Suwaidi</t>
  </si>
  <si>
    <t>Barsha South Second - DUBAI</t>
  </si>
  <si>
    <t>H/M/17R/2024</t>
  </si>
  <si>
    <t>H/M/124/2024</t>
  </si>
  <si>
    <t>Advance 20 %   Of A/C Work Contract REF ( 25/2024 )</t>
  </si>
  <si>
    <t>Hussan Ali Butti Mohammad Al Suwaidi  -  288</t>
  </si>
  <si>
    <t xml:space="preserve">invoice 92 +  45 cancelled to be reused </t>
  </si>
  <si>
    <t xml:space="preserve">contract 23 calcelled to be resued </t>
  </si>
  <si>
    <t>4   /    Leader</t>
  </si>
  <si>
    <t xml:space="preserve">SIJ - MAY   /    </t>
  </si>
  <si>
    <t>Eng 01   /    Cannon Printer</t>
  </si>
  <si>
    <t>Eng 02   /    Printer</t>
  </si>
  <si>
    <t>Eng 02   /    Office Furniture</t>
  </si>
  <si>
    <t xml:space="preserve">SIJ - 13   /    </t>
  </si>
  <si>
    <t xml:space="preserve">FEB-2018   /    </t>
  </si>
  <si>
    <t>eng- jan - march2018   /    pc - office</t>
  </si>
  <si>
    <t>eng- jan - march2018   /    lap top</t>
  </si>
  <si>
    <t>eng- jan - march2018   /    I Phone</t>
  </si>
  <si>
    <t>chair ofice   /    OFFICE CHAIR</t>
  </si>
  <si>
    <t xml:space="preserve">   /    </t>
  </si>
  <si>
    <t>OFFICE - FEB 2021   /    SIJESH I PHONE</t>
  </si>
  <si>
    <t xml:space="preserve">H1 - R   /    </t>
  </si>
  <si>
    <t>PRINTER A3 - HP   /    PRINTER A3 - HP</t>
  </si>
  <si>
    <t>printer A3   /    printer A3</t>
  </si>
  <si>
    <t>printer A3   /    printer A3 + warranty addidtional one year</t>
  </si>
  <si>
    <t>DIGITAL SAFE TANK   /    MILANO TRUDY DIGITAL SAFE 25SAS 250X350X250 MM-BLACK (Delivered) *Warranty - 1 Year</t>
  </si>
  <si>
    <t>DIGITAL SAFE TANK   /    MILANO TRUDY DIGITAL SAFE MILANO TRUDY DIGITAL SAFE 30SAS 300X380X300 MM-BLACK (Delivered)</t>
  </si>
  <si>
    <t>laptop for eng moham   /    laptop for office eng mohamed</t>
  </si>
  <si>
    <t>2 mobile phone offic   /    2 mobile phoe for accounts office</t>
  </si>
  <si>
    <t>new pc for accounts   /    new pc for accounts office</t>
  </si>
  <si>
    <t>SIJOFFICE EXPENSES   /    drill machine</t>
  </si>
  <si>
    <t>SIJ-OFFC EXP 8-24   /    GAS REGULATOR +CUTTING TOURCH +OTHER</t>
  </si>
  <si>
    <t>SIJ-OFFC EXP 8-24   /    DUCT4 INCH INSULATED + OTHER</t>
  </si>
  <si>
    <t>SIJ-OFFC EXP 8-24   /    LADER 9 STEPS</t>
  </si>
  <si>
    <t>SIJ-OFFC EXP 8-24   /    TESTER +HOSE  CLIP</t>
  </si>
  <si>
    <t>SIJ-OFFC EXP 8-24   /    FITTING CRIMPING HOSE</t>
  </si>
  <si>
    <t>SIJ-OFFC EXP 8-24   /    BATTERY +CHARGER</t>
  </si>
  <si>
    <t>28/7/20</t>
  </si>
  <si>
    <t>NEW H1 - R</t>
  </si>
  <si>
    <t>GENJ</t>
  </si>
  <si>
    <t>NEW CAR - H1 - R</t>
  </si>
  <si>
    <t>???</t>
  </si>
  <si>
    <t>(5)</t>
  </si>
  <si>
    <t>Office Rent</t>
  </si>
  <si>
    <t>Eng.Moh Husing</t>
  </si>
  <si>
    <t>Account Payable</t>
  </si>
  <si>
    <t>(6)</t>
  </si>
  <si>
    <t>(8)</t>
  </si>
  <si>
    <t>H/M/186/2024</t>
  </si>
  <si>
    <t>***LPO End*****</t>
  </si>
  <si>
    <t>8834 JJ</t>
  </si>
  <si>
    <t>Best Choice - Dec Purs.</t>
  </si>
  <si>
    <t>BabAlTabreed Dec Pur.</t>
  </si>
  <si>
    <t>Masc Dec Pur.</t>
  </si>
  <si>
    <t>Vat for 10+11+12/203</t>
  </si>
  <si>
    <t>salary ahmed</t>
  </si>
  <si>
    <t>salary bassem dec</t>
  </si>
  <si>
    <t xml:space="preserve">phone sij dec </t>
  </si>
  <si>
    <t xml:space="preserve">net eng moh hs net dec </t>
  </si>
  <si>
    <t xml:space="preserve">carrie </t>
  </si>
  <si>
    <t>Rent 1-1-24 : 28-2-24</t>
  </si>
  <si>
    <t>Mr.Sijeesh Husing</t>
  </si>
  <si>
    <t>from 1-1-24 : 31-7-24</t>
  </si>
  <si>
    <t>From 1-1-24 : 30-3-24</t>
  </si>
  <si>
    <t>Cars</t>
  </si>
  <si>
    <t>Empolyees Liabailies  :</t>
  </si>
  <si>
    <t xml:space="preserve">Accounts Payable </t>
  </si>
  <si>
    <t>Mr.Sijeesh - Custody</t>
  </si>
  <si>
    <t>Naquodi - Wallet</t>
  </si>
  <si>
    <t>Bank 2 - EMIRATES ISLAMIC</t>
  </si>
  <si>
    <t xml:space="preserve">Bank3 - Old NBD </t>
  </si>
  <si>
    <t>Bank 1 - New NBD</t>
  </si>
  <si>
    <t>Notes Payable</t>
  </si>
  <si>
    <t>Mr.Sijeesh Custody</t>
  </si>
  <si>
    <t>Bank -New NBD</t>
  </si>
  <si>
    <t xml:space="preserve"> Eng-Mohamed - Custodu</t>
  </si>
  <si>
    <t xml:space="preserve">Cars </t>
  </si>
  <si>
    <t>Blc</t>
  </si>
  <si>
    <t>Laib.</t>
  </si>
  <si>
    <t>Expenses</t>
  </si>
  <si>
    <r>
      <t>Al Khawaniij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>– Dubai</t>
    </r>
  </si>
  <si>
    <r>
      <t>الخوانيج الثانيه</t>
    </r>
    <r>
      <rPr>
        <i/>
        <sz val="8"/>
        <color theme="4" tint="0.39997558519241921"/>
        <rFont val="Arial"/>
        <family val="2"/>
      </rPr>
      <t xml:space="preserve">– دبى </t>
    </r>
  </si>
  <si>
    <r>
      <t>Oud Mutenah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 –Dubai</t>
    </r>
  </si>
  <si>
    <r>
      <t>khawaniij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  - Dubai</t>
    </r>
  </si>
  <si>
    <r>
      <t>Nad Shiba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 xml:space="preserve">  - Dubai</t>
    </r>
  </si>
  <si>
    <r>
      <t>Mizhir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–Dubai</t>
    </r>
  </si>
  <si>
    <r>
      <t>Awir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 xml:space="preserve">    - Dubai</t>
    </r>
  </si>
  <si>
    <r>
      <t>فيلا</t>
    </r>
    <r>
      <rPr>
        <i/>
        <sz val="8"/>
        <color theme="4" tint="0.39997558519241921"/>
        <rFont val="Calibri"/>
        <family val="2"/>
        <scheme val="minor"/>
      </rPr>
      <t xml:space="preserve"> ( ارضى + اول + سطح + خدمات )</t>
    </r>
  </si>
  <si>
    <r>
      <t xml:space="preserve">بمنطقة </t>
    </r>
    <r>
      <rPr>
        <i/>
        <sz val="8"/>
        <color theme="4" tint="0.39997558519241921"/>
        <rFont val="Calibri"/>
        <family val="2"/>
        <scheme val="minor"/>
      </rPr>
      <t xml:space="preserve"> الورقاء - دبى </t>
    </r>
  </si>
  <si>
    <r>
      <t>(…………..</t>
    </r>
    <r>
      <rPr>
        <i/>
        <sz val="8"/>
        <color theme="4" tint="0.39997558519241921"/>
        <rFont val="Calibri"/>
        <family val="2"/>
        <scheme val="minor"/>
      </rPr>
      <t>)</t>
    </r>
  </si>
  <si>
    <r>
      <t>Khawaniij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</si>
  <si>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Khawaneej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</si>
  <si>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Awir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 xml:space="preserve">  - Dubai</t>
    </r>
  </si>
  <si>
    <r>
      <t>Awir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</si>
  <si>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Awir 1</t>
    </r>
    <r>
      <rPr>
        <i/>
        <vertAlign val="superscript"/>
        <sz val="8"/>
        <color theme="4" tint="0.39997558519241921"/>
        <rFont val="Verdana"/>
        <family val="2"/>
      </rPr>
      <t>st</t>
    </r>
    <r>
      <rPr>
        <i/>
        <sz val="8"/>
        <color theme="4" tint="0.39997558519241921"/>
        <rFont val="Verdana"/>
        <family val="2"/>
      </rPr>
      <t xml:space="preserve"> - Dubai</t>
    </r>
  </si>
  <si>
    <r>
      <t xml:space="preserve">: </t>
    </r>
    <r>
      <rPr>
        <i/>
        <sz val="8"/>
        <color theme="4" tint="0.39997558519241921"/>
        <rFont val="Calibri"/>
        <family val="2"/>
        <scheme val="minor"/>
      </rPr>
      <t xml:space="preserve">Private Villa (  G + 1 + Roof ) </t>
    </r>
  </si>
  <si>
    <r>
      <t>: Um Nahad 3</t>
    </r>
    <r>
      <rPr>
        <i/>
        <vertAlign val="superscript"/>
        <sz val="8"/>
        <color theme="4" tint="0.39997558519241921"/>
        <rFont val="Calibri"/>
        <family val="2"/>
        <scheme val="minor"/>
      </rPr>
      <t>rd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</si>
  <si>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Warqaa 4</t>
    </r>
    <r>
      <rPr>
        <i/>
        <vertAlign val="superscript"/>
        <sz val="8"/>
        <color theme="4" tint="0.39997558519241921"/>
        <rFont val="Calibri"/>
        <family val="2"/>
        <scheme val="minor"/>
      </rPr>
      <t>th</t>
    </r>
    <r>
      <rPr>
        <i/>
        <sz val="8"/>
        <color theme="4" tint="0.39997558519241921"/>
        <rFont val="Calibri"/>
        <family val="2"/>
        <scheme val="minor"/>
      </rPr>
      <t xml:space="preserve">  - Dubai</t>
    </r>
  </si>
  <si>
    <r>
      <t>Warqaa 4</t>
    </r>
    <r>
      <rPr>
        <i/>
        <vertAlign val="superscript"/>
        <sz val="8"/>
        <color theme="4" tint="0.39997558519241921"/>
        <rFont val="Calibri"/>
        <family val="2"/>
        <scheme val="minor"/>
      </rPr>
      <t>th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</si>
  <si>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AL warqaa 3</t>
    </r>
    <r>
      <rPr>
        <i/>
        <vertAlign val="superscript"/>
        <sz val="8"/>
        <color theme="4" tint="0.39997558519241921"/>
        <rFont val="Calibri"/>
        <family val="2"/>
        <scheme val="minor"/>
      </rPr>
      <t>rd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</si>
  <si>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Al Awir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</si>
  <si>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: Awir 1</t>
    </r>
    <r>
      <rPr>
        <i/>
        <vertAlign val="superscript"/>
        <sz val="8"/>
        <color theme="4" tint="0.39997558519241921"/>
        <rFont val="Calibri"/>
        <family val="2"/>
        <scheme val="minor"/>
      </rPr>
      <t>st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</si>
  <si>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Warqaa 4</t>
    </r>
    <r>
      <rPr>
        <i/>
        <vertAlign val="superscript"/>
        <sz val="8"/>
        <color theme="4" tint="0.39997558519241921"/>
        <rFont val="Verdana"/>
        <family val="2"/>
      </rPr>
      <t>th</t>
    </r>
    <r>
      <rPr>
        <i/>
        <sz val="8"/>
        <color theme="4" tint="0.39997558519241921"/>
        <rFont val="Verdana"/>
        <family val="2"/>
      </rPr>
      <t xml:space="preserve">  - Dubai</t>
    </r>
  </si>
  <si>
    <r>
      <t>khawaneej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</si>
  <si>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>Warqaa 2</t>
    </r>
    <r>
      <rPr>
        <i/>
        <vertAlign val="superscript"/>
        <sz val="8"/>
        <color theme="4" tint="0.39997558519241921"/>
        <rFont val="Calibri"/>
        <family val="2"/>
        <scheme val="minor"/>
      </rPr>
      <t>nd</t>
    </r>
    <r>
      <rPr>
        <i/>
        <sz val="8"/>
        <color theme="4" tint="0.39997558519241921"/>
        <rFont val="Calibri"/>
        <family val="2"/>
        <scheme val="minor"/>
      </rPr>
      <t xml:space="preserve"> - Dubai</t>
    </r>
  </si>
  <si>
    <r>
      <t xml:space="preserve"> </t>
    </r>
    <r>
      <rPr>
        <i/>
        <sz val="8"/>
        <color theme="4" tint="0.39997558519241921"/>
        <rFont val="Calibri"/>
        <family val="2"/>
        <scheme val="minor"/>
      </rPr>
      <t xml:space="preserve">Private Villa (G + 1) </t>
    </r>
  </si>
  <si>
    <r>
      <t>Ras Al Khaimah</t>
    </r>
    <r>
      <rPr>
        <i/>
        <sz val="8"/>
        <color theme="4" tint="0.39997558519241921"/>
        <rFont val="Cambria"/>
        <family val="1"/>
      </rPr>
      <t xml:space="preserve"> </t>
    </r>
  </si>
  <si>
    <t xml:space="preserve"> Details</t>
  </si>
  <si>
    <t>i</t>
  </si>
  <si>
    <t>E</t>
  </si>
  <si>
    <t>Um Nahad 3rd - Dubai</t>
  </si>
  <si>
    <t>H/M/43/2024</t>
  </si>
  <si>
    <t>H/M/17/2024</t>
  </si>
  <si>
    <t>H/M/27/2024</t>
  </si>
  <si>
    <t>H/M/69/2024</t>
  </si>
  <si>
    <t>H/M/125/2024</t>
  </si>
  <si>
    <t xml:space="preserve">Varation Works ( Slat liner Grill ) @ 10500 AED </t>
  </si>
  <si>
    <t xml:space="preserve">A/C Works   95% Of Contract Value </t>
  </si>
  <si>
    <t xml:space="preserve">Deductions - Previouse Payments </t>
  </si>
  <si>
    <t>Hessa Ahmed Juma El Beloshi  -  225</t>
  </si>
  <si>
    <t>H/M/126/2024</t>
  </si>
  <si>
    <t xml:space="preserve">A/C Work   100% of Contract Value </t>
  </si>
  <si>
    <t>Varation Works @ 15000</t>
  </si>
  <si>
    <t>Hamad Abdullah  Al swaidi  -  237</t>
  </si>
  <si>
    <t>H/M/127/2024</t>
  </si>
  <si>
    <t>Majed Ahmed Abdulla Al shehhi  -  258</t>
  </si>
  <si>
    <t>H/M/128/2024</t>
  </si>
  <si>
    <t xml:space="preserve">A/C works - 100% of Duct Works ( 25 % ) of contract </t>
  </si>
  <si>
    <t xml:space="preserve">Deductions  - Previouse Payment ( Advance 5 % ) @ 4600 AED                    </t>
  </si>
  <si>
    <t>Fatma Essa Ali Yousuf Alsher   -  276</t>
  </si>
  <si>
    <t>Abdallrahman  Essa Ali Yousuf Alsher   -  277</t>
  </si>
  <si>
    <t xml:space="preserve">A/C works - 100% of Indoor Units ( 30 % ) of contract </t>
  </si>
  <si>
    <t>Capital - Mr.Ismail    51%</t>
  </si>
  <si>
    <t>Capital - Mr.Mohmed   49%</t>
  </si>
  <si>
    <t>Dividends Before 12-2023</t>
  </si>
  <si>
    <t xml:space="preserve">Nagative Custody Blnc/Eng.Mohamed -Custody </t>
  </si>
  <si>
    <t xml:space="preserve">EOS /MOHAMED ABD ELSALAM   </t>
  </si>
  <si>
    <t>EOS /Sijeesh</t>
  </si>
  <si>
    <t>EOS /RAJESH SUKESAN SUKESAN</t>
  </si>
  <si>
    <t>EOS  + Leave Salary/SANTOSH PHOOL CHAND</t>
  </si>
  <si>
    <t>EOS /SUKCHAND SEKH AMANAt</t>
  </si>
  <si>
    <t>EOS /VISHNU PADINHARE PURAKKAL</t>
  </si>
  <si>
    <t>EOS /SAJITH SUDARSANAN</t>
  </si>
  <si>
    <t>EOS /ONKAR GURPAL SINGH</t>
  </si>
  <si>
    <t>EOS /PAWAN KUMAR SHARMA</t>
  </si>
  <si>
    <t>EOS /RATHEESH KUMAR MUTHU</t>
  </si>
  <si>
    <t>EOS /SIMUL KANTI DEY</t>
  </si>
  <si>
    <t>Beging Blnc 1-1-2024</t>
  </si>
  <si>
    <t>Pay.bab al tabreed Inv 15165  / lpo 60 adnan</t>
  </si>
  <si>
    <t>Pay.bab al tabreed Inv 15228  / lpo  173 adnan</t>
  </si>
  <si>
    <t>Pay.bab al tabreed Inv 15278  / lpo 164 essa</t>
  </si>
  <si>
    <t xml:space="preserve">Pay.bab al tabreed Inv 15458  / lpo  169 marzouk </t>
  </si>
  <si>
    <t xml:space="preserve">Pay.bab al tabreed Inv 15530  / lpo 172 farouk </t>
  </si>
  <si>
    <t>Pay.bab al tabreed Inv 15703  / lpo  174 adnan</t>
  </si>
  <si>
    <t>1996</t>
  </si>
  <si>
    <t>Purchases - Bab Al tabreed - [InvNo.14638 Val= 183.46 Chq= 0]</t>
  </si>
  <si>
    <t>Purchases - Bab Al tabreed - [InvNo.14643 Val= 256.20 Chq= 0]</t>
  </si>
  <si>
    <t>Purchases - Bab Al tabreed - {no lpo)[InvNo.1454 Val= 42 Chq= 0]</t>
  </si>
  <si>
    <t>Purchases - Bab Al tabreed - {no lpo}[InvNo.14859 Val= 404.04 Chq= 0]</t>
  </si>
  <si>
    <t>Pay - Bab Al tabreed - [InvNo.14638 Val= 183.46 Chq= 0]</t>
  </si>
  <si>
    <t>Pay - Bab Al tabreed - [InvNo.14643 Val= 256.20 Chq= 0]</t>
  </si>
  <si>
    <t>Pay - Bab Al tabreed - {no lpo)[InvNo.1454 Val= 42 Chq= 0]</t>
  </si>
  <si>
    <t>Pay - Bab Al tabreed - {no lpo}[InvNo.14859 Val= 404.04 Chq= 0]</t>
  </si>
  <si>
    <t xml:space="preserve">Pay- Bab Al tabreed Chq 956 - Sept.24 invoices </t>
  </si>
  <si>
    <t>[Inv.15165 Val= 301.77][Chq. Val= 301.77]</t>
  </si>
  <si>
    <t>[Inv.15228 Val= 280.07][Chq. Val= 280.07]</t>
  </si>
  <si>
    <t>[Inv.15278 Val= 140.28][Chq. Val= 140.28]</t>
  </si>
  <si>
    <t>[Inv.15458 Val= 1497.38][Chq. Val= 1497.38]</t>
  </si>
  <si>
    <t>[Inv.15530 Val= 324.57][Chq. Val= 324.57]</t>
  </si>
  <si>
    <t>[Inv.15703 Val= 1441.04][Chq. Val= 1441.04]</t>
  </si>
  <si>
    <t>[InvNo.14638 Val= 183.46 Chq= 0][Chq. Val= 183.46]</t>
  </si>
  <si>
    <t>[InvNo.14643 Val= 256.20 Chq= 0][Chq. Val= 256.2]</t>
  </si>
  <si>
    <t>{no lpo)[InvNo.14545 Val= 42 Chq= 0][Chq. Val= 42]</t>
  </si>
  <si>
    <t>{no lpo}[InvNo.14859 Val= 404.04 Chq= 0][Chq. Val= 404.04]</t>
  </si>
  <si>
    <t>Cash Deposit to Mr.sijeesh Bank acc / Eng moh</t>
  </si>
  <si>
    <t xml:space="preserve">VAT Diff -Period 3 [7+8+9/24] </t>
  </si>
  <si>
    <t xml:space="preserve">Pur. Carr Lpo 5/2024 - Naeema 257 </t>
  </si>
  <si>
    <t>3160150893</t>
  </si>
  <si>
    <t xml:space="preserve">Pur. Carr Lpo 7/2024 - Farouq 249 </t>
  </si>
  <si>
    <t>3160150894</t>
  </si>
  <si>
    <t xml:space="preserve"> /2 Exp / 257 / 26/10/2024 / Pur. Carr Lpo 5/2024 - Naeema 257  / 5181.75</t>
  </si>
  <si>
    <t xml:space="preserve"> /2 Exp / 249 / 26/10/2024 / Pur. Carr Lpo 7/2024 - Farouq 249  / 4404.75</t>
  </si>
  <si>
    <t>[Chq.952 Val= 86446][Inv.3160150533 Val= 82089][Inv.3160150894 Val= 4404.75]</t>
  </si>
  <si>
    <t xml:space="preserve">Pur. MACS Lpo 179/2024 - Abdrhhman 277 </t>
  </si>
  <si>
    <t>2408437</t>
  </si>
  <si>
    <t xml:space="preserve"> /2 Exp / 277 / 17/10/2024 / Pur. MACS Lpo 179/2024 - Abdrhhman 277  / 5530.2</t>
  </si>
  <si>
    <t>Pay.  MACS chq  957 Invoice of sept 24</t>
  </si>
  <si>
    <t>Pay.  MACS Lpo 163/2024 - Rashed Yousef 278</t>
  </si>
  <si>
    <t>1997</t>
  </si>
  <si>
    <t>[Inv.2407408 Val= 8700.09][Chq. Val= 8700]</t>
  </si>
  <si>
    <t xml:space="preserve">Cash Withdraw - Eng Moh Custody Increase </t>
  </si>
  <si>
    <t>1998</t>
  </si>
  <si>
    <t>Varation letter // Ahmed Malik 26500</t>
  </si>
  <si>
    <t xml:space="preserve">Var. Slot Liner 43Ton*500AED   &amp; Pipes Increase Tall 49 M  @5000 AED </t>
  </si>
  <si>
    <t>H/M/187/2024</t>
  </si>
  <si>
    <t>81691 [2]</t>
  </si>
  <si>
    <t>RAG DD            - 750mm x 150mm</t>
  </si>
  <si>
    <t>RAG DD            - 800mm x 150mm</t>
  </si>
  <si>
    <t>RAG DD            - 850mm x 150mm</t>
  </si>
  <si>
    <t>RAG DD            - 900mm x 150mm</t>
  </si>
  <si>
    <t>RAG DD            - 1000mm x 150mm</t>
  </si>
  <si>
    <t>RLBG                  - 4250mm x 150mm</t>
  </si>
  <si>
    <t>RAD 4WS            - 9" 9"</t>
  </si>
  <si>
    <t>RAD 4WS            - 12" x 12"</t>
  </si>
  <si>
    <t>RLSD                   - 2slot x 20mm x 1000mm</t>
  </si>
  <si>
    <t>RLSD                   - 2slot x 20mm x 1500mm</t>
  </si>
  <si>
    <t>RLSD                   - 2slot x 20mm x 2000mm</t>
  </si>
  <si>
    <t>RLSD                    - 2slot x 20mm x 3000mm</t>
  </si>
  <si>
    <t>RLSD                    - 2slot x 20mm x 3500mm</t>
  </si>
  <si>
    <t>RLSD                    - 2slot x 20mm x 5000mm</t>
  </si>
  <si>
    <t>EAL + WM            - 150mm x 150mm</t>
  </si>
  <si>
    <t>EAL + WM            - 200mm x 200mm</t>
  </si>
  <si>
    <t>***LPO End****</t>
  </si>
  <si>
    <t xml:space="preserve">Color Black </t>
  </si>
  <si>
    <t xml:space="preserve">Lover Color items { 15 &amp; 16 } White </t>
  </si>
  <si>
    <t>Mohamed Khamis Saad Mubarak Al Abdla</t>
  </si>
  <si>
    <t>Private Villa ( G + 1 )  + Compound Wall</t>
  </si>
  <si>
    <t>Wadi Al Shabak  - DUBAI</t>
  </si>
  <si>
    <t xml:space="preserve">H/M/24/24 </t>
  </si>
  <si>
    <t>H/M/188/2024</t>
  </si>
  <si>
    <t>Tax Invoice</t>
  </si>
  <si>
    <t>Sls-Inv 128/24 - AbdRhman Essa 277 -100% indoor</t>
  </si>
  <si>
    <t>Sls-Inv 129/24 - Fatma Essa 276 -100% Duct</t>
  </si>
  <si>
    <t>Sls-Inv 103/24 - Ammar 242  -100% piping wrk + exh fan /prv.pay -3150</t>
  </si>
  <si>
    <t>Sls-Inv 111/24 - Ammar 242  -Var. Grill shift</t>
  </si>
  <si>
    <t>Sls-Inv 121/24 - Shams 279 - 95% of contrct + Var Grill&amp;chng 1 unit @16000</t>
  </si>
  <si>
    <t>Col-Inv 121/24 - Shams 279 -Chq 1277</t>
  </si>
  <si>
    <t>1839</t>
  </si>
  <si>
    <t>1837</t>
  </si>
  <si>
    <t>Col-Inv 129/24-Fatma Essa 276 -Cash To Eng moh to deposit</t>
  </si>
  <si>
    <t>Col-Inv 128/24-abdrhman Essa 277 -Cash To Eng moh to deposit</t>
  </si>
  <si>
    <t>1838</t>
  </si>
  <si>
    <t xml:space="preserve">Col-Inv 103/24 + 111/24 -Ammar 242 -trnsr </t>
  </si>
  <si>
    <t>Increase Eng Moh - Pending Cash Fatama+Abdruhman essa collection</t>
  </si>
  <si>
    <t>1840</t>
  </si>
  <si>
    <t>1901</t>
  </si>
  <si>
    <t xml:space="preserve"> /1 Coll / 279 / 30/10/2024 / Col-Inv 121/24 - Shams 279 -Chq 1277 / 23940 / 1140 / Inv  Coll / 121 / 23940</t>
  </si>
  <si>
    <t xml:space="preserve"> /1 Coll / 276 / 29/10/2024 / Col-Inv 129/24-Fatma Essa 276 -Cash To Eng moh to deposit / 19320 / 920 / Inv  Coll / 129 / 19320</t>
  </si>
  <si>
    <t xml:space="preserve"> /1 Coll / 277 / 29/10/2024 / Col-Inv 128/24-abdrhman Essa 277 -Cash To Eng moh to deposit / 42525 / 2024 / Inv  Coll / 128 / 42525</t>
  </si>
  <si>
    <t xml:space="preserve"> /1 Coll / 242 / 31/10/2024 / Col-Inv 103/24 + 111/24 -Ammar 242 -trnsr  / 7718 / 368 / Inv  Coll / 103 / 7718</t>
  </si>
  <si>
    <t xml:space="preserve"> /1 Coll / 242 / 31/10/2024 / Col-Inv 103/24 + 111/24 -Ammar 242 -trnsr  / 1575 / 75 / Inv  Coll / 111 / 1575</t>
  </si>
  <si>
    <t>Pending Car Fines @ 300 AED</t>
  </si>
  <si>
    <t>Pending Car Fines @ 250 AED</t>
  </si>
  <si>
    <t>Vacation from 1-10  To  30-10</t>
  </si>
  <si>
    <t>1-Joined @ 05-10-2024   
2-(26)days salary 
3-Will Receive Cash / No Ansari</t>
  </si>
  <si>
    <t>Pending 1000 AED [Visa + Oman Visit ] 
Will be paid Cash to mr.Sijeesh</t>
  </si>
  <si>
    <t>Telecom Asst</t>
  </si>
  <si>
    <t xml:space="preserve">Heti Bt Itar Sahroni             هــاتــي سـاهـرونــي </t>
  </si>
  <si>
    <t xml:space="preserve">1-Joined @ 01-10-2024   
</t>
  </si>
  <si>
    <t>1- cut 1 day@116 //  penlty 3 times late during month 
 2- تخصم 440 درهم / مصاريف سفر عمان</t>
  </si>
  <si>
    <t>Chq A mount</t>
  </si>
  <si>
    <t>Fees</t>
  </si>
  <si>
    <t>Vat</t>
  </si>
  <si>
    <t>H/M/189/2024</t>
  </si>
  <si>
    <t>38VT014168HTMM1</t>
  </si>
  <si>
    <t>38VT016168HTMM1</t>
  </si>
  <si>
    <t>38VT020168HTMM1</t>
  </si>
  <si>
    <t>40VD056H-6S-TEE</t>
  </si>
  <si>
    <t>40VD072H-8S-TEE</t>
  </si>
  <si>
    <t>40VK018S-8S-TMME</t>
  </si>
  <si>
    <t>40VD030S-8S-TEE</t>
  </si>
  <si>
    <t>40VD036S-8S-TEE</t>
  </si>
  <si>
    <t>RBM-BT24E</t>
  </si>
  <si>
    <t>RBM-BY205E</t>
  </si>
  <si>
    <t>RBM-BY105E</t>
  </si>
  <si>
    <t>RBM-BY55E</t>
  </si>
  <si>
    <t>RBM-BY305E</t>
  </si>
  <si>
    <t>TCB-LK1401D-E</t>
  </si>
  <si>
    <t>40VCW61ASCMM</t>
  </si>
  <si>
    <t>TCB-DP40DPE</t>
  </si>
  <si>
    <t>TCB-LK2801DP-E</t>
  </si>
  <si>
    <t>H/M/190/2024</t>
  </si>
  <si>
    <t>***LPO End***</t>
  </si>
  <si>
    <t>H/M/191/2024</t>
  </si>
  <si>
    <t>H/M/192/2024</t>
  </si>
  <si>
    <t>H/M/193/2024</t>
  </si>
  <si>
    <t>AREEFA  ABDULAZIZ ESHAQ</t>
  </si>
  <si>
    <t>FTB-002DX21-24V-W</t>
  </si>
  <si>
    <t>H/M/194/2024</t>
  </si>
  <si>
    <t>Ismail Abdullrahman Ahmed-  archpix</t>
  </si>
  <si>
    <t>50TJM-18A9A1B0A0AS</t>
  </si>
  <si>
    <t>H/M/195/2024</t>
  </si>
  <si>
    <t>OMAR SULTAN Mohammad</t>
  </si>
  <si>
    <t>H/M/196/2024</t>
  </si>
  <si>
    <t>H/M/197/2024</t>
  </si>
  <si>
    <t>H/M/198/2024</t>
  </si>
  <si>
    <t>50TJM-22A9A1B0A0AS</t>
  </si>
  <si>
    <t>H/M/199/2024</t>
  </si>
  <si>
    <t>H/M/200/2024</t>
  </si>
  <si>
    <t>RASHED KHALIFA Obaid</t>
  </si>
  <si>
    <t>38CKM018-X-7</t>
  </si>
  <si>
    <t>FB4CSL018L00</t>
  </si>
  <si>
    <t>38QTD036V</t>
  </si>
  <si>
    <t>42QTD036V</t>
  </si>
  <si>
    <t>H/M/201/2024</t>
  </si>
  <si>
    <t>archpix engineering consultants</t>
  </si>
  <si>
    <t>Quotation No : -    ..</t>
  </si>
  <si>
    <t>Vow Engineering Consultants</t>
  </si>
  <si>
    <t>al rouya al motakamela engineering consultants</t>
  </si>
  <si>
    <t>Areeg Engineering Consultants</t>
  </si>
  <si>
    <t xml:space="preserve">Al Jethoor Consultant Engineers </t>
  </si>
  <si>
    <t xml:space="preserve">Al Nesba Al Dhabiah Consultant Engineers </t>
  </si>
  <si>
    <t>cancel</t>
  </si>
  <si>
    <t>Al A Wir First - DUBAI</t>
  </si>
  <si>
    <t xml:space="preserve">H/M/126 R 1/24 </t>
  </si>
  <si>
    <t xml:space="preserve">H/M/26/24 </t>
  </si>
  <si>
    <t xml:space="preserve">Advance  10 %  Of A/C Works contract </t>
  </si>
  <si>
    <t>Ali Hassan Mohamed Ali Al Shamar  -  290</t>
  </si>
  <si>
    <t xml:space="preserve">Sls Inv 122/24 Ahmed Ahli 211 - 100% contract + Var </t>
  </si>
  <si>
    <t xml:space="preserve">Sls Inv 122/24  OLD VAT *** Ahmed Ahli 211 - 100% contract + Var </t>
  </si>
  <si>
    <t>122/24</t>
  </si>
  <si>
    <t>Coll Inv 122/24 Ahmed Ahl i  211  100% cntract +Var- trnsfr</t>
  </si>
  <si>
    <t>Coll Inv 122/24 Ahmed Ahli   211  100% cntract +Var- trnsfr</t>
  </si>
  <si>
    <t>1841</t>
  </si>
  <si>
    <t>trsfr</t>
  </si>
  <si>
    <t xml:space="preserve"> /1 Coll / 211 / 31/10/2024 / Coll Inv 122/24 Ahmed Ahli   211  100% cntract +Var- trnsfr / 33439.13 / 1551.63 / Inv  Coll / 122 / 33439.13</t>
  </si>
  <si>
    <t xml:space="preserve">1-  Joined @ 05-10-2024   / Received Passport @ 6-10-2024 
2-  @400  AED to cut // ID +Taatl insurance Fine paid by mr.sijeesh 2-11-2024 </t>
  </si>
  <si>
    <t>OBAID NASSER OBAID MAHMOOD ASHOOR</t>
  </si>
  <si>
    <t>AL A WIRE FIRST - DUBAI</t>
  </si>
  <si>
    <t xml:space="preserve">H/M/23/24 </t>
  </si>
  <si>
    <t xml:space="preserve">H/M/91 R 1/24 </t>
  </si>
  <si>
    <t xml:space="preserve">Advance 20 % of A/C works contract </t>
  </si>
  <si>
    <t>Ali Hassan Mohammed Ali AlShammar</t>
  </si>
  <si>
    <t>Private Villa ( G + 1 + SB  )</t>
  </si>
  <si>
    <t>Al Khawaniij 1st– Dubai</t>
  </si>
  <si>
    <t xml:space="preserve">الخوانيج الثانيه– دبى </t>
  </si>
  <si>
    <t>Oud Mutenah 2nd  –Dubai</t>
  </si>
  <si>
    <t>khawaniij 2nd   - Dubai</t>
  </si>
  <si>
    <t>Nad Shiba 1st  - Dubai</t>
  </si>
  <si>
    <t>Mizhir 2nd –Dubai</t>
  </si>
  <si>
    <t>Awir 1st    - Dubai</t>
  </si>
  <si>
    <t>فيلا ( ارضى + اول + سطح + خدمات )</t>
  </si>
  <si>
    <t xml:space="preserve">بمنطقة  الورقاء - دبى </t>
  </si>
  <si>
    <t>(…………..)</t>
  </si>
  <si>
    <t>Khawaniij 2nd - Dubai</t>
  </si>
  <si>
    <t>Khawaneej 2nd - Dubai</t>
  </si>
  <si>
    <t>Awir 1st  - Dubai</t>
  </si>
  <si>
    <t xml:space="preserve">: Private Villa (  G + 1 + Roof ) </t>
  </si>
  <si>
    <t>: Um Nahad 3rd - Dubai</t>
  </si>
  <si>
    <t>Warqaa 4th  - Dubai</t>
  </si>
  <si>
    <t>Warqaa 4th - Dubai</t>
  </si>
  <si>
    <t>AL warqaa 3rd - Dubai</t>
  </si>
  <si>
    <t>Al Awir 1st - Dubai</t>
  </si>
  <si>
    <t>: Awir 1st - Dubai</t>
  </si>
  <si>
    <t>khawaneej 2nd - Dubai</t>
  </si>
  <si>
    <t>Warqaa 2nd - Dubai</t>
  </si>
  <si>
    <t xml:space="preserve"> Private Villa (G + 1) </t>
  </si>
  <si>
    <t xml:space="preserve">Ras Al Khaimah </t>
  </si>
  <si>
    <t>Contract Date</t>
  </si>
  <si>
    <t>LPO Date</t>
  </si>
  <si>
    <t>aa</t>
  </si>
  <si>
    <t>Lpo</t>
  </si>
  <si>
    <t>OBAID NASSER OBAID MAHMOOD ASHOOR  -  291</t>
  </si>
  <si>
    <t>H/M/202/2024</t>
  </si>
  <si>
    <t>8885 JJ</t>
  </si>
  <si>
    <t>November-24</t>
  </si>
  <si>
    <t>Faris Mohamed Faris Al Mazrouie</t>
  </si>
  <si>
    <t>فارس محمد فارس المزروعى Faris Mohamed Faris Al Mazrouie</t>
  </si>
  <si>
    <t>Al Lesaily- Dubai</t>
  </si>
  <si>
    <t xml:space="preserve">Purs. Mr.Sijeesh Oct-24 </t>
  </si>
  <si>
    <t xml:space="preserve"> /2 Exp / 211 / 31/10/2024 / Purs. Mr.Sijeesh Oct-24  / 139.5</t>
  </si>
  <si>
    <t xml:space="preserve"> /2 Exp / 225 / 31/10/2024 / Purs. Mr.Sijeesh Oct-24  / 507.15</t>
  </si>
  <si>
    <t xml:space="preserve"> /2 Exp / 230 / 31/10/2024 / Purs. Mr.Sijeesh Oct-24  / 4637.5</t>
  </si>
  <si>
    <t xml:space="preserve"> /2 Exp / 233 / 31/10/2024 / Purs. Mr.Sijeesh Oct-24  / 60.58</t>
  </si>
  <si>
    <t xml:space="preserve"> /2 Exp / 247 / 31/10/2024 / Purs. Mr.Sijeesh Oct-24  / 7143.92</t>
  </si>
  <si>
    <t xml:space="preserve"> /2 Exp / 249 / 31/10/2024 / Purs. Mr.Sijeesh Oct-24  / 2673.44</t>
  </si>
  <si>
    <t xml:space="preserve"> /2 Exp / 252 / 31/10/2024 / Purs. Mr.Sijeesh Oct-24  / 132.3</t>
  </si>
  <si>
    <t xml:space="preserve"> /2 Exp / 256 / 31/10/2024 / Purs. Mr.Sijeesh Oct-24  / 18628.14</t>
  </si>
  <si>
    <t xml:space="preserve"> /2 Exp / 257 / 31/10/2024 / Purs. Mr.Sijeesh Oct-24  / 733.43</t>
  </si>
  <si>
    <t xml:space="preserve"> /2 Exp / 258 / 31/10/2024 / Purs. Mr.Sijeesh Oct-24  / 8263.2</t>
  </si>
  <si>
    <t xml:space="preserve"> /2 Exp / 261 / 31/10/2024 / Purs. Mr.Sijeesh Oct-24  / 2517.69</t>
  </si>
  <si>
    <t xml:space="preserve"> /2 Exp / 264 / 31/10/2024 / Purs. Mr.Sijeesh Oct-24  / 4911.1</t>
  </si>
  <si>
    <t xml:space="preserve"> /2 Exp / 275 / 31/10/2024 / Purs. Mr.Sijeesh Oct-24  / 2818.48</t>
  </si>
  <si>
    <t xml:space="preserve"> /2 Exp / 276 / 31/10/2024 / Purs. Mr.Sijeesh Oct-24  / 266</t>
  </si>
  <si>
    <t xml:space="preserve"> /2 Exp / 277 / 31/10/2024 / Purs. Mr.Sijeesh Oct-24  / 5165</t>
  </si>
  <si>
    <t xml:space="preserve"> /2 Exp / 279 / 31/10/2024 / Purs. Mr.Sijeesh Oct-24  / 4564.13</t>
  </si>
  <si>
    <t xml:space="preserve"> /2 Exp / 282 / 31/10/2024 / Purs. Mr.Sijeesh Oct-24  / 206.98</t>
  </si>
  <si>
    <t xml:space="preserve"> /2 Exp / 286 / 31/10/2024 / Purs. Mr.Sijeesh Oct-24  / 51.53</t>
  </si>
  <si>
    <t>55135</t>
  </si>
  <si>
    <t>Pur. Ducts -Sup Winner ac - Hessa 225  lpo 183/24</t>
  </si>
  <si>
    <t>Pur. Ducts Lover -Sup Winner ac - Hessa 225  lpo 184/24</t>
  </si>
  <si>
    <t>55136</t>
  </si>
  <si>
    <t>Pay. Sup Winner ac /inv 55135+55136 Hessa 225 -chq</t>
  </si>
  <si>
    <t>1902</t>
  </si>
  <si>
    <t>Pay. Sup Winner ac /inv 55135Hessa 225 - lpo 183/24</t>
  </si>
  <si>
    <t>Pay. Sup Winner ac /inv 55136Hessa 225 - lpo 184/24</t>
  </si>
  <si>
    <t xml:space="preserve"> /2 Exp / 225 / 23/10/2024 / Pur. Ducts -Sup Winner ac - Hessa 225  lpo 183/24 / 4299.96</t>
  </si>
  <si>
    <t xml:space="preserve"> /2 Exp / 225 / 23/10/2024 / Pur. Ducts Lover -Sup Winner ac - Hessa 225  lpo 184/24 / 462</t>
  </si>
  <si>
    <t>[Inv.55135 Val= 4300][Chq. Val= 4300]</t>
  </si>
  <si>
    <t>[Inv.55136 Val= 462][Chq. Val= 462]</t>
  </si>
  <si>
    <t>Sls Inv 130/24 Ali Hassan 290 / Advance 10 %</t>
  </si>
  <si>
    <t>130/24</t>
  </si>
  <si>
    <t>id 6= pur. Exp  7= coll                   ++ slsinv 7= coll</t>
  </si>
  <si>
    <t>Sls Inv 131/24 Obaid Nasser 291 / Advance 20 %</t>
  </si>
  <si>
    <t>Sls Inv 130/24 Ali Hassan 290 / Advance 10 %   trnsfr</t>
  </si>
  <si>
    <t>131/24</t>
  </si>
  <si>
    <t>1843</t>
  </si>
  <si>
    <t>Coll Inv 131/24 Obaid nasser 291 - Adnvnc 20% cash to eng moh</t>
  </si>
  <si>
    <t xml:space="preserve">Coll Inv 130/24 Ali Hassan 290- Advc 10 % - trsnfr </t>
  </si>
  <si>
    <t>1842</t>
  </si>
  <si>
    <t xml:space="preserve"> /1 Coll / 290 / 4/11/2024 / Coll Inv 130/24 Ali Hassan 290- Advc 10 % - trsnfr  / 14175 /  / Inv  Coll / 130 / 14175 /1 Coll / 290 / 4/11/2024 / Coll Inv 130/24 Ali Hassan 290- Advc 10 % - trsnfr  / 14175 / 675 / Inv  Coll / 130 / 14175</t>
  </si>
  <si>
    <t xml:space="preserve"> /1 Coll / 291 / 4/11/2024 / Coll Inv 131/24 Obaid nasser 291 - Adnvnc 20% cash to eng moh / 35700 /  / Inv  Coll / 131 / 35700 /1 Coll / 291 / 4/11/2024 / Coll Inv 131/24 Obaid nasser 291 - Adnvnc 20% cash to eng moh / 35700 / 1700 / Inv  Coll / 131 / 35700</t>
  </si>
  <si>
    <t>Security Chq no 744 Acc NDB 701-Retention -Ahamed Ghanim 211 /31-10-2025</t>
  </si>
  <si>
    <t>Increase mr.Sijeesh  / Cash in office by eng moh - Recored At Sij oct-24</t>
  </si>
  <si>
    <t>1904</t>
  </si>
  <si>
    <t>G:\Other computers\My Laptop\NEW ALHAZAM\SIJEESH\2024\SIJEESH November.xlsx</t>
  </si>
  <si>
    <t>salary Oct-24 / chq 959 @31-10-24 to ansari salary</t>
  </si>
  <si>
    <t>Fees salary Oct-24 / chq 959 @31-10-24 to ansari salary</t>
  </si>
  <si>
    <t>Vat salary Oct-24 / chq 959 @31-10-24 to ansari salary</t>
  </si>
  <si>
    <t>1903</t>
  </si>
  <si>
    <t>Pur Inv MACS /Rashed 264  lpo 185/24</t>
  </si>
  <si>
    <t>2408710</t>
  </si>
  <si>
    <t>Pur Inv MACS Fatma essa  276  lpo 188/24</t>
  </si>
  <si>
    <t>2408799</t>
  </si>
  <si>
    <t xml:space="preserve"> /2 Exp / 264 / 28/10/2024 / Pur Inv MACS /Rashed 264  lpo 185/24 / 6760</t>
  </si>
  <si>
    <t xml:space="preserve"> /2 Exp / 276 / 1/11/2024 / Pur Inv MACS Fatma essa  276  lpo 188/24 / 3881.54</t>
  </si>
  <si>
    <t>G:\Other computers\My Laptop\NEW ALHAZAM\PAYMENTS\2024\CHEQUES PAYMENT October 2024 .xlsx</t>
  </si>
  <si>
    <t>H/M/203/2024</t>
  </si>
  <si>
    <t>9004 JJ</t>
  </si>
  <si>
    <t>Pre Fabricated GI Duct 0.56 Gg</t>
  </si>
  <si>
    <t>Pre Fabricated GI Duct 0.7 MM</t>
  </si>
  <si>
    <t>***LPO End ***</t>
  </si>
  <si>
    <t>Water for office / Sij exp Oct-24</t>
  </si>
  <si>
    <t xml:space="preserve">Coffee for office + Suger </t>
  </si>
  <si>
    <t xml:space="preserve">Reharge Office Mobile @9-24  </t>
  </si>
  <si>
    <t>Recharge Mr.ahmed Mobile oct -24</t>
  </si>
  <si>
    <t>Parkinh Ticktes 5  * 2</t>
  </si>
  <si>
    <t>Petrol for wrok  19 ltr</t>
  </si>
  <si>
    <t>Recharge Mr.ahmed sec phone  Mobile oct -24</t>
  </si>
  <si>
    <t>Tissue +others for office</t>
  </si>
  <si>
    <t xml:space="preserve">Plastik Bag for office </t>
  </si>
  <si>
    <t xml:space="preserve">Coffee for office by Ahmed </t>
  </si>
  <si>
    <t xml:space="preserve">Car Wash 71983 </t>
  </si>
  <si>
    <t xml:space="preserve">Car Wash + oil change  84130 </t>
  </si>
  <si>
    <t xml:space="preserve">Car Wash 35875 </t>
  </si>
  <si>
    <t xml:space="preserve">Car Towing  84130 </t>
  </si>
  <si>
    <t xml:space="preserve">Car Wash 7193 </t>
  </si>
  <si>
    <t xml:space="preserve">Car puncture  84130 </t>
  </si>
  <si>
    <t xml:space="preserve">car spares / buch / </t>
  </si>
  <si>
    <t xml:space="preserve">Car puncture  71983 </t>
  </si>
  <si>
    <t>Husing / Mr. Rajesh  Room Nov-2024</t>
  </si>
  <si>
    <t>Salary Cash / Tufayel Ahmed Month Oct -24</t>
  </si>
  <si>
    <t xml:space="preserve">Safety Jecket + others </t>
  </si>
  <si>
    <t xml:space="preserve">Safety choes </t>
  </si>
  <si>
    <t xml:space="preserve">Small Tools VMA + VST </t>
  </si>
  <si>
    <t>Small Tools  Accetelyne</t>
  </si>
  <si>
    <t>Small Tools  hammer drill</t>
  </si>
  <si>
    <t>Small Tools  Kamtech</t>
  </si>
  <si>
    <t>Reachge Rajeesh Phone oct /24</t>
  </si>
  <si>
    <t>Phone install ment mr.sijeesh</t>
  </si>
  <si>
    <t>Office Exp . Mr.Sij oct-2024</t>
  </si>
  <si>
    <t xml:space="preserve">Commission For - Areeg / Pro Obaid Naser 291 </t>
  </si>
  <si>
    <t>Commission For - Areeg / Pro Ali Nasser 290</t>
  </si>
  <si>
    <t>Office LandLine +Internet Bill Oct-24</t>
  </si>
  <si>
    <t>Bill Office LandLine +Internet Bill Oct-24</t>
  </si>
  <si>
    <t>Payment / Office LandLine +Internet Bill Oct-24</t>
  </si>
  <si>
    <t>Sij-Oct24</t>
  </si>
  <si>
    <t xml:space="preserve">أصناف لم تصل من كارير ... وتم دفعها </t>
  </si>
  <si>
    <t>***LPO END***</t>
  </si>
  <si>
    <t>H/M/204/2024</t>
  </si>
  <si>
    <t>Areeg Engineering consultants</t>
  </si>
  <si>
    <t>H/M/205/2024</t>
  </si>
  <si>
    <t>9034 JJ</t>
  </si>
  <si>
    <t>H/M/206/2024</t>
  </si>
  <si>
    <t>Pre Fabricated Gi Duct  0.7 MM</t>
  </si>
  <si>
    <t>Var 10000 change family hall unit  + 12000 Slor grill 24 tons</t>
  </si>
  <si>
    <t>var later 22000 RASHED KHALIFA Obaid</t>
  </si>
  <si>
    <t>Pay-Carrier Lpo 191/24 Fatama Essa 276</t>
  </si>
  <si>
    <t>1906</t>
  </si>
  <si>
    <t>Pay-Carrier Lpo 190/24 andurhman essa 277</t>
  </si>
  <si>
    <t>1907</t>
  </si>
  <si>
    <t>Pay-Carrier Lpo 25/24 Hessa 225</t>
  </si>
  <si>
    <t>1908</t>
  </si>
  <si>
    <t>H/M/25/2024</t>
  </si>
  <si>
    <t xml:space="preserve"> / LPO Chq paid /  / LPO Chq paid / </t>
  </si>
  <si>
    <t>1844</t>
  </si>
  <si>
    <t xml:space="preserve">Inv Oct-24 /Enco -Petrol expenses </t>
  </si>
  <si>
    <t xml:space="preserve">Office Equipments - Refrigerator mini bar for office </t>
  </si>
  <si>
    <t xml:space="preserve">Purs.Carrier Lpo 138/24 Shams 279 </t>
  </si>
  <si>
    <t>3160150397</t>
  </si>
  <si>
    <t xml:space="preserve"> /2 Exp / 279 / 16/10/2024 / Purs.Carrier Lpo 138/24 Shams 279  / 20244</t>
  </si>
  <si>
    <t>\3160147125 val = 18957 [3160147211 Val= 8295][3160147738 Val= 3622.5][Chq. Val= 20244][Inv.3160150397 Val= 20244]</t>
  </si>
  <si>
    <t>APPROVED MANUFACTURES / SUPPLIERS</t>
  </si>
  <si>
    <t>MATERIAL DESCRIPTION</t>
  </si>
  <si>
    <t>BRAND</t>
  </si>
  <si>
    <t>COUNTRY OF ORGIN</t>
  </si>
  <si>
    <t>NOTES</t>
  </si>
  <si>
    <t>AC UNITS</t>
  </si>
  <si>
    <t>MEXICO/MEXICO</t>
  </si>
  <si>
    <t>ASMA Approval</t>
  </si>
  <si>
    <t>OGENERAL</t>
  </si>
  <si>
    <t>THAILAND</t>
  </si>
  <si>
    <t>GRILLS &amp; DIFFUSERS</t>
  </si>
  <si>
    <t>UAE</t>
  </si>
  <si>
    <t>as per consultant approval</t>
  </si>
  <si>
    <t>TECHNALCO</t>
  </si>
  <si>
    <t>Best Choice</t>
  </si>
  <si>
    <t>EXTRACT FANS</t>
  </si>
  <si>
    <t>S&amp;P</t>
  </si>
  <si>
    <t>SPAIN</t>
  </si>
  <si>
    <t>GI METAL DUCT</t>
  </si>
  <si>
    <t>JINDAL</t>
  </si>
  <si>
    <t>INDIA</t>
  </si>
  <si>
    <t>GHURAIR</t>
  </si>
  <si>
    <t>DUCT INSULATION</t>
  </si>
  <si>
    <t>AERO FOAM 0.5”</t>
  </si>
  <si>
    <t>DCL Approval</t>
  </si>
  <si>
    <t xml:space="preserve">KIMMCO </t>
  </si>
  <si>
    <t>KUWAIT</t>
  </si>
  <si>
    <t>ACOUSTIC LINING</t>
  </si>
  <si>
    <t>KIMMCO</t>
  </si>
  <si>
    <t>REFRIGERATION PIPE INSULATION</t>
  </si>
  <si>
    <t>GULF O FLEX</t>
  </si>
  <si>
    <t>COPPER PIPES &amp; FITTINGS</t>
  </si>
  <si>
    <t>TROX ( STD )</t>
  </si>
  <si>
    <t>KOREA</t>
  </si>
  <si>
    <t>Standard</t>
  </si>
  <si>
    <t>MAKSAL ( STD )</t>
  </si>
  <si>
    <t>SOUTH AFRICA</t>
  </si>
  <si>
    <t>WIRE</t>
  </si>
  <si>
    <t>DUCAB</t>
  </si>
  <si>
    <t>Dewa Approval</t>
  </si>
  <si>
    <t>OMAN</t>
  </si>
  <si>
    <t>K FLEX</t>
  </si>
  <si>
    <t>ARMACELL</t>
  </si>
  <si>
    <t>HINDALCO</t>
  </si>
  <si>
    <t>Aluminum Cladding</t>
  </si>
  <si>
    <t>Ecology unit</t>
  </si>
  <si>
    <t xml:space="preserve">Trosten </t>
  </si>
  <si>
    <t>Fresh Air Handling Units</t>
  </si>
  <si>
    <t>CHINA</t>
  </si>
  <si>
    <t>RydAir</t>
  </si>
  <si>
    <t xml:space="preserve"> Rashed Khalifa Obaid Humaid Al Falasi  -  264</t>
  </si>
  <si>
    <t xml:space="preserve">contract 26  at mr.moh computer home </t>
  </si>
  <si>
    <t>Meshal Mohammad Saqer Ismail Harqoos  -  275</t>
  </si>
  <si>
    <t xml:space="preserve"> change grill bed room 1st floor / approved @ 1500 Drh  //  change grill bed room No 2  1st floor / approved @ 1500 Drh // change the machine on the kitchen from Wall mounted  // 
(2.0 tons *2) to Cassette Unit ( 4 tons )  @3000 // Contioun Grill  @6000  // Carrir price increase 7-2024    @ 45000</t>
  </si>
  <si>
    <t xml:space="preserve"> Variation works : change grill [ bed room No 2  1st floor ]</t>
  </si>
  <si>
    <t>يوجد عقد ب 125 الف خاص بالعميل //   Will be paid by meshal himself  Varation Aproved by 9550 AED @8-10-2024</t>
  </si>
  <si>
    <t>pre insulated Ducted as per specifications</t>
  </si>
  <si>
    <t xml:space="preserve"> Before Delivery</t>
  </si>
  <si>
    <t xml:space="preserve">Grill and Diffuse </t>
  </si>
  <si>
    <t>ISMAIL MOHAMMAD ISMAIL ABDULGHAFOOR ALTAMIMI</t>
  </si>
  <si>
    <t xml:space="preserve">Private Villa (G + 1 + SB ) </t>
  </si>
  <si>
    <t>UMM NAHAD THIRD- DUBAI</t>
  </si>
  <si>
    <t xml:space="preserve">H/M/27/24 </t>
  </si>
  <si>
    <t xml:space="preserve">H/M/23 R 2 /24 </t>
  </si>
  <si>
    <t>A/C works - 100% of indoor units - 30% of contract</t>
  </si>
  <si>
    <t xml:space="preserve">50 % of Advance Value (47,250 AED ) - A/C works </t>
  </si>
  <si>
    <t>Tax  Invoice</t>
  </si>
  <si>
    <t>ISMAIL MOHAMMAD ISMAIL ABDULGHAFOOR ALTAMIMI  -  292</t>
  </si>
  <si>
    <t xml:space="preserve">united electronics co. llc. (mitsubishi electric) </t>
  </si>
  <si>
    <t>V458</t>
  </si>
  <si>
    <t>Dubai - Office  P.O. Box : 13751</t>
  </si>
  <si>
    <t>Mr.Ayed  0503814930</t>
  </si>
  <si>
    <t>Federal  Youth  Authority</t>
  </si>
  <si>
    <t>Sport Hall - Sharjah Youth Center</t>
  </si>
  <si>
    <t>Sharjah</t>
  </si>
  <si>
    <t>H/M/28/24</t>
  </si>
  <si>
    <t xml:space="preserve">H/M/125 R /24 </t>
  </si>
  <si>
    <t>H/M/207/2024</t>
  </si>
  <si>
    <t>H/M/208/2024</t>
  </si>
  <si>
    <t>24SQD-0667</t>
  </si>
  <si>
    <t>PEY-P30/SUY-ZP30       -Duct Split</t>
  </si>
  <si>
    <t>FACP-CH30                      -Packaged Unit</t>
  </si>
  <si>
    <t>unitcodb@emirates.net.ae</t>
  </si>
  <si>
    <t>Federal  Youth  Authority  - Sharjah</t>
  </si>
  <si>
    <t>Federal  Youth  Authority -Sharjah</t>
  </si>
  <si>
    <t xml:space="preserve">Off. Supplies Cups + Garabage Bags   </t>
  </si>
  <si>
    <t xml:space="preserve">Dewa- Oct 24 Bill Office </t>
  </si>
  <si>
    <t>Duct Inv - BestChoice -lpo 187/24 Naeema 257</t>
  </si>
  <si>
    <t>9</t>
  </si>
  <si>
    <t>102100173714</t>
  </si>
  <si>
    <t>0050759</t>
  </si>
  <si>
    <t xml:space="preserve"> /2 Exp / 257 / 9/11/2024 / Duct Inv - BestChoice -lpo 187/24 Naeema 257 / 6200.64</t>
  </si>
  <si>
    <t xml:space="preserve">Purs- Carrier Lpo 191/24 Fatama Essa 276 </t>
  </si>
  <si>
    <t>3160151472</t>
  </si>
  <si>
    <t xml:space="preserve"> /2 Exp / 276 / 14/11/2024 / Purs- Carrier Lpo 191/24 Fatama Essa 276  / 19713.75</t>
  </si>
  <si>
    <t>Purs-Carrier Lpo 190/24 andurhman essa 277</t>
  </si>
  <si>
    <t>3160151474</t>
  </si>
  <si>
    <t xml:space="preserve"> /2 Exp / 277 / 14/11/2024 / Purs-Carrier Lpo 190/24 andurhman essa 277 / 28182</t>
  </si>
  <si>
    <t>[Chq. Val= 28182][Inv.3160151474 Val= 28182]</t>
  </si>
  <si>
    <t>[Chq. Val= 19714][Inv.3160151472 Val= 19713.75]</t>
  </si>
  <si>
    <t>Housing Renew - Labors G1 From 25-11-2024 To 24/11/2025-Chq1 966</t>
  </si>
  <si>
    <t>Housing Renew - Labors G1 From 25-11-2024 To 24/11/2025-Chq2 965</t>
  </si>
  <si>
    <t>Housing Renew - Labors G1 From 25-11-2024 To 24/11/2025-Chq3 964</t>
  </si>
  <si>
    <t>Housing Renew - Labors G1 From 25-11-2024 To 24/11/2025-Chq4 963</t>
  </si>
  <si>
    <t>1909</t>
  </si>
  <si>
    <t>Sls- Inv 135/24 Fatama 276  - 30% of contract - Indoor</t>
  </si>
  <si>
    <t>135</t>
  </si>
  <si>
    <t>Coll. Inv 135/24 Fatama 276 -Cash  // Increase mr.Sijeesh 15000 + Bnk 13900 + Engmoh 80</t>
  </si>
  <si>
    <t>1846</t>
  </si>
  <si>
    <t xml:space="preserve"> /1 Coll / 276 / 14/11/2024 / Coll. Inv 135/24 Fatama 276 -Cash  // Increase mr.Sijeesh 15000 + Bnk 13900 + Engmoh 80 / 28980 /  / Inv  Coll / 135 / 28980 /1 Coll / 276 / 14/11/2024 / Coll. Inv 135/24 Fatama 276 -Cash  // Increase mr.Sijeesh 15000 + Bnk 13900 + Engmoh 80 / 28980 / 1380 / Inv  Coll / 135 / 28980</t>
  </si>
  <si>
    <t xml:space="preserve">Sls-Inv 117/24 -Maintenance Dr Ibtsam </t>
  </si>
  <si>
    <t>117</t>
  </si>
  <si>
    <t>Coll.Inv 117 /24 MainTenance Dr.Ibtsam / Cash By Mr.Sij inform by Phone</t>
  </si>
  <si>
    <t>1845</t>
  </si>
  <si>
    <t>Sls-Inv 124/24 -Hussan Ali Butti 288 - Advnc 20% = 15750 AED</t>
  </si>
  <si>
    <t>124</t>
  </si>
  <si>
    <t>Coll-Inv 114/24 Hussien Butti @15750 AED / Pending 5750 AED at 30/11/24</t>
  </si>
  <si>
    <t>Pending 5750 @30/11</t>
  </si>
  <si>
    <t xml:space="preserve"> /1 Coll / 288 / 10/11/2024 / Coll-Inv 114/24 Hussien Butti @15750 AED / Pending 5750 AED at 30/11/24 / 10000 /  / Inv  Coll / 124 / 10000</t>
  </si>
  <si>
    <r>
      <t xml:space="preserve">Coll-Inv 114/24 Hussien Butti @15750 AED / </t>
    </r>
    <r>
      <rPr>
        <b/>
        <sz val="10"/>
        <color rgb="FFFF0000"/>
        <rFont val="Calibri"/>
        <family val="2"/>
        <scheme val="minor"/>
      </rPr>
      <t>Pending</t>
    </r>
    <r>
      <rPr>
        <sz val="8"/>
        <color rgb="FF000000"/>
        <rFont val="Calibri"/>
        <family val="2"/>
        <scheme val="minor"/>
      </rPr>
      <t xml:space="preserve"> 5750 AED at 30/11/24</t>
    </r>
  </si>
  <si>
    <t>Recharge Enoc Acc - Eng.Moh / 12-11</t>
  </si>
  <si>
    <t>7810</t>
  </si>
  <si>
    <t xml:space="preserve">عقد ايجار سكن العمال الجديد / سجيش </t>
  </si>
  <si>
    <t>Sum Of Collection</t>
  </si>
  <si>
    <t>Collection %</t>
  </si>
  <si>
    <t xml:space="preserve">ABDULLAH . EBTESAM    </t>
  </si>
  <si>
    <r>
      <rPr>
        <b/>
        <i/>
        <u/>
        <sz val="16"/>
        <color rgb="FFFFC000"/>
        <rFont val="Bell MT"/>
        <family val="1"/>
      </rPr>
      <t>Advance</t>
    </r>
    <r>
      <rPr>
        <b/>
        <i/>
        <sz val="16"/>
        <color theme="5" tint="0.59999389629810485"/>
        <rFont val="Bell MT"/>
        <family val="1"/>
      </rPr>
      <t xml:space="preserve"> Payment Only</t>
    </r>
  </si>
  <si>
    <t>sum coll No Vat</t>
  </si>
  <si>
    <t xml:space="preserve">Purs. Carrier -Lpo 25/2024 Hessa </t>
  </si>
  <si>
    <t>3160151508</t>
  </si>
  <si>
    <t xml:space="preserve"> /2 Exp / 225 / 15/11/2024 / Purs. Carrier -Lpo 25/2024 Hessa  / 22155</t>
  </si>
  <si>
    <t xml:space="preserve"> 24-9-2024 trsnfer pending blnc 63 AED to LPO 78/2023 adnan 256 [Chq. Val= 22156][Inv.3160151508 Val= 22155]</t>
  </si>
  <si>
    <t xml:space="preserve">Phone Bill / Mr. Sijeesh Mobile 8289 - Oct   2024  @ 372.78 AED </t>
  </si>
  <si>
    <t>Net Bill / Mr.Sijeesh housing no 20341 - Oct 2024 @ 261.45</t>
  </si>
  <si>
    <t>1935628044</t>
  </si>
  <si>
    <t>1939378662</t>
  </si>
  <si>
    <t xml:space="preserve"> Um Nahad 3 </t>
  </si>
  <si>
    <t>H/M/209/2024</t>
  </si>
  <si>
    <t>9153 JJ</t>
  </si>
  <si>
    <t>***Lpo End***</t>
  </si>
  <si>
    <t>Sls-Inv 112/24 Shihab - Ertikaz  100% of contract</t>
  </si>
  <si>
    <t>112/24</t>
  </si>
  <si>
    <t>Sls-Inv 114/2024 Abdullah Ghuloom 219 Eritkaz -  100% contrct</t>
  </si>
  <si>
    <t xml:space="preserve">Sls-Inv 76/24 Abdullah Mulla -Erikaz </t>
  </si>
  <si>
    <t>Sls-Inv 134/24 Ammar 242 - Variation -grill room2 1st floor</t>
  </si>
  <si>
    <t xml:space="preserve">Coll. Inv 134/24 Ammar 242 -Varit grill room2 1st flor </t>
  </si>
  <si>
    <t>114/24</t>
  </si>
  <si>
    <t>76/24</t>
  </si>
  <si>
    <t>134/24</t>
  </si>
  <si>
    <t>1850</t>
  </si>
  <si>
    <t>Coll.Inv 76/24 Abdullah Mulla 247- Erikaz</t>
  </si>
  <si>
    <t>1847</t>
  </si>
  <si>
    <t>Coll.Inv 114/24 Abdula Ghloum &amp; 112/24 shihab ahmd 243/Ertikaz</t>
  </si>
  <si>
    <t>abdullah Ghuloom ertikaz</t>
  </si>
  <si>
    <t xml:space="preserve">Coll.Inv 114/24 Abdula Ghloum 219 </t>
  </si>
  <si>
    <t>Coll.Inv 112/24 shihab ahmd 243/Ertikaz</t>
  </si>
  <si>
    <t>1849</t>
  </si>
  <si>
    <t>1848</t>
  </si>
  <si>
    <t>Security Chq no 745  Acc NDB 701-advnc -Federal authory proj 293  /refund after supply ac</t>
  </si>
  <si>
    <t xml:space="preserve"> /1 Coll / 242 / 18/11/2024 / Coll. Inv 134/24 Ammar 242 -Varit grill room2 1st flor  / 2100 / 100 / Inv  Coll / H/M/134/2024 / 2100 /1 Coll / 242 / 18/11/2024 / Coll. Inv 134/24 Ammar 242 -Varit grill room2 1st flor  / 2100 / 100 /1 Coll / 242 / 18/11/2024 / Coll. Inv 134/24 Ammar 242 -Varit grill room2 1st flor  / 2100 / 100 / Inv  Coll / 134 / 2100</t>
  </si>
  <si>
    <t xml:space="preserve"> /1 Coll / 247 / 18/11/2024 / Coll.Inv 76/24 Abdullah Mulla 247- Erikaz / 67200 / 3200 / Inv  Coll / H/M/76/2024 / 67200 /1 Coll / 247 / 18/11/2024 / Coll.Inv 76/24 Abdullah Mulla 247- Erikaz / 67200 / 3200 / Inv  Coll / 76 / 67200</t>
  </si>
  <si>
    <t xml:space="preserve"> /1 Coll / 218 / 18/11/2024 / Coll.Inv 114/24 Abdula Ghloum 219  / 7087.5 / 337.5 / Inv  Coll / H/M/114/2024 / 7087.5 /1 Coll / 218 / 18/11/2024 / Coll.Inv 114/24 Abdula Ghloum 219  / 7087.5 / 337.5 / Inv  Coll / 114 / 7087.5</t>
  </si>
  <si>
    <t xml:space="preserve"> /1 Coll / 243 / 18/11/2024 / Coll.Inv 112/24 shihab ahmd 243/Ertikaz / 11629.8 / 553.8 / Inv  Coll / H/M/112/2024 / 11629.8 /1 Coll / 243 / 18/11/2024 / Coll.Inv 112/24 shihab ahmd 243/Ertikaz / 11629.8 / 553.8 / Inv  Coll / 112 / 11629.8</t>
  </si>
  <si>
    <t>come</t>
  </si>
  <si>
    <t xml:space="preserve">Ertikaz // other contr by 136000 with constructor </t>
  </si>
  <si>
    <t>MS-GS24/MU-GS24       -Duct Split</t>
  </si>
  <si>
    <t xml:space="preserve">P.O.NO.   </t>
  </si>
  <si>
    <t>H/M/210/2024</t>
  </si>
  <si>
    <t>9187 JJ</t>
  </si>
  <si>
    <t>Contract Advance 80% - Sharjah Youth Center</t>
  </si>
  <si>
    <t>Federal  Youth  Authority  - Sharjah  -  293</t>
  </si>
  <si>
    <t>Sls-Inv 137/24 Fedeal Auth. Sharjah center 293 -advance 80%</t>
  </si>
  <si>
    <t>Coll-Inv 137/24 Fedeal Auth. Sharjah center 293 -VAT NOT PAID</t>
  </si>
  <si>
    <t>1851</t>
  </si>
  <si>
    <t xml:space="preserve">Sls-Inv 132/24 Rashed Obaid 264 -Indoor </t>
  </si>
  <si>
    <t>137/24</t>
  </si>
  <si>
    <t>132/24</t>
  </si>
  <si>
    <t xml:space="preserve">Coll-Inv 132/24 Rashed Obaid 264 -Indoor </t>
  </si>
  <si>
    <t>1852</t>
  </si>
  <si>
    <t xml:space="preserve"> /1 Coll / 293 / 19/11/2024 / Coll-Inv 137/24 Fedeal Auth. Sharjah center 293 -VAT NOT PAID / 328000 /  / Inv  Coll / 137 / 328000</t>
  </si>
  <si>
    <t xml:space="preserve"> /1 Coll / 264 / 19/11/2024 / Coll-Inv 132/24 Rashed Obaid 264 -Indoor  / 81900 / 3900 / Inv  Coll / 132 / 81900</t>
  </si>
  <si>
    <t xml:space="preserve">Sls-Inv 136-24 Ismail Mohamed 292 - 50% of Advance </t>
  </si>
  <si>
    <t>136/24</t>
  </si>
  <si>
    <t xml:space="preserve">Coll-Inv 136-24 Ismail Mohamed 292 - 50% of Advance </t>
  </si>
  <si>
    <t>1853</t>
  </si>
  <si>
    <t xml:space="preserve">Commission - Areeg - Pro 292 Ismail Mohamed </t>
  </si>
  <si>
    <t xml:space="preserve"> /1 Coll / 292 / 19/11/2024 / Coll-Inv 136-24 Ismail Mohamed 292 - 50% of Advance  / 23625 / 1125 / Inv  Coll / 136 / 23625</t>
  </si>
  <si>
    <t xml:space="preserve"> /2 Exp / 292 / 19/11/2024 / Commission - Areeg - Pro 292 Ismail Mohamed  / 10500</t>
  </si>
  <si>
    <t>1910</t>
  </si>
  <si>
    <t xml:space="preserve">Pay.Chq 967 -United Electrontic -lpo 208/24 For A/c pro 293 Federal Auth </t>
  </si>
  <si>
    <t xml:space="preserve">Pay chq 971 -Carr - Lpo 200/24 rashed 264 </t>
  </si>
  <si>
    <t>1911</t>
  </si>
  <si>
    <t>H/M/211/2024</t>
  </si>
  <si>
    <t>EAL + WM             15cm x 20cm</t>
  </si>
  <si>
    <t>EAL + WM             15cm x 16cm</t>
  </si>
  <si>
    <t>EAL + WM             20cm x 15cm</t>
  </si>
  <si>
    <t>EAL + WM             21cm x 15cm</t>
  </si>
  <si>
    <t>EAL + WM             20cm x 20cm</t>
  </si>
  <si>
    <t>H/M/212/2024</t>
  </si>
  <si>
    <t>RAG   DD    1600mm x 600 mm</t>
  </si>
  <si>
    <t>adnan varation hidden grill 6000</t>
  </si>
  <si>
    <t/>
  </si>
  <si>
    <t>[Chq. Val= 221130]</t>
  </si>
  <si>
    <t>H/M/213/2024</t>
  </si>
  <si>
    <t>9198 JJ</t>
  </si>
  <si>
    <t xml:space="preserve">Maintenance - General </t>
  </si>
  <si>
    <t xml:space="preserve"> / Inv  Coll / 117 / 2625 /1 Coll / 294 / 11/11/2024 / Coll.Inv 117 /24 MainTenance Dr.Ibtsam / Cash By Mr.Sij inform by Phone / 2625 / 125 / Inv  Coll / 117 / 2625</t>
  </si>
  <si>
    <t>security chq letter federal authority</t>
  </si>
  <si>
    <t>Pur. Bab Tabreed - lpo 177/24 adnana 256</t>
  </si>
  <si>
    <t>15846</t>
  </si>
  <si>
    <t xml:space="preserve"> /2 Exp / 256 / 7/10/2024 / Pur. Bab Tabreed - lpo 177/24 adnana 256 / 473.86 /2 Exp / 256 / 7/10/2024 / Pur. Bab Tabreed - lpo 177/24 adnana 256 / 452.31</t>
  </si>
  <si>
    <t xml:space="preserve"> /LPO Inv Received /  /LPO Inv Received / </t>
  </si>
  <si>
    <t>Pur. Bab Tabreed - lpo 181/24 adnana 256</t>
  </si>
  <si>
    <t>15893</t>
  </si>
  <si>
    <t>15963</t>
  </si>
  <si>
    <t>Pur. Bab Tabreed - lpo 180/24 Fares Villa230</t>
  </si>
  <si>
    <t>Pur. Bab Tabreed - lpo 175/24 meshal saqer 275</t>
  </si>
  <si>
    <t>15724</t>
  </si>
  <si>
    <t>Pur. Bab Tabreed - lpo 182/24 adnan 256</t>
  </si>
  <si>
    <t>15990</t>
  </si>
  <si>
    <t>Pur. Bab Tabreed - lpo 186/24 aabdulla mulla 247</t>
  </si>
  <si>
    <t>16168</t>
  </si>
  <si>
    <t>Pur. Bab Tabreed - lpo 202/24 rashed obaid 264</t>
  </si>
  <si>
    <t>16225</t>
  </si>
  <si>
    <t>Pur. Bab Tabreed - lpo 176/24 majid shihe 258</t>
  </si>
  <si>
    <t>15817</t>
  </si>
  <si>
    <t xml:space="preserve"> /2 Exp / 256 / 9/10/2024 / Pur. Bab Tabreed - lpo 181/24 adnana 256 / 178.73</t>
  </si>
  <si>
    <t xml:space="preserve"> /2 Exp / 230 / 9/10/2024 / Pur. Bab Tabreed - lpo 180/24 Fares Villa230 / 2043.97</t>
  </si>
  <si>
    <t xml:space="preserve"> /2 Exp / 275 / 1/10/2024 / Pur. Bab Tabreed - lpo 175/24 meshal saqer 275 / 1386.47</t>
  </si>
  <si>
    <t xml:space="preserve"> /2 Exp / 256 / 17/10/2024 / Pur. Bab Tabreed - lpo 182/24 adnan 256 / 141.37</t>
  </si>
  <si>
    <t xml:space="preserve"> /2 Exp / 247 / 28/10/2024 / Pur. Bab Tabreed - lpo 186/24 aabdulla mulla 247 / 1569.96</t>
  </si>
  <si>
    <t xml:space="preserve"> /2 Exp / 264 / 30/10/2024 / Pur. Bab Tabreed - lpo 202/24 rashed obaid 264 / 1004.96</t>
  </si>
  <si>
    <t xml:space="preserve"> /2 Exp / 258 / 5/10/2024 / Pur. Bab Tabreed - lpo 176/24 majid shihe 258 / 1163.3</t>
  </si>
  <si>
    <t>1913</t>
  </si>
  <si>
    <t>Pay. Chq 969- Bab Tabreed - lpo 177/24 adnana 256</t>
  </si>
  <si>
    <t>Pay. Chq 969- Bab Tabreed - lpo 181/24 adnana 256</t>
  </si>
  <si>
    <t>Pay. Chq 969- Bab Tabreed - lpo 180/24 Fares Villa230</t>
  </si>
  <si>
    <t>Pay. Chq 969- Bab Tabreed - lpo 175/24 meshal saqer 275</t>
  </si>
  <si>
    <t>Pay. Chq 969- Bab Tabreed - lpo 182/24 adnan 256</t>
  </si>
  <si>
    <t>Pay. Chq 969- Bab Tabreed - lpo 186/24 aabdulla mulla 247</t>
  </si>
  <si>
    <t>Pay. Chq 969- Bab Tabreed - lpo 202/24 rashed obaid 264</t>
  </si>
  <si>
    <t>Pay. Chq 969- Bab Tabreed - lpo 176/24 majid shihe 258</t>
  </si>
  <si>
    <t xml:space="preserve">Pay- chq 969 - Bab tabreed oct 24 invoices </t>
  </si>
  <si>
    <t>[Inv.15846 Val= 452.36][Chq. Val= 452.36]</t>
  </si>
  <si>
    <t>[Inv.15893 Val= 178.73][Chq. Val= 178.73]</t>
  </si>
  <si>
    <t>[Inv.15963 Val= 2044][Chq. Val= 2044]</t>
  </si>
  <si>
    <t>[Inv.15724 Val= 1386.47][Chq. Val= 1386.47]</t>
  </si>
  <si>
    <t>[Inv.15990 Val= 141.37][Chq. Val= 141.37]</t>
  </si>
  <si>
    <t>[Inv.16168 Val= 1570][Chq. Val= 1570]</t>
  </si>
  <si>
    <t>[Inv.16225 Val= 1004.96][Chq. Val= 1004.96]</t>
  </si>
  <si>
    <t>[Inv.15817 Val= 1163.3][Chq. Val= 1163.3]</t>
  </si>
  <si>
    <t>Checks For Collection</t>
  </si>
  <si>
    <t xml:space="preserve">Visa Charge Back - Emp Bassem  Tarek chq 1 </t>
  </si>
  <si>
    <t>Visa Charge Back - Emp Bassem  Tarek chq 3</t>
  </si>
  <si>
    <t>Visa Charge Back - Emp Bassem  Tarek chq 4</t>
  </si>
  <si>
    <t>1833</t>
  </si>
  <si>
    <t xml:space="preserve">Visa Charge Back - Emp Bassem  Tarek 3 chqs </t>
  </si>
  <si>
    <t xml:space="preserve">Chq deposit no 1 from Bassm tarke - visa chrage back </t>
  </si>
  <si>
    <t xml:space="preserve">Crane work - Proj 293 Federal -sharjah youth center </t>
  </si>
  <si>
    <t>000275</t>
  </si>
  <si>
    <t xml:space="preserve"> /2 Exp / 293 / 22/11/2024 / Crane work - Proj 293 Federal -sharjah youth center  / 4725</t>
  </si>
  <si>
    <t>Varation fedel -sharjah 95000</t>
  </si>
  <si>
    <t>coll 5750 At 30/11 Hussan Ali Butti Mohammad Al Suwaidi  -  288</t>
  </si>
  <si>
    <t>تحصيل 30/ 11</t>
  </si>
  <si>
    <t>Harith Ahmed Abdullah Al Zarooni  -  238</t>
  </si>
  <si>
    <t>H/M/214/2024</t>
  </si>
  <si>
    <t xml:space="preserve">0.56MM BARE GI DUCT (AGIS UAE) </t>
  </si>
  <si>
    <t xml:space="preserve">Discount Approved </t>
  </si>
  <si>
    <t>H/M/215/2024</t>
  </si>
  <si>
    <t>RLBG DB      6050mm x 150mm</t>
  </si>
  <si>
    <t>RLBG DB      5150mm x 150mm</t>
  </si>
  <si>
    <t xml:space="preserve">Color = Black </t>
  </si>
  <si>
    <t xml:space="preserve">Contract FYA-30-2024  // Addendum No 01 </t>
  </si>
  <si>
    <t>A/C Works - Contract no FYA-30-2024 / Addendum 01</t>
  </si>
  <si>
    <t>Omar Sultan  Alsharif</t>
  </si>
  <si>
    <t>Amna   Saleh</t>
  </si>
  <si>
    <t>ABDUL RHMAN ESSA</t>
  </si>
  <si>
    <t xml:space="preserve">As per Contract 15/2024 -          100% of Duct (20% of contract ) </t>
  </si>
  <si>
    <t xml:space="preserve">As per Contract 15/2024 -         100% of Indoor (30% of contract ) </t>
  </si>
  <si>
    <t>Gaith Mohammad Aiahli  -  280</t>
  </si>
  <si>
    <t>Increase mr.Sijeesh  / Cash from eng moh</t>
  </si>
  <si>
    <t xml:space="preserve">Pay- Chq 968 - Bestchoice oct invoices </t>
  </si>
  <si>
    <t>1912</t>
  </si>
  <si>
    <t>[Inv.0050759 Val= 6200.64][Chq. Val= 6200]</t>
  </si>
  <si>
    <t>Pay-chq 970 MACS Lpo 179/24 abdurhman essa 277</t>
  </si>
  <si>
    <t>Pay-chq 970 MACS Lpo 185/24 rashed khalife 264</t>
  </si>
  <si>
    <t>Pay-chq 970 MACS Lpo 188/24  fatma  essa 276</t>
  </si>
  <si>
    <t>Pay-chq 970 MACS  invoices of oct 24</t>
  </si>
  <si>
    <t>1914</t>
  </si>
  <si>
    <t>[Inv.2408437 Val= 5530.2][Chq. Val= 5530]</t>
  </si>
  <si>
    <t>[Inv.2408710 Val= 6760.74][Chq. Val= 6761]</t>
  </si>
  <si>
    <t>[Inv.2408799 Val= 3881.54][Chq. Val= 3882]</t>
  </si>
  <si>
    <t>Cheecks Payable</t>
  </si>
  <si>
    <t>Laip.</t>
  </si>
  <si>
    <t>EMP.BENEFITS ENG MOH /2024 - SCHOOL EXPENSES//944 15-12-24</t>
  </si>
  <si>
    <t>EMP.BENEFITS ENG MOH /2024 - SCHOOL EXPENSES//94515-2/25</t>
  </si>
  <si>
    <t>EMP.BENEFITS ENG MOH /2024 - SCHOOL EXPENSES//946 15-4-25</t>
  </si>
  <si>
    <t>EMP.BENEFITS ENG MOH /2024 - SCHOOL EXPENSES//CHQS 943 10-10-24</t>
  </si>
  <si>
    <t xml:space="preserve">HOUSING ENG MOH 8/24 TO 8/25   CHQ 896 </t>
  </si>
  <si>
    <t>HOUSING ENG MOH 8/24 TO 8/25  CHQ 886</t>
  </si>
  <si>
    <t xml:space="preserve">  HOUSING ENG MOH 8/24 TO 8/25   CHQ 885</t>
  </si>
  <si>
    <t>HOUSING ENG MOH 8/24 TO 8/25  CHQ 890</t>
  </si>
  <si>
    <t>HOUSING ENG MOH 8/24 TO 8/25   CHQ 884</t>
  </si>
  <si>
    <t>HOUSING ENG MOH 8/24 TO 8/25  CHQ 884</t>
  </si>
  <si>
    <t>HOUSING ENG MOH 8/24 TO 8/25/CAR PARKIG  CHQ 889</t>
  </si>
  <si>
    <t>HOUSING ENG MOH 8/24 TO 8/25/CAR PARKIG  CHQ 894</t>
  </si>
  <si>
    <t>Payable Checks</t>
  </si>
  <si>
    <t>Checks Payable</t>
  </si>
  <si>
    <t>_x000D_</t>
  </si>
  <si>
    <t>H/M/216/2024</t>
  </si>
  <si>
    <t>RAG DD     950mm x 150mm</t>
  </si>
  <si>
    <t>RAG DD     1000mm x 150mm</t>
  </si>
  <si>
    <t>RAG 4WS   300mm x 300mm</t>
  </si>
  <si>
    <t>RAG 4WS    225mm x 225mm</t>
  </si>
  <si>
    <t xml:space="preserve">EAL + WM    150mm x 150 mm   White Color </t>
  </si>
  <si>
    <t xml:space="preserve"> Supply and Installation of Insulation Duct Areo foam 0.5”</t>
  </si>
  <si>
    <t>H/M/217/2024</t>
  </si>
  <si>
    <t>Pre Fabricated Gi Duct  0.56 Gg</t>
  </si>
  <si>
    <t>9319 JJ</t>
  </si>
  <si>
    <t xml:space="preserve">Chq 954 - Increase Mr. Sijeesh </t>
  </si>
  <si>
    <t>1915</t>
  </si>
  <si>
    <t xml:space="preserve">Pur. MACS Lpo 207/24  Gaith mohamed 280 </t>
  </si>
  <si>
    <t>2409390</t>
  </si>
  <si>
    <t xml:space="preserve"> /2 Exp / 280 / 20/11/2024 / Pur. MACS Lpo 207/24  Gaith mohamed 280  / 3900.85</t>
  </si>
  <si>
    <t>[Inv.2409390 Val= 3900.86]</t>
  </si>
  <si>
    <t>Rashid Ateeq Salim Balabd Al Ketbi - dynamic</t>
  </si>
  <si>
    <t>Private Villa ( G + 1  ) +SB +Compound Wall</t>
  </si>
  <si>
    <t>Al Khwaneej- DUBAI</t>
  </si>
  <si>
    <t>H/M/29/24</t>
  </si>
  <si>
    <t xml:space="preserve">H/M/155 R 1 /24 </t>
  </si>
  <si>
    <t>1-Cut  400 AED  / Visa Charges 2000 -  2 St   
2-Pending 1200 AED [Visa +Chng Stitution ] //Total Was@ 2000</t>
  </si>
  <si>
    <r>
      <t xml:space="preserve">Pending 1000 AED [Visa + Oman Visit ] 
Will be paid Cash to mr.Sijeesh    </t>
    </r>
    <r>
      <rPr>
        <b/>
        <sz val="10"/>
        <color rgb="FF0066FF"/>
        <rFont val="Arial"/>
        <family val="2"/>
      </rPr>
      <t xml:space="preserve"> ????????</t>
    </r>
  </si>
  <si>
    <r>
      <t>Pending Car Fines @ 300 AED  //</t>
    </r>
    <r>
      <rPr>
        <b/>
        <sz val="9"/>
        <color rgb="FF0066FF"/>
        <rFont val="Arial"/>
        <family val="2"/>
      </rPr>
      <t xml:space="preserve"> 250 only </t>
    </r>
  </si>
  <si>
    <r>
      <t xml:space="preserve">off from 1-11 To  8-11 Back vacation --Start WORK 9-11 
+ Leave salary from 1-2023 to 1 - 2024 </t>
    </r>
    <r>
      <rPr>
        <b/>
        <sz val="9"/>
        <color rgb="FF0066FF"/>
        <rFont val="Arial"/>
        <family val="2"/>
      </rPr>
      <t xml:space="preserve"> ( Joined  1-1-2021 ) </t>
    </r>
  </si>
  <si>
    <r>
      <t xml:space="preserve">1-Cut  400 AED  / Visa Charges 2000 - </t>
    </r>
    <r>
      <rPr>
        <b/>
        <sz val="9"/>
        <color rgb="FF0066FF"/>
        <rFont val="Arial"/>
        <family val="2"/>
      </rPr>
      <t xml:space="preserve"> 3 RD</t>
    </r>
    <r>
      <rPr>
        <b/>
        <sz val="9"/>
        <color rgb="FFFF0000"/>
        <rFont val="Arial"/>
        <family val="2"/>
      </rPr>
      <t xml:space="preserve">  = 1200 $
2-Pending 800 AED [Visa +Chng Stitution ] //Total Was@ 2000</t>
    </r>
  </si>
  <si>
    <r>
      <t xml:space="preserve">1-Off 27-11-2027
 2- تخصم 440 درهم / مصاريف سفر عمان
</t>
    </r>
    <r>
      <rPr>
        <b/>
        <sz val="10"/>
        <color rgb="FF0066FF"/>
        <rFont val="Arial"/>
        <family val="2"/>
      </rPr>
      <t xml:space="preserve">3- Slsry Increase @ 500  </t>
    </r>
  </si>
  <si>
    <r>
      <t xml:space="preserve">Salaries Of  \     November </t>
    </r>
    <r>
      <rPr>
        <b/>
        <sz val="16"/>
        <color rgb="FFFF0000"/>
        <rFont val="Calibri"/>
        <family val="2"/>
        <scheme val="minor"/>
      </rPr>
      <t>-24</t>
    </r>
  </si>
  <si>
    <r>
      <t xml:space="preserve">Vacation from 7-11  </t>
    </r>
    <r>
      <rPr>
        <b/>
        <sz val="9"/>
        <color rgb="FF0066FF"/>
        <rFont val="Arial"/>
        <family val="2"/>
      </rPr>
      <t xml:space="preserve">  ( work 6 days only )</t>
    </r>
  </si>
  <si>
    <t>fees</t>
  </si>
  <si>
    <t xml:space="preserve">A/C Works - Advance 10 % Of contract 29/2024 </t>
  </si>
  <si>
    <t>H/M/218/2024</t>
  </si>
  <si>
    <t>9039 JJ</t>
  </si>
  <si>
    <t>H/M/219/2024</t>
  </si>
  <si>
    <t>9040 JJ</t>
  </si>
  <si>
    <t xml:space="preserve">Deepak - Draws Expenses - Ismail Al tamaimi 292 -by eng moh </t>
  </si>
  <si>
    <t xml:space="preserve">Deepak - Draws Expenses -Obaid naser 291 -by eng moh </t>
  </si>
  <si>
    <t xml:space="preserve">Deepak - Draws Expenses -Ali Shamar 290 -by eng moh </t>
  </si>
  <si>
    <t xml:space="preserve">Deepak - Draws Expenses --Moh Khamis  289  -by eng moh </t>
  </si>
  <si>
    <t xml:space="preserve">Deepak - Draws Expenses payments transfer  charges </t>
  </si>
  <si>
    <t xml:space="preserve">Deepak - Payment for Ismail tamimi 292 + Obaid naser 291 + Ali shamer 290 + Moh Khamis 289 </t>
  </si>
  <si>
    <t>Purs. Golden Horse Inv. 2024/1201 - Materials for 293- Federal Auth.- Sharjah</t>
  </si>
  <si>
    <t>2024/1201</t>
  </si>
  <si>
    <t xml:space="preserve">No Lpo  . Purs. By eng moh </t>
  </si>
  <si>
    <t>H/M/220/2024</t>
  </si>
  <si>
    <t xml:space="preserve">Pay inv - Golden Horse for Federal Auth Sharjh 293 </t>
  </si>
  <si>
    <t>1918</t>
  </si>
  <si>
    <t xml:space="preserve">Commission For Proj. Federal Auth - Sharjh -293 </t>
  </si>
  <si>
    <t xml:space="preserve">Chq 974 - withdraw cash to pay commission for 293 + pay inv golden horse for 293 </t>
  </si>
  <si>
    <t>1917</t>
  </si>
  <si>
    <t xml:space="preserve">Chq 973 - Salary Nov 2024   to Ansari </t>
  </si>
  <si>
    <t xml:space="preserve">Pay advnc Chq 972 - Carrier - Lpo 49/24 Amna 292 </t>
  </si>
  <si>
    <t>1916</t>
  </si>
  <si>
    <t xml:space="preserve">Sls Inv 113/24 Rashed Blooshi 278 - Indoor </t>
  </si>
  <si>
    <t>113/24</t>
  </si>
  <si>
    <t xml:space="preserve">Coll . Inv 113/24 Rashed Blooshi 278 - Part of Inv / Pending 42625 AED </t>
  </si>
  <si>
    <t>1855</t>
  </si>
  <si>
    <t xml:space="preserve">Sls Inv 139/24  Federal Auth - Sharjh 293 - Variation Works </t>
  </si>
  <si>
    <t>139/24</t>
  </si>
  <si>
    <t xml:space="preserve">Coll. Inv 139/24 - Federal Auth Sharjh 293 - Variation Works </t>
  </si>
  <si>
    <t>1856</t>
  </si>
  <si>
    <t xml:space="preserve"> /2 Exp / 292 / 28/11/2024 / Deepak - Draws Expenses - Ismail Al tamaimi 292 -by eng moh  / 600</t>
  </si>
  <si>
    <t xml:space="preserve"> /2 Exp / 291 / 28/11/2024 / Deepak - Draws Expenses -Obaid naser 291 -by eng moh  / 500</t>
  </si>
  <si>
    <t xml:space="preserve"> /2 Exp / 290 / 28/11/2024 / Deepak - Draws Expenses -Ali Shamar 290 -by eng moh  / 500</t>
  </si>
  <si>
    <t xml:space="preserve"> /2 Exp / 289 / 28/11/2024 / Deepak - Draws Expenses --Moh Khamis  289  -by eng moh  / 500</t>
  </si>
  <si>
    <t xml:space="preserve"> /2 Exp / 293 / 12/11/2024 / Purs. Golden Horse Inv. 2024/1201 - Materials for 293- Federal Auth.- Sharjah / 84000 / LPO Chq paid / </t>
  </si>
  <si>
    <t xml:space="preserve"> /2 Exp / 293 / 28/11/2024 / Commission For Proj. Federal Auth - Sharjh -293  / 16000</t>
  </si>
  <si>
    <t xml:space="preserve"> /1 Coll / 278 / 28/11/2024 / Coll . Inv 113/24 Rashed Blooshi 278 - Part of Inv / Pending 42625 AED  / 44000 / 0 / Inv  Coll / 113 / 44000</t>
  </si>
  <si>
    <t xml:space="preserve"> /1 Coll / 293 / 27/11/2024 / Coll. Inv 139/24 - Federal Auth Sharjh 293 - Variation Works  / 99750 / 4750 / Inv  Coll / 139 / 99750</t>
  </si>
  <si>
    <t xml:space="preserve">Salary  Chq 973 Nov 2024   11-2024 / All company </t>
  </si>
  <si>
    <t>H/M/49/2024</t>
  </si>
  <si>
    <t xml:space="preserve"> / Inv  Coll / H/M/49/2024 /  / LPO Chq paid / </t>
  </si>
  <si>
    <t xml:space="preserve">Purs. Carrier  Lpo 200/24 Rashed Obaid 264 </t>
  </si>
  <si>
    <t>3160152022</t>
  </si>
  <si>
    <t>Purs. Carrier  Lpo  05/24 Naeema 257</t>
  </si>
  <si>
    <t>3160152024</t>
  </si>
  <si>
    <t xml:space="preserve"> /2 Exp / 264 / 26/11/2024 / Purs. Carrier  Lpo 200/24 Rashed Obaid 264  / 35196</t>
  </si>
  <si>
    <t>[Chq. Val= 35196][Inv.3160152022 Val= 35196]</t>
  </si>
  <si>
    <t xml:space="preserve"> /2 Exp / 257 / 26/11/2024 / Purs. Carrier  Lpo  05/24 Naeema 257 / 9555</t>
  </si>
  <si>
    <t>[Chq.922 Val= 22329][3160148500 Val= 16826.25][3160148517 Val= 5502][Chq935. Val= 41448][Inv.3160150519 Val= 9555][Inv.3160150508 Val= 17188.5][Inv.3160150893 Val= 5181.75][Inv.3160152024 Val= 9555]</t>
  </si>
  <si>
    <t>Pre Fabricated Gi Duct   0.56 Gg</t>
  </si>
  <si>
    <t>Pre Fabricated Gi Duct  0.9  Gg</t>
  </si>
  <si>
    <t>Duct Mate Corner 20 mm</t>
  </si>
  <si>
    <t xml:space="preserve">20 mm Ductmate Flange </t>
  </si>
  <si>
    <t xml:space="preserve">20 mm Ductmate Cleat  </t>
  </si>
  <si>
    <t>S CLEAT</t>
  </si>
  <si>
    <t>GI VCD Plain 200 x 200</t>
  </si>
  <si>
    <t xml:space="preserve">Discount Approved Mr Ragidh </t>
  </si>
  <si>
    <t>9373 JJ</t>
  </si>
  <si>
    <t>Dec 2024</t>
  </si>
  <si>
    <r>
      <t xml:space="preserve"> Leave salary 4th from 12/2023 to 12/2024 </t>
    </r>
    <r>
      <rPr>
        <b/>
        <sz val="9"/>
        <color rgb="FF0066FF"/>
        <rFont val="Arial"/>
        <family val="2"/>
      </rPr>
      <t xml:space="preserve"> </t>
    </r>
    <r>
      <rPr>
        <b/>
        <sz val="9"/>
        <color rgb="FFFF0000"/>
        <rFont val="Arial"/>
        <family val="2"/>
      </rPr>
      <t>(</t>
    </r>
    <r>
      <rPr>
        <b/>
        <sz val="9"/>
        <color rgb="FF0066FF"/>
        <rFont val="Arial"/>
        <family val="2"/>
      </rPr>
      <t xml:space="preserve"> Joined  1-1-2021 </t>
    </r>
    <r>
      <rPr>
        <b/>
        <sz val="9"/>
        <color rgb="FFFF0000"/>
        <rFont val="Arial"/>
        <family val="2"/>
      </rPr>
      <t>)</t>
    </r>
    <r>
      <rPr>
        <b/>
        <sz val="9"/>
        <color rgb="FF0066FF"/>
        <rFont val="Arial"/>
        <family val="2"/>
      </rPr>
      <t xml:space="preserve"> </t>
    </r>
  </si>
  <si>
    <t xml:space="preserve">Increase Slry @500 to be 4000 AED </t>
  </si>
  <si>
    <r>
      <t xml:space="preserve">Vacation from 7-11  </t>
    </r>
    <r>
      <rPr>
        <b/>
        <sz val="9"/>
        <color rgb="FF0066FF"/>
        <rFont val="Arial"/>
        <family val="2"/>
      </rPr>
      <t xml:space="preserve"> Back :   --leave slry to be reviewd</t>
    </r>
  </si>
  <si>
    <r>
      <t xml:space="preserve"> Khalifa Villa   / Maintance /    </t>
    </r>
    <r>
      <rPr>
        <b/>
        <sz val="8"/>
        <color rgb="FFFF0000"/>
        <rFont val="Calibri"/>
        <family val="2"/>
        <scheme val="minor"/>
      </rPr>
      <t>Cancelled</t>
    </r>
  </si>
  <si>
    <t>Dynamic zone contracting co. l.l.c     //Rashid Ateeq Salim Balabd Al Ketbi - dynamic  -  295</t>
  </si>
  <si>
    <t xml:space="preserve">Abdullah Mohamed Saif AL Muhari    </t>
  </si>
  <si>
    <t>Abdullah Mohamed Saif AL Muhari      -  284</t>
  </si>
  <si>
    <t xml:space="preserve">Private Villa ( G+1 ) </t>
  </si>
  <si>
    <t>Al Awir 1st- Dubai</t>
  </si>
  <si>
    <t>H/M/30/24</t>
  </si>
  <si>
    <t xml:space="preserve">H/M/172/24 </t>
  </si>
  <si>
    <t xml:space="preserve">A/C Works - 90%  Of Contracted Value </t>
  </si>
  <si>
    <t xml:space="preserve">DEDUCTIONS      -  Previouse Payments   </t>
  </si>
  <si>
    <t xml:space="preserve">Eng moh </t>
  </si>
  <si>
    <t xml:space="preserve"> Contract 30 Khalid Juma Mubarak Al Suwaidi</t>
  </si>
  <si>
    <t>Golden Horse Technical Service LLC        // Khalid Juma Mubarak Al Suwaidi</t>
  </si>
  <si>
    <t>A/c Works - Advance  20% of Contract No 30/2024</t>
  </si>
  <si>
    <t>Golden Horse Technical Service LLC        // Khalid Juma Mubarak Al Suwaidi  -  296</t>
  </si>
  <si>
    <t>Complete Commissioin proj. 293 youth Auth Sharjih , sum@20000</t>
  </si>
  <si>
    <t>cash withdraw // Complete Commissioin proj. 293 youth Auth Sharjih , sum@20000</t>
  </si>
  <si>
    <t>1921</t>
  </si>
  <si>
    <t>cash withdraw</t>
  </si>
  <si>
    <t xml:space="preserve"> /2 Exp / 293 / 29/11/2024 / Complete Commissioin proj. 293 youth Auth Sharjih , sum@20000 / 4000</t>
  </si>
  <si>
    <t>BrkDown1</t>
  </si>
  <si>
    <t>BrkDown2</t>
  </si>
  <si>
    <t>BrkDown3</t>
  </si>
  <si>
    <t>BrkDown4</t>
  </si>
  <si>
    <t>BrkDown5</t>
  </si>
  <si>
    <t>BrkDown6</t>
  </si>
  <si>
    <t>BrkDown1Vlu</t>
  </si>
  <si>
    <t>BrkDown2Vlu</t>
  </si>
  <si>
    <t>ArbName</t>
  </si>
  <si>
    <t>EngName</t>
  </si>
  <si>
    <t>Pro-Details</t>
  </si>
  <si>
    <t>Contract-No</t>
  </si>
  <si>
    <t>Quo-No</t>
  </si>
  <si>
    <t>A/C-Lpo</t>
  </si>
  <si>
    <t>Lpo-Note</t>
  </si>
  <si>
    <t>Pro-Note</t>
  </si>
  <si>
    <t>Testing-Commissioning</t>
  </si>
  <si>
    <t>Advance</t>
  </si>
  <si>
    <t>LastInvNo</t>
  </si>
  <si>
    <t>LastInvDate</t>
  </si>
  <si>
    <t>LastInvValue</t>
  </si>
  <si>
    <t>LastPaidValue</t>
  </si>
  <si>
    <t>Invs-Count</t>
  </si>
  <si>
    <t>BrkDwn1</t>
  </si>
  <si>
    <t>BrkDwn2</t>
  </si>
  <si>
    <t>BrkDwn3</t>
  </si>
  <si>
    <t>BrkDwn4</t>
  </si>
  <si>
    <t>BrkDwn5</t>
  </si>
  <si>
    <t>BrkDwn6</t>
  </si>
  <si>
    <t>BrkDwn1-Value</t>
  </si>
  <si>
    <t>BrkDwn2-Value</t>
  </si>
  <si>
    <t>BrkDwn3-Value</t>
  </si>
  <si>
    <t>BrkDwn4-Value</t>
  </si>
  <si>
    <t>BrkDwn5-Value</t>
  </si>
  <si>
    <t>BrkDwn6-Value</t>
  </si>
  <si>
    <t>Contract-Value</t>
  </si>
  <si>
    <t>H/M/221/2024</t>
  </si>
  <si>
    <t>Pre Fabricated Gi Duct  0.9 Gg</t>
  </si>
  <si>
    <t>30 mm Ductmat Flange</t>
  </si>
  <si>
    <t>Duct mate Corner 30 mm</t>
  </si>
  <si>
    <t xml:space="preserve">30 mm Ductmat  Cleat </t>
  </si>
  <si>
    <t>9389 JJ</t>
  </si>
  <si>
    <t>Khalifa Juma Salem Al shamsi  -  241</t>
  </si>
  <si>
    <t xml:space="preserve">Variations - Grill slot liner  50 % </t>
  </si>
  <si>
    <t>Jumairah pearl BuIlding Cont. L.L.C     //   Pro. -  Rashed Salem Ahmad AlMadhaani   -  251</t>
  </si>
  <si>
    <t xml:space="preserve"> Outdoor Units  35% of Contract </t>
  </si>
  <si>
    <t xml:space="preserve">Piping work  7.5 % of contract </t>
  </si>
  <si>
    <t>Jumairah pearl BuIlding Cont. L.L.C     //   Pro. -  Salem Abdullah Abdulkhaliq  -  245</t>
  </si>
  <si>
    <t xml:space="preserve"> 50 % of Variation works - Grill Slot Liner by 8,000 </t>
  </si>
  <si>
    <t>Essa Khalifa Ali Mohammad Almheiri  -  255</t>
  </si>
  <si>
    <t>50 % Variations - Grill Slot liner by 6,700 AED</t>
  </si>
  <si>
    <t xml:space="preserve">A/C works - 100 % of Contract </t>
  </si>
  <si>
    <t xml:space="preserve">DEDUCTIONS  - Previouse Received   328,000 [ 311,600  + 16,400 Vat )                 </t>
  </si>
  <si>
    <t>Unpaid VAT For Previouse Paymwent =328,000 * 5%  = 16400</t>
  </si>
  <si>
    <t xml:space="preserve">Purs. Carr Lpo 49/2024   Amna 262 </t>
  </si>
  <si>
    <t>3160152446</t>
  </si>
  <si>
    <t>Purs. BestChoice Lpo 211/2024 HBC moh saif 252</t>
  </si>
  <si>
    <t>0050881</t>
  </si>
  <si>
    <t xml:space="preserve">Purs. BestChoice Lpo 212/2024 Federal Auth 293 </t>
  </si>
  <si>
    <t>0050878</t>
  </si>
  <si>
    <t xml:space="preserve">Purs. BestChoice Lpo 215/2024 Ammar 242 </t>
  </si>
  <si>
    <t>0050879</t>
  </si>
  <si>
    <t xml:space="preserve">Purs. BestChoice Lpo 216/2024 Amna 262 </t>
  </si>
  <si>
    <t>0050880</t>
  </si>
  <si>
    <t xml:space="preserve">Sls Inv 149/2024 Essa Khalifa 255 </t>
  </si>
  <si>
    <t xml:space="preserve">Sls Inv 149/2024 Essa Khalifa 255  / 50 % Variation </t>
  </si>
  <si>
    <t xml:space="preserve">Sls Inv 149/2024 Essa Khalifa 255  + 50 % Variation </t>
  </si>
  <si>
    <t>149/2024</t>
  </si>
  <si>
    <t xml:space="preserve">Coll . Inv 149/2024 Essa Khlifa 255 </t>
  </si>
  <si>
    <t>1858</t>
  </si>
  <si>
    <t xml:space="preserve">Chq 975 Increase mr.sijeesh </t>
  </si>
  <si>
    <t>1922</t>
  </si>
  <si>
    <t xml:space="preserve">Inv 11-2024 Office LandLine+Internet Srvs </t>
  </si>
  <si>
    <t>1940772123</t>
  </si>
  <si>
    <t>Pay. Inv 11/2024 Office Land Line + Internet Eng Moh</t>
  </si>
  <si>
    <t xml:space="preserve"> /2 Exp / 262 / 30/11/2024 / Purs. Carr Lpo 49/2024   Amna 262  / 7045.5</t>
  </si>
  <si>
    <t>[Chq. Val= 7046][Inv.3160152446 Val= 7045.5]</t>
  </si>
  <si>
    <t xml:space="preserve"> /2 Exp / 252 / 4/12/2024 / Purs. BestChoice Lpo 211/2024 HBC moh saif 252 / 194.34</t>
  </si>
  <si>
    <t>[Inv.0050881 Val= 194.34]</t>
  </si>
  <si>
    <t xml:space="preserve"> /2 Exp / 293 / 30/11/2024 / Purs. BestChoice Lpo 212/2024 Federal Auth 293  / 1449</t>
  </si>
  <si>
    <t>[Inv.0050878 Val= 1449]</t>
  </si>
  <si>
    <t xml:space="preserve"> /2 Exp / 242 / 30/11/2024 / Purs. BestChoice Lpo 215/2024 Ammar 242  / 1000.01</t>
  </si>
  <si>
    <t>[Inv.0050879 Val= 1000.01]</t>
  </si>
  <si>
    <t xml:space="preserve"> /2 Exp / 262 / 30/11/2024 / Purs. BestChoice Lpo 216/2024 Amna 262  / 1150.14</t>
  </si>
  <si>
    <t xml:space="preserve"> /1 Coll / 255 / 5/12/2024 / Coll . Inv 149/2024 Essa Khlifa 255  / 59393.5 / 2828.25 / Inv  Coll / 149 / 59393.5</t>
  </si>
  <si>
    <t>[Inv.0050880 Val= 1150.15]</t>
  </si>
  <si>
    <t>RASHID AL MARZOUQI</t>
  </si>
  <si>
    <t>Al Muhaisnah- DUBAI</t>
  </si>
  <si>
    <t>Private Villa</t>
  </si>
  <si>
    <t>…..</t>
  </si>
  <si>
    <t>H/M/31/24</t>
  </si>
  <si>
    <t xml:space="preserve">H/M/121 R 1 /24 </t>
  </si>
  <si>
    <t>ca</t>
  </si>
  <si>
    <t>Federal Youth Authority  - Fujairah   GIRLS HUB</t>
  </si>
  <si>
    <t>H/M/32/24</t>
  </si>
  <si>
    <t>H/M/33/2024</t>
  </si>
  <si>
    <t>fdgfdgdfgdfg</t>
  </si>
  <si>
    <t>احمد محمد</t>
  </si>
  <si>
    <t>Store Sales / Seven Sear Air Conditioning work llc</t>
  </si>
  <si>
    <t>SUPPLY OF A/C UNITS  { 5 } TON</t>
  </si>
  <si>
    <t xml:space="preserve">adnana </t>
  </si>
  <si>
    <t>144/2024</t>
  </si>
  <si>
    <t>Coll Inv 144/2024 Cash to eng moh storesls/seven seas llc 283</t>
  </si>
  <si>
    <t>Sls Inv 144/2024 Strore sls // seven seas air con. Llc   283</t>
  </si>
  <si>
    <t>1857</t>
  </si>
  <si>
    <t>1923</t>
  </si>
  <si>
    <t>pay. Ours inv 24-3214 cash -Climate masters for store 283 by eng moh // 5 units  5 ton</t>
  </si>
  <si>
    <t xml:space="preserve">Purs inv from climate masters cash / 5 units to stroe 283 </t>
  </si>
  <si>
    <t>24/3214</t>
  </si>
  <si>
    <t xml:space="preserve"> /1 Coll / 283 / 5/12/2024 / Coll Inv 144/2024 Cash to eng moh storesls/seven seas llc 283 / 29137.5 / 1387.5 / Inv  Coll / 144 / 29137.5</t>
  </si>
  <si>
    <t xml:space="preserve"> /2 Exp / 283 / 5/12/2024 / Purs inv from climate masters cash / 5 units to stroe 283  / 27457.5</t>
  </si>
  <si>
    <t>1924</t>
  </si>
  <si>
    <t>1925</t>
  </si>
  <si>
    <t xml:space="preserve">Transportation taxi to climate masters // </t>
  </si>
  <si>
    <t>Visa Expenses - Eng moh 's Son EID 10 Yrs - New residency //Family cover</t>
  </si>
  <si>
    <t>Visa Expenses - Eng moh 's- Son EID 10 Yrs - //Family cover</t>
  </si>
  <si>
    <t>26</t>
  </si>
  <si>
    <t xml:space="preserve">Purs Ducts aluminum cladding- Inv 26 from safa al wadi - Essa khalifa villa 255 </t>
  </si>
  <si>
    <t xml:space="preserve">Pay Chq 976 safa alwadi in 26 - ducts for essa khlifa 255 </t>
  </si>
  <si>
    <t xml:space="preserve"> /1 Coll / 283 / 5/12/2024 / Transportation taxi to climate masters //  / 160 / </t>
  </si>
  <si>
    <t xml:space="preserve"> /2 Exp / 255 / 4/12/2024 / Purs Ducts aluminum cladding- Inv 26 from safa al wadi - Essa khalifa villa 255  / 5050</t>
  </si>
  <si>
    <r>
      <t xml:space="preserve">vac from 6-12 
</t>
    </r>
    <r>
      <rPr>
        <b/>
        <sz val="9"/>
        <color rgb="FF0070C0"/>
        <rFont val="Arial"/>
        <family val="2"/>
      </rPr>
      <t xml:space="preserve">leave slsry @ 1000 </t>
    </r>
  </si>
  <si>
    <t xml:space="preserve">warning letter late - cut 2 days </t>
  </si>
  <si>
    <t xml:space="preserve">leave slsry sajish with mr.ahmed </t>
  </si>
  <si>
    <t>Majed Sultan Salem Bilal</t>
  </si>
  <si>
    <t>Majed Sultan Salem Bilal  - Hessa</t>
  </si>
  <si>
    <t>H/M/144/2023</t>
  </si>
  <si>
    <t xml:space="preserve"> H/M/25/2023 </t>
  </si>
  <si>
    <t>Selection Change</t>
  </si>
  <si>
    <t>Final Price AED</t>
  </si>
  <si>
    <t>Consultant : Archpix Engineering Consultants</t>
  </si>
  <si>
    <t>H/M/222/2024</t>
  </si>
  <si>
    <t>H/M/12R1/2024</t>
  </si>
  <si>
    <t>9475 JJ</t>
  </si>
  <si>
    <t>Aluminium Filter  80cm * 57cm</t>
  </si>
  <si>
    <t>A/C works - Second 50% (10%) of Advance Amount (20%)</t>
  </si>
  <si>
    <t>Purs. Bab Tabreed - Lpo H/M/203/2024- KHALIFA . ARCHPIX  241</t>
  </si>
  <si>
    <t>Purs. Bab Tabreed - Lpo H/M/210/2024- ADNAN 4 VILLA  256</t>
  </si>
  <si>
    <t>Purs. Bab Tabreed - Lpo H/M/213/2024- ADNAN 4 VILLA  256</t>
  </si>
  <si>
    <t>Purs. Bab Tabreed - Lpo H/M/217/2024- ADNAN 4 VILLA  256</t>
  </si>
  <si>
    <t>Purs. Bab Tabreed - Lpo H/M/218/2024- KHALIFA . ARCHPIX  241</t>
  </si>
  <si>
    <t>Purs. Bab Tabreed - Lpo H/M/219/2024- AMNA   262</t>
  </si>
  <si>
    <t>Purs. Bab Tabreed - Lpo H/M/220/2024- Federal  Youth  Authority  - Sharjah  293</t>
  </si>
  <si>
    <t>Purs. Bab Tabreed - Lpo H/M/209/2024- Rashed  Yousef  Al Balooshi- Archpix  278</t>
  </si>
  <si>
    <t>16408</t>
  </si>
  <si>
    <t>16454</t>
  </si>
  <si>
    <t>16606</t>
  </si>
  <si>
    <t>16631</t>
  </si>
  <si>
    <t>16668</t>
  </si>
  <si>
    <t>16786</t>
  </si>
  <si>
    <t>16447</t>
  </si>
  <si>
    <t>16446</t>
  </si>
  <si>
    <t>16852</t>
  </si>
  <si>
    <t xml:space="preserve"> /2 Exp / 241 / 8/11/2024 / Purs. Bab Tabreed - Lpo H/M/203/2024- KHALIFA . ARCHPIX  241 / 1788.15</t>
  </si>
  <si>
    <t xml:space="preserve"> /2 Exp / 278 / 11/11/2024 / Purs. Bab Tabreed - Lpo H/M/209/2024- Rashed  Yousef  Al Balooshi- Archpix  278 / 977.16045</t>
  </si>
  <si>
    <t xml:space="preserve"> /2 Exp / 278 / 18/11/2024 / Purs. Bab Tabreed - Lpo H/M/209/2024- Rashed  Yousef  Al Balooshi- Archpix  278 / 681.135</t>
  </si>
  <si>
    <t xml:space="preserve"> /2 Exp / 256 / 19/11/2024 / Purs. Bab Tabreed - Lpo H/M/210/2024- ADNAN 4 VILLA  256 / 1599.88605</t>
  </si>
  <si>
    <t xml:space="preserve"> /2 Exp / 256 / 21/11/2024 / Purs. Bab Tabreed - Lpo H/M/213/2024- ADNAN 4 VILLA  256 / 86.1</t>
  </si>
  <si>
    <t xml:space="preserve"> /2 Exp / 256 / 27/11/2024 / Purs. Bab Tabreed - Lpo H/M/217/2024- ADNAN 4 VILLA  256 / 310.317</t>
  </si>
  <si>
    <t xml:space="preserve"> /2 Exp / 241 / 11/11/2024 / Purs. Bab Tabreed - Lpo H/M/218/2024- KHALIFA . ARCHPIX  241 / 140.385</t>
  </si>
  <si>
    <t xml:space="preserve"> /2 Exp / 262 / 11/11/2024 / Purs. Bab Tabreed - Lpo H/M/219/2024- AMNA   262 / 106.134</t>
  </si>
  <si>
    <t xml:space="preserve"> /2 Exp / 293 / 30/11/2024 / Purs. Bab Tabreed - Lpo H/M/220/2024- Federal  Youth  Authority  - Sharjah  293 / 3050.33505</t>
  </si>
  <si>
    <t>[Inv.16408 Val= 1788.15]</t>
  </si>
  <si>
    <t>[Inv.16454 Val= 977.16045]</t>
  </si>
  <si>
    <t>[Inv.16606 Val= 681.135]</t>
  </si>
  <si>
    <t>[Inv.16631 Val= 1599.88605]</t>
  </si>
  <si>
    <t>[Inv.16668 Val= 86.1]</t>
  </si>
  <si>
    <t>[Inv.16786 Val= 310.317]</t>
  </si>
  <si>
    <t>[Inv.16447 Val= 140.385]</t>
  </si>
  <si>
    <t>[Inv.16446 Val= 106.134]</t>
  </si>
  <si>
    <t>[Inv.16852 Val= 3050.33505]</t>
  </si>
  <si>
    <t>Purs. Bab Tabreed - Lpo H/M/206/2024- Rashed  Yousef  Al Balooshi- Archpix  278</t>
  </si>
  <si>
    <t xml:space="preserve">Ink for Office Printer HP- Color </t>
  </si>
  <si>
    <t>H/M/223/2024</t>
  </si>
  <si>
    <t xml:space="preserve">20 mm GI Duct  Corner </t>
  </si>
  <si>
    <t xml:space="preserve">20 mm GI Duct  Drive Cleat  </t>
  </si>
  <si>
    <t>Bare Gi Duct  0.7 MM</t>
  </si>
  <si>
    <t>BARE Gi Duct   0.56 mm</t>
  </si>
  <si>
    <t>20 mm Slip On  Flange</t>
  </si>
  <si>
    <t xml:space="preserve">Pay Adv Carrier lpo 12R1/2024 - Marzooq Matroshi 246 </t>
  </si>
  <si>
    <t>1927</t>
  </si>
  <si>
    <t xml:space="preserve">Pay Advnc chq 977 Carrier -Lpo 32/2024 - Essa Khalifa 255 </t>
  </si>
  <si>
    <t>1926</t>
  </si>
  <si>
    <t>Increase Mr. Sijeesh Chq 980 @  9-12 =20,000</t>
  </si>
  <si>
    <t>1928</t>
  </si>
  <si>
    <t xml:space="preserve">Sls Inv 115/2024 - Marzooq Matroshi 246 </t>
  </si>
  <si>
    <r>
      <t xml:space="preserve">Sls  </t>
    </r>
    <r>
      <rPr>
        <i/>
        <sz val="8"/>
        <color theme="9" tint="-0.249977111117893"/>
        <rFont val="Calibri"/>
        <family val="2"/>
        <scheme val="minor"/>
      </rPr>
      <t xml:space="preserve">Varaitions - Grill </t>
    </r>
    <r>
      <rPr>
        <sz val="8"/>
        <color theme="1"/>
        <rFont val="Calibri"/>
        <family val="2"/>
        <scheme val="minor"/>
      </rPr>
      <t xml:space="preserve"> Inv 115/2024 - Marzooq Matroshi 246 </t>
    </r>
  </si>
  <si>
    <t>115/24</t>
  </si>
  <si>
    <t xml:space="preserve">Coll Inv 115/24 Marzooq Matroshi 246 - Coll particall // Pending 14,730 AED </t>
  </si>
  <si>
    <t>1860</t>
  </si>
  <si>
    <t>[Chq. Val= 61273]</t>
  </si>
  <si>
    <t>[Chq. Val= 50526]</t>
  </si>
  <si>
    <t xml:space="preserve"> / Inv  Coll / 246 / </t>
  </si>
  <si>
    <t xml:space="preserve"> / Inv  Coll / 115 / 71000 /1 Coll / 246 / 9/12/2024 / Coll Inv 115/24 Marzooq Matroshi 246 - Coll particall // Pending 14,730 AED  / 71000 / 0</t>
  </si>
  <si>
    <t>Sls Inv 125/24 Hessa Beloshi 225  95 % + Varition Grill 10,500</t>
  </si>
  <si>
    <t>125/24</t>
  </si>
  <si>
    <t xml:space="preserve">Coll Inv 125/24 Hessa Bloshi 225  95% +Varition Grill 10,500 </t>
  </si>
  <si>
    <t>1861</t>
  </si>
  <si>
    <t xml:space="preserve"> /1 Coll / 225 / 10/12/2024 / Coll Inv 125/24 Hessa Bloshi 225  95% +Varition Grill 10,500  / 16964.85 / 807.4 / Inv  Coll / 125 / 16964.85</t>
  </si>
  <si>
    <t xml:space="preserve">Enoc Rechage Acc  add 5000/ Eng Moh </t>
  </si>
  <si>
    <t>Secchq</t>
  </si>
  <si>
    <t xml:space="preserve">موزه خلفان صهيل   </t>
  </si>
  <si>
    <t>على الشيحي</t>
  </si>
  <si>
    <t>var @6000 Hidden grill</t>
  </si>
  <si>
    <t>adnan 256 hidden grill later 6000</t>
  </si>
  <si>
    <t>19/11/2024</t>
  </si>
  <si>
    <t>15/8/2024</t>
  </si>
  <si>
    <t>14/11/2024</t>
  </si>
  <si>
    <t>14/9/2024</t>
  </si>
  <si>
    <t>H/M/224/2024</t>
  </si>
  <si>
    <t>EAL + WMM   150 mm x 15 mm</t>
  </si>
  <si>
    <t>H/M/225/2024</t>
  </si>
  <si>
    <t>LSD{HIDDEN TYPE}    2slot x 20mm x 1200mm</t>
  </si>
  <si>
    <t>LSD{HIDDEN TYPE}    2slot x 20mm x 800mm</t>
  </si>
  <si>
    <t>LSD{HIDDEN TYPE}    2slot x 20mm x 1000mm</t>
  </si>
  <si>
    <t>ProH</t>
  </si>
  <si>
    <t>H/M/226/2024</t>
  </si>
  <si>
    <t>9537 JJ</t>
  </si>
  <si>
    <t>A/C Works - Advance 30% of Contract  [ 31R/2024 ]</t>
  </si>
  <si>
    <t>Payment Terms : 60 days PDC</t>
  </si>
  <si>
    <t xml:space="preserve">Delivery: Within [ 6 ] Months </t>
  </si>
  <si>
    <t>38QSM030VSP</t>
  </si>
  <si>
    <t>42QSM030VSP</t>
  </si>
  <si>
    <t>38CKM036-X-9</t>
  </si>
  <si>
    <t>42TKS037-71UCR1</t>
  </si>
  <si>
    <t>H/M/994/2024</t>
  </si>
  <si>
    <t xml:space="preserve">storeVilla MrAhmed Abdelsalam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</si>
</sst>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(* #,##0.00_);_(* \(#,##0.00\);_(* &quot;-&quot;??_);_(@_)"/>
    <numFmt numFmtId="165" formatCode="_(* #,##0_);_(* \(#,##0\);_(* &quot;-&quot;_);_(@_)"/>
    <numFmt numFmtId="166" formatCode="yyyy\-mm\-dd;@"/>
    <numFmt numFmtId="167" formatCode="_(* #,##0_);_(* \(#,##0\);_(* &quot;-&quot;??_);_(@_)"/>
    <numFmt numFmtId="168" formatCode="[$-409]mmmm\ d\,\ yyyy;@"/>
    <numFmt numFmtId="169" formatCode="#,##0.0;[Red]\-#,##0.0"/>
    <numFmt numFmtId="170" formatCode="_-* #,##0.0_-;\-* #,##0.0_-;_-* &quot;-&quot;_-;_-@_-"/>
    <numFmt numFmtId="171" formatCode="[$-809]dd\ mmmm\ yyyy;@"/>
    <numFmt numFmtId="172" formatCode="0.0%"/>
    <numFmt numFmtId="173" formatCode="[$-409]d/mmm/yyyy;@"/>
    <numFmt numFmtId="174" formatCode="_(* #,##0.0_);_(* \(#,##0.0\);_(* &quot;-&quot;_);_(@_)"/>
    <numFmt numFmtId="175" formatCode="_-* #,##0_-;_-* #,##0\-;_-* &quot;-&quot;_-;_-@_-"/>
    <numFmt numFmtId="176" formatCode="_-* #,##0.00_-;_-* #,##0.00\-;_-* &quot;-&quot;??_-;_-@_-"/>
    <numFmt numFmtId="177" formatCode="_-* #,##0.0_-;\-* #,##0.0_-;_-* &quot;-&quot;?_-;_-@_-"/>
    <numFmt numFmtId="178" formatCode="[$AED]\ #,##0"/>
    <numFmt numFmtId="179" formatCode="_-* #,##0.00_-;\-* #,##0.00_-;_-* &quot;-&quot;_-;_-@_-"/>
    <numFmt numFmtId="180" formatCode="#,##0_ ;[Red]\-#,##0\ "/>
    <numFmt numFmtId="181" formatCode="_(* #,##0.00_);_(* \(#,##0.00\);_(* &quot;-&quot;_);_(@_)"/>
    <numFmt numFmtId="182" formatCode="dd/mm/yyyy;@"/>
    <numFmt numFmtId="183" formatCode="B1mmm\-yy"/>
    <numFmt numFmtId="184" formatCode="#,##0.0_ ;[Red]\-#,##0.0\ "/>
    <numFmt numFmtId="185" formatCode="[$-409]d\-mmm\-yy;@"/>
    <numFmt numFmtId="186" formatCode="#,##0.00;\(#,##0.00\)"/>
    <numFmt numFmtId="187" formatCode="&quot;$&quot;* #,##0.00;\(&quot;$&quot;* #,##0.00\)"/>
    <numFmt numFmtId="188" formatCode="#,##0.00;\-#,##0.00;* ??"/>
    <numFmt numFmtId="189" formatCode="h:mm:ss;@"/>
    <numFmt numFmtId="190" formatCode="0.000"/>
  </numFmts>
  <fonts count="37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Arial Black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u val="singleAccounting"/>
      <sz val="12"/>
      <color rgb="FFFFFF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1"/>
      <name val="Cascadia Code"/>
      <family val="3"/>
    </font>
    <font>
      <b/>
      <sz val="12"/>
      <color rgb="FFFFFF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scadia Code"/>
      <family val="3"/>
    </font>
    <font>
      <b/>
      <sz val="10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1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scadia Code"/>
      <family val="3"/>
    </font>
    <font>
      <b/>
      <i/>
      <u/>
      <sz val="11"/>
      <color theme="1"/>
      <name val="Calibri"/>
      <family val="2"/>
      <scheme val="minor"/>
    </font>
    <font>
      <sz val="8"/>
      <color rgb="FFFFFF00"/>
      <name val="Calibri"/>
      <family val="2"/>
      <scheme val="minor"/>
    </font>
    <font>
      <b/>
      <sz val="9"/>
      <color rgb="FFFFFF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charset val="178"/>
      <scheme val="minor"/>
    </font>
    <font>
      <b/>
      <i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mbria"/>
      <family val="1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charset val="178"/>
      <scheme val="minor"/>
    </font>
    <font>
      <sz val="8"/>
      <color theme="1"/>
      <name val="Calibri"/>
      <family val="2"/>
      <charset val="178"/>
      <scheme val="minor"/>
    </font>
    <font>
      <sz val="8"/>
      <color rgb="FF000000"/>
      <name val="Arial"/>
      <family val="2"/>
      <charset val="178"/>
    </font>
    <font>
      <sz val="8"/>
      <color theme="1"/>
      <name val="Arial"/>
      <family val="2"/>
      <charset val="178"/>
    </font>
    <font>
      <sz val="8"/>
      <color theme="1"/>
      <name val="Arial"/>
      <family val="2"/>
    </font>
    <font>
      <sz val="8"/>
      <color theme="1"/>
      <name val="Cambria"/>
      <family val="1"/>
      <charset val="178"/>
    </font>
    <font>
      <sz val="8"/>
      <color rgb="FF000000"/>
      <name val="Calibri"/>
      <family val="2"/>
      <charset val="178"/>
      <scheme val="minor"/>
    </font>
    <font>
      <sz val="8"/>
      <color rgb="FF000000"/>
      <name val="Calibri"/>
      <family val="2"/>
      <scheme val="minor"/>
    </font>
    <font>
      <sz val="10"/>
      <color theme="1"/>
      <name val="Calibri"/>
      <family val="2"/>
      <charset val="178"/>
      <scheme val="minor"/>
    </font>
    <font>
      <sz val="10"/>
      <color theme="1"/>
      <name val="Cascadia Code"/>
      <family val="3"/>
      <charset val="178"/>
    </font>
    <font>
      <i/>
      <sz val="11"/>
      <color theme="1"/>
      <name val="Calibri"/>
      <family val="2"/>
      <scheme val="minor"/>
    </font>
    <font>
      <b/>
      <i/>
      <sz val="14"/>
      <color theme="1"/>
      <name val="Cambria"/>
      <family val="1"/>
      <scheme val="major"/>
    </font>
    <font>
      <b/>
      <i/>
      <sz val="11"/>
      <color theme="1"/>
      <name val="Cambria"/>
      <family val="1"/>
      <scheme val="major"/>
    </font>
    <font>
      <b/>
      <i/>
      <sz val="12"/>
      <color theme="1"/>
      <name val="Cambria"/>
      <family val="1"/>
      <scheme val="major"/>
    </font>
    <font>
      <i/>
      <sz val="12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b/>
      <i/>
      <sz val="10"/>
      <color rgb="FFFFFF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1"/>
      <color theme="1"/>
      <name val="Cambria"/>
      <family val="1"/>
      <scheme val="major"/>
    </font>
    <font>
      <sz val="12"/>
      <color rgb="FF333333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2"/>
      <name val="Calibri"/>
      <family val="2"/>
      <scheme val="minor"/>
    </font>
    <font>
      <sz val="11"/>
      <color theme="1"/>
      <name val="Cambria"/>
      <family val="1"/>
      <charset val="178"/>
      <scheme val="major"/>
    </font>
    <font>
      <b/>
      <sz val="10"/>
      <color theme="1"/>
      <name val="Cambria"/>
      <family val="1"/>
      <scheme val="major"/>
    </font>
    <font>
      <b/>
      <i/>
      <u/>
      <sz val="12"/>
      <color theme="1"/>
      <name val="Cambria"/>
      <family val="1"/>
      <scheme val="major"/>
    </font>
    <font>
      <sz val="12"/>
      <color rgb="FFFFFF00"/>
      <name val="Calibri"/>
      <family val="2"/>
      <scheme val="minor"/>
    </font>
    <font>
      <b/>
      <sz val="11"/>
      <color theme="1"/>
      <name val="Cambria"/>
      <family val="1"/>
      <scheme val="major"/>
    </font>
    <font>
      <b/>
      <i/>
      <sz val="12"/>
      <color rgb="FFFFFF00"/>
      <name val="Calibri"/>
      <family val="2"/>
      <scheme val="minor"/>
    </font>
    <font>
      <sz val="8"/>
      <color theme="4" tint="0.79998168889431442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theme="0" tint="-0.14999847407452621"/>
      <name val="Calibri"/>
      <family val="2"/>
      <scheme val="minor"/>
    </font>
    <font>
      <b/>
      <u val="singleAccounting"/>
      <sz val="11"/>
      <color rgb="FFFFFF00"/>
      <name val="Calibri"/>
      <family val="2"/>
      <scheme val="minor"/>
    </font>
    <font>
      <b/>
      <i/>
      <u val="singleAccounting"/>
      <sz val="11"/>
      <color rgb="FFFFFF00"/>
      <name val="Calibri"/>
      <family val="2"/>
      <scheme val="minor"/>
    </font>
    <font>
      <b/>
      <sz val="8"/>
      <color rgb="FFFF0000"/>
      <name val="Arial"/>
      <family val="2"/>
    </font>
    <font>
      <b/>
      <sz val="9"/>
      <color theme="1"/>
      <name val="Calibri"/>
      <family val="2"/>
      <charset val="178"/>
      <scheme val="minor"/>
    </font>
    <font>
      <sz val="10"/>
      <name val="Arial"/>
      <family val="2"/>
    </font>
    <font>
      <sz val="8"/>
      <name val="Arial"/>
      <family val="2"/>
    </font>
    <font>
      <b/>
      <u val="singleAccounting"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178"/>
      <scheme val="minor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/>
      <name val="Cascadia Code"/>
      <family val="3"/>
    </font>
    <font>
      <sz val="9"/>
      <color theme="0" tint="-0.14999847407452621"/>
      <name val="Calibri"/>
      <family val="2"/>
      <scheme val="minor"/>
    </font>
    <font>
      <sz val="11"/>
      <color rgb="FFFFFF00"/>
      <name val="Calibri"/>
      <family val="2"/>
      <charset val="178"/>
      <scheme val="minor"/>
    </font>
    <font>
      <sz val="11"/>
      <color theme="9" tint="0.39997558519241921"/>
      <name val="Calibri"/>
      <family val="2"/>
      <charset val="178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b/>
      <i/>
      <sz val="9"/>
      <color rgb="FFFFFF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9"/>
      <color theme="1"/>
      <name val="Cascadia Code"/>
      <family val="3"/>
      <charset val="178"/>
    </font>
    <font>
      <b/>
      <sz val="8"/>
      <color theme="1"/>
      <name val="Calibri"/>
      <family val="2"/>
      <charset val="178"/>
      <scheme val="minor"/>
    </font>
    <font>
      <b/>
      <sz val="11"/>
      <color theme="1"/>
      <name val="Cascadia Code"/>
      <family val="3"/>
      <charset val="178"/>
    </font>
    <font>
      <b/>
      <sz val="11"/>
      <color rgb="FFFFFF00"/>
      <name val="Calibri"/>
      <family val="2"/>
      <charset val="178"/>
      <scheme val="minor"/>
    </font>
    <font>
      <i/>
      <sz val="12"/>
      <color theme="1"/>
      <name val="Cambria"/>
      <family val="1"/>
    </font>
    <font>
      <b/>
      <i/>
      <sz val="11"/>
      <color rgb="FF92D05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i/>
      <sz val="8"/>
      <color rgb="FF92D05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i/>
      <sz val="8"/>
      <color rgb="FFFFFF00"/>
      <name val="Calibri"/>
      <family val="2"/>
      <scheme val="minor"/>
    </font>
    <font>
      <b/>
      <sz val="8"/>
      <color rgb="FFFFFF00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b/>
      <i/>
      <sz val="9"/>
      <color theme="4" tint="-0.499984740745262"/>
      <name val="Calibri"/>
      <family val="2"/>
      <scheme val="minor"/>
    </font>
    <font>
      <b/>
      <i/>
      <sz val="8"/>
      <color rgb="FFFFFF00"/>
      <name val="Calibri"/>
      <family val="2"/>
      <scheme val="minor"/>
    </font>
    <font>
      <sz val="8"/>
      <color theme="2" tint="-0.249977111117893"/>
      <name val="Calibri"/>
      <family val="2"/>
      <charset val="178"/>
      <scheme val="minor"/>
    </font>
    <font>
      <b/>
      <i/>
      <sz val="9"/>
      <color theme="0"/>
      <name val="Calibri"/>
      <family val="2"/>
      <scheme val="minor"/>
    </font>
    <font>
      <b/>
      <i/>
      <sz val="8"/>
      <name val="Calibri"/>
      <family val="2"/>
      <scheme val="minor"/>
    </font>
    <font>
      <sz val="9"/>
      <color rgb="FFFFFF0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b/>
      <i/>
      <sz val="8"/>
      <color theme="0" tint="-0.249977111117893"/>
      <name val="Calibri"/>
      <family val="2"/>
      <scheme val="minor"/>
    </font>
    <font>
      <b/>
      <i/>
      <sz val="8"/>
      <color theme="4" tint="0.39997558519241921"/>
      <name val="Calibri"/>
      <family val="2"/>
      <scheme val="minor"/>
    </font>
    <font>
      <b/>
      <i/>
      <sz val="8"/>
      <color theme="0" tint="-0.34998626667073579"/>
      <name val="Calibri"/>
      <family val="2"/>
      <scheme val="minor"/>
    </font>
    <font>
      <i/>
      <sz val="8"/>
      <color theme="0" tint="-0.3499862666707357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i/>
      <sz val="9"/>
      <color rgb="FFFFFF00"/>
      <name val="Calibri"/>
      <family val="2"/>
      <scheme val="minor"/>
    </font>
    <font>
      <b/>
      <sz val="9"/>
      <color rgb="FFFF0000"/>
      <name val="Arial"/>
      <family val="2"/>
    </font>
    <font>
      <sz val="8"/>
      <color rgb="FFC00000"/>
      <name val="Calibri"/>
      <family val="2"/>
      <scheme val="minor"/>
    </font>
    <font>
      <b/>
      <sz val="13"/>
      <color theme="3"/>
      <name val="Calibri"/>
      <family val="2"/>
      <charset val="178"/>
      <scheme val="minor"/>
    </font>
    <font>
      <sz val="11"/>
      <color rgb="FF006100"/>
      <name val="Calibri"/>
      <family val="2"/>
      <charset val="178"/>
      <scheme val="minor"/>
    </font>
    <font>
      <b/>
      <i/>
      <sz val="11"/>
      <color rgb="FFFFFF00"/>
      <name val="Calibri"/>
      <family val="2"/>
      <scheme val="minor"/>
    </font>
    <font>
      <b/>
      <i/>
      <sz val="13"/>
      <color theme="3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8"/>
      <color theme="0"/>
      <name val="Calibri"/>
      <family val="2"/>
      <charset val="178"/>
      <scheme val="minor"/>
    </font>
    <font>
      <sz val="8"/>
      <color rgb="FF92D050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i/>
      <sz val="8"/>
      <color rgb="FF00B0F0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i/>
      <sz val="11"/>
      <color theme="9" tint="0.39997558519241921"/>
      <name val="Calibri"/>
      <family val="2"/>
      <scheme val="minor"/>
    </font>
    <font>
      <sz val="10"/>
      <color theme="9" tint="0.39997558519241921"/>
      <name val="Calibri"/>
      <family val="2"/>
      <scheme val="minor"/>
    </font>
    <font>
      <b/>
      <i/>
      <sz val="10"/>
      <color rgb="FF92D05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8"/>
      <color theme="4" tint="0.39997558519241921"/>
      <name val="Calibri"/>
      <family val="2"/>
      <scheme val="minor"/>
    </font>
    <font>
      <sz val="9"/>
      <color rgb="FF92D050"/>
      <name val="Calibri"/>
      <family val="2"/>
      <scheme val="minor"/>
    </font>
    <font>
      <sz val="9"/>
      <color theme="4" tint="0.39997558519241921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9"/>
      <color theme="4" tint="0.39997558519241921"/>
      <name val="Calibri"/>
      <family val="2"/>
      <scheme val="minor"/>
    </font>
    <font>
      <b/>
      <i/>
      <u/>
      <sz val="14"/>
      <color rgb="FF000000"/>
      <name val="Open Sans"/>
      <family val="2"/>
    </font>
    <font>
      <sz val="11"/>
      <color rgb="FF000000"/>
      <name val="Calibri"/>
      <family val="2"/>
      <charset val="204"/>
    </font>
    <font>
      <b/>
      <i/>
      <sz val="18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92D05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i/>
      <sz val="9"/>
      <color theme="3" tint="-0.249977111117893"/>
      <name val="Calibri"/>
      <family val="2"/>
      <scheme val="minor"/>
    </font>
    <font>
      <b/>
      <sz val="8"/>
      <color theme="0" tint="-4.9989318521683403E-2"/>
      <name val="Calibri"/>
      <family val="2"/>
      <scheme val="minor"/>
    </font>
    <font>
      <b/>
      <i/>
      <sz val="9"/>
      <color theme="3" tint="-0.249977111117893"/>
      <name val="Calibri"/>
      <family val="2"/>
      <scheme val="minor"/>
    </font>
    <font>
      <b/>
      <sz val="9"/>
      <name val="Arial"/>
      <family val="2"/>
    </font>
    <font>
      <b/>
      <i/>
      <u/>
      <sz val="9"/>
      <color rgb="FFFF0000"/>
      <name val="Arial"/>
      <family val="2"/>
    </font>
    <font>
      <b/>
      <sz val="8"/>
      <color theme="1"/>
      <name val="Arial"/>
      <family val="2"/>
    </font>
    <font>
      <sz val="8"/>
      <color theme="0" tint="-4.9989318521683403E-2"/>
      <name val="Arial"/>
      <family val="2"/>
    </font>
    <font>
      <b/>
      <i/>
      <sz val="8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1"/>
      <color theme="3" tint="-0.249977111117893"/>
      <name val="Calibri"/>
      <family val="2"/>
      <scheme val="minor"/>
    </font>
    <font>
      <b/>
      <i/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8"/>
      <color theme="0" tint="-4.9989318521683403E-2"/>
      <name val="Cascadia Code"/>
      <family val="3"/>
    </font>
    <font>
      <sz val="8"/>
      <color theme="0" tint="-4.9989318521683403E-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i/>
      <u/>
      <sz val="11"/>
      <color rgb="FFFFFF00"/>
      <name val="Calibri"/>
      <family val="2"/>
      <scheme val="minor"/>
    </font>
    <font>
      <sz val="5"/>
      <color theme="0" tint="-0.499984740745262"/>
      <name val="Calibri"/>
      <family val="2"/>
      <scheme val="minor"/>
    </font>
    <font>
      <i/>
      <sz val="7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b/>
      <i/>
      <sz val="9"/>
      <color rgb="FFFFFF00"/>
      <name val="Arial"/>
      <family val="2"/>
    </font>
    <font>
      <b/>
      <sz val="8"/>
      <color theme="0"/>
      <name val="Arial"/>
      <family val="2"/>
      <charset val="178"/>
    </font>
    <font>
      <b/>
      <sz val="8"/>
      <color theme="0"/>
      <name val="Calibri"/>
      <family val="2"/>
      <charset val="178"/>
      <scheme val="minor"/>
    </font>
    <font>
      <b/>
      <i/>
      <u val="singleAccounting"/>
      <sz val="8"/>
      <color theme="0"/>
      <name val="Calibri"/>
      <family val="2"/>
      <scheme val="minor"/>
    </font>
    <font>
      <b/>
      <i/>
      <sz val="12"/>
      <color theme="0" tint="-4.9989318521683403E-2"/>
      <name val="Arial"/>
      <family val="2"/>
    </font>
    <font>
      <sz val="6"/>
      <color theme="5" tint="0.39997558519241921"/>
      <name val="Calibri"/>
      <family val="2"/>
      <scheme val="minor"/>
    </font>
    <font>
      <i/>
      <sz val="14"/>
      <color theme="0"/>
      <name val="Cambria"/>
      <family val="1"/>
      <scheme val="major"/>
    </font>
    <font>
      <i/>
      <sz val="11"/>
      <color theme="0"/>
      <name val="Cambria"/>
      <family val="1"/>
      <scheme val="major"/>
    </font>
    <font>
      <i/>
      <sz val="12"/>
      <color theme="0" tint="-0.249977111117893"/>
      <name val="Cambria"/>
      <family val="1"/>
      <scheme val="major"/>
    </font>
    <font>
      <b/>
      <sz val="8"/>
      <color theme="5" tint="0.39997558519241921"/>
      <name val="Calibri"/>
      <family val="2"/>
      <scheme val="minor"/>
    </font>
    <font>
      <b/>
      <i/>
      <sz val="8"/>
      <color theme="5" tint="0.3999755851924192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i/>
      <sz val="10"/>
      <color theme="3" tint="0.59999389629810485"/>
      <name val="Calibri"/>
      <family val="2"/>
      <scheme val="minor"/>
    </font>
    <font>
      <b/>
      <i/>
      <sz val="8"/>
      <color theme="3" tint="0.59999389629810485"/>
      <name val="Calibri"/>
      <family val="2"/>
      <scheme val="minor"/>
    </font>
    <font>
      <b/>
      <sz val="8"/>
      <color theme="6" tint="0.39997558519241921"/>
      <name val="Calibri"/>
      <family val="2"/>
      <scheme val="minor"/>
    </font>
    <font>
      <i/>
      <sz val="10"/>
      <color theme="0" tint="-0.14999847407452621"/>
      <name val="Calibri"/>
      <family val="2"/>
      <scheme val="minor"/>
    </font>
    <font>
      <b/>
      <i/>
      <sz val="8"/>
      <color rgb="FFFFFF00"/>
      <name val="Cascadia Code"/>
      <family val="3"/>
    </font>
    <font>
      <sz val="8"/>
      <color theme="3" tint="0.59999389629810485"/>
      <name val="Calibri"/>
      <family val="2"/>
      <scheme val="minor"/>
    </font>
    <font>
      <sz val="9"/>
      <color theme="6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b/>
      <i/>
      <u val="singleAccounting"/>
      <sz val="8"/>
      <color rgb="FFFFFF00"/>
      <name val="Calibri"/>
      <family val="2"/>
      <scheme val="minor"/>
    </font>
    <font>
      <b/>
      <i/>
      <sz val="7"/>
      <color theme="0"/>
      <name val="Calibri"/>
      <family val="2"/>
      <scheme val="minor"/>
    </font>
    <font>
      <b/>
      <sz val="7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7"/>
      <color theme="3" tint="0.59999389629810485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i/>
      <u/>
      <sz val="11"/>
      <color rgb="FF002060"/>
      <name val="Calibri"/>
      <family val="2"/>
      <scheme val="minor"/>
    </font>
    <font>
      <i/>
      <u/>
      <sz val="11"/>
      <color rgb="FF92D05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10"/>
      <color rgb="FF00610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8"/>
      <color theme="0" tint="-0.249977111117893"/>
      <name val="Cascadia Code"/>
      <family val="3"/>
    </font>
    <font>
      <sz val="8"/>
      <color theme="0"/>
      <name val="Cascadia Code"/>
      <family val="3"/>
    </font>
    <font>
      <b/>
      <sz val="8"/>
      <color rgb="FFFFFF00"/>
      <name val="Cascadia Code"/>
      <family val="3"/>
    </font>
    <font>
      <b/>
      <i/>
      <sz val="10"/>
      <color rgb="FF002060"/>
      <name val="Cascadia Code"/>
      <family val="3"/>
    </font>
    <font>
      <b/>
      <i/>
      <u val="singleAccounting"/>
      <sz val="14"/>
      <color rgb="FFFFFF00"/>
      <name val="Calibri"/>
      <family val="2"/>
      <scheme val="minor"/>
    </font>
    <font>
      <b/>
      <i/>
      <sz val="14"/>
      <color rgb="FFFFFF00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sz val="8"/>
      <color rgb="FF002060"/>
      <name val="Calibri"/>
      <family val="2"/>
      <scheme val="minor"/>
    </font>
    <font>
      <b/>
      <i/>
      <sz val="10"/>
      <color rgb="FF002060"/>
      <name val="Cambria"/>
      <family val="1"/>
      <scheme val="major"/>
    </font>
    <font>
      <sz val="9"/>
      <color rgb="FF002060"/>
      <name val="Calibri"/>
      <family val="2"/>
      <scheme val="minor"/>
    </font>
    <font>
      <b/>
      <i/>
      <sz val="9"/>
      <color rgb="FF002060"/>
      <name val="Calibri"/>
      <family val="2"/>
      <scheme val="minor"/>
    </font>
    <font>
      <b/>
      <i/>
      <sz val="9"/>
      <color rgb="FF002060"/>
      <name val="Cambria"/>
      <family val="1"/>
      <scheme val="major"/>
    </font>
    <font>
      <b/>
      <i/>
      <sz val="11"/>
      <color rgb="FFC00000"/>
      <name val="Cambria"/>
      <family val="1"/>
      <scheme val="major"/>
    </font>
    <font>
      <b/>
      <i/>
      <sz val="10"/>
      <color rgb="FFC00000"/>
      <name val="Cambria"/>
      <family val="1"/>
      <scheme val="major"/>
    </font>
    <font>
      <sz val="11"/>
      <color rgb="FF9C5700"/>
      <name val="Calibri"/>
      <family val="2"/>
      <charset val="178"/>
      <scheme val="minor"/>
    </font>
    <font>
      <b/>
      <sz val="11"/>
      <color theme="0"/>
      <name val="Calibri"/>
      <family val="2"/>
      <charset val="178"/>
      <scheme val="minor"/>
    </font>
    <font>
      <b/>
      <sz val="8"/>
      <color rgb="FF0070C0"/>
      <name val="Calibri"/>
      <family val="2"/>
      <charset val="178"/>
      <scheme val="minor"/>
    </font>
    <font>
      <b/>
      <sz val="16"/>
      <color theme="1"/>
      <name val="Calibri"/>
      <family val="2"/>
      <charset val="178"/>
      <scheme val="minor"/>
    </font>
    <font>
      <b/>
      <i/>
      <sz val="11"/>
      <color rgb="FF9C5700"/>
      <name val="Calibri"/>
      <family val="2"/>
      <scheme val="minor"/>
    </font>
    <font>
      <b/>
      <i/>
      <sz val="14"/>
      <color rgb="FF002060"/>
      <name val="Calibri"/>
      <family val="2"/>
      <scheme val="minor"/>
    </font>
    <font>
      <b/>
      <sz val="9"/>
      <color theme="5" tint="0.59999389629810485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rgb="FF002060"/>
      <name val="Cascadia Code"/>
      <family val="3"/>
    </font>
    <font>
      <b/>
      <sz val="14"/>
      <color theme="1"/>
      <name val="Calibri"/>
      <family val="2"/>
      <charset val="178"/>
      <scheme val="minor"/>
    </font>
    <font>
      <b/>
      <i/>
      <u/>
      <sz val="18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i/>
      <sz val="14"/>
      <color rgb="FF002060"/>
      <name val="Cambria"/>
      <family val="1"/>
      <scheme val="major"/>
    </font>
    <font>
      <b/>
      <i/>
      <sz val="16"/>
      <color theme="0"/>
      <name val="Calibri"/>
      <family val="2"/>
      <scheme val="minor"/>
    </font>
    <font>
      <b/>
      <i/>
      <sz val="8"/>
      <color rgb="FF92D050"/>
      <name val="Calibri"/>
      <family val="2"/>
      <scheme val="minor"/>
    </font>
    <font>
      <sz val="8"/>
      <color theme="4" tint="0.3999755851924192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1"/>
      <name val="Calibri"/>
      <family val="2"/>
      <charset val="178"/>
      <scheme val="minor"/>
    </font>
    <font>
      <b/>
      <sz val="12"/>
      <color rgb="FFFFFF00"/>
      <name val="Calibri"/>
      <family val="2"/>
      <charset val="178"/>
      <scheme val="minor"/>
    </font>
    <font>
      <b/>
      <sz val="10"/>
      <color theme="1"/>
      <name val="Cascadia Code"/>
      <family val="3"/>
      <charset val="178"/>
    </font>
    <font>
      <b/>
      <sz val="10"/>
      <color rgb="FFFFFF00"/>
      <name val="Calibri"/>
      <family val="2"/>
      <charset val="178"/>
      <scheme val="minor"/>
    </font>
    <font>
      <b/>
      <sz val="11"/>
      <color theme="3"/>
      <name val="Calibri"/>
      <family val="2"/>
      <charset val="178"/>
      <scheme val="minor"/>
    </font>
    <font>
      <sz val="11"/>
      <color rgb="FF9C0006"/>
      <name val="Calibri"/>
      <family val="2"/>
      <charset val="178"/>
      <scheme val="minor"/>
    </font>
    <font>
      <sz val="11"/>
      <color rgb="FF3F3F76"/>
      <name val="Calibri"/>
      <family val="2"/>
      <charset val="178"/>
      <scheme val="minor"/>
    </font>
    <font>
      <b/>
      <sz val="11"/>
      <color rgb="FF3F3F3F"/>
      <name val="Calibri"/>
      <family val="2"/>
      <charset val="178"/>
      <scheme val="minor"/>
    </font>
    <font>
      <sz val="11"/>
      <color theme="0"/>
      <name val="Calibri"/>
      <family val="2"/>
      <charset val="178"/>
      <scheme val="minor"/>
    </font>
    <font>
      <sz val="8"/>
      <color rgb="FF9C0006"/>
      <name val="Calibri"/>
      <family val="2"/>
      <charset val="178"/>
      <scheme val="minor"/>
    </font>
    <font>
      <sz val="10"/>
      <color rgb="FF000000"/>
      <name val="Times New Roman"/>
      <family val="1"/>
    </font>
    <font>
      <b/>
      <i/>
      <sz val="11"/>
      <color theme="1" tint="0.249977111117893"/>
      <name val="Calibri"/>
      <family val="2"/>
      <scheme val="minor"/>
    </font>
    <font>
      <b/>
      <i/>
      <sz val="11"/>
      <color rgb="FF3F3F3F"/>
      <name val="Calibri"/>
      <family val="2"/>
      <scheme val="minor"/>
    </font>
    <font>
      <b/>
      <i/>
      <sz val="8"/>
      <color rgb="FF3F3F3F"/>
      <name val="Calibri"/>
      <family val="2"/>
      <scheme val="minor"/>
    </font>
    <font>
      <b/>
      <u/>
      <sz val="11"/>
      <color theme="3"/>
      <name val="Calibri"/>
      <family val="2"/>
      <charset val="178"/>
      <scheme val="minor"/>
    </font>
    <font>
      <b/>
      <sz val="14"/>
      <color rgb="FFC00000"/>
      <name val="Calibri"/>
      <family val="2"/>
      <charset val="178"/>
      <scheme val="minor"/>
    </font>
    <font>
      <u/>
      <sz val="10"/>
      <color theme="1"/>
      <name val="Calibri"/>
      <family val="2"/>
      <scheme val="minor"/>
    </font>
    <font>
      <b/>
      <i/>
      <sz val="11"/>
      <color rgb="FF9C0006"/>
      <name val="Calibri"/>
      <family val="2"/>
      <scheme val="minor"/>
    </font>
    <font>
      <b/>
      <i/>
      <sz val="11"/>
      <color rgb="FF3F3F76"/>
      <name val="Calibri"/>
      <family val="2"/>
      <scheme val="minor"/>
    </font>
    <font>
      <b/>
      <i/>
      <sz val="10"/>
      <color rgb="FF00B0F0"/>
      <name val="Calibri"/>
      <family val="2"/>
      <scheme val="minor"/>
    </font>
    <font>
      <sz val="9"/>
      <color rgb="FF000000"/>
      <name val="Arial"/>
      <family val="2"/>
    </font>
    <font>
      <b/>
      <i/>
      <sz val="11"/>
      <color rgb="FF0070C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sz val="14"/>
      <color theme="0"/>
      <name val="Agency FB"/>
      <family val="2"/>
    </font>
    <font>
      <b/>
      <i/>
      <sz val="18"/>
      <color rgb="FFFFFF00"/>
      <name val="Agency FB"/>
      <family val="2"/>
    </font>
    <font>
      <b/>
      <sz val="12"/>
      <color theme="0"/>
      <name val="Agency FB"/>
      <family val="2"/>
    </font>
    <font>
      <b/>
      <sz val="8"/>
      <color theme="0"/>
      <name val="Agency FB"/>
      <family val="2"/>
    </font>
    <font>
      <b/>
      <sz val="8"/>
      <color theme="0" tint="-0.34998626667073579"/>
      <name val="Calibri"/>
      <family val="2"/>
      <scheme val="minor"/>
    </font>
    <font>
      <b/>
      <sz val="8"/>
      <color theme="0" tint="-0.34998626667073579"/>
      <name val="Agency FB"/>
      <family val="2"/>
    </font>
    <font>
      <b/>
      <i/>
      <sz val="18"/>
      <color theme="0"/>
      <name val="Cambria"/>
      <family val="1"/>
      <scheme val="major"/>
    </font>
    <font>
      <i/>
      <sz val="18"/>
      <color theme="1"/>
      <name val="Cambria"/>
      <family val="1"/>
      <scheme val="major"/>
    </font>
    <font>
      <b/>
      <i/>
      <sz val="18"/>
      <color rgb="FF92D050"/>
      <name val="Cambria"/>
      <family val="1"/>
      <scheme val="major"/>
    </font>
    <font>
      <b/>
      <i/>
      <sz val="18"/>
      <color theme="4" tint="-0.499984740745262"/>
      <name val="Cambria"/>
      <family val="1"/>
      <scheme val="major"/>
    </font>
    <font>
      <b/>
      <i/>
      <sz val="10"/>
      <color indexed="9"/>
      <name val="Calibri"/>
      <family val="2"/>
      <scheme val="minor"/>
    </font>
    <font>
      <sz val="8"/>
      <color theme="0" tint="-0.14999847407452621"/>
      <name val="Calibri"/>
      <family val="2"/>
      <charset val="178"/>
      <scheme val="minor"/>
    </font>
    <font>
      <b/>
      <i/>
      <sz val="10"/>
      <color rgb="FF002060"/>
      <name val="Calibri"/>
      <family val="2"/>
      <scheme val="minor"/>
    </font>
    <font>
      <sz val="8"/>
      <color theme="9" tint="0.39997558519241921"/>
      <name val="Calibri"/>
      <family val="2"/>
      <scheme val="minor"/>
    </font>
    <font>
      <b/>
      <i/>
      <sz val="9"/>
      <color theme="9" tint="0.39997558519241921"/>
      <name val="Calibri"/>
      <family val="2"/>
      <scheme val="minor"/>
    </font>
    <font>
      <i/>
      <sz val="8"/>
      <color theme="4" tint="0.39997558519241921"/>
      <name val="Cambria"/>
      <family val="1"/>
      <charset val="178"/>
    </font>
    <font>
      <i/>
      <sz val="8"/>
      <color theme="4" tint="0.39997558519241921"/>
      <name val="Calibri"/>
      <family val="2"/>
      <charset val="178"/>
      <scheme val="minor"/>
    </font>
    <font>
      <i/>
      <vertAlign val="superscript"/>
      <sz val="8"/>
      <color theme="4" tint="0.39997558519241921"/>
      <name val="Calibri"/>
      <family val="2"/>
      <scheme val="minor"/>
    </font>
    <font>
      <i/>
      <sz val="8"/>
      <color theme="4" tint="0.39997558519241921"/>
      <name val="Arial"/>
      <family val="2"/>
      <charset val="178"/>
    </font>
    <font>
      <i/>
      <sz val="8"/>
      <color theme="4" tint="0.39997558519241921"/>
      <name val="Arial"/>
      <family val="2"/>
    </font>
    <font>
      <i/>
      <sz val="8"/>
      <color theme="4" tint="0.39997558519241921"/>
      <name val="Verdana"/>
      <family val="2"/>
      <charset val="178"/>
    </font>
    <font>
      <i/>
      <vertAlign val="superscript"/>
      <sz val="8"/>
      <color theme="4" tint="0.39997558519241921"/>
      <name val="Verdana"/>
      <family val="2"/>
    </font>
    <font>
      <i/>
      <sz val="8"/>
      <color theme="4" tint="0.39997558519241921"/>
      <name val="Verdana"/>
      <family val="2"/>
    </font>
    <font>
      <i/>
      <sz val="8"/>
      <color theme="4" tint="0.39997558519241921"/>
      <name val="Cambria"/>
      <family val="1"/>
    </font>
    <font>
      <sz val="8"/>
      <color rgb="FFFFFF00"/>
      <name val="Calibri"/>
      <family val="2"/>
      <charset val="178"/>
      <scheme val="minor"/>
    </font>
    <font>
      <b/>
      <sz val="8"/>
      <color theme="9" tint="0.39997558519241921"/>
      <name val="Calibri"/>
      <family val="2"/>
      <scheme val="minor"/>
    </font>
    <font>
      <b/>
      <i/>
      <u/>
      <sz val="14"/>
      <color theme="1"/>
      <name val="Cambria"/>
      <family val="1"/>
      <scheme val="major"/>
    </font>
    <font>
      <sz val="8"/>
      <color rgb="FF00B0F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charset val="178"/>
      <scheme val="minor"/>
    </font>
    <font>
      <sz val="16"/>
      <color theme="1"/>
      <name val="Calibri"/>
      <family val="2"/>
      <scheme val="minor"/>
    </font>
    <font>
      <b/>
      <i/>
      <sz val="14"/>
      <color rgb="FF000000"/>
      <name val="Calibri Light"/>
      <family val="2"/>
    </font>
    <font>
      <b/>
      <i/>
      <sz val="12"/>
      <color rgb="FF000000"/>
      <name val="Calibri Light"/>
      <family val="2"/>
    </font>
    <font>
      <i/>
      <sz val="12"/>
      <color rgb="FF000000"/>
      <name val="Calibri Light"/>
      <family val="2"/>
    </font>
    <font>
      <b/>
      <i/>
      <sz val="11"/>
      <color rgb="FF0000CC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b/>
      <i/>
      <sz val="9"/>
      <name val="Calibri"/>
      <family val="2"/>
      <scheme val="minor"/>
    </font>
    <font>
      <i/>
      <sz val="8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002060"/>
      <name val="Calibri"/>
      <family val="2"/>
      <scheme val="minor"/>
    </font>
    <font>
      <b/>
      <i/>
      <sz val="8"/>
      <color theme="9" tint="0.3999755851924192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4"/>
      <color rgb="FF000000"/>
      <name val="Cambria"/>
      <family val="1"/>
    </font>
    <font>
      <b/>
      <i/>
      <sz val="12"/>
      <color rgb="FF000000"/>
      <name val="Cambria"/>
      <family val="1"/>
    </font>
    <font>
      <i/>
      <sz val="12"/>
      <color rgb="FF000000"/>
      <name val="Cambria"/>
      <family val="1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i/>
      <sz val="10"/>
      <color theme="3" tint="-0.499984740745262"/>
      <name val="Calibri"/>
      <family val="2"/>
      <scheme val="minor"/>
    </font>
    <font>
      <b/>
      <sz val="11"/>
      <color theme="0"/>
      <name val="Bahnschrift"/>
      <family val="2"/>
    </font>
    <font>
      <i/>
      <u/>
      <sz val="11"/>
      <color rgb="FFFFFF00"/>
      <name val="Calibri"/>
      <family val="2"/>
      <scheme val="minor"/>
    </font>
    <font>
      <b/>
      <i/>
      <sz val="16"/>
      <color theme="5" tint="0.59999389629810485"/>
      <name val="Bell MT"/>
      <family val="1"/>
    </font>
    <font>
      <b/>
      <i/>
      <u/>
      <sz val="16"/>
      <color rgb="FFFFC000"/>
      <name val="Bell MT"/>
      <family val="1"/>
    </font>
    <font>
      <b/>
      <i/>
      <sz val="12"/>
      <color rgb="FF0000CC"/>
      <name val="Calibri"/>
      <family val="2"/>
      <scheme val="minor"/>
    </font>
    <font>
      <sz val="12"/>
      <color theme="4" tint="-0.249977111117893"/>
      <name val="Bahnschrift Condensed"/>
      <family val="2"/>
    </font>
    <font>
      <i/>
      <sz val="10"/>
      <color rgb="FFFFFF00"/>
      <name val="Calibri"/>
      <family val="2"/>
      <scheme val="minor"/>
    </font>
    <font>
      <b/>
      <i/>
      <sz val="11"/>
      <color rgb="FF0066FF"/>
      <name val="Calibri"/>
      <family val="2"/>
      <scheme val="minor"/>
    </font>
    <font>
      <b/>
      <sz val="9"/>
      <color rgb="FF0066FF"/>
      <name val="Arial"/>
      <family val="2"/>
    </font>
    <font>
      <b/>
      <sz val="10"/>
      <color rgb="FF0066FF"/>
      <name val="Arial"/>
      <family val="2"/>
    </font>
    <font>
      <b/>
      <u val="singleAccounting"/>
      <sz val="14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sz val="11"/>
      <color rgb="FFFF0000"/>
      <name val="Calibri"/>
      <family val="2"/>
      <charset val="178"/>
      <scheme val="minor"/>
    </font>
    <font>
      <b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i/>
      <sz val="14"/>
      <color rgb="FF000000"/>
      <name val="Times New Roman"/>
      <family val="1"/>
    </font>
    <font>
      <b/>
      <sz val="1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9"/>
      <color rgb="FF0070C0"/>
      <name val="Arial"/>
      <family val="2"/>
    </font>
    <font>
      <i/>
      <sz val="8"/>
      <color theme="9" tint="-0.249977111117893"/>
      <name val="Calibri"/>
      <family val="2"/>
      <scheme val="minor"/>
    </font>
    <font>
      <b/>
      <i/>
      <sz val="8"/>
      <color theme="1" tint="4.9989318521683403E-2"/>
      <name val="Calibri"/>
      <family val="2"/>
      <scheme val="minor"/>
    </font>
    <font>
      <b/>
      <i/>
      <sz val="18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8"/>
      <color theme="1" tint="4.9989318521683403E-2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5"/>
      </patternFill>
    </fill>
    <fill>
      <patternFill patternType="lightDown">
        <fgColor rgb="FFC00000"/>
        <bgColor theme="0"/>
      </patternFill>
    </fill>
    <fill>
      <patternFill patternType="solid">
        <fgColor rgb="FFE5E0EC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3" tint="0.59999389629810485"/>
        <bgColor indexed="64"/>
      </patternFill>
    </fill>
  </fills>
  <borders count="16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rgb="FFFF0000"/>
      </right>
      <top/>
      <bottom/>
      <diagonal/>
    </border>
    <border>
      <left style="thin">
        <color rgb="FFFF0000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theme="0"/>
      </bottom>
      <diagonal/>
    </border>
    <border>
      <left/>
      <right style="thin">
        <color indexed="64"/>
      </right>
      <top style="thin">
        <color theme="0"/>
      </top>
      <bottom style="double">
        <color theme="0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3" tint="0.39997558519241921"/>
      </top>
      <bottom/>
      <diagonal/>
    </border>
    <border>
      <left/>
      <right/>
      <top/>
      <bottom style="double">
        <color theme="3" tint="0.3999755851924192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double">
        <color theme="6" tint="-0.249977111117893"/>
      </bottom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C00000"/>
      </bottom>
      <diagonal/>
    </border>
    <border>
      <left style="thin">
        <color rgb="FFC00000"/>
      </left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double">
        <color rgb="FF3F3F3F"/>
      </top>
      <bottom style="double">
        <color rgb="FF3F3F3F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rgb="FF7F7F7F"/>
      </top>
      <bottom style="thin">
        <color rgb="FF7F7F7F"/>
      </bottom>
      <diagonal/>
    </border>
    <border>
      <left style="double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/>
      <top/>
      <bottom/>
      <diagonal/>
    </border>
    <border>
      <left style="hair">
        <color indexed="64"/>
      </left>
      <right/>
      <top style="double">
        <color theme="4"/>
      </top>
      <bottom style="hair">
        <color indexed="64"/>
      </bottom>
      <diagonal/>
    </border>
    <border>
      <left/>
      <right/>
      <top style="double">
        <color theme="4"/>
      </top>
      <bottom style="hair">
        <color indexed="64"/>
      </bottom>
      <diagonal/>
    </border>
    <border>
      <left/>
      <right style="hair">
        <color indexed="64"/>
      </right>
      <top style="double">
        <color theme="4"/>
      </top>
      <bottom style="hair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5" tint="-0.499984740745262"/>
      </top>
      <bottom style="double">
        <color theme="5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/>
      <right/>
      <top/>
      <bottom style="double">
        <color theme="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</borders>
  <cellStyleXfs count="25">
    <xf numFmtId="0" fontId="0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91" fillId="0" borderId="0"/>
    <xf numFmtId="176" fontId="91" fillId="0" borderId="0" applyFont="0" applyFill="0" applyBorder="0" applyAlignment="0" applyProtection="0"/>
    <xf numFmtId="175" fontId="91" fillId="0" borderId="0" applyFont="0" applyFill="0" applyBorder="0" applyAlignment="0" applyProtection="0"/>
    <xf numFmtId="176" fontId="91" fillId="0" borderId="0" applyFont="0" applyFill="0" applyBorder="0" applyAlignment="0" applyProtection="0"/>
    <xf numFmtId="0" fontId="141" fillId="0" borderId="78" applyNumberFormat="0" applyFill="0" applyAlignment="0" applyProtection="0"/>
    <xf numFmtId="0" fontId="142" fillId="38" borderId="0" applyNumberFormat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62" fillId="0" borderId="0"/>
    <xf numFmtId="0" fontId="251" fillId="51" borderId="0" applyNumberFormat="0" applyBorder="0" applyAlignment="0" applyProtection="0"/>
    <xf numFmtId="0" fontId="252" fillId="39" borderId="79" applyNumberFormat="0" applyAlignment="0" applyProtection="0"/>
    <xf numFmtId="0" fontId="274" fillId="0" borderId="118" applyNumberFormat="0" applyFill="0" applyAlignment="0" applyProtection="0"/>
    <xf numFmtId="0" fontId="275" fillId="53" borderId="0" applyNumberFormat="0" applyBorder="0" applyAlignment="0" applyProtection="0"/>
    <xf numFmtId="0" fontId="276" fillId="54" borderId="119" applyNumberFormat="0" applyAlignment="0" applyProtection="0"/>
    <xf numFmtId="0" fontId="277" fillId="55" borderId="120" applyNumberFormat="0" applyAlignment="0" applyProtection="0"/>
    <xf numFmtId="0" fontId="4" fillId="56" borderId="121" applyNumberFormat="0" applyFont="0" applyAlignment="0" applyProtection="0"/>
    <xf numFmtId="0" fontId="42" fillId="0" borderId="122" applyNumberFormat="0" applyFill="0" applyAlignment="0" applyProtection="0"/>
    <xf numFmtId="0" fontId="278" fillId="57" borderId="0" applyNumberFormat="0" applyBorder="0" applyAlignment="0" applyProtection="0"/>
    <xf numFmtId="0" fontId="278" fillId="58" borderId="0" applyNumberFormat="0" applyBorder="0" applyAlignment="0" applyProtection="0"/>
    <xf numFmtId="0" fontId="1" fillId="59" borderId="0" applyNumberFormat="0" applyBorder="0" applyAlignment="0" applyProtection="0"/>
  </cellStyleXfs>
  <cellXfs count="1980">
    <xf numFmtId="0" fontId="0" fillId="0" borderId="0" xfId="0"/>
    <xf numFmtId="0" fontId="0" fillId="3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2" borderId="0" xfId="0" applyFill="1"/>
    <xf numFmtId="0" fontId="16" fillId="2" borderId="1" xfId="0" applyFont="1" applyFill="1" applyBorder="1" applyAlignment="1">
      <alignment horizontal="center" vertical="center" wrapText="1"/>
    </xf>
    <xf numFmtId="0" fontId="0" fillId="18" borderId="0" xfId="0" applyFill="1"/>
    <xf numFmtId="0" fontId="0" fillId="2" borderId="1" xfId="0" applyFill="1" applyBorder="1"/>
    <xf numFmtId="0" fontId="5" fillId="12" borderId="1" xfId="0" applyFont="1" applyFill="1" applyBorder="1"/>
    <xf numFmtId="0" fontId="0" fillId="19" borderId="0" xfId="0" applyFill="1"/>
    <xf numFmtId="0" fontId="0" fillId="5" borderId="1" xfId="0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3" fontId="0" fillId="0" borderId="0" xfId="0" applyNumberFormat="1"/>
    <xf numFmtId="0" fontId="0" fillId="9" borderId="0" xfId="0" applyFill="1"/>
    <xf numFmtId="0" fontId="0" fillId="4" borderId="0" xfId="0" applyFill="1"/>
    <xf numFmtId="0" fontId="0" fillId="21" borderId="0" xfId="0" applyFill="1"/>
    <xf numFmtId="3" fontId="0" fillId="3" borderId="0" xfId="0" applyNumberFormat="1" applyFill="1"/>
    <xf numFmtId="0" fontId="5" fillId="3" borderId="0" xfId="0" applyFont="1" applyFill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23" fillId="3" borderId="0" xfId="0" applyFont="1" applyFill="1" applyAlignment="1">
      <alignment horizontal="center" vertical="center"/>
    </xf>
    <xf numFmtId="4" fontId="8" fillId="3" borderId="0" xfId="0" applyNumberFormat="1" applyFont="1" applyFill="1" applyAlignment="1">
      <alignment horizontal="center" vertical="center"/>
    </xf>
    <xf numFmtId="0" fontId="9" fillId="3" borderId="0" xfId="0" applyFont="1" applyFill="1"/>
    <xf numFmtId="0" fontId="23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 applyAlignment="1">
      <alignment horizontal="left"/>
    </xf>
    <xf numFmtId="165" fontId="5" fillId="12" borderId="1" xfId="2" applyFont="1" applyFill="1" applyBorder="1"/>
    <xf numFmtId="0" fontId="25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65" fontId="0" fillId="13" borderId="1" xfId="2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left"/>
    </xf>
    <xf numFmtId="0" fontId="0" fillId="23" borderId="0" xfId="0" applyFill="1"/>
    <xf numFmtId="0" fontId="5" fillId="3" borderId="1" xfId="0" applyFont="1" applyFill="1" applyBorder="1"/>
    <xf numFmtId="0" fontId="0" fillId="23" borderId="1" xfId="0" applyFill="1" applyBorder="1"/>
    <xf numFmtId="0" fontId="0" fillId="24" borderId="0" xfId="0" applyFill="1"/>
    <xf numFmtId="0" fontId="27" fillId="6" borderId="0" xfId="0" applyFont="1" applyFill="1"/>
    <xf numFmtId="0" fontId="0" fillId="4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27" fillId="6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28" fillId="14" borderId="1" xfId="0" applyFont="1" applyFill="1" applyBorder="1" applyAlignment="1">
      <alignment vertical="center"/>
    </xf>
    <xf numFmtId="0" fontId="6" fillId="6" borderId="0" xfId="0" applyFont="1" applyFill="1"/>
    <xf numFmtId="14" fontId="0" fillId="0" borderId="0" xfId="0" applyNumberFormat="1"/>
    <xf numFmtId="0" fontId="0" fillId="20" borderId="0" xfId="0" applyFill="1"/>
    <xf numFmtId="167" fontId="0" fillId="13" borderId="1" xfId="1" applyNumberFormat="1" applyFont="1" applyFill="1" applyBorder="1"/>
    <xf numFmtId="0" fontId="0" fillId="8" borderId="0" xfId="0" applyFill="1"/>
    <xf numFmtId="0" fontId="33" fillId="22" borderId="1" xfId="0" applyFont="1" applyFill="1" applyBorder="1" applyAlignment="1">
      <alignment horizontal="left"/>
    </xf>
    <xf numFmtId="167" fontId="18" fillId="6" borderId="0" xfId="1" applyNumberFormat="1" applyFont="1" applyFill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9" fontId="8" fillId="0" borderId="21" xfId="0" applyNumberFormat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3" fillId="13" borderId="1" xfId="0" applyFont="1" applyFill="1" applyBorder="1"/>
    <xf numFmtId="0" fontId="37" fillId="2" borderId="1" xfId="0" applyFont="1" applyFill="1" applyBorder="1" applyAlignment="1">
      <alignment horizontal="center" vertical="center" wrapText="1"/>
    </xf>
    <xf numFmtId="0" fontId="33" fillId="22" borderId="1" xfId="0" applyFont="1" applyFill="1" applyBorder="1"/>
    <xf numFmtId="170" fontId="37" fillId="2" borderId="1" xfId="2" applyNumberFormat="1" applyFont="1" applyFill="1" applyBorder="1" applyAlignment="1">
      <alignment horizontal="center" vertical="center" wrapText="1"/>
    </xf>
    <xf numFmtId="170" fontId="33" fillId="2" borderId="1" xfId="2" applyNumberFormat="1" applyFont="1" applyFill="1" applyBorder="1"/>
    <xf numFmtId="167" fontId="37" fillId="2" borderId="1" xfId="1" applyNumberFormat="1" applyFont="1" applyFill="1" applyBorder="1" applyAlignment="1">
      <alignment horizontal="center" vertical="center" wrapText="1"/>
    </xf>
    <xf numFmtId="166" fontId="33" fillId="22" borderId="1" xfId="0" applyNumberFormat="1" applyFont="1" applyFill="1" applyBorder="1" applyAlignment="1">
      <alignment horizontal="center"/>
    </xf>
    <xf numFmtId="170" fontId="0" fillId="0" borderId="30" xfId="2" applyNumberFormat="1" applyFont="1" applyBorder="1"/>
    <xf numFmtId="170" fontId="0" fillId="0" borderId="1" xfId="2" applyNumberFormat="1" applyFont="1" applyBorder="1"/>
    <xf numFmtId="170" fontId="0" fillId="0" borderId="31" xfId="2" applyNumberFormat="1" applyFont="1" applyBorder="1"/>
    <xf numFmtId="170" fontId="3" fillId="5" borderId="30" xfId="2" applyNumberFormat="1" applyFont="1" applyFill="1" applyBorder="1" applyAlignment="1">
      <alignment horizontal="center"/>
    </xf>
    <xf numFmtId="0" fontId="0" fillId="27" borderId="0" xfId="0" applyFill="1"/>
    <xf numFmtId="49" fontId="33" fillId="22" borderId="1" xfId="0" applyNumberFormat="1" applyFont="1" applyFill="1" applyBorder="1" applyAlignment="1">
      <alignment horizontal="left"/>
    </xf>
    <xf numFmtId="3" fontId="0" fillId="27" borderId="0" xfId="0" applyNumberFormat="1" applyFill="1"/>
    <xf numFmtId="0" fontId="0" fillId="26" borderId="0" xfId="0" applyFill="1"/>
    <xf numFmtId="0" fontId="0" fillId="17" borderId="0" xfId="0" applyFill="1"/>
    <xf numFmtId="0" fontId="33" fillId="5" borderId="1" xfId="0" applyFont="1" applyFill="1" applyBorder="1" applyAlignment="1">
      <alignment horizontal="left"/>
    </xf>
    <xf numFmtId="0" fontId="24" fillId="0" borderId="0" xfId="0" applyFont="1"/>
    <xf numFmtId="0" fontId="24" fillId="0" borderId="0" xfId="0" applyFont="1" applyAlignment="1">
      <alignment horizontal="left"/>
    </xf>
    <xf numFmtId="0" fontId="33" fillId="0" borderId="0" xfId="0" applyFont="1"/>
    <xf numFmtId="0" fontId="0" fillId="28" borderId="0" xfId="0" applyFill="1"/>
    <xf numFmtId="0" fontId="0" fillId="25" borderId="0" xfId="0" applyFill="1"/>
    <xf numFmtId="0" fontId="0" fillId="0" borderId="0" xfId="0" applyAlignment="1"/>
    <xf numFmtId="0" fontId="33" fillId="0" borderId="1" xfId="0" applyFont="1" applyBorder="1" applyAlignment="1">
      <alignment horizontal="left"/>
    </xf>
    <xf numFmtId="0" fontId="24" fillId="2" borderId="0" xfId="0" applyFont="1" applyFill="1"/>
    <xf numFmtId="0" fontId="26" fillId="0" borderId="0" xfId="0" applyFont="1"/>
    <xf numFmtId="0" fontId="50" fillId="5" borderId="1" xfId="0" applyFont="1" applyFill="1" applyBorder="1" applyAlignment="1">
      <alignment horizontal="left"/>
    </xf>
    <xf numFmtId="49" fontId="50" fillId="5" borderId="1" xfId="0" applyNumberFormat="1" applyFont="1" applyFill="1" applyBorder="1" applyAlignment="1">
      <alignment horizontal="left"/>
    </xf>
    <xf numFmtId="0" fontId="55" fillId="5" borderId="1" xfId="0" applyFont="1" applyFill="1" applyBorder="1" applyAlignment="1">
      <alignment horizontal="left"/>
    </xf>
    <xf numFmtId="0" fontId="55" fillId="5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top"/>
    </xf>
    <xf numFmtId="1" fontId="33" fillId="0" borderId="0" xfId="0" applyNumberFormat="1" applyFont="1"/>
    <xf numFmtId="0" fontId="23" fillId="0" borderId="0" xfId="0" applyFont="1"/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63" fillId="0" borderId="21" xfId="0" applyFont="1" applyBorder="1" applyAlignment="1">
      <alignment horizontal="center" vertical="center"/>
    </xf>
    <xf numFmtId="9" fontId="63" fillId="0" borderId="21" xfId="3" applyFont="1" applyBorder="1" applyAlignment="1">
      <alignment horizontal="center" vertical="center"/>
    </xf>
    <xf numFmtId="3" fontId="63" fillId="0" borderId="21" xfId="0" applyNumberFormat="1" applyFont="1" applyBorder="1" applyAlignment="1">
      <alignment horizontal="center" vertical="center"/>
    </xf>
    <xf numFmtId="4" fontId="63" fillId="0" borderId="49" xfId="0" applyNumberFormat="1" applyFont="1" applyBorder="1" applyAlignment="1">
      <alignment horizontal="center" vertical="center"/>
    </xf>
    <xf numFmtId="0" fontId="63" fillId="0" borderId="50" xfId="0" applyFont="1" applyBorder="1" applyAlignment="1">
      <alignment horizontal="center" vertical="center"/>
    </xf>
    <xf numFmtId="9" fontId="63" fillId="0" borderId="50" xfId="3" applyFont="1" applyBorder="1" applyAlignment="1">
      <alignment horizontal="center" vertical="center"/>
    </xf>
    <xf numFmtId="3" fontId="63" fillId="0" borderId="50" xfId="0" applyNumberFormat="1" applyFont="1" applyBorder="1" applyAlignment="1">
      <alignment horizontal="center" vertical="center"/>
    </xf>
    <xf numFmtId="3" fontId="63" fillId="0" borderId="0" xfId="0" applyNumberFormat="1" applyFont="1" applyAlignment="1">
      <alignment vertical="center"/>
    </xf>
    <xf numFmtId="4" fontId="63" fillId="0" borderId="52" xfId="0" applyNumberFormat="1" applyFont="1" applyBorder="1" applyAlignment="1">
      <alignment horizontal="center" vertical="center"/>
    </xf>
    <xf numFmtId="9" fontId="62" fillId="0" borderId="54" xfId="3" applyFont="1" applyBorder="1" applyAlignment="1">
      <alignment horizontal="center" vertical="center"/>
    </xf>
    <xf numFmtId="3" fontId="62" fillId="0" borderId="54" xfId="0" applyNumberFormat="1" applyFont="1" applyBorder="1" applyAlignment="1">
      <alignment horizontal="center" vertical="center"/>
    </xf>
    <xf numFmtId="0" fontId="62" fillId="0" borderId="54" xfId="0" applyFont="1" applyBorder="1" applyAlignment="1">
      <alignment vertical="center"/>
    </xf>
    <xf numFmtId="4" fontId="62" fillId="0" borderId="55" xfId="0" applyNumberFormat="1" applyFont="1" applyBorder="1" applyAlignment="1">
      <alignment horizontal="center" vertical="center"/>
    </xf>
    <xf numFmtId="0" fontId="68" fillId="0" borderId="0" xfId="0" applyFont="1"/>
    <xf numFmtId="3" fontId="68" fillId="0" borderId="0" xfId="0" applyNumberFormat="1" applyFont="1"/>
    <xf numFmtId="4" fontId="60" fillId="0" borderId="41" xfId="0" applyNumberFormat="1" applyFont="1" applyBorder="1" applyAlignment="1">
      <alignment horizontal="center" vertical="center"/>
    </xf>
    <xf numFmtId="4" fontId="68" fillId="0" borderId="0" xfId="0" applyNumberFormat="1" applyFont="1"/>
    <xf numFmtId="4" fontId="64" fillId="0" borderId="4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69" fillId="0" borderId="0" xfId="0" applyFont="1" applyAlignment="1">
      <alignment horizontal="justify"/>
    </xf>
    <xf numFmtId="3" fontId="23" fillId="0" borderId="0" xfId="0" applyNumberFormat="1" applyFont="1" applyAlignment="1">
      <alignment horizontal="center"/>
    </xf>
    <xf numFmtId="0" fontId="72" fillId="5" borderId="50" xfId="0" applyFont="1" applyFill="1" applyBorder="1" applyAlignment="1">
      <alignment horizontal="center" vertical="center"/>
    </xf>
    <xf numFmtId="173" fontId="72" fillId="5" borderId="50" xfId="0" applyNumberFormat="1" applyFont="1" applyFill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165" fontId="22" fillId="2" borderId="21" xfId="2" applyFont="1" applyFill="1" applyBorder="1" applyAlignment="1">
      <alignment horizontal="center" vertical="center"/>
    </xf>
    <xf numFmtId="0" fontId="77" fillId="21" borderId="41" xfId="0" applyFont="1" applyFill="1" applyBorder="1" applyAlignment="1">
      <alignment horizontal="left" vertical="center"/>
    </xf>
    <xf numFmtId="0" fontId="39" fillId="17" borderId="0" xfId="0" applyFont="1" applyFill="1"/>
    <xf numFmtId="0" fontId="79" fillId="17" borderId="0" xfId="0" applyFont="1" applyFill="1"/>
    <xf numFmtId="0" fontId="61" fillId="0" borderId="44" xfId="0" applyFont="1" applyBorder="1" applyAlignment="1">
      <alignment horizontal="center" vertical="center"/>
    </xf>
    <xf numFmtId="0" fontId="61" fillId="0" borderId="51" xfId="0" applyFont="1" applyBorder="1" applyAlignment="1">
      <alignment horizontal="center" vertical="center"/>
    </xf>
    <xf numFmtId="0" fontId="62" fillId="0" borderId="46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9" fontId="62" fillId="0" borderId="47" xfId="0" applyNumberFormat="1" applyFont="1" applyBorder="1" applyAlignment="1">
      <alignment horizontal="center" vertical="center"/>
    </xf>
    <xf numFmtId="3" fontId="62" fillId="0" borderId="47" xfId="0" applyNumberFormat="1" applyFont="1" applyBorder="1" applyAlignment="1">
      <alignment horizontal="center" vertical="center"/>
    </xf>
    <xf numFmtId="9" fontId="62" fillId="0" borderId="47" xfId="3" applyFont="1" applyBorder="1" applyAlignment="1">
      <alignment horizontal="center" vertical="center"/>
    </xf>
    <xf numFmtId="4" fontId="62" fillId="0" borderId="48" xfId="0" applyNumberFormat="1" applyFont="1" applyBorder="1" applyAlignment="1">
      <alignment horizontal="center" vertical="center"/>
    </xf>
    <xf numFmtId="0" fontId="55" fillId="5" borderId="0" xfId="0" applyFont="1" applyFill="1" applyBorder="1" applyAlignment="1">
      <alignment horizontal="left"/>
    </xf>
    <xf numFmtId="0" fontId="50" fillId="5" borderId="0" xfId="0" applyFont="1" applyFill="1" applyBorder="1" applyAlignment="1">
      <alignment horizontal="left"/>
    </xf>
    <xf numFmtId="49" fontId="50" fillId="5" borderId="0" xfId="0" applyNumberFormat="1" applyFont="1" applyFill="1" applyBorder="1" applyAlignment="1">
      <alignment horizontal="left"/>
    </xf>
    <xf numFmtId="0" fontId="54" fillId="5" borderId="1" xfId="0" applyFont="1" applyFill="1" applyBorder="1"/>
    <xf numFmtId="0" fontId="54" fillId="5" borderId="1" xfId="0" applyFont="1" applyFill="1" applyBorder="1" applyAlignment="1">
      <alignment vertical="center"/>
    </xf>
    <xf numFmtId="49" fontId="54" fillId="5" borderId="1" xfId="0" applyNumberFormat="1" applyFont="1" applyFill="1" applyBorder="1"/>
    <xf numFmtId="0" fontId="51" fillId="5" borderId="1" xfId="0" applyFont="1" applyFill="1" applyBorder="1" applyAlignment="1">
      <alignment horizontal="left" vertical="center"/>
    </xf>
    <xf numFmtId="0" fontId="51" fillId="5" borderId="1" xfId="0" applyFont="1" applyFill="1" applyBorder="1" applyAlignment="1">
      <alignment horizontal="left"/>
    </xf>
    <xf numFmtId="0" fontId="82" fillId="0" borderId="0" xfId="0" applyFont="1" applyAlignment="1">
      <alignment horizontal="left"/>
    </xf>
    <xf numFmtId="14" fontId="33" fillId="5" borderId="1" xfId="0" applyNumberFormat="1" applyFont="1" applyFill="1" applyBorder="1" applyAlignment="1">
      <alignment horizontal="left"/>
    </xf>
    <xf numFmtId="165" fontId="19" fillId="0" borderId="0" xfId="2" applyNumberFormat="1" applyFont="1"/>
    <xf numFmtId="9" fontId="24" fillId="2" borderId="0" xfId="3" applyFont="1" applyFill="1"/>
    <xf numFmtId="0" fontId="33" fillId="22" borderId="1" xfId="0" applyFont="1" applyFill="1" applyBorder="1" applyAlignment="1">
      <alignment horizontal="right"/>
    </xf>
    <xf numFmtId="0" fontId="23" fillId="0" borderId="0" xfId="0" applyFont="1" applyBorder="1"/>
    <xf numFmtId="0" fontId="52" fillId="5" borderId="1" xfId="0" applyFont="1" applyFill="1" applyBorder="1" applyAlignment="1">
      <alignment horizontal="left"/>
    </xf>
    <xf numFmtId="0" fontId="50" fillId="28" borderId="0" xfId="0" applyFont="1" applyFill="1" applyBorder="1" applyAlignment="1">
      <alignment horizontal="left"/>
    </xf>
    <xf numFmtId="0" fontId="50" fillId="5" borderId="1" xfId="0" applyFont="1" applyFill="1" applyBorder="1"/>
    <xf numFmtId="0" fontId="24" fillId="23" borderId="1" xfId="0" applyFont="1" applyFill="1" applyBorder="1"/>
    <xf numFmtId="165" fontId="0" fillId="12" borderId="1" xfId="2" applyFont="1" applyFill="1" applyBorder="1"/>
    <xf numFmtId="0" fontId="24" fillId="5" borderId="1" xfId="0" applyFont="1" applyFill="1" applyBorder="1" applyAlignment="1">
      <alignment horizontal="left"/>
    </xf>
    <xf numFmtId="165" fontId="24" fillId="5" borderId="1" xfId="2" applyFont="1" applyFill="1" applyBorder="1" applyAlignment="1">
      <alignment horizontal="left"/>
    </xf>
    <xf numFmtId="165" fontId="0" fillId="28" borderId="1" xfId="2" applyFont="1" applyFill="1" applyBorder="1"/>
    <xf numFmtId="165" fontId="87" fillId="28" borderId="1" xfId="2" applyFont="1" applyFill="1" applyBorder="1"/>
    <xf numFmtId="165" fontId="0" fillId="28" borderId="1" xfId="2" applyFont="1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5" fillId="28" borderId="1" xfId="0" applyFont="1" applyFill="1" applyBorder="1"/>
    <xf numFmtId="0" fontId="19" fillId="5" borderId="1" xfId="0" applyFont="1" applyFill="1" applyBorder="1" applyAlignment="1">
      <alignment horizontal="left"/>
    </xf>
    <xf numFmtId="0" fontId="19" fillId="28" borderId="1" xfId="0" applyFont="1" applyFill="1" applyBorder="1" applyAlignment="1">
      <alignment horizontal="left"/>
    </xf>
    <xf numFmtId="165" fontId="0" fillId="18" borderId="0" xfId="2" applyFont="1" applyFill="1"/>
    <xf numFmtId="165" fontId="24" fillId="28" borderId="1" xfId="2" applyFont="1" applyFill="1" applyBorder="1" applyAlignment="1">
      <alignment horizontal="left"/>
    </xf>
    <xf numFmtId="165" fontId="0" fillId="3" borderId="0" xfId="2" applyFont="1" applyFill="1"/>
    <xf numFmtId="165" fontId="88" fillId="28" borderId="1" xfId="2" applyFont="1" applyFill="1" applyBorder="1"/>
    <xf numFmtId="0" fontId="33" fillId="18" borderId="0" xfId="0" applyFont="1" applyFill="1"/>
    <xf numFmtId="165" fontId="33" fillId="7" borderId="1" xfId="2" applyFont="1" applyFill="1" applyBorder="1" applyAlignment="1">
      <alignment horizontal="center"/>
    </xf>
    <xf numFmtId="165" fontId="33" fillId="28" borderId="1" xfId="2" applyFont="1" applyFill="1" applyBorder="1"/>
    <xf numFmtId="165" fontId="33" fillId="7" borderId="1" xfId="2" applyFont="1" applyFill="1" applyBorder="1"/>
    <xf numFmtId="0" fontId="33" fillId="28" borderId="1" xfId="0" applyFont="1" applyFill="1" applyBorder="1"/>
    <xf numFmtId="0" fontId="33" fillId="7" borderId="1" xfId="0" applyFont="1" applyFill="1" applyBorder="1"/>
    <xf numFmtId="0" fontId="33" fillId="3" borderId="0" xfId="0" applyFont="1" applyFill="1"/>
    <xf numFmtId="0" fontId="90" fillId="2" borderId="8" xfId="0" applyFont="1" applyFill="1" applyBorder="1"/>
    <xf numFmtId="165" fontId="90" fillId="5" borderId="1" xfId="0" applyNumberFormat="1" applyFont="1" applyFill="1" applyBorder="1"/>
    <xf numFmtId="165" fontId="90" fillId="28" borderId="1" xfId="0" applyNumberFormat="1" applyFont="1" applyFill="1" applyBorder="1"/>
    <xf numFmtId="0" fontId="49" fillId="28" borderId="1" xfId="0" applyFont="1" applyFill="1" applyBorder="1" applyAlignment="1">
      <alignment horizontal="center"/>
    </xf>
    <xf numFmtId="0" fontId="49" fillId="5" borderId="1" xfId="0" applyFont="1" applyFill="1" applyBorder="1"/>
    <xf numFmtId="0" fontId="49" fillId="3" borderId="0" xfId="0" applyFont="1" applyFill="1"/>
    <xf numFmtId="0" fontId="0" fillId="19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165" fontId="33" fillId="4" borderId="1" xfId="2" applyFont="1" applyFill="1" applyBorder="1"/>
    <xf numFmtId="0" fontId="35" fillId="18" borderId="0" xfId="0" applyFont="1" applyFill="1"/>
    <xf numFmtId="0" fontId="94" fillId="2" borderId="8" xfId="0" applyFont="1" applyFill="1" applyBorder="1"/>
    <xf numFmtId="49" fontId="24" fillId="28" borderId="1" xfId="0" applyNumberFormat="1" applyFont="1" applyFill="1" applyBorder="1" applyAlignment="1">
      <alignment horizontal="center"/>
    </xf>
    <xf numFmtId="49" fontId="19" fillId="28" borderId="1" xfId="0" applyNumberFormat="1" applyFont="1" applyFill="1" applyBorder="1" applyAlignment="1">
      <alignment horizontal="center"/>
    </xf>
    <xf numFmtId="49" fontId="33" fillId="5" borderId="1" xfId="0" applyNumberFormat="1" applyFon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49" fontId="0" fillId="3" borderId="0" xfId="0" applyNumberFormat="1" applyFill="1"/>
    <xf numFmtId="0" fontId="25" fillId="19" borderId="1" xfId="0" applyFont="1" applyFill="1" applyBorder="1" applyAlignment="1">
      <alignment horizontal="center" vertical="center" wrapText="1"/>
    </xf>
    <xf numFmtId="49" fontId="25" fillId="19" borderId="1" xfId="1" applyNumberFormat="1" applyFont="1" applyFill="1" applyBorder="1" applyAlignment="1">
      <alignment horizontal="center" vertical="center" wrapText="1"/>
    </xf>
    <xf numFmtId="167" fontId="25" fillId="19" borderId="0" xfId="1" applyNumberFormat="1" applyFont="1" applyFill="1" applyBorder="1" applyAlignment="1">
      <alignment horizontal="center" vertical="center" wrapText="1"/>
    </xf>
    <xf numFmtId="165" fontId="25" fillId="19" borderId="1" xfId="2" applyFont="1" applyFill="1" applyBorder="1" applyAlignment="1">
      <alignment horizontal="center" vertical="center" wrapText="1"/>
    </xf>
    <xf numFmtId="165" fontId="33" fillId="4" borderId="1" xfId="2" applyFont="1" applyFill="1" applyBorder="1" applyAlignment="1">
      <alignment horizontal="center"/>
    </xf>
    <xf numFmtId="165" fontId="90" fillId="4" borderId="1" xfId="0" applyNumberFormat="1" applyFont="1" applyFill="1" applyBorder="1"/>
    <xf numFmtId="0" fontId="32" fillId="19" borderId="1" xfId="0" applyFont="1" applyFill="1" applyBorder="1" applyAlignment="1">
      <alignment horizontal="center" vertical="center" wrapText="1"/>
    </xf>
    <xf numFmtId="167" fontId="97" fillId="20" borderId="1" xfId="1" applyNumberFormat="1" applyFont="1" applyFill="1" applyBorder="1" applyAlignment="1">
      <alignment horizontal="center" vertical="center" wrapText="1"/>
    </xf>
    <xf numFmtId="0" fontId="89" fillId="0" borderId="1" xfId="0" applyFont="1" applyBorder="1" applyAlignment="1">
      <alignment horizontal="left" vertical="center" wrapText="1"/>
    </xf>
    <xf numFmtId="165" fontId="84" fillId="5" borderId="1" xfId="2" applyFont="1" applyFill="1" applyBorder="1" applyAlignment="1">
      <alignment horizontal="left"/>
    </xf>
    <xf numFmtId="0" fontId="5" fillId="13" borderId="1" xfId="0" applyFont="1" applyFill="1" applyBorder="1" applyAlignment="1">
      <alignment horizontal="center"/>
    </xf>
    <xf numFmtId="166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/>
    </xf>
    <xf numFmtId="0" fontId="8" fillId="0" borderId="21" xfId="0" applyFont="1" applyBorder="1" applyAlignment="1">
      <alignment horizontal="center" vertical="center"/>
    </xf>
    <xf numFmtId="0" fontId="5" fillId="3" borderId="0" xfId="0" applyFont="1" applyFill="1" applyAlignment="1">
      <alignment horizontal="left" vertical="top"/>
    </xf>
    <xf numFmtId="0" fontId="38" fillId="17" borderId="0" xfId="0" applyFont="1" applyFill="1"/>
    <xf numFmtId="0" fontId="8" fillId="17" borderId="0" xfId="0" applyFont="1" applyFill="1" applyAlignment="1">
      <alignment horizontal="center"/>
    </xf>
    <xf numFmtId="0" fontId="8" fillId="17" borderId="0" xfId="0" applyFont="1" applyFill="1"/>
    <xf numFmtId="167" fontId="12" fillId="17" borderId="0" xfId="1" applyNumberFormat="1" applyFont="1" applyFill="1"/>
    <xf numFmtId="0" fontId="11" fillId="17" borderId="0" xfId="0" applyFont="1" applyFill="1" applyAlignment="1">
      <alignment horizontal="center"/>
    </xf>
    <xf numFmtId="14" fontId="10" fillId="17" borderId="0" xfId="0" applyNumberFormat="1" applyFont="1" applyFill="1"/>
    <xf numFmtId="166" fontId="18" fillId="17" borderId="0" xfId="0" applyNumberFormat="1" applyFont="1" applyFill="1" applyAlignment="1">
      <alignment horizontal="center"/>
    </xf>
    <xf numFmtId="0" fontId="10" fillId="17" borderId="0" xfId="0" applyFont="1" applyFill="1"/>
    <xf numFmtId="167" fontId="13" fillId="17" borderId="0" xfId="0" applyNumberFormat="1" applyFont="1" applyFill="1"/>
    <xf numFmtId="0" fontId="63" fillId="0" borderId="0" xfId="0" applyFont="1" applyBorder="1" applyAlignment="1">
      <alignment vertical="center"/>
    </xf>
    <xf numFmtId="0" fontId="63" fillId="0" borderId="0" xfId="0" applyFont="1" applyBorder="1" applyAlignment="1">
      <alignment horizontal="center" vertical="center"/>
    </xf>
    <xf numFmtId="0" fontId="23" fillId="21" borderId="0" xfId="0" applyFont="1" applyFill="1" applyBorder="1"/>
    <xf numFmtId="0" fontId="14" fillId="3" borderId="0" xfId="0" applyFont="1" applyFill="1" applyAlignment="1">
      <alignment horizontal="left" vertical="center"/>
    </xf>
    <xf numFmtId="3" fontId="23" fillId="3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wrapText="1"/>
    </xf>
    <xf numFmtId="0" fontId="23" fillId="3" borderId="0" xfId="0" applyFont="1" applyFill="1" applyAlignment="1">
      <alignment vertical="center"/>
    </xf>
    <xf numFmtId="0" fontId="63" fillId="3" borderId="0" xfId="0" applyFont="1" applyFill="1" applyAlignment="1">
      <alignment horizontal="center" vertical="center"/>
    </xf>
    <xf numFmtId="0" fontId="63" fillId="3" borderId="0" xfId="0" applyFont="1" applyFill="1" applyAlignment="1">
      <alignment vertical="center"/>
    </xf>
    <xf numFmtId="0" fontId="62" fillId="3" borderId="46" xfId="0" applyFont="1" applyFill="1" applyBorder="1" applyAlignment="1">
      <alignment horizontal="center" vertical="center"/>
    </xf>
    <xf numFmtId="0" fontId="62" fillId="3" borderId="47" xfId="0" applyFont="1" applyFill="1" applyBorder="1" applyAlignment="1">
      <alignment horizontal="center" vertical="center"/>
    </xf>
    <xf numFmtId="9" fontId="62" fillId="3" borderId="47" xfId="0" applyNumberFormat="1" applyFont="1" applyFill="1" applyBorder="1" applyAlignment="1">
      <alignment horizontal="center" vertical="center"/>
    </xf>
    <xf numFmtId="3" fontId="62" fillId="3" borderId="47" xfId="0" applyNumberFormat="1" applyFont="1" applyFill="1" applyBorder="1" applyAlignment="1">
      <alignment horizontal="center" vertical="center"/>
    </xf>
    <xf numFmtId="9" fontId="62" fillId="3" borderId="47" xfId="3" applyFont="1" applyFill="1" applyBorder="1" applyAlignment="1">
      <alignment horizontal="center" vertical="center"/>
    </xf>
    <xf numFmtId="4" fontId="62" fillId="3" borderId="48" xfId="0" applyNumberFormat="1" applyFont="1" applyFill="1" applyBorder="1" applyAlignment="1">
      <alignment horizontal="center" vertical="center"/>
    </xf>
    <xf numFmtId="0" fontId="61" fillId="3" borderId="44" xfId="0" applyFont="1" applyFill="1" applyBorder="1" applyAlignment="1">
      <alignment horizontal="center" vertical="center"/>
    </xf>
    <xf numFmtId="0" fontId="63" fillId="3" borderId="21" xfId="0" applyFont="1" applyFill="1" applyBorder="1" applyAlignment="1">
      <alignment horizontal="center" vertical="center"/>
    </xf>
    <xf numFmtId="9" fontId="63" fillId="3" borderId="21" xfId="3" applyFont="1" applyFill="1" applyBorder="1" applyAlignment="1">
      <alignment horizontal="center" vertical="center"/>
    </xf>
    <xf numFmtId="3" fontId="63" fillId="3" borderId="21" xfId="0" applyNumberFormat="1" applyFont="1" applyFill="1" applyBorder="1" applyAlignment="1">
      <alignment horizontal="center" vertical="center"/>
    </xf>
    <xf numFmtId="4" fontId="63" fillId="3" borderId="49" xfId="0" applyNumberFormat="1" applyFont="1" applyFill="1" applyBorder="1" applyAlignment="1">
      <alignment horizontal="center" vertical="center"/>
    </xf>
    <xf numFmtId="0" fontId="61" fillId="3" borderId="51" xfId="0" applyFont="1" applyFill="1" applyBorder="1" applyAlignment="1">
      <alignment horizontal="center" vertical="center"/>
    </xf>
    <xf numFmtId="0" fontId="63" fillId="3" borderId="50" xfId="0" applyFont="1" applyFill="1" applyBorder="1" applyAlignment="1">
      <alignment horizontal="center" vertical="center"/>
    </xf>
    <xf numFmtId="9" fontId="63" fillId="3" borderId="50" xfId="3" applyFont="1" applyFill="1" applyBorder="1" applyAlignment="1">
      <alignment horizontal="center" vertical="center"/>
    </xf>
    <xf numFmtId="3" fontId="63" fillId="3" borderId="50" xfId="0" applyNumberFormat="1" applyFont="1" applyFill="1" applyBorder="1" applyAlignment="1">
      <alignment horizontal="center" vertical="center"/>
    </xf>
    <xf numFmtId="4" fontId="63" fillId="3" borderId="52" xfId="0" applyNumberFormat="1" applyFont="1" applyFill="1" applyBorder="1" applyAlignment="1">
      <alignment horizontal="center" vertical="center"/>
    </xf>
    <xf numFmtId="9" fontId="62" fillId="3" borderId="54" xfId="3" applyFont="1" applyFill="1" applyBorder="1" applyAlignment="1">
      <alignment horizontal="center" vertical="center"/>
    </xf>
    <xf numFmtId="3" fontId="62" fillId="3" borderId="54" xfId="0" applyNumberFormat="1" applyFont="1" applyFill="1" applyBorder="1" applyAlignment="1">
      <alignment horizontal="center" vertical="center"/>
    </xf>
    <xf numFmtId="0" fontId="62" fillId="3" borderId="54" xfId="0" applyFont="1" applyFill="1" applyBorder="1" applyAlignment="1">
      <alignment vertical="center"/>
    </xf>
    <xf numFmtId="4" fontId="62" fillId="3" borderId="55" xfId="0" applyNumberFormat="1" applyFont="1" applyFill="1" applyBorder="1" applyAlignment="1">
      <alignment horizontal="center" vertical="center"/>
    </xf>
    <xf numFmtId="0" fontId="68" fillId="3" borderId="0" xfId="0" applyFont="1" applyFill="1"/>
    <xf numFmtId="0" fontId="68" fillId="3" borderId="11" xfId="0" applyFont="1" applyFill="1" applyBorder="1"/>
    <xf numFmtId="0" fontId="78" fillId="3" borderId="12" xfId="0" applyFont="1" applyFill="1" applyBorder="1"/>
    <xf numFmtId="0" fontId="63" fillId="3" borderId="12" xfId="0" applyFont="1" applyFill="1" applyBorder="1"/>
    <xf numFmtId="3" fontId="63" fillId="3" borderId="12" xfId="0" applyNumberFormat="1" applyFont="1" applyFill="1" applyBorder="1" applyAlignment="1">
      <alignment horizontal="center"/>
    </xf>
    <xf numFmtId="172" fontId="63" fillId="3" borderId="12" xfId="3" applyNumberFormat="1" applyFont="1" applyFill="1" applyBorder="1"/>
    <xf numFmtId="4" fontId="68" fillId="3" borderId="13" xfId="0" applyNumberFormat="1" applyFont="1" applyFill="1" applyBorder="1"/>
    <xf numFmtId="0" fontId="68" fillId="3" borderId="14" xfId="0" applyFont="1" applyFill="1" applyBorder="1"/>
    <xf numFmtId="9" fontId="63" fillId="3" borderId="0" xfId="3" applyFont="1" applyFill="1" applyBorder="1" applyAlignment="1">
      <alignment horizontal="center"/>
    </xf>
    <xf numFmtId="4" fontId="63" fillId="3" borderId="10" xfId="0" applyNumberFormat="1" applyFont="1" applyFill="1" applyBorder="1" applyAlignment="1">
      <alignment horizontal="center"/>
    </xf>
    <xf numFmtId="0" fontId="68" fillId="3" borderId="17" xfId="0" applyFont="1" applyFill="1" applyBorder="1"/>
    <xf numFmtId="9" fontId="63" fillId="3" borderId="15" xfId="3" applyFont="1" applyFill="1" applyBorder="1"/>
    <xf numFmtId="3" fontId="63" fillId="3" borderId="15" xfId="0" applyNumberFormat="1" applyFont="1" applyFill="1" applyBorder="1" applyAlignment="1">
      <alignment horizontal="center"/>
    </xf>
    <xf numFmtId="4" fontId="63" fillId="3" borderId="18" xfId="0" applyNumberFormat="1" applyFont="1" applyFill="1" applyBorder="1" applyAlignment="1">
      <alignment horizontal="center"/>
    </xf>
    <xf numFmtId="0" fontId="77" fillId="3" borderId="41" xfId="0" applyFont="1" applyFill="1" applyBorder="1" applyAlignment="1">
      <alignment horizontal="left" vertical="center"/>
    </xf>
    <xf numFmtId="4" fontId="60" fillId="3" borderId="41" xfId="0" applyNumberFormat="1" applyFont="1" applyFill="1" applyBorder="1" applyAlignment="1">
      <alignment horizontal="center" vertical="center"/>
    </xf>
    <xf numFmtId="4" fontId="64" fillId="3" borderId="41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/>
    </xf>
    <xf numFmtId="0" fontId="69" fillId="3" borderId="0" xfId="0" applyFont="1" applyFill="1" applyAlignment="1">
      <alignment horizontal="justify"/>
    </xf>
    <xf numFmtId="3" fontId="23" fillId="3" borderId="0" xfId="0" applyNumberFormat="1" applyFont="1" applyFill="1" applyAlignment="1">
      <alignment horizontal="center"/>
    </xf>
    <xf numFmtId="0" fontId="70" fillId="3" borderId="0" xfId="0" applyFont="1" applyFill="1"/>
    <xf numFmtId="0" fontId="71" fillId="3" borderId="0" xfId="0" applyFont="1" applyFill="1" applyAlignment="1">
      <alignment horizontal="center" vertical="center"/>
    </xf>
    <xf numFmtId="0" fontId="23" fillId="3" borderId="21" xfId="0" applyFont="1" applyFill="1" applyBorder="1" applyAlignment="1">
      <alignment horizontal="center" vertical="center"/>
    </xf>
    <xf numFmtId="4" fontId="8" fillId="3" borderId="41" xfId="0" applyNumberFormat="1" applyFont="1" applyFill="1" applyBorder="1" applyAlignment="1">
      <alignment horizontal="center" vertical="center"/>
    </xf>
    <xf numFmtId="4" fontId="43" fillId="3" borderId="41" xfId="0" applyNumberFormat="1" applyFont="1" applyFill="1" applyBorder="1" applyAlignment="1">
      <alignment horizontal="center" vertical="center"/>
    </xf>
    <xf numFmtId="0" fontId="74" fillId="3" borderId="0" xfId="0" applyFont="1" applyFill="1" applyBorder="1" applyAlignment="1">
      <alignment horizontal="center" vertical="center"/>
    </xf>
    <xf numFmtId="0" fontId="75" fillId="3" borderId="0" xfId="0" applyFont="1" applyFill="1" applyBorder="1" applyAlignment="1">
      <alignment horizontal="left" vertical="center"/>
    </xf>
    <xf numFmtId="4" fontId="43" fillId="3" borderId="0" xfId="0" applyNumberFormat="1" applyFont="1" applyFill="1" applyBorder="1" applyAlignment="1">
      <alignment horizontal="center" vertical="center"/>
    </xf>
    <xf numFmtId="3" fontId="23" fillId="3" borderId="0" xfId="0" applyNumberFormat="1" applyFont="1" applyFill="1"/>
    <xf numFmtId="4" fontId="23" fillId="3" borderId="0" xfId="0" applyNumberFormat="1" applyFont="1" applyFill="1" applyAlignment="1">
      <alignment horizontal="center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justify"/>
    </xf>
    <xf numFmtId="0" fontId="63" fillId="3" borderId="0" xfId="0" applyFont="1" applyFill="1" applyAlignment="1">
      <alignment horizontal="left"/>
    </xf>
    <xf numFmtId="0" fontId="76" fillId="3" borderId="0" xfId="0" applyFont="1" applyFill="1" applyAlignment="1">
      <alignment horizontal="left" vertical="center"/>
    </xf>
    <xf numFmtId="3" fontId="2" fillId="3" borderId="0" xfId="0" applyNumberFormat="1" applyFont="1" applyFill="1" applyAlignment="1">
      <alignment horizontal="left"/>
    </xf>
    <xf numFmtId="0" fontId="63" fillId="3" borderId="0" xfId="0" applyFont="1" applyFill="1" applyAlignment="1">
      <alignment horizontal="left" vertical="center"/>
    </xf>
    <xf numFmtId="3" fontId="0" fillId="21" borderId="0" xfId="0" applyNumberFormat="1" applyFill="1"/>
    <xf numFmtId="3" fontId="5" fillId="21" borderId="0" xfId="0" applyNumberFormat="1" applyFont="1" applyFill="1" applyAlignment="1">
      <alignment horizontal="center" vertical="center"/>
    </xf>
    <xf numFmtId="3" fontId="0" fillId="21" borderId="0" xfId="0" applyNumberFormat="1" applyFill="1" applyAlignment="1">
      <alignment horizontal="center"/>
    </xf>
    <xf numFmtId="3" fontId="8" fillId="21" borderId="0" xfId="0" applyNumberFormat="1" applyFont="1" applyFill="1" applyBorder="1" applyAlignment="1">
      <alignment horizontal="center" vertical="center"/>
    </xf>
    <xf numFmtId="0" fontId="0" fillId="21" borderId="0" xfId="0" applyNumberFormat="1" applyFill="1" applyBorder="1" applyAlignment="1">
      <alignment horizontal="center" vertical="center"/>
    </xf>
    <xf numFmtId="170" fontId="3" fillId="21" borderId="0" xfId="2" applyNumberFormat="1" applyFont="1" applyFill="1" applyBorder="1" applyAlignment="1">
      <alignment horizontal="center"/>
    </xf>
    <xf numFmtId="169" fontId="8" fillId="21" borderId="0" xfId="0" applyNumberFormat="1" applyFont="1" applyFill="1" applyBorder="1" applyAlignment="1">
      <alignment horizontal="center" vertical="center"/>
    </xf>
    <xf numFmtId="4" fontId="8" fillId="21" borderId="0" xfId="0" applyNumberFormat="1" applyFont="1" applyFill="1" applyAlignment="1">
      <alignment horizontal="center" vertical="center"/>
    </xf>
    <xf numFmtId="3" fontId="0" fillId="21" borderId="0" xfId="0" applyNumberFormat="1" applyFont="1" applyFill="1"/>
    <xf numFmtId="3" fontId="98" fillId="21" borderId="0" xfId="0" applyNumberFormat="1" applyFont="1" applyFill="1" applyAlignment="1">
      <alignment vertical="top"/>
    </xf>
    <xf numFmtId="170" fontId="3" fillId="17" borderId="0" xfId="2" applyNumberFormat="1" applyFont="1" applyFill="1" applyBorder="1" applyAlignment="1">
      <alignment horizontal="center"/>
    </xf>
    <xf numFmtId="165" fontId="33" fillId="5" borderId="1" xfId="2" applyFont="1" applyFill="1" applyBorder="1" applyAlignment="1">
      <alignment horizontal="left"/>
    </xf>
    <xf numFmtId="165" fontId="24" fillId="19" borderId="0" xfId="2" applyFont="1" applyFill="1"/>
    <xf numFmtId="165" fontId="24" fillId="2" borderId="0" xfId="2" applyFont="1" applyFill="1"/>
    <xf numFmtId="165" fontId="24" fillId="0" borderId="0" xfId="2" applyFont="1"/>
    <xf numFmtId="165" fontId="0" fillId="0" borderId="0" xfId="2" applyFont="1"/>
    <xf numFmtId="0" fontId="23" fillId="4" borderId="0" xfId="0" applyFont="1" applyFill="1" applyBorder="1"/>
    <xf numFmtId="165" fontId="19" fillId="4" borderId="1" xfId="2" applyFont="1" applyFill="1" applyBorder="1" applyAlignment="1">
      <alignment horizontal="center"/>
    </xf>
    <xf numFmtId="165" fontId="19" fillId="29" borderId="1" xfId="2" applyFont="1" applyFill="1" applyBorder="1" applyAlignment="1">
      <alignment horizontal="center"/>
    </xf>
    <xf numFmtId="165" fontId="19" fillId="0" borderId="1" xfId="2" applyFont="1" applyBorder="1" applyAlignment="1">
      <alignment horizontal="center"/>
    </xf>
    <xf numFmtId="165" fontId="19" fillId="28" borderId="1" xfId="2" applyFont="1" applyFill="1" applyBorder="1" applyAlignment="1">
      <alignment horizontal="center"/>
    </xf>
    <xf numFmtId="1" fontId="99" fillId="17" borderId="1" xfId="2" applyNumberFormat="1" applyFont="1" applyFill="1" applyBorder="1" applyAlignment="1">
      <alignment horizontal="center"/>
    </xf>
    <xf numFmtId="0" fontId="40" fillId="30" borderId="1" xfId="0" applyFont="1" applyFill="1" applyBorder="1" applyAlignment="1">
      <alignment horizontal="center" vertical="center" wrapText="1"/>
    </xf>
    <xf numFmtId="0" fontId="39" fillId="30" borderId="1" xfId="0" applyFont="1" applyFill="1" applyBorder="1"/>
    <xf numFmtId="0" fontId="37" fillId="2" borderId="1" xfId="0" applyFont="1" applyFill="1" applyBorder="1" applyAlignment="1">
      <alignment horizontal="center" vertical="center"/>
    </xf>
    <xf numFmtId="0" fontId="33" fillId="12" borderId="1" xfId="0" applyFont="1" applyFill="1" applyBorder="1" applyAlignment="1"/>
    <xf numFmtId="0" fontId="33" fillId="22" borderId="1" xfId="0" applyFont="1" applyFill="1" applyBorder="1" applyAlignment="1"/>
    <xf numFmtId="170" fontId="35" fillId="19" borderId="0" xfId="2" applyNumberFormat="1" applyFont="1" applyFill="1" applyBorder="1" applyAlignment="1">
      <alignment horizontal="left"/>
    </xf>
    <xf numFmtId="170" fontId="41" fillId="19" borderId="0" xfId="2" applyNumberFormat="1" applyFont="1" applyFill="1" applyBorder="1" applyAlignment="1">
      <alignment horizontal="left"/>
    </xf>
    <xf numFmtId="0" fontId="23" fillId="3" borderId="0" xfId="0" applyFont="1" applyFill="1" applyBorder="1"/>
    <xf numFmtId="165" fontId="99" fillId="17" borderId="0" xfId="2" applyFont="1" applyFill="1" applyBorder="1" applyAlignment="1">
      <alignment horizontal="center"/>
    </xf>
    <xf numFmtId="0" fontId="24" fillId="2" borderId="0" xfId="0" applyFont="1" applyFill="1" applyAlignment="1">
      <alignment horizontal="left"/>
    </xf>
    <xf numFmtId="0" fontId="0" fillId="19" borderId="0" xfId="0" applyFill="1" applyAlignment="1">
      <alignment horizontal="left" wrapText="1"/>
    </xf>
    <xf numFmtId="165" fontId="24" fillId="19" borderId="0" xfId="2" applyNumberFormat="1" applyFont="1" applyFill="1"/>
    <xf numFmtId="165" fontId="24" fillId="4" borderId="0" xfId="2" applyFont="1" applyFill="1"/>
    <xf numFmtId="165" fontId="24" fillId="4" borderId="0" xfId="2" applyNumberFormat="1" applyFont="1" applyFill="1"/>
    <xf numFmtId="0" fontId="24" fillId="19" borderId="0" xfId="0" applyFont="1" applyFill="1" applyAlignment="1">
      <alignment horizontal="center" wrapText="1"/>
    </xf>
    <xf numFmtId="0" fontId="33" fillId="4" borderId="1" xfId="0" applyFont="1" applyFill="1" applyBorder="1" applyAlignment="1">
      <alignment horizontal="left"/>
    </xf>
    <xf numFmtId="0" fontId="63" fillId="3" borderId="0" xfId="0" applyFont="1" applyFill="1" applyAlignment="1">
      <alignment horizontal="right"/>
    </xf>
    <xf numFmtId="0" fontId="33" fillId="4" borderId="1" xfId="0" applyFont="1" applyFill="1" applyBorder="1"/>
    <xf numFmtId="0" fontId="39" fillId="4" borderId="1" xfId="0" applyFont="1" applyFill="1" applyBorder="1"/>
    <xf numFmtId="0" fontId="103" fillId="4" borderId="1" xfId="0" applyFont="1" applyFill="1" applyBorder="1"/>
    <xf numFmtId="165" fontId="0" fillId="21" borderId="0" xfId="2" applyFont="1" applyFill="1"/>
    <xf numFmtId="0" fontId="39" fillId="30" borderId="1" xfId="0" applyFont="1" applyFill="1" applyBorder="1" applyAlignment="1">
      <alignment horizontal="left" wrapText="1"/>
    </xf>
    <xf numFmtId="0" fontId="39" fillId="30" borderId="1" xfId="0" applyFont="1" applyFill="1" applyBorder="1" applyAlignment="1">
      <alignment horizontal="left"/>
    </xf>
    <xf numFmtId="0" fontId="26" fillId="22" borderId="1" xfId="0" applyFont="1" applyFill="1" applyBorder="1"/>
    <xf numFmtId="0" fontId="26" fillId="4" borderId="1" xfId="0" applyFont="1" applyFill="1" applyBorder="1"/>
    <xf numFmtId="165" fontId="104" fillId="30" borderId="1" xfId="2" applyFont="1" applyFill="1" applyBorder="1"/>
    <xf numFmtId="165" fontId="105" fillId="21" borderId="1" xfId="2" applyFont="1" applyFill="1" applyBorder="1"/>
    <xf numFmtId="177" fontId="104" fillId="30" borderId="1" xfId="0" applyNumberFormat="1" applyFont="1" applyFill="1" applyBorder="1"/>
    <xf numFmtId="165" fontId="106" fillId="4" borderId="1" xfId="2" applyFont="1" applyFill="1" applyBorder="1"/>
    <xf numFmtId="165" fontId="105" fillId="4" borderId="1" xfId="2" applyFont="1" applyFill="1" applyBorder="1"/>
    <xf numFmtId="0" fontId="107" fillId="2" borderId="1" xfId="0" applyFont="1" applyFill="1" applyBorder="1" applyAlignment="1">
      <alignment horizontal="center" vertical="center" wrapText="1"/>
    </xf>
    <xf numFmtId="49" fontId="108" fillId="22" borderId="1" xfId="0" applyNumberFormat="1" applyFont="1" applyFill="1" applyBorder="1" applyAlignment="1">
      <alignment horizontal="left"/>
    </xf>
    <xf numFmtId="0" fontId="108" fillId="22" borderId="1" xfId="0" applyFont="1" applyFill="1" applyBorder="1" applyAlignment="1">
      <alignment horizontal="left"/>
    </xf>
    <xf numFmtId="0" fontId="42" fillId="0" borderId="0" xfId="0" applyFont="1"/>
    <xf numFmtId="165" fontId="26" fillId="21" borderId="31" xfId="2" applyFont="1" applyFill="1" applyBorder="1" applyAlignment="1">
      <alignment horizontal="center" vertical="center" wrapText="1"/>
    </xf>
    <xf numFmtId="0" fontId="40" fillId="30" borderId="31" xfId="0" applyFont="1" applyFill="1" applyBorder="1" applyAlignment="1">
      <alignment horizontal="center" vertical="center" wrapText="1"/>
    </xf>
    <xf numFmtId="49" fontId="108" fillId="22" borderId="30" xfId="0" applyNumberFormat="1" applyFont="1" applyFill="1" applyBorder="1" applyAlignment="1">
      <alignment horizontal="left"/>
    </xf>
    <xf numFmtId="0" fontId="26" fillId="22" borderId="30" xfId="0" applyFont="1" applyFill="1" applyBorder="1"/>
    <xf numFmtId="165" fontId="104" fillId="30" borderId="30" xfId="2" applyFont="1" applyFill="1" applyBorder="1"/>
    <xf numFmtId="165" fontId="105" fillId="21" borderId="30" xfId="2" applyFont="1" applyFill="1" applyBorder="1"/>
    <xf numFmtId="177" fontId="104" fillId="30" borderId="30" xfId="0" applyNumberFormat="1" applyFont="1" applyFill="1" applyBorder="1"/>
    <xf numFmtId="0" fontId="39" fillId="30" borderId="30" xfId="0" applyFont="1" applyFill="1" applyBorder="1" applyAlignment="1">
      <alignment horizontal="left" wrapText="1"/>
    </xf>
    <xf numFmtId="0" fontId="107" fillId="2" borderId="69" xfId="0" applyFont="1" applyFill="1" applyBorder="1" applyAlignment="1">
      <alignment horizontal="center" vertical="center" wrapText="1"/>
    </xf>
    <xf numFmtId="167" fontId="37" fillId="2" borderId="70" xfId="1" applyNumberFormat="1" applyFont="1" applyFill="1" applyBorder="1" applyAlignment="1">
      <alignment horizontal="center" vertical="center" wrapText="1"/>
    </xf>
    <xf numFmtId="0" fontId="40" fillId="30" borderId="70" xfId="0" applyFont="1" applyFill="1" applyBorder="1" applyAlignment="1">
      <alignment horizontal="center" vertical="center" wrapText="1"/>
    </xf>
    <xf numFmtId="165" fontId="20" fillId="21" borderId="70" xfId="2" applyFont="1" applyFill="1" applyBorder="1" applyAlignment="1">
      <alignment horizontal="center" vertical="center" wrapText="1"/>
    </xf>
    <xf numFmtId="0" fontId="40" fillId="30" borderId="71" xfId="0" applyFont="1" applyFill="1" applyBorder="1" applyAlignment="1">
      <alignment horizontal="center" vertical="center" wrapText="1"/>
    </xf>
    <xf numFmtId="178" fontId="43" fillId="4" borderId="0" xfId="2" applyNumberFormat="1" applyFont="1" applyFill="1"/>
    <xf numFmtId="165" fontId="109" fillId="2" borderId="1" xfId="2" applyFont="1" applyFill="1" applyBorder="1" applyAlignment="1">
      <alignment horizontal="center" vertical="center" wrapText="1"/>
    </xf>
    <xf numFmtId="165" fontId="110" fillId="30" borderId="1" xfId="2" applyFont="1" applyFill="1" applyBorder="1" applyAlignment="1">
      <alignment horizontal="center" vertical="center" wrapText="1"/>
    </xf>
    <xf numFmtId="165" fontId="42" fillId="2" borderId="1" xfId="2" applyFont="1" applyFill="1" applyBorder="1" applyAlignment="1">
      <alignment horizontal="center"/>
    </xf>
    <xf numFmtId="165" fontId="110" fillId="30" borderId="1" xfId="2" applyFont="1" applyFill="1" applyBorder="1" applyAlignment="1">
      <alignment horizontal="center"/>
    </xf>
    <xf numFmtId="165" fontId="110" fillId="4" borderId="1" xfId="2" applyFont="1" applyFill="1" applyBorder="1" applyAlignment="1">
      <alignment horizontal="center"/>
    </xf>
    <xf numFmtId="165" fontId="42" fillId="0" borderId="0" xfId="2" applyFont="1" applyAlignment="1">
      <alignment horizontal="center"/>
    </xf>
    <xf numFmtId="0" fontId="90" fillId="0" borderId="0" xfId="0" applyFont="1"/>
    <xf numFmtId="49" fontId="90" fillId="22" borderId="1" xfId="0" applyNumberFormat="1" applyFont="1" applyFill="1" applyBorder="1" applyAlignment="1">
      <alignment horizontal="left"/>
    </xf>
    <xf numFmtId="0" fontId="90" fillId="22" borderId="1" xfId="0" applyFont="1" applyFill="1" applyBorder="1" applyAlignment="1">
      <alignment horizontal="left"/>
    </xf>
    <xf numFmtId="167" fontId="58" fillId="2" borderId="1" xfId="1" applyNumberFormat="1" applyFont="1" applyFill="1" applyBorder="1" applyAlignment="1">
      <alignment horizontal="center" vertical="center" wrapText="1"/>
    </xf>
    <xf numFmtId="0" fontId="57" fillId="22" borderId="1" xfId="0" applyFont="1" applyFill="1" applyBorder="1"/>
    <xf numFmtId="0" fontId="57" fillId="4" borderId="1" xfId="0" applyFont="1" applyFill="1" applyBorder="1"/>
    <xf numFmtId="0" fontId="57" fillId="0" borderId="0" xfId="0" applyFont="1"/>
    <xf numFmtId="0" fontId="23" fillId="3" borderId="0" xfId="0" applyFont="1" applyFill="1" applyAlignment="1">
      <alignment horizontal="center"/>
    </xf>
    <xf numFmtId="0" fontId="14" fillId="3" borderId="0" xfId="0" applyFont="1" applyFill="1" applyAlignment="1">
      <alignment horizontal="left" vertical="center"/>
    </xf>
    <xf numFmtId="0" fontId="63" fillId="3" borderId="0" xfId="0" applyFont="1" applyFill="1" applyAlignment="1">
      <alignment horizontal="left"/>
    </xf>
    <xf numFmtId="0" fontId="23" fillId="3" borderId="0" xfId="0" applyFont="1" applyFill="1" applyAlignment="1">
      <alignment horizontal="left"/>
    </xf>
    <xf numFmtId="0" fontId="76" fillId="3" borderId="0" xfId="0" applyFont="1" applyFill="1" applyAlignment="1">
      <alignment horizontal="left" vertical="center"/>
    </xf>
    <xf numFmtId="0" fontId="33" fillId="12" borderId="1" xfId="0" applyFont="1" applyFill="1" applyBorder="1" applyAlignment="1">
      <alignment horizontal="left"/>
    </xf>
    <xf numFmtId="165" fontId="39" fillId="30" borderId="1" xfId="2" applyFont="1" applyFill="1" applyBorder="1"/>
    <xf numFmtId="3" fontId="60" fillId="5" borderId="41" xfId="0" applyNumberFormat="1" applyFont="1" applyFill="1" applyBorder="1" applyAlignment="1">
      <alignment horizontal="center" vertical="center"/>
    </xf>
    <xf numFmtId="14" fontId="80" fillId="3" borderId="0" xfId="0" applyNumberFormat="1" applyFont="1" applyFill="1" applyAlignment="1">
      <alignment horizontal="left" vertical="center"/>
    </xf>
    <xf numFmtId="0" fontId="80" fillId="3" borderId="0" xfId="0" applyFont="1" applyFill="1" applyAlignment="1">
      <alignment horizontal="left" vertical="center"/>
    </xf>
    <xf numFmtId="0" fontId="72" fillId="2" borderId="50" xfId="0" applyFont="1" applyFill="1" applyBorder="1" applyAlignment="1">
      <alignment horizontal="center" vertical="center"/>
    </xf>
    <xf numFmtId="173" fontId="72" fillId="2" borderId="50" xfId="0" applyNumberFormat="1" applyFont="1" applyFill="1" applyBorder="1" applyAlignment="1">
      <alignment horizontal="center" vertical="center"/>
    </xf>
    <xf numFmtId="0" fontId="33" fillId="28" borderId="1" xfId="0" applyFont="1" applyFill="1" applyBorder="1" applyAlignment="1">
      <alignment horizontal="left"/>
    </xf>
    <xf numFmtId="0" fontId="50" fillId="28" borderId="1" xfId="0" applyFont="1" applyFill="1" applyBorder="1" applyAlignment="1">
      <alignment horizontal="left"/>
    </xf>
    <xf numFmtId="49" fontId="50" fillId="28" borderId="1" xfId="0" applyNumberFormat="1" applyFont="1" applyFill="1" applyBorder="1" applyAlignment="1">
      <alignment horizontal="left"/>
    </xf>
    <xf numFmtId="0" fontId="112" fillId="17" borderId="0" xfId="0" applyFont="1" applyFill="1"/>
    <xf numFmtId="0" fontId="113" fillId="17" borderId="0" xfId="0" applyFont="1" applyFill="1"/>
    <xf numFmtId="0" fontId="114" fillId="17" borderId="59" xfId="0" applyFont="1" applyFill="1" applyBorder="1" applyAlignment="1">
      <alignment horizontal="center"/>
    </xf>
    <xf numFmtId="0" fontId="114" fillId="17" borderId="0" xfId="0" applyFont="1" applyFill="1" applyBorder="1" applyAlignment="1">
      <alignment horizontal="center"/>
    </xf>
    <xf numFmtId="0" fontId="115" fillId="17" borderId="0" xfId="0" applyFont="1" applyFill="1"/>
    <xf numFmtId="0" fontId="84" fillId="17" borderId="0" xfId="0" applyFont="1" applyFill="1"/>
    <xf numFmtId="165" fontId="0" fillId="17" borderId="0" xfId="2" applyFont="1" applyFill="1"/>
    <xf numFmtId="0" fontId="65" fillId="17" borderId="0" xfId="0" applyFont="1" applyFill="1"/>
    <xf numFmtId="0" fontId="33" fillId="4" borderId="58" xfId="0" applyFont="1" applyFill="1" applyBorder="1" applyAlignment="1">
      <alignment horizontal="left"/>
    </xf>
    <xf numFmtId="0" fontId="33" fillId="0" borderId="24" xfId="0" applyFont="1" applyBorder="1" applyAlignment="1">
      <alignment horizontal="left"/>
    </xf>
    <xf numFmtId="0" fontId="33" fillId="0" borderId="0" xfId="0" applyFont="1" applyAlignment="1">
      <alignment horizontal="left"/>
    </xf>
    <xf numFmtId="0" fontId="33" fillId="0" borderId="30" xfId="0" applyFont="1" applyFill="1" applyBorder="1" applyAlignment="1">
      <alignment horizontal="left"/>
    </xf>
    <xf numFmtId="14" fontId="33" fillId="0" borderId="30" xfId="0" applyNumberFormat="1" applyFont="1" applyFill="1" applyBorder="1" applyAlignment="1">
      <alignment horizontal="left"/>
    </xf>
    <xf numFmtId="165" fontId="33" fillId="4" borderId="1" xfId="2" applyFont="1" applyFill="1" applyBorder="1" applyAlignment="1">
      <alignment horizontal="left"/>
    </xf>
    <xf numFmtId="165" fontId="103" fillId="4" borderId="1" xfId="2" applyFont="1" applyFill="1" applyBorder="1" applyAlignment="1">
      <alignment horizontal="left"/>
    </xf>
    <xf numFmtId="165" fontId="33" fillId="0" borderId="60" xfId="2" applyNumberFormat="1" applyFont="1" applyFill="1" applyBorder="1" applyAlignment="1">
      <alignment horizontal="left"/>
    </xf>
    <xf numFmtId="165" fontId="33" fillId="0" borderId="30" xfId="2" applyNumberFormat="1" applyFont="1" applyFill="1" applyBorder="1" applyAlignment="1">
      <alignment horizontal="left"/>
    </xf>
    <xf numFmtId="9" fontId="33" fillId="2" borderId="58" xfId="3" applyFont="1" applyFill="1" applyBorder="1" applyAlignment="1">
      <alignment horizontal="left"/>
    </xf>
    <xf numFmtId="165" fontId="33" fillId="2" borderId="58" xfId="2" applyFont="1" applyFill="1" applyBorder="1" applyAlignment="1">
      <alignment horizontal="left"/>
    </xf>
    <xf numFmtId="165" fontId="33" fillId="4" borderId="58" xfId="2" applyFont="1" applyFill="1" applyBorder="1" applyAlignment="1">
      <alignment horizontal="left"/>
    </xf>
    <xf numFmtId="0" fontId="33" fillId="0" borderId="1" xfId="0" applyFont="1" applyFill="1" applyBorder="1" applyAlignment="1">
      <alignment horizontal="left"/>
    </xf>
    <xf numFmtId="9" fontId="33" fillId="2" borderId="24" xfId="3" applyFont="1" applyFill="1" applyBorder="1" applyAlignment="1">
      <alignment horizontal="left"/>
    </xf>
    <xf numFmtId="165" fontId="33" fillId="2" borderId="24" xfId="2" applyFont="1" applyFill="1" applyBorder="1" applyAlignment="1">
      <alignment horizontal="left"/>
    </xf>
    <xf numFmtId="165" fontId="33" fillId="0" borderId="24" xfId="2" applyFont="1" applyBorder="1" applyAlignment="1">
      <alignment horizontal="left"/>
    </xf>
    <xf numFmtId="0" fontId="33" fillId="29" borderId="1" xfId="0" applyFont="1" applyFill="1" applyBorder="1" applyAlignment="1">
      <alignment horizontal="left"/>
    </xf>
    <xf numFmtId="165" fontId="33" fillId="29" borderId="1" xfId="2" applyFont="1" applyFill="1" applyBorder="1" applyAlignment="1">
      <alignment horizontal="left"/>
    </xf>
    <xf numFmtId="0" fontId="33" fillId="19" borderId="1" xfId="0" applyFont="1" applyFill="1" applyBorder="1" applyAlignment="1">
      <alignment horizontal="left"/>
    </xf>
    <xf numFmtId="165" fontId="33" fillId="0" borderId="1" xfId="2" applyFont="1" applyBorder="1" applyAlignment="1">
      <alignment horizontal="left"/>
    </xf>
    <xf numFmtId="165" fontId="33" fillId="28" borderId="1" xfId="2" applyFont="1" applyFill="1" applyBorder="1" applyAlignment="1">
      <alignment horizontal="left"/>
    </xf>
    <xf numFmtId="0" fontId="33" fillId="4" borderId="30" xfId="0" applyFont="1" applyFill="1" applyBorder="1" applyAlignment="1">
      <alignment horizontal="left"/>
    </xf>
    <xf numFmtId="14" fontId="33" fillId="4" borderId="30" xfId="0" applyNumberFormat="1" applyFont="1" applyFill="1" applyBorder="1" applyAlignment="1">
      <alignment horizontal="left"/>
    </xf>
    <xf numFmtId="14" fontId="33" fillId="4" borderId="1" xfId="0" applyNumberFormat="1" applyFont="1" applyFill="1" applyBorder="1" applyAlignment="1">
      <alignment horizontal="left"/>
    </xf>
    <xf numFmtId="165" fontId="33" fillId="4" borderId="1" xfId="2" applyNumberFormat="1" applyFont="1" applyFill="1" applyBorder="1" applyAlignment="1">
      <alignment horizontal="left"/>
    </xf>
    <xf numFmtId="165" fontId="33" fillId="0" borderId="1" xfId="2" applyNumberFormat="1" applyFont="1" applyBorder="1" applyAlignment="1">
      <alignment horizontal="left"/>
    </xf>
    <xf numFmtId="14" fontId="33" fillId="0" borderId="1" xfId="0" applyNumberFormat="1" applyFont="1" applyBorder="1" applyAlignment="1">
      <alignment horizontal="left"/>
    </xf>
    <xf numFmtId="0" fontId="83" fillId="16" borderId="36" xfId="0" applyFont="1" applyFill="1" applyBorder="1" applyAlignment="1">
      <alignment vertical="top"/>
    </xf>
    <xf numFmtId="0" fontId="83" fillId="16" borderId="0" xfId="0" applyFont="1" applyFill="1" applyBorder="1" applyAlignment="1">
      <alignment vertical="top"/>
    </xf>
    <xf numFmtId="1" fontId="33" fillId="0" borderId="58" xfId="2" applyNumberFormat="1" applyFont="1" applyFill="1" applyBorder="1" applyAlignment="1">
      <alignment horizontal="left"/>
    </xf>
    <xf numFmtId="1" fontId="33" fillId="4" borderId="58" xfId="2" applyNumberFormat="1" applyFont="1" applyFill="1" applyBorder="1" applyAlignment="1">
      <alignment horizontal="left"/>
    </xf>
    <xf numFmtId="1" fontId="33" fillId="4" borderId="24" xfId="2" applyNumberFormat="1" applyFont="1" applyFill="1" applyBorder="1" applyAlignment="1">
      <alignment horizontal="left"/>
    </xf>
    <xf numFmtId="1" fontId="33" fillId="4" borderId="1" xfId="2" applyNumberFormat="1" applyFont="1" applyFill="1" applyBorder="1" applyAlignment="1">
      <alignment horizontal="left"/>
    </xf>
    <xf numFmtId="1" fontId="33" fillId="0" borderId="1" xfId="2" applyNumberFormat="1" applyFont="1" applyBorder="1" applyAlignment="1">
      <alignment horizontal="left"/>
    </xf>
    <xf numFmtId="1" fontId="0" fillId="0" borderId="0" xfId="2" applyNumberFormat="1" applyFont="1"/>
    <xf numFmtId="0" fontId="118" fillId="19" borderId="53" xfId="0" applyFont="1" applyFill="1" applyBorder="1" applyAlignment="1">
      <alignment horizontal="center" vertical="center"/>
    </xf>
    <xf numFmtId="0" fontId="118" fillId="19" borderId="54" xfId="0" applyFont="1" applyFill="1" applyBorder="1" applyAlignment="1">
      <alignment horizontal="center" vertical="center"/>
    </xf>
    <xf numFmtId="14" fontId="118" fillId="19" borderId="54" xfId="0" applyNumberFormat="1" applyFont="1" applyFill="1" applyBorder="1" applyAlignment="1">
      <alignment horizontal="center" vertical="center"/>
    </xf>
    <xf numFmtId="0" fontId="118" fillId="19" borderId="57" xfId="0" applyFont="1" applyFill="1" applyBorder="1" applyAlignment="1">
      <alignment horizontal="center" vertical="center"/>
    </xf>
    <xf numFmtId="165" fontId="118" fillId="19" borderId="57" xfId="2" applyNumberFormat="1" applyFont="1" applyFill="1" applyBorder="1" applyAlignment="1">
      <alignment horizontal="center" vertical="center"/>
    </xf>
    <xf numFmtId="165" fontId="118" fillId="19" borderId="54" xfId="2" applyNumberFormat="1" applyFont="1" applyFill="1" applyBorder="1" applyAlignment="1">
      <alignment horizontal="center" vertical="center"/>
    </xf>
    <xf numFmtId="165" fontId="118" fillId="19" borderId="54" xfId="2" applyFont="1" applyFill="1" applyBorder="1" applyAlignment="1">
      <alignment horizontal="center" vertical="center"/>
    </xf>
    <xf numFmtId="9" fontId="118" fillId="19" borderId="54" xfId="3" applyFont="1" applyFill="1" applyBorder="1" applyAlignment="1">
      <alignment horizontal="center" vertical="center"/>
    </xf>
    <xf numFmtId="165" fontId="118" fillId="19" borderId="54" xfId="2" applyFont="1" applyFill="1" applyBorder="1" applyAlignment="1">
      <alignment horizontal="center" vertical="center" wrapText="1"/>
    </xf>
    <xf numFmtId="165" fontId="118" fillId="19" borderId="55" xfId="2" applyFont="1" applyFill="1" applyBorder="1" applyAlignment="1">
      <alignment horizontal="center" vertical="center"/>
    </xf>
    <xf numFmtId="165" fontId="118" fillId="19" borderId="55" xfId="2" applyFont="1" applyFill="1" applyBorder="1" applyAlignment="1">
      <alignment horizontal="center" vertical="center" wrapText="1"/>
    </xf>
    <xf numFmtId="165" fontId="118" fillId="19" borderId="54" xfId="2" applyNumberFormat="1" applyFont="1" applyFill="1" applyBorder="1" applyAlignment="1">
      <alignment horizontal="center" vertical="center" wrapText="1"/>
    </xf>
    <xf numFmtId="0" fontId="119" fillId="0" borderId="0" xfId="0" applyFont="1" applyAlignment="1">
      <alignment horizontal="center" vertical="center"/>
    </xf>
    <xf numFmtId="165" fontId="119" fillId="0" borderId="0" xfId="2" applyFont="1" applyAlignment="1">
      <alignment horizontal="center" vertical="center"/>
    </xf>
    <xf numFmtId="0" fontId="65" fillId="17" borderId="0" xfId="0" applyFont="1" applyFill="1" applyAlignment="1">
      <alignment horizontal="left"/>
    </xf>
    <xf numFmtId="0" fontId="65" fillId="17" borderId="0" xfId="0" applyFont="1" applyFill="1" applyAlignment="1">
      <alignment horizontal="right"/>
    </xf>
    <xf numFmtId="0" fontId="118" fillId="19" borderId="54" xfId="0" applyFont="1" applyFill="1" applyBorder="1" applyAlignment="1">
      <alignment horizontal="left" vertical="top" wrapText="1"/>
    </xf>
    <xf numFmtId="1" fontId="118" fillId="19" borderId="54" xfId="2" applyNumberFormat="1" applyFont="1" applyFill="1" applyBorder="1" applyAlignment="1">
      <alignment horizontal="center" vertical="center" wrapText="1"/>
    </xf>
    <xf numFmtId="0" fontId="121" fillId="2" borderId="0" xfId="0" applyFont="1" applyFill="1" applyAlignment="1">
      <alignment vertical="top"/>
    </xf>
    <xf numFmtId="0" fontId="15" fillId="16" borderId="5" xfId="0" applyFont="1" applyFill="1" applyBorder="1" applyAlignment="1">
      <alignment vertical="center"/>
    </xf>
    <xf numFmtId="0" fontId="15" fillId="16" borderId="0" xfId="0" applyFont="1" applyFill="1" applyBorder="1" applyAlignment="1">
      <alignment vertical="center"/>
    </xf>
    <xf numFmtId="165" fontId="15" fillId="16" borderId="0" xfId="2" applyFont="1" applyFill="1" applyBorder="1" applyAlignment="1">
      <alignment vertical="center"/>
    </xf>
    <xf numFmtId="165" fontId="103" fillId="4" borderId="1" xfId="2" applyFont="1" applyFill="1" applyBorder="1"/>
    <xf numFmtId="0" fontId="123" fillId="30" borderId="1" xfId="0" applyFont="1" applyFill="1" applyBorder="1" applyAlignment="1">
      <alignment horizontal="center" vertical="center" wrapText="1"/>
    </xf>
    <xf numFmtId="165" fontId="123" fillId="30" borderId="1" xfId="2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left"/>
    </xf>
    <xf numFmtId="0" fontId="125" fillId="19" borderId="31" xfId="0" applyFont="1" applyFill="1" applyBorder="1" applyAlignment="1">
      <alignment horizontal="left" vertical="center"/>
    </xf>
    <xf numFmtId="0" fontId="124" fillId="0" borderId="0" xfId="0" applyFont="1" applyAlignment="1">
      <alignment horizontal="left" vertical="center"/>
    </xf>
    <xf numFmtId="0" fontId="125" fillId="19" borderId="68" xfId="0" applyFont="1" applyFill="1" applyBorder="1" applyAlignment="1">
      <alignment horizontal="left" vertical="center"/>
    </xf>
    <xf numFmtId="0" fontId="50" fillId="0" borderId="0" xfId="0" applyFont="1"/>
    <xf numFmtId="0" fontId="50" fillId="4" borderId="0" xfId="0" applyFont="1" applyFill="1"/>
    <xf numFmtId="0" fontId="50" fillId="0" borderId="0" xfId="0" applyFont="1" applyBorder="1" applyAlignment="1">
      <alignment horizontal="left"/>
    </xf>
    <xf numFmtId="0" fontId="50" fillId="0" borderId="30" xfId="0" applyFont="1" applyBorder="1"/>
    <xf numFmtId="0" fontId="50" fillId="0" borderId="0" xfId="0" applyFont="1" applyBorder="1"/>
    <xf numFmtId="0" fontId="127" fillId="33" borderId="1" xfId="0" applyFont="1" applyFill="1" applyBorder="1" applyAlignment="1"/>
    <xf numFmtId="0" fontId="126" fillId="17" borderId="0" xfId="0" applyFont="1" applyFill="1" applyAlignment="1">
      <alignment horizontal="left"/>
    </xf>
    <xf numFmtId="3" fontId="45" fillId="0" borderId="0" xfId="2" applyNumberFormat="1" applyFont="1"/>
    <xf numFmtId="0" fontId="129" fillId="10" borderId="31" xfId="0" applyFont="1" applyFill="1" applyBorder="1" applyAlignment="1">
      <alignment horizontal="center" vertical="center" wrapText="1"/>
    </xf>
    <xf numFmtId="0" fontId="129" fillId="27" borderId="75" xfId="0" applyFont="1" applyFill="1" applyBorder="1" applyAlignment="1">
      <alignment horizontal="center" vertical="center" wrapText="1"/>
    </xf>
    <xf numFmtId="165" fontId="122" fillId="19" borderId="0" xfId="2" applyFont="1" applyFill="1" applyBorder="1"/>
    <xf numFmtId="3" fontId="122" fillId="19" borderId="76" xfId="2" applyNumberFormat="1" applyFont="1" applyFill="1" applyBorder="1"/>
    <xf numFmtId="3" fontId="122" fillId="19" borderId="0" xfId="2" applyNumberFormat="1" applyFont="1" applyFill="1" applyBorder="1"/>
    <xf numFmtId="0" fontId="132" fillId="16" borderId="0" xfId="0" applyFont="1" applyFill="1" applyBorder="1" applyAlignment="1">
      <alignment vertical="top"/>
    </xf>
    <xf numFmtId="0" fontId="126" fillId="17" borderId="0" xfId="0" applyFont="1" applyFill="1" applyAlignment="1">
      <alignment horizontal="right"/>
    </xf>
    <xf numFmtId="165" fontId="122" fillId="19" borderId="36" xfId="2" applyFont="1" applyFill="1" applyBorder="1"/>
    <xf numFmtId="3" fontId="45" fillId="0" borderId="36" xfId="2" applyNumberFormat="1" applyFont="1" applyBorder="1"/>
    <xf numFmtId="0" fontId="26" fillId="0" borderId="36" xfId="0" applyFont="1" applyBorder="1"/>
    <xf numFmtId="0" fontId="133" fillId="17" borderId="0" xfId="2" applyNumberFormat="1" applyFont="1" applyFill="1" applyAlignment="1">
      <alignment horizontal="center"/>
    </xf>
    <xf numFmtId="165" fontId="131" fillId="35" borderId="0" xfId="2" applyFont="1" applyFill="1" applyBorder="1" applyAlignment="1">
      <alignment horizontal="left"/>
    </xf>
    <xf numFmtId="165" fontId="131" fillId="34" borderId="0" xfId="2" applyFont="1" applyFill="1" applyBorder="1" applyAlignment="1">
      <alignment horizontal="left"/>
    </xf>
    <xf numFmtId="165" fontId="131" fillId="10" borderId="0" xfId="2" applyFont="1" applyFill="1" applyBorder="1" applyAlignment="1">
      <alignment horizontal="left"/>
    </xf>
    <xf numFmtId="0" fontId="104" fillId="36" borderId="0" xfId="0" applyFont="1" applyFill="1" applyAlignment="1">
      <alignment horizontal="left"/>
    </xf>
    <xf numFmtId="0" fontId="65" fillId="36" borderId="0" xfId="0" applyFont="1" applyFill="1" applyAlignment="1">
      <alignment horizontal="left"/>
    </xf>
    <xf numFmtId="0" fontId="104" fillId="36" borderId="5" xfId="0" applyFont="1" applyFill="1" applyBorder="1" applyAlignment="1">
      <alignment horizontal="left"/>
    </xf>
    <xf numFmtId="0" fontId="128" fillId="36" borderId="0" xfId="0" applyFont="1" applyFill="1" applyAlignment="1">
      <alignment horizontal="left"/>
    </xf>
    <xf numFmtId="0" fontId="65" fillId="36" borderId="72" xfId="0" applyFont="1" applyFill="1" applyBorder="1" applyAlignment="1"/>
    <xf numFmtId="0" fontId="65" fillId="36" borderId="59" xfId="0" applyFont="1" applyFill="1" applyBorder="1" applyAlignment="1"/>
    <xf numFmtId="0" fontId="126" fillId="36" borderId="5" xfId="0" applyFont="1" applyFill="1" applyBorder="1" applyAlignment="1"/>
    <xf numFmtId="0" fontId="126" fillId="36" borderId="0" xfId="0" applyFont="1" applyFill="1" applyBorder="1" applyAlignment="1"/>
    <xf numFmtId="49" fontId="134" fillId="36" borderId="73" xfId="0" applyNumberFormat="1" applyFont="1" applyFill="1" applyBorder="1" applyAlignment="1">
      <alignment horizontal="center"/>
    </xf>
    <xf numFmtId="0" fontId="135" fillId="36" borderId="73" xfId="0" applyFont="1" applyFill="1" applyBorder="1" applyAlignment="1">
      <alignment horizontal="center"/>
    </xf>
    <xf numFmtId="1" fontId="136" fillId="36" borderId="30" xfId="4" applyNumberFormat="1" applyFont="1" applyFill="1" applyBorder="1" applyAlignment="1">
      <alignment horizontal="center" vertical="center"/>
    </xf>
    <xf numFmtId="0" fontId="137" fillId="16" borderId="0" xfId="0" applyFont="1" applyFill="1" applyBorder="1" applyAlignment="1">
      <alignment horizontal="left" vertical="top"/>
    </xf>
    <xf numFmtId="3" fontId="35" fillId="12" borderId="1" xfId="0" applyNumberFormat="1" applyFont="1" applyFill="1" applyBorder="1" applyAlignment="1">
      <alignment horizontal="center"/>
    </xf>
    <xf numFmtId="49" fontId="121" fillId="5" borderId="1" xfId="0" applyNumberFormat="1" applyFont="1" applyFill="1" applyBorder="1" applyAlignment="1">
      <alignment horizontal="center"/>
    </xf>
    <xf numFmtId="0" fontId="121" fillId="28" borderId="1" xfId="0" applyFont="1" applyFill="1" applyBorder="1" applyAlignment="1">
      <alignment horizontal="center"/>
    </xf>
    <xf numFmtId="0" fontId="139" fillId="0" borderId="1" xfId="0" applyFont="1" applyBorder="1" applyAlignment="1">
      <alignment horizontal="left" vertical="center" wrapText="1"/>
    </xf>
    <xf numFmtId="0" fontId="139" fillId="0" borderId="1" xfId="0" applyFont="1" applyBorder="1" applyAlignment="1">
      <alignment horizontal="left" vertical="top" wrapText="1"/>
    </xf>
    <xf numFmtId="9" fontId="140" fillId="34" borderId="0" xfId="3" applyFont="1" applyFill="1" applyBorder="1" applyAlignment="1">
      <alignment horizontal="center"/>
    </xf>
    <xf numFmtId="9" fontId="140" fillId="10" borderId="0" xfId="3" applyFont="1" applyFill="1" applyBorder="1" applyAlignment="1">
      <alignment horizontal="center"/>
    </xf>
    <xf numFmtId="165" fontId="39" fillId="20" borderId="0" xfId="2" applyFont="1" applyFill="1" applyAlignment="1">
      <alignment horizontal="center"/>
    </xf>
    <xf numFmtId="165" fontId="138" fillId="36" borderId="30" xfId="2" applyFont="1" applyFill="1" applyBorder="1" applyAlignment="1">
      <alignment horizontal="center" vertical="center"/>
    </xf>
    <xf numFmtId="165" fontId="130" fillId="36" borderId="1" xfId="4" applyNumberFormat="1" applyFont="1" applyFill="1" applyBorder="1" applyAlignment="1">
      <alignment horizontal="center" vertical="center"/>
    </xf>
    <xf numFmtId="0" fontId="101" fillId="3" borderId="0" xfId="0" applyFont="1" applyFill="1" applyBorder="1" applyAlignment="1">
      <alignment horizontal="left"/>
    </xf>
    <xf numFmtId="0" fontId="101" fillId="3" borderId="0" xfId="0" applyFont="1" applyFill="1" applyBorder="1"/>
    <xf numFmtId="165" fontId="101" fillId="3" borderId="0" xfId="2" applyFont="1" applyFill="1" applyBorder="1" applyAlignment="1">
      <alignment horizontal="left"/>
    </xf>
    <xf numFmtId="3" fontId="101" fillId="3" borderId="0" xfId="2" applyNumberFormat="1" applyFont="1" applyFill="1" applyBorder="1"/>
    <xf numFmtId="0" fontId="102" fillId="3" borderId="0" xfId="0" applyFont="1" applyFill="1" applyBorder="1" applyAlignment="1">
      <alignment horizontal="left"/>
    </xf>
    <xf numFmtId="0" fontId="102" fillId="3" borderId="0" xfId="0" applyFont="1" applyFill="1" applyBorder="1"/>
    <xf numFmtId="0" fontId="6" fillId="3" borderId="0" xfId="0" applyFont="1" applyFill="1" applyBorder="1"/>
    <xf numFmtId="0" fontId="48" fillId="3" borderId="0" xfId="0" applyFont="1" applyFill="1" applyBorder="1"/>
    <xf numFmtId="3" fontId="34" fillId="3" borderId="0" xfId="2" applyNumberFormat="1" applyFont="1" applyFill="1" applyBorder="1"/>
    <xf numFmtId="0" fontId="6" fillId="3" borderId="0" xfId="0" applyFont="1" applyFill="1" applyBorder="1" applyAlignment="1">
      <alignment horizontal="left"/>
    </xf>
    <xf numFmtId="1" fontId="122" fillId="36" borderId="30" xfId="4" applyNumberFormat="1" applyFont="1" applyFill="1" applyBorder="1" applyAlignment="1">
      <alignment horizontal="right" vertical="center"/>
    </xf>
    <xf numFmtId="0" fontId="125" fillId="21" borderId="0" xfId="0" applyFont="1" applyFill="1" applyBorder="1" applyAlignment="1">
      <alignment vertical="center" wrapText="1"/>
    </xf>
    <xf numFmtId="165" fontId="128" fillId="36" borderId="77" xfId="2" applyFont="1" applyFill="1" applyBorder="1" applyAlignment="1">
      <alignment horizontal="center"/>
    </xf>
    <xf numFmtId="165" fontId="128" fillId="36" borderId="77" xfId="2" applyFont="1" applyFill="1" applyBorder="1" applyAlignment="1">
      <alignment horizontal="left"/>
    </xf>
    <xf numFmtId="9" fontId="128" fillId="36" borderId="0" xfId="0" applyNumberFormat="1" applyFont="1" applyFill="1" applyAlignment="1">
      <alignment horizontal="left"/>
    </xf>
    <xf numFmtId="9" fontId="128" fillId="36" borderId="0" xfId="3" applyFont="1" applyFill="1" applyAlignment="1">
      <alignment horizontal="left"/>
    </xf>
    <xf numFmtId="9" fontId="128" fillId="36" borderId="77" xfId="3" applyFont="1" applyFill="1" applyBorder="1" applyAlignment="1">
      <alignment horizontal="center"/>
    </xf>
    <xf numFmtId="1" fontId="128" fillId="36" borderId="77" xfId="0" applyNumberFormat="1" applyFont="1" applyFill="1" applyBorder="1" applyAlignment="1">
      <alignment horizontal="center"/>
    </xf>
    <xf numFmtId="0" fontId="128" fillId="36" borderId="77" xfId="0" applyFont="1" applyFill="1" applyBorder="1" applyAlignment="1">
      <alignment horizontal="left"/>
    </xf>
    <xf numFmtId="165" fontId="126" fillId="37" borderId="36" xfId="2" applyFont="1" applyFill="1" applyBorder="1" applyAlignment="1">
      <alignment horizontal="center" vertical="center" wrapText="1"/>
    </xf>
    <xf numFmtId="165" fontId="126" fillId="37" borderId="0" xfId="2" applyFont="1" applyFill="1" applyBorder="1" applyAlignment="1">
      <alignment horizontal="center" vertical="center" wrapText="1"/>
    </xf>
    <xf numFmtId="0" fontId="5" fillId="12" borderId="33" xfId="0" applyFont="1" applyFill="1" applyBorder="1"/>
    <xf numFmtId="165" fontId="5" fillId="12" borderId="30" xfId="2" applyFont="1" applyFill="1" applyBorder="1"/>
    <xf numFmtId="0" fontId="59" fillId="13" borderId="1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/>
    </xf>
    <xf numFmtId="0" fontId="144" fillId="39" borderId="80" xfId="9" applyFont="1" applyFill="1" applyBorder="1" applyAlignment="1">
      <alignment horizontal="center" vertical="center"/>
    </xf>
    <xf numFmtId="0" fontId="144" fillId="39" borderId="9" xfId="9" applyFont="1" applyFill="1" applyBorder="1" applyAlignment="1">
      <alignment vertical="center"/>
    </xf>
    <xf numFmtId="0" fontId="59" fillId="13" borderId="37" xfId="0" applyFont="1" applyFill="1" applyBorder="1" applyAlignment="1">
      <alignment horizontal="center"/>
    </xf>
    <xf numFmtId="0" fontId="8" fillId="12" borderId="37" xfId="0" applyFont="1" applyFill="1" applyBorder="1" applyAlignment="1">
      <alignment horizontal="center"/>
    </xf>
    <xf numFmtId="180" fontId="5" fillId="12" borderId="37" xfId="0" applyNumberFormat="1" applyFont="1" applyFill="1" applyBorder="1"/>
    <xf numFmtId="0" fontId="143" fillId="39" borderId="9" xfId="9" applyFont="1" applyFill="1" applyBorder="1" applyAlignment="1">
      <alignment horizontal="left" vertical="center"/>
    </xf>
    <xf numFmtId="0" fontId="20" fillId="5" borderId="37" xfId="0" applyFont="1" applyFill="1" applyBorder="1"/>
    <xf numFmtId="0" fontId="11" fillId="5" borderId="37" xfId="0" applyFont="1" applyFill="1" applyBorder="1" applyAlignment="1">
      <alignment horizontal="center"/>
    </xf>
    <xf numFmtId="0" fontId="121" fillId="39" borderId="9" xfId="9" applyFont="1" applyFill="1" applyBorder="1" applyAlignment="1">
      <alignment horizontal="center" vertical="center"/>
    </xf>
    <xf numFmtId="49" fontId="59" fillId="18" borderId="0" xfId="0" applyNumberFormat="1" applyFont="1" applyFill="1"/>
    <xf numFmtId="0" fontId="49" fillId="18" borderId="0" xfId="0" applyFont="1" applyFill="1" applyAlignment="1">
      <alignment horizontal="center"/>
    </xf>
    <xf numFmtId="0" fontId="0" fillId="18" borderId="0" xfId="0" applyFill="1" applyAlignment="1">
      <alignment horizontal="right"/>
    </xf>
    <xf numFmtId="181" fontId="145" fillId="39" borderId="9" xfId="9" applyNumberFormat="1" applyFont="1" applyFill="1" applyBorder="1" applyAlignment="1">
      <alignment vertical="center"/>
    </xf>
    <xf numFmtId="0" fontId="119" fillId="0" borderId="0" xfId="0" applyFont="1" applyAlignment="1">
      <alignment horizontal="center" vertical="center" wrapText="1"/>
    </xf>
    <xf numFmtId="14" fontId="33" fillId="0" borderId="0" xfId="0" applyNumberFormat="1" applyFont="1"/>
    <xf numFmtId="0" fontId="126" fillId="36" borderId="0" xfId="0" applyFont="1" applyFill="1" applyAlignment="1">
      <alignment vertical="center"/>
    </xf>
    <xf numFmtId="0" fontId="126" fillId="36" borderId="0" xfId="0" applyFont="1" applyFill="1" applyBorder="1" applyAlignment="1">
      <alignment vertical="center"/>
    </xf>
    <xf numFmtId="165" fontId="101" fillId="41" borderId="0" xfId="2" applyFont="1" applyFill="1" applyBorder="1" applyAlignment="1">
      <alignment horizontal="center"/>
    </xf>
    <xf numFmtId="165" fontId="101" fillId="41" borderId="0" xfId="2" applyFont="1" applyFill="1" applyBorder="1" applyAlignment="1">
      <alignment horizontal="left"/>
    </xf>
    <xf numFmtId="0" fontId="132" fillId="41" borderId="0" xfId="0" applyFont="1" applyFill="1" applyBorder="1" applyAlignment="1">
      <alignment horizontal="center" vertical="center" wrapText="1"/>
    </xf>
    <xf numFmtId="0" fontId="132" fillId="16" borderId="0" xfId="0" applyFont="1" applyFill="1" applyBorder="1" applyAlignment="1">
      <alignment horizontal="left" vertical="top"/>
    </xf>
    <xf numFmtId="0" fontId="126" fillId="36" borderId="0" xfId="0" applyFont="1" applyFill="1" applyBorder="1" applyAlignment="1">
      <alignment horizontal="left" vertical="center"/>
    </xf>
    <xf numFmtId="0" fontId="126" fillId="36" borderId="77" xfId="0" applyFont="1" applyFill="1" applyBorder="1" applyAlignment="1">
      <alignment vertical="center"/>
    </xf>
    <xf numFmtId="0" fontId="126" fillId="36" borderId="77" xfId="0" applyFont="1" applyFill="1" applyBorder="1" applyAlignment="1">
      <alignment horizontal="center" vertical="center"/>
    </xf>
    <xf numFmtId="165" fontId="131" fillId="4" borderId="0" xfId="2" applyFont="1" applyFill="1" applyBorder="1" applyAlignment="1">
      <alignment horizontal="left"/>
    </xf>
    <xf numFmtId="9" fontId="126" fillId="37" borderId="36" xfId="3" applyFont="1" applyFill="1" applyBorder="1" applyAlignment="1">
      <alignment horizontal="center" vertical="center" wrapText="1"/>
    </xf>
    <xf numFmtId="165" fontId="147" fillId="42" borderId="0" xfId="2" applyFont="1" applyFill="1" applyBorder="1" applyAlignment="1">
      <alignment horizontal="center"/>
    </xf>
    <xf numFmtId="9" fontId="147" fillId="42" borderId="0" xfId="3" applyFont="1" applyFill="1" applyBorder="1" applyAlignment="1">
      <alignment horizontal="center"/>
    </xf>
    <xf numFmtId="0" fontId="120" fillId="17" borderId="0" xfId="4" applyFont="1" applyFill="1" applyAlignment="1">
      <alignment horizontal="left" wrapText="1"/>
    </xf>
    <xf numFmtId="0" fontId="129" fillId="34" borderId="65" xfId="0" applyFont="1" applyFill="1" applyBorder="1" applyAlignment="1">
      <alignment horizontal="center" vertical="center" wrapText="1"/>
    </xf>
    <xf numFmtId="0" fontId="132" fillId="41" borderId="77" xfId="0" applyFont="1" applyFill="1" applyBorder="1" applyAlignment="1">
      <alignment horizontal="center" vertical="center" wrapText="1"/>
    </xf>
    <xf numFmtId="165" fontId="126" fillId="37" borderId="81" xfId="2" applyFont="1" applyFill="1" applyBorder="1" applyAlignment="1">
      <alignment horizontal="center" vertical="center" wrapText="1"/>
    </xf>
    <xf numFmtId="9" fontId="126" fillId="37" borderId="81" xfId="3" applyFont="1" applyFill="1" applyBorder="1" applyAlignment="1">
      <alignment horizontal="center" vertical="center" wrapText="1"/>
    </xf>
    <xf numFmtId="165" fontId="126" fillId="37" borderId="77" xfId="2" applyFont="1" applyFill="1" applyBorder="1" applyAlignment="1">
      <alignment horizontal="center" vertical="center" wrapText="1"/>
    </xf>
    <xf numFmtId="172" fontId="148" fillId="36" borderId="0" xfId="3" applyNumberFormat="1" applyFont="1" applyFill="1" applyAlignment="1">
      <alignment horizontal="center"/>
    </xf>
    <xf numFmtId="165" fontId="149" fillId="37" borderId="0" xfId="2" applyFont="1" applyFill="1" applyBorder="1" applyAlignment="1">
      <alignment horizontal="left" vertical="center" wrapText="1"/>
    </xf>
    <xf numFmtId="0" fontId="33" fillId="43" borderId="1" xfId="0" applyFont="1" applyFill="1" applyBorder="1" applyAlignment="1">
      <alignment horizontal="left"/>
    </xf>
    <xf numFmtId="14" fontId="33" fillId="28" borderId="1" xfId="0" applyNumberFormat="1" applyFont="1" applyFill="1" applyBorder="1" applyAlignment="1">
      <alignment horizontal="left"/>
    </xf>
    <xf numFmtId="14" fontId="33" fillId="44" borderId="1" xfId="0" applyNumberFormat="1" applyFont="1" applyFill="1" applyBorder="1" applyAlignment="1">
      <alignment horizontal="left"/>
    </xf>
    <xf numFmtId="0" fontId="33" fillId="44" borderId="1" xfId="0" applyFont="1" applyFill="1" applyBorder="1" applyAlignment="1">
      <alignment horizontal="left"/>
    </xf>
    <xf numFmtId="16" fontId="33" fillId="5" borderId="1" xfId="0" applyNumberFormat="1" applyFont="1" applyFill="1" applyBorder="1" applyAlignment="1">
      <alignment horizontal="left"/>
    </xf>
    <xf numFmtId="165" fontId="129" fillId="10" borderId="31" xfId="2" applyFont="1" applyFill="1" applyBorder="1" applyAlignment="1">
      <alignment horizontal="center" vertical="center" wrapText="1"/>
    </xf>
    <xf numFmtId="165" fontId="129" fillId="27" borderId="75" xfId="2" applyFont="1" applyFill="1" applyBorder="1" applyAlignment="1">
      <alignment horizontal="center" vertical="center" wrapText="1"/>
    </xf>
    <xf numFmtId="165" fontId="26" fillId="0" borderId="0" xfId="2" applyFont="1"/>
    <xf numFmtId="0" fontId="101" fillId="32" borderId="1" xfId="0" applyFont="1" applyFill="1" applyBorder="1" applyAlignment="1">
      <alignment horizontal="left"/>
    </xf>
    <xf numFmtId="165" fontId="151" fillId="17" borderId="0" xfId="2" applyFont="1" applyFill="1"/>
    <xf numFmtId="165" fontId="115" fillId="17" borderId="0" xfId="2" applyFont="1" applyFill="1"/>
    <xf numFmtId="0" fontId="143" fillId="17" borderId="0" xfId="0" applyFont="1" applyFill="1"/>
    <xf numFmtId="0" fontId="116" fillId="17" borderId="0" xfId="0" applyFont="1" applyFill="1" applyAlignment="1">
      <alignment horizontal="center"/>
    </xf>
    <xf numFmtId="14" fontId="116" fillId="17" borderId="0" xfId="0" applyNumberFormat="1" applyFont="1" applyFill="1"/>
    <xf numFmtId="165" fontId="116" fillId="17" borderId="0" xfId="2" applyFont="1" applyFill="1"/>
    <xf numFmtId="14" fontId="119" fillId="0" borderId="0" xfId="0" applyNumberFormat="1" applyFont="1" applyAlignment="1">
      <alignment horizontal="center" vertical="center" wrapText="1"/>
    </xf>
    <xf numFmtId="49" fontId="152" fillId="28" borderId="1" xfId="0" applyNumberFormat="1" applyFont="1" applyFill="1" applyBorder="1" applyAlignment="1">
      <alignment horizontal="center"/>
    </xf>
    <xf numFmtId="174" fontId="33" fillId="7" borderId="1" xfId="2" applyNumberFormat="1" applyFont="1" applyFill="1" applyBorder="1" applyAlignment="1">
      <alignment horizontal="center"/>
    </xf>
    <xf numFmtId="4" fontId="62" fillId="3" borderId="41" xfId="0" applyNumberFormat="1" applyFont="1" applyFill="1" applyBorder="1" applyAlignment="1">
      <alignment horizontal="center" vertical="center"/>
    </xf>
    <xf numFmtId="49" fontId="101" fillId="32" borderId="1" xfId="0" applyNumberFormat="1" applyFont="1" applyFill="1" applyBorder="1" applyAlignment="1">
      <alignment horizontal="center"/>
    </xf>
    <xf numFmtId="49" fontId="101" fillId="32" borderId="1" xfId="2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53" fillId="37" borderId="0" xfId="0" applyFont="1" applyFill="1"/>
    <xf numFmtId="1" fontId="154" fillId="37" borderId="0" xfId="2" applyNumberFormat="1" applyFont="1" applyFill="1"/>
    <xf numFmtId="1" fontId="155" fillId="37" borderId="0" xfId="2" applyNumberFormat="1" applyFont="1" applyFill="1"/>
    <xf numFmtId="165" fontId="156" fillId="37" borderId="0" xfId="2" applyFont="1" applyFill="1" applyAlignment="1">
      <alignment horizontal="center"/>
    </xf>
    <xf numFmtId="165" fontId="157" fillId="37" borderId="0" xfId="2" applyFont="1" applyFill="1"/>
    <xf numFmtId="165" fontId="158" fillId="37" borderId="0" xfId="2" applyFont="1" applyFill="1"/>
    <xf numFmtId="1" fontId="159" fillId="37" borderId="0" xfId="2" applyNumberFormat="1" applyFont="1" applyFill="1"/>
    <xf numFmtId="165" fontId="160" fillId="37" borderId="0" xfId="2" applyFont="1" applyFill="1"/>
    <xf numFmtId="0" fontId="153" fillId="37" borderId="0" xfId="0" applyFont="1" applyFill="1" applyAlignment="1">
      <alignment horizontal="center"/>
    </xf>
    <xf numFmtId="165" fontId="160" fillId="37" borderId="0" xfId="2" applyFont="1" applyFill="1" applyAlignment="1">
      <alignment horizontal="center"/>
    </xf>
    <xf numFmtId="14" fontId="161" fillId="3" borderId="0" xfId="0" applyNumberFormat="1" applyFont="1" applyFill="1" applyAlignment="1">
      <alignment horizontal="right" vertical="center" wrapText="1"/>
    </xf>
    <xf numFmtId="171" fontId="0" fillId="3" borderId="0" xfId="0" applyNumberFormat="1" applyFont="1" applyFill="1" applyAlignment="1">
      <alignment horizontal="left" vertical="center"/>
    </xf>
    <xf numFmtId="0" fontId="23" fillId="20" borderId="0" xfId="0" applyFont="1" applyFill="1" applyBorder="1"/>
    <xf numFmtId="0" fontId="23" fillId="20" borderId="0" xfId="0" applyFont="1" applyFill="1"/>
    <xf numFmtId="0" fontId="63" fillId="20" borderId="0" xfId="0" applyFont="1" applyFill="1" applyBorder="1" applyAlignment="1">
      <alignment vertical="center"/>
    </xf>
    <xf numFmtId="0" fontId="63" fillId="20" borderId="0" xfId="0" applyFont="1" applyFill="1" applyBorder="1" applyAlignment="1">
      <alignment horizontal="center" vertical="center"/>
    </xf>
    <xf numFmtId="4" fontId="0" fillId="20" borderId="0" xfId="0" applyNumberFormat="1" applyFont="1" applyFill="1"/>
    <xf numFmtId="3" fontId="23" fillId="20" borderId="0" xfId="0" applyNumberFormat="1" applyFont="1" applyFill="1" applyAlignment="1">
      <alignment horizontal="center"/>
    </xf>
    <xf numFmtId="0" fontId="23" fillId="0" borderId="0" xfId="0" applyFont="1" applyAlignment="1">
      <alignment horizontal="left"/>
    </xf>
    <xf numFmtId="0" fontId="23" fillId="20" borderId="0" xfId="0" applyFont="1" applyFill="1" applyAlignment="1">
      <alignment horizontal="left"/>
    </xf>
    <xf numFmtId="3" fontId="23" fillId="20" borderId="0" xfId="0" applyNumberFormat="1" applyFont="1" applyFill="1" applyAlignment="1">
      <alignment horizontal="left"/>
    </xf>
    <xf numFmtId="3" fontId="23" fillId="0" borderId="0" xfId="0" applyNumberFormat="1" applyFont="1" applyAlignment="1">
      <alignment horizontal="left"/>
    </xf>
    <xf numFmtId="165" fontId="0" fillId="0" borderId="0" xfId="0" applyNumberFormat="1"/>
    <xf numFmtId="0" fontId="49" fillId="21" borderId="0" xfId="2" applyNumberFormat="1" applyFont="1" applyFill="1" applyBorder="1" applyAlignment="1">
      <alignment horizontal="center"/>
    </xf>
    <xf numFmtId="0" fontId="45" fillId="5" borderId="1" xfId="0" applyFont="1" applyFill="1" applyBorder="1" applyAlignment="1">
      <alignment horizontal="left"/>
    </xf>
    <xf numFmtId="0" fontId="67" fillId="3" borderId="0" xfId="0" applyFont="1" applyFill="1" applyAlignment="1">
      <alignment vertical="center"/>
    </xf>
    <xf numFmtId="0" fontId="166" fillId="3" borderId="0" xfId="0" applyFont="1" applyFill="1" applyAlignment="1">
      <alignment horizontal="center" vertical="center"/>
    </xf>
    <xf numFmtId="0" fontId="165" fillId="20" borderId="0" xfId="0" applyFont="1" applyFill="1" applyBorder="1"/>
    <xf numFmtId="0" fontId="165" fillId="20" borderId="0" xfId="0" applyFont="1" applyFill="1"/>
    <xf numFmtId="0" fontId="165" fillId="21" borderId="0" xfId="0" applyFont="1" applyFill="1" applyBorder="1"/>
    <xf numFmtId="0" fontId="85" fillId="19" borderId="0" xfId="0" applyFont="1" applyFill="1" applyBorder="1"/>
    <xf numFmtId="0" fontId="85" fillId="21" borderId="0" xfId="0" applyFont="1" applyFill="1" applyBorder="1"/>
    <xf numFmtId="0" fontId="167" fillId="21" borderId="0" xfId="0" applyFont="1" applyFill="1" applyBorder="1"/>
    <xf numFmtId="165" fontId="101" fillId="32" borderId="1" xfId="2" applyFont="1" applyFill="1" applyBorder="1" applyAlignment="1">
      <alignment horizontal="left"/>
    </xf>
    <xf numFmtId="165" fontId="33" fillId="5" borderId="0" xfId="2" applyFont="1" applyFill="1"/>
    <xf numFmtId="182" fontId="23" fillId="3" borderId="0" xfId="0" applyNumberFormat="1" applyFont="1" applyFill="1" applyAlignment="1">
      <alignment horizontal="left" vertical="center" wrapText="1"/>
    </xf>
    <xf numFmtId="0" fontId="116" fillId="17" borderId="0" xfId="2" applyNumberFormat="1" applyFont="1" applyFill="1"/>
    <xf numFmtId="0" fontId="101" fillId="31" borderId="1" xfId="0" applyFont="1" applyFill="1" applyBorder="1" applyAlignment="1">
      <alignment horizontal="left"/>
    </xf>
    <xf numFmtId="0" fontId="168" fillId="17" borderId="0" xfId="0" applyFont="1" applyFill="1" applyAlignment="1">
      <alignment horizontal="center"/>
    </xf>
    <xf numFmtId="165" fontId="168" fillId="17" borderId="0" xfId="2" applyFont="1" applyFill="1"/>
    <xf numFmtId="165" fontId="146" fillId="40" borderId="0" xfId="2" applyFont="1" applyFill="1" applyBorder="1" applyAlignment="1">
      <alignment horizontal="left"/>
    </xf>
    <xf numFmtId="170" fontId="170" fillId="19" borderId="0" xfId="2" applyNumberFormat="1" applyFont="1" applyFill="1" applyBorder="1" applyAlignment="1">
      <alignment horizontal="left"/>
    </xf>
    <xf numFmtId="165" fontId="0" fillId="19" borderId="0" xfId="0" applyNumberFormat="1" applyFill="1"/>
    <xf numFmtId="0" fontId="101" fillId="32" borderId="1" xfId="0" applyFont="1" applyFill="1" applyBorder="1" applyAlignment="1">
      <alignment horizontal="center"/>
    </xf>
    <xf numFmtId="49" fontId="0" fillId="5" borderId="0" xfId="0" applyNumberFormat="1" applyFill="1"/>
    <xf numFmtId="0" fontId="101" fillId="32" borderId="1" xfId="2" applyNumberFormat="1" applyFont="1" applyFill="1" applyBorder="1" applyAlignment="1">
      <alignment horizontal="center"/>
    </xf>
    <xf numFmtId="174" fontId="155" fillId="37" borderId="0" xfId="2" applyNumberFormat="1" applyFont="1" applyFill="1"/>
    <xf numFmtId="174" fontId="123" fillId="30" borderId="1" xfId="2" applyNumberFormat="1" applyFont="1" applyFill="1" applyBorder="1" applyAlignment="1">
      <alignment horizontal="center" vertical="center" wrapText="1"/>
    </xf>
    <xf numFmtId="174" fontId="39" fillId="30" borderId="1" xfId="2" applyNumberFormat="1" applyFont="1" applyFill="1" applyBorder="1"/>
    <xf numFmtId="165" fontId="65" fillId="17" borderId="0" xfId="0" applyNumberFormat="1" applyFont="1" applyFill="1" applyAlignment="1">
      <alignment horizontal="right"/>
    </xf>
    <xf numFmtId="0" fontId="84" fillId="19" borderId="0" xfId="0" applyFont="1" applyFill="1" applyBorder="1" applyAlignment="1">
      <alignment horizontal="left"/>
    </xf>
    <xf numFmtId="9" fontId="146" fillId="40" borderId="0" xfId="3" applyFont="1" applyFill="1" applyBorder="1" applyAlignment="1">
      <alignment horizontal="center"/>
    </xf>
    <xf numFmtId="0" fontId="84" fillId="19" borderId="0" xfId="0" applyFont="1" applyFill="1" applyBorder="1"/>
    <xf numFmtId="165" fontId="120" fillId="19" borderId="36" xfId="2" applyFont="1" applyFill="1" applyBorder="1"/>
    <xf numFmtId="165" fontId="132" fillId="37" borderId="0" xfId="2" applyFont="1" applyFill="1" applyBorder="1" applyAlignment="1">
      <alignment horizontal="center" vertical="center" wrapText="1"/>
    </xf>
    <xf numFmtId="14" fontId="23" fillId="0" borderId="0" xfId="0" applyNumberFormat="1" applyFont="1" applyAlignment="1">
      <alignment horizontal="center"/>
    </xf>
    <xf numFmtId="14" fontId="23" fillId="0" borderId="0" xfId="0" applyNumberFormat="1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3" fillId="0" borderId="8" xfId="0" applyFont="1" applyBorder="1"/>
    <xf numFmtId="0" fontId="23" fillId="0" borderId="8" xfId="0" applyFont="1" applyBorder="1" applyAlignment="1">
      <alignment horizontal="left"/>
    </xf>
    <xf numFmtId="14" fontId="23" fillId="0" borderId="8" xfId="0" applyNumberFormat="1" applyFont="1" applyBorder="1" applyAlignment="1">
      <alignment horizontal="center"/>
    </xf>
    <xf numFmtId="0" fontId="23" fillId="3" borderId="8" xfId="0" applyFont="1" applyFill="1" applyBorder="1"/>
    <xf numFmtId="0" fontId="79" fillId="4" borderId="0" xfId="0" applyFont="1" applyFill="1" applyBorder="1" applyAlignment="1">
      <alignment horizontal="left"/>
    </xf>
    <xf numFmtId="0" fontId="79" fillId="4" borderId="0" xfId="0" applyFont="1" applyFill="1" applyAlignment="1">
      <alignment horizontal="left"/>
    </xf>
    <xf numFmtId="0" fontId="79" fillId="0" borderId="0" xfId="0" applyFont="1" applyAlignment="1">
      <alignment horizontal="left"/>
    </xf>
    <xf numFmtId="0" fontId="50" fillId="0" borderId="0" xfId="0" applyFont="1" applyFill="1" applyBorder="1" applyAlignment="1">
      <alignment horizontal="left"/>
    </xf>
    <xf numFmtId="49" fontId="50" fillId="0" borderId="0" xfId="0" applyNumberFormat="1" applyFont="1" applyFill="1" applyBorder="1" applyAlignment="1">
      <alignment horizontal="left"/>
    </xf>
    <xf numFmtId="14" fontId="33" fillId="0" borderId="24" xfId="0" applyNumberFormat="1" applyFont="1" applyBorder="1" applyAlignment="1">
      <alignment horizontal="left"/>
    </xf>
    <xf numFmtId="0" fontId="0" fillId="17" borderId="0" xfId="0" applyFill="1" applyAlignment="1">
      <alignment horizontal="left"/>
    </xf>
    <xf numFmtId="0" fontId="114" fillId="17" borderId="59" xfId="0" applyFont="1" applyFill="1" applyBorder="1" applyAlignment="1">
      <alignment horizontal="left"/>
    </xf>
    <xf numFmtId="14" fontId="116" fillId="17" borderId="0" xfId="0" applyNumberFormat="1" applyFont="1" applyFill="1" applyAlignment="1">
      <alignment horizontal="left"/>
    </xf>
    <xf numFmtId="0" fontId="6" fillId="5" borderId="0" xfId="0" applyFont="1" applyFill="1"/>
    <xf numFmtId="0" fontId="172" fillId="15" borderId="1" xfId="2" applyNumberFormat="1" applyFont="1" applyFill="1" applyBorder="1" applyAlignment="1">
      <alignment horizontal="left"/>
    </xf>
    <xf numFmtId="14" fontId="172" fillId="15" borderId="1" xfId="0" applyNumberFormat="1" applyFont="1" applyFill="1" applyBorder="1" applyAlignment="1">
      <alignment horizontal="left"/>
    </xf>
    <xf numFmtId="0" fontId="172" fillId="15" borderId="1" xfId="0" applyNumberFormat="1" applyFont="1" applyFill="1" applyBorder="1" applyAlignment="1">
      <alignment horizontal="left"/>
    </xf>
    <xf numFmtId="0" fontId="172" fillId="15" borderId="1" xfId="0" applyFont="1" applyFill="1" applyBorder="1" applyAlignment="1">
      <alignment horizontal="left"/>
    </xf>
    <xf numFmtId="14" fontId="24" fillId="5" borderId="1" xfId="2" applyNumberFormat="1" applyFont="1" applyFill="1" applyBorder="1" applyAlignment="1">
      <alignment horizontal="left"/>
    </xf>
    <xf numFmtId="165" fontId="13" fillId="28" borderId="1" xfId="2" applyFont="1" applyFill="1" applyBorder="1"/>
    <xf numFmtId="165" fontId="174" fillId="3" borderId="0" xfId="2" applyFont="1" applyFill="1" applyBorder="1" applyAlignment="1">
      <alignment horizontal="center" vertical="center" wrapText="1"/>
    </xf>
    <xf numFmtId="165" fontId="174" fillId="3" borderId="76" xfId="2" applyFont="1" applyFill="1" applyBorder="1" applyAlignment="1">
      <alignment horizontal="center" vertical="center" wrapText="1"/>
    </xf>
    <xf numFmtId="165" fontId="175" fillId="5" borderId="0" xfId="2" applyFont="1" applyFill="1" applyBorder="1"/>
    <xf numFmtId="165" fontId="175" fillId="5" borderId="76" xfId="2" applyFont="1" applyFill="1" applyBorder="1"/>
    <xf numFmtId="14" fontId="171" fillId="5" borderId="1" xfId="0" applyNumberFormat="1" applyFont="1" applyFill="1" applyBorder="1" applyAlignment="1">
      <alignment horizontal="left"/>
    </xf>
    <xf numFmtId="0" fontId="171" fillId="5" borderId="1" xfId="0" applyFont="1" applyFill="1" applyBorder="1" applyAlignment="1">
      <alignment horizontal="left"/>
    </xf>
    <xf numFmtId="165" fontId="175" fillId="28" borderId="0" xfId="2" applyFont="1" applyFill="1" applyBorder="1"/>
    <xf numFmtId="165" fontId="175" fillId="28" borderId="76" xfId="2" applyFont="1" applyFill="1" applyBorder="1"/>
    <xf numFmtId="165" fontId="122" fillId="28" borderId="0" xfId="2" applyFont="1" applyFill="1" applyBorder="1"/>
    <xf numFmtId="3" fontId="122" fillId="28" borderId="76" xfId="2" applyNumberFormat="1" applyFont="1" applyFill="1" applyBorder="1"/>
    <xf numFmtId="165" fontId="176" fillId="44" borderId="0" xfId="2" applyFont="1" applyFill="1" applyBorder="1" applyAlignment="1">
      <alignment horizontal="left"/>
    </xf>
    <xf numFmtId="165" fontId="176" fillId="28" borderId="0" xfId="2" applyFont="1" applyFill="1" applyBorder="1" applyAlignment="1">
      <alignment horizontal="left"/>
    </xf>
    <xf numFmtId="0" fontId="171" fillId="5" borderId="1" xfId="2" applyNumberFormat="1" applyFont="1" applyFill="1" applyBorder="1" applyAlignment="1">
      <alignment horizontal="left"/>
    </xf>
    <xf numFmtId="0" fontId="171" fillId="5" borderId="1" xfId="0" applyNumberFormat="1" applyFont="1" applyFill="1" applyBorder="1" applyAlignment="1">
      <alignment horizontal="left"/>
    </xf>
    <xf numFmtId="165" fontId="175" fillId="13" borderId="0" xfId="2" applyFont="1" applyFill="1" applyBorder="1"/>
    <xf numFmtId="165" fontId="175" fillId="13" borderId="76" xfId="2" applyFont="1" applyFill="1" applyBorder="1"/>
    <xf numFmtId="165" fontId="177" fillId="46" borderId="0" xfId="2" applyFont="1" applyFill="1" applyBorder="1"/>
    <xf numFmtId="165" fontId="177" fillId="46" borderId="76" xfId="2" applyFont="1" applyFill="1" applyBorder="1"/>
    <xf numFmtId="0" fontId="173" fillId="3" borderId="0" xfId="0" applyFont="1" applyFill="1" applyAlignment="1">
      <alignment horizontal="right"/>
    </xf>
    <xf numFmtId="0" fontId="37" fillId="19" borderId="1" xfId="0" applyFont="1" applyFill="1" applyBorder="1" applyAlignment="1">
      <alignment horizontal="center" vertical="center" wrapText="1"/>
    </xf>
    <xf numFmtId="0" fontId="144" fillId="39" borderId="80" xfId="9" applyFont="1" applyFill="1" applyBorder="1" applyAlignment="1">
      <alignment horizontal="left" vertical="center"/>
    </xf>
    <xf numFmtId="183" fontId="24" fillId="5" borderId="1" xfId="2" applyNumberFormat="1" applyFont="1" applyFill="1" applyBorder="1" applyAlignment="1">
      <alignment horizontal="left"/>
    </xf>
    <xf numFmtId="49" fontId="101" fillId="4" borderId="1" xfId="0" applyNumberFormat="1" applyFont="1" applyFill="1" applyBorder="1" applyAlignment="1">
      <alignment horizontal="center"/>
    </xf>
    <xf numFmtId="0" fontId="101" fillId="4" borderId="1" xfId="0" applyFont="1" applyFill="1" applyBorder="1" applyAlignment="1">
      <alignment horizontal="left"/>
    </xf>
    <xf numFmtId="165" fontId="101" fillId="4" borderId="1" xfId="2" applyFont="1" applyFill="1" applyBorder="1" applyAlignment="1">
      <alignment horizontal="left"/>
    </xf>
    <xf numFmtId="1" fontId="0" fillId="47" borderId="0" xfId="0" applyNumberFormat="1" applyFill="1"/>
    <xf numFmtId="0" fontId="53" fillId="47" borderId="0" xfId="0" applyFont="1" applyFill="1"/>
    <xf numFmtId="165" fontId="180" fillId="47" borderId="0" xfId="2" applyFont="1" applyFill="1"/>
    <xf numFmtId="165" fontId="180" fillId="18" borderId="0" xfId="2" applyFont="1" applyFill="1"/>
    <xf numFmtId="1" fontId="181" fillId="47" borderId="0" xfId="0" applyNumberFormat="1" applyFont="1" applyFill="1"/>
    <xf numFmtId="14" fontId="171" fillId="8" borderId="1" xfId="0" applyNumberFormat="1" applyFont="1" applyFill="1" applyBorder="1" applyAlignment="1">
      <alignment horizontal="left"/>
    </xf>
    <xf numFmtId="14" fontId="33" fillId="26" borderId="1" xfId="0" applyNumberFormat="1" applyFont="1" applyFill="1" applyBorder="1" applyAlignment="1">
      <alignment horizontal="left"/>
    </xf>
    <xf numFmtId="0" fontId="33" fillId="12" borderId="1" xfId="0" applyFont="1" applyFill="1" applyBorder="1"/>
    <xf numFmtId="165" fontId="160" fillId="37" borderId="0" xfId="2" applyNumberFormat="1" applyFont="1" applyFill="1" applyAlignment="1">
      <alignment horizontal="center"/>
    </xf>
    <xf numFmtId="167" fontId="27" fillId="20" borderId="1" xfId="1" applyNumberFormat="1" applyFont="1" applyFill="1" applyBorder="1"/>
    <xf numFmtId="0" fontId="0" fillId="49" borderId="0" xfId="0" applyFill="1"/>
    <xf numFmtId="0" fontId="33" fillId="49" borderId="0" xfId="0" applyFont="1" applyFill="1" applyAlignment="1">
      <alignment horizontal="left"/>
    </xf>
    <xf numFmtId="0" fontId="0" fillId="31" borderId="0" xfId="0" applyFill="1"/>
    <xf numFmtId="0" fontId="0" fillId="30" borderId="0" xfId="0" applyFill="1"/>
    <xf numFmtId="0" fontId="186" fillId="30" borderId="0" xfId="0" applyFont="1" applyFill="1"/>
    <xf numFmtId="0" fontId="186" fillId="30" borderId="0" xfId="0" applyNumberFormat="1" applyFont="1" applyFill="1"/>
    <xf numFmtId="0" fontId="188" fillId="30" borderId="0" xfId="0" applyFont="1" applyFill="1" applyAlignment="1">
      <alignment horizontal="left"/>
    </xf>
    <xf numFmtId="0" fontId="188" fillId="30" borderId="0" xfId="0" applyFont="1" applyFill="1"/>
    <xf numFmtId="0" fontId="187" fillId="20" borderId="31" xfId="0" applyFont="1" applyFill="1" applyBorder="1" applyAlignment="1">
      <alignment horizontal="center" vertical="center" wrapText="1"/>
    </xf>
    <xf numFmtId="167" fontId="187" fillId="20" borderId="31" xfId="1" applyNumberFormat="1" applyFont="1" applyFill="1" applyBorder="1" applyAlignment="1">
      <alignment horizontal="center" vertical="center" wrapText="1"/>
    </xf>
    <xf numFmtId="166" fontId="188" fillId="30" borderId="0" xfId="0" applyNumberFormat="1" applyFont="1" applyFill="1" applyBorder="1" applyAlignment="1">
      <alignment horizontal="left"/>
    </xf>
    <xf numFmtId="0" fontId="188" fillId="30" borderId="0" xfId="0" applyFont="1" applyFill="1" applyBorder="1"/>
    <xf numFmtId="0" fontId="186" fillId="30" borderId="0" xfId="0" applyFont="1" applyFill="1" applyBorder="1"/>
    <xf numFmtId="166" fontId="189" fillId="30" borderId="0" xfId="0" applyNumberFormat="1" applyFont="1" applyFill="1" applyBorder="1" applyAlignment="1">
      <alignment horizontal="left"/>
    </xf>
    <xf numFmtId="0" fontId="189" fillId="30" borderId="0" xfId="0" applyFont="1" applyFill="1" applyBorder="1"/>
    <xf numFmtId="166" fontId="189" fillId="30" borderId="0" xfId="0" applyNumberFormat="1" applyFont="1" applyFill="1" applyBorder="1"/>
    <xf numFmtId="0" fontId="187" fillId="20" borderId="88" xfId="0" applyFont="1" applyFill="1" applyBorder="1" applyAlignment="1">
      <alignment horizontal="left" vertical="center" wrapText="1"/>
    </xf>
    <xf numFmtId="166" fontId="189" fillId="30" borderId="5" xfId="0" applyNumberFormat="1" applyFont="1" applyFill="1" applyBorder="1" applyAlignment="1">
      <alignment horizontal="left"/>
    </xf>
    <xf numFmtId="0" fontId="169" fillId="30" borderId="0" xfId="0" applyFont="1" applyFill="1" applyAlignment="1">
      <alignment horizontal="left"/>
    </xf>
    <xf numFmtId="0" fontId="169" fillId="30" borderId="0" xfId="0" applyFont="1" applyFill="1" applyAlignment="1">
      <alignment horizontal="left" vertical="top"/>
    </xf>
    <xf numFmtId="0" fontId="0" fillId="3" borderId="0" xfId="0" applyFill="1" applyProtection="1">
      <protection locked="0"/>
    </xf>
    <xf numFmtId="14" fontId="0" fillId="3" borderId="0" xfId="0" applyNumberFormat="1" applyFill="1" applyAlignment="1" applyProtection="1">
      <alignment horizontal="center"/>
      <protection locked="0"/>
    </xf>
    <xf numFmtId="165" fontId="182" fillId="5" borderId="14" xfId="2" applyFont="1" applyFill="1" applyBorder="1" applyAlignment="1" applyProtection="1">
      <alignment horizontal="left"/>
      <protection locked="0"/>
    </xf>
    <xf numFmtId="0" fontId="182" fillId="5" borderId="0" xfId="0" applyFont="1" applyFill="1" applyBorder="1" applyAlignment="1" applyProtection="1">
      <protection locked="0"/>
    </xf>
    <xf numFmtId="0" fontId="0" fillId="3" borderId="15" xfId="0" applyFill="1" applyBorder="1" applyProtection="1">
      <protection locked="0"/>
    </xf>
    <xf numFmtId="0" fontId="81" fillId="17" borderId="42" xfId="0" applyFont="1" applyFill="1" applyBorder="1" applyAlignment="1" applyProtection="1">
      <alignment vertical="center"/>
      <protection locked="0"/>
    </xf>
    <xf numFmtId="0" fontId="81" fillId="17" borderId="39" xfId="0" applyFont="1" applyFill="1" applyBorder="1" applyAlignment="1" applyProtection="1">
      <alignment vertical="center"/>
      <protection locked="0"/>
    </xf>
    <xf numFmtId="0" fontId="12" fillId="17" borderId="0" xfId="0" applyFont="1" applyFill="1" applyBorder="1" applyAlignment="1" applyProtection="1">
      <alignment vertical="center"/>
      <protection locked="0"/>
    </xf>
    <xf numFmtId="0" fontId="164" fillId="17" borderId="10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5" fillId="0" borderId="60" xfId="2" applyNumberFormat="1" applyFont="1" applyBorder="1" applyAlignment="1" applyProtection="1">
      <alignment horizontal="center"/>
      <protection locked="0"/>
    </xf>
    <xf numFmtId="179" fontId="5" fillId="0" borderId="30" xfId="2" applyNumberFormat="1" applyFon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170" fontId="0" fillId="0" borderId="31" xfId="2" applyNumberFormat="1" applyFont="1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174" fontId="0" fillId="0" borderId="31" xfId="2" applyNumberFormat="1" applyFont="1" applyBorder="1" applyProtection="1"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8" fillId="0" borderId="21" xfId="0" applyFont="1" applyBorder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9" fillId="3" borderId="0" xfId="0" applyFont="1" applyFill="1" applyProtection="1">
      <protection locked="0"/>
    </xf>
    <xf numFmtId="0" fontId="23" fillId="3" borderId="0" xfId="0" applyFont="1" applyFill="1" applyAlignment="1" applyProtection="1">
      <protection locked="0"/>
    </xf>
    <xf numFmtId="0" fontId="5" fillId="3" borderId="0" xfId="0" applyFont="1" applyFill="1" applyAlignment="1" applyProtection="1">
      <alignment vertical="top"/>
      <protection locked="0"/>
    </xf>
    <xf numFmtId="0" fontId="5" fillId="3" borderId="0" xfId="0" applyFont="1" applyFill="1" applyAlignment="1" applyProtection="1">
      <alignment horizontal="left" vertical="top"/>
      <protection locked="0"/>
    </xf>
    <xf numFmtId="0" fontId="8" fillId="3" borderId="0" xfId="0" applyFont="1" applyFill="1" applyAlignment="1" applyProtection="1"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9" fillId="3" borderId="0" xfId="0" applyFont="1" applyFill="1" applyAlignment="1" applyProtection="1">
      <alignment horizontal="left"/>
      <protection locked="0"/>
    </xf>
    <xf numFmtId="0" fontId="9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0" borderId="0" xfId="0" applyFill="1" applyProtection="1">
      <protection locked="0"/>
    </xf>
    <xf numFmtId="0" fontId="0" fillId="30" borderId="0" xfId="0" applyFill="1" applyAlignment="1" applyProtection="1">
      <protection locked="0"/>
    </xf>
    <xf numFmtId="0" fontId="0" fillId="30" borderId="0" xfId="0" applyFill="1" applyAlignment="1"/>
    <xf numFmtId="3" fontId="0" fillId="3" borderId="0" xfId="0" applyNumberFormat="1" applyFill="1" applyBorder="1" applyAlignment="1" applyProtection="1">
      <alignment horizontal="center"/>
      <protection locked="0"/>
    </xf>
    <xf numFmtId="3" fontId="0" fillId="3" borderId="0" xfId="0" applyNumberFormat="1" applyFill="1" applyBorder="1" applyProtection="1">
      <protection locked="0"/>
    </xf>
    <xf numFmtId="0" fontId="0" fillId="3" borderId="0" xfId="0" applyFill="1" applyBorder="1" applyProtection="1">
      <protection locked="0"/>
    </xf>
    <xf numFmtId="3" fontId="0" fillId="30" borderId="0" xfId="0" applyNumberFormat="1" applyFill="1" applyBorder="1" applyProtection="1">
      <protection locked="0"/>
    </xf>
    <xf numFmtId="3" fontId="0" fillId="30" borderId="0" xfId="0" applyNumberFormat="1" applyFill="1" applyBorder="1"/>
    <xf numFmtId="3" fontId="0" fillId="0" borderId="0" xfId="0" applyNumberFormat="1" applyBorder="1"/>
    <xf numFmtId="0" fontId="27" fillId="20" borderId="0" xfId="0" applyFont="1" applyFill="1" applyBorder="1"/>
    <xf numFmtId="0" fontId="27" fillId="20" borderId="0" xfId="0" applyFont="1" applyFill="1" applyBorder="1" applyAlignment="1">
      <alignment horizontal="center"/>
    </xf>
    <xf numFmtId="170" fontId="3" fillId="5" borderId="1" xfId="2" applyNumberFormat="1" applyFont="1" applyFill="1" applyBorder="1" applyAlignment="1" applyProtection="1">
      <alignment horizontal="center"/>
      <protection locked="0"/>
    </xf>
    <xf numFmtId="184" fontId="8" fillId="0" borderId="21" xfId="2" applyNumberFormat="1" applyFont="1" applyBorder="1" applyAlignment="1" applyProtection="1">
      <alignment horizontal="center" vertical="center"/>
      <protection locked="0"/>
    </xf>
    <xf numFmtId="0" fontId="185" fillId="30" borderId="9" xfId="0" applyFont="1" applyFill="1" applyBorder="1" applyAlignment="1" applyProtection="1">
      <alignment horizontal="center" vertical="center"/>
      <protection locked="0"/>
    </xf>
    <xf numFmtId="0" fontId="186" fillId="30" borderId="9" xfId="0" applyFont="1" applyFill="1" applyBorder="1"/>
    <xf numFmtId="0" fontId="186" fillId="30" borderId="89" xfId="0" applyFont="1" applyFill="1" applyBorder="1"/>
    <xf numFmtId="166" fontId="191" fillId="30" borderId="5" xfId="0" applyNumberFormat="1" applyFont="1" applyFill="1" applyBorder="1" applyAlignment="1" applyProtection="1">
      <alignment horizontal="left"/>
      <protection locked="0"/>
    </xf>
    <xf numFmtId="166" fontId="191" fillId="30" borderId="0" xfId="0" applyNumberFormat="1" applyFont="1" applyFill="1" applyBorder="1" applyProtection="1">
      <protection locked="0"/>
    </xf>
    <xf numFmtId="0" fontId="191" fillId="30" borderId="0" xfId="0" applyFont="1" applyFill="1" applyBorder="1" applyProtection="1">
      <protection locked="0"/>
    </xf>
    <xf numFmtId="166" fontId="191" fillId="30" borderId="5" xfId="0" applyNumberFormat="1" applyFont="1" applyFill="1" applyBorder="1" applyAlignment="1">
      <alignment horizontal="left"/>
    </xf>
    <xf numFmtId="166" fontId="191" fillId="30" borderId="0" xfId="0" applyNumberFormat="1" applyFont="1" applyFill="1" applyBorder="1"/>
    <xf numFmtId="0" fontId="191" fillId="30" borderId="0" xfId="0" applyFont="1" applyFill="1" applyBorder="1"/>
    <xf numFmtId="165" fontId="192" fillId="25" borderId="0" xfId="2" applyFont="1" applyFill="1" applyAlignment="1">
      <alignment horizontal="center"/>
    </xf>
    <xf numFmtId="0" fontId="193" fillId="25" borderId="0" xfId="0" applyFont="1" applyFill="1" applyAlignment="1">
      <alignment horizontal="center"/>
    </xf>
    <xf numFmtId="0" fontId="192" fillId="25" borderId="0" xfId="0" applyFont="1" applyFill="1" applyAlignment="1">
      <alignment horizontal="left"/>
    </xf>
    <xf numFmtId="0" fontId="84" fillId="47" borderId="0" xfId="0" applyFont="1" applyFill="1" applyAlignment="1">
      <alignment horizontal="left"/>
    </xf>
    <xf numFmtId="14" fontId="0" fillId="25" borderId="0" xfId="0" applyNumberFormat="1" applyFill="1"/>
    <xf numFmtId="0" fontId="0" fillId="50" borderId="0" xfId="0" applyFill="1"/>
    <xf numFmtId="14" fontId="0" fillId="50" borderId="0" xfId="0" applyNumberFormat="1" applyFill="1"/>
    <xf numFmtId="0" fontId="194" fillId="17" borderId="90" xfId="0" applyFont="1" applyFill="1" applyBorder="1" applyAlignment="1">
      <alignment horizontal="center" vertical="center"/>
    </xf>
    <xf numFmtId="1" fontId="194" fillId="17" borderId="59" xfId="0" applyNumberFormat="1" applyFont="1" applyFill="1" applyBorder="1" applyAlignment="1">
      <alignment horizontal="center" vertical="center"/>
    </xf>
    <xf numFmtId="49" fontId="194" fillId="17" borderId="59" xfId="0" applyNumberFormat="1" applyFont="1" applyFill="1" applyBorder="1" applyAlignment="1">
      <alignment horizontal="center" vertical="center"/>
    </xf>
    <xf numFmtId="165" fontId="194" fillId="17" borderId="59" xfId="2" applyFont="1" applyFill="1" applyBorder="1" applyAlignment="1">
      <alignment horizontal="center" vertical="center"/>
    </xf>
    <xf numFmtId="3" fontId="194" fillId="17" borderId="59" xfId="0" applyNumberFormat="1" applyFont="1" applyFill="1" applyBorder="1" applyAlignment="1">
      <alignment horizontal="center" vertical="center"/>
    </xf>
    <xf numFmtId="0" fontId="0" fillId="18" borderId="0" xfId="0" applyFill="1" applyBorder="1" applyAlignment="1">
      <alignment horizontal="center"/>
    </xf>
    <xf numFmtId="0" fontId="56" fillId="2" borderId="30" xfId="0" applyFont="1" applyFill="1" applyBorder="1" applyAlignment="1">
      <alignment horizontal="left" vertical="center"/>
    </xf>
    <xf numFmtId="1" fontId="56" fillId="2" borderId="30" xfId="0" applyNumberFormat="1" applyFont="1" applyFill="1" applyBorder="1" applyAlignment="1">
      <alignment horizontal="left" vertical="center"/>
    </xf>
    <xf numFmtId="14" fontId="56" fillId="2" borderId="30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horizontal="left" vertical="center"/>
    </xf>
    <xf numFmtId="1" fontId="56" fillId="2" borderId="1" xfId="0" applyNumberFormat="1" applyFont="1" applyFill="1" applyBorder="1" applyAlignment="1">
      <alignment horizontal="left" vertical="center"/>
    </xf>
    <xf numFmtId="14" fontId="56" fillId="2" borderId="1" xfId="0" applyNumberFormat="1" applyFont="1" applyFill="1" applyBorder="1" applyAlignment="1">
      <alignment horizontal="left" vertical="center"/>
    </xf>
    <xf numFmtId="164" fontId="56" fillId="2" borderId="1" xfId="1" applyFont="1" applyFill="1" applyBorder="1" applyAlignment="1">
      <alignment vertical="center"/>
    </xf>
    <xf numFmtId="14" fontId="56" fillId="2" borderId="1" xfId="0" applyNumberFormat="1" applyFont="1" applyFill="1" applyBorder="1" applyAlignment="1">
      <alignment horizontal="left" vertical="center" wrapText="1"/>
    </xf>
    <xf numFmtId="164" fontId="56" fillId="2" borderId="1" xfId="1" applyFont="1" applyFill="1" applyBorder="1" applyAlignment="1">
      <alignment horizontal="left" vertical="center"/>
    </xf>
    <xf numFmtId="0" fontId="33" fillId="2" borderId="1" xfId="0" applyFont="1" applyFill="1" applyBorder="1"/>
    <xf numFmtId="1" fontId="103" fillId="2" borderId="1" xfId="0" applyNumberFormat="1" applyFont="1" applyFill="1" applyBorder="1" applyAlignment="1">
      <alignment horizontal="left" vertical="center"/>
    </xf>
    <xf numFmtId="14" fontId="103" fillId="2" borderId="1" xfId="0" applyNumberFormat="1" applyFont="1" applyFill="1" applyBorder="1" applyAlignment="1">
      <alignment horizontal="left" vertical="center"/>
    </xf>
    <xf numFmtId="0" fontId="56" fillId="5" borderId="30" xfId="0" applyFont="1" applyFill="1" applyBorder="1" applyAlignment="1">
      <alignment horizontal="left" vertical="center"/>
    </xf>
    <xf numFmtId="1" fontId="56" fillId="5" borderId="30" xfId="0" applyNumberFormat="1" applyFont="1" applyFill="1" applyBorder="1" applyAlignment="1">
      <alignment horizontal="left" vertical="center"/>
    </xf>
    <xf numFmtId="14" fontId="56" fillId="5" borderId="30" xfId="0" applyNumberFormat="1" applyFont="1" applyFill="1" applyBorder="1" applyAlignment="1">
      <alignment horizontal="left" vertical="center"/>
    </xf>
    <xf numFmtId="164" fontId="56" fillId="5" borderId="30" xfId="1" applyFont="1" applyFill="1" applyBorder="1" applyAlignment="1">
      <alignment horizontal="left" vertical="center"/>
    </xf>
    <xf numFmtId="0" fontId="56" fillId="5" borderId="1" xfId="0" applyFont="1" applyFill="1" applyBorder="1" applyAlignment="1">
      <alignment horizontal="left" vertical="center"/>
    </xf>
    <xf numFmtId="1" fontId="56" fillId="5" borderId="1" xfId="0" applyNumberFormat="1" applyFont="1" applyFill="1" applyBorder="1" applyAlignment="1">
      <alignment horizontal="left" vertical="center"/>
    </xf>
    <xf numFmtId="14" fontId="56" fillId="5" borderId="1" xfId="0" applyNumberFormat="1" applyFont="1" applyFill="1" applyBorder="1" applyAlignment="1">
      <alignment horizontal="left" vertical="center"/>
    </xf>
    <xf numFmtId="164" fontId="56" fillId="5" borderId="1" xfId="1" applyFont="1" applyFill="1" applyBorder="1" applyAlignment="1">
      <alignment vertical="center"/>
    </xf>
    <xf numFmtId="14" fontId="56" fillId="5" borderId="1" xfId="0" applyNumberFormat="1" applyFont="1" applyFill="1" applyBorder="1" applyAlignment="1">
      <alignment horizontal="left" vertical="center" wrapText="1"/>
    </xf>
    <xf numFmtId="164" fontId="56" fillId="5" borderId="1" xfId="1" applyFont="1" applyFill="1" applyBorder="1" applyAlignment="1">
      <alignment horizontal="left" vertical="center"/>
    </xf>
    <xf numFmtId="0" fontId="33" fillId="5" borderId="1" xfId="0" applyFont="1" applyFill="1" applyBorder="1"/>
    <xf numFmtId="1" fontId="103" fillId="5" borderId="1" xfId="0" applyNumberFormat="1" applyFont="1" applyFill="1" applyBorder="1" applyAlignment="1">
      <alignment horizontal="left" vertical="center"/>
    </xf>
    <xf numFmtId="14" fontId="103" fillId="5" borderId="1" xfId="0" applyNumberFormat="1" applyFont="1" applyFill="1" applyBorder="1" applyAlignment="1">
      <alignment horizontal="left" vertical="center"/>
    </xf>
    <xf numFmtId="164" fontId="56" fillId="5" borderId="1" xfId="1" applyFont="1" applyFill="1" applyBorder="1" applyAlignment="1">
      <alignment horizontal="center" vertical="center"/>
    </xf>
    <xf numFmtId="49" fontId="56" fillId="5" borderId="1" xfId="0" applyNumberFormat="1" applyFont="1" applyFill="1" applyBorder="1" applyAlignment="1">
      <alignment horizontal="left" vertical="center"/>
    </xf>
    <xf numFmtId="1" fontId="33" fillId="5" borderId="1" xfId="0" applyNumberFormat="1" applyFont="1" applyFill="1" applyBorder="1" applyAlignment="1">
      <alignment horizontal="left"/>
    </xf>
    <xf numFmtId="0" fontId="101" fillId="5" borderId="1" xfId="0" applyFont="1" applyFill="1" applyBorder="1" applyAlignment="1">
      <alignment horizontal="left" vertical="center"/>
    </xf>
    <xf numFmtId="1" fontId="101" fillId="5" borderId="1" xfId="0" applyNumberFormat="1" applyFont="1" applyFill="1" applyBorder="1" applyAlignment="1">
      <alignment horizontal="left" vertical="center"/>
    </xf>
    <xf numFmtId="14" fontId="101" fillId="5" borderId="1" xfId="0" applyNumberFormat="1" applyFont="1" applyFill="1" applyBorder="1" applyAlignment="1">
      <alignment horizontal="left" vertical="center"/>
    </xf>
    <xf numFmtId="14" fontId="101" fillId="5" borderId="1" xfId="0" applyNumberFormat="1" applyFont="1" applyFill="1" applyBorder="1" applyAlignment="1">
      <alignment horizontal="left" vertical="center" wrapText="1"/>
    </xf>
    <xf numFmtId="165" fontId="195" fillId="26" borderId="30" xfId="2" applyFont="1" applyFill="1" applyBorder="1" applyAlignment="1">
      <alignment horizontal="center" vertical="center"/>
    </xf>
    <xf numFmtId="165" fontId="195" fillId="26" borderId="1" xfId="2" applyFont="1" applyFill="1" applyBorder="1" applyAlignment="1">
      <alignment horizontal="center" vertical="center"/>
    </xf>
    <xf numFmtId="165" fontId="196" fillId="26" borderId="1" xfId="2" applyFont="1" applyFill="1" applyBorder="1"/>
    <xf numFmtId="165" fontId="195" fillId="26" borderId="1" xfId="2" applyFont="1" applyFill="1" applyBorder="1" applyAlignment="1">
      <alignment horizontal="left" vertical="top"/>
    </xf>
    <xf numFmtId="165" fontId="195" fillId="26" borderId="1" xfId="2" applyFont="1" applyFill="1" applyBorder="1" applyAlignment="1">
      <alignment horizontal="left" vertical="center"/>
    </xf>
    <xf numFmtId="165" fontId="195" fillId="26" borderId="1" xfId="2" applyFont="1" applyFill="1" applyBorder="1" applyAlignment="1">
      <alignment vertical="center"/>
    </xf>
    <xf numFmtId="165" fontId="34" fillId="48" borderId="30" xfId="2" applyFont="1" applyFill="1" applyBorder="1" applyAlignment="1">
      <alignment horizontal="left" vertical="center"/>
    </xf>
    <xf numFmtId="165" fontId="34" fillId="48" borderId="1" xfId="2" applyFont="1" applyFill="1" applyBorder="1" applyAlignment="1">
      <alignment vertical="center"/>
    </xf>
    <xf numFmtId="165" fontId="34" fillId="48" borderId="1" xfId="2" applyFont="1" applyFill="1" applyBorder="1" applyAlignment="1">
      <alignment horizontal="left" vertical="center"/>
    </xf>
    <xf numFmtId="165" fontId="34" fillId="48" borderId="1" xfId="2" applyFont="1" applyFill="1" applyBorder="1" applyAlignment="1">
      <alignment horizontal="left" vertical="center" wrapText="1"/>
    </xf>
    <xf numFmtId="165" fontId="34" fillId="48" borderId="1" xfId="2" applyFont="1" applyFill="1" applyBorder="1"/>
    <xf numFmtId="165" fontId="34" fillId="48" borderId="1" xfId="2" applyFont="1" applyFill="1" applyBorder="1" applyAlignment="1">
      <alignment horizontal="center" vertical="center"/>
    </xf>
    <xf numFmtId="165" fontId="197" fillId="48" borderId="1" xfId="2" applyFont="1" applyFill="1" applyBorder="1" applyAlignment="1">
      <alignment horizontal="center" vertical="center"/>
    </xf>
    <xf numFmtId="165" fontId="34" fillId="48" borderId="1" xfId="2" applyFont="1" applyFill="1" applyBorder="1" applyAlignment="1">
      <alignment horizontal="center"/>
    </xf>
    <xf numFmtId="0" fontId="23" fillId="32" borderId="0" xfId="0" applyFont="1" applyFill="1"/>
    <xf numFmtId="0" fontId="23" fillId="32" borderId="0" xfId="0" applyFont="1" applyFill="1" applyBorder="1"/>
    <xf numFmtId="0" fontId="63" fillId="32" borderId="0" xfId="0" applyFont="1" applyFill="1" applyAlignment="1">
      <alignment vertical="center"/>
    </xf>
    <xf numFmtId="0" fontId="63" fillId="32" borderId="0" xfId="0" applyFont="1" applyFill="1" applyAlignment="1">
      <alignment horizontal="center" vertical="center"/>
    </xf>
    <xf numFmtId="3" fontId="63" fillId="32" borderId="0" xfId="0" applyNumberFormat="1" applyFont="1" applyFill="1" applyAlignment="1">
      <alignment vertical="center"/>
    </xf>
    <xf numFmtId="4" fontId="63" fillId="32" borderId="0" xfId="0" applyNumberFormat="1" applyFont="1" applyFill="1" applyAlignment="1">
      <alignment vertical="center"/>
    </xf>
    <xf numFmtId="0" fontId="68" fillId="32" borderId="0" xfId="0" applyFont="1" applyFill="1"/>
    <xf numFmtId="4" fontId="68" fillId="32" borderId="0" xfId="0" applyNumberFormat="1" applyFont="1" applyFill="1"/>
    <xf numFmtId="4" fontId="0" fillId="32" borderId="0" xfId="0" applyNumberFormat="1" applyFont="1" applyFill="1"/>
    <xf numFmtId="3" fontId="23" fillId="32" borderId="0" xfId="0" applyNumberFormat="1" applyFont="1" applyFill="1" applyAlignment="1">
      <alignment horizontal="center"/>
    </xf>
    <xf numFmtId="0" fontId="199" fillId="32" borderId="0" xfId="0" applyFont="1" applyFill="1" applyAlignment="1">
      <alignment horizontal="left"/>
    </xf>
    <xf numFmtId="0" fontId="201" fillId="45" borderId="91" xfId="0" applyFont="1" applyFill="1" applyBorder="1"/>
    <xf numFmtId="4" fontId="201" fillId="45" borderId="91" xfId="0" applyNumberFormat="1" applyFont="1" applyFill="1" applyBorder="1"/>
    <xf numFmtId="0" fontId="202" fillId="32" borderId="0" xfId="0" applyFont="1" applyFill="1" applyAlignment="1">
      <alignment horizontal="left" vertical="center"/>
    </xf>
    <xf numFmtId="0" fontId="202" fillId="32" borderId="0" xfId="0" applyFont="1" applyFill="1" applyAlignment="1">
      <alignment horizontal="center" vertical="center"/>
    </xf>
    <xf numFmtId="0" fontId="63" fillId="32" borderId="0" xfId="0" applyFont="1" applyFill="1" applyBorder="1" applyAlignment="1">
      <alignment vertical="center"/>
    </xf>
    <xf numFmtId="0" fontId="68" fillId="32" borderId="0" xfId="0" applyFont="1" applyFill="1" applyBorder="1"/>
    <xf numFmtId="3" fontId="23" fillId="32" borderId="0" xfId="0" applyNumberFormat="1" applyFont="1" applyFill="1" applyBorder="1" applyAlignment="1">
      <alignment horizontal="center"/>
    </xf>
    <xf numFmtId="0" fontId="169" fillId="32" borderId="0" xfId="0" applyFont="1" applyFill="1" applyBorder="1" applyAlignment="1">
      <alignment horizontal="left"/>
    </xf>
    <xf numFmtId="0" fontId="169" fillId="32" borderId="0" xfId="0" applyFont="1" applyFill="1" applyBorder="1" applyAlignment="1">
      <alignment horizontal="left" vertical="top"/>
    </xf>
    <xf numFmtId="0" fontId="186" fillId="32" borderId="0" xfId="0" applyFont="1" applyFill="1" applyBorder="1"/>
    <xf numFmtId="0" fontId="23" fillId="32" borderId="6" xfId="0" applyFont="1" applyFill="1" applyBorder="1"/>
    <xf numFmtId="0" fontId="63" fillId="32" borderId="6" xfId="0" applyFont="1" applyFill="1" applyBorder="1" applyAlignment="1">
      <alignment horizontal="center" vertical="center"/>
    </xf>
    <xf numFmtId="0" fontId="63" fillId="32" borderId="6" xfId="0" applyFont="1" applyFill="1" applyBorder="1" applyAlignment="1">
      <alignment vertical="center"/>
    </xf>
    <xf numFmtId="0" fontId="68" fillId="32" borderId="6" xfId="0" applyFont="1" applyFill="1" applyBorder="1"/>
    <xf numFmtId="3" fontId="23" fillId="32" borderId="6" xfId="0" applyNumberFormat="1" applyFont="1" applyFill="1" applyBorder="1" applyAlignment="1">
      <alignment horizontal="center"/>
    </xf>
    <xf numFmtId="0" fontId="203" fillId="45" borderId="91" xfId="0" applyFont="1" applyFill="1" applyBorder="1"/>
    <xf numFmtId="0" fontId="204" fillId="45" borderId="91" xfId="0" applyFont="1" applyFill="1" applyBorder="1"/>
    <xf numFmtId="0" fontId="203" fillId="45" borderId="94" xfId="0" applyFont="1" applyFill="1" applyBorder="1"/>
    <xf numFmtId="0" fontId="86" fillId="30" borderId="0" xfId="0" applyFont="1" applyFill="1" applyAlignment="1">
      <alignment horizontal="left"/>
    </xf>
    <xf numFmtId="1" fontId="33" fillId="49" borderId="0" xfId="0" applyNumberFormat="1" applyFont="1" applyFill="1"/>
    <xf numFmtId="0" fontId="24" fillId="49" borderId="0" xfId="0" applyFont="1" applyFill="1"/>
    <xf numFmtId="0" fontId="205" fillId="30" borderId="0" xfId="0" applyFont="1" applyFill="1" applyAlignment="1">
      <alignment horizontal="left"/>
    </xf>
    <xf numFmtId="0" fontId="205" fillId="30" borderId="0" xfId="0" applyFont="1" applyFill="1"/>
    <xf numFmtId="165" fontId="65" fillId="30" borderId="0" xfId="2" applyFont="1" applyFill="1" applyBorder="1" applyAlignment="1">
      <alignment horizontal="center"/>
    </xf>
    <xf numFmtId="0" fontId="40" fillId="30" borderId="0" xfId="0" applyFont="1" applyFill="1" applyAlignment="1">
      <alignment horizontal="center"/>
    </xf>
    <xf numFmtId="0" fontId="206" fillId="31" borderId="0" xfId="0" applyFont="1" applyFill="1" applyAlignment="1">
      <alignment horizontal="left"/>
    </xf>
    <xf numFmtId="0" fontId="206" fillId="31" borderId="0" xfId="0" applyFont="1" applyFill="1" applyAlignment="1">
      <alignment horizontal="center" vertical="center"/>
    </xf>
    <xf numFmtId="0" fontId="206" fillId="31" borderId="0" xfId="0" applyFont="1" applyFill="1" applyAlignment="1">
      <alignment horizontal="right" vertical="center"/>
    </xf>
    <xf numFmtId="165" fontId="66" fillId="30" borderId="0" xfId="2" applyFont="1" applyFill="1" applyBorder="1" applyAlignment="1">
      <alignment horizontal="right" vertical="center"/>
    </xf>
    <xf numFmtId="9" fontId="66" fillId="30" borderId="0" xfId="3" applyFont="1" applyFill="1" applyBorder="1" applyAlignment="1">
      <alignment horizontal="center" vertical="center"/>
    </xf>
    <xf numFmtId="0" fontId="207" fillId="31" borderId="0" xfId="0" applyFont="1" applyFill="1" applyAlignment="1">
      <alignment horizontal="center" vertical="center"/>
    </xf>
    <xf numFmtId="0" fontId="208" fillId="30" borderId="0" xfId="0" applyFont="1" applyFill="1" applyAlignment="1">
      <alignment horizontal="center" vertical="center"/>
    </xf>
    <xf numFmtId="0" fontId="207" fillId="31" borderId="0" xfId="0" applyFont="1" applyFill="1" applyAlignment="1">
      <alignment horizontal="left" vertical="center"/>
    </xf>
    <xf numFmtId="0" fontId="192" fillId="31" borderId="0" xfId="0" applyFont="1" applyFill="1" applyAlignment="1">
      <alignment horizontal="left"/>
    </xf>
    <xf numFmtId="0" fontId="193" fillId="31" borderId="0" xfId="0" applyFont="1" applyFill="1" applyAlignment="1">
      <alignment horizontal="center"/>
    </xf>
    <xf numFmtId="165" fontId="192" fillId="31" borderId="0" xfId="2" applyFont="1" applyFill="1" applyAlignment="1">
      <alignment horizontal="center"/>
    </xf>
    <xf numFmtId="0" fontId="207" fillId="31" borderId="36" xfId="0" applyFont="1" applyFill="1" applyBorder="1" applyAlignment="1">
      <alignment horizontal="center" vertical="center"/>
    </xf>
    <xf numFmtId="0" fontId="208" fillId="30" borderId="36" xfId="0" applyFont="1" applyFill="1" applyBorder="1" applyAlignment="1">
      <alignment horizontal="center" vertical="center"/>
    </xf>
    <xf numFmtId="0" fontId="207" fillId="31" borderId="36" xfId="0" applyFont="1" applyFill="1" applyBorder="1" applyAlignment="1">
      <alignment horizontal="left" vertical="center"/>
    </xf>
    <xf numFmtId="9" fontId="123" fillId="30" borderId="95" xfId="3" applyFont="1" applyFill="1" applyBorder="1" applyAlignment="1">
      <alignment horizontal="center"/>
    </xf>
    <xf numFmtId="0" fontId="0" fillId="30" borderId="0" xfId="0" applyFill="1" applyBorder="1" applyAlignment="1">
      <alignment vertical="center"/>
    </xf>
    <xf numFmtId="0" fontId="0" fillId="30" borderId="0" xfId="0" applyFill="1" applyBorder="1"/>
    <xf numFmtId="0" fontId="207" fillId="31" borderId="0" xfId="0" applyFont="1" applyFill="1" applyBorder="1" applyAlignment="1">
      <alignment horizontal="left" vertical="center"/>
    </xf>
    <xf numFmtId="0" fontId="209" fillId="30" borderId="0" xfId="0" applyFont="1" applyFill="1" applyBorder="1" applyAlignment="1">
      <alignment vertical="top" wrapText="1"/>
    </xf>
    <xf numFmtId="0" fontId="23" fillId="3" borderId="0" xfId="0" applyFont="1" applyFill="1" applyAlignment="1">
      <alignment horizontal="left"/>
    </xf>
    <xf numFmtId="165" fontId="33" fillId="30" borderId="0" xfId="2" applyFont="1" applyFill="1"/>
    <xf numFmtId="0" fontId="102" fillId="30" borderId="0" xfId="0" applyFont="1" applyFill="1"/>
    <xf numFmtId="165" fontId="0" fillId="30" borderId="0" xfId="0" applyNumberFormat="1" applyFill="1"/>
    <xf numFmtId="165" fontId="101" fillId="30" borderId="0" xfId="2" applyFont="1" applyFill="1"/>
    <xf numFmtId="165" fontId="33" fillId="30" borderId="0" xfId="0" applyNumberFormat="1" applyFont="1" applyFill="1" applyAlignment="1">
      <alignment horizontal="center"/>
    </xf>
    <xf numFmtId="0" fontId="44" fillId="31" borderId="38" xfId="0" applyFont="1" applyFill="1" applyBorder="1" applyAlignment="1">
      <alignment vertical="center"/>
    </xf>
    <xf numFmtId="0" fontId="44" fillId="31" borderId="38" xfId="0" applyFont="1" applyFill="1" applyBorder="1" applyAlignment="1">
      <alignment horizontal="center" vertical="center"/>
    </xf>
    <xf numFmtId="0" fontId="44" fillId="31" borderId="0" xfId="0" applyFont="1" applyFill="1" applyBorder="1" applyAlignment="1">
      <alignment vertical="center"/>
    </xf>
    <xf numFmtId="0" fontId="44" fillId="31" borderId="0" xfId="0" applyFont="1" applyFill="1" applyBorder="1" applyAlignment="1">
      <alignment horizontal="center" vertical="center"/>
    </xf>
    <xf numFmtId="0" fontId="210" fillId="17" borderId="31" xfId="0" applyFont="1" applyFill="1" applyBorder="1" applyAlignment="1">
      <alignment horizontal="center" vertical="center" wrapText="1"/>
    </xf>
    <xf numFmtId="165" fontId="210" fillId="17" borderId="31" xfId="2" applyFont="1" applyFill="1" applyBorder="1" applyAlignment="1">
      <alignment horizontal="center" vertical="center" wrapText="1"/>
    </xf>
    <xf numFmtId="165" fontId="211" fillId="30" borderId="0" xfId="0" applyNumberFormat="1" applyFont="1" applyFill="1" applyAlignment="1">
      <alignment horizontal="center"/>
    </xf>
    <xf numFmtId="0" fontId="155" fillId="49" borderId="0" xfId="0" applyFont="1" applyFill="1"/>
    <xf numFmtId="0" fontId="213" fillId="30" borderId="0" xfId="0" applyFont="1" applyFill="1"/>
    <xf numFmtId="0" fontId="208" fillId="30" borderId="36" xfId="0" applyFont="1" applyFill="1" applyBorder="1" applyAlignment="1">
      <alignment horizontal="right" vertical="center"/>
    </xf>
    <xf numFmtId="165" fontId="196" fillId="26" borderId="30" xfId="2" applyFont="1" applyFill="1" applyBorder="1"/>
    <xf numFmtId="0" fontId="214" fillId="3" borderId="0" xfId="0" applyFont="1" applyFill="1"/>
    <xf numFmtId="3" fontId="214" fillId="3" borderId="0" xfId="0" applyNumberFormat="1" applyFont="1" applyFill="1" applyAlignment="1">
      <alignment horizontal="center"/>
    </xf>
    <xf numFmtId="165" fontId="56" fillId="2" borderId="1" xfId="2" applyFont="1" applyFill="1" applyBorder="1" applyAlignment="1">
      <alignment horizontal="left" vertical="center"/>
    </xf>
    <xf numFmtId="14" fontId="171" fillId="4" borderId="1" xfId="0" applyNumberFormat="1" applyFont="1" applyFill="1" applyBorder="1" applyAlignment="1">
      <alignment horizontal="left"/>
    </xf>
    <xf numFmtId="0" fontId="63" fillId="32" borderId="92" xfId="0" applyFont="1" applyFill="1" applyBorder="1" applyAlignment="1">
      <alignment vertical="center"/>
    </xf>
    <xf numFmtId="0" fontId="63" fillId="32" borderId="93" xfId="0" applyFont="1" applyFill="1" applyBorder="1" applyAlignment="1">
      <alignment vertical="center"/>
    </xf>
    <xf numFmtId="0" fontId="200" fillId="32" borderId="93" xfId="0" applyFont="1" applyFill="1" applyBorder="1" applyAlignment="1">
      <alignment horizontal="center" vertical="center"/>
    </xf>
    <xf numFmtId="0" fontId="200" fillId="32" borderId="92" xfId="0" applyFont="1" applyFill="1" applyBorder="1" applyAlignment="1">
      <alignment horizontal="center" vertical="center"/>
    </xf>
    <xf numFmtId="165" fontId="63" fillId="32" borderId="0" xfId="0" applyNumberFormat="1" applyFont="1" applyFill="1" applyAlignment="1">
      <alignment vertical="center"/>
    </xf>
    <xf numFmtId="165" fontId="201" fillId="45" borderId="91" xfId="2" applyFont="1" applyFill="1" applyBorder="1" applyAlignment="1">
      <alignment vertical="center"/>
    </xf>
    <xf numFmtId="9" fontId="201" fillId="45" borderId="91" xfId="3" applyFont="1" applyFill="1" applyBorder="1" applyAlignment="1">
      <alignment vertical="center"/>
    </xf>
    <xf numFmtId="0" fontId="201" fillId="45" borderId="91" xfId="0" applyFont="1" applyFill="1" applyBorder="1" applyAlignment="1">
      <alignment vertical="center"/>
    </xf>
    <xf numFmtId="165" fontId="216" fillId="31" borderId="0" xfId="2" applyFont="1" applyFill="1" applyBorder="1" applyAlignment="1">
      <alignment horizontal="center" vertical="center"/>
    </xf>
    <xf numFmtId="165" fontId="132" fillId="31" borderId="0" xfId="2" applyFont="1" applyFill="1" applyBorder="1" applyAlignment="1">
      <alignment vertical="top"/>
    </xf>
    <xf numFmtId="165" fontId="83" fillId="31" borderId="0" xfId="2" applyFont="1" applyFill="1" applyBorder="1" applyAlignment="1">
      <alignment vertical="top"/>
    </xf>
    <xf numFmtId="0" fontId="83" fillId="31" borderId="0" xfId="0" applyFont="1" applyFill="1" applyBorder="1" applyAlignment="1">
      <alignment vertical="top"/>
    </xf>
    <xf numFmtId="0" fontId="83" fillId="31" borderId="91" xfId="0" applyNumberFormat="1" applyFont="1" applyFill="1" applyBorder="1" applyAlignment="1">
      <alignment horizontal="left" vertical="center"/>
    </xf>
    <xf numFmtId="0" fontId="44" fillId="31" borderId="91" xfId="0" applyFont="1" applyFill="1" applyBorder="1" applyAlignment="1">
      <alignment vertical="center"/>
    </xf>
    <xf numFmtId="0" fontId="0" fillId="31" borderId="91" xfId="0" applyFill="1" applyBorder="1"/>
    <xf numFmtId="165" fontId="132" fillId="31" borderId="91" xfId="2" applyFont="1" applyFill="1" applyBorder="1" applyAlignment="1">
      <alignment vertical="top"/>
    </xf>
    <xf numFmtId="165" fontId="83" fillId="31" borderId="91" xfId="2" applyFont="1" applyFill="1" applyBorder="1" applyAlignment="1">
      <alignment vertical="top"/>
    </xf>
    <xf numFmtId="0" fontId="83" fillId="31" borderId="91" xfId="0" applyFont="1" applyFill="1" applyBorder="1" applyAlignment="1">
      <alignment vertical="top"/>
    </xf>
    <xf numFmtId="0" fontId="83" fillId="31" borderId="0" xfId="0" applyNumberFormat="1" applyFont="1" applyFill="1" applyBorder="1" applyAlignment="1">
      <alignment horizontal="left" vertical="center"/>
    </xf>
    <xf numFmtId="165" fontId="44" fillId="31" borderId="0" xfId="0" applyNumberFormat="1" applyFont="1" applyFill="1" applyBorder="1" applyAlignment="1">
      <alignment vertical="center"/>
    </xf>
    <xf numFmtId="165" fontId="217" fillId="31" borderId="0" xfId="2" applyFont="1" applyFill="1" applyBorder="1" applyAlignment="1">
      <alignment vertical="top"/>
    </xf>
    <xf numFmtId="0" fontId="218" fillId="31" borderId="0" xfId="0" applyFont="1" applyFill="1" applyBorder="1" applyAlignment="1">
      <alignment vertical="center"/>
    </xf>
    <xf numFmtId="165" fontId="220" fillId="30" borderId="0" xfId="2" applyFont="1" applyFill="1" applyBorder="1" applyAlignment="1"/>
    <xf numFmtId="165" fontId="220" fillId="30" borderId="0" xfId="2" applyFont="1" applyFill="1" applyBorder="1" applyAlignment="1">
      <alignment vertical="top"/>
    </xf>
    <xf numFmtId="0" fontId="220" fillId="30" borderId="0" xfId="0" applyFont="1" applyFill="1" applyBorder="1" applyAlignment="1"/>
    <xf numFmtId="0" fontId="188" fillId="32" borderId="0" xfId="0" applyFont="1" applyFill="1"/>
    <xf numFmtId="165" fontId="188" fillId="32" borderId="0" xfId="2" applyFont="1" applyFill="1"/>
    <xf numFmtId="177" fontId="188" fillId="32" borderId="0" xfId="0" applyNumberFormat="1" applyFont="1" applyFill="1"/>
    <xf numFmtId="0" fontId="34" fillId="32" borderId="0" xfId="0" applyFont="1" applyFill="1" applyAlignment="1">
      <alignment horizontal="center" vertical="center" wrapText="1"/>
    </xf>
    <xf numFmtId="174" fontId="39" fillId="20" borderId="1" xfId="2" applyNumberFormat="1" applyFont="1" applyFill="1" applyBorder="1"/>
    <xf numFmtId="0" fontId="39" fillId="20" borderId="1" xfId="0" applyFont="1" applyFill="1" applyBorder="1"/>
    <xf numFmtId="0" fontId="143" fillId="37" borderId="83" xfId="0" applyFont="1" applyFill="1" applyBorder="1" applyAlignment="1">
      <alignment horizontal="right"/>
    </xf>
    <xf numFmtId="0" fontId="15" fillId="30" borderId="0" xfId="0" applyFont="1" applyFill="1" applyBorder="1" applyAlignment="1">
      <alignment vertical="center"/>
    </xf>
    <xf numFmtId="174" fontId="15" fillId="30" borderId="0" xfId="2" applyNumberFormat="1" applyFont="1" applyFill="1" applyBorder="1" applyAlignment="1">
      <alignment vertical="center"/>
    </xf>
    <xf numFmtId="1" fontId="147" fillId="30" borderId="0" xfId="2" applyNumberFormat="1" applyFont="1" applyFill="1"/>
    <xf numFmtId="174" fontId="155" fillId="30" borderId="0" xfId="2" applyNumberFormat="1" applyFont="1" applyFill="1"/>
    <xf numFmtId="1" fontId="155" fillId="30" borderId="0" xfId="2" applyNumberFormat="1" applyFont="1" applyFill="1"/>
    <xf numFmtId="174" fontId="147" fillId="37" borderId="0" xfId="2" applyNumberFormat="1" applyFont="1" applyFill="1"/>
    <xf numFmtId="174" fontId="189" fillId="37" borderId="0" xfId="2" applyNumberFormat="1" applyFont="1" applyFill="1"/>
    <xf numFmtId="174" fontId="221" fillId="37" borderId="0" xfId="2" applyNumberFormat="1" applyFont="1" applyFill="1"/>
    <xf numFmtId="174" fontId="189" fillId="30" borderId="0" xfId="2" applyNumberFormat="1" applyFont="1" applyFill="1"/>
    <xf numFmtId="0" fontId="222" fillId="16" borderId="5" xfId="0" applyFont="1" applyFill="1" applyBorder="1" applyAlignment="1">
      <alignment vertical="center"/>
    </xf>
    <xf numFmtId="0" fontId="29" fillId="30" borderId="0" xfId="4" applyFill="1"/>
    <xf numFmtId="22" fontId="0" fillId="0" borderId="0" xfId="0" applyNumberFormat="1"/>
    <xf numFmtId="22" fontId="0" fillId="50" borderId="0" xfId="0" applyNumberFormat="1" applyFill="1"/>
    <xf numFmtId="14" fontId="168" fillId="17" borderId="0" xfId="0" applyNumberFormat="1" applyFont="1" applyFill="1" applyAlignment="1">
      <alignment horizontal="left"/>
    </xf>
    <xf numFmtId="0" fontId="226" fillId="17" borderId="0" xfId="0" applyFont="1" applyFill="1"/>
    <xf numFmtId="0" fontId="155" fillId="17" borderId="0" xfId="0" applyFont="1" applyFill="1"/>
    <xf numFmtId="166" fontId="227" fillId="17" borderId="0" xfId="0" applyNumberFormat="1" applyFont="1" applyFill="1"/>
    <xf numFmtId="165" fontId="0" fillId="17" borderId="0" xfId="2" applyNumberFormat="1" applyFont="1" applyFill="1"/>
    <xf numFmtId="165" fontId="114" fillId="17" borderId="59" xfId="2" applyNumberFormat="1" applyFont="1" applyFill="1" applyBorder="1" applyAlignment="1">
      <alignment horizontal="center"/>
    </xf>
    <xf numFmtId="165" fontId="229" fillId="17" borderId="0" xfId="2" applyNumberFormat="1" applyFont="1" applyFill="1"/>
    <xf numFmtId="165" fontId="228" fillId="17" borderId="0" xfId="2" applyNumberFormat="1" applyFont="1" applyFill="1"/>
    <xf numFmtId="165" fontId="113" fillId="17" borderId="0" xfId="2" applyNumberFormat="1" applyFont="1" applyFill="1"/>
    <xf numFmtId="0" fontId="230" fillId="17" borderId="0" xfId="0" applyFont="1" applyFill="1"/>
    <xf numFmtId="0" fontId="224" fillId="49" borderId="0" xfId="0" applyFont="1" applyFill="1"/>
    <xf numFmtId="0" fontId="223" fillId="49" borderId="0" xfId="0" applyFont="1" applyFill="1"/>
    <xf numFmtId="0" fontId="224" fillId="31" borderId="0" xfId="0" applyFont="1" applyFill="1"/>
    <xf numFmtId="0" fontId="230" fillId="31" borderId="0" xfId="0" applyFont="1" applyFill="1"/>
    <xf numFmtId="0" fontId="231" fillId="31" borderId="0" xfId="0" applyFont="1" applyFill="1"/>
    <xf numFmtId="0" fontId="232" fillId="38" borderId="79" xfId="10" applyFont="1" applyBorder="1"/>
    <xf numFmtId="0" fontId="24" fillId="31" borderId="0" xfId="0" applyFont="1" applyFill="1"/>
    <xf numFmtId="22" fontId="24" fillId="0" borderId="0" xfId="0" applyNumberFormat="1" applyFont="1"/>
    <xf numFmtId="22" fontId="33" fillId="0" borderId="24" xfId="0" applyNumberFormat="1" applyFont="1" applyBorder="1" applyAlignment="1">
      <alignment horizontal="left"/>
    </xf>
    <xf numFmtId="0" fontId="162" fillId="17" borderId="0" xfId="13" applyFill="1"/>
    <xf numFmtId="165" fontId="211" fillId="30" borderId="0" xfId="0" applyNumberFormat="1" applyFont="1" applyFill="1" applyAlignment="1">
      <alignment horizontal="center" wrapText="1"/>
    </xf>
    <xf numFmtId="165" fontId="0" fillId="30" borderId="0" xfId="0" applyNumberFormat="1" applyFill="1" applyAlignment="1">
      <alignment horizontal="center"/>
    </xf>
    <xf numFmtId="180" fontId="208" fillId="30" borderId="0" xfId="2" applyNumberFormat="1" applyFont="1" applyFill="1" applyAlignment="1">
      <alignment horizontal="center" vertical="center"/>
    </xf>
    <xf numFmtId="180" fontId="208" fillId="30" borderId="36" xfId="2" applyNumberFormat="1" applyFont="1" applyFill="1" applyBorder="1" applyAlignment="1">
      <alignment horizontal="center" vertical="center"/>
    </xf>
    <xf numFmtId="0" fontId="11" fillId="30" borderId="0" xfId="0" applyFont="1" applyFill="1" applyBorder="1" applyAlignment="1">
      <alignment vertical="top" wrapText="1"/>
    </xf>
    <xf numFmtId="0" fontId="11" fillId="30" borderId="8" xfId="0" applyFont="1" applyFill="1" applyBorder="1" applyAlignment="1">
      <alignment vertical="top" wrapText="1"/>
    </xf>
    <xf numFmtId="49" fontId="121" fillId="5" borderId="1" xfId="0" applyNumberFormat="1" applyFont="1" applyFill="1" applyBorder="1" applyAlignment="1">
      <alignment horizontal="right"/>
    </xf>
    <xf numFmtId="174" fontId="24" fillId="28" borderId="1" xfId="2" applyNumberFormat="1" applyFont="1" applyFill="1" applyBorder="1" applyAlignment="1">
      <alignment horizontal="left"/>
    </xf>
    <xf numFmtId="174" fontId="24" fillId="5" borderId="1" xfId="2" applyNumberFormat="1" applyFont="1" applyFill="1" applyBorder="1" applyAlignment="1">
      <alignment horizontal="left"/>
    </xf>
    <xf numFmtId="1" fontId="170" fillId="13" borderId="1" xfId="2" applyNumberFormat="1" applyFont="1" applyFill="1" applyBorder="1" applyAlignment="1">
      <alignment horizontal="center"/>
    </xf>
    <xf numFmtId="0" fontId="45" fillId="7" borderId="1" xfId="0" applyFont="1" applyFill="1" applyBorder="1" applyAlignment="1">
      <alignment horizontal="center"/>
    </xf>
    <xf numFmtId="1" fontId="45" fillId="7" borderId="1" xfId="0" applyNumberFormat="1" applyFont="1" applyFill="1" applyBorder="1" applyAlignment="1">
      <alignment horizontal="center"/>
    </xf>
    <xf numFmtId="1" fontId="5" fillId="12" borderId="1" xfId="0" applyNumberFormat="1" applyFont="1" applyFill="1" applyBorder="1" applyAlignment="1">
      <alignment horizontal="center"/>
    </xf>
    <xf numFmtId="1" fontId="233" fillId="12" borderId="1" xfId="0" applyNumberFormat="1" applyFont="1" applyFill="1" applyBorder="1" applyAlignment="1">
      <alignment horizontal="center"/>
    </xf>
    <xf numFmtId="0" fontId="18" fillId="20" borderId="30" xfId="0" applyFont="1" applyFill="1" applyBorder="1" applyAlignment="1">
      <alignment horizontal="center"/>
    </xf>
    <xf numFmtId="0" fontId="0" fillId="2" borderId="30" xfId="0" applyFill="1" applyBorder="1"/>
    <xf numFmtId="0" fontId="45" fillId="7" borderId="30" xfId="0" applyFont="1" applyFill="1" applyBorder="1" applyAlignment="1">
      <alignment horizontal="center"/>
    </xf>
    <xf numFmtId="1" fontId="45" fillId="7" borderId="30" xfId="0" applyNumberFormat="1" applyFont="1" applyFill="1" applyBorder="1" applyAlignment="1">
      <alignment horizontal="center"/>
    </xf>
    <xf numFmtId="1" fontId="170" fillId="13" borderId="30" xfId="2" applyNumberFormat="1" applyFont="1" applyFill="1" applyBorder="1" applyAlignment="1">
      <alignment horizontal="center"/>
    </xf>
    <xf numFmtId="1" fontId="233" fillId="12" borderId="30" xfId="0" applyNumberFormat="1" applyFont="1" applyFill="1" applyBorder="1" applyAlignment="1">
      <alignment horizontal="center"/>
    </xf>
    <xf numFmtId="0" fontId="5" fillId="12" borderId="30" xfId="0" applyFont="1" applyFill="1" applyBorder="1"/>
    <xf numFmtId="165" fontId="90" fillId="4" borderId="30" xfId="0" applyNumberFormat="1" applyFont="1" applyFill="1" applyBorder="1"/>
    <xf numFmtId="49" fontId="121" fillId="5" borderId="30" xfId="0" applyNumberFormat="1" applyFont="1" applyFill="1" applyBorder="1" applyAlignment="1">
      <alignment horizontal="center"/>
    </xf>
    <xf numFmtId="0" fontId="139" fillId="0" borderId="30" xfId="0" applyFont="1" applyBorder="1" applyAlignment="1">
      <alignment horizontal="left" vertical="center" wrapText="1"/>
    </xf>
    <xf numFmtId="174" fontId="24" fillId="5" borderId="30" xfId="2" applyNumberFormat="1" applyFont="1" applyFill="1" applyBorder="1" applyAlignment="1">
      <alignment horizontal="left"/>
    </xf>
    <xf numFmtId="0" fontId="18" fillId="20" borderId="33" xfId="0" applyFont="1" applyFill="1" applyBorder="1" applyAlignment="1">
      <alignment horizontal="center"/>
    </xf>
    <xf numFmtId="0" fontId="237" fillId="19" borderId="33" xfId="0" applyFont="1" applyFill="1" applyBorder="1" applyAlignment="1">
      <alignment horizontal="center" vertical="top" wrapText="1"/>
    </xf>
    <xf numFmtId="0" fontId="37" fillId="19" borderId="33" xfId="0" applyFont="1" applyFill="1" applyBorder="1" applyAlignment="1">
      <alignment horizontal="center" vertical="center" wrapText="1"/>
    </xf>
    <xf numFmtId="167" fontId="235" fillId="20" borderId="33" xfId="1" applyNumberFormat="1" applyFont="1" applyFill="1" applyBorder="1" applyAlignment="1">
      <alignment horizontal="center" vertical="center" wrapText="1"/>
    </xf>
    <xf numFmtId="0" fontId="234" fillId="19" borderId="33" xfId="0" applyFont="1" applyFill="1" applyBorder="1" applyAlignment="1">
      <alignment horizontal="left" wrapText="1"/>
    </xf>
    <xf numFmtId="0" fontId="236" fillId="19" borderId="33" xfId="0" applyFont="1" applyFill="1" applyBorder="1" applyAlignment="1">
      <alignment horizontal="center" vertical="center" wrapText="1"/>
    </xf>
    <xf numFmtId="174" fontId="128" fillId="28" borderId="33" xfId="2" applyNumberFormat="1" applyFont="1" applyFill="1" applyBorder="1" applyAlignment="1">
      <alignment horizontal="center" vertical="center" wrapText="1"/>
    </xf>
    <xf numFmtId="0" fontId="18" fillId="20" borderId="31" xfId="0" applyFont="1" applyFill="1" applyBorder="1" applyAlignment="1">
      <alignment horizontal="center"/>
    </xf>
    <xf numFmtId="0" fontId="0" fillId="2" borderId="31" xfId="0" applyFill="1" applyBorder="1"/>
    <xf numFmtId="0" fontId="45" fillId="7" borderId="31" xfId="0" applyFont="1" applyFill="1" applyBorder="1" applyAlignment="1">
      <alignment horizontal="center"/>
    </xf>
    <xf numFmtId="1" fontId="45" fillId="7" borderId="31" xfId="0" applyNumberFormat="1" applyFont="1" applyFill="1" applyBorder="1" applyAlignment="1">
      <alignment horizontal="center"/>
    </xf>
    <xf numFmtId="1" fontId="170" fillId="13" borderId="31" xfId="2" applyNumberFormat="1" applyFont="1" applyFill="1" applyBorder="1" applyAlignment="1">
      <alignment horizontal="center"/>
    </xf>
    <xf numFmtId="1" fontId="5" fillId="12" borderId="31" xfId="0" applyNumberFormat="1" applyFont="1" applyFill="1" applyBorder="1" applyAlignment="1">
      <alignment horizontal="center"/>
    </xf>
    <xf numFmtId="0" fontId="5" fillId="12" borderId="31" xfId="0" applyFont="1" applyFill="1" applyBorder="1"/>
    <xf numFmtId="165" fontId="90" fillId="4" borderId="31" xfId="0" applyNumberFormat="1" applyFont="1" applyFill="1" applyBorder="1"/>
    <xf numFmtId="49" fontId="121" fillId="5" borderId="31" xfId="0" applyNumberFormat="1" applyFont="1" applyFill="1" applyBorder="1" applyAlignment="1">
      <alignment horizontal="right"/>
    </xf>
    <xf numFmtId="0" fontId="139" fillId="0" borderId="31" xfId="0" applyFont="1" applyBorder="1" applyAlignment="1">
      <alignment horizontal="left" vertical="center" wrapText="1"/>
    </xf>
    <xf numFmtId="174" fontId="24" fillId="5" borderId="31" xfId="2" applyNumberFormat="1" applyFont="1" applyFill="1" applyBorder="1" applyAlignment="1">
      <alignment horizontal="left"/>
    </xf>
    <xf numFmtId="0" fontId="18" fillId="20" borderId="73" xfId="0" applyFont="1" applyFill="1" applyBorder="1" applyAlignment="1">
      <alignment horizontal="center"/>
    </xf>
    <xf numFmtId="165" fontId="33" fillId="20" borderId="73" xfId="2" applyFont="1" applyFill="1" applyBorder="1"/>
    <xf numFmtId="0" fontId="33" fillId="20" borderId="73" xfId="0" applyFont="1" applyFill="1" applyBorder="1"/>
    <xf numFmtId="0" fontId="0" fillId="20" borderId="73" xfId="0" applyFill="1" applyBorder="1" applyAlignment="1">
      <alignment horizontal="center"/>
    </xf>
    <xf numFmtId="0" fontId="5" fillId="20" borderId="73" xfId="0" applyFont="1" applyFill="1" applyBorder="1"/>
    <xf numFmtId="180" fontId="238" fillId="20" borderId="73" xfId="2" applyNumberFormat="1" applyFont="1" applyFill="1" applyBorder="1" applyAlignment="1">
      <alignment horizontal="center"/>
    </xf>
    <xf numFmtId="0" fontId="49" fillId="20" borderId="73" xfId="0" applyFont="1" applyFill="1" applyBorder="1" applyAlignment="1">
      <alignment horizontal="center"/>
    </xf>
    <xf numFmtId="0" fontId="121" fillId="20" borderId="73" xfId="0" applyFont="1" applyFill="1" applyBorder="1" applyAlignment="1">
      <alignment horizontal="center"/>
    </xf>
    <xf numFmtId="0" fontId="19" fillId="20" borderId="73" xfId="0" applyFont="1" applyFill="1" applyBorder="1" applyAlignment="1">
      <alignment horizontal="left"/>
    </xf>
    <xf numFmtId="165" fontId="24" fillId="20" borderId="73" xfId="2" applyFont="1" applyFill="1" applyBorder="1" applyAlignment="1">
      <alignment horizontal="left"/>
    </xf>
    <xf numFmtId="165" fontId="239" fillId="20" borderId="73" xfId="2" applyFont="1" applyFill="1" applyBorder="1" applyAlignment="1">
      <alignment horizontal="right"/>
    </xf>
    <xf numFmtId="0" fontId="0" fillId="20" borderId="1" xfId="0" applyFill="1" applyBorder="1"/>
    <xf numFmtId="0" fontId="33" fillId="20" borderId="1" xfId="0" applyFont="1" applyFill="1" applyBorder="1"/>
    <xf numFmtId="0" fontId="0" fillId="20" borderId="1" xfId="0" applyFill="1" applyBorder="1" applyAlignment="1">
      <alignment horizontal="center"/>
    </xf>
    <xf numFmtId="0" fontId="49" fillId="20" borderId="1" xfId="0" applyFont="1" applyFill="1" applyBorder="1"/>
    <xf numFmtId="165" fontId="24" fillId="20" borderId="1" xfId="2" applyFont="1" applyFill="1" applyBorder="1" applyAlignment="1">
      <alignment horizontal="left"/>
    </xf>
    <xf numFmtId="14" fontId="14" fillId="3" borderId="0" xfId="0" applyNumberFormat="1" applyFont="1" applyFill="1" applyAlignment="1">
      <alignment horizontal="left" vertical="center"/>
    </xf>
    <xf numFmtId="4" fontId="202" fillId="32" borderId="0" xfId="0" applyNumberFormat="1" applyFont="1" applyFill="1" applyAlignment="1">
      <alignment horizontal="center" vertical="center"/>
    </xf>
    <xf numFmtId="0" fontId="0" fillId="3" borderId="0" xfId="0" applyFont="1" applyFill="1" applyAlignment="1">
      <alignment vertical="center"/>
    </xf>
    <xf numFmtId="3" fontId="0" fillId="3" borderId="0" xfId="0" applyNumberFormat="1" applyFont="1" applyFill="1" applyAlignment="1">
      <alignment horizontal="center" vertical="center"/>
    </xf>
    <xf numFmtId="0" fontId="0" fillId="3" borderId="0" xfId="0" applyFont="1" applyFill="1" applyAlignment="1">
      <alignment wrapText="1"/>
    </xf>
    <xf numFmtId="0" fontId="0" fillId="3" borderId="0" xfId="0" applyFont="1" applyFill="1"/>
    <xf numFmtId="0" fontId="0" fillId="0" borderId="0" xfId="0" applyFont="1" applyAlignment="1">
      <alignment vertical="center"/>
    </xf>
    <xf numFmtId="14" fontId="80" fillId="5" borderId="0" xfId="0" applyNumberFormat="1" applyFont="1" applyFill="1" applyAlignment="1">
      <alignment horizontal="left" vertical="center"/>
    </xf>
    <xf numFmtId="0" fontId="80" fillId="5" borderId="0" xfId="0" applyFont="1" applyFill="1" applyAlignment="1">
      <alignment horizontal="left" vertical="center"/>
    </xf>
    <xf numFmtId="0" fontId="23" fillId="3" borderId="96" xfId="0" applyFont="1" applyFill="1" applyBorder="1" applyAlignment="1">
      <alignment horizontal="center" vertical="center"/>
    </xf>
    <xf numFmtId="0" fontId="23" fillId="3" borderId="104" xfId="0" applyFont="1" applyFill="1" applyBorder="1" applyAlignment="1">
      <alignment horizontal="center" vertical="center"/>
    </xf>
    <xf numFmtId="3" fontId="8" fillId="3" borderId="104" xfId="0" applyNumberFormat="1" applyFont="1" applyFill="1" applyBorder="1" applyAlignment="1">
      <alignment horizontal="center" vertical="center"/>
    </xf>
    <xf numFmtId="0" fontId="23" fillId="3" borderId="100" xfId="0" applyFont="1" applyFill="1" applyBorder="1" applyAlignment="1">
      <alignment horizontal="center" vertical="center"/>
    </xf>
    <xf numFmtId="3" fontId="241" fillId="3" borderId="100" xfId="0" applyNumberFormat="1" applyFont="1" applyFill="1" applyBorder="1" applyAlignment="1">
      <alignment horizontal="center" vertical="center"/>
    </xf>
    <xf numFmtId="165" fontId="34" fillId="48" borderId="30" xfId="2" applyFont="1" applyFill="1" applyBorder="1" applyAlignment="1">
      <alignment horizontal="center" vertical="center"/>
    </xf>
    <xf numFmtId="170" fontId="5" fillId="0" borderId="31" xfId="2" applyNumberFormat="1" applyFont="1" applyBorder="1" applyProtection="1">
      <protection locked="0"/>
    </xf>
    <xf numFmtId="0" fontId="143" fillId="17" borderId="87" xfId="0" applyFont="1" applyFill="1" applyBorder="1" applyAlignment="1" applyProtection="1">
      <alignment horizontal="left" vertical="center"/>
      <protection locked="0"/>
    </xf>
    <xf numFmtId="0" fontId="242" fillId="13" borderId="41" xfId="0" applyFont="1" applyFill="1" applyBorder="1" applyAlignment="1" applyProtection="1">
      <alignment horizontal="center" vertical="center" wrapText="1"/>
      <protection locked="0"/>
    </xf>
    <xf numFmtId="0" fontId="191" fillId="30" borderId="0" xfId="0" applyFont="1" applyFill="1" applyBorder="1" applyAlignment="1" applyProtection="1">
      <alignment wrapText="1"/>
      <protection locked="0"/>
    </xf>
    <xf numFmtId="0" fontId="243" fillId="33" borderId="1" xfId="0" applyFont="1" applyFill="1" applyBorder="1" applyAlignment="1">
      <alignment horizontal="left"/>
    </xf>
    <xf numFmtId="0" fontId="243" fillId="50" borderId="1" xfId="0" applyFont="1" applyFill="1" applyBorder="1" applyAlignment="1">
      <alignment horizontal="left"/>
    </xf>
    <xf numFmtId="0" fontId="243" fillId="0" borderId="0" xfId="0" applyFont="1" applyAlignment="1">
      <alignment horizontal="left"/>
    </xf>
    <xf numFmtId="0" fontId="243" fillId="6" borderId="1" xfId="0" applyFont="1" applyFill="1" applyBorder="1" applyAlignment="1">
      <alignment horizontal="left"/>
    </xf>
    <xf numFmtId="0" fontId="171" fillId="5" borderId="64" xfId="0" applyFont="1" applyFill="1" applyBorder="1" applyAlignment="1">
      <alignment horizontal="left"/>
    </xf>
    <xf numFmtId="14" fontId="171" fillId="5" borderId="64" xfId="0" applyNumberFormat="1" applyFont="1" applyFill="1" applyBorder="1" applyAlignment="1">
      <alignment horizontal="left"/>
    </xf>
    <xf numFmtId="165" fontId="6" fillId="50" borderId="0" xfId="0" applyNumberFormat="1" applyFont="1" applyFill="1" applyAlignment="1">
      <alignment horizontal="right"/>
    </xf>
    <xf numFmtId="0" fontId="33" fillId="29" borderId="30" xfId="0" applyFont="1" applyFill="1" applyBorder="1" applyAlignment="1">
      <alignment horizontal="left"/>
    </xf>
    <xf numFmtId="14" fontId="33" fillId="29" borderId="30" xfId="0" applyNumberFormat="1" applyFont="1" applyFill="1" applyBorder="1" applyAlignment="1">
      <alignment horizontal="left"/>
    </xf>
    <xf numFmtId="1" fontId="33" fillId="29" borderId="58" xfId="2" applyNumberFormat="1" applyFont="1" applyFill="1" applyBorder="1" applyAlignment="1">
      <alignment horizontal="left"/>
    </xf>
    <xf numFmtId="165" fontId="33" fillId="29" borderId="60" xfId="2" applyNumberFormat="1" applyFont="1" applyFill="1" applyBorder="1" applyAlignment="1">
      <alignment horizontal="left"/>
    </xf>
    <xf numFmtId="165" fontId="33" fillId="29" borderId="30" xfId="2" applyNumberFormat="1" applyFont="1" applyFill="1" applyBorder="1" applyAlignment="1">
      <alignment horizontal="left"/>
    </xf>
    <xf numFmtId="165" fontId="6" fillId="30" borderId="0" xfId="2" applyFont="1" applyFill="1" applyAlignment="1">
      <alignment horizontal="center"/>
    </xf>
    <xf numFmtId="0" fontId="33" fillId="18" borderId="1" xfId="0" applyFont="1" applyFill="1" applyBorder="1" applyAlignment="1">
      <alignment horizontal="left"/>
    </xf>
    <xf numFmtId="14" fontId="33" fillId="18" borderId="1" xfId="0" applyNumberFormat="1" applyFont="1" applyFill="1" applyBorder="1" applyAlignment="1">
      <alignment horizontal="left"/>
    </xf>
    <xf numFmtId="0" fontId="33" fillId="34" borderId="1" xfId="0" applyFont="1" applyFill="1" applyBorder="1" applyAlignment="1">
      <alignment horizontal="left"/>
    </xf>
    <xf numFmtId="14" fontId="33" fillId="34" borderId="1" xfId="0" applyNumberFormat="1" applyFont="1" applyFill="1" applyBorder="1" applyAlignment="1">
      <alignment horizontal="left"/>
    </xf>
    <xf numFmtId="165" fontId="33" fillId="34" borderId="1" xfId="2" applyFont="1" applyFill="1" applyBorder="1" applyAlignment="1">
      <alignment horizontal="left"/>
    </xf>
    <xf numFmtId="165" fontId="19" fillId="4" borderId="0" xfId="2" applyFont="1" applyFill="1"/>
    <xf numFmtId="165" fontId="19" fillId="21" borderId="0" xfId="2" applyFont="1" applyFill="1"/>
    <xf numFmtId="0" fontId="171" fillId="5" borderId="64" xfId="0" applyNumberFormat="1" applyFont="1" applyFill="1" applyBorder="1" applyAlignment="1">
      <alignment horizontal="left"/>
    </xf>
    <xf numFmtId="167" fontId="0" fillId="0" borderId="0" xfId="0" applyNumberFormat="1"/>
    <xf numFmtId="165" fontId="177" fillId="21" borderId="0" xfId="2" applyFont="1" applyFill="1" applyBorder="1"/>
    <xf numFmtId="165" fontId="177" fillId="21" borderId="76" xfId="2" applyFont="1" applyFill="1" applyBorder="1"/>
    <xf numFmtId="167" fontId="0" fillId="21" borderId="1" xfId="1" applyNumberFormat="1" applyFont="1" applyFill="1" applyBorder="1"/>
    <xf numFmtId="0" fontId="129" fillId="27" borderId="63" xfId="0" applyFont="1" applyFill="1" applyBorder="1" applyAlignment="1">
      <alignment horizontal="center" vertical="center" wrapText="1"/>
    </xf>
    <xf numFmtId="14" fontId="103" fillId="5" borderId="1" xfId="0" applyNumberFormat="1" applyFont="1" applyFill="1" applyBorder="1" applyAlignment="1">
      <alignment horizontal="left" vertical="center" wrapText="1"/>
    </xf>
    <xf numFmtId="0" fontId="33" fillId="30" borderId="1" xfId="0" applyFont="1" applyFill="1" applyBorder="1" applyAlignment="1">
      <alignment horizontal="left"/>
    </xf>
    <xf numFmtId="14" fontId="33" fillId="30" borderId="1" xfId="0" applyNumberFormat="1" applyFont="1" applyFill="1" applyBorder="1" applyAlignment="1">
      <alignment horizontal="left"/>
    </xf>
    <xf numFmtId="165" fontId="33" fillId="30" borderId="1" xfId="2" applyFont="1" applyFill="1" applyBorder="1" applyAlignment="1">
      <alignment horizontal="left"/>
    </xf>
    <xf numFmtId="165" fontId="19" fillId="30" borderId="0" xfId="2" applyFont="1" applyFill="1"/>
    <xf numFmtId="49" fontId="101" fillId="30" borderId="1" xfId="2" applyNumberFormat="1" applyFont="1" applyFill="1" applyBorder="1" applyAlignment="1">
      <alignment horizontal="center"/>
    </xf>
    <xf numFmtId="0" fontId="101" fillId="30" borderId="1" xfId="0" applyFont="1" applyFill="1" applyBorder="1" applyAlignment="1">
      <alignment horizontal="left"/>
    </xf>
    <xf numFmtId="165" fontId="101" fillId="30" borderId="1" xfId="2" applyFont="1" applyFill="1" applyBorder="1" applyAlignment="1">
      <alignment horizontal="left"/>
    </xf>
    <xf numFmtId="0" fontId="183" fillId="17" borderId="27" xfId="0" applyFont="1" applyFill="1" applyBorder="1" applyAlignment="1" applyProtection="1">
      <alignment horizontal="left" vertical="center"/>
      <protection locked="0"/>
    </xf>
    <xf numFmtId="0" fontId="183" fillId="17" borderId="28" xfId="0" applyFont="1" applyFill="1" applyBorder="1" applyAlignment="1" applyProtection="1">
      <alignment horizontal="left" vertical="center"/>
      <protection locked="0"/>
    </xf>
    <xf numFmtId="0" fontId="183" fillId="17" borderId="29" xfId="0" applyFont="1" applyFill="1" applyBorder="1" applyAlignment="1" applyProtection="1">
      <alignment horizontal="left" vertical="center"/>
      <protection locked="0"/>
    </xf>
    <xf numFmtId="0" fontId="35" fillId="5" borderId="10" xfId="0" applyFont="1" applyFill="1" applyBorder="1" applyAlignment="1" applyProtection="1">
      <alignment horizontal="left" vertical="center"/>
      <protection locked="0"/>
    </xf>
    <xf numFmtId="0" fontId="182" fillId="5" borderId="14" xfId="0" applyFont="1" applyFill="1" applyBorder="1" applyAlignment="1" applyProtection="1">
      <alignment horizontal="left"/>
      <protection locked="0"/>
    </xf>
    <xf numFmtId="0" fontId="182" fillId="5" borderId="0" xfId="0" applyFont="1" applyFill="1" applyBorder="1" applyAlignment="1" applyProtection="1">
      <alignment horizontal="left"/>
      <protection locked="0"/>
    </xf>
    <xf numFmtId="0" fontId="182" fillId="5" borderId="10" xfId="0" applyFont="1" applyFill="1" applyBorder="1" applyAlignment="1" applyProtection="1">
      <alignment horizontal="left"/>
      <protection locked="0"/>
    </xf>
    <xf numFmtId="0" fontId="21" fillId="3" borderId="0" xfId="0" applyFont="1" applyFill="1" applyAlignment="1">
      <alignment horizontal="left"/>
    </xf>
    <xf numFmtId="0" fontId="0" fillId="30" borderId="0" xfId="0" applyFill="1" applyAlignment="1">
      <alignment horizontal="right"/>
    </xf>
    <xf numFmtId="0" fontId="83" fillId="31" borderId="38" xfId="0" applyFont="1" applyFill="1" applyBorder="1" applyAlignment="1">
      <alignment vertical="center"/>
    </xf>
    <xf numFmtId="0" fontId="83" fillId="31" borderId="0" xfId="0" applyFont="1" applyFill="1" applyBorder="1" applyAlignment="1">
      <alignment vertical="center"/>
    </xf>
    <xf numFmtId="1" fontId="244" fillId="2" borderId="0" xfId="0" applyNumberFormat="1" applyFont="1" applyFill="1" applyBorder="1" applyAlignment="1">
      <alignment horizontal="center"/>
    </xf>
    <xf numFmtId="0" fontId="226" fillId="2" borderId="0" xfId="0" applyFont="1" applyFill="1" applyBorder="1"/>
    <xf numFmtId="0" fontId="246" fillId="2" borderId="0" xfId="0" applyFont="1" applyFill="1" applyBorder="1" applyAlignment="1">
      <alignment horizontal="center"/>
    </xf>
    <xf numFmtId="0" fontId="245" fillId="2" borderId="0" xfId="0" applyFont="1" applyFill="1" applyBorder="1" applyAlignment="1">
      <alignment horizontal="right"/>
    </xf>
    <xf numFmtId="165" fontId="246" fillId="2" borderId="0" xfId="2" applyFont="1" applyFill="1" applyBorder="1" applyAlignment="1">
      <alignment horizontal="center"/>
    </xf>
    <xf numFmtId="165" fontId="244" fillId="2" borderId="0" xfId="2" applyFont="1" applyFill="1" applyBorder="1"/>
    <xf numFmtId="0" fontId="245" fillId="2" borderId="9" xfId="0" applyFont="1" applyFill="1" applyBorder="1" applyAlignment="1">
      <alignment horizontal="right"/>
    </xf>
    <xf numFmtId="0" fontId="210" fillId="17" borderId="68" xfId="0" applyFont="1" applyFill="1" applyBorder="1" applyAlignment="1">
      <alignment horizontal="center" vertical="center" wrapText="1"/>
    </xf>
    <xf numFmtId="14" fontId="226" fillId="2" borderId="0" xfId="0" applyNumberFormat="1" applyFont="1" applyFill="1" applyBorder="1"/>
    <xf numFmtId="165" fontId="226" fillId="2" borderId="0" xfId="2" applyFont="1" applyFill="1" applyBorder="1"/>
    <xf numFmtId="0" fontId="245" fillId="2" borderId="0" xfId="0" applyFont="1" applyFill="1" applyBorder="1" applyAlignment="1">
      <alignment horizontal="left" vertical="center"/>
    </xf>
    <xf numFmtId="0" fontId="246" fillId="2" borderId="0" xfId="0" applyFont="1" applyFill="1" applyBorder="1"/>
    <xf numFmtId="0" fontId="247" fillId="2" borderId="0" xfId="0" applyFont="1" applyFill="1" applyBorder="1" applyAlignment="1">
      <alignment horizontal="right"/>
    </xf>
    <xf numFmtId="0" fontId="247" fillId="2" borderId="0" xfId="0" applyFont="1" applyFill="1" applyBorder="1"/>
    <xf numFmtId="0" fontId="248" fillId="2" borderId="0" xfId="0" applyFont="1" applyFill="1" applyBorder="1" applyAlignment="1">
      <alignment horizontal="center" vertical="center"/>
    </xf>
    <xf numFmtId="165" fontId="249" fillId="2" borderId="0" xfId="2" applyFont="1" applyFill="1" applyBorder="1"/>
    <xf numFmtId="165" fontId="249" fillId="2" borderId="9" xfId="2" applyFont="1" applyFill="1" applyBorder="1"/>
    <xf numFmtId="185" fontId="250" fillId="2" borderId="8" xfId="0" applyNumberFormat="1" applyFont="1" applyFill="1" applyBorder="1"/>
    <xf numFmtId="185" fontId="250" fillId="2" borderId="0" xfId="0" applyNumberFormat="1" applyFont="1" applyFill="1" applyBorder="1"/>
    <xf numFmtId="0" fontId="253" fillId="39" borderId="79" xfId="15" applyFont="1" applyAlignment="1">
      <alignment horizontal="center" vertical="center"/>
    </xf>
    <xf numFmtId="0" fontId="254" fillId="39" borderId="79" xfId="15" applyFont="1" applyAlignment="1">
      <alignment horizontal="left" vertical="center"/>
    </xf>
    <xf numFmtId="0" fontId="255" fillId="51" borderId="102" xfId="14" applyFont="1" applyBorder="1" applyAlignment="1">
      <alignment horizontal="right"/>
    </xf>
    <xf numFmtId="185" fontId="245" fillId="2" borderId="8" xfId="0" applyNumberFormat="1" applyFont="1" applyFill="1" applyBorder="1" applyAlignment="1">
      <alignment horizontal="left" vertical="center"/>
    </xf>
    <xf numFmtId="165" fontId="33" fillId="30" borderId="0" xfId="0" applyNumberFormat="1" applyFont="1" applyFill="1"/>
    <xf numFmtId="0" fontId="258" fillId="52" borderId="42" xfId="0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/>
    <xf numFmtId="0" fontId="35" fillId="0" borderId="0" xfId="0" applyFont="1" applyAlignment="1">
      <alignment horizontal="right"/>
    </xf>
    <xf numFmtId="1" fontId="233" fillId="3" borderId="30" xfId="0" applyNumberFormat="1" applyFont="1" applyFill="1" applyBorder="1" applyAlignment="1">
      <alignment horizontal="center"/>
    </xf>
    <xf numFmtId="0" fontId="5" fillId="3" borderId="30" xfId="0" applyFont="1" applyFill="1" applyBorder="1"/>
    <xf numFmtId="1" fontId="5" fillId="3" borderId="1" xfId="0" applyNumberFormat="1" applyFont="1" applyFill="1" applyBorder="1" applyAlignment="1">
      <alignment horizontal="center"/>
    </xf>
    <xf numFmtId="1" fontId="233" fillId="3" borderId="1" xfId="0" applyNumberFormat="1" applyFont="1" applyFill="1" applyBorder="1" applyAlignment="1">
      <alignment horizontal="center"/>
    </xf>
    <xf numFmtId="1" fontId="5" fillId="3" borderId="31" xfId="0" applyNumberFormat="1" applyFont="1" applyFill="1" applyBorder="1" applyAlignment="1">
      <alignment horizontal="center"/>
    </xf>
    <xf numFmtId="0" fontId="5" fillId="3" borderId="31" xfId="0" applyFont="1" applyFill="1" applyBorder="1"/>
    <xf numFmtId="0" fontId="19" fillId="3" borderId="30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0" fontId="19" fillId="3" borderId="31" xfId="0" applyFont="1" applyFill="1" applyBorder="1" applyAlignment="1">
      <alignment horizontal="center"/>
    </xf>
    <xf numFmtId="0" fontId="237" fillId="2" borderId="33" xfId="0" applyFont="1" applyFill="1" applyBorder="1" applyAlignment="1">
      <alignment horizontal="center" vertical="center" wrapText="1"/>
    </xf>
    <xf numFmtId="0" fontId="261" fillId="2" borderId="33" xfId="0" applyFont="1" applyFill="1" applyBorder="1" applyAlignment="1">
      <alignment horizontal="center" vertical="center" wrapText="1"/>
    </xf>
    <xf numFmtId="180" fontId="262" fillId="5" borderId="30" xfId="0" applyNumberFormat="1" applyFont="1" applyFill="1" applyBorder="1" applyAlignment="1">
      <alignment horizontal="center" vertical="center"/>
    </xf>
    <xf numFmtId="180" fontId="262" fillId="5" borderId="1" xfId="0" applyNumberFormat="1" applyFont="1" applyFill="1" applyBorder="1" applyAlignment="1">
      <alignment horizontal="center" vertical="center"/>
    </xf>
    <xf numFmtId="180" fontId="262" fillId="5" borderId="31" xfId="0" applyNumberFormat="1" applyFont="1" applyFill="1" applyBorder="1" applyAlignment="1">
      <alignment horizontal="center" vertical="center"/>
    </xf>
    <xf numFmtId="0" fontId="183" fillId="5" borderId="73" xfId="0" applyFont="1" applyFill="1" applyBorder="1" applyAlignment="1">
      <alignment horizontal="center"/>
    </xf>
    <xf numFmtId="165" fontId="183" fillId="5" borderId="73" xfId="2" applyFont="1" applyFill="1" applyBorder="1" applyAlignment="1">
      <alignment horizontal="right"/>
    </xf>
    <xf numFmtId="165" fontId="183" fillId="5" borderId="73" xfId="2" applyFont="1" applyFill="1" applyBorder="1"/>
    <xf numFmtId="0" fontId="183" fillId="5" borderId="73" xfId="0" applyFont="1" applyFill="1" applyBorder="1"/>
    <xf numFmtId="180" fontId="183" fillId="5" borderId="73" xfId="0" applyNumberFormat="1" applyFont="1" applyFill="1" applyBorder="1" applyAlignment="1">
      <alignment horizontal="center"/>
    </xf>
    <xf numFmtId="0" fontId="26" fillId="3" borderId="30" xfId="0" applyFont="1" applyFill="1" applyBorder="1" applyAlignment="1">
      <alignment horizontal="center"/>
    </xf>
    <xf numFmtId="1" fontId="26" fillId="3" borderId="30" xfId="0" applyNumberFormat="1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/>
    </xf>
    <xf numFmtId="1" fontId="26" fillId="3" borderId="1" xfId="0" applyNumberFormat="1" applyFont="1" applyFill="1" applyBorder="1" applyAlignment="1">
      <alignment horizontal="center"/>
    </xf>
    <xf numFmtId="0" fontId="26" fillId="3" borderId="31" xfId="0" applyFont="1" applyFill="1" applyBorder="1" applyAlignment="1">
      <alignment horizontal="center"/>
    </xf>
    <xf numFmtId="1" fontId="26" fillId="3" borderId="31" xfId="0" applyNumberFormat="1" applyFont="1" applyFill="1" applyBorder="1" applyAlignment="1">
      <alignment horizontal="center"/>
    </xf>
    <xf numFmtId="0" fontId="261" fillId="2" borderId="61" xfId="0" applyFont="1" applyFill="1" applyBorder="1" applyAlignment="1">
      <alignment horizontal="center" vertical="center" wrapText="1"/>
    </xf>
    <xf numFmtId="0" fontId="260" fillId="3" borderId="58" xfId="0" applyFont="1" applyFill="1" applyBorder="1" applyAlignment="1">
      <alignment horizontal="left" vertical="center" wrapText="1"/>
    </xf>
    <xf numFmtId="0" fontId="260" fillId="3" borderId="24" xfId="0" applyFont="1" applyFill="1" applyBorder="1" applyAlignment="1">
      <alignment horizontal="left" vertical="center" wrapText="1"/>
    </xf>
    <xf numFmtId="0" fontId="260" fillId="3" borderId="63" xfId="0" applyFont="1" applyFill="1" applyBorder="1" applyAlignment="1">
      <alignment horizontal="left" vertical="center" wrapText="1"/>
    </xf>
    <xf numFmtId="0" fontId="183" fillId="5" borderId="110" xfId="0" applyFont="1" applyFill="1" applyBorder="1" applyAlignment="1">
      <alignment horizontal="left"/>
    </xf>
    <xf numFmtId="0" fontId="261" fillId="2" borderId="111" xfId="0" applyFont="1" applyFill="1" applyBorder="1" applyAlignment="1">
      <alignment horizontal="center" vertical="center" wrapText="1"/>
    </xf>
    <xf numFmtId="0" fontId="260" fillId="3" borderId="112" xfId="0" applyFont="1" applyFill="1" applyBorder="1" applyAlignment="1">
      <alignment horizontal="left" vertical="center" wrapText="1"/>
    </xf>
    <xf numFmtId="0" fontId="260" fillId="3" borderId="113" xfId="0" applyFont="1" applyFill="1" applyBorder="1" applyAlignment="1">
      <alignment horizontal="left" vertical="center" wrapText="1"/>
    </xf>
    <xf numFmtId="0" fontId="260" fillId="3" borderId="114" xfId="0" applyFont="1" applyFill="1" applyBorder="1" applyAlignment="1">
      <alignment horizontal="left" vertical="center" wrapText="1"/>
    </xf>
    <xf numFmtId="0" fontId="183" fillId="5" borderId="115" xfId="0" applyFont="1" applyFill="1" applyBorder="1" applyAlignment="1">
      <alignment horizontal="left"/>
    </xf>
    <xf numFmtId="0" fontId="5" fillId="3" borderId="0" xfId="0" applyFont="1" applyFill="1" applyBorder="1"/>
    <xf numFmtId="165" fontId="183" fillId="2" borderId="21" xfId="2" applyNumberFormat="1" applyFont="1" applyFill="1" applyBorder="1" applyAlignment="1">
      <alignment horizontal="center" vertical="center"/>
    </xf>
    <xf numFmtId="0" fontId="61" fillId="2" borderId="41" xfId="0" applyFont="1" applyFill="1" applyBorder="1" applyAlignment="1">
      <alignment horizontal="left" vertical="center"/>
    </xf>
    <xf numFmtId="0" fontId="33" fillId="26" borderId="1" xfId="0" applyFont="1" applyFill="1" applyBorder="1" applyAlignment="1">
      <alignment horizontal="left"/>
    </xf>
    <xf numFmtId="165" fontId="33" fillId="26" borderId="1" xfId="2" applyFont="1" applyFill="1" applyBorder="1" applyAlignment="1">
      <alignment horizontal="left"/>
    </xf>
    <xf numFmtId="165" fontId="19" fillId="26" borderId="0" xfId="2" applyFont="1" applyFill="1"/>
    <xf numFmtId="165" fontId="0" fillId="30" borderId="0" xfId="0" applyNumberFormat="1" applyFill="1" applyAlignment="1">
      <alignment horizontal="left"/>
    </xf>
    <xf numFmtId="165" fontId="256" fillId="51" borderId="102" xfId="2" applyFont="1" applyFill="1" applyBorder="1"/>
    <xf numFmtId="165" fontId="170" fillId="5" borderId="14" xfId="2" applyFont="1" applyFill="1" applyBorder="1" applyAlignment="1" applyProtection="1">
      <alignment horizontal="left"/>
      <protection locked="0"/>
    </xf>
    <xf numFmtId="0" fontId="170" fillId="5" borderId="0" xfId="0" applyFont="1" applyFill="1" applyBorder="1" applyAlignment="1" applyProtection="1">
      <protection locked="0"/>
    </xf>
    <xf numFmtId="0" fontId="170" fillId="5" borderId="10" xfId="0" applyFont="1" applyFill="1" applyBorder="1" applyAlignment="1" applyProtection="1">
      <alignment horizontal="left"/>
      <protection locked="0"/>
    </xf>
    <xf numFmtId="4" fontId="8" fillId="3" borderId="21" xfId="0" applyNumberFormat="1" applyFont="1" applyFill="1" applyBorder="1" applyAlignment="1">
      <alignment horizontal="center" vertical="center"/>
    </xf>
    <xf numFmtId="4" fontId="96" fillId="3" borderId="96" xfId="0" applyNumberFormat="1" applyFont="1" applyFill="1" applyBorder="1" applyAlignment="1">
      <alignment horizontal="center" vertical="center"/>
    </xf>
    <xf numFmtId="0" fontId="0" fillId="30" borderId="0" xfId="0" applyFill="1" applyAlignment="1">
      <alignment horizontal="center"/>
    </xf>
    <xf numFmtId="0" fontId="212" fillId="30" borderId="0" xfId="0" applyFont="1" applyFill="1" applyAlignment="1">
      <alignment horizontal="center"/>
    </xf>
    <xf numFmtId="0" fontId="102" fillId="30" borderId="0" xfId="0" applyFont="1" applyFill="1" applyAlignment="1">
      <alignment horizontal="center"/>
    </xf>
    <xf numFmtId="0" fontId="33" fillId="30" borderId="0" xfId="0" applyFont="1" applyFill="1" applyAlignment="1">
      <alignment horizontal="center"/>
    </xf>
    <xf numFmtId="0" fontId="101" fillId="4" borderId="1" xfId="0" applyFont="1" applyFill="1" applyBorder="1" applyAlignment="1">
      <alignment horizontal="center"/>
    </xf>
    <xf numFmtId="14" fontId="101" fillId="32" borderId="1" xfId="0" applyNumberFormat="1" applyFont="1" applyFill="1" applyBorder="1" applyAlignment="1">
      <alignment horizontal="center"/>
    </xf>
    <xf numFmtId="0" fontId="101" fillId="30" borderId="1" xfId="0" applyFont="1" applyFill="1" applyBorder="1" applyAlignment="1">
      <alignment horizontal="center"/>
    </xf>
    <xf numFmtId="14" fontId="101" fillId="30" borderId="1" xfId="0" applyNumberFormat="1" applyFont="1" applyFill="1" applyBorder="1" applyAlignment="1">
      <alignment horizontal="center"/>
    </xf>
    <xf numFmtId="0" fontId="267" fillId="37" borderId="0" xfId="0" applyFont="1" applyFill="1"/>
    <xf numFmtId="1" fontId="147" fillId="37" borderId="0" xfId="2" applyNumberFormat="1" applyFont="1" applyFill="1"/>
    <xf numFmtId="165" fontId="156" fillId="37" borderId="0" xfId="2" applyFont="1" applyFill="1" applyAlignment="1"/>
    <xf numFmtId="165" fontId="147" fillId="37" borderId="0" xfId="2" applyFont="1" applyFill="1"/>
    <xf numFmtId="0" fontId="134" fillId="37" borderId="0" xfId="0" applyFont="1" applyFill="1"/>
    <xf numFmtId="1" fontId="268" fillId="37" borderId="0" xfId="2" applyNumberFormat="1" applyFont="1" applyFill="1"/>
    <xf numFmtId="0" fontId="116" fillId="17" borderId="0" xfId="0" applyFont="1" applyFill="1" applyAlignment="1">
      <alignment horizontal="left"/>
    </xf>
    <xf numFmtId="0" fontId="269" fillId="3" borderId="0" xfId="0" applyFont="1" applyFill="1"/>
    <xf numFmtId="0" fontId="171" fillId="3" borderId="0" xfId="0" applyFont="1" applyFill="1"/>
    <xf numFmtId="0" fontId="35" fillId="3" borderId="0" xfId="0" applyFont="1" applyFill="1"/>
    <xf numFmtId="0" fontId="43" fillId="13" borderId="116" xfId="0" applyFont="1" applyFill="1" applyBorder="1" applyAlignment="1">
      <alignment horizontal="left" vertical="center"/>
    </xf>
    <xf numFmtId="0" fontId="170" fillId="13" borderId="116" xfId="0" applyFont="1" applyFill="1" applyBorder="1" applyAlignment="1">
      <alignment horizontal="left" vertical="center"/>
    </xf>
    <xf numFmtId="0" fontId="0" fillId="13" borderId="0" xfId="0" applyFill="1"/>
    <xf numFmtId="0" fontId="42" fillId="0" borderId="0" xfId="0" applyFont="1" applyAlignment="1">
      <alignment wrapText="1"/>
    </xf>
    <xf numFmtId="0" fontId="270" fillId="0" borderId="0" xfId="0" applyFont="1" applyAlignment="1">
      <alignment horizontal="left" wrapText="1"/>
    </xf>
    <xf numFmtId="165" fontId="94" fillId="2" borderId="1" xfId="2" applyFont="1" applyFill="1" applyBorder="1" applyAlignment="1">
      <alignment horizontal="center"/>
    </xf>
    <xf numFmtId="165" fontId="271" fillId="30" borderId="1" xfId="2" applyFont="1" applyFill="1" applyBorder="1" applyAlignment="1">
      <alignment horizontal="center"/>
    </xf>
    <xf numFmtId="165" fontId="94" fillId="0" borderId="0" xfId="2" applyFont="1" applyAlignment="1">
      <alignment horizontal="center"/>
    </xf>
    <xf numFmtId="0" fontId="272" fillId="2" borderId="1" xfId="0" applyFont="1" applyFill="1" applyBorder="1" applyAlignment="1">
      <alignment horizontal="center" vertical="center" wrapText="1"/>
    </xf>
    <xf numFmtId="165" fontId="272" fillId="2" borderId="1" xfId="2" applyFont="1" applyFill="1" applyBorder="1" applyAlignment="1">
      <alignment horizontal="center" vertical="center" wrapText="1"/>
    </xf>
    <xf numFmtId="165" fontId="273" fillId="30" borderId="1" xfId="2" applyFont="1" applyFill="1" applyBorder="1" applyAlignment="1">
      <alignment horizontal="center" vertical="center" wrapText="1"/>
    </xf>
    <xf numFmtId="167" fontId="272" fillId="2" borderId="1" xfId="1" applyNumberFormat="1" applyFont="1" applyFill="1" applyBorder="1" applyAlignment="1">
      <alignment horizontal="left" vertical="center" wrapText="1"/>
    </xf>
    <xf numFmtId="0" fontId="272" fillId="2" borderId="1" xfId="0" applyFont="1" applyFill="1" applyBorder="1" applyAlignment="1">
      <alignment horizontal="center" vertical="center"/>
    </xf>
    <xf numFmtId="165" fontId="94" fillId="20" borderId="1" xfId="2" applyFont="1" applyFill="1" applyBorder="1" applyAlignment="1">
      <alignment horizontal="center"/>
    </xf>
    <xf numFmtId="165" fontId="271" fillId="20" borderId="1" xfId="2" applyFont="1" applyFill="1" applyBorder="1" applyAlignment="1">
      <alignment horizontal="center"/>
    </xf>
    <xf numFmtId="170" fontId="33" fillId="20" borderId="1" xfId="2" applyNumberFormat="1" applyFont="1" applyFill="1" applyBorder="1"/>
    <xf numFmtId="0" fontId="33" fillId="20" borderId="1" xfId="0" applyFont="1" applyFill="1" applyBorder="1" applyAlignment="1">
      <alignment horizontal="right"/>
    </xf>
    <xf numFmtId="0" fontId="46" fillId="0" borderId="60" xfId="2" applyNumberFormat="1" applyFont="1" applyBorder="1" applyAlignment="1" applyProtection="1">
      <alignment horizontal="center"/>
      <protection locked="0"/>
    </xf>
    <xf numFmtId="14" fontId="116" fillId="17" borderId="0" xfId="2" applyNumberFormat="1" applyFont="1" applyFill="1"/>
    <xf numFmtId="174" fontId="116" fillId="17" borderId="0" xfId="2" applyNumberFormat="1" applyFont="1" applyFill="1"/>
    <xf numFmtId="174" fontId="0" fillId="17" borderId="0" xfId="0" applyNumberFormat="1" applyFill="1"/>
    <xf numFmtId="14" fontId="116" fillId="4" borderId="0" xfId="2" applyNumberFormat="1" applyFont="1" applyFill="1"/>
    <xf numFmtId="14" fontId="0" fillId="3" borderId="0" xfId="0" applyNumberFormat="1" applyFill="1"/>
    <xf numFmtId="49" fontId="280" fillId="0" borderId="0" xfId="0" applyNumberFormat="1" applyFont="1" applyAlignment="1">
      <alignment horizontal="left"/>
    </xf>
    <xf numFmtId="186" fontId="280" fillId="0" borderId="0" xfId="0" applyNumberFormat="1" applyFont="1" applyAlignment="1">
      <alignment horizontal="right"/>
    </xf>
    <xf numFmtId="187" fontId="280" fillId="0" borderId="0" xfId="0" applyNumberFormat="1" applyFont="1" applyAlignment="1">
      <alignment horizontal="right"/>
    </xf>
    <xf numFmtId="49" fontId="280" fillId="52" borderId="0" xfId="0" applyNumberFormat="1" applyFont="1" applyFill="1" applyAlignment="1">
      <alignment horizontal="left"/>
    </xf>
    <xf numFmtId="186" fontId="280" fillId="52" borderId="0" xfId="0" applyNumberFormat="1" applyFont="1" applyFill="1" applyAlignment="1">
      <alignment horizontal="right"/>
    </xf>
    <xf numFmtId="49" fontId="280" fillId="12" borderId="0" xfId="0" applyNumberFormat="1" applyFont="1" applyFill="1" applyAlignment="1">
      <alignment horizontal="left"/>
    </xf>
    <xf numFmtId="186" fontId="280" fillId="12" borderId="0" xfId="0" applyNumberFormat="1" applyFont="1" applyFill="1" applyAlignment="1">
      <alignment horizontal="right"/>
    </xf>
    <xf numFmtId="49" fontId="280" fillId="14" borderId="0" xfId="0" applyNumberFormat="1" applyFont="1" applyFill="1" applyAlignment="1">
      <alignment horizontal="left"/>
    </xf>
    <xf numFmtId="186" fontId="280" fillId="14" borderId="0" xfId="0" applyNumberFormat="1" applyFont="1" applyFill="1" applyAlignment="1">
      <alignment horizontal="right"/>
    </xf>
    <xf numFmtId="0" fontId="24" fillId="3" borderId="0" xfId="0" applyFont="1" applyFill="1"/>
    <xf numFmtId="165" fontId="24" fillId="3" borderId="0" xfId="2" applyFont="1" applyFill="1"/>
    <xf numFmtId="165" fontId="0" fillId="3" borderId="0" xfId="0" applyNumberFormat="1" applyFill="1"/>
    <xf numFmtId="0" fontId="43" fillId="7" borderId="122" xfId="21" applyFont="1" applyFill="1" applyAlignment="1">
      <alignment vertical="center"/>
    </xf>
    <xf numFmtId="0" fontId="281" fillId="52" borderId="59" xfId="15" applyFont="1" applyFill="1" applyBorder="1" applyAlignment="1">
      <alignment vertical="center"/>
    </xf>
    <xf numFmtId="165" fontId="281" fillId="52" borderId="59" xfId="15" applyNumberFormat="1" applyFont="1" applyFill="1" applyBorder="1"/>
    <xf numFmtId="165" fontId="281" fillId="52" borderId="59" xfId="2" applyFont="1" applyFill="1" applyBorder="1"/>
    <xf numFmtId="165" fontId="170" fillId="7" borderId="122" xfId="2" applyFont="1" applyFill="1" applyBorder="1" applyAlignment="1">
      <alignment vertical="center"/>
    </xf>
    <xf numFmtId="0" fontId="282" fillId="55" borderId="120" xfId="19" applyFont="1"/>
    <xf numFmtId="0" fontId="0" fillId="3" borderId="5" xfId="0" applyFill="1" applyBorder="1"/>
    <xf numFmtId="0" fontId="0" fillId="3" borderId="0" xfId="0" applyFill="1" applyBorder="1"/>
    <xf numFmtId="165" fontId="24" fillId="3" borderId="0" xfId="2" applyFont="1" applyFill="1" applyBorder="1"/>
    <xf numFmtId="0" fontId="0" fillId="3" borderId="9" xfId="0" applyFill="1" applyBorder="1"/>
    <xf numFmtId="165" fontId="24" fillId="3" borderId="9" xfId="2" applyFont="1" applyFill="1" applyBorder="1"/>
    <xf numFmtId="0" fontId="284" fillId="3" borderId="0" xfId="16" applyFont="1" applyFill="1" applyBorder="1"/>
    <xf numFmtId="49" fontId="33" fillId="3" borderId="0" xfId="2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left"/>
    </xf>
    <xf numFmtId="0" fontId="286" fillId="3" borderId="0" xfId="0" applyFont="1" applyFill="1"/>
    <xf numFmtId="0" fontId="15" fillId="16" borderId="0" xfId="0" applyFont="1" applyFill="1" applyAlignment="1">
      <alignment vertical="center"/>
    </xf>
    <xf numFmtId="0" fontId="34" fillId="16" borderId="0" xfId="0" applyFont="1" applyFill="1" applyAlignment="1">
      <alignment vertical="center"/>
    </xf>
    <xf numFmtId="0" fontId="33" fillId="23" borderId="0" xfId="0" applyFont="1" applyFill="1"/>
    <xf numFmtId="0" fontId="288" fillId="54" borderId="131" xfId="18" applyFont="1" applyBorder="1" applyAlignment="1">
      <alignment horizontal="center" vertical="center"/>
    </xf>
    <xf numFmtId="0" fontId="288" fillId="56" borderId="132" xfId="20" applyFont="1" applyBorder="1" applyAlignment="1">
      <alignment horizontal="center" vertical="center" wrapText="1"/>
    </xf>
    <xf numFmtId="0" fontId="278" fillId="58" borderId="76" xfId="23" applyBorder="1"/>
    <xf numFmtId="0" fontId="279" fillId="53" borderId="0" xfId="17" applyFont="1"/>
    <xf numFmtId="0" fontId="275" fillId="53" borderId="0" xfId="17"/>
    <xf numFmtId="0" fontId="289" fillId="47" borderId="1" xfId="0" applyFont="1" applyFill="1" applyBorder="1" applyAlignment="1">
      <alignment horizontal="center" vertical="center" wrapText="1"/>
    </xf>
    <xf numFmtId="0" fontId="289" fillId="47" borderId="134" xfId="0" applyFont="1" applyFill="1" applyBorder="1" applyAlignment="1">
      <alignment horizontal="center" vertical="center" wrapText="1"/>
    </xf>
    <xf numFmtId="0" fontId="289" fillId="47" borderId="135" xfId="0" applyFont="1" applyFill="1" applyBorder="1" applyAlignment="1">
      <alignment horizontal="center" vertical="center" wrapText="1"/>
    </xf>
    <xf numFmtId="0" fontId="289" fillId="47" borderId="136" xfId="0" applyFont="1" applyFill="1" applyBorder="1" applyAlignment="1">
      <alignment horizontal="center" vertical="center" wrapText="1"/>
    </xf>
    <xf numFmtId="0" fontId="289" fillId="47" borderId="26" xfId="0" applyFont="1" applyFill="1" applyBorder="1" applyAlignment="1">
      <alignment horizontal="center" vertical="center" wrapText="1"/>
    </xf>
    <xf numFmtId="0" fontId="289" fillId="47" borderId="113" xfId="0" applyFont="1" applyFill="1" applyBorder="1" applyAlignment="1">
      <alignment horizontal="center" vertical="center" wrapText="1"/>
    </xf>
    <xf numFmtId="165" fontId="33" fillId="7" borderId="134" xfId="2" applyFont="1" applyFill="1" applyBorder="1"/>
    <xf numFmtId="165" fontId="33" fillId="7" borderId="135" xfId="2" applyFont="1" applyFill="1" applyBorder="1"/>
    <xf numFmtId="165" fontId="33" fillId="7" borderId="136" xfId="2" applyFont="1" applyFill="1" applyBorder="1"/>
    <xf numFmtId="165" fontId="33" fillId="7" borderId="26" xfId="2" applyFont="1" applyFill="1" applyBorder="1"/>
    <xf numFmtId="174" fontId="33" fillId="7" borderId="113" xfId="2" applyNumberFormat="1" applyFont="1" applyFill="1" applyBorder="1"/>
    <xf numFmtId="0" fontId="33" fillId="5" borderId="134" xfId="0" applyFont="1" applyFill="1" applyBorder="1" applyAlignment="1">
      <alignment horizontal="right"/>
    </xf>
    <xf numFmtId="14" fontId="33" fillId="18" borderId="1" xfId="0" applyNumberFormat="1" applyFont="1" applyFill="1" applyBorder="1"/>
    <xf numFmtId="14" fontId="33" fillId="5" borderId="1" xfId="0" applyNumberFormat="1" applyFont="1" applyFill="1" applyBorder="1"/>
    <xf numFmtId="0" fontId="92" fillId="5" borderId="1" xfId="5" applyFont="1" applyFill="1" applyBorder="1" applyAlignment="1">
      <alignment horizontal="left" vertical="center" wrapText="1" shrinkToFit="1"/>
    </xf>
    <xf numFmtId="0" fontId="0" fillId="5" borderId="1" xfId="0" applyFill="1" applyBorder="1"/>
    <xf numFmtId="14" fontId="33" fillId="18" borderId="26" xfId="0" applyNumberFormat="1" applyFont="1" applyFill="1" applyBorder="1"/>
    <xf numFmtId="1" fontId="33" fillId="7" borderId="135" xfId="2" applyNumberFormat="1" applyFont="1" applyFill="1" applyBorder="1"/>
    <xf numFmtId="0" fontId="84" fillId="5" borderId="1" xfId="0" applyFont="1" applyFill="1" applyBorder="1"/>
    <xf numFmtId="0" fontId="33" fillId="18" borderId="26" xfId="0" applyFont="1" applyFill="1" applyBorder="1"/>
    <xf numFmtId="14" fontId="0" fillId="0" borderId="49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14" fontId="0" fillId="0" borderId="0" xfId="0" applyNumberFormat="1" applyAlignment="1" applyProtection="1">
      <alignment wrapText="1"/>
      <protection locked="0"/>
    </xf>
    <xf numFmtId="0" fontId="24" fillId="3" borderId="1" xfId="0" applyFont="1" applyFill="1" applyBorder="1"/>
    <xf numFmtId="188" fontId="290" fillId="0" borderId="0" xfId="0" applyNumberFormat="1" applyFont="1" applyAlignment="1">
      <alignment horizontal="right"/>
    </xf>
    <xf numFmtId="188" fontId="0" fillId="0" borderId="0" xfId="0" applyNumberFormat="1"/>
    <xf numFmtId="0" fontId="0" fillId="3" borderId="0" xfId="0" applyFill="1" applyAlignment="1">
      <alignment horizontal="left"/>
    </xf>
    <xf numFmtId="165" fontId="24" fillId="4" borderId="0" xfId="2" applyFont="1" applyFill="1" applyAlignment="1">
      <alignment horizontal="left"/>
    </xf>
    <xf numFmtId="0" fontId="33" fillId="43" borderId="0" xfId="0" applyFont="1" applyFill="1"/>
    <xf numFmtId="0" fontId="24" fillId="43" borderId="0" xfId="0" applyFont="1" applyFill="1"/>
    <xf numFmtId="165" fontId="24" fillId="43" borderId="0" xfId="2" applyFont="1" applyFill="1"/>
    <xf numFmtId="0" fontId="33" fillId="15" borderId="0" xfId="0" applyFont="1" applyFill="1"/>
    <xf numFmtId="0" fontId="24" fillId="15" borderId="0" xfId="0" applyFont="1" applyFill="1"/>
    <xf numFmtId="165" fontId="24" fillId="15" borderId="0" xfId="2" applyFont="1" applyFill="1"/>
    <xf numFmtId="0" fontId="6" fillId="3" borderId="0" xfId="0" applyFont="1" applyFill="1"/>
    <xf numFmtId="0" fontId="215" fillId="3" borderId="0" xfId="0" applyFont="1" applyFill="1"/>
    <xf numFmtId="0" fontId="0" fillId="3" borderId="1" xfId="0" applyFill="1" applyBorder="1"/>
    <xf numFmtId="165" fontId="24" fillId="3" borderId="1" xfId="2" applyFont="1" applyFill="1" applyBorder="1"/>
    <xf numFmtId="0" fontId="84" fillId="3" borderId="1" xfId="0" applyFont="1" applyFill="1" applyBorder="1" applyAlignment="1">
      <alignment horizontal="left"/>
    </xf>
    <xf numFmtId="0" fontId="35" fillId="51" borderId="122" xfId="21" applyFont="1" applyFill="1"/>
    <xf numFmtId="165" fontId="258" fillId="51" borderId="122" xfId="21" applyNumberFormat="1" applyFont="1" applyFill="1"/>
    <xf numFmtId="49" fontId="291" fillId="51" borderId="122" xfId="21" applyNumberFormat="1" applyFont="1" applyFill="1" applyAlignment="1">
      <alignment horizontal="left" vertical="center"/>
    </xf>
    <xf numFmtId="165" fontId="258" fillId="51" borderId="141" xfId="21" applyNumberFormat="1" applyFont="1" applyFill="1" applyBorder="1"/>
    <xf numFmtId="0" fontId="291" fillId="51" borderId="122" xfId="21" applyFont="1" applyFill="1" applyAlignment="1">
      <alignment horizontal="left"/>
    </xf>
    <xf numFmtId="0" fontId="33" fillId="60" borderId="0" xfId="0" applyFont="1" applyFill="1"/>
    <xf numFmtId="0" fontId="33" fillId="60" borderId="0" xfId="0" applyFont="1" applyFill="1" applyAlignment="1">
      <alignment horizontal="left"/>
    </xf>
    <xf numFmtId="0" fontId="0" fillId="3" borderId="0" xfId="0" applyFill="1" applyAlignment="1">
      <alignment vertical="center"/>
    </xf>
    <xf numFmtId="0" fontId="0" fillId="3" borderId="5" xfId="0" applyFill="1" applyBorder="1" applyAlignment="1">
      <alignment vertical="center"/>
    </xf>
    <xf numFmtId="0" fontId="33" fillId="3" borderId="0" xfId="0" applyFont="1" applyFill="1" applyAlignment="1">
      <alignment vertical="center"/>
    </xf>
    <xf numFmtId="0" fontId="24" fillId="3" borderId="0" xfId="0" applyFont="1" applyFill="1" applyAlignment="1">
      <alignment vertical="center"/>
    </xf>
    <xf numFmtId="165" fontId="24" fillId="3" borderId="0" xfId="2" applyFont="1" applyFill="1" applyAlignment="1">
      <alignment vertical="center"/>
    </xf>
    <xf numFmtId="49" fontId="280" fillId="0" borderId="0" xfId="0" applyNumberFormat="1" applyFont="1" applyAlignment="1">
      <alignment horizontal="left" vertical="center"/>
    </xf>
    <xf numFmtId="186" fontId="280" fillId="0" borderId="0" xfId="0" applyNumberFormat="1" applyFont="1" applyAlignment="1">
      <alignment horizontal="right" vertical="center"/>
    </xf>
    <xf numFmtId="0" fontId="255" fillId="51" borderId="142" xfId="14" applyFont="1" applyBorder="1" applyAlignment="1">
      <alignment vertical="center"/>
    </xf>
    <xf numFmtId="165" fontId="255" fillId="51" borderId="142" xfId="14" applyNumberFormat="1" applyFont="1" applyBorder="1"/>
    <xf numFmtId="165" fontId="255" fillId="51" borderId="142" xfId="14" applyNumberFormat="1" applyFont="1" applyBorder="1" applyAlignment="1">
      <alignment vertical="center"/>
    </xf>
    <xf numFmtId="165" fontId="24" fillId="3" borderId="24" xfId="2" applyFont="1" applyFill="1" applyBorder="1"/>
    <xf numFmtId="165" fontId="258" fillId="51" borderId="0" xfId="21" applyNumberFormat="1" applyFont="1" applyFill="1" applyBorder="1"/>
    <xf numFmtId="165" fontId="258" fillId="51" borderId="144" xfId="21" applyNumberFormat="1" applyFont="1" applyFill="1" applyBorder="1"/>
    <xf numFmtId="165" fontId="24" fillId="3" borderId="9" xfId="2" applyFont="1" applyFill="1" applyBorder="1" applyAlignment="1">
      <alignment vertical="center"/>
    </xf>
    <xf numFmtId="0" fontId="282" fillId="55" borderId="120" xfId="19" applyFont="1" applyAlignment="1">
      <alignment vertical="center"/>
    </xf>
    <xf numFmtId="0" fontId="282" fillId="55" borderId="120" xfId="19" applyFont="1" applyAlignment="1">
      <alignment horizontal="center" vertical="top"/>
    </xf>
    <xf numFmtId="3" fontId="8" fillId="0" borderId="21" xfId="0" applyNumberFormat="1" applyFont="1" applyBorder="1" applyAlignment="1">
      <alignment horizontal="center" vertical="center"/>
    </xf>
    <xf numFmtId="3" fontId="8" fillId="0" borderId="50" xfId="0" applyNumberFormat="1" applyFont="1" applyBorder="1" applyAlignment="1">
      <alignment horizontal="center" vertical="center"/>
    </xf>
    <xf numFmtId="0" fontId="153" fillId="45" borderId="0" xfId="0" applyFont="1" applyFill="1" applyAlignment="1">
      <alignment horizontal="left"/>
    </xf>
    <xf numFmtId="0" fontId="153" fillId="45" borderId="0" xfId="0" applyFont="1" applyFill="1"/>
    <xf numFmtId="167" fontId="269" fillId="13" borderId="1" xfId="1" applyNumberFormat="1" applyFont="1" applyFill="1" applyBorder="1"/>
    <xf numFmtId="167" fontId="269" fillId="0" borderId="0" xfId="1" applyNumberFormat="1" applyFont="1"/>
    <xf numFmtId="167" fontId="35" fillId="0" borderId="0" xfId="1" applyNumberFormat="1" applyFont="1"/>
    <xf numFmtId="167" fontId="269" fillId="13" borderId="30" xfId="1" applyNumberFormat="1" applyFont="1" applyFill="1" applyBorder="1"/>
    <xf numFmtId="167" fontId="46" fillId="16" borderId="0" xfId="0" applyNumberFormat="1" applyFont="1" applyFill="1" applyBorder="1" applyAlignment="1">
      <alignment vertical="center"/>
    </xf>
    <xf numFmtId="167" fontId="117" fillId="16" borderId="0" xfId="0" applyNumberFormat="1" applyFont="1" applyFill="1" applyBorder="1" applyAlignment="1">
      <alignment vertical="center"/>
    </xf>
    <xf numFmtId="167" fontId="225" fillId="16" borderId="0" xfId="0" applyNumberFormat="1" applyFont="1" applyFill="1" applyBorder="1" applyAlignment="1">
      <alignment vertical="center"/>
    </xf>
    <xf numFmtId="167" fontId="0" fillId="17" borderId="0" xfId="1" applyNumberFormat="1" applyFont="1" applyFill="1" applyBorder="1"/>
    <xf numFmtId="0" fontId="28" fillId="17" borderId="0" xfId="0" applyFont="1" applyFill="1" applyBorder="1" applyAlignment="1">
      <alignment vertical="center"/>
    </xf>
    <xf numFmtId="167" fontId="0" fillId="0" borderId="0" xfId="1" applyNumberFormat="1" applyFont="1" applyBorder="1"/>
    <xf numFmtId="0" fontId="293" fillId="17" borderId="0" xfId="0" applyFont="1" applyFill="1" applyBorder="1" applyAlignment="1">
      <alignment vertical="center"/>
    </xf>
    <xf numFmtId="0" fontId="294" fillId="17" borderId="0" xfId="0" applyFont="1" applyFill="1" applyBorder="1" applyAlignment="1">
      <alignment vertical="center"/>
    </xf>
    <xf numFmtId="167" fontId="295" fillId="17" borderId="0" xfId="1" applyNumberFormat="1" applyFont="1" applyFill="1" applyBorder="1" applyAlignment="1">
      <alignment horizontal="center" vertical="center"/>
    </xf>
    <xf numFmtId="167" fontId="6" fillId="17" borderId="0" xfId="1" applyNumberFormat="1" applyFont="1" applyFill="1" applyBorder="1" applyAlignment="1">
      <alignment horizontal="center" vertical="center"/>
    </xf>
    <xf numFmtId="0" fontId="27" fillId="17" borderId="0" xfId="0" applyFont="1" applyFill="1" applyBorder="1"/>
    <xf numFmtId="167" fontId="34" fillId="17" borderId="0" xfId="1" applyNumberFormat="1" applyFont="1" applyFill="1" applyBorder="1" applyAlignment="1">
      <alignment horizontal="center" vertical="center"/>
    </xf>
    <xf numFmtId="167" fontId="34" fillId="17" borderId="0" xfId="1" applyNumberFormat="1" applyFont="1" applyFill="1" applyBorder="1" applyAlignment="1">
      <alignment horizontal="left" vertical="center"/>
    </xf>
    <xf numFmtId="167" fontId="6" fillId="17" borderId="0" xfId="1" applyNumberFormat="1" applyFont="1" applyFill="1" applyBorder="1"/>
    <xf numFmtId="0" fontId="27" fillId="17" borderId="0" xfId="0" applyFont="1" applyFill="1" applyBorder="1" applyAlignment="1">
      <alignment horizontal="center" vertical="center"/>
    </xf>
    <xf numFmtId="167" fontId="6" fillId="17" borderId="0" xfId="1" applyNumberFormat="1" applyFont="1" applyFill="1" applyBorder="1" applyAlignment="1">
      <alignment horizontal="left"/>
    </xf>
    <xf numFmtId="167" fontId="34" fillId="16" borderId="0" xfId="0" applyNumberFormat="1" applyFont="1" applyFill="1" applyBorder="1" applyAlignment="1">
      <alignment vertical="center"/>
    </xf>
    <xf numFmtId="167" fontId="296" fillId="17" borderId="0" xfId="1" applyNumberFormat="1" applyFont="1" applyFill="1" applyBorder="1" applyAlignment="1">
      <alignment horizontal="center" vertical="center"/>
    </xf>
    <xf numFmtId="167" fontId="101" fillId="6" borderId="0" xfId="1" applyNumberFormat="1" applyFont="1" applyFill="1" applyAlignment="1">
      <alignment horizontal="left"/>
    </xf>
    <xf numFmtId="167" fontId="297" fillId="16" borderId="0" xfId="0" applyNumberFormat="1" applyFont="1" applyFill="1" applyBorder="1" applyAlignment="1">
      <alignment vertical="center"/>
    </xf>
    <xf numFmtId="167" fontId="298" fillId="17" borderId="0" xfId="1" applyNumberFormat="1" applyFont="1" applyFill="1" applyBorder="1" applyAlignment="1">
      <alignment horizontal="center" vertical="center"/>
    </xf>
    <xf numFmtId="167" fontId="297" fillId="17" borderId="0" xfId="1" applyNumberFormat="1" applyFont="1" applyFill="1" applyBorder="1" applyAlignment="1">
      <alignment horizontal="left" vertical="center"/>
    </xf>
    <xf numFmtId="167" fontId="34" fillId="17" borderId="76" xfId="1" applyNumberFormat="1" applyFont="1" applyFill="1" applyBorder="1" applyAlignment="1">
      <alignment horizontal="left" vertical="center"/>
    </xf>
    <xf numFmtId="0" fontId="0" fillId="0" borderId="76" xfId="0" applyBorder="1"/>
    <xf numFmtId="0" fontId="55" fillId="5" borderId="31" xfId="0" applyFont="1" applyFill="1" applyBorder="1" applyAlignment="1">
      <alignment horizontal="left"/>
    </xf>
    <xf numFmtId="0" fontId="50" fillId="5" borderId="31" xfId="0" applyFont="1" applyFill="1" applyBorder="1" applyAlignment="1">
      <alignment horizontal="left"/>
    </xf>
    <xf numFmtId="0" fontId="243" fillId="50" borderId="31" xfId="0" applyFont="1" applyFill="1" applyBorder="1" applyAlignment="1">
      <alignment horizontal="left"/>
    </xf>
    <xf numFmtId="0" fontId="127" fillId="33" borderId="31" xfId="0" applyFont="1" applyFill="1" applyBorder="1" applyAlignment="1"/>
    <xf numFmtId="0" fontId="50" fillId="5" borderId="30" xfId="0" applyFont="1" applyFill="1" applyBorder="1" applyAlignment="1">
      <alignment horizontal="left"/>
    </xf>
    <xf numFmtId="49" fontId="50" fillId="5" borderId="30" xfId="0" applyNumberFormat="1" applyFont="1" applyFill="1" applyBorder="1" applyAlignment="1">
      <alignment horizontal="left"/>
    </xf>
    <xf numFmtId="0" fontId="243" fillId="50" borderId="30" xfId="0" applyFont="1" applyFill="1" applyBorder="1" applyAlignment="1">
      <alignment horizontal="left"/>
    </xf>
    <xf numFmtId="0" fontId="127" fillId="33" borderId="30" xfId="0" applyFont="1" applyFill="1" applyBorder="1" applyAlignment="1"/>
    <xf numFmtId="0" fontId="293" fillId="17" borderId="102" xfId="0" applyFont="1" applyFill="1" applyBorder="1" applyAlignment="1">
      <alignment vertical="center"/>
    </xf>
    <xf numFmtId="0" fontId="294" fillId="17" borderId="102" xfId="0" applyFont="1" applyFill="1" applyBorder="1" applyAlignment="1">
      <alignment vertical="center"/>
    </xf>
    <xf numFmtId="167" fontId="295" fillId="17" borderId="102" xfId="1" applyNumberFormat="1" applyFont="1" applyFill="1" applyBorder="1" applyAlignment="1">
      <alignment horizontal="center" vertical="center"/>
    </xf>
    <xf numFmtId="167" fontId="293" fillId="17" borderId="102" xfId="1" applyNumberFormat="1" applyFont="1" applyFill="1" applyBorder="1" applyAlignment="1">
      <alignment horizontal="center" vertical="center"/>
    </xf>
    <xf numFmtId="167" fontId="295" fillId="17" borderId="145" xfId="1" applyNumberFormat="1" applyFont="1" applyFill="1" applyBorder="1" applyAlignment="1">
      <alignment horizontal="center" vertical="center"/>
    </xf>
    <xf numFmtId="0" fontId="50" fillId="0" borderId="102" xfId="0" applyFont="1" applyBorder="1"/>
    <xf numFmtId="0" fontId="55" fillId="5" borderId="146" xfId="0" applyFont="1" applyFill="1" applyBorder="1" applyAlignment="1">
      <alignment horizontal="left"/>
    </xf>
    <xf numFmtId="49" fontId="50" fillId="5" borderId="146" xfId="0" applyNumberFormat="1" applyFont="1" applyFill="1" applyBorder="1" applyAlignment="1">
      <alignment horizontal="left"/>
    </xf>
    <xf numFmtId="0" fontId="50" fillId="5" borderId="146" xfId="0" applyFont="1" applyFill="1" applyBorder="1" applyAlignment="1">
      <alignment horizontal="left"/>
    </xf>
    <xf numFmtId="0" fontId="243" fillId="50" borderId="146" xfId="0" applyFont="1" applyFill="1" applyBorder="1" applyAlignment="1">
      <alignment horizontal="left"/>
    </xf>
    <xf numFmtId="0" fontId="127" fillId="33" borderId="146" xfId="0" applyFont="1" applyFill="1" applyBorder="1" applyAlignment="1"/>
    <xf numFmtId="0" fontId="0" fillId="0" borderId="102" xfId="0" applyBorder="1"/>
    <xf numFmtId="0" fontId="0" fillId="0" borderId="145" xfId="0" applyBorder="1"/>
    <xf numFmtId="0" fontId="300" fillId="0" borderId="0" xfId="0" applyFont="1" applyAlignment="1">
      <alignment vertical="top"/>
    </xf>
    <xf numFmtId="0" fontId="299" fillId="16" borderId="0" xfId="0" applyFont="1" applyFill="1" applyBorder="1" applyAlignment="1">
      <alignment vertical="top"/>
    </xf>
    <xf numFmtId="0" fontId="299" fillId="16" borderId="0" xfId="0" applyFont="1" applyFill="1" applyAlignment="1">
      <alignment vertical="top"/>
    </xf>
    <xf numFmtId="0" fontId="301" fillId="0" borderId="0" xfId="0" applyFont="1" applyAlignment="1">
      <alignment vertical="top"/>
    </xf>
    <xf numFmtId="0" fontId="302" fillId="19" borderId="31" xfId="0" applyFont="1" applyFill="1" applyBorder="1" applyAlignment="1">
      <alignment vertical="top"/>
    </xf>
    <xf numFmtId="0" fontId="301" fillId="19" borderId="31" xfId="0" applyFont="1" applyFill="1" applyBorder="1" applyAlignment="1">
      <alignment vertical="top"/>
    </xf>
    <xf numFmtId="0" fontId="299" fillId="16" borderId="8" xfId="0" applyFont="1" applyFill="1" applyBorder="1" applyAlignment="1">
      <alignment vertical="top"/>
    </xf>
    <xf numFmtId="0" fontId="302" fillId="19" borderId="8" xfId="0" applyFont="1" applyFill="1" applyBorder="1" applyAlignment="1">
      <alignment vertical="top"/>
    </xf>
    <xf numFmtId="0" fontId="293" fillId="17" borderId="8" xfId="0" applyFont="1" applyFill="1" applyBorder="1" applyAlignment="1">
      <alignment vertical="center"/>
    </xf>
    <xf numFmtId="0" fontId="294" fillId="17" borderId="8" xfId="0" applyFont="1" applyFill="1" applyBorder="1" applyAlignment="1">
      <alignment vertical="center"/>
    </xf>
    <xf numFmtId="0" fontId="50" fillId="0" borderId="8" xfId="0" applyFont="1" applyBorder="1"/>
    <xf numFmtId="0" fontId="26" fillId="17" borderId="1" xfId="0" applyFont="1" applyFill="1" applyBorder="1" applyAlignment="1">
      <alignment vertical="center"/>
    </xf>
    <xf numFmtId="0" fontId="102" fillId="17" borderId="0" xfId="0" applyFont="1" applyFill="1"/>
    <xf numFmtId="167" fontId="29" fillId="17" borderId="0" xfId="4" applyNumberFormat="1" applyFill="1" applyBorder="1" applyAlignment="1">
      <alignment horizontal="center" vertical="center"/>
    </xf>
    <xf numFmtId="0" fontId="102" fillId="17" borderId="0" xfId="0" applyFont="1" applyFill="1" applyBorder="1"/>
    <xf numFmtId="167" fontId="18" fillId="17" borderId="0" xfId="1" applyNumberFormat="1" applyFont="1" applyFill="1" applyBorder="1" applyAlignment="1">
      <alignment horizontal="left"/>
    </xf>
    <xf numFmtId="0" fontId="0" fillId="2" borderId="0" xfId="0" applyFill="1" applyBorder="1"/>
    <xf numFmtId="0" fontId="19" fillId="2" borderId="0" xfId="0" applyFont="1" applyFill="1" applyBorder="1" applyAlignment="1">
      <alignment horizontal="left"/>
    </xf>
    <xf numFmtId="0" fontId="121" fillId="2" borderId="0" xfId="0" applyFont="1" applyFill="1" applyBorder="1" applyAlignment="1">
      <alignment horizontal="left"/>
    </xf>
    <xf numFmtId="0" fontId="33" fillId="2" borderId="0" xfId="0" applyFont="1" applyFill="1" applyBorder="1" applyAlignment="1">
      <alignment horizontal="left"/>
    </xf>
    <xf numFmtId="0" fontId="0" fillId="0" borderId="0" xfId="0" applyBorder="1"/>
    <xf numFmtId="0" fontId="24" fillId="0" borderId="0" xfId="0" applyFont="1" applyBorder="1"/>
    <xf numFmtId="0" fontId="26" fillId="17" borderId="24" xfId="0" applyFont="1" applyFill="1" applyBorder="1" applyAlignment="1">
      <alignment vertical="center"/>
    </xf>
    <xf numFmtId="49" fontId="50" fillId="5" borderId="31" xfId="0" applyNumberFormat="1" applyFont="1" applyFill="1" applyBorder="1" applyAlignment="1">
      <alignment horizontal="left"/>
    </xf>
    <xf numFmtId="0" fontId="55" fillId="5" borderId="31" xfId="0" applyFont="1" applyFill="1" applyBorder="1" applyAlignment="1">
      <alignment horizontal="left" vertical="center"/>
    </xf>
    <xf numFmtId="167" fontId="269" fillId="17" borderId="0" xfId="1" applyNumberFormat="1" applyFont="1" applyFill="1" applyBorder="1"/>
    <xf numFmtId="167" fontId="35" fillId="17" borderId="0" xfId="1" applyNumberFormat="1" applyFont="1" applyFill="1" applyBorder="1"/>
    <xf numFmtId="0" fontId="170" fillId="17" borderId="0" xfId="0" applyFont="1" applyFill="1" applyBorder="1" applyAlignment="1">
      <alignment vertical="center"/>
    </xf>
    <xf numFmtId="0" fontId="292" fillId="17" borderId="0" xfId="0" applyFont="1" applyFill="1" applyBorder="1" applyAlignment="1">
      <alignment vertical="center"/>
    </xf>
    <xf numFmtId="0" fontId="24" fillId="17" borderId="0" xfId="0" applyFont="1" applyFill="1" applyBorder="1" applyAlignment="1">
      <alignment horizontal="left"/>
    </xf>
    <xf numFmtId="0" fontId="24" fillId="17" borderId="0" xfId="0" applyFont="1" applyFill="1" applyBorder="1"/>
    <xf numFmtId="0" fontId="167" fillId="17" borderId="0" xfId="0" applyFont="1" applyFill="1" applyBorder="1"/>
    <xf numFmtId="0" fontId="24" fillId="17" borderId="8" xfId="0" applyFont="1" applyFill="1" applyBorder="1" applyAlignment="1">
      <alignment horizontal="left"/>
    </xf>
    <xf numFmtId="0" fontId="24" fillId="17" borderId="8" xfId="0" applyFont="1" applyFill="1" applyBorder="1"/>
    <xf numFmtId="167" fontId="269" fillId="17" borderId="8" xfId="1" applyNumberFormat="1" applyFont="1" applyFill="1" applyBorder="1"/>
    <xf numFmtId="167" fontId="35" fillId="17" borderId="8" xfId="1" applyNumberFormat="1" applyFont="1" applyFill="1" applyBorder="1"/>
    <xf numFmtId="167" fontId="0" fillId="17" borderId="8" xfId="1" applyNumberFormat="1" applyFont="1" applyFill="1" applyBorder="1"/>
    <xf numFmtId="167" fontId="6" fillId="17" borderId="8" xfId="1" applyNumberFormat="1" applyFont="1" applyFill="1" applyBorder="1"/>
    <xf numFmtId="0" fontId="27" fillId="17" borderId="8" xfId="0" applyFont="1" applyFill="1" applyBorder="1"/>
    <xf numFmtId="167" fontId="34" fillId="17" borderId="8" xfId="1" applyNumberFormat="1" applyFont="1" applyFill="1" applyBorder="1" applyAlignment="1">
      <alignment horizontal="center" vertical="center"/>
    </xf>
    <xf numFmtId="167" fontId="34" fillId="17" borderId="8" xfId="1" applyNumberFormat="1" applyFont="1" applyFill="1" applyBorder="1" applyAlignment="1">
      <alignment horizontal="left" vertical="center"/>
    </xf>
    <xf numFmtId="167" fontId="297" fillId="17" borderId="8" xfId="1" applyNumberFormat="1" applyFont="1" applyFill="1" applyBorder="1" applyAlignment="1">
      <alignment horizontal="left" vertical="center"/>
    </xf>
    <xf numFmtId="0" fontId="243" fillId="0" borderId="0" xfId="0" applyFont="1" applyBorder="1" applyAlignment="1">
      <alignment horizontal="left"/>
    </xf>
    <xf numFmtId="0" fontId="24" fillId="0" borderId="8" xfId="0" applyFont="1" applyBorder="1"/>
    <xf numFmtId="0" fontId="0" fillId="0" borderId="8" xfId="0" applyBorder="1"/>
    <xf numFmtId="0" fontId="243" fillId="0" borderId="8" xfId="0" applyFont="1" applyBorder="1" applyAlignment="1">
      <alignment horizontal="left"/>
    </xf>
    <xf numFmtId="167" fontId="66" fillId="39" borderId="79" xfId="15" applyNumberFormat="1" applyFont="1"/>
    <xf numFmtId="0" fontId="303" fillId="39" borderId="79" xfId="15" applyFont="1" applyAlignment="1">
      <alignment horizontal="left"/>
    </xf>
    <xf numFmtId="0" fontId="303" fillId="39" borderId="79" xfId="15" applyFont="1" applyAlignment="1">
      <alignment horizontal="left" vertical="center"/>
    </xf>
    <xf numFmtId="49" fontId="303" fillId="39" borderId="79" xfId="15" applyNumberFormat="1" applyFont="1" applyAlignment="1">
      <alignment horizontal="left"/>
    </xf>
    <xf numFmtId="49" fontId="303" fillId="39" borderId="79" xfId="15" applyNumberFormat="1" applyFont="1" applyAlignment="1">
      <alignment horizontal="left" vertical="center"/>
    </xf>
    <xf numFmtId="0" fontId="303" fillId="39" borderId="79" xfId="15" applyFont="1" applyAlignment="1">
      <alignment horizontal="justify" vertical="center"/>
    </xf>
    <xf numFmtId="0" fontId="306" fillId="50" borderId="148" xfId="0" applyFont="1" applyFill="1" applyBorder="1" applyAlignment="1"/>
    <xf numFmtId="9" fontId="306" fillId="50" borderId="148" xfId="3" applyNumberFormat="1" applyFont="1" applyFill="1" applyBorder="1" applyAlignment="1"/>
    <xf numFmtId="165" fontId="306" fillId="50" borderId="148" xfId="0" applyNumberFormat="1" applyFont="1" applyFill="1" applyBorder="1" applyAlignment="1"/>
    <xf numFmtId="165" fontId="306" fillId="50" borderId="148" xfId="2" applyFont="1" applyFill="1" applyBorder="1" applyAlignment="1"/>
    <xf numFmtId="9" fontId="306" fillId="50" borderId="148" xfId="3" applyFont="1" applyFill="1" applyBorder="1" applyAlignment="1"/>
    <xf numFmtId="14" fontId="306" fillId="50" borderId="148" xfId="0" applyNumberFormat="1" applyFont="1" applyFill="1" applyBorder="1" applyAlignment="1"/>
    <xf numFmtId="0" fontId="306" fillId="50" borderId="148" xfId="0" applyFont="1" applyFill="1" applyBorder="1" applyAlignment="1">
      <alignment wrapText="1"/>
    </xf>
    <xf numFmtId="0" fontId="318" fillId="50" borderId="148" xfId="0" applyFont="1" applyFill="1" applyBorder="1" applyAlignment="1"/>
    <xf numFmtId="0" fontId="304" fillId="31" borderId="148" xfId="0" applyFont="1" applyFill="1" applyBorder="1"/>
    <xf numFmtId="0" fontId="307" fillId="50" borderId="148" xfId="0" applyFont="1" applyFill="1" applyBorder="1" applyAlignment="1">
      <alignment horizontal="left"/>
    </xf>
    <xf numFmtId="0" fontId="307" fillId="50" borderId="148" xfId="15" applyFont="1" applyFill="1" applyBorder="1" applyAlignment="1">
      <alignment horizontal="left"/>
    </xf>
    <xf numFmtId="0" fontId="309" fillId="6" borderId="148" xfId="0" applyFont="1" applyFill="1" applyBorder="1" applyAlignment="1">
      <alignment horizontal="left"/>
    </xf>
    <xf numFmtId="0" fontId="309" fillId="6" borderId="148" xfId="0" applyFont="1" applyFill="1" applyBorder="1" applyAlignment="1">
      <alignment horizontal="left" vertical="center" readingOrder="2"/>
    </xf>
    <xf numFmtId="49" fontId="309" fillId="6" borderId="148" xfId="0" applyNumberFormat="1" applyFont="1" applyFill="1" applyBorder="1" applyAlignment="1">
      <alignment horizontal="left"/>
    </xf>
    <xf numFmtId="0" fontId="309" fillId="6" borderId="148" xfId="0" applyFont="1" applyFill="1" applyBorder="1" applyAlignment="1">
      <alignment horizontal="left" vertical="center"/>
    </xf>
    <xf numFmtId="165" fontId="309" fillId="6" borderId="148" xfId="2" applyFont="1" applyFill="1" applyBorder="1" applyAlignment="1">
      <alignment horizontal="left"/>
    </xf>
    <xf numFmtId="165" fontId="317" fillId="32" borderId="148" xfId="2" applyFont="1" applyFill="1" applyBorder="1" applyAlignment="1">
      <alignment horizontal="left"/>
    </xf>
    <xf numFmtId="0" fontId="311" fillId="6" borderId="148" xfId="0" applyFont="1" applyFill="1" applyBorder="1" applyAlignment="1">
      <alignment horizontal="left"/>
    </xf>
    <xf numFmtId="0" fontId="308" fillId="6" borderId="148" xfId="0" applyFont="1" applyFill="1" applyBorder="1" applyAlignment="1">
      <alignment horizontal="left"/>
    </xf>
    <xf numFmtId="49" fontId="309" fillId="6" borderId="148" xfId="0" applyNumberFormat="1" applyFont="1" applyFill="1" applyBorder="1" applyAlignment="1">
      <alignment horizontal="left" vertical="center"/>
    </xf>
    <xf numFmtId="165" fontId="309" fillId="6" borderId="148" xfId="2" applyFont="1" applyFill="1" applyBorder="1" applyAlignment="1">
      <alignment horizontal="left" vertical="center"/>
    </xf>
    <xf numFmtId="0" fontId="313" fillId="6" borderId="148" xfId="0" applyFont="1" applyFill="1" applyBorder="1" applyAlignment="1">
      <alignment horizontal="left" vertical="center"/>
    </xf>
    <xf numFmtId="0" fontId="313" fillId="6" borderId="148" xfId="0" applyFont="1" applyFill="1" applyBorder="1" applyAlignment="1">
      <alignment horizontal="left"/>
    </xf>
    <xf numFmtId="49" fontId="308" fillId="6" borderId="148" xfId="0" applyNumberFormat="1" applyFont="1" applyFill="1" applyBorder="1" applyAlignment="1">
      <alignment horizontal="left"/>
    </xf>
    <xf numFmtId="0" fontId="311" fillId="6" borderId="148" xfId="0" applyFont="1" applyFill="1" applyBorder="1" applyAlignment="1">
      <alignment horizontal="left" vertical="center"/>
    </xf>
    <xf numFmtId="17" fontId="309" fillId="6" borderId="148" xfId="0" applyNumberFormat="1" applyFont="1" applyFill="1" applyBorder="1" applyAlignment="1">
      <alignment horizontal="left"/>
    </xf>
    <xf numFmtId="0" fontId="308" fillId="6" borderId="148" xfId="0" applyFont="1" applyFill="1" applyBorder="1" applyAlignment="1">
      <alignment horizontal="left" vertical="center"/>
    </xf>
    <xf numFmtId="0" fontId="65" fillId="21" borderId="0" xfId="0" applyFont="1" applyFill="1" applyAlignment="1">
      <alignment horizontal="left"/>
    </xf>
    <xf numFmtId="0" fontId="305" fillId="17" borderId="147" xfId="15" applyFont="1" applyFill="1" applyBorder="1" applyAlignment="1">
      <alignment horizontal="center" vertical="center" wrapText="1"/>
    </xf>
    <xf numFmtId="0" fontId="305" fillId="32" borderId="147" xfId="15" applyFont="1" applyFill="1" applyBorder="1" applyAlignment="1">
      <alignment horizontal="center" vertical="center"/>
    </xf>
    <xf numFmtId="0" fontId="305" fillId="17" borderId="147" xfId="15" applyFont="1" applyFill="1" applyBorder="1" applyAlignment="1">
      <alignment horizontal="center" vertical="center"/>
    </xf>
    <xf numFmtId="0" fontId="305" fillId="17" borderId="147" xfId="15" applyFont="1" applyFill="1" applyBorder="1" applyAlignment="1">
      <alignment horizontal="left" vertical="center" wrapText="1"/>
    </xf>
    <xf numFmtId="9" fontId="305" fillId="17" borderId="147" xfId="15" applyNumberFormat="1" applyFont="1" applyFill="1" applyBorder="1" applyAlignment="1">
      <alignment horizontal="left" vertical="center" wrapText="1"/>
    </xf>
    <xf numFmtId="0" fontId="33" fillId="3" borderId="0" xfId="0" applyFont="1" applyFill="1" applyBorder="1" applyAlignment="1">
      <alignment horizontal="left"/>
    </xf>
    <xf numFmtId="0" fontId="33" fillId="3" borderId="0" xfId="0" applyFont="1" applyFill="1" applyBorder="1"/>
    <xf numFmtId="0" fontId="45" fillId="3" borderId="0" xfId="0" applyFont="1" applyFill="1" applyBorder="1" applyAlignment="1">
      <alignment vertical="center"/>
    </xf>
    <xf numFmtId="0" fontId="33" fillId="2" borderId="0" xfId="0" applyFont="1" applyFill="1" applyAlignment="1">
      <alignment horizontal="center"/>
    </xf>
    <xf numFmtId="0" fontId="23" fillId="0" borderId="32" xfId="0" applyFont="1" applyBorder="1" applyAlignment="1">
      <alignment horizontal="center" vertical="center"/>
    </xf>
    <xf numFmtId="0" fontId="0" fillId="3" borderId="0" xfId="0" applyFont="1" applyFill="1" applyAlignment="1">
      <alignment horizontal="left" vertical="center"/>
    </xf>
    <xf numFmtId="4" fontId="319" fillId="0" borderId="41" xfId="0" applyNumberFormat="1" applyFont="1" applyFill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61" fillId="2" borderId="16" xfId="0" applyFont="1" applyFill="1" applyBorder="1" applyAlignment="1">
      <alignment horizontal="left" vertical="center"/>
    </xf>
    <xf numFmtId="4" fontId="265" fillId="0" borderId="16" xfId="0" applyNumberFormat="1" applyFont="1" applyBorder="1" applyAlignment="1">
      <alignment horizontal="center" vertical="center"/>
    </xf>
    <xf numFmtId="164" fontId="33" fillId="34" borderId="1" xfId="0" applyNumberFormat="1" applyFont="1" applyFill="1" applyBorder="1" applyAlignment="1">
      <alignment horizontal="left"/>
    </xf>
    <xf numFmtId="165" fontId="19" fillId="34" borderId="0" xfId="2" applyFont="1" applyFill="1"/>
    <xf numFmtId="49" fontId="101" fillId="34" borderId="1" xfId="2" applyNumberFormat="1" applyFont="1" applyFill="1" applyBorder="1" applyAlignment="1">
      <alignment horizontal="center"/>
    </xf>
    <xf numFmtId="0" fontId="101" fillId="34" borderId="1" xfId="0" applyFont="1" applyFill="1" applyBorder="1" applyAlignment="1">
      <alignment horizontal="center"/>
    </xf>
    <xf numFmtId="14" fontId="101" fillId="34" borderId="1" xfId="0" applyNumberFormat="1" applyFont="1" applyFill="1" applyBorder="1" applyAlignment="1">
      <alignment horizontal="center"/>
    </xf>
    <xf numFmtId="165" fontId="101" fillId="34" borderId="1" xfId="2" applyFont="1" applyFill="1" applyBorder="1" applyAlignment="1">
      <alignment horizontal="left"/>
    </xf>
    <xf numFmtId="0" fontId="101" fillId="34" borderId="1" xfId="0" applyFont="1" applyFill="1" applyBorder="1" applyAlignment="1">
      <alignment horizontal="left"/>
    </xf>
    <xf numFmtId="0" fontId="320" fillId="30" borderId="0" xfId="0" applyFont="1" applyFill="1" applyBorder="1" applyAlignment="1">
      <alignment horizontal="left"/>
    </xf>
    <xf numFmtId="0" fontId="320" fillId="30" borderId="0" xfId="0" applyFont="1" applyFill="1" applyBorder="1" applyAlignment="1" applyProtection="1">
      <alignment horizontal="left"/>
      <protection locked="0"/>
    </xf>
    <xf numFmtId="0" fontId="320" fillId="30" borderId="0" xfId="0" applyFont="1" applyFill="1" applyBorder="1" applyProtection="1">
      <protection locked="0"/>
    </xf>
    <xf numFmtId="165" fontId="115" fillId="17" borderId="0" xfId="2" applyFont="1" applyFill="1" applyAlignment="1">
      <alignment horizontal="right"/>
    </xf>
    <xf numFmtId="165" fontId="168" fillId="17" borderId="0" xfId="2" applyFont="1" applyFill="1" applyAlignment="1">
      <alignment horizontal="right"/>
    </xf>
    <xf numFmtId="165" fontId="116" fillId="17" borderId="0" xfId="2" applyFont="1" applyFill="1" applyAlignment="1">
      <alignment horizontal="right"/>
    </xf>
    <xf numFmtId="14" fontId="116" fillId="17" borderId="0" xfId="2" applyNumberFormat="1" applyFont="1" applyFill="1" applyAlignment="1">
      <alignment horizontal="right"/>
    </xf>
    <xf numFmtId="3" fontId="8" fillId="0" borderId="0" xfId="0" applyNumberFormat="1" applyFont="1" applyAlignment="1">
      <alignment horizontal="center"/>
    </xf>
    <xf numFmtId="3" fontId="321" fillId="3" borderId="0" xfId="0" applyNumberFormat="1" applyFont="1" applyFill="1" applyAlignment="1">
      <alignment horizontal="center"/>
    </xf>
    <xf numFmtId="3" fontId="35" fillId="12" borderId="1" xfId="0" applyNumberFormat="1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49" fontId="167" fillId="28" borderId="1" xfId="0" applyNumberFormat="1" applyFont="1" applyFill="1" applyBorder="1" applyAlignment="1">
      <alignment horizontal="center"/>
    </xf>
    <xf numFmtId="0" fontId="33" fillId="28" borderId="24" xfId="0" applyFont="1" applyFill="1" applyBorder="1"/>
    <xf numFmtId="0" fontId="322" fillId="28" borderId="26" xfId="0" applyFont="1" applyFill="1" applyBorder="1" applyAlignment="1">
      <alignment horizontal="left"/>
    </xf>
    <xf numFmtId="0" fontId="0" fillId="13" borderId="31" xfId="0" applyFill="1" applyBorder="1" applyAlignment="1">
      <alignment horizontal="center"/>
    </xf>
    <xf numFmtId="3" fontId="35" fillId="12" borderId="31" xfId="0" applyNumberFormat="1" applyFont="1" applyFill="1" applyBorder="1" applyAlignment="1">
      <alignment horizontal="center" vertical="center"/>
    </xf>
    <xf numFmtId="0" fontId="5" fillId="12" borderId="31" xfId="0" applyFont="1" applyFill="1" applyBorder="1" applyAlignment="1">
      <alignment horizontal="center" vertical="center"/>
    </xf>
    <xf numFmtId="0" fontId="0" fillId="13" borderId="30" xfId="0" applyFill="1" applyBorder="1" applyAlignment="1">
      <alignment horizontal="center"/>
    </xf>
    <xf numFmtId="165" fontId="13" fillId="28" borderId="71" xfId="2" applyFont="1" applyFill="1" applyBorder="1"/>
    <xf numFmtId="0" fontId="323" fillId="28" borderId="69" xfId="0" applyFont="1" applyFill="1" applyBorder="1" applyAlignment="1">
      <alignment horizontal="left"/>
    </xf>
    <xf numFmtId="0" fontId="22" fillId="28" borderId="70" xfId="0" applyFont="1" applyFill="1" applyBorder="1"/>
    <xf numFmtId="0" fontId="9" fillId="13" borderId="1" xfId="0" applyFont="1" applyFill="1" applyBorder="1" applyAlignment="1">
      <alignment horizontal="left"/>
    </xf>
    <xf numFmtId="165" fontId="8" fillId="12" borderId="1" xfId="0" applyNumberFormat="1" applyFont="1" applyFill="1" applyBorder="1"/>
    <xf numFmtId="170" fontId="5" fillId="0" borderId="31" xfId="2" applyNumberFormat="1" applyFont="1" applyBorder="1" applyAlignment="1" applyProtection="1">
      <alignment horizontal="center"/>
      <protection locked="0"/>
    </xf>
    <xf numFmtId="0" fontId="325" fillId="0" borderId="149" xfId="0" applyFont="1" applyBorder="1" applyAlignment="1">
      <alignment horizontal="center" vertical="center"/>
    </xf>
    <xf numFmtId="0" fontId="326" fillId="0" borderId="18" xfId="0" applyFont="1" applyBorder="1" applyAlignment="1">
      <alignment horizontal="center" vertical="center"/>
    </xf>
    <xf numFmtId="9" fontId="326" fillId="0" borderId="18" xfId="0" applyNumberFormat="1" applyFont="1" applyBorder="1" applyAlignment="1">
      <alignment horizontal="center" vertical="center"/>
    </xf>
    <xf numFmtId="3" fontId="326" fillId="0" borderId="18" xfId="0" applyNumberFormat="1" applyFont="1" applyBorder="1" applyAlignment="1">
      <alignment horizontal="center" vertical="center"/>
    </xf>
    <xf numFmtId="4" fontId="326" fillId="0" borderId="18" xfId="0" applyNumberFormat="1" applyFont="1" applyBorder="1" applyAlignment="1">
      <alignment horizontal="center" vertical="center"/>
    </xf>
    <xf numFmtId="0" fontId="325" fillId="0" borderId="22" xfId="0" applyFont="1" applyBorder="1" applyAlignment="1">
      <alignment horizontal="center" vertical="center"/>
    </xf>
    <xf numFmtId="0" fontId="326" fillId="0" borderId="10" xfId="0" applyFont="1" applyBorder="1" applyAlignment="1">
      <alignment horizontal="center" vertical="center"/>
    </xf>
    <xf numFmtId="9" fontId="326" fillId="0" borderId="10" xfId="0" applyNumberFormat="1" applyFont="1" applyBorder="1" applyAlignment="1">
      <alignment horizontal="center" vertical="center"/>
    </xf>
    <xf numFmtId="0" fontId="325" fillId="0" borderId="16" xfId="0" applyFont="1" applyBorder="1" applyAlignment="1">
      <alignment horizontal="center" vertical="center"/>
    </xf>
    <xf numFmtId="0" fontId="326" fillId="0" borderId="13" xfId="0" applyFont="1" applyBorder="1" applyAlignment="1">
      <alignment horizontal="center" vertical="center"/>
    </xf>
    <xf numFmtId="9" fontId="326" fillId="0" borderId="13" xfId="0" applyNumberFormat="1" applyFont="1" applyBorder="1" applyAlignment="1">
      <alignment horizontal="center" vertical="center"/>
    </xf>
    <xf numFmtId="0" fontId="325" fillId="0" borderId="41" xfId="0" applyFont="1" applyBorder="1" applyAlignment="1">
      <alignment horizontal="center" vertical="center"/>
    </xf>
    <xf numFmtId="0" fontId="326" fillId="0" borderId="40" xfId="0" applyFont="1" applyBorder="1" applyAlignment="1">
      <alignment horizontal="center" vertical="center"/>
    </xf>
    <xf numFmtId="9" fontId="326" fillId="0" borderId="40" xfId="0" applyNumberFormat="1" applyFont="1" applyBorder="1" applyAlignment="1">
      <alignment horizontal="center" vertical="center"/>
    </xf>
    <xf numFmtId="9" fontId="324" fillId="0" borderId="40" xfId="0" applyNumberFormat="1" applyFont="1" applyBorder="1" applyAlignment="1">
      <alignment horizontal="center" vertical="center"/>
    </xf>
    <xf numFmtId="3" fontId="325" fillId="0" borderId="18" xfId="0" applyNumberFormat="1" applyFont="1" applyBorder="1" applyAlignment="1">
      <alignment horizontal="center" vertical="center"/>
    </xf>
    <xf numFmtId="0" fontId="325" fillId="0" borderId="40" xfId="0" applyFont="1" applyBorder="1" applyAlignment="1">
      <alignment vertical="center"/>
    </xf>
    <xf numFmtId="0" fontId="325" fillId="0" borderId="40" xfId="0" applyFont="1" applyBorder="1" applyAlignment="1">
      <alignment horizontal="center" vertical="center"/>
    </xf>
    <xf numFmtId="4" fontId="324" fillId="0" borderId="18" xfId="0" applyNumberFormat="1" applyFont="1" applyBorder="1" applyAlignment="1">
      <alignment horizontal="center" vertical="center"/>
    </xf>
    <xf numFmtId="0" fontId="325" fillId="5" borderId="149" xfId="0" applyFont="1" applyFill="1" applyBorder="1" applyAlignment="1">
      <alignment horizontal="center" vertical="center"/>
    </xf>
    <xf numFmtId="0" fontId="325" fillId="5" borderId="18" xfId="0" applyFont="1" applyFill="1" applyBorder="1" applyAlignment="1">
      <alignment horizontal="center" vertical="center"/>
    </xf>
    <xf numFmtId="4" fontId="324" fillId="5" borderId="40" xfId="0" applyNumberFormat="1" applyFont="1" applyFill="1" applyBorder="1" applyAlignment="1">
      <alignment horizontal="center" vertical="center"/>
    </xf>
    <xf numFmtId="0" fontId="328" fillId="30" borderId="0" xfId="0" applyFont="1" applyFill="1"/>
    <xf numFmtId="0" fontId="327" fillId="52" borderId="40" xfId="0" applyFont="1" applyFill="1" applyBorder="1" applyAlignment="1" applyProtection="1">
      <alignment horizontal="center" vertical="center" wrapText="1"/>
      <protection locked="0"/>
    </xf>
    <xf numFmtId="0" fontId="33" fillId="5" borderId="134" xfId="0" applyFont="1" applyFill="1" applyBorder="1" applyAlignment="1">
      <alignment horizontal="left" wrapText="1"/>
    </xf>
    <xf numFmtId="0" fontId="33" fillId="0" borderId="0" xfId="0" applyFont="1" applyAlignment="1">
      <alignment horizontal="right"/>
    </xf>
    <xf numFmtId="165" fontId="33" fillId="0" borderId="0" xfId="2" applyFont="1"/>
    <xf numFmtId="0" fontId="305" fillId="17" borderId="151" xfId="15" applyFont="1" applyFill="1" applyBorder="1" applyAlignment="1">
      <alignment horizontal="left" vertical="center" wrapText="1"/>
    </xf>
    <xf numFmtId="0" fontId="304" fillId="45" borderId="148" xfId="0" applyFont="1" applyFill="1" applyBorder="1"/>
    <xf numFmtId="0" fontId="307" fillId="45" borderId="148" xfId="0" applyFont="1" applyFill="1" applyBorder="1" applyAlignment="1">
      <alignment horizontal="left"/>
    </xf>
    <xf numFmtId="0" fontId="307" fillId="45" borderId="148" xfId="15" applyFont="1" applyFill="1" applyBorder="1" applyAlignment="1">
      <alignment horizontal="left"/>
    </xf>
    <xf numFmtId="0" fontId="309" fillId="45" borderId="148" xfId="0" applyFont="1" applyFill="1" applyBorder="1" applyAlignment="1">
      <alignment horizontal="left"/>
    </xf>
    <xf numFmtId="49" fontId="309" fillId="45" borderId="148" xfId="0" applyNumberFormat="1" applyFont="1" applyFill="1" applyBorder="1" applyAlignment="1">
      <alignment horizontal="left"/>
    </xf>
    <xf numFmtId="165" fontId="309" fillId="45" borderId="148" xfId="2" applyFont="1" applyFill="1" applyBorder="1" applyAlignment="1">
      <alignment horizontal="left"/>
    </xf>
    <xf numFmtId="165" fontId="317" fillId="45" borderId="148" xfId="2" applyFont="1" applyFill="1" applyBorder="1" applyAlignment="1">
      <alignment horizontal="left"/>
    </xf>
    <xf numFmtId="0" fontId="306" fillId="45" borderId="148" xfId="0" applyFont="1" applyFill="1" applyBorder="1" applyAlignment="1"/>
    <xf numFmtId="0" fontId="309" fillId="45" borderId="148" xfId="0" applyFont="1" applyFill="1" applyBorder="1" applyAlignment="1">
      <alignment horizontal="left" vertical="center"/>
    </xf>
    <xf numFmtId="0" fontId="307" fillId="45" borderId="148" xfId="15" applyFont="1" applyFill="1" applyBorder="1" applyAlignment="1">
      <alignment horizontal="left" vertical="center"/>
    </xf>
    <xf numFmtId="0" fontId="309" fillId="45" borderId="148" xfId="0" applyFont="1" applyFill="1" applyBorder="1" applyAlignment="1">
      <alignment horizontal="left" vertical="center" readingOrder="2"/>
    </xf>
    <xf numFmtId="165" fontId="102" fillId="45" borderId="0" xfId="2" applyFont="1" applyFill="1"/>
    <xf numFmtId="0" fontId="329" fillId="18" borderId="148" xfId="0" applyFont="1" applyFill="1" applyBorder="1" applyAlignment="1">
      <alignment horizontal="left"/>
    </xf>
    <xf numFmtId="0" fontId="329" fillId="18" borderId="148" xfId="15" applyFont="1" applyFill="1" applyBorder="1" applyAlignment="1">
      <alignment horizontal="left"/>
    </xf>
    <xf numFmtId="0" fontId="330" fillId="18" borderId="148" xfId="0" applyFont="1" applyFill="1" applyBorder="1" applyAlignment="1">
      <alignment horizontal="left"/>
    </xf>
    <xf numFmtId="49" fontId="330" fillId="18" borderId="148" xfId="0" applyNumberFormat="1" applyFont="1" applyFill="1" applyBorder="1" applyAlignment="1">
      <alignment horizontal="left"/>
    </xf>
    <xf numFmtId="165" fontId="330" fillId="18" borderId="148" xfId="2" applyFont="1" applyFill="1" applyBorder="1" applyAlignment="1">
      <alignment horizontal="left"/>
    </xf>
    <xf numFmtId="165" fontId="36" fillId="18" borderId="148" xfId="2" applyFont="1" applyFill="1" applyBorder="1" applyAlignment="1">
      <alignment horizontal="left"/>
    </xf>
    <xf numFmtId="0" fontId="36" fillId="18" borderId="148" xfId="0" applyFont="1" applyFill="1" applyBorder="1" applyAlignment="1"/>
    <xf numFmtId="165" fontId="331" fillId="18" borderId="0" xfId="2" applyFont="1" applyFill="1"/>
    <xf numFmtId="0" fontId="332" fillId="17" borderId="147" xfId="15" applyFont="1" applyFill="1" applyBorder="1" applyAlignment="1">
      <alignment horizontal="right" vertical="center" wrapText="1"/>
    </xf>
    <xf numFmtId="0" fontId="306" fillId="45" borderId="148" xfId="0" applyFont="1" applyFill="1" applyBorder="1" applyAlignment="1">
      <alignment horizontal="right"/>
    </xf>
    <xf numFmtId="0" fontId="36" fillId="18" borderId="148" xfId="0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14" fontId="305" fillId="17" borderId="147" xfId="15" applyNumberFormat="1" applyFont="1" applyFill="1" applyBorder="1" applyAlignment="1">
      <alignment horizontal="right" vertical="center"/>
    </xf>
    <xf numFmtId="14" fontId="307" fillId="45" borderId="148" xfId="15" applyNumberFormat="1" applyFont="1" applyFill="1" applyBorder="1" applyAlignment="1">
      <alignment horizontal="right"/>
    </xf>
    <xf numFmtId="14" fontId="307" fillId="45" borderId="148" xfId="15" applyNumberFormat="1" applyFont="1" applyFill="1" applyBorder="1" applyAlignment="1">
      <alignment horizontal="right" vertical="center"/>
    </xf>
    <xf numFmtId="14" fontId="329" fillId="18" borderId="148" xfId="15" applyNumberFormat="1" applyFont="1" applyFill="1" applyBorder="1" applyAlignment="1">
      <alignment horizontal="right"/>
    </xf>
    <xf numFmtId="0" fontId="329" fillId="3" borderId="148" xfId="0" applyFont="1" applyFill="1" applyBorder="1" applyAlignment="1">
      <alignment horizontal="left"/>
    </xf>
    <xf numFmtId="0" fontId="329" fillId="3" borderId="148" xfId="15" applyFont="1" applyFill="1" applyBorder="1" applyAlignment="1">
      <alignment horizontal="left"/>
    </xf>
    <xf numFmtId="0" fontId="36" fillId="3" borderId="148" xfId="0" applyFont="1" applyFill="1" applyBorder="1" applyAlignment="1">
      <alignment horizontal="right"/>
    </xf>
    <xf numFmtId="14" fontId="329" fillId="3" borderId="148" xfId="15" applyNumberFormat="1" applyFont="1" applyFill="1" applyBorder="1" applyAlignment="1">
      <alignment horizontal="right"/>
    </xf>
    <xf numFmtId="165" fontId="332" fillId="17" borderId="147" xfId="2" applyFont="1" applyFill="1" applyBorder="1" applyAlignment="1">
      <alignment horizontal="center" vertical="center"/>
    </xf>
    <xf numFmtId="165" fontId="333" fillId="45" borderId="148" xfId="2" applyFont="1" applyFill="1" applyBorder="1" applyAlignment="1">
      <alignment horizontal="left"/>
    </xf>
    <xf numFmtId="165" fontId="333" fillId="45" borderId="148" xfId="2" applyFont="1" applyFill="1" applyBorder="1" applyAlignment="1">
      <alignment horizontal="left" vertical="center"/>
    </xf>
    <xf numFmtId="165" fontId="129" fillId="18" borderId="148" xfId="2" applyFont="1" applyFill="1" applyBorder="1" applyAlignment="1">
      <alignment horizontal="left"/>
    </xf>
    <xf numFmtId="0" fontId="36" fillId="3" borderId="148" xfId="0" applyFont="1" applyFill="1" applyBorder="1"/>
    <xf numFmtId="165" fontId="129" fillId="3" borderId="148" xfId="2" applyFont="1" applyFill="1" applyBorder="1" applyAlignment="1">
      <alignment horizontal="left"/>
    </xf>
    <xf numFmtId="0" fontId="329" fillId="3" borderId="148" xfId="15" applyFont="1" applyFill="1" applyBorder="1" applyAlignment="1">
      <alignment horizontal="left" vertical="center"/>
    </xf>
    <xf numFmtId="165" fontId="129" fillId="3" borderId="148" xfId="2" applyFont="1" applyFill="1" applyBorder="1" applyAlignment="1">
      <alignment horizontal="left" vertical="center"/>
    </xf>
    <xf numFmtId="0" fontId="334" fillId="0" borderId="0" xfId="0" applyFont="1" applyAlignment="1">
      <alignment vertical="top"/>
    </xf>
    <xf numFmtId="0" fontId="334" fillId="0" borderId="0" xfId="0" applyFont="1" applyAlignment="1">
      <alignment vertical="center" textRotation="180"/>
    </xf>
    <xf numFmtId="165" fontId="143" fillId="17" borderId="0" xfId="0" applyNumberFormat="1" applyFont="1" applyFill="1"/>
    <xf numFmtId="0" fontId="0" fillId="47" borderId="0" xfId="0" applyNumberFormat="1" applyFill="1"/>
    <xf numFmtId="0" fontId="194" fillId="17" borderId="59" xfId="0" applyNumberFormat="1" applyFont="1" applyFill="1" applyBorder="1" applyAlignment="1">
      <alignment horizontal="center" vertical="center"/>
    </xf>
    <xf numFmtId="0" fontId="192" fillId="25" borderId="0" xfId="2" applyNumberFormat="1" applyFont="1" applyFill="1" applyAlignment="1">
      <alignment horizontal="center"/>
    </xf>
    <xf numFmtId="0" fontId="0" fillId="0" borderId="0" xfId="0" applyNumberFormat="1"/>
    <xf numFmtId="0" fontId="26" fillId="22" borderId="1" xfId="0" applyFont="1" applyFill="1" applyBorder="1" applyAlignment="1">
      <alignment vertical="center"/>
    </xf>
    <xf numFmtId="165" fontId="22" fillId="34" borderId="0" xfId="0" applyNumberFormat="1" applyFont="1" applyFill="1"/>
    <xf numFmtId="0" fontId="8" fillId="17" borderId="0" xfId="0" applyFont="1" applyFill="1" applyAlignment="1">
      <alignment horizontal="center"/>
    </xf>
    <xf numFmtId="0" fontId="292" fillId="0" borderId="0" xfId="0" applyFont="1" applyAlignment="1">
      <alignment vertical="top"/>
    </xf>
    <xf numFmtId="0" fontId="28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335" fillId="0" borderId="0" xfId="0" applyFont="1" applyAlignment="1">
      <alignment horizontal="center" vertical="top"/>
    </xf>
    <xf numFmtId="0" fontId="337" fillId="61" borderId="149" xfId="0" applyFont="1" applyFill="1" applyBorder="1" applyAlignment="1">
      <alignment horizontal="center" vertical="center"/>
    </xf>
    <xf numFmtId="0" fontId="337" fillId="61" borderId="18" xfId="0" applyFont="1" applyFill="1" applyBorder="1" applyAlignment="1">
      <alignment horizontal="center" vertical="center"/>
    </xf>
    <xf numFmtId="0" fontId="338" fillId="0" borderId="22" xfId="0" applyFont="1" applyBorder="1" applyAlignment="1">
      <alignment horizontal="center" vertical="center"/>
    </xf>
    <xf numFmtId="0" fontId="339" fillId="62" borderId="10" xfId="0" applyFont="1" applyFill="1" applyBorder="1" applyAlignment="1">
      <alignment horizontal="center" vertical="center"/>
    </xf>
    <xf numFmtId="0" fontId="340" fillId="0" borderId="18" xfId="0" applyFont="1" applyBorder="1" applyAlignment="1">
      <alignment vertical="center"/>
    </xf>
    <xf numFmtId="0" fontId="338" fillId="0" borderId="152" xfId="0" applyFont="1" applyBorder="1" applyAlignment="1">
      <alignment horizontal="center" vertical="center"/>
    </xf>
    <xf numFmtId="0" fontId="339" fillId="62" borderId="153" xfId="0" applyFont="1" applyFill="1" applyBorder="1" applyAlignment="1">
      <alignment horizontal="center" vertical="center"/>
    </xf>
    <xf numFmtId="0" fontId="339" fillId="62" borderId="152" xfId="0" applyFont="1" applyFill="1" applyBorder="1" applyAlignment="1">
      <alignment horizontal="center" vertical="center"/>
    </xf>
    <xf numFmtId="0" fontId="339" fillId="62" borderId="41" xfId="0" applyFont="1" applyFill="1" applyBorder="1" applyAlignment="1">
      <alignment horizontal="center" vertical="center"/>
    </xf>
    <xf numFmtId="0" fontId="338" fillId="0" borderId="41" xfId="0" applyFont="1" applyBorder="1" applyAlignment="1">
      <alignment horizontal="center" vertical="center"/>
    </xf>
    <xf numFmtId="0" fontId="340" fillId="0" borderId="0" xfId="0" applyFont="1" applyFill="1" applyBorder="1" applyAlignment="1">
      <alignment vertical="center"/>
    </xf>
    <xf numFmtId="165" fontId="56" fillId="2" borderId="30" xfId="2" applyFont="1" applyFill="1" applyBorder="1" applyAlignment="1">
      <alignment horizontal="left" vertical="center"/>
    </xf>
    <xf numFmtId="0" fontId="27" fillId="31" borderId="0" xfId="0" applyFont="1" applyFill="1"/>
    <xf numFmtId="0" fontId="341" fillId="31" borderId="0" xfId="0" applyFont="1" applyFill="1"/>
    <xf numFmtId="3" fontId="342" fillId="0" borderId="40" xfId="0" applyNumberFormat="1" applyFont="1" applyBorder="1" applyAlignment="1">
      <alignment horizontal="center" vertical="center"/>
    </xf>
    <xf numFmtId="0" fontId="342" fillId="0" borderId="149" xfId="0" applyFont="1" applyBorder="1" applyAlignment="1">
      <alignment horizontal="center" vertical="center"/>
    </xf>
    <xf numFmtId="0" fontId="342" fillId="0" borderId="18" xfId="0" applyFont="1" applyBorder="1" applyAlignment="1">
      <alignment horizontal="center" vertical="center"/>
    </xf>
    <xf numFmtId="0" fontId="343" fillId="0" borderId="149" xfId="0" applyFont="1" applyBorder="1" applyAlignment="1">
      <alignment horizontal="center" vertical="center"/>
    </xf>
    <xf numFmtId="0" fontId="344" fillId="0" borderId="18" xfId="0" applyFont="1" applyBorder="1" applyAlignment="1">
      <alignment horizontal="center" vertical="center"/>
    </xf>
    <xf numFmtId="9" fontId="344" fillId="0" borderId="18" xfId="0" applyNumberFormat="1" applyFont="1" applyBorder="1" applyAlignment="1">
      <alignment horizontal="center" vertical="center"/>
    </xf>
    <xf numFmtId="3" fontId="344" fillId="0" borderId="18" xfId="0" applyNumberFormat="1" applyFont="1" applyBorder="1" applyAlignment="1">
      <alignment horizontal="center" vertical="center"/>
    </xf>
    <xf numFmtId="0" fontId="344" fillId="0" borderId="18" xfId="0" applyFont="1" applyBorder="1" applyAlignment="1">
      <alignment vertical="center"/>
    </xf>
    <xf numFmtId="0" fontId="343" fillId="0" borderId="22" xfId="0" applyFont="1" applyBorder="1" applyAlignment="1">
      <alignment horizontal="center" vertical="center"/>
    </xf>
    <xf numFmtId="0" fontId="344" fillId="0" borderId="10" xfId="0" applyFont="1" applyBorder="1" applyAlignment="1">
      <alignment horizontal="center" vertical="center"/>
    </xf>
    <xf numFmtId="9" fontId="344" fillId="0" borderId="10" xfId="0" applyNumberFormat="1" applyFont="1" applyBorder="1" applyAlignment="1">
      <alignment horizontal="center" vertical="center"/>
    </xf>
    <xf numFmtId="0" fontId="343" fillId="0" borderId="16" xfId="0" applyFont="1" applyBorder="1" applyAlignment="1">
      <alignment horizontal="center" vertical="center"/>
    </xf>
    <xf numFmtId="0" fontId="344" fillId="0" borderId="13" xfId="0" applyFont="1" applyBorder="1" applyAlignment="1">
      <alignment horizontal="center" vertical="center"/>
    </xf>
    <xf numFmtId="9" fontId="344" fillId="0" borderId="13" xfId="0" applyNumberFormat="1" applyFont="1" applyBorder="1" applyAlignment="1">
      <alignment horizontal="center" vertical="center"/>
    </xf>
    <xf numFmtId="0" fontId="343" fillId="0" borderId="41" xfId="0" applyFont="1" applyBorder="1" applyAlignment="1">
      <alignment horizontal="center" vertical="center"/>
    </xf>
    <xf numFmtId="0" fontId="344" fillId="0" borderId="40" xfId="0" applyFont="1" applyBorder="1" applyAlignment="1">
      <alignment horizontal="center" vertical="center"/>
    </xf>
    <xf numFmtId="9" fontId="344" fillId="0" borderId="40" xfId="0" applyNumberFormat="1" applyFont="1" applyBorder="1" applyAlignment="1">
      <alignment horizontal="center" vertical="center"/>
    </xf>
    <xf numFmtId="9" fontId="342" fillId="0" borderId="18" xfId="0" applyNumberFormat="1" applyFont="1" applyBorder="1" applyAlignment="1">
      <alignment horizontal="center" vertical="center"/>
    </xf>
    <xf numFmtId="3" fontId="342" fillId="0" borderId="18" xfId="0" applyNumberFormat="1" applyFont="1" applyBorder="1" applyAlignment="1">
      <alignment horizontal="center" vertical="center"/>
    </xf>
    <xf numFmtId="0" fontId="342" fillId="0" borderId="15" xfId="0" applyFont="1" applyBorder="1" applyAlignment="1">
      <alignment vertical="center"/>
    </xf>
    <xf numFmtId="0" fontId="342" fillId="0" borderId="15" xfId="0" applyFont="1" applyBorder="1" applyAlignment="1">
      <alignment horizontal="center" vertical="center"/>
    </xf>
    <xf numFmtId="3" fontId="342" fillId="0" borderId="149" xfId="0" applyNumberFormat="1" applyFont="1" applyBorder="1" applyAlignment="1">
      <alignment horizontal="center" vertical="center"/>
    </xf>
    <xf numFmtId="14" fontId="23" fillId="32" borderId="0" xfId="0" applyNumberFormat="1" applyFont="1" applyFill="1"/>
    <xf numFmtId="165" fontId="23" fillId="32" borderId="0" xfId="2" applyFont="1" applyFill="1"/>
    <xf numFmtId="165" fontId="23" fillId="32" borderId="0" xfId="0" applyNumberFormat="1" applyFont="1" applyFill="1"/>
    <xf numFmtId="0" fontId="34" fillId="17" borderId="8" xfId="1" applyNumberFormat="1" applyFont="1" applyFill="1" applyBorder="1" applyAlignment="1">
      <alignment horizontal="left" vertical="center"/>
    </xf>
    <xf numFmtId="167" fontId="29" fillId="17" borderId="8" xfId="4" applyNumberFormat="1" applyFill="1" applyBorder="1" applyAlignment="1">
      <alignment horizontal="left" vertical="center"/>
    </xf>
    <xf numFmtId="165" fontId="180" fillId="47" borderId="0" xfId="2" applyFont="1" applyFill="1" applyAlignment="1"/>
    <xf numFmtId="165" fontId="194" fillId="17" borderId="59" xfId="2" applyFont="1" applyFill="1" applyBorder="1" applyAlignment="1">
      <alignment horizontal="center"/>
    </xf>
    <xf numFmtId="165" fontId="195" fillId="26" borderId="30" xfId="2" applyFont="1" applyFill="1" applyBorder="1" applyAlignment="1">
      <alignment horizontal="center"/>
    </xf>
    <xf numFmtId="165" fontId="195" fillId="30" borderId="30" xfId="2" applyFont="1" applyFill="1" applyBorder="1" applyAlignment="1">
      <alignment horizontal="center"/>
    </xf>
    <xf numFmtId="0" fontId="33" fillId="63" borderId="1" xfId="0" applyFont="1" applyFill="1" applyBorder="1" applyAlignment="1">
      <alignment horizontal="left"/>
    </xf>
    <xf numFmtId="14" fontId="33" fillId="63" borderId="1" xfId="0" applyNumberFormat="1" applyFont="1" applyFill="1" applyBorder="1" applyAlignment="1">
      <alignment horizontal="left"/>
    </xf>
    <xf numFmtId="1" fontId="33" fillId="63" borderId="1" xfId="2" applyNumberFormat="1" applyFont="1" applyFill="1" applyBorder="1" applyAlignment="1">
      <alignment horizontal="left"/>
    </xf>
    <xf numFmtId="165" fontId="33" fillId="63" borderId="1" xfId="2" applyNumberFormat="1" applyFont="1" applyFill="1" applyBorder="1" applyAlignment="1">
      <alignment horizontal="left"/>
    </xf>
    <xf numFmtId="165" fontId="33" fillId="63" borderId="1" xfId="2" applyFont="1" applyFill="1" applyBorder="1" applyAlignment="1">
      <alignment horizontal="left"/>
    </xf>
    <xf numFmtId="9" fontId="83" fillId="16" borderId="0" xfId="3" applyFont="1" applyFill="1" applyBorder="1" applyAlignment="1">
      <alignment horizontal="center" vertical="top"/>
    </xf>
    <xf numFmtId="9" fontId="6" fillId="31" borderId="0" xfId="3" applyFont="1" applyFill="1" applyAlignment="1">
      <alignment horizontal="center"/>
    </xf>
    <xf numFmtId="9" fontId="101" fillId="32" borderId="148" xfId="3" applyFont="1" applyFill="1" applyBorder="1" applyAlignment="1">
      <alignment horizontal="center"/>
    </xf>
    <xf numFmtId="9" fontId="6" fillId="0" borderId="0" xfId="3" applyFont="1" applyAlignment="1">
      <alignment horizontal="center"/>
    </xf>
    <xf numFmtId="0" fontId="317" fillId="17" borderId="148" xfId="0" applyFont="1" applyFill="1" applyBorder="1" applyAlignment="1">
      <alignment horizontal="left"/>
    </xf>
    <xf numFmtId="0" fontId="177" fillId="5" borderId="148" xfId="0" applyFont="1" applyFill="1" applyBorder="1" applyAlignment="1">
      <alignment horizontal="left"/>
    </xf>
    <xf numFmtId="0" fontId="177" fillId="5" borderId="148" xfId="15" applyFont="1" applyFill="1" applyBorder="1" applyAlignment="1">
      <alignment horizontal="left"/>
    </xf>
    <xf numFmtId="0" fontId="177" fillId="5" borderId="148" xfId="15" applyFont="1" applyFill="1" applyBorder="1" applyAlignment="1">
      <alignment horizontal="left" vertical="center"/>
    </xf>
    <xf numFmtId="165" fontId="346" fillId="18" borderId="148" xfId="2" applyFont="1" applyFill="1" applyBorder="1" applyAlignment="1">
      <alignment horizontal="left"/>
    </xf>
    <xf numFmtId="165" fontId="242" fillId="5" borderId="148" xfId="2" applyFont="1" applyFill="1" applyBorder="1" applyAlignment="1">
      <alignment horizontal="left"/>
    </xf>
    <xf numFmtId="9" fontId="347" fillId="12" borderId="148" xfId="3" applyFont="1" applyFill="1" applyBorder="1" applyAlignment="1">
      <alignment horizontal="center"/>
    </xf>
    <xf numFmtId="0" fontId="317" fillId="17" borderId="155" xfId="0" applyFont="1" applyFill="1" applyBorder="1" applyAlignment="1">
      <alignment horizontal="left"/>
    </xf>
    <xf numFmtId="0" fontId="177" fillId="5" borderId="155" xfId="15" applyFont="1" applyFill="1" applyBorder="1" applyAlignment="1">
      <alignment horizontal="left"/>
    </xf>
    <xf numFmtId="165" fontId="346" fillId="18" borderId="155" xfId="2" applyFont="1" applyFill="1" applyBorder="1" applyAlignment="1">
      <alignment horizontal="left"/>
    </xf>
    <xf numFmtId="9" fontId="347" fillId="12" borderId="155" xfId="3" applyFont="1" applyFill="1" applyBorder="1" applyAlignment="1">
      <alignment horizontal="center"/>
    </xf>
    <xf numFmtId="0" fontId="317" fillId="17" borderId="156" xfId="0" applyFont="1" applyFill="1" applyBorder="1" applyAlignment="1">
      <alignment horizontal="left"/>
    </xf>
    <xf numFmtId="0" fontId="177" fillId="5" borderId="156" xfId="0" applyFont="1" applyFill="1" applyBorder="1" applyAlignment="1">
      <alignment horizontal="left"/>
    </xf>
    <xf numFmtId="0" fontId="177" fillId="5" borderId="156" xfId="15" applyFont="1" applyFill="1" applyBorder="1" applyAlignment="1">
      <alignment horizontal="left"/>
    </xf>
    <xf numFmtId="165" fontId="346" fillId="18" borderId="156" xfId="2" applyFont="1" applyFill="1" applyBorder="1" applyAlignment="1">
      <alignment horizontal="left"/>
    </xf>
    <xf numFmtId="165" fontId="242" fillId="5" borderId="156" xfId="2" applyFont="1" applyFill="1" applyBorder="1" applyAlignment="1">
      <alignment horizontal="left"/>
    </xf>
    <xf numFmtId="9" fontId="347" fillId="12" borderId="156" xfId="3" applyFont="1" applyFill="1" applyBorder="1" applyAlignment="1">
      <alignment horizontal="center"/>
    </xf>
    <xf numFmtId="165" fontId="75" fillId="10" borderId="155" xfId="2" applyFont="1" applyFill="1" applyBorder="1" applyAlignment="1">
      <alignment horizontal="center" vertical="center"/>
    </xf>
    <xf numFmtId="165" fontId="75" fillId="10" borderId="155" xfId="2" applyFont="1" applyFill="1" applyBorder="1" applyAlignment="1">
      <alignment horizontal="left" vertical="center"/>
    </xf>
    <xf numFmtId="0" fontId="348" fillId="45" borderId="147" xfId="15" applyFont="1" applyFill="1" applyBorder="1" applyAlignment="1">
      <alignment horizontal="center" vertical="center" wrapText="1"/>
    </xf>
    <xf numFmtId="9" fontId="348" fillId="45" borderId="147" xfId="3" applyFont="1" applyFill="1" applyBorder="1" applyAlignment="1">
      <alignment horizontal="center" vertical="center" wrapText="1"/>
    </xf>
    <xf numFmtId="0" fontId="186" fillId="31" borderId="0" xfId="0" applyFont="1" applyFill="1"/>
    <xf numFmtId="0" fontId="349" fillId="31" borderId="0" xfId="0" applyFont="1" applyFill="1"/>
    <xf numFmtId="0" fontId="350" fillId="31" borderId="0" xfId="0" applyFont="1" applyFill="1" applyAlignment="1">
      <alignment horizontal="left"/>
    </xf>
    <xf numFmtId="165" fontId="352" fillId="15" borderId="155" xfId="2" applyFont="1" applyFill="1" applyBorder="1" applyAlignment="1">
      <alignment horizontal="left" vertical="center"/>
    </xf>
    <xf numFmtId="0" fontId="353" fillId="5" borderId="148" xfId="0" applyFont="1" applyFill="1" applyBorder="1" applyAlignment="1">
      <alignment horizontal="left"/>
    </xf>
    <xf numFmtId="0" fontId="353" fillId="5" borderId="148" xfId="15" applyFont="1" applyFill="1" applyBorder="1" applyAlignment="1">
      <alignment horizontal="left"/>
    </xf>
    <xf numFmtId="0" fontId="353" fillId="5" borderId="148" xfId="15" applyFont="1" applyFill="1" applyBorder="1" applyAlignment="1">
      <alignment horizontal="left" vertical="center"/>
    </xf>
    <xf numFmtId="0" fontId="49" fillId="21" borderId="148" xfId="0" applyFont="1" applyFill="1" applyBorder="1" applyAlignment="1">
      <alignment horizontal="center"/>
    </xf>
    <xf numFmtId="0" fontId="305" fillId="32" borderId="147" xfId="15" applyFont="1" applyFill="1" applyBorder="1" applyAlignment="1">
      <alignment horizontal="center" vertical="center" wrapText="1"/>
    </xf>
    <xf numFmtId="0" fontId="305" fillId="17" borderId="102" xfId="0" applyFont="1" applyFill="1" applyBorder="1" applyAlignment="1">
      <alignment horizontal="left"/>
    </xf>
    <xf numFmtId="0" fontId="305" fillId="17" borderId="102" xfId="0" applyFont="1" applyFill="1" applyBorder="1" applyAlignment="1">
      <alignment horizontal="right"/>
    </xf>
    <xf numFmtId="14" fontId="101" fillId="32" borderId="1" xfId="2" applyNumberFormat="1" applyFont="1" applyFill="1" applyBorder="1" applyAlignment="1">
      <alignment horizontal="center"/>
    </xf>
    <xf numFmtId="165" fontId="354" fillId="17" borderId="0" xfId="2" applyFont="1" applyFill="1" applyAlignment="1">
      <alignment horizontal="right"/>
    </xf>
    <xf numFmtId="3" fontId="355" fillId="3" borderId="0" xfId="0" applyNumberFormat="1" applyFont="1" applyFill="1" applyBorder="1" applyAlignment="1" applyProtection="1">
      <alignment horizontal="center"/>
      <protection locked="0"/>
    </xf>
    <xf numFmtId="165" fontId="33" fillId="14" borderId="60" xfId="2" applyNumberFormat="1" applyFont="1" applyFill="1" applyBorder="1" applyAlignment="1">
      <alignment horizontal="left"/>
    </xf>
    <xf numFmtId="165" fontId="33" fillId="18" borderId="1" xfId="2" applyFont="1" applyFill="1" applyBorder="1" applyAlignment="1">
      <alignment horizontal="left"/>
    </xf>
    <xf numFmtId="0" fontId="5" fillId="3" borderId="0" xfId="0" applyFont="1" applyFill="1"/>
    <xf numFmtId="170" fontId="6" fillId="0" borderId="1" xfId="2" applyNumberFormat="1" applyFont="1" applyBorder="1"/>
    <xf numFmtId="170" fontId="6" fillId="0" borderId="31" xfId="2" applyNumberFormat="1" applyFont="1" applyBorder="1"/>
    <xf numFmtId="166" fontId="116" fillId="17" borderId="0" xfId="2" applyNumberFormat="1" applyFont="1" applyFill="1"/>
    <xf numFmtId="165" fontId="354" fillId="17" borderId="0" xfId="2" applyFont="1" applyFill="1"/>
    <xf numFmtId="0" fontId="33" fillId="63" borderId="30" xfId="0" applyFont="1" applyFill="1" applyBorder="1" applyAlignment="1">
      <alignment horizontal="left"/>
    </xf>
    <xf numFmtId="14" fontId="33" fillId="63" borderId="30" xfId="0" applyNumberFormat="1" applyFont="1" applyFill="1" applyBorder="1" applyAlignment="1">
      <alignment horizontal="left"/>
    </xf>
    <xf numFmtId="1" fontId="33" fillId="63" borderId="58" xfId="2" applyNumberFormat="1" applyFont="1" applyFill="1" applyBorder="1" applyAlignment="1">
      <alignment horizontal="left"/>
    </xf>
    <xf numFmtId="165" fontId="19" fillId="63" borderId="1" xfId="2" applyFont="1" applyFill="1" applyBorder="1" applyAlignment="1">
      <alignment horizontal="center"/>
    </xf>
    <xf numFmtId="4" fontId="23" fillId="20" borderId="0" xfId="0" applyNumberFormat="1" applyFont="1" applyFill="1"/>
    <xf numFmtId="165" fontId="36" fillId="4" borderId="0" xfId="2" applyFont="1" applyFill="1"/>
    <xf numFmtId="165" fontId="216" fillId="31" borderId="0" xfId="2" applyFont="1" applyFill="1" applyBorder="1" applyAlignment="1">
      <alignment horizontal="center" vertical="center"/>
    </xf>
    <xf numFmtId="9" fontId="201" fillId="45" borderId="92" xfId="3" applyFont="1" applyFill="1" applyBorder="1" applyAlignment="1">
      <alignment vertical="center"/>
    </xf>
    <xf numFmtId="0" fontId="23" fillId="32" borderId="0" xfId="0" applyFont="1" applyFill="1" applyAlignment="1">
      <alignment vertical="center"/>
    </xf>
    <xf numFmtId="4" fontId="8" fillId="0" borderId="21" xfId="0" applyNumberFormat="1" applyFont="1" applyBorder="1" applyAlignment="1">
      <alignment horizontal="center" vertical="center"/>
    </xf>
    <xf numFmtId="0" fontId="65" fillId="45" borderId="0" xfId="0" applyFont="1" applyFill="1"/>
    <xf numFmtId="14" fontId="33" fillId="3" borderId="0" xfId="0" applyNumberFormat="1" applyFont="1" applyFill="1"/>
    <xf numFmtId="0" fontId="27" fillId="17" borderId="0" xfId="0" applyFont="1" applyFill="1"/>
    <xf numFmtId="49" fontId="121" fillId="28" borderId="1" xfId="0" applyNumberFormat="1" applyFont="1" applyFill="1" applyBorder="1" applyAlignment="1">
      <alignment horizontal="center"/>
    </xf>
    <xf numFmtId="0" fontId="5" fillId="13" borderId="1" xfId="0" applyFont="1" applyFill="1" applyBorder="1" applyAlignment="1">
      <alignment horizontal="center" vertical="center"/>
    </xf>
    <xf numFmtId="165" fontId="116" fillId="17" borderId="0" xfId="2" applyFont="1" applyFill="1" applyAlignment="1">
      <alignment horizontal="left"/>
    </xf>
    <xf numFmtId="0" fontId="19" fillId="11" borderId="21" xfId="0" applyFont="1" applyFill="1" applyBorder="1" applyAlignment="1">
      <alignment horizontal="left"/>
    </xf>
    <xf numFmtId="0" fontId="0" fillId="2" borderId="1" xfId="0" applyFill="1" applyBorder="1" applyAlignment="1">
      <alignment vertical="center"/>
    </xf>
    <xf numFmtId="49" fontId="121" fillId="5" borderId="1" xfId="0" applyNumberFormat="1" applyFont="1" applyFill="1" applyBorder="1" applyAlignment="1">
      <alignment horizontal="center" vertical="center"/>
    </xf>
    <xf numFmtId="0" fontId="26" fillId="4" borderId="1" xfId="2" applyNumberFormat="1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165" fontId="84" fillId="5" borderId="1" xfId="2" applyFont="1" applyFill="1" applyBorder="1" applyAlignment="1">
      <alignment horizontal="left" vertical="center"/>
    </xf>
    <xf numFmtId="0" fontId="0" fillId="19" borderId="0" xfId="0" applyFill="1" applyAlignment="1">
      <alignment vertical="center"/>
    </xf>
    <xf numFmtId="0" fontId="26" fillId="7" borderId="1" xfId="2" applyNumberFormat="1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vertical="center"/>
    </xf>
    <xf numFmtId="0" fontId="0" fillId="13" borderId="31" xfId="0" applyFill="1" applyBorder="1" applyAlignment="1">
      <alignment horizontal="center" vertical="center"/>
    </xf>
    <xf numFmtId="165" fontId="269" fillId="7" borderId="1" xfId="2" applyFont="1" applyFill="1" applyBorder="1" applyAlignment="1">
      <alignment horizontal="center" vertical="center"/>
    </xf>
    <xf numFmtId="174" fontId="94" fillId="4" borderId="1" xfId="0" applyNumberFormat="1" applyFont="1" applyFill="1" applyBorder="1" applyAlignment="1">
      <alignment horizontal="center" vertical="center"/>
    </xf>
    <xf numFmtId="0" fontId="359" fillId="20" borderId="1" xfId="0" applyFont="1" applyFill="1" applyBorder="1" applyAlignment="1">
      <alignment horizontal="right"/>
    </xf>
    <xf numFmtId="0" fontId="360" fillId="28" borderId="69" xfId="0" applyFont="1" applyFill="1" applyBorder="1" applyAlignment="1">
      <alignment horizontal="right"/>
    </xf>
    <xf numFmtId="0" fontId="8" fillId="12" borderId="1" xfId="0" applyFont="1" applyFill="1" applyBorder="1"/>
    <xf numFmtId="190" fontId="0" fillId="19" borderId="0" xfId="0" applyNumberFormat="1" applyFill="1" applyAlignment="1">
      <alignment vertical="center"/>
    </xf>
    <xf numFmtId="174" fontId="19" fillId="21" borderId="0" xfId="2" applyNumberFormat="1" applyFont="1" applyFill="1"/>
    <xf numFmtId="174" fontId="101" fillId="32" borderId="1" xfId="2" applyNumberFormat="1" applyFont="1" applyFill="1" applyBorder="1" applyAlignment="1">
      <alignment horizontal="left"/>
    </xf>
    <xf numFmtId="179" fontId="362" fillId="0" borderId="30" xfId="2" applyNumberFormat="1" applyFont="1" applyBorder="1" applyAlignment="1" applyProtection="1">
      <alignment horizontal="center"/>
      <protection locked="0"/>
    </xf>
    <xf numFmtId="170" fontId="361" fillId="5" borderId="1" xfId="2" applyNumberFormat="1" applyFont="1" applyFill="1" applyBorder="1" applyAlignment="1" applyProtection="1">
      <alignment horizontal="center"/>
      <protection locked="0"/>
    </xf>
    <xf numFmtId="49" fontId="33" fillId="20" borderId="1" xfId="0" applyNumberFormat="1" applyFont="1" applyFill="1" applyBorder="1" applyAlignment="1">
      <alignment horizontal="center"/>
    </xf>
    <xf numFmtId="0" fontId="5" fillId="13" borderId="31" xfId="0" applyFont="1" applyFill="1" applyBorder="1" applyAlignment="1">
      <alignment horizontal="center" vertical="center"/>
    </xf>
    <xf numFmtId="4" fontId="96" fillId="0" borderId="21" xfId="0" applyNumberFormat="1" applyFont="1" applyBorder="1" applyAlignment="1">
      <alignment horizontal="center" vertical="center"/>
    </xf>
    <xf numFmtId="3" fontId="364" fillId="0" borderId="40" xfId="0" applyNumberFormat="1" applyFont="1" applyBorder="1" applyAlignment="1">
      <alignment horizontal="center" vertical="center"/>
    </xf>
    <xf numFmtId="9" fontId="23" fillId="32" borderId="0" xfId="3" applyFont="1" applyFill="1"/>
    <xf numFmtId="0" fontId="6" fillId="31" borderId="0" xfId="0" applyFont="1" applyFill="1"/>
    <xf numFmtId="0" fontId="366" fillId="31" borderId="0" xfId="0" applyFont="1" applyFill="1"/>
    <xf numFmtId="165" fontId="33" fillId="0" borderId="60" xfId="2" applyFont="1" applyFill="1" applyBorder="1" applyAlignment="1">
      <alignment horizontal="left"/>
    </xf>
    <xf numFmtId="4" fontId="0" fillId="30" borderId="0" xfId="0" applyNumberFormat="1" applyFill="1" applyAlignment="1"/>
    <xf numFmtId="0" fontId="263" fillId="3" borderId="0" xfId="0" applyFont="1" applyFill="1" applyAlignment="1">
      <alignment vertical="center"/>
    </xf>
    <xf numFmtId="165" fontId="0" fillId="3" borderId="0" xfId="2" applyFont="1" applyFill="1" applyAlignment="1" applyProtection="1">
      <alignment horizontal="center"/>
      <protection locked="0"/>
    </xf>
    <xf numFmtId="165" fontId="0" fillId="3" borderId="0" xfId="0" applyNumberFormat="1" applyFill="1" applyAlignment="1" applyProtection="1">
      <alignment horizontal="center"/>
      <protection locked="0"/>
    </xf>
    <xf numFmtId="0" fontId="369" fillId="4" borderId="0" xfId="0" applyFont="1" applyFill="1" applyBorder="1" applyAlignment="1">
      <alignment vertical="top"/>
    </xf>
    <xf numFmtId="0" fontId="370" fillId="4" borderId="0" xfId="0" applyFont="1" applyFill="1" applyBorder="1" applyAlignment="1">
      <alignment vertical="top"/>
    </xf>
    <xf numFmtId="0" fontId="371" fillId="4" borderId="0" xfId="0" applyFont="1" applyFill="1"/>
    <xf numFmtId="0" fontId="372" fillId="4" borderId="0" xfId="0" applyFont="1" applyFill="1"/>
    <xf numFmtId="0" fontId="373" fillId="4" borderId="147" xfId="15" applyFont="1" applyFill="1" applyBorder="1" applyAlignment="1">
      <alignment horizontal="left" vertical="center" wrapText="1"/>
    </xf>
    <xf numFmtId="0" fontId="373" fillId="4" borderId="147" xfId="15" applyFont="1" applyFill="1" applyBorder="1" applyAlignment="1">
      <alignment horizontal="center" vertical="center" wrapText="1"/>
    </xf>
    <xf numFmtId="0" fontId="373" fillId="4" borderId="147" xfId="15" applyFont="1" applyFill="1" applyBorder="1" applyAlignment="1">
      <alignment horizontal="center" vertical="center"/>
    </xf>
    <xf numFmtId="0" fontId="374" fillId="4" borderId="148" xfId="0" applyFont="1" applyFill="1" applyBorder="1" applyAlignment="1"/>
    <xf numFmtId="14" fontId="374" fillId="4" borderId="148" xfId="0" applyNumberFormat="1" applyFont="1" applyFill="1" applyBorder="1" applyAlignment="1"/>
    <xf numFmtId="165" fontId="374" fillId="4" borderId="148" xfId="2" applyFont="1" applyFill="1" applyBorder="1" applyAlignment="1"/>
    <xf numFmtId="165" fontId="374" fillId="4" borderId="148" xfId="2" applyFont="1" applyFill="1" applyBorder="1" applyAlignment="1">
      <alignment horizontal="left"/>
    </xf>
    <xf numFmtId="0" fontId="299" fillId="16" borderId="0" xfId="0" applyFont="1" applyFill="1" applyBorder="1" applyAlignment="1">
      <alignment horizontal="left" vertical="top"/>
    </xf>
    <xf numFmtId="0" fontId="6" fillId="31" borderId="0" xfId="0" applyFont="1" applyFill="1" applyAlignment="1">
      <alignment horizontal="left"/>
    </xf>
    <xf numFmtId="0" fontId="366" fillId="31" borderId="0" xfId="0" applyFont="1" applyFill="1" applyAlignment="1">
      <alignment horizontal="left"/>
    </xf>
    <xf numFmtId="0" fontId="305" fillId="17" borderId="147" xfId="15" applyFont="1" applyFill="1" applyBorder="1" applyAlignment="1">
      <alignment horizontal="left" vertical="center"/>
    </xf>
    <xf numFmtId="10" fontId="23" fillId="32" borderId="0" xfId="3" applyNumberFormat="1" applyFont="1" applyFill="1"/>
    <xf numFmtId="0" fontId="46" fillId="3" borderId="60" xfId="2" applyNumberFormat="1" applyFont="1" applyFill="1" applyBorder="1" applyAlignment="1" applyProtection="1">
      <alignment horizontal="center"/>
      <protection locked="0"/>
    </xf>
    <xf numFmtId="165" fontId="5" fillId="0" borderId="60" xfId="2" applyFont="1" applyBorder="1" applyAlignment="1" applyProtection="1">
      <alignment horizontal="center"/>
      <protection locked="0"/>
    </xf>
    <xf numFmtId="0" fontId="33" fillId="22" borderId="1" xfId="0" applyFont="1" applyFill="1" applyBorder="1" applyAlignment="1">
      <alignment wrapText="1"/>
    </xf>
    <xf numFmtId="3" fontId="184" fillId="13" borderId="42" xfId="0" applyNumberFormat="1" applyFont="1" applyFill="1" applyBorder="1" applyAlignment="1" applyProtection="1">
      <alignment horizontal="center" vertical="center"/>
      <protection locked="0"/>
    </xf>
    <xf numFmtId="0" fontId="283" fillId="55" borderId="123" xfId="19" applyFont="1" applyBorder="1" applyAlignment="1">
      <alignment horizontal="center"/>
    </xf>
    <xf numFmtId="0" fontId="283" fillId="55" borderId="124" xfId="19" applyFont="1" applyBorder="1" applyAlignment="1">
      <alignment horizontal="center"/>
    </xf>
    <xf numFmtId="0" fontId="285" fillId="2" borderId="3" xfId="15" applyFont="1" applyFill="1" applyBorder="1" applyAlignment="1">
      <alignment horizontal="center" vertical="center"/>
    </xf>
    <xf numFmtId="0" fontId="285" fillId="2" borderId="9" xfId="15" applyFont="1" applyFill="1" applyBorder="1" applyAlignment="1">
      <alignment horizontal="center" vertical="center"/>
    </xf>
    <xf numFmtId="168" fontId="170" fillId="59" borderId="38" xfId="24" applyNumberFormat="1" applyFont="1" applyBorder="1" applyAlignment="1">
      <alignment horizontal="center" vertical="center"/>
    </xf>
    <xf numFmtId="0" fontId="35" fillId="55" borderId="137" xfId="19" applyFont="1" applyBorder="1" applyAlignment="1">
      <alignment horizontal="center" vertical="center"/>
    </xf>
    <xf numFmtId="0" fontId="35" fillId="55" borderId="0" xfId="19" applyFont="1" applyBorder="1" applyAlignment="1">
      <alignment horizontal="center" vertical="center"/>
    </xf>
    <xf numFmtId="0" fontId="291" fillId="51" borderId="122" xfId="21" applyFont="1" applyFill="1" applyAlignment="1">
      <alignment horizontal="left"/>
    </xf>
    <xf numFmtId="0" fontId="171" fillId="3" borderId="1" xfId="0" applyFont="1" applyFill="1" applyBorder="1" applyAlignment="1">
      <alignment horizontal="left"/>
    </xf>
    <xf numFmtId="0" fontId="171" fillId="3" borderId="138" xfId="0" applyFont="1" applyFill="1" applyBorder="1" applyAlignment="1">
      <alignment horizontal="left"/>
    </xf>
    <xf numFmtId="0" fontId="171" fillId="3" borderId="139" xfId="0" applyFont="1" applyFill="1" applyBorder="1" applyAlignment="1">
      <alignment horizontal="left"/>
    </xf>
    <xf numFmtId="0" fontId="171" fillId="3" borderId="140" xfId="0" applyFont="1" applyFill="1" applyBorder="1" applyAlignment="1">
      <alignment horizontal="left"/>
    </xf>
    <xf numFmtId="0" fontId="171" fillId="3" borderId="24" xfId="0" applyFont="1" applyFill="1" applyBorder="1" applyAlignment="1">
      <alignment horizontal="left"/>
    </xf>
    <xf numFmtId="0" fontId="171" fillId="3" borderId="25" xfId="0" applyFont="1" applyFill="1" applyBorder="1" applyAlignment="1">
      <alignment horizontal="left"/>
    </xf>
    <xf numFmtId="0" fontId="171" fillId="3" borderId="26" xfId="0" applyFont="1" applyFill="1" applyBorder="1" applyAlignment="1">
      <alignment horizontal="left"/>
    </xf>
    <xf numFmtId="0" fontId="342" fillId="0" borderId="42" xfId="0" applyFont="1" applyBorder="1" applyAlignment="1">
      <alignment vertical="center"/>
    </xf>
    <xf numFmtId="0" fontId="342" fillId="0" borderId="39" xfId="0" applyFont="1" applyBorder="1" applyAlignment="1">
      <alignment vertical="center"/>
    </xf>
    <xf numFmtId="0" fontId="342" fillId="0" borderId="150" xfId="0" applyFont="1" applyBorder="1" applyAlignment="1">
      <alignment vertical="center"/>
    </xf>
    <xf numFmtId="0" fontId="342" fillId="0" borderId="42" xfId="0" applyFont="1" applyBorder="1" applyAlignment="1">
      <alignment horizontal="center" vertical="center"/>
    </xf>
    <xf numFmtId="0" fontId="342" fillId="0" borderId="150" xfId="0" applyFont="1" applyBorder="1" applyAlignment="1">
      <alignment horizontal="center" vertical="center"/>
    </xf>
    <xf numFmtId="0" fontId="338" fillId="0" borderId="152" xfId="0" applyFont="1" applyBorder="1" applyAlignment="1">
      <alignment horizontal="center" vertical="center"/>
    </xf>
    <xf numFmtId="0" fontId="338" fillId="0" borderId="22" xfId="0" applyFont="1" applyBorder="1" applyAlignment="1">
      <alignment horizontal="center" vertical="center"/>
    </xf>
    <xf numFmtId="0" fontId="338" fillId="0" borderId="154" xfId="0" applyFont="1" applyBorder="1" applyAlignment="1">
      <alignment horizontal="center" vertical="center"/>
    </xf>
    <xf numFmtId="0" fontId="339" fillId="62" borderId="152" xfId="0" applyFont="1" applyFill="1" applyBorder="1" applyAlignment="1">
      <alignment horizontal="center" vertical="center"/>
    </xf>
    <xf numFmtId="0" fontId="339" fillId="62" borderId="22" xfId="0" applyFont="1" applyFill="1" applyBorder="1" applyAlignment="1">
      <alignment horizontal="center" vertical="center"/>
    </xf>
    <xf numFmtId="0" fontId="339" fillId="62" borderId="154" xfId="0" applyFont="1" applyFill="1" applyBorder="1" applyAlignment="1">
      <alignment horizontal="center" vertical="center"/>
    </xf>
    <xf numFmtId="0" fontId="336" fillId="0" borderId="42" xfId="0" applyFont="1" applyBorder="1" applyAlignment="1">
      <alignment horizontal="center" vertical="center"/>
    </xf>
    <xf numFmtId="0" fontId="336" fillId="0" borderId="39" xfId="0" applyFont="1" applyBorder="1" applyAlignment="1">
      <alignment horizontal="center" vertical="center"/>
    </xf>
    <xf numFmtId="0" fontId="336" fillId="0" borderId="150" xfId="0" applyFont="1" applyBorder="1" applyAlignment="1">
      <alignment horizontal="center" vertical="center"/>
    </xf>
    <xf numFmtId="0" fontId="338" fillId="0" borderId="16" xfId="0" applyFont="1" applyBorder="1" applyAlignment="1">
      <alignment horizontal="center" vertical="center"/>
    </xf>
    <xf numFmtId="0" fontId="339" fillId="62" borderId="16" xfId="0" applyFont="1" applyFill="1" applyBorder="1" applyAlignment="1">
      <alignment horizontal="center" vertical="center"/>
    </xf>
    <xf numFmtId="0" fontId="282" fillId="55" borderId="120" xfId="19" applyFont="1" applyAlignment="1">
      <alignment horizontal="center" vertical="center"/>
    </xf>
    <xf numFmtId="0" fontId="84" fillId="3" borderId="143" xfId="0" applyFont="1" applyFill="1" applyBorder="1" applyAlignment="1">
      <alignment horizontal="left"/>
    </xf>
    <xf numFmtId="0" fontId="270" fillId="22" borderId="31" xfId="0" applyFont="1" applyFill="1" applyBorder="1" applyAlignment="1">
      <alignment horizontal="left" vertical="center" wrapText="1"/>
    </xf>
    <xf numFmtId="0" fontId="270" fillId="22" borderId="68" xfId="0" applyFont="1" applyFill="1" applyBorder="1" applyAlignment="1">
      <alignment horizontal="left" vertical="center" wrapText="1"/>
    </xf>
    <xf numFmtId="0" fontId="270" fillId="22" borderId="30" xfId="0" applyFont="1" applyFill="1" applyBorder="1" applyAlignment="1">
      <alignment horizontal="left" vertical="center" wrapText="1"/>
    </xf>
    <xf numFmtId="0" fontId="42" fillId="22" borderId="31" xfId="0" applyFont="1" applyFill="1" applyBorder="1" applyAlignment="1">
      <alignment horizontal="center" vertical="center" wrapText="1"/>
    </xf>
    <xf numFmtId="0" fontId="42" fillId="22" borderId="68" xfId="0" applyFont="1" applyFill="1" applyBorder="1" applyAlignment="1">
      <alignment horizontal="center" vertical="center" wrapText="1"/>
    </xf>
    <xf numFmtId="0" fontId="42" fillId="22" borderId="30" xfId="0" applyFont="1" applyFill="1" applyBorder="1" applyAlignment="1">
      <alignment horizontal="center" vertical="center" wrapText="1"/>
    </xf>
    <xf numFmtId="0" fontId="8" fillId="7" borderId="117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49" fontId="42" fillId="22" borderId="31" xfId="0" applyNumberFormat="1" applyFont="1" applyFill="1" applyBorder="1" applyAlignment="1">
      <alignment horizontal="center" vertical="center" wrapText="1"/>
    </xf>
    <xf numFmtId="49" fontId="42" fillId="22" borderId="68" xfId="0" applyNumberFormat="1" applyFont="1" applyFill="1" applyBorder="1" applyAlignment="1">
      <alignment horizontal="center" vertical="center" wrapText="1"/>
    </xf>
    <xf numFmtId="49" fontId="42" fillId="22" borderId="30" xfId="0" applyNumberFormat="1" applyFont="1" applyFill="1" applyBorder="1" applyAlignment="1">
      <alignment horizontal="center" vertical="center" wrapText="1"/>
    </xf>
    <xf numFmtId="0" fontId="7" fillId="17" borderId="0" xfId="0" applyFont="1" applyFill="1" applyAlignment="1">
      <alignment horizontal="center" vertical="center"/>
    </xf>
    <xf numFmtId="0" fontId="266" fillId="49" borderId="98" xfId="0" applyFont="1" applyFill="1" applyBorder="1" applyAlignment="1">
      <alignment horizontal="center" vertical="center"/>
    </xf>
    <xf numFmtId="0" fontId="266" fillId="49" borderId="99" xfId="0" applyFont="1" applyFill="1" applyBorder="1" applyAlignment="1">
      <alignment horizontal="center" vertical="center"/>
    </xf>
    <xf numFmtId="0" fontId="8" fillId="17" borderId="0" xfId="0" applyFont="1" applyFill="1" applyAlignment="1">
      <alignment horizontal="center"/>
    </xf>
    <xf numFmtId="166" fontId="17" fillId="17" borderId="0" xfId="0" applyNumberFormat="1" applyFont="1" applyFill="1" applyAlignment="1">
      <alignment horizontal="center"/>
    </xf>
    <xf numFmtId="165" fontId="0" fillId="30" borderId="0" xfId="0" applyNumberFormat="1" applyFill="1" applyAlignment="1">
      <alignment horizontal="center"/>
    </xf>
    <xf numFmtId="0" fontId="83" fillId="31" borderId="0" xfId="0" applyFont="1" applyFill="1" applyBorder="1" applyAlignment="1">
      <alignment horizontal="left" vertical="top"/>
    </xf>
    <xf numFmtId="0" fontId="83" fillId="31" borderId="108" xfId="0" applyFont="1" applyFill="1" applyBorder="1" applyAlignment="1">
      <alignment horizontal="left" vertical="top"/>
    </xf>
    <xf numFmtId="165" fontId="257" fillId="31" borderId="38" xfId="0" applyNumberFormat="1" applyFont="1" applyFill="1" applyBorder="1" applyAlignment="1">
      <alignment horizontal="center" vertical="center"/>
    </xf>
    <xf numFmtId="0" fontId="257" fillId="31" borderId="109" xfId="0" applyFont="1" applyFill="1" applyBorder="1" applyAlignment="1">
      <alignment horizontal="center" vertical="center"/>
    </xf>
    <xf numFmtId="0" fontId="225" fillId="31" borderId="91" xfId="0" applyFont="1" applyFill="1" applyBorder="1" applyAlignment="1">
      <alignment horizontal="center"/>
    </xf>
    <xf numFmtId="165" fontId="180" fillId="18" borderId="0" xfId="2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3" fontId="0" fillId="18" borderId="0" xfId="0" applyNumberFormat="1" applyFill="1" applyBorder="1" applyAlignment="1">
      <alignment horizontal="center"/>
    </xf>
    <xf numFmtId="1" fontId="198" fillId="47" borderId="92" xfId="0" applyNumberFormat="1" applyFont="1" applyFill="1" applyBorder="1" applyAlignment="1">
      <alignment horizontal="left" vertical="center"/>
    </xf>
    <xf numFmtId="1" fontId="198" fillId="47" borderId="93" xfId="0" applyNumberFormat="1" applyFont="1" applyFill="1" applyBorder="1" applyAlignment="1">
      <alignment horizontal="left" vertical="center"/>
    </xf>
    <xf numFmtId="0" fontId="8" fillId="0" borderId="21" xfId="0" applyFont="1" applyBorder="1" applyAlignment="1" applyProtection="1">
      <alignment horizontal="center" vertical="center"/>
      <protection locked="0"/>
    </xf>
    <xf numFmtId="3" fontId="0" fillId="0" borderId="24" xfId="0" applyNumberFormat="1" applyBorder="1" applyAlignment="1" applyProtection="1">
      <alignment horizontal="left"/>
      <protection locked="0"/>
    </xf>
    <xf numFmtId="3" fontId="0" fillId="0" borderId="26" xfId="0" applyNumberFormat="1" applyBorder="1" applyAlignment="1" applyProtection="1">
      <alignment horizontal="left"/>
      <protection locked="0"/>
    </xf>
    <xf numFmtId="3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3" fontId="5" fillId="0" borderId="24" xfId="0" applyNumberFormat="1" applyFont="1" applyBorder="1" applyAlignment="1" applyProtection="1">
      <alignment horizontal="center"/>
      <protection locked="0"/>
    </xf>
    <xf numFmtId="3" fontId="5" fillId="0" borderId="26" xfId="0" applyNumberFormat="1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56" xfId="0" applyFont="1" applyBorder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horizontal="center" vertical="center"/>
      <protection locked="0"/>
    </xf>
    <xf numFmtId="0" fontId="21" fillId="3" borderId="0" xfId="0" applyFont="1" applyFill="1" applyAlignment="1" applyProtection="1">
      <alignment horizontal="left"/>
      <protection locked="0"/>
    </xf>
    <xf numFmtId="0" fontId="266" fillId="17" borderId="27" xfId="0" applyFont="1" applyFill="1" applyBorder="1" applyAlignment="1" applyProtection="1">
      <alignment horizontal="left" vertical="center"/>
      <protection locked="0"/>
    </xf>
    <xf numFmtId="0" fontId="266" fillId="17" borderId="28" xfId="0" applyFont="1" applyFill="1" applyBorder="1" applyAlignment="1" applyProtection="1">
      <alignment horizontal="left" vertical="center"/>
      <protection locked="0"/>
    </xf>
    <xf numFmtId="0" fontId="266" fillId="17" borderId="29" xfId="0" applyFont="1" applyFill="1" applyBorder="1" applyAlignment="1" applyProtection="1">
      <alignment horizontal="left" vertical="center"/>
      <protection locked="0"/>
    </xf>
    <xf numFmtId="0" fontId="43" fillId="5" borderId="14" xfId="0" applyFont="1" applyFill="1" applyBorder="1" applyAlignment="1" applyProtection="1">
      <alignment horizontal="left" vertical="center" wrapText="1"/>
      <protection locked="0"/>
    </xf>
    <xf numFmtId="0" fontId="43" fillId="5" borderId="0" xfId="0" applyFont="1" applyFill="1" applyBorder="1" applyAlignment="1" applyProtection="1">
      <alignment horizontal="left" vertical="center"/>
      <protection locked="0"/>
    </xf>
    <xf numFmtId="0" fontId="43" fillId="5" borderId="10" xfId="0" applyFont="1" applyFill="1" applyBorder="1" applyAlignment="1" applyProtection="1">
      <alignment horizontal="left" vertical="center"/>
      <protection locked="0"/>
    </xf>
    <xf numFmtId="0" fontId="190" fillId="20" borderId="0" xfId="0" applyFont="1" applyFill="1" applyAlignment="1">
      <alignment horizontal="center" vertical="center"/>
    </xf>
    <xf numFmtId="0" fontId="190" fillId="20" borderId="0" xfId="0" applyFont="1" applyFill="1" applyAlignment="1">
      <alignment horizontal="center"/>
    </xf>
    <xf numFmtId="168" fontId="242" fillId="52" borderId="20" xfId="0" applyNumberFormat="1" applyFont="1" applyFill="1" applyBorder="1" applyAlignment="1" applyProtection="1">
      <alignment horizontal="center" vertical="center"/>
      <protection locked="0"/>
    </xf>
    <xf numFmtId="168" fontId="242" fillId="52" borderId="22" xfId="0" applyNumberFormat="1" applyFont="1" applyFill="1" applyBorder="1" applyAlignment="1" applyProtection="1">
      <alignment horizontal="center" vertical="center"/>
      <protection locked="0"/>
    </xf>
    <xf numFmtId="0" fontId="259" fillId="52" borderId="39" xfId="0" applyFont="1" applyFill="1" applyBorder="1" applyAlignment="1" applyProtection="1">
      <alignment horizontal="center" vertical="center"/>
      <protection locked="0"/>
    </xf>
    <xf numFmtId="0" fontId="259" fillId="52" borderId="40" xfId="0" applyFont="1" applyFill="1" applyBorder="1" applyAlignment="1" applyProtection="1">
      <alignment horizontal="center" vertical="center"/>
      <protection locked="0"/>
    </xf>
    <xf numFmtId="0" fontId="17" fillId="17" borderId="16" xfId="0" applyFont="1" applyFill="1" applyBorder="1" applyAlignment="1" applyProtection="1">
      <alignment horizontal="center" vertical="center"/>
      <protection locked="0"/>
    </xf>
    <xf numFmtId="0" fontId="17" fillId="17" borderId="19" xfId="0" applyFont="1" applyFill="1" applyBorder="1" applyAlignment="1" applyProtection="1">
      <alignment horizontal="center" vertical="center"/>
      <protection locked="0"/>
    </xf>
    <xf numFmtId="0" fontId="17" fillId="17" borderId="16" xfId="0" applyFont="1" applyFill="1" applyBorder="1" applyAlignment="1" applyProtection="1">
      <alignment horizontal="center" vertical="center" wrapText="1"/>
      <protection locked="0"/>
    </xf>
    <xf numFmtId="0" fontId="17" fillId="17" borderId="19" xfId="0" applyFont="1" applyFill="1" applyBorder="1" applyAlignment="1" applyProtection="1">
      <alignment horizontal="center" vertical="center" wrapText="1"/>
      <protection locked="0"/>
    </xf>
    <xf numFmtId="0" fontId="170" fillId="5" borderId="14" xfId="0" applyFont="1" applyFill="1" applyBorder="1" applyAlignment="1" applyProtection="1">
      <alignment horizontal="left"/>
      <protection locked="0"/>
    </xf>
    <xf numFmtId="0" fontId="170" fillId="5" borderId="0" xfId="0" applyFont="1" applyFill="1" applyBorder="1" applyAlignment="1" applyProtection="1">
      <alignment horizontal="left"/>
      <protection locked="0"/>
    </xf>
    <xf numFmtId="0" fontId="170" fillId="5" borderId="10" xfId="0" applyFont="1" applyFill="1" applyBorder="1" applyAlignment="1" applyProtection="1">
      <alignment horizontal="left"/>
      <protection locked="0"/>
    </xf>
    <xf numFmtId="0" fontId="81" fillId="17" borderId="42" xfId="0" applyFont="1" applyFill="1" applyBorder="1" applyAlignment="1" applyProtection="1">
      <alignment horizontal="center" vertical="center"/>
      <protection locked="0"/>
    </xf>
    <xf numFmtId="0" fontId="81" fillId="17" borderId="39" xfId="0" applyFont="1" applyFill="1" applyBorder="1" applyAlignment="1" applyProtection="1">
      <alignment horizontal="center" vertical="center"/>
      <protection locked="0"/>
    </xf>
    <xf numFmtId="0" fontId="81" fillId="17" borderId="40" xfId="0" applyFont="1" applyFill="1" applyBorder="1" applyAlignment="1" applyProtection="1">
      <alignment horizontal="center" vertical="center"/>
      <protection locked="0"/>
    </xf>
    <xf numFmtId="4" fontId="201" fillId="45" borderId="157" xfId="0" applyNumberFormat="1" applyFont="1" applyFill="1" applyBorder="1" applyAlignment="1">
      <alignment horizontal="left" vertical="center" wrapText="1"/>
    </xf>
    <xf numFmtId="4" fontId="201" fillId="45" borderId="158" xfId="0" applyNumberFormat="1" applyFont="1" applyFill="1" applyBorder="1" applyAlignment="1">
      <alignment horizontal="left" vertical="center" wrapText="1"/>
    </xf>
    <xf numFmtId="4" fontId="201" fillId="45" borderId="159" xfId="0" applyNumberFormat="1" applyFont="1" applyFill="1" applyBorder="1" applyAlignment="1">
      <alignment horizontal="left" vertical="center" wrapText="1"/>
    </xf>
    <xf numFmtId="0" fontId="80" fillId="0" borderId="42" xfId="0" applyFont="1" applyBorder="1" applyAlignment="1">
      <alignment horizontal="left" vertical="center"/>
    </xf>
    <xf numFmtId="0" fontId="80" fillId="0" borderId="39" xfId="0" applyFont="1" applyBorder="1" applyAlignment="1">
      <alignment horizontal="left" vertical="center"/>
    </xf>
    <xf numFmtId="0" fontId="80" fillId="0" borderId="40" xfId="0" applyFont="1" applyBorder="1" applyAlignment="1">
      <alignment horizontal="left" vertical="center"/>
    </xf>
    <xf numFmtId="0" fontId="23" fillId="3" borderId="0" xfId="0" applyFont="1" applyFill="1" applyAlignment="1">
      <alignment horizontal="center"/>
    </xf>
    <xf numFmtId="0" fontId="263" fillId="3" borderId="0" xfId="0" applyFont="1" applyFill="1" applyAlignment="1">
      <alignment horizontal="left" vertical="center"/>
    </xf>
    <xf numFmtId="0" fontId="62" fillId="5" borderId="42" xfId="0" applyFont="1" applyFill="1" applyBorder="1" applyAlignment="1">
      <alignment horizontal="right" vertical="center"/>
    </xf>
    <xf numFmtId="0" fontId="62" fillId="5" borderId="39" xfId="0" applyFont="1" applyFill="1" applyBorder="1" applyAlignment="1">
      <alignment horizontal="right" vertical="center"/>
    </xf>
    <xf numFmtId="0" fontId="62" fillId="0" borderId="42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63" fillId="3" borderId="0" xfId="0" applyFont="1" applyFill="1" applyAlignment="1">
      <alignment horizontal="right"/>
    </xf>
    <xf numFmtId="0" fontId="111" fillId="3" borderId="0" xfId="0" applyFont="1" applyFill="1" applyAlignment="1">
      <alignment horizontal="right"/>
    </xf>
    <xf numFmtId="0" fontId="63" fillId="3" borderId="15" xfId="0" applyFont="1" applyFill="1" applyBorder="1" applyAlignment="1">
      <alignment horizontal="right"/>
    </xf>
    <xf numFmtId="0" fontId="73" fillId="0" borderId="42" xfId="0" applyFont="1" applyBorder="1" applyAlignment="1">
      <alignment horizontal="left" vertical="center"/>
    </xf>
    <xf numFmtId="0" fontId="73" fillId="0" borderId="39" xfId="0" applyFont="1" applyBorder="1" applyAlignment="1">
      <alignment horizontal="left" vertical="center"/>
    </xf>
    <xf numFmtId="0" fontId="73" fillId="0" borderId="40" xfId="0" applyFont="1" applyBorder="1" applyAlignment="1">
      <alignment horizontal="left" vertical="center"/>
    </xf>
    <xf numFmtId="0" fontId="365" fillId="3" borderId="0" xfId="0" applyFont="1" applyFill="1" applyAlignment="1">
      <alignment horizontal="left" vertical="center"/>
    </xf>
    <xf numFmtId="0" fontId="75" fillId="5" borderId="42" xfId="0" applyFont="1" applyFill="1" applyBorder="1" applyAlignment="1">
      <alignment horizontal="left" vertical="center"/>
    </xf>
    <xf numFmtId="0" fontId="75" fillId="5" borderId="39" xfId="0" applyFont="1" applyFill="1" applyBorder="1" applyAlignment="1">
      <alignment horizontal="left" vertical="center"/>
    </xf>
    <xf numFmtId="0" fontId="75" fillId="5" borderId="40" xfId="0" applyFont="1" applyFill="1" applyBorder="1" applyAlignment="1">
      <alignment horizontal="left" vertical="center"/>
    </xf>
    <xf numFmtId="0" fontId="30" fillId="2" borderId="34" xfId="0" applyFont="1" applyFill="1" applyBorder="1" applyAlignment="1">
      <alignment horizontal="right" vertical="center"/>
    </xf>
    <xf numFmtId="0" fontId="30" fillId="2" borderId="45" xfId="0" applyFont="1" applyFill="1" applyBorder="1" applyAlignment="1">
      <alignment horizontal="right" vertical="center"/>
    </xf>
    <xf numFmtId="0" fontId="30" fillId="2" borderId="35" xfId="0" applyFont="1" applyFill="1" applyBorder="1" applyAlignment="1">
      <alignment horizontal="right" vertical="center"/>
    </xf>
    <xf numFmtId="0" fontId="76" fillId="3" borderId="0" xfId="0" applyFont="1" applyFill="1" applyAlignment="1">
      <alignment horizontal="left" vertical="center"/>
    </xf>
    <xf numFmtId="0" fontId="8" fillId="0" borderId="21" xfId="0" applyFont="1" applyBorder="1" applyAlignment="1">
      <alignment vertical="center" wrapText="1"/>
    </xf>
    <xf numFmtId="0" fontId="8" fillId="0" borderId="50" xfId="0" applyFont="1" applyBorder="1" applyAlignment="1">
      <alignment vertical="center" wrapText="1"/>
    </xf>
    <xf numFmtId="0" fontId="23" fillId="3" borderId="0" xfId="0" applyFont="1" applyFill="1" applyAlignment="1">
      <alignment horizontal="left"/>
    </xf>
    <xf numFmtId="0" fontId="63" fillId="3" borderId="0" xfId="0" applyFont="1" applyFill="1" applyAlignment="1">
      <alignment horizontal="left"/>
    </xf>
    <xf numFmtId="173" fontId="72" fillId="5" borderId="2" xfId="0" applyNumberFormat="1" applyFont="1" applyFill="1" applyBorder="1" applyAlignment="1">
      <alignment horizontal="center" vertical="center"/>
    </xf>
    <xf numFmtId="173" fontId="72" fillId="5" borderId="3" xfId="0" applyNumberFormat="1" applyFont="1" applyFill="1" applyBorder="1" applyAlignment="1">
      <alignment horizontal="center" vertical="center"/>
    </xf>
    <xf numFmtId="173" fontId="72" fillId="5" borderId="4" xfId="0" applyNumberFormat="1" applyFont="1" applyFill="1" applyBorder="1" applyAlignment="1">
      <alignment horizontal="center" vertical="center"/>
    </xf>
    <xf numFmtId="0" fontId="96" fillId="0" borderId="21" xfId="0" applyFont="1" applyBorder="1" applyAlignment="1">
      <alignment horizontal="left" vertical="center" wrapText="1"/>
    </xf>
    <xf numFmtId="0" fontId="264" fillId="0" borderId="11" xfId="0" applyFont="1" applyBorder="1" applyAlignment="1">
      <alignment horizontal="left" vertical="center"/>
    </xf>
    <xf numFmtId="0" fontId="264" fillId="0" borderId="12" xfId="0" applyFont="1" applyBorder="1" applyAlignment="1">
      <alignment horizontal="left" vertical="center"/>
    </xf>
    <xf numFmtId="0" fontId="264" fillId="0" borderId="13" xfId="0" applyFont="1" applyBorder="1" applyAlignment="1">
      <alignment horizontal="left" vertical="center"/>
    </xf>
    <xf numFmtId="0" fontId="150" fillId="38" borderId="64" xfId="4" applyFont="1" applyFill="1" applyBorder="1" applyAlignment="1">
      <alignment horizontal="center" vertical="center"/>
    </xf>
    <xf numFmtId="0" fontId="150" fillId="38" borderId="0" xfId="4" applyFont="1" applyFill="1" applyBorder="1" applyAlignment="1">
      <alignment horizontal="center" vertical="center"/>
    </xf>
    <xf numFmtId="165" fontId="216" fillId="31" borderId="0" xfId="2" applyFont="1" applyFill="1" applyBorder="1" applyAlignment="1">
      <alignment horizontal="center" vertical="center"/>
    </xf>
    <xf numFmtId="0" fontId="105" fillId="18" borderId="25" xfId="0" applyFont="1" applyFill="1" applyBorder="1" applyAlignment="1">
      <alignment horizontal="center" vertical="center"/>
    </xf>
    <xf numFmtId="0" fontId="105" fillId="18" borderId="74" xfId="0" applyFont="1" applyFill="1" applyBorder="1" applyAlignment="1">
      <alignment horizontal="center" vertical="center"/>
    </xf>
    <xf numFmtId="165" fontId="128" fillId="15" borderId="25" xfId="2" applyFont="1" applyFill="1" applyBorder="1" applyAlignment="1">
      <alignment horizontal="center" vertical="center" wrapText="1"/>
    </xf>
    <xf numFmtId="165" fontId="128" fillId="15" borderId="74" xfId="2" applyFont="1" applyFill="1" applyBorder="1" applyAlignment="1">
      <alignment horizontal="center" vertical="center" wrapText="1"/>
    </xf>
    <xf numFmtId="165" fontId="105" fillId="18" borderId="25" xfId="2" applyFont="1" applyFill="1" applyBorder="1" applyAlignment="1">
      <alignment horizontal="center" vertical="center"/>
    </xf>
    <xf numFmtId="165" fontId="105" fillId="18" borderId="74" xfId="2" applyFont="1" applyFill="1" applyBorder="1" applyAlignment="1">
      <alignment horizontal="center" vertical="center"/>
    </xf>
    <xf numFmtId="0" fontId="150" fillId="38" borderId="0" xfId="4" applyNumberFormat="1" applyFont="1" applyFill="1" applyBorder="1" applyAlignment="1">
      <alignment horizontal="center" vertical="center"/>
    </xf>
    <xf numFmtId="0" fontId="150" fillId="38" borderId="23" xfId="4" applyNumberFormat="1" applyFont="1" applyFill="1" applyBorder="1" applyAlignment="1">
      <alignment horizontal="center" vertical="center"/>
    </xf>
    <xf numFmtId="0" fontId="150" fillId="38" borderId="23" xfId="4" applyFont="1" applyFill="1" applyBorder="1" applyAlignment="1">
      <alignment horizontal="center" vertical="center"/>
    </xf>
    <xf numFmtId="165" fontId="128" fillId="25" borderId="25" xfId="2" applyFont="1" applyFill="1" applyBorder="1" applyAlignment="1">
      <alignment horizontal="center" vertical="center" wrapText="1"/>
    </xf>
    <xf numFmtId="165" fontId="128" fillId="25" borderId="74" xfId="2" applyFont="1" applyFill="1" applyBorder="1" applyAlignment="1">
      <alignment horizontal="center" vertical="center" wrapText="1"/>
    </xf>
    <xf numFmtId="0" fontId="219" fillId="17" borderId="0" xfId="0" applyFont="1" applyFill="1" applyBorder="1" applyAlignment="1">
      <alignment horizontal="left" vertical="center"/>
    </xf>
    <xf numFmtId="0" fontId="11" fillId="30" borderId="5" xfId="0" applyFont="1" applyFill="1" applyBorder="1" applyAlignment="1">
      <alignment horizontal="left" vertical="top" wrapText="1"/>
    </xf>
    <xf numFmtId="0" fontId="11" fillId="30" borderId="0" xfId="0" applyFont="1" applyFill="1" applyBorder="1" applyAlignment="1">
      <alignment horizontal="left" vertical="top" wrapText="1"/>
    </xf>
    <xf numFmtId="0" fontId="11" fillId="30" borderId="7" xfId="0" applyFont="1" applyFill="1" applyBorder="1" applyAlignment="1">
      <alignment horizontal="left" vertical="top" wrapText="1"/>
    </xf>
    <xf numFmtId="0" fontId="11" fillId="30" borderId="8" xfId="0" applyFont="1" applyFill="1" applyBorder="1" applyAlignment="1">
      <alignment horizontal="left" vertical="top" wrapText="1"/>
    </xf>
    <xf numFmtId="0" fontId="105" fillId="18" borderId="24" xfId="0" applyFont="1" applyFill="1" applyBorder="1" applyAlignment="1">
      <alignment horizontal="center" vertical="center" wrapText="1"/>
    </xf>
    <xf numFmtId="0" fontId="105" fillId="18" borderId="25" xfId="0" applyFont="1" applyFill="1" applyBorder="1" applyAlignment="1">
      <alignment horizontal="center" vertical="center" wrapText="1"/>
    </xf>
    <xf numFmtId="0" fontId="105" fillId="18" borderId="74" xfId="0" applyFont="1" applyFill="1" applyBorder="1" applyAlignment="1">
      <alignment horizontal="center" vertical="center" wrapText="1"/>
    </xf>
    <xf numFmtId="0" fontId="126" fillId="36" borderId="0" xfId="0" applyFont="1" applyFill="1" applyBorder="1" applyAlignment="1">
      <alignment horizontal="center" vertical="center"/>
    </xf>
    <xf numFmtId="0" fontId="126" fillId="36" borderId="77" xfId="0" applyFont="1" applyFill="1" applyBorder="1" applyAlignment="1">
      <alignment horizontal="center" vertical="center"/>
    </xf>
    <xf numFmtId="0" fontId="126" fillId="36" borderId="0" xfId="0" applyFont="1" applyFill="1" applyAlignment="1">
      <alignment horizontal="right" vertical="center"/>
    </xf>
    <xf numFmtId="0" fontId="105" fillId="18" borderId="82" xfId="0" applyFont="1" applyFill="1" applyBorder="1" applyAlignment="1">
      <alignment horizontal="center" vertical="center" wrapText="1"/>
    </xf>
    <xf numFmtId="165" fontId="132" fillId="36" borderId="0" xfId="2" applyFont="1" applyFill="1" applyBorder="1" applyAlignment="1">
      <alignment horizontal="center"/>
    </xf>
    <xf numFmtId="165" fontId="132" fillId="36" borderId="77" xfId="2" applyFont="1" applyFill="1" applyBorder="1" applyAlignment="1">
      <alignment horizontal="center"/>
    </xf>
    <xf numFmtId="0" fontId="35" fillId="5" borderId="107" xfId="0" applyFont="1" applyFill="1" applyBorder="1" applyAlignment="1" applyProtection="1">
      <alignment horizontal="left" vertical="center" wrapText="1"/>
      <protection locked="0"/>
    </xf>
    <xf numFmtId="0" fontId="35" fillId="5" borderId="3" xfId="0" applyFont="1" applyFill="1" applyBorder="1" applyAlignment="1" applyProtection="1">
      <alignment horizontal="left" vertical="center" wrapText="1"/>
      <protection locked="0"/>
    </xf>
    <xf numFmtId="170" fontId="100" fillId="31" borderId="0" xfId="2" applyNumberFormat="1" applyFont="1" applyFill="1" applyBorder="1" applyAlignment="1">
      <alignment horizontal="left" vertical="top" wrapText="1"/>
    </xf>
    <xf numFmtId="3" fontId="8" fillId="0" borderId="21" xfId="0" applyNumberFormat="1" applyFont="1" applyBorder="1" applyAlignment="1">
      <alignment horizontal="center" vertical="center"/>
    </xf>
    <xf numFmtId="3" fontId="8" fillId="0" borderId="50" xfId="0" applyNumberFormat="1" applyFont="1" applyBorder="1" applyAlignment="1">
      <alignment horizontal="center" vertical="center"/>
    </xf>
    <xf numFmtId="168" fontId="26" fillId="13" borderId="20" xfId="0" applyNumberFormat="1" applyFont="1" applyFill="1" applyBorder="1" applyAlignment="1" applyProtection="1">
      <alignment horizontal="center" vertical="center"/>
      <protection locked="0"/>
    </xf>
    <xf numFmtId="168" fontId="26" fillId="13" borderId="19" xfId="0" applyNumberFormat="1" applyFont="1" applyFill="1" applyBorder="1" applyAlignment="1" applyProtection="1">
      <alignment horizontal="center" vertical="center"/>
      <protection locked="0"/>
    </xf>
    <xf numFmtId="0" fontId="184" fillId="13" borderId="39" xfId="0" applyFont="1" applyFill="1" applyBorder="1" applyAlignment="1" applyProtection="1">
      <alignment horizontal="center" vertical="center"/>
      <protection locked="0"/>
    </xf>
    <xf numFmtId="0" fontId="184" fillId="13" borderId="40" xfId="0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/>
    <xf numFmtId="0" fontId="0" fillId="0" borderId="26" xfId="0" applyBorder="1" applyAlignment="1"/>
    <xf numFmtId="0" fontId="8" fillId="5" borderId="57" xfId="0" applyFont="1" applyFill="1" applyBorder="1" applyAlignment="1" applyProtection="1">
      <alignment horizontal="center" vertical="center"/>
      <protection locked="0"/>
    </xf>
    <xf numFmtId="0" fontId="8" fillId="5" borderId="32" xfId="0" applyFont="1" applyFill="1" applyBorder="1" applyAlignment="1" applyProtection="1">
      <alignment horizontal="center" vertical="center"/>
      <protection locked="0"/>
    </xf>
    <xf numFmtId="0" fontId="8" fillId="5" borderId="105" xfId="0" applyFont="1" applyFill="1" applyBorder="1" applyAlignment="1" applyProtection="1">
      <alignment horizontal="center" vertical="center"/>
      <protection locked="0"/>
    </xf>
    <xf numFmtId="0" fontId="8" fillId="5" borderId="106" xfId="0" applyFont="1" applyFill="1" applyBorder="1" applyAlignment="1" applyProtection="1">
      <alignment horizontal="center" vertical="center"/>
      <protection locked="0"/>
    </xf>
    <xf numFmtId="0" fontId="8" fillId="5" borderId="7" xfId="0" applyFont="1" applyFill="1" applyBorder="1" applyAlignment="1" applyProtection="1">
      <alignment horizontal="center" vertical="center"/>
      <protection locked="0"/>
    </xf>
    <xf numFmtId="0" fontId="8" fillId="5" borderId="56" xfId="0" applyFont="1" applyFill="1" applyBorder="1" applyAlignment="1" applyProtection="1">
      <alignment horizontal="center" vertical="center"/>
      <protection locked="0"/>
    </xf>
    <xf numFmtId="0" fontId="8" fillId="5" borderId="50" xfId="0" applyFont="1" applyFill="1" applyBorder="1" applyAlignment="1" applyProtection="1">
      <alignment horizontal="center" vertical="center"/>
      <protection locked="0"/>
    </xf>
    <xf numFmtId="0" fontId="26" fillId="0" borderId="21" xfId="0" applyFont="1" applyBorder="1" applyAlignment="1">
      <alignment horizontal="left" vertical="center"/>
    </xf>
    <xf numFmtId="0" fontId="5" fillId="3" borderId="0" xfId="0" applyFont="1" applyFill="1" applyAlignment="1">
      <alignment horizontal="left" vertical="top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62" fillId="3" borderId="42" xfId="0" applyFont="1" applyFill="1" applyBorder="1" applyAlignment="1">
      <alignment horizontal="center" vertical="center"/>
    </xf>
    <xf numFmtId="0" fontId="62" fillId="3" borderId="43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left" vertical="center"/>
    </xf>
    <xf numFmtId="0" fontId="60" fillId="5" borderId="42" xfId="0" applyFont="1" applyFill="1" applyBorder="1" applyAlignment="1">
      <alignment horizontal="left" vertical="center"/>
    </xf>
    <xf numFmtId="0" fontId="60" fillId="5" borderId="39" xfId="0" applyFont="1" applyFill="1" applyBorder="1" applyAlignment="1">
      <alignment horizontal="left" vertical="center"/>
    </xf>
    <xf numFmtId="0" fontId="263" fillId="3" borderId="0" xfId="0" applyFont="1" applyFill="1" applyAlignment="1">
      <alignment horizontal="center" vertical="center"/>
    </xf>
    <xf numFmtId="0" fontId="96" fillId="3" borderId="72" xfId="0" applyFont="1" applyFill="1" applyBorder="1" applyAlignment="1">
      <alignment horizontal="left" vertical="center" wrapText="1"/>
    </xf>
    <xf numFmtId="0" fontId="96" fillId="3" borderId="59" xfId="0" applyFont="1" applyFill="1" applyBorder="1" applyAlignment="1">
      <alignment horizontal="left" vertical="center" wrapText="1"/>
    </xf>
    <xf numFmtId="0" fontId="96" fillId="3" borderId="97" xfId="0" applyFont="1" applyFill="1" applyBorder="1" applyAlignment="1">
      <alignment horizontal="left" vertical="center" wrapText="1"/>
    </xf>
    <xf numFmtId="0" fontId="47" fillId="3" borderId="0" xfId="0" applyFont="1" applyFill="1" applyAlignment="1">
      <alignment horizontal="center"/>
    </xf>
    <xf numFmtId="0" fontId="63" fillId="3" borderId="15" xfId="0" applyFont="1" applyFill="1" applyBorder="1" applyAlignment="1">
      <alignment horizontal="center"/>
    </xf>
    <xf numFmtId="0" fontId="80" fillId="3" borderId="42" xfId="0" applyFont="1" applyFill="1" applyBorder="1" applyAlignment="1">
      <alignment horizontal="left" vertical="center"/>
    </xf>
    <xf numFmtId="0" fontId="80" fillId="3" borderId="39" xfId="0" applyFont="1" applyFill="1" applyBorder="1" applyAlignment="1">
      <alignment horizontal="left" vertical="center"/>
    </xf>
    <xf numFmtId="0" fontId="80" fillId="3" borderId="40" xfId="0" applyFont="1" applyFill="1" applyBorder="1" applyAlignment="1">
      <alignment horizontal="left" vertical="center"/>
    </xf>
    <xf numFmtId="173" fontId="72" fillId="2" borderId="34" xfId="0" applyNumberFormat="1" applyFont="1" applyFill="1" applyBorder="1" applyAlignment="1">
      <alignment horizontal="center" vertical="center"/>
    </xf>
    <xf numFmtId="173" fontId="72" fillId="2" borderId="45" xfId="0" applyNumberFormat="1" applyFont="1" applyFill="1" applyBorder="1" applyAlignment="1">
      <alignment horizontal="center" vertical="center"/>
    </xf>
    <xf numFmtId="173" fontId="72" fillId="2" borderId="35" xfId="0" applyNumberFormat="1" applyFont="1" applyFill="1" applyBorder="1" applyAlignment="1">
      <alignment horizontal="center" vertical="center"/>
    </xf>
    <xf numFmtId="0" fontId="8" fillId="3" borderId="34" xfId="0" applyFont="1" applyFill="1" applyBorder="1" applyAlignment="1">
      <alignment horizontal="left" vertical="center" wrapText="1"/>
    </xf>
    <xf numFmtId="0" fontId="8" fillId="3" borderId="45" xfId="0" applyFont="1" applyFill="1" applyBorder="1" applyAlignment="1">
      <alignment horizontal="left" vertical="center" wrapText="1"/>
    </xf>
    <xf numFmtId="0" fontId="8" fillId="3" borderId="35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/>
    </xf>
    <xf numFmtId="189" fontId="240" fillId="3" borderId="101" xfId="0" applyNumberFormat="1" applyFont="1" applyFill="1" applyBorder="1" applyAlignment="1">
      <alignment horizontal="center" vertical="center" wrapText="1"/>
    </xf>
    <xf numFmtId="189" fontId="240" fillId="3" borderId="102" xfId="0" applyNumberFormat="1" applyFont="1" applyFill="1" applyBorder="1" applyAlignment="1">
      <alignment horizontal="center" vertical="center" wrapText="1"/>
    </xf>
    <xf numFmtId="189" fontId="240" fillId="3" borderId="103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8" fillId="3" borderId="0" xfId="0" applyFont="1" applyFill="1" applyBorder="1" applyAlignment="1">
      <alignment horizontal="left" vertical="center" wrapText="1"/>
    </xf>
    <xf numFmtId="0" fontId="8" fillId="3" borderId="6" xfId="0" applyFont="1" applyFill="1" applyBorder="1" applyAlignment="1">
      <alignment horizontal="left" vertical="center" wrapText="1"/>
    </xf>
    <xf numFmtId="0" fontId="73" fillId="3" borderId="42" xfId="0" applyFont="1" applyFill="1" applyBorder="1" applyAlignment="1">
      <alignment horizontal="left" vertical="center"/>
    </xf>
    <xf numFmtId="0" fontId="73" fillId="3" borderId="39" xfId="0" applyFont="1" applyFill="1" applyBorder="1" applyAlignment="1">
      <alignment horizontal="left" vertical="center"/>
    </xf>
    <xf numFmtId="0" fontId="73" fillId="3" borderId="40" xfId="0" applyFont="1" applyFill="1" applyBorder="1" applyAlignment="1">
      <alignment horizontal="left" vertical="center"/>
    </xf>
    <xf numFmtId="0" fontId="75" fillId="3" borderId="42" xfId="0" applyFont="1" applyFill="1" applyBorder="1" applyAlignment="1">
      <alignment horizontal="left" vertical="center"/>
    </xf>
    <xf numFmtId="0" fontId="75" fillId="3" borderId="39" xfId="0" applyFont="1" applyFill="1" applyBorder="1" applyAlignment="1">
      <alignment horizontal="left" vertical="center"/>
    </xf>
    <xf numFmtId="0" fontId="75" fillId="3" borderId="40" xfId="0" applyFont="1" applyFill="1" applyBorder="1" applyAlignment="1">
      <alignment horizontal="left" vertical="center"/>
    </xf>
    <xf numFmtId="0" fontId="264" fillId="3" borderId="42" xfId="0" applyFont="1" applyFill="1" applyBorder="1" applyAlignment="1">
      <alignment horizontal="left" vertical="center"/>
    </xf>
    <xf numFmtId="0" fontId="264" fillId="3" borderId="39" xfId="0" applyFont="1" applyFill="1" applyBorder="1" applyAlignment="1">
      <alignment horizontal="left" vertical="center"/>
    </xf>
    <xf numFmtId="0" fontId="264" fillId="3" borderId="40" xfId="0" applyFont="1" applyFill="1" applyBorder="1" applyAlignment="1">
      <alignment horizontal="left" vertical="center"/>
    </xf>
    <xf numFmtId="1" fontId="31" fillId="45" borderId="84" xfId="2" applyNumberFormat="1" applyFont="1" applyFill="1" applyBorder="1" applyAlignment="1">
      <alignment horizontal="left"/>
    </xf>
    <xf numFmtId="1" fontId="31" fillId="45" borderId="85" xfId="2" applyNumberFormat="1" applyFont="1" applyFill="1" applyBorder="1" applyAlignment="1">
      <alignment horizontal="left"/>
    </xf>
    <xf numFmtId="1" fontId="31" fillId="45" borderId="86" xfId="2" applyNumberFormat="1" applyFont="1" applyFill="1" applyBorder="1" applyAlignment="1">
      <alignment horizontal="left"/>
    </xf>
    <xf numFmtId="165" fontId="156" fillId="37" borderId="0" xfId="0" applyNumberFormat="1" applyFont="1" applyFill="1" applyAlignment="1">
      <alignment horizontal="center"/>
    </xf>
    <xf numFmtId="14" fontId="156" fillId="37" borderId="0" xfId="0" applyNumberFormat="1" applyFont="1" applyFill="1" applyAlignment="1">
      <alignment horizontal="center"/>
    </xf>
    <xf numFmtId="1" fontId="156" fillId="37" borderId="0" xfId="0" applyNumberFormat="1" applyFont="1" applyFill="1" applyAlignment="1">
      <alignment horizontal="center"/>
    </xf>
    <xf numFmtId="0" fontId="14" fillId="52" borderId="0" xfId="0" applyFont="1" applyFill="1" applyAlignment="1">
      <alignment horizontal="center" vertical="center"/>
    </xf>
    <xf numFmtId="0" fontId="324" fillId="5" borderId="42" xfId="0" applyFont="1" applyFill="1" applyBorder="1" applyAlignment="1">
      <alignment vertical="center"/>
    </xf>
    <xf numFmtId="0" fontId="324" fillId="5" borderId="39" xfId="0" applyFont="1" applyFill="1" applyBorder="1" applyAlignment="1">
      <alignment vertical="center"/>
    </xf>
    <xf numFmtId="0" fontId="325" fillId="0" borderId="42" xfId="0" applyFont="1" applyBorder="1" applyAlignment="1">
      <alignment horizontal="center" vertical="center"/>
    </xf>
    <xf numFmtId="0" fontId="325" fillId="0" borderId="150" xfId="0" applyFont="1" applyBorder="1" applyAlignment="1">
      <alignment horizontal="center" vertical="center"/>
    </xf>
    <xf numFmtId="0" fontId="15" fillId="16" borderId="5" xfId="0" applyNumberFormat="1" applyFont="1" applyFill="1" applyBorder="1" applyAlignment="1">
      <alignment horizontal="left" vertical="center"/>
    </xf>
    <xf numFmtId="0" fontId="15" fillId="16" borderId="0" xfId="0" applyFont="1" applyFill="1" applyAlignment="1">
      <alignment horizontal="left" vertical="center"/>
    </xf>
    <xf numFmtId="0" fontId="15" fillId="16" borderId="5" xfId="0" applyFont="1" applyFill="1" applyBorder="1" applyAlignment="1">
      <alignment horizontal="left" vertical="center"/>
    </xf>
    <xf numFmtId="22" fontId="24" fillId="18" borderId="0" xfId="0" applyNumberFormat="1" applyFont="1" applyFill="1" applyAlignment="1">
      <alignment horizontal="left"/>
    </xf>
    <xf numFmtId="0" fontId="24" fillId="18" borderId="0" xfId="0" applyFont="1" applyFill="1" applyAlignment="1">
      <alignment horizontal="left"/>
    </xf>
    <xf numFmtId="0" fontId="15" fillId="16" borderId="5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165" fontId="93" fillId="11" borderId="3" xfId="0" applyNumberFormat="1" applyFont="1" applyFill="1" applyBorder="1" applyAlignment="1">
      <alignment horizontal="center"/>
    </xf>
    <xf numFmtId="0" fontId="163" fillId="16" borderId="0" xfId="0" applyFont="1" applyFill="1" applyAlignment="1">
      <alignment horizontal="left" vertical="center"/>
    </xf>
    <xf numFmtId="165" fontId="358" fillId="28" borderId="160" xfId="2" applyFont="1" applyFill="1" applyBorder="1" applyAlignment="1">
      <alignment horizontal="center"/>
    </xf>
    <xf numFmtId="165" fontId="358" fillId="28" borderId="40" xfId="2" applyFont="1" applyFill="1" applyBorder="1" applyAlignment="1">
      <alignment horizontal="center"/>
    </xf>
    <xf numFmtId="174" fontId="358" fillId="28" borderId="160" xfId="2" applyNumberFormat="1" applyFont="1" applyFill="1" applyBorder="1" applyAlignment="1">
      <alignment horizontal="center"/>
    </xf>
    <xf numFmtId="174" fontId="358" fillId="28" borderId="40" xfId="2" applyNumberFormat="1" applyFont="1" applyFill="1" applyBorder="1" applyAlignment="1">
      <alignment horizontal="center"/>
    </xf>
    <xf numFmtId="0" fontId="225" fillId="57" borderId="133" xfId="22" applyFont="1" applyBorder="1" applyAlignment="1">
      <alignment horizontal="center" vertical="center"/>
    </xf>
    <xf numFmtId="0" fontId="225" fillId="57" borderId="119" xfId="22" applyFont="1" applyBorder="1" applyAlignment="1">
      <alignment horizontal="center" vertical="center"/>
    </xf>
    <xf numFmtId="0" fontId="24" fillId="19" borderId="66" xfId="0" applyFont="1" applyFill="1" applyBorder="1" applyAlignment="1">
      <alignment horizontal="center" wrapText="1"/>
    </xf>
    <xf numFmtId="0" fontId="24" fillId="19" borderId="0" xfId="0" applyFont="1" applyFill="1" applyAlignment="1">
      <alignment horizontal="center" wrapText="1"/>
    </xf>
    <xf numFmtId="0" fontId="225" fillId="39" borderId="125" xfId="15" applyFont="1" applyBorder="1" applyAlignment="1">
      <alignment horizontal="center" vertical="center"/>
    </xf>
    <xf numFmtId="0" fontId="225" fillId="39" borderId="126" xfId="15" applyFont="1" applyBorder="1" applyAlignment="1">
      <alignment horizontal="center" vertical="center"/>
    </xf>
    <xf numFmtId="0" fontId="225" fillId="39" borderId="127" xfId="15" applyFont="1" applyBorder="1" applyAlignment="1">
      <alignment horizontal="center" vertical="center"/>
    </xf>
    <xf numFmtId="0" fontId="287" fillId="53" borderId="128" xfId="17" applyFont="1" applyBorder="1" applyAlignment="1">
      <alignment horizontal="center" vertical="center"/>
    </xf>
    <xf numFmtId="0" fontId="287" fillId="53" borderId="129" xfId="17" applyFont="1" applyBorder="1" applyAlignment="1">
      <alignment horizontal="center" vertical="center"/>
    </xf>
    <xf numFmtId="0" fontId="255" fillId="51" borderId="23" xfId="14" applyFont="1" applyBorder="1" applyAlignment="1">
      <alignment horizontal="center" vertical="center"/>
    </xf>
    <xf numFmtId="0" fontId="255" fillId="51" borderId="130" xfId="14" applyFont="1" applyBorder="1" applyAlignment="1">
      <alignment horizontal="center" vertical="center"/>
    </xf>
    <xf numFmtId="0" fontId="40" fillId="30" borderId="31" xfId="0" applyFont="1" applyFill="1" applyBorder="1" applyAlignment="1">
      <alignment horizontal="center" vertical="center" wrapText="1"/>
    </xf>
    <xf numFmtId="0" fontId="40" fillId="30" borderId="68" xfId="0" applyFont="1" applyFill="1" applyBorder="1" applyAlignment="1">
      <alignment horizontal="center" vertical="center" wrapText="1"/>
    </xf>
    <xf numFmtId="0" fontId="107" fillId="2" borderId="63" xfId="0" applyFont="1" applyFill="1" applyBorder="1" applyAlignment="1">
      <alignment horizontal="center" vertical="center" wrapText="1"/>
    </xf>
    <xf numFmtId="0" fontId="107" fillId="2" borderId="64" xfId="0" applyFont="1" applyFill="1" applyBorder="1" applyAlignment="1">
      <alignment horizontal="center" vertical="center" wrapText="1"/>
    </xf>
    <xf numFmtId="0" fontId="107" fillId="2" borderId="65" xfId="0" applyFont="1" applyFill="1" applyBorder="1" applyAlignment="1">
      <alignment horizontal="center" vertical="center" wrapText="1"/>
    </xf>
    <xf numFmtId="0" fontId="107" fillId="2" borderId="66" xfId="0" applyFont="1" applyFill="1" applyBorder="1" applyAlignment="1">
      <alignment horizontal="center" vertical="center" wrapText="1"/>
    </xf>
    <xf numFmtId="0" fontId="107" fillId="2" borderId="0" xfId="0" applyFont="1" applyFill="1" applyBorder="1" applyAlignment="1">
      <alignment horizontal="center" vertical="center" wrapText="1"/>
    </xf>
    <xf numFmtId="0" fontId="107" fillId="2" borderId="67" xfId="0" applyFont="1" applyFill="1" applyBorder="1" applyAlignment="1">
      <alignment horizontal="center" vertical="center" wrapText="1"/>
    </xf>
    <xf numFmtId="0" fontId="292" fillId="0" borderId="0" xfId="0" applyFont="1" applyAlignment="1">
      <alignment horizontal="center" vertical="top" textRotation="180"/>
    </xf>
    <xf numFmtId="0" fontId="335" fillId="0" borderId="0" xfId="0" applyFont="1" applyAlignment="1">
      <alignment horizontal="center"/>
    </xf>
  </cellXfs>
  <cellStyles count="25">
    <cellStyle name="40% - Accent6" xfId="24" builtinId="51"/>
    <cellStyle name="Accent4" xfId="22" builtinId="41"/>
    <cellStyle name="Accent5" xfId="23" builtinId="45"/>
    <cellStyle name="Bad" xfId="17" builtinId="27"/>
    <cellStyle name="Check Cell" xfId="15" builtinId="23"/>
    <cellStyle name="Comma" xfId="1" builtinId="3"/>
    <cellStyle name="Comma [0]" xfId="2" builtinId="6"/>
    <cellStyle name="Comma [0] 2" xfId="7" xr:uid="{568A8844-460E-4F4F-BF77-63B4EC66C41F}"/>
    <cellStyle name="Comma [0] 3" xfId="12" xr:uid="{DCDBB558-2F72-47E6-AA6A-D8EE5086FA3D}"/>
    <cellStyle name="Comma 2" xfId="6" xr:uid="{1CD83E0B-0A06-42C0-BB99-7D6E362656C4}"/>
    <cellStyle name="Comma 3" xfId="8" xr:uid="{7E9A2093-B8BA-40A7-A291-3EF6AEA52CAA}"/>
    <cellStyle name="Comma 4" xfId="11" xr:uid="{3185C3E1-ABFA-4FFD-B9F3-0B9B3B2DC571}"/>
    <cellStyle name="Good" xfId="10" builtinId="26"/>
    <cellStyle name="Heading 2" xfId="9" builtinId="17"/>
    <cellStyle name="Heading 3" xfId="16" builtinId="18"/>
    <cellStyle name="Hyperlink" xfId="4" builtinId="8"/>
    <cellStyle name="Input" xfId="18" builtinId="20"/>
    <cellStyle name="Neutral" xfId="14" builtinId="28"/>
    <cellStyle name="Normal" xfId="0" builtinId="0"/>
    <cellStyle name="Normal 2" xfId="5" xr:uid="{8E088820-8E4D-4DB8-B31F-D422F6D29896}"/>
    <cellStyle name="Normal 2 2" xfId="13" xr:uid="{C2A52542-20A0-4AA8-9348-2A45525FD5E4}"/>
    <cellStyle name="Note" xfId="20" builtinId="10"/>
    <cellStyle name="Output" xfId="19" builtinId="21"/>
    <cellStyle name="Percent" xfId="3" builtinId="5"/>
    <cellStyle name="Total" xfId="21" builtinId="25"/>
  </cellStyles>
  <dxfs count="1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66FF"/>
      <color rgb="FF0000CC"/>
      <color rgb="FF99FF99"/>
      <color rgb="FFF0FB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hyperlink" Target="#FinView!A1"/><Relationship Id="rId18" Type="http://schemas.openxmlformats.org/officeDocument/2006/relationships/image" Target="../media/image13.svg"/><Relationship Id="rId3" Type="http://schemas.openxmlformats.org/officeDocument/2006/relationships/image" Target="../media/image5.svg"/><Relationship Id="rId21" Type="http://schemas.openxmlformats.org/officeDocument/2006/relationships/hyperlink" Target="file:///G:\Other%20computers\My%20Laptop\NEW%20ALHAZAM" TargetMode="External"/><Relationship Id="rId7" Type="http://schemas.openxmlformats.org/officeDocument/2006/relationships/image" Target="../media/image8.png"/><Relationship Id="rId12" Type="http://schemas.openxmlformats.org/officeDocument/2006/relationships/image" Target="../media/image11.svg"/><Relationship Id="rId17" Type="http://schemas.openxmlformats.org/officeDocument/2006/relationships/image" Target="../media/image12.png"/><Relationship Id="rId2" Type="http://schemas.openxmlformats.org/officeDocument/2006/relationships/image" Target="../media/image4.png"/><Relationship Id="rId16" Type="http://schemas.openxmlformats.org/officeDocument/2006/relationships/hyperlink" Target="#'collpy (2)'!A1"/><Relationship Id="rId20" Type="http://schemas.openxmlformats.org/officeDocument/2006/relationships/image" Target="../media/image15.svg"/><Relationship Id="rId1" Type="http://schemas.openxmlformats.org/officeDocument/2006/relationships/hyperlink" Target="#InvoiceView!A1"/><Relationship Id="rId6" Type="http://schemas.openxmlformats.org/officeDocument/2006/relationships/image" Target="../media/image7.sv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hyperlink" Target="#Empolyees!A1"/><Relationship Id="rId23" Type="http://schemas.openxmlformats.org/officeDocument/2006/relationships/image" Target="../media/image17.svg"/><Relationship Id="rId10" Type="http://schemas.openxmlformats.org/officeDocument/2006/relationships/hyperlink" Target="#LPO!A1"/><Relationship Id="rId19" Type="http://schemas.openxmlformats.org/officeDocument/2006/relationships/image" Target="../media/image14.png"/><Relationship Id="rId4" Type="http://schemas.openxmlformats.org/officeDocument/2006/relationships/hyperlink" Target="#invoice2!A1"/><Relationship Id="rId9" Type="http://schemas.openxmlformats.org/officeDocument/2006/relationships/hyperlink" Target="#LPOView!A1"/><Relationship Id="rId14" Type="http://schemas.openxmlformats.org/officeDocument/2006/relationships/hyperlink" Target="#trpro!A1"/><Relationship Id="rId22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13" Type="http://schemas.openxmlformats.org/officeDocument/2006/relationships/hyperlink" Target="#FinView!A1"/><Relationship Id="rId18" Type="http://schemas.openxmlformats.org/officeDocument/2006/relationships/image" Target="../media/image27.svg"/><Relationship Id="rId3" Type="http://schemas.openxmlformats.org/officeDocument/2006/relationships/image" Target="../media/image5.svg"/><Relationship Id="rId21" Type="http://schemas.openxmlformats.org/officeDocument/2006/relationships/hyperlink" Target="file:///G:\Other%20computers\My%20Laptop\NEW%20ALHAZAM" TargetMode="External"/><Relationship Id="rId7" Type="http://schemas.openxmlformats.org/officeDocument/2006/relationships/image" Target="../media/image24.png"/><Relationship Id="rId12" Type="http://schemas.openxmlformats.org/officeDocument/2006/relationships/image" Target="../media/image11.svg"/><Relationship Id="rId17" Type="http://schemas.openxmlformats.org/officeDocument/2006/relationships/image" Target="../media/image12.png"/><Relationship Id="rId2" Type="http://schemas.openxmlformats.org/officeDocument/2006/relationships/image" Target="../media/image23.png"/><Relationship Id="rId16" Type="http://schemas.openxmlformats.org/officeDocument/2006/relationships/hyperlink" Target="#'collpy (2)'!A1"/><Relationship Id="rId20" Type="http://schemas.openxmlformats.org/officeDocument/2006/relationships/image" Target="../media/image28.svg"/><Relationship Id="rId1" Type="http://schemas.openxmlformats.org/officeDocument/2006/relationships/hyperlink" Target="#InvoiceView!A1"/><Relationship Id="rId6" Type="http://schemas.openxmlformats.org/officeDocument/2006/relationships/image" Target="../media/image7.svg"/><Relationship Id="rId11" Type="http://schemas.openxmlformats.org/officeDocument/2006/relationships/image" Target="../media/image26.png"/><Relationship Id="rId5" Type="http://schemas.openxmlformats.org/officeDocument/2006/relationships/image" Target="../media/image6.png"/><Relationship Id="rId15" Type="http://schemas.openxmlformats.org/officeDocument/2006/relationships/hyperlink" Target="#Empolyees!A1"/><Relationship Id="rId23" Type="http://schemas.openxmlformats.org/officeDocument/2006/relationships/image" Target="../media/image30.svg"/><Relationship Id="rId10" Type="http://schemas.openxmlformats.org/officeDocument/2006/relationships/hyperlink" Target="#LPO!A1"/><Relationship Id="rId19" Type="http://schemas.openxmlformats.org/officeDocument/2006/relationships/image" Target="../media/image14.png"/><Relationship Id="rId4" Type="http://schemas.openxmlformats.org/officeDocument/2006/relationships/hyperlink" Target="#invoice2!A1"/><Relationship Id="rId9" Type="http://schemas.openxmlformats.org/officeDocument/2006/relationships/hyperlink" Target="#LPOView!A1"/><Relationship Id="rId14" Type="http://schemas.openxmlformats.org/officeDocument/2006/relationships/hyperlink" Target="#trpro!A1"/><Relationship Id="rId22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file:///G:\Other%20computers\My%20Laptop\NEW%20ALHAZAM\LPO\2024" TargetMode="External"/><Relationship Id="rId2" Type="http://schemas.openxmlformats.org/officeDocument/2006/relationships/hyperlink" Target="#Main!A1"/><Relationship Id="rId1" Type="http://schemas.openxmlformats.org/officeDocument/2006/relationships/image" Target="../media/image45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2" Type="http://schemas.openxmlformats.org/officeDocument/2006/relationships/image" Target="../media/image56.png"/><Relationship Id="rId1" Type="http://schemas.openxmlformats.org/officeDocument/2006/relationships/hyperlink" Target="#Main!A1"/><Relationship Id="rId6" Type="http://schemas.openxmlformats.org/officeDocument/2006/relationships/hyperlink" Target="file:///G:\Other%20computers\My%20Laptop\NEW%20ALHAZAM\INVOICES\2024%20INVOICES" TargetMode="External"/><Relationship Id="rId5" Type="http://schemas.openxmlformats.org/officeDocument/2006/relationships/image" Target="../media/image45.emf"/><Relationship Id="rId4" Type="http://schemas.microsoft.com/office/2007/relationships/hdphoto" Target="../media/hdphoto1.wdp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file:///G:\Other%20computers\My%20Laptop\NEW%20ALHAZAM\PROJECTS\Projects%202024.xlsx" TargetMode="External"/><Relationship Id="rId1" Type="http://schemas.openxmlformats.org/officeDocument/2006/relationships/hyperlink" Target="#Mai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urchases!A1"/><Relationship Id="rId2" Type="http://schemas.openxmlformats.org/officeDocument/2006/relationships/hyperlink" Target="#Main!A1"/><Relationship Id="rId1" Type="http://schemas.openxmlformats.org/officeDocument/2006/relationships/image" Target="../media/image45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file:///G:\Other%20computers\My%20Laptop\NEW%20ALHAZAM\INVOICES\2024%20INVOICES" TargetMode="External"/><Relationship Id="rId2" Type="http://schemas.openxmlformats.org/officeDocument/2006/relationships/hyperlink" Target="#salesInv!A1"/><Relationship Id="rId1" Type="http://schemas.openxmlformats.org/officeDocument/2006/relationships/hyperlink" Target="#Main!A1"/><Relationship Id="rId6" Type="http://schemas.openxmlformats.org/officeDocument/2006/relationships/image" Target="../media/image95.png"/><Relationship Id="rId5" Type="http://schemas.openxmlformats.org/officeDocument/2006/relationships/image" Target="../media/image94.png"/><Relationship Id="rId4" Type="http://schemas.openxmlformats.org/officeDocument/2006/relationships/image" Target="../media/image9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file:///G:\Other%20computers\My%20Laptop\NEW%20ALHAZAM\INVOICES\2024%20INVOICES" TargetMode="External"/><Relationship Id="rId1" Type="http://schemas.openxmlformats.org/officeDocument/2006/relationships/hyperlink" Target="#Main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file:///G:\Other%20computers\My%20Laptop\NEW%20ALHAZAM\LPO\2024\" TargetMode="External"/><Relationship Id="rId1" Type="http://schemas.openxmlformats.org/officeDocument/2006/relationships/hyperlink" Target="#Mai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8.emf"/><Relationship Id="rId4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png"/><Relationship Id="rId1" Type="http://schemas.openxmlformats.org/officeDocument/2006/relationships/image" Target="../media/image46.png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54.emf"/><Relationship Id="rId5" Type="http://schemas.openxmlformats.org/officeDocument/2006/relationships/image" Target="../media/image49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13" Type="http://schemas.openxmlformats.org/officeDocument/2006/relationships/image" Target="../media/image80.emf"/><Relationship Id="rId18" Type="http://schemas.openxmlformats.org/officeDocument/2006/relationships/image" Target="../media/image68.emf"/><Relationship Id="rId3" Type="http://schemas.openxmlformats.org/officeDocument/2006/relationships/image" Target="../media/image73.emf"/><Relationship Id="rId21" Type="http://schemas.openxmlformats.org/officeDocument/2006/relationships/image" Target="../media/image65.emf"/><Relationship Id="rId7" Type="http://schemas.openxmlformats.org/officeDocument/2006/relationships/image" Target="../media/image69.emf"/><Relationship Id="rId12" Type="http://schemas.openxmlformats.org/officeDocument/2006/relationships/image" Target="../media/image79.emf"/><Relationship Id="rId17" Type="http://schemas.openxmlformats.org/officeDocument/2006/relationships/image" Target="../media/image85.emf"/><Relationship Id="rId2" Type="http://schemas.openxmlformats.org/officeDocument/2006/relationships/image" Target="../media/image74.emf"/><Relationship Id="rId16" Type="http://schemas.openxmlformats.org/officeDocument/2006/relationships/image" Target="../media/image84.emf"/><Relationship Id="rId20" Type="http://schemas.openxmlformats.org/officeDocument/2006/relationships/image" Target="../media/image66.emf"/><Relationship Id="rId1" Type="http://schemas.openxmlformats.org/officeDocument/2006/relationships/image" Target="../media/image83.emf"/><Relationship Id="rId6" Type="http://schemas.openxmlformats.org/officeDocument/2006/relationships/image" Target="../media/image70.emf"/><Relationship Id="rId11" Type="http://schemas.openxmlformats.org/officeDocument/2006/relationships/image" Target="../media/image78.emf"/><Relationship Id="rId5" Type="http://schemas.openxmlformats.org/officeDocument/2006/relationships/image" Target="../media/image71.emf"/><Relationship Id="rId15" Type="http://schemas.openxmlformats.org/officeDocument/2006/relationships/image" Target="../media/image82.emf"/><Relationship Id="rId10" Type="http://schemas.openxmlformats.org/officeDocument/2006/relationships/image" Target="../media/image77.emf"/><Relationship Id="rId19" Type="http://schemas.openxmlformats.org/officeDocument/2006/relationships/image" Target="../media/image67.emf"/><Relationship Id="rId4" Type="http://schemas.openxmlformats.org/officeDocument/2006/relationships/image" Target="../media/image72.emf"/><Relationship Id="rId9" Type="http://schemas.openxmlformats.org/officeDocument/2006/relationships/image" Target="../media/image76.emf"/><Relationship Id="rId14" Type="http://schemas.openxmlformats.org/officeDocument/2006/relationships/image" Target="../media/image8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png"/><Relationship Id="rId1" Type="http://schemas.openxmlformats.org/officeDocument/2006/relationships/image" Target="../media/image46.png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7" Type="http://schemas.openxmlformats.org/officeDocument/2006/relationships/image" Target="../media/image92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6" Type="http://schemas.openxmlformats.org/officeDocument/2006/relationships/image" Target="../media/image89.emf"/><Relationship Id="rId5" Type="http://schemas.openxmlformats.org/officeDocument/2006/relationships/image" Target="../media/image86.emf"/><Relationship Id="rId4" Type="http://schemas.openxmlformats.org/officeDocument/2006/relationships/image" Target="../media/image8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7" Type="http://schemas.openxmlformats.org/officeDocument/2006/relationships/image" Target="../media/image99.emf"/><Relationship Id="rId2" Type="http://schemas.openxmlformats.org/officeDocument/2006/relationships/image" Target="../media/image101.emf"/><Relationship Id="rId1" Type="http://schemas.openxmlformats.org/officeDocument/2006/relationships/image" Target="../media/image100.emf"/><Relationship Id="rId6" Type="http://schemas.openxmlformats.org/officeDocument/2006/relationships/image" Target="../media/image105.emf"/><Relationship Id="rId5" Type="http://schemas.openxmlformats.org/officeDocument/2006/relationships/image" Target="../media/image104.emf"/><Relationship Id="rId4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437030</xdr:colOff>
      <xdr:row>0</xdr:row>
      <xdr:rowOff>33618</xdr:rowOff>
    </xdr:from>
    <xdr:to>
      <xdr:col>9</xdr:col>
      <xdr:colOff>289394</xdr:colOff>
      <xdr:row>1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5471" y="33618"/>
          <a:ext cx="3516688" cy="3809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7843</xdr:colOff>
      <xdr:row>6</xdr:row>
      <xdr:rowOff>53787</xdr:rowOff>
    </xdr:from>
    <xdr:to>
      <xdr:col>11</xdr:col>
      <xdr:colOff>258608</xdr:colOff>
      <xdr:row>8</xdr:row>
      <xdr:rowOff>32787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779743" y="1215837"/>
          <a:ext cx="1088965" cy="3981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Sales</a:t>
          </a:r>
        </a:p>
      </xdr:txBody>
    </xdr:sp>
    <xdr:clientData/>
  </xdr:twoCellAnchor>
  <xdr:twoCellAnchor editAs="oneCell">
    <xdr:from>
      <xdr:col>5</xdr:col>
      <xdr:colOff>126502</xdr:colOff>
      <xdr:row>13</xdr:row>
      <xdr:rowOff>169596</xdr:rowOff>
    </xdr:from>
    <xdr:to>
      <xdr:col>7</xdr:col>
      <xdr:colOff>36016</xdr:colOff>
      <xdr:row>17</xdr:row>
      <xdr:rowOff>154080</xdr:rowOff>
    </xdr:to>
    <xdr:pic>
      <xdr:nvPicPr>
        <xdr:cNvPr id="3" name="Graphic 2" descr="Business Growth with solid fill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22002" y="2769921"/>
          <a:ext cx="747714" cy="746484"/>
        </a:xfrm>
        <a:prstGeom prst="rect">
          <a:avLst/>
        </a:prstGeom>
      </xdr:spPr>
    </xdr:pic>
    <xdr:clientData/>
  </xdr:twoCellAnchor>
  <xdr:twoCellAnchor editAs="oneCell">
    <xdr:from>
      <xdr:col>9</xdr:col>
      <xdr:colOff>90485</xdr:colOff>
      <xdr:row>2</xdr:row>
      <xdr:rowOff>19610</xdr:rowOff>
    </xdr:from>
    <xdr:to>
      <xdr:col>11</xdr:col>
      <xdr:colOff>0</xdr:colOff>
      <xdr:row>5</xdr:row>
      <xdr:rowOff>190500</xdr:rowOff>
    </xdr:to>
    <xdr:pic>
      <xdr:nvPicPr>
        <xdr:cNvPr id="4" name="Graphic 3" descr="Checklis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2385" y="400610"/>
          <a:ext cx="747715" cy="742390"/>
        </a:xfrm>
        <a:prstGeom prst="rect">
          <a:avLst/>
        </a:prstGeom>
      </xdr:spPr>
    </xdr:pic>
    <xdr:clientData/>
  </xdr:twoCellAnchor>
  <xdr:twoCellAnchor editAs="oneCell">
    <xdr:from>
      <xdr:col>1</xdr:col>
      <xdr:colOff>394566</xdr:colOff>
      <xdr:row>2</xdr:row>
      <xdr:rowOff>59634</xdr:rowOff>
    </xdr:from>
    <xdr:to>
      <xdr:col>3</xdr:col>
      <xdr:colOff>305446</xdr:colOff>
      <xdr:row>6</xdr:row>
      <xdr:rowOff>26417</xdr:rowOff>
    </xdr:to>
    <xdr:pic>
      <xdr:nvPicPr>
        <xdr:cNvPr id="5" name="Graphic 4" descr="City with solid fil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3666" y="440634"/>
          <a:ext cx="749080" cy="747833"/>
        </a:xfrm>
        <a:prstGeom prst="rect">
          <a:avLst/>
        </a:prstGeom>
      </xdr:spPr>
    </xdr:pic>
    <xdr:clientData/>
  </xdr:twoCellAnchor>
  <xdr:twoCellAnchor>
    <xdr:from>
      <xdr:col>5</xdr:col>
      <xdr:colOff>2241</xdr:colOff>
      <xdr:row>6</xdr:row>
      <xdr:rowOff>88525</xdr:rowOff>
    </xdr:from>
    <xdr:to>
      <xdr:col>7</xdr:col>
      <xdr:colOff>253005</xdr:colOff>
      <xdr:row>8</xdr:row>
      <xdr:rowOff>67525</xdr:rowOff>
    </xdr:to>
    <xdr:sp macro="" textlink="">
      <xdr:nvSpPr>
        <xdr:cNvPr id="6" name="Rectangle: Rounded Corners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097741" y="1250575"/>
          <a:ext cx="1088964" cy="3981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LPOs</a:t>
          </a:r>
        </a:p>
      </xdr:txBody>
    </xdr:sp>
    <xdr:clientData/>
  </xdr:twoCellAnchor>
  <xdr:twoCellAnchor editAs="oneCell">
    <xdr:from>
      <xdr:col>5</xdr:col>
      <xdr:colOff>404408</xdr:colOff>
      <xdr:row>1</xdr:row>
      <xdr:rowOff>170889</xdr:rowOff>
    </xdr:from>
    <xdr:to>
      <xdr:col>7</xdr:col>
      <xdr:colOff>322111</xdr:colOff>
      <xdr:row>5</xdr:row>
      <xdr:rowOff>151279</xdr:rowOff>
    </xdr:to>
    <xdr:pic>
      <xdr:nvPicPr>
        <xdr:cNvPr id="7" name="Graphic 6" descr="Marketing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99908" y="361389"/>
          <a:ext cx="755903" cy="742390"/>
        </a:xfrm>
        <a:prstGeom prst="rect">
          <a:avLst/>
        </a:prstGeom>
      </xdr:spPr>
    </xdr:pic>
    <xdr:clientData/>
  </xdr:twoCellAnchor>
  <xdr:twoCellAnchor>
    <xdr:from>
      <xdr:col>1</xdr:col>
      <xdr:colOff>8404</xdr:colOff>
      <xdr:row>18</xdr:row>
      <xdr:rowOff>559</xdr:rowOff>
    </xdr:from>
    <xdr:to>
      <xdr:col>3</xdr:col>
      <xdr:colOff>259169</xdr:colOff>
      <xdr:row>19</xdr:row>
      <xdr:rowOff>170059</xdr:rowOff>
    </xdr:to>
    <xdr:sp macro="" textlink="">
      <xdr:nvSpPr>
        <xdr:cNvPr id="8" name="Rectangle: Rounded Corners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7504" y="3553384"/>
          <a:ext cx="1088965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4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Cash Flow</a:t>
          </a:r>
        </a:p>
      </xdr:txBody>
    </xdr:sp>
    <xdr:clientData/>
  </xdr:twoCellAnchor>
  <xdr:twoCellAnchor>
    <xdr:from>
      <xdr:col>1</xdr:col>
      <xdr:colOff>7842</xdr:colOff>
      <xdr:row>6</xdr:row>
      <xdr:rowOff>77320</xdr:rowOff>
    </xdr:from>
    <xdr:to>
      <xdr:col>3</xdr:col>
      <xdr:colOff>258607</xdr:colOff>
      <xdr:row>8</xdr:row>
      <xdr:rowOff>56320</xdr:rowOff>
    </xdr:to>
    <xdr:sp macro="" textlink="">
      <xdr:nvSpPr>
        <xdr:cNvPr id="9" name="Rectangle: Rounded Corners 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26942" y="1239370"/>
          <a:ext cx="1088965" cy="3981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6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Projects</a:t>
          </a:r>
        </a:p>
      </xdr:txBody>
    </xdr:sp>
    <xdr:clientData/>
  </xdr:twoCellAnchor>
  <xdr:twoCellAnchor>
    <xdr:from>
      <xdr:col>4</xdr:col>
      <xdr:colOff>291352</xdr:colOff>
      <xdr:row>18</xdr:row>
      <xdr:rowOff>11204</xdr:rowOff>
    </xdr:from>
    <xdr:to>
      <xdr:col>7</xdr:col>
      <xdr:colOff>127499</xdr:colOff>
      <xdr:row>19</xdr:row>
      <xdr:rowOff>180704</xdr:rowOff>
    </xdr:to>
    <xdr:sp macro="" textlink="">
      <xdr:nvSpPr>
        <xdr:cNvPr id="10" name="Rectangle: Rounded Corners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967752" y="3564029"/>
          <a:ext cx="1093447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4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Empolyees</a:t>
          </a:r>
        </a:p>
      </xdr:txBody>
    </xdr:sp>
    <xdr:clientData/>
  </xdr:twoCellAnchor>
  <xdr:twoCellAnchor>
    <xdr:from>
      <xdr:col>9</xdr:col>
      <xdr:colOff>7844</xdr:colOff>
      <xdr:row>17</xdr:row>
      <xdr:rowOff>151840</xdr:rowOff>
    </xdr:from>
    <xdr:to>
      <xdr:col>11</xdr:col>
      <xdr:colOff>258609</xdr:colOff>
      <xdr:row>19</xdr:row>
      <xdr:rowOff>119634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3779744" y="3514165"/>
          <a:ext cx="1088965" cy="348794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4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Com. Doucments</a:t>
          </a:r>
        </a:p>
      </xdr:txBody>
    </xdr:sp>
    <xdr:clientData/>
  </xdr:twoCellAnchor>
  <xdr:twoCellAnchor editAs="oneCell">
    <xdr:from>
      <xdr:col>1</xdr:col>
      <xdr:colOff>188509</xdr:colOff>
      <xdr:row>13</xdr:row>
      <xdr:rowOff>132480</xdr:rowOff>
    </xdr:from>
    <xdr:to>
      <xdr:col>3</xdr:col>
      <xdr:colOff>0</xdr:colOff>
      <xdr:row>17</xdr:row>
      <xdr:rowOff>11206</xdr:rowOff>
    </xdr:to>
    <xdr:pic>
      <xdr:nvPicPr>
        <xdr:cNvPr id="12" name="Graphic 11" descr="Money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607609" y="2732805"/>
          <a:ext cx="649691" cy="640726"/>
        </a:xfrm>
        <a:prstGeom prst="rect">
          <a:avLst/>
        </a:prstGeom>
      </xdr:spPr>
    </xdr:pic>
    <xdr:clientData/>
  </xdr:twoCellAnchor>
  <xdr:twoCellAnchor editAs="oneCell">
    <xdr:from>
      <xdr:col>9</xdr:col>
      <xdr:colOff>91204</xdr:colOff>
      <xdr:row>13</xdr:row>
      <xdr:rowOff>134467</xdr:rowOff>
    </xdr:from>
    <xdr:to>
      <xdr:col>11</xdr:col>
      <xdr:colOff>719</xdr:colOff>
      <xdr:row>17</xdr:row>
      <xdr:rowOff>111217</xdr:rowOff>
    </xdr:to>
    <xdr:pic>
      <xdr:nvPicPr>
        <xdr:cNvPr id="13" name="Graphic 12" descr="Employee badge with solid fill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rcRect/>
        <a:stretch/>
      </xdr:blipFill>
      <xdr:spPr>
        <a:xfrm>
          <a:off x="3863104" y="2734792"/>
          <a:ext cx="747715" cy="738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371475</xdr:colOff>
          <xdr:row>1</xdr:row>
          <xdr:rowOff>57150</xdr:rowOff>
        </xdr:from>
        <xdr:to>
          <xdr:col>33</xdr:col>
          <xdr:colOff>590550</xdr:colOff>
          <xdr:row>3</xdr:row>
          <xdr:rowOff>19050</xdr:rowOff>
        </xdr:to>
        <xdr:sp macro="" textlink="">
          <xdr:nvSpPr>
            <xdr:cNvPr id="395265" name="CommandButton2" hidden="1">
              <a:extLst>
                <a:ext uri="{63B3BB69-23CF-44E3-9099-C40C66FF867C}">
                  <a14:compatExt spid="_x0000_s395265"/>
                </a:ext>
                <a:ext uri="{FF2B5EF4-FFF2-40B4-BE49-F238E27FC236}">
                  <a16:creationId xmlns:a16="http://schemas.microsoft.com/office/drawing/2014/main" id="{00000000-0008-0000-0800-0000010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352425</xdr:colOff>
      <xdr:row>2</xdr:row>
      <xdr:rowOff>38100</xdr:rowOff>
    </xdr:from>
    <xdr:to>
      <xdr:col>14</xdr:col>
      <xdr:colOff>80821</xdr:colOff>
      <xdr:row>5</xdr:row>
      <xdr:rowOff>190500</xdr:rowOff>
    </xdr:to>
    <xdr:pic>
      <xdr:nvPicPr>
        <xdr:cNvPr id="15" name="Graphic 14" descr="Internet with solid fill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rcRect/>
        <a:stretch/>
      </xdr:blipFill>
      <xdr:spPr>
        <a:xfrm>
          <a:off x="5381625" y="419100"/>
          <a:ext cx="909496" cy="723900"/>
        </a:xfrm>
        <a:prstGeom prst="rect">
          <a:avLst/>
        </a:prstGeom>
      </xdr:spPr>
    </xdr:pic>
    <xdr:clientData/>
  </xdr:twoCellAnchor>
  <xdr:oneCellAnchor>
    <xdr:from>
      <xdr:col>5</xdr:col>
      <xdr:colOff>78441</xdr:colOff>
      <xdr:row>14</xdr:row>
      <xdr:rowOff>56030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2151529" y="286870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AE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26</xdr:row>
          <xdr:rowOff>38100</xdr:rowOff>
        </xdr:from>
        <xdr:to>
          <xdr:col>10</xdr:col>
          <xdr:colOff>333375</xdr:colOff>
          <xdr:row>33</xdr:row>
          <xdr:rowOff>38100</xdr:rowOff>
        </xdr:to>
        <xdr:sp macro="" textlink="">
          <xdr:nvSpPr>
            <xdr:cNvPr id="395266" name="CommandButton1" hidden="1">
              <a:extLst>
                <a:ext uri="{63B3BB69-23CF-44E3-9099-C40C66FF867C}">
                  <a14:compatExt spid="_x0000_s395266"/>
                </a:ext>
                <a:ext uri="{FF2B5EF4-FFF2-40B4-BE49-F238E27FC236}">
                  <a16:creationId xmlns:a16="http://schemas.microsoft.com/office/drawing/2014/main" id="{00000000-0008-0000-0800-0000020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7843</xdr:colOff>
      <xdr:row>6</xdr:row>
      <xdr:rowOff>53787</xdr:rowOff>
    </xdr:from>
    <xdr:to>
      <xdr:col>11</xdr:col>
      <xdr:colOff>258608</xdr:colOff>
      <xdr:row>8</xdr:row>
      <xdr:rowOff>32787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739402" y="1196787"/>
          <a:ext cx="1080000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Sales</a:t>
          </a:r>
        </a:p>
      </xdr:txBody>
    </xdr:sp>
    <xdr:clientData/>
  </xdr:twoCellAnchor>
  <xdr:twoCellAnchor editAs="oneCell">
    <xdr:from>
      <xdr:col>5</xdr:col>
      <xdr:colOff>126502</xdr:colOff>
      <xdr:row>13</xdr:row>
      <xdr:rowOff>169596</xdr:rowOff>
    </xdr:from>
    <xdr:to>
      <xdr:col>7</xdr:col>
      <xdr:colOff>36016</xdr:colOff>
      <xdr:row>17</xdr:row>
      <xdr:rowOff>154080</xdr:rowOff>
    </xdr:to>
    <xdr:pic>
      <xdr:nvPicPr>
        <xdr:cNvPr id="9" name="Graphic 8" descr="Business Growth with solid fill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99590" y="2668508"/>
          <a:ext cx="738750" cy="746484"/>
        </a:xfrm>
        <a:prstGeom prst="rect">
          <a:avLst/>
        </a:prstGeom>
      </xdr:spPr>
    </xdr:pic>
    <xdr:clientData/>
  </xdr:twoCellAnchor>
  <xdr:twoCellAnchor editAs="oneCell">
    <xdr:from>
      <xdr:col>9</xdr:col>
      <xdr:colOff>90485</xdr:colOff>
      <xdr:row>2</xdr:row>
      <xdr:rowOff>19610</xdr:rowOff>
    </xdr:from>
    <xdr:to>
      <xdr:col>11</xdr:col>
      <xdr:colOff>0</xdr:colOff>
      <xdr:row>5</xdr:row>
      <xdr:rowOff>190500</xdr:rowOff>
    </xdr:to>
    <xdr:pic>
      <xdr:nvPicPr>
        <xdr:cNvPr id="12" name="Graphic 11" descr="Checklist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22044" y="400610"/>
          <a:ext cx="738750" cy="742390"/>
        </a:xfrm>
        <a:prstGeom prst="rect">
          <a:avLst/>
        </a:prstGeom>
      </xdr:spPr>
    </xdr:pic>
    <xdr:clientData/>
  </xdr:twoCellAnchor>
  <xdr:twoCellAnchor editAs="oneCell">
    <xdr:from>
      <xdr:col>1</xdr:col>
      <xdr:colOff>394566</xdr:colOff>
      <xdr:row>2</xdr:row>
      <xdr:rowOff>59634</xdr:rowOff>
    </xdr:from>
    <xdr:to>
      <xdr:col>3</xdr:col>
      <xdr:colOff>305446</xdr:colOff>
      <xdr:row>6</xdr:row>
      <xdr:rowOff>26417</xdr:rowOff>
    </xdr:to>
    <xdr:pic>
      <xdr:nvPicPr>
        <xdr:cNvPr id="14" name="Graphic 13" descr="City with solid fill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9184" y="440634"/>
          <a:ext cx="740115" cy="742390"/>
        </a:xfrm>
        <a:prstGeom prst="rect">
          <a:avLst/>
        </a:prstGeom>
      </xdr:spPr>
    </xdr:pic>
    <xdr:clientData/>
  </xdr:twoCellAnchor>
  <xdr:twoCellAnchor>
    <xdr:from>
      <xdr:col>5</xdr:col>
      <xdr:colOff>2241</xdr:colOff>
      <xdr:row>6</xdr:row>
      <xdr:rowOff>88525</xdr:rowOff>
    </xdr:from>
    <xdr:to>
      <xdr:col>7</xdr:col>
      <xdr:colOff>253005</xdr:colOff>
      <xdr:row>8</xdr:row>
      <xdr:rowOff>67525</xdr:rowOff>
    </xdr:to>
    <xdr:sp macro="" textlink="">
      <xdr:nvSpPr>
        <xdr:cNvPr id="73" name="Rectangle: Rounded Corners 7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>
        <a:xfrm>
          <a:off x="2075329" y="1231525"/>
          <a:ext cx="1080000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LPOs</a:t>
          </a:r>
        </a:p>
      </xdr:txBody>
    </xdr:sp>
    <xdr:clientData/>
  </xdr:twoCellAnchor>
  <xdr:twoCellAnchor editAs="oneCell">
    <xdr:from>
      <xdr:col>5</xdr:col>
      <xdr:colOff>404408</xdr:colOff>
      <xdr:row>1</xdr:row>
      <xdr:rowOff>170889</xdr:rowOff>
    </xdr:from>
    <xdr:to>
      <xdr:col>7</xdr:col>
      <xdr:colOff>322111</xdr:colOff>
      <xdr:row>5</xdr:row>
      <xdr:rowOff>151279</xdr:rowOff>
    </xdr:to>
    <xdr:pic>
      <xdr:nvPicPr>
        <xdr:cNvPr id="48" name="Graphic 47" descr="Marketing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77496" y="361389"/>
          <a:ext cx="746939" cy="742390"/>
        </a:xfrm>
        <a:prstGeom prst="rect">
          <a:avLst/>
        </a:prstGeom>
      </xdr:spPr>
    </xdr:pic>
    <xdr:clientData/>
  </xdr:twoCellAnchor>
  <xdr:twoCellAnchor>
    <xdr:from>
      <xdr:col>1</xdr:col>
      <xdr:colOff>8404</xdr:colOff>
      <xdr:row>18</xdr:row>
      <xdr:rowOff>559</xdr:rowOff>
    </xdr:from>
    <xdr:to>
      <xdr:col>3</xdr:col>
      <xdr:colOff>259169</xdr:colOff>
      <xdr:row>19</xdr:row>
      <xdr:rowOff>170059</xdr:rowOff>
    </xdr:to>
    <xdr:sp macro="" textlink="">
      <xdr:nvSpPr>
        <xdr:cNvPr id="76" name="Rectangle: Rounded Corners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>
        <a:xfrm>
          <a:off x="423022" y="3474383"/>
          <a:ext cx="1080000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4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Cash Flow</a:t>
          </a:r>
        </a:p>
      </xdr:txBody>
    </xdr:sp>
    <xdr:clientData/>
  </xdr:twoCellAnchor>
  <xdr:twoCellAnchor>
    <xdr:from>
      <xdr:col>1</xdr:col>
      <xdr:colOff>7842</xdr:colOff>
      <xdr:row>6</xdr:row>
      <xdr:rowOff>77320</xdr:rowOff>
    </xdr:from>
    <xdr:to>
      <xdr:col>3</xdr:col>
      <xdr:colOff>258607</xdr:colOff>
      <xdr:row>8</xdr:row>
      <xdr:rowOff>56320</xdr:rowOff>
    </xdr:to>
    <xdr:sp macro="" textlink="">
      <xdr:nvSpPr>
        <xdr:cNvPr id="78" name="Rectangle: Rounded Corners 7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>
        <a:xfrm>
          <a:off x="422460" y="1220320"/>
          <a:ext cx="1080000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6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Projects</a:t>
          </a:r>
        </a:p>
      </xdr:txBody>
    </xdr:sp>
    <xdr:clientData/>
  </xdr:twoCellAnchor>
  <xdr:twoCellAnchor>
    <xdr:from>
      <xdr:col>4</xdr:col>
      <xdr:colOff>291352</xdr:colOff>
      <xdr:row>18</xdr:row>
      <xdr:rowOff>11204</xdr:rowOff>
    </xdr:from>
    <xdr:to>
      <xdr:col>7</xdr:col>
      <xdr:colOff>127499</xdr:colOff>
      <xdr:row>19</xdr:row>
      <xdr:rowOff>180704</xdr:rowOff>
    </xdr:to>
    <xdr:sp macro="" textlink="">
      <xdr:nvSpPr>
        <xdr:cNvPr id="84" name="Rectangle: Rounded Corners 8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>
        <a:xfrm>
          <a:off x="1949823" y="3485028"/>
          <a:ext cx="1080000" cy="3600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4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Empolyees</a:t>
          </a:r>
        </a:p>
      </xdr:txBody>
    </xdr:sp>
    <xdr:clientData/>
  </xdr:twoCellAnchor>
  <xdr:twoCellAnchor>
    <xdr:from>
      <xdr:col>9</xdr:col>
      <xdr:colOff>7844</xdr:colOff>
      <xdr:row>17</xdr:row>
      <xdr:rowOff>151840</xdr:rowOff>
    </xdr:from>
    <xdr:to>
      <xdr:col>11</xdr:col>
      <xdr:colOff>258609</xdr:colOff>
      <xdr:row>19</xdr:row>
      <xdr:rowOff>119634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>
        <a:xfrm>
          <a:off x="3739403" y="3536016"/>
          <a:ext cx="1080000" cy="348794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400" b="1" i="0" u="none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Com. Doucments</a:t>
          </a:r>
        </a:p>
      </xdr:txBody>
    </xdr:sp>
    <xdr:clientData/>
  </xdr:twoCellAnchor>
  <xdr:twoCellAnchor editAs="oneCell">
    <xdr:from>
      <xdr:col>1</xdr:col>
      <xdr:colOff>188509</xdr:colOff>
      <xdr:row>13</xdr:row>
      <xdr:rowOff>132480</xdr:rowOff>
    </xdr:from>
    <xdr:to>
      <xdr:col>3</xdr:col>
      <xdr:colOff>0</xdr:colOff>
      <xdr:row>17</xdr:row>
      <xdr:rowOff>11206</xdr:rowOff>
    </xdr:to>
    <xdr:pic>
      <xdr:nvPicPr>
        <xdr:cNvPr id="32" name="Graphic 31" descr="Money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603127" y="2631392"/>
          <a:ext cx="640726" cy="640726"/>
        </a:xfrm>
        <a:prstGeom prst="rect">
          <a:avLst/>
        </a:prstGeom>
      </xdr:spPr>
    </xdr:pic>
    <xdr:clientData/>
  </xdr:twoCellAnchor>
  <xdr:twoCellAnchor editAs="oneCell">
    <xdr:from>
      <xdr:col>9</xdr:col>
      <xdr:colOff>91204</xdr:colOff>
      <xdr:row>13</xdr:row>
      <xdr:rowOff>134467</xdr:rowOff>
    </xdr:from>
    <xdr:to>
      <xdr:col>11</xdr:col>
      <xdr:colOff>719</xdr:colOff>
      <xdr:row>17</xdr:row>
      <xdr:rowOff>111217</xdr:rowOff>
    </xdr:to>
    <xdr:pic>
      <xdr:nvPicPr>
        <xdr:cNvPr id="44" name="Graphic 43" descr="Employee badge with solid fill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rcRect/>
        <a:stretch/>
      </xdr:blipFill>
      <xdr:spPr>
        <a:xfrm>
          <a:off x="3822763" y="2633379"/>
          <a:ext cx="738750" cy="738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371475</xdr:colOff>
          <xdr:row>1</xdr:row>
          <xdr:rowOff>57150</xdr:rowOff>
        </xdr:from>
        <xdr:to>
          <xdr:col>33</xdr:col>
          <xdr:colOff>590550</xdr:colOff>
          <xdr:row>3</xdr:row>
          <xdr:rowOff>19050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352425</xdr:colOff>
      <xdr:row>2</xdr:row>
      <xdr:rowOff>38100</xdr:rowOff>
    </xdr:from>
    <xdr:to>
      <xdr:col>14</xdr:col>
      <xdr:colOff>80821</xdr:colOff>
      <xdr:row>5</xdr:row>
      <xdr:rowOff>190500</xdr:rowOff>
    </xdr:to>
    <xdr:pic>
      <xdr:nvPicPr>
        <xdr:cNvPr id="21" name="Graphic 20" descr="Internet with solid fill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rcRect/>
        <a:stretch/>
      </xdr:blipFill>
      <xdr:spPr>
        <a:xfrm>
          <a:off x="5381625" y="419100"/>
          <a:ext cx="909496" cy="723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23</xdr:row>
          <xdr:rowOff>180975</xdr:rowOff>
        </xdr:from>
        <xdr:to>
          <xdr:col>5</xdr:col>
          <xdr:colOff>295275</xdr:colOff>
          <xdr:row>25</xdr:row>
          <xdr:rowOff>180975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9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30</xdr:row>
          <xdr:rowOff>19050</xdr:rowOff>
        </xdr:from>
        <xdr:to>
          <xdr:col>5</xdr:col>
          <xdr:colOff>257175</xdr:colOff>
          <xdr:row>32</xdr:row>
          <xdr:rowOff>19050</xdr:rowOff>
        </xdr:to>
        <xdr:sp macro="" textlink="">
          <xdr:nvSpPr>
            <xdr:cNvPr id="2065" name="CommandButton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9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25</xdr:row>
          <xdr:rowOff>180975</xdr:rowOff>
        </xdr:from>
        <xdr:to>
          <xdr:col>5</xdr:col>
          <xdr:colOff>295275</xdr:colOff>
          <xdr:row>27</xdr:row>
          <xdr:rowOff>180975</xdr:rowOff>
        </xdr:to>
        <xdr:sp macro="" textlink="">
          <xdr:nvSpPr>
            <xdr:cNvPr id="2067" name="CommandButton4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9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28</xdr:row>
          <xdr:rowOff>0</xdr:rowOff>
        </xdr:from>
        <xdr:to>
          <xdr:col>5</xdr:col>
          <xdr:colOff>257175</xdr:colOff>
          <xdr:row>30</xdr:row>
          <xdr:rowOff>0</xdr:rowOff>
        </xdr:to>
        <xdr:sp macro="" textlink="">
          <xdr:nvSpPr>
            <xdr:cNvPr id="2072" name="CommandButton5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9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457200</xdr:colOff>
          <xdr:row>1</xdr:row>
          <xdr:rowOff>57150</xdr:rowOff>
        </xdr:to>
        <xdr:sp macro="" textlink="">
          <xdr:nvSpPr>
            <xdr:cNvPr id="425985" name="CommandButton1" hidden="1">
              <a:extLst>
                <a:ext uri="{63B3BB69-23CF-44E3-9099-C40C66FF867C}">
                  <a14:compatExt spid="_x0000_s425985"/>
                </a:ext>
                <a:ext uri="{FF2B5EF4-FFF2-40B4-BE49-F238E27FC236}">
                  <a16:creationId xmlns:a16="http://schemas.microsoft.com/office/drawing/2014/main" id="{00000000-0008-0000-0B00-0000018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0</xdr:rowOff>
    </xdr:from>
    <xdr:to>
      <xdr:col>28</xdr:col>
      <xdr:colOff>208189</xdr:colOff>
      <xdr:row>1</xdr:row>
      <xdr:rowOff>95250</xdr:rowOff>
    </xdr:to>
    <xdr:sp macro="" textlink="">
      <xdr:nvSpPr>
        <xdr:cNvPr id="3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3582650" y="0"/>
          <a:ext cx="1227364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361950</xdr:colOff>
          <xdr:row>0</xdr:row>
          <xdr:rowOff>0</xdr:rowOff>
        </xdr:from>
        <xdr:to>
          <xdr:col>30</xdr:col>
          <xdr:colOff>352425</xdr:colOff>
          <xdr:row>1</xdr:row>
          <xdr:rowOff>57150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0</xdr:row>
          <xdr:rowOff>38100</xdr:rowOff>
        </xdr:from>
        <xdr:to>
          <xdr:col>9</xdr:col>
          <xdr:colOff>171450</xdr:colOff>
          <xdr:row>1</xdr:row>
          <xdr:rowOff>104775</xdr:rowOff>
        </xdr:to>
        <xdr:sp macro="" textlink="">
          <xdr:nvSpPr>
            <xdr:cNvPr id="352257" name="CommandButton1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0E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0</xdr:row>
          <xdr:rowOff>38100</xdr:rowOff>
        </xdr:from>
        <xdr:to>
          <xdr:col>8</xdr:col>
          <xdr:colOff>180975</xdr:colOff>
          <xdr:row>1</xdr:row>
          <xdr:rowOff>104775</xdr:rowOff>
        </xdr:to>
        <xdr:sp macro="" textlink="">
          <xdr:nvSpPr>
            <xdr:cNvPr id="352264" name="CommandButton4" hidden="1">
              <a:extLst>
                <a:ext uri="{63B3BB69-23CF-44E3-9099-C40C66FF867C}">
                  <a14:compatExt spid="_x0000_s352264"/>
                </a:ext>
                <a:ext uri="{FF2B5EF4-FFF2-40B4-BE49-F238E27FC236}">
                  <a16:creationId xmlns:a16="http://schemas.microsoft.com/office/drawing/2014/main" id="{00000000-0008-0000-0E00-000008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265043</xdr:colOff>
      <xdr:row>0</xdr:row>
      <xdr:rowOff>49698</xdr:rowOff>
    </xdr:from>
    <xdr:to>
      <xdr:col>10</xdr:col>
      <xdr:colOff>585629</xdr:colOff>
      <xdr:row>1</xdr:row>
      <xdr:rowOff>99393</xdr:rowOff>
    </xdr:to>
    <xdr:sp macro="" textlink="">
      <xdr:nvSpPr>
        <xdr:cNvPr id="17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9607826" y="49698"/>
          <a:ext cx="1016325" cy="248478"/>
        </a:xfrm>
        <a:prstGeom prst="roundRect">
          <a:avLst/>
        </a:prstGeom>
        <a:solidFill>
          <a:srgbClr val="9BBB59">
            <a:lumMod val="75000"/>
          </a:srgbClr>
        </a:solidFill>
        <a:ln w="9525" cap="flat" cmpd="sng" algn="ctr">
          <a:solidFill>
            <a:srgbClr val="C0504D">
              <a:shade val="95000"/>
              <a:satMod val="105000"/>
            </a:srgb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0</xdr:row>
          <xdr:rowOff>38100</xdr:rowOff>
        </xdr:from>
        <xdr:to>
          <xdr:col>7</xdr:col>
          <xdr:colOff>333375</xdr:colOff>
          <xdr:row>1</xdr:row>
          <xdr:rowOff>104775</xdr:rowOff>
        </xdr:to>
        <xdr:sp macro="" textlink="">
          <xdr:nvSpPr>
            <xdr:cNvPr id="352265" name="CommandButton2" hidden="1">
              <a:extLst>
                <a:ext uri="{63B3BB69-23CF-44E3-9099-C40C66FF867C}">
                  <a14:compatExt spid="_x0000_s352265"/>
                </a:ext>
                <a:ext uri="{FF2B5EF4-FFF2-40B4-BE49-F238E27FC236}">
                  <a16:creationId xmlns:a16="http://schemas.microsoft.com/office/drawing/2014/main" id="{00000000-0008-0000-0E00-000009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0</xdr:row>
          <xdr:rowOff>38100</xdr:rowOff>
        </xdr:from>
        <xdr:to>
          <xdr:col>11</xdr:col>
          <xdr:colOff>714375</xdr:colOff>
          <xdr:row>1</xdr:row>
          <xdr:rowOff>104775</xdr:rowOff>
        </xdr:to>
        <xdr:sp macro="" textlink="">
          <xdr:nvSpPr>
            <xdr:cNvPr id="352266" name="CommandButton3" hidden="1">
              <a:extLst>
                <a:ext uri="{63B3BB69-23CF-44E3-9099-C40C66FF867C}">
                  <a14:compatExt spid="_x0000_s352266"/>
                </a:ext>
                <a:ext uri="{FF2B5EF4-FFF2-40B4-BE49-F238E27FC236}">
                  <a16:creationId xmlns:a16="http://schemas.microsoft.com/office/drawing/2014/main" id="{00000000-0008-0000-0E00-00000A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40998</xdr:colOff>
      <xdr:row>10</xdr:row>
      <xdr:rowOff>137702</xdr:rowOff>
    </xdr:from>
    <xdr:to>
      <xdr:col>9</xdr:col>
      <xdr:colOff>60048</xdr:colOff>
      <xdr:row>20</xdr:row>
      <xdr:rowOff>136070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6641823" y="2582906"/>
          <a:ext cx="2400300" cy="1912893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 fPrintsWithSheet="0"/>
  </xdr:twoCellAnchor>
  <xdr:twoCellAnchor editAs="oneCell">
    <xdr:from>
      <xdr:col>0</xdr:col>
      <xdr:colOff>306220</xdr:colOff>
      <xdr:row>39</xdr:row>
      <xdr:rowOff>11599</xdr:rowOff>
    </xdr:from>
    <xdr:to>
      <xdr:col>2</xdr:col>
      <xdr:colOff>959540</xdr:colOff>
      <xdr:row>43</xdr:row>
      <xdr:rowOff>33134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5400000">
          <a:off x="1218460" y="7141772"/>
          <a:ext cx="783535" cy="2608016"/>
        </a:xfrm>
        <a:prstGeom prst="rect">
          <a:avLst/>
        </a:prstGeom>
        <a:noFill/>
      </xdr:spPr>
    </xdr:pic>
    <xdr:clientData/>
  </xdr:twoCellAnchor>
  <xdr:twoCellAnchor>
    <xdr:from>
      <xdr:col>17</xdr:col>
      <xdr:colOff>123825</xdr:colOff>
      <xdr:row>0</xdr:row>
      <xdr:rowOff>76201</xdr:rowOff>
    </xdr:from>
    <xdr:to>
      <xdr:col>18</xdr:col>
      <xdr:colOff>394716</xdr:colOff>
      <xdr:row>1</xdr:row>
      <xdr:rowOff>114300</xdr:rowOff>
    </xdr:to>
    <xdr:sp macro="" textlink="">
      <xdr:nvSpPr>
        <xdr:cNvPr id="6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4306550" y="76201"/>
          <a:ext cx="870966" cy="371474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ar-EG" sz="1600" b="1" baseline="0">
              <a:solidFill>
                <a:schemeClr val="bg1"/>
              </a:solidFill>
            </a:rPr>
            <a:t>عـــــوده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466725</xdr:colOff>
      <xdr:row>0</xdr:row>
      <xdr:rowOff>66675</xdr:rowOff>
    </xdr:from>
    <xdr:to>
      <xdr:col>9</xdr:col>
      <xdr:colOff>66675</xdr:colOff>
      <xdr:row>1</xdr:row>
      <xdr:rowOff>114300</xdr:rowOff>
    </xdr:to>
    <xdr:sp macro="" textlink="">
      <xdr:nvSpPr>
        <xdr:cNvPr id="8196" name="CommandButton2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10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66675</xdr:colOff>
      <xdr:row>2</xdr:row>
      <xdr:rowOff>95250</xdr:rowOff>
    </xdr:from>
    <xdr:to>
      <xdr:col>7</xdr:col>
      <xdr:colOff>285750</xdr:colOff>
      <xdr:row>3</xdr:row>
      <xdr:rowOff>133349</xdr:rowOff>
    </xdr:to>
    <xdr:sp macro="" textlink="">
      <xdr:nvSpPr>
        <xdr:cNvPr id="8199" name="ComboBox1" hidden="1">
          <a:extLst>
            <a:ext uri="{63B3BB69-23CF-44E3-9099-C40C66FF867C}">
              <a14:compatExt xmlns:a14="http://schemas.microsoft.com/office/drawing/2010/main" spid="_x0000_s8199"/>
            </a:ext>
            <a:ext uri="{FF2B5EF4-FFF2-40B4-BE49-F238E27FC236}">
              <a16:creationId xmlns:a16="http://schemas.microsoft.com/office/drawing/2014/main" id="{00000000-0008-0000-1000-000007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447675</xdr:colOff>
      <xdr:row>1</xdr:row>
      <xdr:rowOff>47625</xdr:rowOff>
    </xdr:from>
    <xdr:to>
      <xdr:col>9</xdr:col>
      <xdr:colOff>47625</xdr:colOff>
      <xdr:row>2</xdr:row>
      <xdr:rowOff>156956</xdr:rowOff>
    </xdr:to>
    <xdr:sp macro="" textlink="">
      <xdr:nvSpPr>
        <xdr:cNvPr id="8201" name="CommandButton3" hidden="1">
          <a:extLst>
            <a:ext uri="{63B3BB69-23CF-44E3-9099-C40C66FF867C}">
              <a14:compatExt xmlns:a14="http://schemas.microsoft.com/office/drawing/2010/main" spid="_x0000_s8201"/>
            </a:ext>
            <a:ext uri="{FF2B5EF4-FFF2-40B4-BE49-F238E27FC236}">
              <a16:creationId xmlns:a16="http://schemas.microsoft.com/office/drawing/2014/main" id="{00000000-0008-0000-1000-000009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438150</xdr:colOff>
      <xdr:row>2</xdr:row>
      <xdr:rowOff>152400</xdr:rowOff>
    </xdr:from>
    <xdr:to>
      <xdr:col>9</xdr:col>
      <xdr:colOff>38100</xdr:colOff>
      <xdr:row>3</xdr:row>
      <xdr:rowOff>161924</xdr:rowOff>
    </xdr:to>
    <xdr:sp macro="" textlink="">
      <xdr:nvSpPr>
        <xdr:cNvPr id="8203" name="CommandButton1" hidden="1">
          <a:extLst>
            <a:ext uri="{63B3BB69-23CF-44E3-9099-C40C66FF867C}">
              <a14:compatExt xmlns:a14="http://schemas.microsoft.com/office/drawing/2010/main" spid="_x0000_s8203"/>
            </a:ext>
            <a:ext uri="{FF2B5EF4-FFF2-40B4-BE49-F238E27FC236}">
              <a16:creationId xmlns:a16="http://schemas.microsoft.com/office/drawing/2014/main" id="{00000000-0008-0000-1000-00000B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47625</xdr:colOff>
      <xdr:row>6</xdr:row>
      <xdr:rowOff>28575</xdr:rowOff>
    </xdr:from>
    <xdr:to>
      <xdr:col>8</xdr:col>
      <xdr:colOff>1019175</xdr:colOff>
      <xdr:row>6</xdr:row>
      <xdr:rowOff>334497</xdr:rowOff>
    </xdr:to>
    <xdr:sp macro="" textlink="">
      <xdr:nvSpPr>
        <xdr:cNvPr id="8204" name="ComboBox2" hidden="1">
          <a:extLst>
            <a:ext uri="{63B3BB69-23CF-44E3-9099-C40C66FF867C}">
              <a14:compatExt xmlns:a14="http://schemas.microsoft.com/office/drawing/2010/main" spid="_x0000_s8204"/>
            </a:ext>
            <a:ext uri="{FF2B5EF4-FFF2-40B4-BE49-F238E27FC236}">
              <a16:creationId xmlns:a16="http://schemas.microsoft.com/office/drawing/2014/main" id="{00000000-0008-0000-1000-00000C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38100</xdr:colOff>
      <xdr:row>9</xdr:row>
      <xdr:rowOff>28575</xdr:rowOff>
    </xdr:from>
    <xdr:to>
      <xdr:col>8</xdr:col>
      <xdr:colOff>1009650</xdr:colOff>
      <xdr:row>10</xdr:row>
      <xdr:rowOff>142875</xdr:rowOff>
    </xdr:to>
    <xdr:sp macro="" textlink="">
      <xdr:nvSpPr>
        <xdr:cNvPr id="8205" name="ComboBox3" hidden="1">
          <a:extLst>
            <a:ext uri="{63B3BB69-23CF-44E3-9099-C40C66FF867C}">
              <a14:compatExt xmlns:a14="http://schemas.microsoft.com/office/drawing/2010/main" spid="_x0000_s8205"/>
            </a:ext>
            <a:ext uri="{FF2B5EF4-FFF2-40B4-BE49-F238E27FC236}">
              <a16:creationId xmlns:a16="http://schemas.microsoft.com/office/drawing/2014/main" id="{00000000-0008-0000-1000-00000D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28575</xdr:rowOff>
        </xdr:from>
        <xdr:to>
          <xdr:col>9</xdr:col>
          <xdr:colOff>38100</xdr:colOff>
          <xdr:row>5</xdr:row>
          <xdr:rowOff>0</xdr:rowOff>
        </xdr:to>
        <xdr:sp macro="" textlink="">
          <xdr:nvSpPr>
            <xdr:cNvPr id="168961" name="ComboBox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10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9525</xdr:rowOff>
        </xdr:from>
        <xdr:to>
          <xdr:col>9</xdr:col>
          <xdr:colOff>38100</xdr:colOff>
          <xdr:row>7</xdr:row>
          <xdr:rowOff>19050</xdr:rowOff>
        </xdr:to>
        <xdr:sp macro="" textlink="">
          <xdr:nvSpPr>
            <xdr:cNvPr id="168963" name="ComboBox2" hidden="1">
              <a:extLst>
                <a:ext uri="{63B3BB69-23CF-44E3-9099-C40C66FF867C}">
                  <a14:compatExt spid="_x0000_s168963"/>
                </a:ext>
                <a:ext uri="{FF2B5EF4-FFF2-40B4-BE49-F238E27FC236}">
                  <a16:creationId xmlns:a16="http://schemas.microsoft.com/office/drawing/2014/main" id="{00000000-0008-0000-1000-000003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9</xdr:col>
          <xdr:colOff>38100</xdr:colOff>
          <xdr:row>9</xdr:row>
          <xdr:rowOff>47625</xdr:rowOff>
        </xdr:to>
        <xdr:sp macro="" textlink="">
          <xdr:nvSpPr>
            <xdr:cNvPr id="168964" name="ComboBox3" hidden="1">
              <a:extLst>
                <a:ext uri="{63B3BB69-23CF-44E3-9099-C40C66FF867C}">
                  <a14:compatExt spid="_x0000_s168964"/>
                </a:ext>
                <a:ext uri="{FF2B5EF4-FFF2-40B4-BE49-F238E27FC236}">
                  <a16:creationId xmlns:a16="http://schemas.microsoft.com/office/drawing/2014/main" id="{00000000-0008-0000-1000-000004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18</xdr:row>
          <xdr:rowOff>142875</xdr:rowOff>
        </xdr:from>
        <xdr:to>
          <xdr:col>7</xdr:col>
          <xdr:colOff>571500</xdr:colOff>
          <xdr:row>20</xdr:row>
          <xdr:rowOff>38100</xdr:rowOff>
        </xdr:to>
        <xdr:sp macro="" textlink="">
          <xdr:nvSpPr>
            <xdr:cNvPr id="168965" name="CommandButton1" hidden="1">
              <a:extLst>
                <a:ext uri="{63B3BB69-23CF-44E3-9099-C40C66FF867C}">
                  <a14:compatExt spid="_x0000_s168965"/>
                </a:ext>
                <a:ext uri="{FF2B5EF4-FFF2-40B4-BE49-F238E27FC236}">
                  <a16:creationId xmlns:a16="http://schemas.microsoft.com/office/drawing/2014/main" id="{00000000-0008-0000-1000-000005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16</xdr:row>
          <xdr:rowOff>142875</xdr:rowOff>
        </xdr:from>
        <xdr:to>
          <xdr:col>7</xdr:col>
          <xdr:colOff>590550</xdr:colOff>
          <xdr:row>18</xdr:row>
          <xdr:rowOff>38100</xdr:rowOff>
        </xdr:to>
        <xdr:sp macro="" textlink="">
          <xdr:nvSpPr>
            <xdr:cNvPr id="168966" name="CommandButton2" hidden="1">
              <a:extLst>
                <a:ext uri="{63B3BB69-23CF-44E3-9099-C40C66FF867C}">
                  <a14:compatExt spid="_x0000_s168966"/>
                </a:ext>
                <a:ext uri="{FF2B5EF4-FFF2-40B4-BE49-F238E27FC236}">
                  <a16:creationId xmlns:a16="http://schemas.microsoft.com/office/drawing/2014/main" id="{00000000-0008-0000-1000-000006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12</xdr:row>
          <xdr:rowOff>161925</xdr:rowOff>
        </xdr:from>
        <xdr:to>
          <xdr:col>7</xdr:col>
          <xdr:colOff>561975</xdr:colOff>
          <xdr:row>14</xdr:row>
          <xdr:rowOff>57150</xdr:rowOff>
        </xdr:to>
        <xdr:sp macro="" textlink="">
          <xdr:nvSpPr>
            <xdr:cNvPr id="168967" name="CommandButton3" hidden="1">
              <a:extLst>
                <a:ext uri="{63B3BB69-23CF-44E3-9099-C40C66FF867C}">
                  <a14:compatExt spid="_x0000_s168967"/>
                </a:ext>
                <a:ext uri="{FF2B5EF4-FFF2-40B4-BE49-F238E27FC236}">
                  <a16:creationId xmlns:a16="http://schemas.microsoft.com/office/drawing/2014/main" id="{00000000-0008-0000-1000-000007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10</xdr:row>
          <xdr:rowOff>171450</xdr:rowOff>
        </xdr:from>
        <xdr:to>
          <xdr:col>7</xdr:col>
          <xdr:colOff>571500</xdr:colOff>
          <xdr:row>12</xdr:row>
          <xdr:rowOff>66675</xdr:rowOff>
        </xdr:to>
        <xdr:sp macro="" textlink="">
          <xdr:nvSpPr>
            <xdr:cNvPr id="168969" name="CommandButton5" hidden="1">
              <a:extLst>
                <a:ext uri="{63B3BB69-23CF-44E3-9099-C40C66FF867C}">
                  <a14:compatExt spid="_x0000_s168969"/>
                </a:ext>
                <a:ext uri="{FF2B5EF4-FFF2-40B4-BE49-F238E27FC236}">
                  <a16:creationId xmlns:a16="http://schemas.microsoft.com/office/drawing/2014/main" id="{00000000-0008-0000-1000-000009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219075</xdr:colOff>
      <xdr:row>2</xdr:row>
      <xdr:rowOff>0</xdr:rowOff>
    </xdr:from>
    <xdr:to>
      <xdr:col>9</xdr:col>
      <xdr:colOff>1238249</xdr:colOff>
      <xdr:row>3</xdr:row>
      <xdr:rowOff>180975</xdr:rowOff>
    </xdr:to>
    <xdr:sp macro="" textlink="">
      <xdr:nvSpPr>
        <xdr:cNvPr id="19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9201150" y="390525"/>
          <a:ext cx="1019174" cy="4476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Folder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14</xdr:row>
          <xdr:rowOff>171450</xdr:rowOff>
        </xdr:from>
        <xdr:to>
          <xdr:col>7</xdr:col>
          <xdr:colOff>581025</xdr:colOff>
          <xdr:row>16</xdr:row>
          <xdr:rowOff>57150</xdr:rowOff>
        </xdr:to>
        <xdr:sp macro="" textlink="">
          <xdr:nvSpPr>
            <xdr:cNvPr id="168970" name="CommandButton4" hidden="1">
              <a:extLst>
                <a:ext uri="{63B3BB69-23CF-44E3-9099-C40C66FF867C}">
                  <a14:compatExt spid="_x0000_s168970"/>
                </a:ext>
                <a:ext uri="{FF2B5EF4-FFF2-40B4-BE49-F238E27FC236}">
                  <a16:creationId xmlns:a16="http://schemas.microsoft.com/office/drawing/2014/main" id="{00000000-0008-0000-1000-00000A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274544</xdr:colOff>
      <xdr:row>1</xdr:row>
      <xdr:rowOff>73958</xdr:rowOff>
    </xdr:from>
    <xdr:to>
      <xdr:col>21</xdr:col>
      <xdr:colOff>554692</xdr:colOff>
      <xdr:row>10</xdr:row>
      <xdr:rowOff>358587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>
          <a:spLocks/>
        </xdr:cNvSpPr>
      </xdr:nvSpPr>
      <xdr:spPr>
        <a:xfrm>
          <a:off x="13082868" y="286870"/>
          <a:ext cx="2442883" cy="2637864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5</xdr:row>
          <xdr:rowOff>152400</xdr:rowOff>
        </xdr:from>
        <xdr:to>
          <xdr:col>19</xdr:col>
          <xdr:colOff>571500</xdr:colOff>
          <xdr:row>6</xdr:row>
          <xdr:rowOff>219075</xdr:rowOff>
        </xdr:to>
        <xdr:sp macro="" textlink="">
          <xdr:nvSpPr>
            <xdr:cNvPr id="198657" name="CommandButton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1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7</xdr:row>
          <xdr:rowOff>38100</xdr:rowOff>
        </xdr:from>
        <xdr:to>
          <xdr:col>19</xdr:col>
          <xdr:colOff>581025</xdr:colOff>
          <xdr:row>8</xdr:row>
          <xdr:rowOff>85725</xdr:rowOff>
        </xdr:to>
        <xdr:sp macro="" textlink="">
          <xdr:nvSpPr>
            <xdr:cNvPr id="198658" name="CommandButton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1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9</xdr:row>
          <xdr:rowOff>180975</xdr:rowOff>
        </xdr:from>
        <xdr:to>
          <xdr:col>19</xdr:col>
          <xdr:colOff>533400</xdr:colOff>
          <xdr:row>10</xdr:row>
          <xdr:rowOff>190500</xdr:rowOff>
        </xdr:to>
        <xdr:sp macro="" textlink="">
          <xdr:nvSpPr>
            <xdr:cNvPr id="198660" name="CommandButton3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1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</xdr:row>
          <xdr:rowOff>47625</xdr:rowOff>
        </xdr:from>
        <xdr:to>
          <xdr:col>15</xdr:col>
          <xdr:colOff>285750</xdr:colOff>
          <xdr:row>2</xdr:row>
          <xdr:rowOff>123825</xdr:rowOff>
        </xdr:to>
        <xdr:sp macro="" textlink="">
          <xdr:nvSpPr>
            <xdr:cNvPr id="198661" name="ComboBox1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1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19050</xdr:rowOff>
        </xdr:from>
        <xdr:to>
          <xdr:col>19</xdr:col>
          <xdr:colOff>581025</xdr:colOff>
          <xdr:row>5</xdr:row>
          <xdr:rowOff>76200</xdr:rowOff>
        </xdr:to>
        <xdr:sp macro="" textlink="">
          <xdr:nvSpPr>
            <xdr:cNvPr id="198663" name="CommandButton4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1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2</xdr:row>
          <xdr:rowOff>0</xdr:rowOff>
        </xdr:from>
        <xdr:to>
          <xdr:col>19</xdr:col>
          <xdr:colOff>581025</xdr:colOff>
          <xdr:row>2</xdr:row>
          <xdr:rowOff>304800</xdr:rowOff>
        </xdr:to>
        <xdr:sp macro="" textlink="">
          <xdr:nvSpPr>
            <xdr:cNvPr id="198664" name="CommandButton5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1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224116</xdr:colOff>
      <xdr:row>1</xdr:row>
      <xdr:rowOff>0</xdr:rowOff>
    </xdr:from>
    <xdr:to>
      <xdr:col>25</xdr:col>
      <xdr:colOff>13154</xdr:colOff>
      <xdr:row>2</xdr:row>
      <xdr:rowOff>313204</xdr:rowOff>
    </xdr:to>
    <xdr:sp macro="" textlink="">
      <xdr:nvSpPr>
        <xdr:cNvPr id="13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15071910" y="268941"/>
          <a:ext cx="1604391" cy="470087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2</xdr:row>
          <xdr:rowOff>314325</xdr:rowOff>
        </xdr:from>
        <xdr:to>
          <xdr:col>19</xdr:col>
          <xdr:colOff>581025</xdr:colOff>
          <xdr:row>3</xdr:row>
          <xdr:rowOff>238125</xdr:rowOff>
        </xdr:to>
        <xdr:sp macro="" textlink="">
          <xdr:nvSpPr>
            <xdr:cNvPr id="198668" name="CommandButton7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1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8</xdr:row>
          <xdr:rowOff>104775</xdr:rowOff>
        </xdr:from>
        <xdr:to>
          <xdr:col>19</xdr:col>
          <xdr:colOff>552450</xdr:colOff>
          <xdr:row>9</xdr:row>
          <xdr:rowOff>123825</xdr:rowOff>
        </xdr:to>
        <xdr:sp macro="" textlink="">
          <xdr:nvSpPr>
            <xdr:cNvPr id="198669" name="CommandButton6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1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11207</xdr:colOff>
      <xdr:row>0</xdr:row>
      <xdr:rowOff>56029</xdr:rowOff>
    </xdr:from>
    <xdr:to>
      <xdr:col>6</xdr:col>
      <xdr:colOff>280148</xdr:colOff>
      <xdr:row>3</xdr:row>
      <xdr:rowOff>134470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24972" y="56029"/>
          <a:ext cx="3204882" cy="9188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22412</xdr:colOff>
      <xdr:row>58</xdr:row>
      <xdr:rowOff>78438</xdr:rowOff>
    </xdr:from>
    <xdr:to>
      <xdr:col>10</xdr:col>
      <xdr:colOff>1</xdr:colOff>
      <xdr:row>60</xdr:row>
      <xdr:rowOff>153891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336177" y="10006850"/>
          <a:ext cx="6757148" cy="512482"/>
        </a:xfrm>
        <a:prstGeom prst="rect">
          <a:avLst/>
        </a:prstGeom>
        <a:noFill/>
        <a:ln w="9525">
          <a:noFill/>
          <a:miter lim="800000"/>
          <a:headEnd/>
          <a:tailEnd/>
        </a:ln>
        <a:scene3d>
          <a:camera prst="orthographicFront"/>
          <a:lightRig rig="threePt" dir="t"/>
        </a:scene3d>
        <a:sp3d>
          <a:bevelB/>
        </a:sp3d>
      </xdr:spPr>
    </xdr:pic>
    <xdr:clientData/>
  </xdr:twoCellAnchor>
  <xdr:twoCellAnchor editAs="oneCell">
    <xdr:from>
      <xdr:col>3</xdr:col>
      <xdr:colOff>100853</xdr:colOff>
      <xdr:row>46</xdr:row>
      <xdr:rowOff>22417</xdr:rowOff>
    </xdr:from>
    <xdr:to>
      <xdr:col>6</xdr:col>
      <xdr:colOff>597610</xdr:colOff>
      <xdr:row>51</xdr:row>
      <xdr:rowOff>67238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 rot="5400000">
          <a:off x="1609894" y="6547994"/>
          <a:ext cx="1221439" cy="3253404"/>
        </a:xfrm>
        <a:prstGeom prst="rect">
          <a:avLst/>
        </a:prstGeom>
        <a:noFill/>
      </xdr:spPr>
    </xdr:pic>
    <xdr:clientData/>
  </xdr:twoCellAnchor>
  <xdr:twoCellAnchor>
    <xdr:from>
      <xdr:col>26</xdr:col>
      <xdr:colOff>246530</xdr:colOff>
      <xdr:row>1</xdr:row>
      <xdr:rowOff>156883</xdr:rowOff>
    </xdr:from>
    <xdr:to>
      <xdr:col>28</xdr:col>
      <xdr:colOff>274544</xdr:colOff>
      <xdr:row>2</xdr:row>
      <xdr:rowOff>358029</xdr:rowOff>
    </xdr:to>
    <xdr:sp macro="" textlink="">
      <xdr:nvSpPr>
        <xdr:cNvPr id="16" name="Rounded Rectangle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7380324" y="369795"/>
          <a:ext cx="1238249" cy="4476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Folder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114300</xdr:colOff>
      <xdr:row>0</xdr:row>
      <xdr:rowOff>66675</xdr:rowOff>
    </xdr:from>
    <xdr:to>
      <xdr:col>26</xdr:col>
      <xdr:colOff>38100</xdr:colOff>
      <xdr:row>1</xdr:row>
      <xdr:rowOff>0</xdr:rowOff>
    </xdr:to>
    <xdr:sp macro="" textlink="">
      <xdr:nvSpPr>
        <xdr:cNvPr id="2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2982575" y="66675"/>
          <a:ext cx="914400" cy="23812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0</xdr:row>
          <xdr:rowOff>180975</xdr:rowOff>
        </xdr:from>
        <xdr:to>
          <xdr:col>27</xdr:col>
          <xdr:colOff>419100</xdr:colOff>
          <xdr:row>1</xdr:row>
          <xdr:rowOff>190500</xdr:rowOff>
        </xdr:to>
        <xdr:sp macro="" textlink="">
          <xdr:nvSpPr>
            <xdr:cNvPr id="373761" name="CommandButton1" hidden="1">
              <a:extLst>
                <a:ext uri="{63B3BB69-23CF-44E3-9099-C40C66FF867C}">
                  <a14:compatExt spid="_x0000_s373761"/>
                </a:ext>
                <a:ext uri="{FF2B5EF4-FFF2-40B4-BE49-F238E27FC236}">
                  <a16:creationId xmlns:a16="http://schemas.microsoft.com/office/drawing/2014/main" id="{00000000-0008-0000-1200-000001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342900</xdr:colOff>
      <xdr:row>1</xdr:row>
      <xdr:rowOff>47625</xdr:rowOff>
    </xdr:from>
    <xdr:to>
      <xdr:col>19</xdr:col>
      <xdr:colOff>118491</xdr:colOff>
      <xdr:row>2</xdr:row>
      <xdr:rowOff>114300</xdr:rowOff>
    </xdr:to>
    <xdr:sp macro="" textlink="">
      <xdr:nvSpPr>
        <xdr:cNvPr id="3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3515975" y="247650"/>
          <a:ext cx="1604391" cy="3333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1</xdr:row>
          <xdr:rowOff>47625</xdr:rowOff>
        </xdr:from>
        <xdr:to>
          <xdr:col>12</xdr:col>
          <xdr:colOff>590550</xdr:colOff>
          <xdr:row>2</xdr:row>
          <xdr:rowOff>104775</xdr:rowOff>
        </xdr:to>
        <xdr:sp macro="" textlink="">
          <xdr:nvSpPr>
            <xdr:cNvPr id="157698" name="ComboBox1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13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</xdr:row>
          <xdr:rowOff>19050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157699" name="CommandButton1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13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</xdr:row>
          <xdr:rowOff>9525</xdr:rowOff>
        </xdr:from>
        <xdr:to>
          <xdr:col>15</xdr:col>
          <xdr:colOff>152400</xdr:colOff>
          <xdr:row>1</xdr:row>
          <xdr:rowOff>257175</xdr:rowOff>
        </xdr:to>
        <xdr:sp macro="" textlink="">
          <xdr:nvSpPr>
            <xdr:cNvPr id="157700" name="CommandButton2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13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228600</xdr:colOff>
      <xdr:row>1</xdr:row>
      <xdr:rowOff>85725</xdr:rowOff>
    </xdr:from>
    <xdr:to>
      <xdr:col>20</xdr:col>
      <xdr:colOff>457200</xdr:colOff>
      <xdr:row>2</xdr:row>
      <xdr:rowOff>95250</xdr:rowOff>
    </xdr:to>
    <xdr:sp macro="" textlink="">
      <xdr:nvSpPr>
        <xdr:cNvPr id="10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5201900" y="285750"/>
          <a:ext cx="1600200" cy="2762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Projects File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0</xdr:row>
          <xdr:rowOff>190500</xdr:rowOff>
        </xdr:from>
        <xdr:to>
          <xdr:col>51</xdr:col>
          <xdr:colOff>447675</xdr:colOff>
          <xdr:row>2</xdr:row>
          <xdr:rowOff>76200</xdr:rowOff>
        </xdr:to>
        <xdr:sp macro="" textlink="">
          <xdr:nvSpPr>
            <xdr:cNvPr id="311297" name="CommandButton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409574</xdr:colOff>
      <xdr:row>0</xdr:row>
      <xdr:rowOff>209551</xdr:rowOff>
    </xdr:from>
    <xdr:to>
      <xdr:col>24</xdr:col>
      <xdr:colOff>66674</xdr:colOff>
      <xdr:row>2</xdr:row>
      <xdr:rowOff>114301</xdr:rowOff>
    </xdr:to>
    <xdr:sp macro="" textlink="">
      <xdr:nvSpPr>
        <xdr:cNvPr id="3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2696824" y="209551"/>
          <a:ext cx="1143000" cy="34290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0</xdr:row>
          <xdr:rowOff>228600</xdr:rowOff>
        </xdr:from>
        <xdr:to>
          <xdr:col>25</xdr:col>
          <xdr:colOff>371475</xdr:colOff>
          <xdr:row>2</xdr:row>
          <xdr:rowOff>47625</xdr:rowOff>
        </xdr:to>
        <xdr:sp macro="" textlink="">
          <xdr:nvSpPr>
            <xdr:cNvPr id="311298" name="CommandButton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31</xdr:row>
          <xdr:rowOff>19050</xdr:rowOff>
        </xdr:from>
        <xdr:to>
          <xdr:col>11</xdr:col>
          <xdr:colOff>876300</xdr:colOff>
          <xdr:row>40</xdr:row>
          <xdr:rowOff>57150</xdr:rowOff>
        </xdr:to>
        <xdr:sp macro="" textlink="">
          <xdr:nvSpPr>
            <xdr:cNvPr id="234521" name="Image1" hidden="1">
              <a:extLst>
                <a:ext uri="{63B3BB69-23CF-44E3-9099-C40C66FF867C}">
                  <a14:compatExt spid="_x0000_s234521"/>
                </a:ext>
                <a:ext uri="{FF2B5EF4-FFF2-40B4-BE49-F238E27FC236}">
                  <a16:creationId xmlns:a16="http://schemas.microsoft.com/office/drawing/2014/main" id="{00000000-0008-0000-1500-000019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251554</xdr:colOff>
      <xdr:row>37</xdr:row>
      <xdr:rowOff>85727</xdr:rowOff>
    </xdr:from>
    <xdr:to>
      <xdr:col>2</xdr:col>
      <xdr:colOff>904874</xdr:colOff>
      <xdr:row>42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5400000">
          <a:off x="1044940" y="6769466"/>
          <a:ext cx="1019173" cy="2605945"/>
        </a:xfrm>
        <a:prstGeom prst="rect">
          <a:avLst/>
        </a:prstGeom>
        <a:noFill/>
      </xdr:spPr>
    </xdr:pic>
    <xdr:clientData/>
  </xdr:twoCellAnchor>
  <xdr:twoCellAnchor editAs="oneCell">
    <xdr:from>
      <xdr:col>17</xdr:col>
      <xdr:colOff>0</xdr:colOff>
      <xdr:row>0</xdr:row>
      <xdr:rowOff>66675</xdr:rowOff>
    </xdr:from>
    <xdr:to>
      <xdr:col>19</xdr:col>
      <xdr:colOff>390525</xdr:colOff>
      <xdr:row>1</xdr:row>
      <xdr:rowOff>9525</xdr:rowOff>
    </xdr:to>
    <xdr:sp macro="" textlink="">
      <xdr:nvSpPr>
        <xdr:cNvPr id="4" name="CommandButton2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 bwMode="auto">
        <a:xfrm>
          <a:off x="7362825" y="66675"/>
          <a:ext cx="12858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17</xdr:col>
      <xdr:colOff>0</xdr:colOff>
      <xdr:row>2</xdr:row>
      <xdr:rowOff>95250</xdr:rowOff>
    </xdr:from>
    <xdr:to>
      <xdr:col>19</xdr:col>
      <xdr:colOff>19050</xdr:colOff>
      <xdr:row>3</xdr:row>
      <xdr:rowOff>133350</xdr:rowOff>
    </xdr:to>
    <xdr:sp macro="" textlink="">
      <xdr:nvSpPr>
        <xdr:cNvPr id="5" name="ComboBox1" hidden="1">
          <a:extLst>
            <a:ext uri="{63B3BB69-23CF-44E3-9099-C40C66FF867C}">
              <a14:compatExt xmlns:a14="http://schemas.microsoft.com/office/drawing/2010/main" spid="_x0000_s8199"/>
            </a:ex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 bwMode="auto">
        <a:xfrm>
          <a:off x="6362700" y="628650"/>
          <a:ext cx="9144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17</xdr:col>
      <xdr:colOff>0</xdr:colOff>
      <xdr:row>1</xdr:row>
      <xdr:rowOff>47625</xdr:rowOff>
    </xdr:from>
    <xdr:to>
      <xdr:col>19</xdr:col>
      <xdr:colOff>390525</xdr:colOff>
      <xdr:row>2</xdr:row>
      <xdr:rowOff>123825</xdr:rowOff>
    </xdr:to>
    <xdr:sp macro="" textlink="">
      <xdr:nvSpPr>
        <xdr:cNvPr id="6" name="CommandButton3" hidden="1">
          <a:extLst>
            <a:ext uri="{63B3BB69-23CF-44E3-9099-C40C66FF867C}">
              <a14:compatExt xmlns:a14="http://schemas.microsoft.com/office/drawing/2010/main" spid="_x0000_s8201"/>
            </a:ex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 bwMode="auto">
        <a:xfrm>
          <a:off x="7343775" y="381000"/>
          <a:ext cx="12858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17</xdr:col>
      <xdr:colOff>0</xdr:colOff>
      <xdr:row>2</xdr:row>
      <xdr:rowOff>152400</xdr:rowOff>
    </xdr:from>
    <xdr:to>
      <xdr:col>19</xdr:col>
      <xdr:colOff>390525</xdr:colOff>
      <xdr:row>3</xdr:row>
      <xdr:rowOff>161925</xdr:rowOff>
    </xdr:to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8203"/>
            </a:ex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 bwMode="auto">
        <a:xfrm>
          <a:off x="7334250" y="685800"/>
          <a:ext cx="12858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17</xdr:col>
      <xdr:colOff>0</xdr:colOff>
      <xdr:row>6</xdr:row>
      <xdr:rowOff>28575</xdr:rowOff>
    </xdr:from>
    <xdr:to>
      <xdr:col>22</xdr:col>
      <xdr:colOff>57150</xdr:colOff>
      <xdr:row>6</xdr:row>
      <xdr:rowOff>333375</xdr:rowOff>
    </xdr:to>
    <xdr:sp macro="" textlink="">
      <xdr:nvSpPr>
        <xdr:cNvPr id="8" name="ComboBox2" hidden="1">
          <a:extLst>
            <a:ext uri="{63B3BB69-23CF-44E3-9099-C40C66FF867C}">
              <a14:compatExt xmlns:a14="http://schemas.microsoft.com/office/drawing/2010/main" spid="_x0000_s8204"/>
            </a:ex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 bwMode="auto">
        <a:xfrm>
          <a:off x="6343650" y="1409700"/>
          <a:ext cx="229552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17</xdr:col>
      <xdr:colOff>0</xdr:colOff>
      <xdr:row>9</xdr:row>
      <xdr:rowOff>28575</xdr:rowOff>
    </xdr:from>
    <xdr:to>
      <xdr:col>22</xdr:col>
      <xdr:colOff>57150</xdr:colOff>
      <xdr:row>10</xdr:row>
      <xdr:rowOff>133350</xdr:rowOff>
    </xdr:to>
    <xdr:sp macro="" textlink="">
      <xdr:nvSpPr>
        <xdr:cNvPr id="9" name="ComboBox3" hidden="1">
          <a:extLst>
            <a:ext uri="{63B3BB69-23CF-44E3-9099-C40C66FF867C}">
              <a14:compatExt xmlns:a14="http://schemas.microsoft.com/office/drawing/2010/main" spid="_x0000_s8205"/>
            </a:ex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 bwMode="auto">
        <a:xfrm>
          <a:off x="6334125" y="2076450"/>
          <a:ext cx="229552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32</xdr:row>
          <xdr:rowOff>95250</xdr:rowOff>
        </xdr:from>
        <xdr:to>
          <xdr:col>11</xdr:col>
          <xdr:colOff>685800</xdr:colOff>
          <xdr:row>33</xdr:row>
          <xdr:rowOff>142875</xdr:rowOff>
        </xdr:to>
        <xdr:sp macro="" textlink="">
          <xdr:nvSpPr>
            <xdr:cNvPr id="234500" name="CommandButton1" hidden="1">
              <a:extLst>
                <a:ext uri="{63B3BB69-23CF-44E3-9099-C40C66FF867C}">
                  <a14:compatExt spid="_x0000_s234500"/>
                </a:ext>
                <a:ext uri="{FF2B5EF4-FFF2-40B4-BE49-F238E27FC236}">
                  <a16:creationId xmlns:a16="http://schemas.microsoft.com/office/drawing/2014/main" id="{00000000-0008-0000-1500-000004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32</xdr:row>
          <xdr:rowOff>95250</xdr:rowOff>
        </xdr:from>
        <xdr:to>
          <xdr:col>10</xdr:col>
          <xdr:colOff>723900</xdr:colOff>
          <xdr:row>33</xdr:row>
          <xdr:rowOff>142875</xdr:rowOff>
        </xdr:to>
        <xdr:sp macro="" textlink="">
          <xdr:nvSpPr>
            <xdr:cNvPr id="234501" name="CommandButton2" hidden="1">
              <a:extLst>
                <a:ext uri="{63B3BB69-23CF-44E3-9099-C40C66FF867C}">
                  <a14:compatExt spid="_x0000_s234501"/>
                </a:ext>
                <a:ext uri="{FF2B5EF4-FFF2-40B4-BE49-F238E27FC236}">
                  <a16:creationId xmlns:a16="http://schemas.microsoft.com/office/drawing/2014/main" id="{00000000-0008-0000-1500-000005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32</xdr:row>
          <xdr:rowOff>95250</xdr:rowOff>
        </xdr:from>
        <xdr:to>
          <xdr:col>9</xdr:col>
          <xdr:colOff>657225</xdr:colOff>
          <xdr:row>33</xdr:row>
          <xdr:rowOff>142875</xdr:rowOff>
        </xdr:to>
        <xdr:sp macro="" textlink="">
          <xdr:nvSpPr>
            <xdr:cNvPr id="234502" name="CommandButton3" hidden="1">
              <a:extLst>
                <a:ext uri="{63B3BB69-23CF-44E3-9099-C40C66FF867C}">
                  <a14:compatExt spid="_x0000_s234502"/>
                </a:ext>
                <a:ext uri="{FF2B5EF4-FFF2-40B4-BE49-F238E27FC236}">
                  <a16:creationId xmlns:a16="http://schemas.microsoft.com/office/drawing/2014/main" id="{00000000-0008-0000-1500-000006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37</xdr:row>
          <xdr:rowOff>123825</xdr:rowOff>
        </xdr:from>
        <xdr:to>
          <xdr:col>11</xdr:col>
          <xdr:colOff>676275</xdr:colOff>
          <xdr:row>38</xdr:row>
          <xdr:rowOff>161925</xdr:rowOff>
        </xdr:to>
        <xdr:sp macro="" textlink="">
          <xdr:nvSpPr>
            <xdr:cNvPr id="234503" name="CommandButton4" hidden="1">
              <a:extLst>
                <a:ext uri="{63B3BB69-23CF-44E3-9099-C40C66FF867C}">
                  <a14:compatExt spid="_x0000_s234503"/>
                </a:ext>
                <a:ext uri="{FF2B5EF4-FFF2-40B4-BE49-F238E27FC236}">
                  <a16:creationId xmlns:a16="http://schemas.microsoft.com/office/drawing/2014/main" id="{00000000-0008-0000-1500-000007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</xdr:row>
          <xdr:rowOff>9525</xdr:rowOff>
        </xdr:from>
        <xdr:to>
          <xdr:col>12</xdr:col>
          <xdr:colOff>628650</xdr:colOff>
          <xdr:row>15</xdr:row>
          <xdr:rowOff>0</xdr:rowOff>
        </xdr:to>
        <xdr:sp macro="" textlink="">
          <xdr:nvSpPr>
            <xdr:cNvPr id="234504" name="ListBox1" hidden="1">
              <a:extLst>
                <a:ext uri="{63B3BB69-23CF-44E3-9099-C40C66FF867C}">
                  <a14:compatExt spid="_x0000_s234504"/>
                </a:ext>
                <a:ext uri="{FF2B5EF4-FFF2-40B4-BE49-F238E27FC236}">
                  <a16:creationId xmlns:a16="http://schemas.microsoft.com/office/drawing/2014/main" id="{00000000-0008-0000-1500-000008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38100</xdr:colOff>
      <xdr:row>0</xdr:row>
      <xdr:rowOff>190500</xdr:rowOff>
    </xdr:from>
    <xdr:to>
      <xdr:col>11</xdr:col>
      <xdr:colOff>457201</xdr:colOff>
      <xdr:row>2</xdr:row>
      <xdr:rowOff>219075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/>
      </xdr:nvSpPr>
      <xdr:spPr>
        <a:xfrm>
          <a:off x="9334500" y="190500"/>
          <a:ext cx="1419226" cy="5619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rgbClr val="FFC000"/>
              </a:solidFill>
              <a:latin typeface="Copperplate Gothic Bold" panose="020E0705020206020404" pitchFamily="34" charset="0"/>
            </a:rPr>
            <a:t>Project</a:t>
          </a:r>
        </a:p>
      </xdr:txBody>
    </xdr:sp>
    <xdr:clientData/>
  </xdr:twoCellAnchor>
  <xdr:twoCellAnchor>
    <xdr:from>
      <xdr:col>7</xdr:col>
      <xdr:colOff>638175</xdr:colOff>
      <xdr:row>0</xdr:row>
      <xdr:rowOff>190500</xdr:rowOff>
    </xdr:from>
    <xdr:to>
      <xdr:col>9</xdr:col>
      <xdr:colOff>57151</xdr:colOff>
      <xdr:row>2</xdr:row>
      <xdr:rowOff>219075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6934200" y="190500"/>
          <a:ext cx="1419226" cy="5619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rgbClr val="FFC000"/>
              </a:solidFill>
              <a:latin typeface="Copperplate Gothic Bold" panose="020E0705020206020404" pitchFamily="34" charset="0"/>
            </a:rPr>
            <a:t>Lpo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19050</xdr:rowOff>
        </xdr:from>
        <xdr:to>
          <xdr:col>9</xdr:col>
          <xdr:colOff>952500</xdr:colOff>
          <xdr:row>9</xdr:row>
          <xdr:rowOff>161925</xdr:rowOff>
        </xdr:to>
        <xdr:sp macro="" textlink="">
          <xdr:nvSpPr>
            <xdr:cNvPr id="234505" name="ListBox2" hidden="1">
              <a:extLst>
                <a:ext uri="{63B3BB69-23CF-44E3-9099-C40C66FF867C}">
                  <a14:compatExt spid="_x0000_s234505"/>
                </a:ext>
                <a:ext uri="{FF2B5EF4-FFF2-40B4-BE49-F238E27FC236}">
                  <a16:creationId xmlns:a16="http://schemas.microsoft.com/office/drawing/2014/main" id="{00000000-0008-0000-1500-000009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3</xdr:row>
          <xdr:rowOff>9525</xdr:rowOff>
        </xdr:from>
        <xdr:to>
          <xdr:col>15</xdr:col>
          <xdr:colOff>314325</xdr:colOff>
          <xdr:row>11</xdr:row>
          <xdr:rowOff>47625</xdr:rowOff>
        </xdr:to>
        <xdr:sp macro="" textlink="">
          <xdr:nvSpPr>
            <xdr:cNvPr id="234506" name="ListBox3" hidden="1">
              <a:extLst>
                <a:ext uri="{63B3BB69-23CF-44E3-9099-C40C66FF867C}">
                  <a14:compatExt spid="_x0000_s234506"/>
                </a:ext>
                <a:ext uri="{FF2B5EF4-FFF2-40B4-BE49-F238E27FC236}">
                  <a16:creationId xmlns:a16="http://schemas.microsoft.com/office/drawing/2014/main" id="{00000000-0008-0000-1500-00000A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161925</xdr:colOff>
      <xdr:row>0</xdr:row>
      <xdr:rowOff>190500</xdr:rowOff>
    </xdr:from>
    <xdr:to>
      <xdr:col>13</xdr:col>
      <xdr:colOff>581026</xdr:colOff>
      <xdr:row>2</xdr:row>
      <xdr:rowOff>219075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/>
      </xdr:nvSpPr>
      <xdr:spPr>
        <a:xfrm>
          <a:off x="11458575" y="190500"/>
          <a:ext cx="1419226" cy="5619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E" sz="1800" b="1" i="0" u="none">
              <a:solidFill>
                <a:srgbClr val="FFC000"/>
              </a:solidFill>
              <a:latin typeface="Copperplate Gothic Bold" panose="020E0705020206020404" pitchFamily="34" charset="0"/>
            </a:rPr>
            <a:t>Vendors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32</xdr:row>
          <xdr:rowOff>104775</xdr:rowOff>
        </xdr:from>
        <xdr:to>
          <xdr:col>8</xdr:col>
          <xdr:colOff>571500</xdr:colOff>
          <xdr:row>33</xdr:row>
          <xdr:rowOff>152400</xdr:rowOff>
        </xdr:to>
        <xdr:sp macro="" textlink="">
          <xdr:nvSpPr>
            <xdr:cNvPr id="234507" name="CommandButton5" hidden="1">
              <a:extLst>
                <a:ext uri="{63B3BB69-23CF-44E3-9099-C40C66FF867C}">
                  <a14:compatExt spid="_x0000_s234507"/>
                </a:ext>
                <a:ext uri="{FF2B5EF4-FFF2-40B4-BE49-F238E27FC236}">
                  <a16:creationId xmlns:a16="http://schemas.microsoft.com/office/drawing/2014/main" id="{00000000-0008-0000-1500-00000B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123825</xdr:rowOff>
        </xdr:from>
        <xdr:to>
          <xdr:col>11</xdr:col>
          <xdr:colOff>476250</xdr:colOff>
          <xdr:row>35</xdr:row>
          <xdr:rowOff>114300</xdr:rowOff>
        </xdr:to>
        <xdr:sp macro="" textlink="">
          <xdr:nvSpPr>
            <xdr:cNvPr id="234515" name="TextBox1" hidden="1">
              <a:extLst>
                <a:ext uri="{63B3BB69-23CF-44E3-9099-C40C66FF867C}">
                  <a14:compatExt spid="_x0000_s234515"/>
                </a:ext>
                <a:ext uri="{FF2B5EF4-FFF2-40B4-BE49-F238E27FC236}">
                  <a16:creationId xmlns:a16="http://schemas.microsoft.com/office/drawing/2014/main" id="{00000000-0008-0000-1500-000013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133350</xdr:rowOff>
        </xdr:from>
        <xdr:to>
          <xdr:col>11</xdr:col>
          <xdr:colOff>476250</xdr:colOff>
          <xdr:row>36</xdr:row>
          <xdr:rowOff>85725</xdr:rowOff>
        </xdr:to>
        <xdr:sp macro="" textlink="">
          <xdr:nvSpPr>
            <xdr:cNvPr id="234516" name="TextBox2" hidden="1">
              <a:extLst>
                <a:ext uri="{63B3BB69-23CF-44E3-9099-C40C66FF867C}">
                  <a14:compatExt spid="_x0000_s234516"/>
                </a:ext>
                <a:ext uri="{FF2B5EF4-FFF2-40B4-BE49-F238E27FC236}">
                  <a16:creationId xmlns:a16="http://schemas.microsoft.com/office/drawing/2014/main" id="{00000000-0008-0000-1500-000014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36</xdr:row>
          <xdr:rowOff>104775</xdr:rowOff>
        </xdr:from>
        <xdr:to>
          <xdr:col>11</xdr:col>
          <xdr:colOff>485775</xdr:colOff>
          <xdr:row>37</xdr:row>
          <xdr:rowOff>104775</xdr:rowOff>
        </xdr:to>
        <xdr:sp macro="" textlink="">
          <xdr:nvSpPr>
            <xdr:cNvPr id="234517" name="TextBox3" hidden="1">
              <a:extLst>
                <a:ext uri="{63B3BB69-23CF-44E3-9099-C40C66FF867C}">
                  <a14:compatExt spid="_x0000_s234517"/>
                </a:ext>
                <a:ext uri="{FF2B5EF4-FFF2-40B4-BE49-F238E27FC236}">
                  <a16:creationId xmlns:a16="http://schemas.microsoft.com/office/drawing/2014/main" id="{00000000-0008-0000-1500-000015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34</xdr:row>
          <xdr:rowOff>161925</xdr:rowOff>
        </xdr:from>
        <xdr:to>
          <xdr:col>10</xdr:col>
          <xdr:colOff>876300</xdr:colOff>
          <xdr:row>35</xdr:row>
          <xdr:rowOff>142875</xdr:rowOff>
        </xdr:to>
        <xdr:sp macro="" textlink="">
          <xdr:nvSpPr>
            <xdr:cNvPr id="234518" name="Label1" hidden="1">
              <a:extLst>
                <a:ext uri="{63B3BB69-23CF-44E3-9099-C40C66FF867C}">
                  <a14:compatExt spid="_x0000_s234518"/>
                </a:ext>
                <a:ext uri="{FF2B5EF4-FFF2-40B4-BE49-F238E27FC236}">
                  <a16:creationId xmlns:a16="http://schemas.microsoft.com/office/drawing/2014/main" id="{00000000-0008-0000-1500-000016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35</xdr:row>
          <xdr:rowOff>142875</xdr:rowOff>
        </xdr:from>
        <xdr:to>
          <xdr:col>10</xdr:col>
          <xdr:colOff>866775</xdr:colOff>
          <xdr:row>36</xdr:row>
          <xdr:rowOff>85725</xdr:rowOff>
        </xdr:to>
        <xdr:sp macro="" textlink="">
          <xdr:nvSpPr>
            <xdr:cNvPr id="234519" name="Label2" hidden="1">
              <a:extLst>
                <a:ext uri="{63B3BB69-23CF-44E3-9099-C40C66FF867C}">
                  <a14:compatExt spid="_x0000_s234519"/>
                </a:ext>
                <a:ext uri="{FF2B5EF4-FFF2-40B4-BE49-F238E27FC236}">
                  <a16:creationId xmlns:a16="http://schemas.microsoft.com/office/drawing/2014/main" id="{00000000-0008-0000-1500-000017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36</xdr:row>
          <xdr:rowOff>85725</xdr:rowOff>
        </xdr:from>
        <xdr:to>
          <xdr:col>10</xdr:col>
          <xdr:colOff>942975</xdr:colOff>
          <xdr:row>37</xdr:row>
          <xdr:rowOff>66675</xdr:rowOff>
        </xdr:to>
        <xdr:sp macro="" textlink="">
          <xdr:nvSpPr>
            <xdr:cNvPr id="234520" name="Label3" hidden="1">
              <a:extLst>
                <a:ext uri="{63B3BB69-23CF-44E3-9099-C40C66FF867C}">
                  <a14:compatExt spid="_x0000_s234520"/>
                </a:ext>
                <a:ext uri="{FF2B5EF4-FFF2-40B4-BE49-F238E27FC236}">
                  <a16:creationId xmlns:a16="http://schemas.microsoft.com/office/drawing/2014/main" id="{00000000-0008-0000-1500-000018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34</xdr:row>
          <xdr:rowOff>28575</xdr:rowOff>
        </xdr:from>
        <xdr:to>
          <xdr:col>8</xdr:col>
          <xdr:colOff>600075</xdr:colOff>
          <xdr:row>35</xdr:row>
          <xdr:rowOff>19050</xdr:rowOff>
        </xdr:to>
        <xdr:sp macro="" textlink="">
          <xdr:nvSpPr>
            <xdr:cNvPr id="234522" name="TextBox4" hidden="1">
              <a:extLst>
                <a:ext uri="{63B3BB69-23CF-44E3-9099-C40C66FF867C}">
                  <a14:compatExt spid="_x0000_s234522"/>
                </a:ext>
                <a:ext uri="{FF2B5EF4-FFF2-40B4-BE49-F238E27FC236}">
                  <a16:creationId xmlns:a16="http://schemas.microsoft.com/office/drawing/2014/main" id="{00000000-0008-0000-1500-00001A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34</xdr:row>
          <xdr:rowOff>28575</xdr:rowOff>
        </xdr:from>
        <xdr:to>
          <xdr:col>7</xdr:col>
          <xdr:colOff>971550</xdr:colOff>
          <xdr:row>34</xdr:row>
          <xdr:rowOff>190500</xdr:rowOff>
        </xdr:to>
        <xdr:sp macro="" textlink="">
          <xdr:nvSpPr>
            <xdr:cNvPr id="234523" name="Label4" hidden="1">
              <a:extLst>
                <a:ext uri="{63B3BB69-23CF-44E3-9099-C40C66FF867C}">
                  <a14:compatExt spid="_x0000_s234523"/>
                </a:ext>
                <a:ext uri="{FF2B5EF4-FFF2-40B4-BE49-F238E27FC236}">
                  <a16:creationId xmlns:a16="http://schemas.microsoft.com/office/drawing/2014/main" id="{00000000-0008-0000-1500-00001B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29</xdr:row>
          <xdr:rowOff>123825</xdr:rowOff>
        </xdr:from>
        <xdr:to>
          <xdr:col>8</xdr:col>
          <xdr:colOff>447675</xdr:colOff>
          <xdr:row>30</xdr:row>
          <xdr:rowOff>180975</xdr:rowOff>
        </xdr:to>
        <xdr:sp macro="" textlink="">
          <xdr:nvSpPr>
            <xdr:cNvPr id="234524" name="CommandButton6" hidden="1">
              <a:extLst>
                <a:ext uri="{63B3BB69-23CF-44E3-9099-C40C66FF867C}">
                  <a14:compatExt spid="_x0000_s234524"/>
                </a:ext>
                <a:ext uri="{FF2B5EF4-FFF2-40B4-BE49-F238E27FC236}">
                  <a16:creationId xmlns:a16="http://schemas.microsoft.com/office/drawing/2014/main" id="{00000000-0008-0000-1500-00001C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409575</xdr:colOff>
      <xdr:row>0</xdr:row>
      <xdr:rowOff>171450</xdr:rowOff>
    </xdr:from>
    <xdr:to>
      <xdr:col>19</xdr:col>
      <xdr:colOff>400050</xdr:colOff>
      <xdr:row>2</xdr:row>
      <xdr:rowOff>85725</xdr:rowOff>
    </xdr:to>
    <xdr:sp macro="" textlink="">
      <xdr:nvSpPr>
        <xdr:cNvPr id="34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15087600" y="171450"/>
          <a:ext cx="1333500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420781</xdr:colOff>
      <xdr:row>2</xdr:row>
      <xdr:rowOff>131109</xdr:rowOff>
    </xdr:from>
    <xdr:to>
      <xdr:col>19</xdr:col>
      <xdr:colOff>342899</xdr:colOff>
      <xdr:row>4</xdr:row>
      <xdr:rowOff>121584</xdr:rowOff>
    </xdr:to>
    <xdr:sp macro="" textlink="">
      <xdr:nvSpPr>
        <xdr:cNvPr id="3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15098806" y="664509"/>
          <a:ext cx="1265143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LPO List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9525</xdr:rowOff>
        </xdr:from>
        <xdr:to>
          <xdr:col>7</xdr:col>
          <xdr:colOff>9525</xdr:colOff>
          <xdr:row>8</xdr:row>
          <xdr:rowOff>257175</xdr:rowOff>
        </xdr:to>
        <xdr:sp macro="" textlink="">
          <xdr:nvSpPr>
            <xdr:cNvPr id="234525" name="CommandButton7" hidden="1">
              <a:extLst>
                <a:ext uri="{63B3BB69-23CF-44E3-9099-C40C66FF867C}">
                  <a14:compatExt spid="_x0000_s234525"/>
                </a:ext>
                <a:ext uri="{FF2B5EF4-FFF2-40B4-BE49-F238E27FC236}">
                  <a16:creationId xmlns:a16="http://schemas.microsoft.com/office/drawing/2014/main" id="{00000000-0008-0000-1500-00001D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17</xdr:row>
          <xdr:rowOff>171450</xdr:rowOff>
        </xdr:from>
        <xdr:to>
          <xdr:col>16</xdr:col>
          <xdr:colOff>381000</xdr:colOff>
          <xdr:row>21</xdr:row>
          <xdr:rowOff>95250</xdr:rowOff>
        </xdr:to>
        <xdr:sp macro="" textlink="">
          <xdr:nvSpPr>
            <xdr:cNvPr id="234526" name="CommandButton8" hidden="1">
              <a:extLst>
                <a:ext uri="{63B3BB69-23CF-44E3-9099-C40C66FF867C}">
                  <a14:compatExt spid="_x0000_s234526"/>
                </a:ext>
                <a:ext uri="{FF2B5EF4-FFF2-40B4-BE49-F238E27FC236}">
                  <a16:creationId xmlns:a16="http://schemas.microsoft.com/office/drawing/2014/main" id="{00000000-0008-0000-1500-00001E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0</xdr:row>
          <xdr:rowOff>247650</xdr:rowOff>
        </xdr:from>
        <xdr:to>
          <xdr:col>7</xdr:col>
          <xdr:colOff>428625</xdr:colOff>
          <xdr:row>2</xdr:row>
          <xdr:rowOff>152400</xdr:rowOff>
        </xdr:to>
        <xdr:sp macro="" textlink="">
          <xdr:nvSpPr>
            <xdr:cNvPr id="234527" name="CommandButton9" hidden="1">
              <a:extLst>
                <a:ext uri="{63B3BB69-23CF-44E3-9099-C40C66FF867C}">
                  <a14:compatExt spid="_x0000_s234527"/>
                </a:ext>
                <a:ext uri="{FF2B5EF4-FFF2-40B4-BE49-F238E27FC236}">
                  <a16:creationId xmlns:a16="http://schemas.microsoft.com/office/drawing/2014/main" id="{00000000-0008-0000-1500-00001F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257175</xdr:colOff>
          <xdr:row>3</xdr:row>
          <xdr:rowOff>266700</xdr:rowOff>
        </xdr:from>
        <xdr:to>
          <xdr:col>29</xdr:col>
          <xdr:colOff>447675</xdr:colOff>
          <xdr:row>4</xdr:row>
          <xdr:rowOff>161925</xdr:rowOff>
        </xdr:to>
        <xdr:sp macro="" textlink="">
          <xdr:nvSpPr>
            <xdr:cNvPr id="233475" name="CommandButton3" hidden="1">
              <a:extLst>
                <a:ext uri="{63B3BB69-23CF-44E3-9099-C40C66FF867C}">
                  <a14:compatExt spid="_x0000_s233475"/>
                </a:ext>
                <a:ext uri="{FF2B5EF4-FFF2-40B4-BE49-F238E27FC236}">
                  <a16:creationId xmlns:a16="http://schemas.microsoft.com/office/drawing/2014/main" id="{00000000-0008-0000-1600-000003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314325</xdr:colOff>
          <xdr:row>8</xdr:row>
          <xdr:rowOff>66675</xdr:rowOff>
        </xdr:from>
        <xdr:to>
          <xdr:col>29</xdr:col>
          <xdr:colOff>476250</xdr:colOff>
          <xdr:row>9</xdr:row>
          <xdr:rowOff>104775</xdr:rowOff>
        </xdr:to>
        <xdr:sp macro="" textlink="">
          <xdr:nvSpPr>
            <xdr:cNvPr id="233477" name="CommandButton4" hidden="1">
              <a:extLst>
                <a:ext uri="{63B3BB69-23CF-44E3-9099-C40C66FF867C}">
                  <a14:compatExt spid="_x0000_s233477"/>
                </a:ext>
                <a:ext uri="{FF2B5EF4-FFF2-40B4-BE49-F238E27FC236}">
                  <a16:creationId xmlns:a16="http://schemas.microsoft.com/office/drawing/2014/main" id="{00000000-0008-0000-1600-000005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</xdr:row>
          <xdr:rowOff>114300</xdr:rowOff>
        </xdr:from>
        <xdr:to>
          <xdr:col>17</xdr:col>
          <xdr:colOff>542925</xdr:colOff>
          <xdr:row>44</xdr:row>
          <xdr:rowOff>66675</xdr:rowOff>
        </xdr:to>
        <xdr:sp macro="" textlink="">
          <xdr:nvSpPr>
            <xdr:cNvPr id="233483" name="ListBox2" hidden="1">
              <a:extLst>
                <a:ext uri="{63B3BB69-23CF-44E3-9099-C40C66FF867C}">
                  <a14:compatExt spid="_x0000_s233483"/>
                </a:ext>
                <a:ext uri="{FF2B5EF4-FFF2-40B4-BE49-F238E27FC236}">
                  <a16:creationId xmlns:a16="http://schemas.microsoft.com/office/drawing/2014/main" id="{00000000-0008-0000-1600-00000B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27</xdr:col>
      <xdr:colOff>145676</xdr:colOff>
      <xdr:row>0</xdr:row>
      <xdr:rowOff>123265</xdr:rowOff>
    </xdr:from>
    <xdr:to>
      <xdr:col>29</xdr:col>
      <xdr:colOff>539831</xdr:colOff>
      <xdr:row>2</xdr:row>
      <xdr:rowOff>167528</xdr:rowOff>
    </xdr:to>
    <xdr:sp macro="" textlink="">
      <xdr:nvSpPr>
        <xdr:cNvPr id="12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17817352" y="123265"/>
          <a:ext cx="1604391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266700</xdr:colOff>
          <xdr:row>4</xdr:row>
          <xdr:rowOff>171450</xdr:rowOff>
        </xdr:from>
        <xdr:to>
          <xdr:col>29</xdr:col>
          <xdr:colOff>457200</xdr:colOff>
          <xdr:row>7</xdr:row>
          <xdr:rowOff>0</xdr:rowOff>
        </xdr:to>
        <xdr:sp macro="" textlink="">
          <xdr:nvSpPr>
            <xdr:cNvPr id="233485" name="CommandButton6" hidden="1">
              <a:extLst>
                <a:ext uri="{63B3BB69-23CF-44E3-9099-C40C66FF867C}">
                  <a14:compatExt spid="_x0000_s233485"/>
                </a:ext>
                <a:ext uri="{FF2B5EF4-FFF2-40B4-BE49-F238E27FC236}">
                  <a16:creationId xmlns:a16="http://schemas.microsoft.com/office/drawing/2014/main" id="{00000000-0008-0000-1600-00000D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156883</xdr:colOff>
      <xdr:row>2</xdr:row>
      <xdr:rowOff>212912</xdr:rowOff>
    </xdr:from>
    <xdr:to>
      <xdr:col>29</xdr:col>
      <xdr:colOff>551038</xdr:colOff>
      <xdr:row>2</xdr:row>
      <xdr:rowOff>660587</xdr:rowOff>
    </xdr:to>
    <xdr:sp macro="" textlink="">
      <xdr:nvSpPr>
        <xdr:cNvPr id="19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/>
      </xdr:nvSpPr>
      <xdr:spPr>
        <a:xfrm>
          <a:off x="17828559" y="616324"/>
          <a:ext cx="1604391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Invoice List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285750</xdr:colOff>
          <xdr:row>7</xdr:row>
          <xdr:rowOff>9525</xdr:rowOff>
        </xdr:from>
        <xdr:to>
          <xdr:col>29</xdr:col>
          <xdr:colOff>476250</xdr:colOff>
          <xdr:row>8</xdr:row>
          <xdr:rowOff>47625</xdr:rowOff>
        </xdr:to>
        <xdr:sp macro="" textlink="">
          <xdr:nvSpPr>
            <xdr:cNvPr id="233486" name="CommandButton7" hidden="1">
              <a:extLst>
                <a:ext uri="{63B3BB69-23CF-44E3-9099-C40C66FF867C}">
                  <a14:compatExt spid="_x0000_s233486"/>
                </a:ext>
                <a:ext uri="{FF2B5EF4-FFF2-40B4-BE49-F238E27FC236}">
                  <a16:creationId xmlns:a16="http://schemas.microsoft.com/office/drawing/2014/main" id="{00000000-0008-0000-1600-00000E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114300</xdr:rowOff>
        </xdr:from>
        <xdr:to>
          <xdr:col>24</xdr:col>
          <xdr:colOff>447675</xdr:colOff>
          <xdr:row>44</xdr:row>
          <xdr:rowOff>66675</xdr:rowOff>
        </xdr:to>
        <xdr:sp macro="" textlink="">
          <xdr:nvSpPr>
            <xdr:cNvPr id="233481" name="ListBox1" hidden="1">
              <a:extLst>
                <a:ext uri="{63B3BB69-23CF-44E3-9099-C40C66FF867C}">
                  <a14:compatExt spid="_x0000_s233481"/>
                </a:ext>
                <a:ext uri="{FF2B5EF4-FFF2-40B4-BE49-F238E27FC236}">
                  <a16:creationId xmlns:a16="http://schemas.microsoft.com/office/drawing/2014/main" id="{00000000-0008-0000-1600-000009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134472</xdr:colOff>
      <xdr:row>0</xdr:row>
      <xdr:rowOff>89648</xdr:rowOff>
    </xdr:from>
    <xdr:to>
      <xdr:col>32</xdr:col>
      <xdr:colOff>162486</xdr:colOff>
      <xdr:row>2</xdr:row>
      <xdr:rowOff>133911</xdr:rowOff>
    </xdr:to>
    <xdr:sp macro="" textlink="">
      <xdr:nvSpPr>
        <xdr:cNvPr id="13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19621501" y="89648"/>
          <a:ext cx="1238250" cy="4476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Folder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33617</xdr:colOff>
      <xdr:row>0</xdr:row>
      <xdr:rowOff>0</xdr:rowOff>
    </xdr:from>
    <xdr:to>
      <xdr:col>7</xdr:col>
      <xdr:colOff>1198905</xdr:colOff>
      <xdr:row>3</xdr:row>
      <xdr:rowOff>315577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7382" y="0"/>
          <a:ext cx="4773582" cy="1391342"/>
        </a:xfrm>
        <a:prstGeom prst="rect">
          <a:avLst/>
        </a:prstGeom>
      </xdr:spPr>
    </xdr:pic>
    <xdr:clientData/>
  </xdr:twoCellAnchor>
  <xdr:twoCellAnchor editAs="oneCell">
    <xdr:from>
      <xdr:col>2</xdr:col>
      <xdr:colOff>11205</xdr:colOff>
      <xdr:row>60</xdr:row>
      <xdr:rowOff>11207</xdr:rowOff>
    </xdr:from>
    <xdr:to>
      <xdr:col>9</xdr:col>
      <xdr:colOff>1030941</xdr:colOff>
      <xdr:row>62</xdr:row>
      <xdr:rowOff>198344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970" y="10085295"/>
          <a:ext cx="6600265" cy="512108"/>
        </a:xfrm>
        <a:prstGeom prst="rect">
          <a:avLst/>
        </a:prstGeom>
      </xdr:spPr>
    </xdr:pic>
    <xdr:clientData/>
  </xdr:twoCellAnchor>
  <xdr:twoCellAnchor editAs="oneCell">
    <xdr:from>
      <xdr:col>3</xdr:col>
      <xdr:colOff>89648</xdr:colOff>
      <xdr:row>46</xdr:row>
      <xdr:rowOff>56030</xdr:rowOff>
    </xdr:from>
    <xdr:to>
      <xdr:col>6</xdr:col>
      <xdr:colOff>588547</xdr:colOff>
      <xdr:row>52</xdr:row>
      <xdr:rowOff>67715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2707" y="7104530"/>
          <a:ext cx="3255546" cy="13900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28575</xdr:rowOff>
        </xdr:from>
        <xdr:to>
          <xdr:col>12</xdr:col>
          <xdr:colOff>276225</xdr:colOff>
          <xdr:row>48</xdr:row>
          <xdr:rowOff>161925</xdr:rowOff>
        </xdr:to>
        <xdr:sp macro="" textlink="">
          <xdr:nvSpPr>
            <xdr:cNvPr id="233487" name="CommandButton1" hidden="1">
              <a:extLst>
                <a:ext uri="{63B3BB69-23CF-44E3-9099-C40C66FF867C}">
                  <a14:compatExt spid="_x0000_s233487"/>
                </a:ext>
                <a:ext uri="{FF2B5EF4-FFF2-40B4-BE49-F238E27FC236}">
                  <a16:creationId xmlns:a16="http://schemas.microsoft.com/office/drawing/2014/main" id="{00000000-0008-0000-1600-00000F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</xdr:colOff>
      <xdr:row>0</xdr:row>
      <xdr:rowOff>0</xdr:rowOff>
    </xdr:from>
    <xdr:to>
      <xdr:col>21</xdr:col>
      <xdr:colOff>0</xdr:colOff>
      <xdr:row>2</xdr:row>
      <xdr:rowOff>57150</xdr:rowOff>
    </xdr:to>
    <xdr:sp macro="" textlink="">
      <xdr:nvSpPr>
        <xdr:cNvPr id="2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001750" y="0"/>
          <a:ext cx="1238250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328</xdr:row>
          <xdr:rowOff>0</xdr:rowOff>
        </xdr:from>
        <xdr:to>
          <xdr:col>19</xdr:col>
          <xdr:colOff>0</xdr:colOff>
          <xdr:row>330</xdr:row>
          <xdr:rowOff>161925</xdr:rowOff>
        </xdr:to>
        <xdr:sp macro="" textlink="">
          <xdr:nvSpPr>
            <xdr:cNvPr id="6145" name="Lis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238125</xdr:colOff>
          <xdr:row>0</xdr:row>
          <xdr:rowOff>9525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409575</xdr:colOff>
          <xdr:row>328</xdr:row>
          <xdr:rowOff>0</xdr:rowOff>
        </xdr:from>
        <xdr:to>
          <xdr:col>44</xdr:col>
          <xdr:colOff>723900</xdr:colOff>
          <xdr:row>331</xdr:row>
          <xdr:rowOff>123825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1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276225</xdr:colOff>
      <xdr:row>2</xdr:row>
      <xdr:rowOff>47625</xdr:rowOff>
    </xdr:from>
    <xdr:to>
      <xdr:col>23</xdr:col>
      <xdr:colOff>238124</xdr:colOff>
      <xdr:row>4</xdr:row>
      <xdr:rowOff>114300</xdr:rowOff>
    </xdr:to>
    <xdr:sp macro="" textlink="">
      <xdr:nvSpPr>
        <xdr:cNvPr id="6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4687550" y="438150"/>
          <a:ext cx="1238249" cy="4476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Folder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38100</xdr:colOff>
      <xdr:row>0</xdr:row>
      <xdr:rowOff>38100</xdr:rowOff>
    </xdr:from>
    <xdr:to>
      <xdr:col>23</xdr:col>
      <xdr:colOff>533400</xdr:colOff>
      <xdr:row>1</xdr:row>
      <xdr:rowOff>180975</xdr:rowOff>
    </xdr:to>
    <xdr:sp macro="" textlink="">
      <xdr:nvSpPr>
        <xdr:cNvPr id="3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4306550" y="38100"/>
          <a:ext cx="1714500" cy="39052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&lt;-   Back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4</xdr:row>
          <xdr:rowOff>180975</xdr:rowOff>
        </xdr:from>
        <xdr:to>
          <xdr:col>18</xdr:col>
          <xdr:colOff>571500</xdr:colOff>
          <xdr:row>6</xdr:row>
          <xdr:rowOff>57150</xdr:rowOff>
        </xdr:to>
        <xdr:sp macro="" textlink="">
          <xdr:nvSpPr>
            <xdr:cNvPr id="7175" name="CommandButton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18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133350</xdr:colOff>
      <xdr:row>5</xdr:row>
      <xdr:rowOff>28576</xdr:rowOff>
    </xdr:from>
    <xdr:to>
      <xdr:col>17</xdr:col>
      <xdr:colOff>19050</xdr:colOff>
      <xdr:row>6</xdr:row>
      <xdr:rowOff>47625</xdr:rowOff>
    </xdr:to>
    <xdr:sp macro="" textlink="">
      <xdr:nvSpPr>
        <xdr:cNvPr id="6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9944100" y="1076326"/>
          <a:ext cx="1257300" cy="209549"/>
        </a:xfrm>
        <a:prstGeom prst="roundRect">
          <a:avLst/>
        </a:prstGeom>
        <a:ln w="19050">
          <a:solidFill>
            <a:schemeClr val="bg1">
              <a:lumMod val="85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chemeClr val="bg1"/>
              </a:solidFill>
            </a:rPr>
            <a:t>Folder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</xdr:row>
          <xdr:rowOff>133350</xdr:rowOff>
        </xdr:from>
        <xdr:to>
          <xdr:col>18</xdr:col>
          <xdr:colOff>523875</xdr:colOff>
          <xdr:row>3</xdr:row>
          <xdr:rowOff>19050</xdr:rowOff>
        </xdr:to>
        <xdr:sp macro="" textlink="">
          <xdr:nvSpPr>
            <xdr:cNvPr id="7179" name="CommandButton2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18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3</xdr:row>
          <xdr:rowOff>114300</xdr:rowOff>
        </xdr:from>
        <xdr:to>
          <xdr:col>18</xdr:col>
          <xdr:colOff>571500</xdr:colOff>
          <xdr:row>4</xdr:row>
          <xdr:rowOff>133350</xdr:rowOff>
        </xdr:to>
        <xdr:sp macro="" textlink="">
          <xdr:nvSpPr>
            <xdr:cNvPr id="7184" name="CommandButton3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18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0</xdr:row>
          <xdr:rowOff>66675</xdr:rowOff>
        </xdr:from>
        <xdr:to>
          <xdr:col>18</xdr:col>
          <xdr:colOff>523875</xdr:colOff>
          <xdr:row>1</xdr:row>
          <xdr:rowOff>76200</xdr:rowOff>
        </xdr:to>
        <xdr:sp macro="" textlink="">
          <xdr:nvSpPr>
            <xdr:cNvPr id="7185" name="CommandButton4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18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76200</xdr:rowOff>
        </xdr:from>
        <xdr:to>
          <xdr:col>17</xdr:col>
          <xdr:colOff>19050</xdr:colOff>
          <xdr:row>1</xdr:row>
          <xdr:rowOff>85725</xdr:rowOff>
        </xdr:to>
        <xdr:sp macro="" textlink="">
          <xdr:nvSpPr>
            <xdr:cNvPr id="7187" name="CommandButton5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18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</xdr:row>
          <xdr:rowOff>123825</xdr:rowOff>
        </xdr:from>
        <xdr:to>
          <xdr:col>17</xdr:col>
          <xdr:colOff>38100</xdr:colOff>
          <xdr:row>3</xdr:row>
          <xdr:rowOff>9525</xdr:rowOff>
        </xdr:to>
        <xdr:sp macro="" textlink="">
          <xdr:nvSpPr>
            <xdr:cNvPr id="7188" name="CommandButton6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18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3</xdr:row>
          <xdr:rowOff>133350</xdr:rowOff>
        </xdr:from>
        <xdr:to>
          <xdr:col>17</xdr:col>
          <xdr:colOff>66675</xdr:colOff>
          <xdr:row>4</xdr:row>
          <xdr:rowOff>152400</xdr:rowOff>
        </xdr:to>
        <xdr:sp macro="" textlink="">
          <xdr:nvSpPr>
            <xdr:cNvPr id="7191" name="CommandButton7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18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657225</xdr:colOff>
      <xdr:row>0</xdr:row>
      <xdr:rowOff>0</xdr:rowOff>
    </xdr:from>
    <xdr:to>
      <xdr:col>11</xdr:col>
      <xdr:colOff>67018</xdr:colOff>
      <xdr:row>2</xdr:row>
      <xdr:rowOff>288544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05650" y="0"/>
          <a:ext cx="3038818" cy="8695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561976</xdr:colOff>
      <xdr:row>0</xdr:row>
      <xdr:rowOff>9525</xdr:rowOff>
    </xdr:from>
    <xdr:to>
      <xdr:col>15</xdr:col>
      <xdr:colOff>333375</xdr:colOff>
      <xdr:row>2</xdr:row>
      <xdr:rowOff>76200</xdr:rowOff>
    </xdr:to>
    <xdr:sp macro="" textlink="">
      <xdr:nvSpPr>
        <xdr:cNvPr id="2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1420476" y="9525"/>
          <a:ext cx="1790699" cy="44767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ar-EG" sz="1600" b="1" baseline="0">
              <a:solidFill>
                <a:schemeClr val="bg1"/>
              </a:solidFill>
            </a:rPr>
            <a:t>عـــــوده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  <wetp:taskpane dockstate="right" visibility="0" width="350" row="8">
    <wetp:webextensionref xmlns:r="http://schemas.openxmlformats.org/officeDocument/2006/relationships" r:id="rId3"/>
  </wetp:taskpane>
  <wetp:taskpane dockstate="right" visibility="0" width="350" row="9">
    <wetp:webextensionref xmlns:r="http://schemas.openxmlformats.org/officeDocument/2006/relationships" r:id="rId4"/>
  </wetp:taskpane>
  <wetp:taskpane dockstate="right" visibility="0" width="350" row="9">
    <wetp:webextensionref xmlns:r="http://schemas.openxmlformats.org/officeDocument/2006/relationships" r:id="rId5"/>
  </wetp:taskpane>
</wetp:taskpanes>
</file>

<file path=xl/webextensions/webextension1.xml><?xml version="1.0" encoding="utf-8"?>
<we:webextension xmlns:we="http://schemas.microsoft.com/office/webextensions/webextension/2010/11" id="{07D0321A-0A0B-4888-890A-3E4269324E69}">
  <we:reference id="wa104168603" version="1.0.0.6" store="en-US" storeType="OMEX"/>
  <we:alternateReferences>
    <we:reference id="WA104168603" version="1.0.0.6" store="WA104168603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8F41B14-8FB2-4BDD-80A6-9AFA3DE99EFD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5547EE-D5E0-4C05-B5C4-D9F6489558F9}">
  <we:reference id="wa200006191" version="1.0.0.0" store="en-US" storeType="OMEX"/>
  <we:alternateReferences>
    <we:reference id="wa200006191" version="1.0.0.0" store="WA200006191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15F9A16D-C73A-49B6-8968-49C73B12C608}">
  <we:reference id="wa200003101" version="1.0.0.7" store="en-US" storeType="OMEX"/>
  <we:alternateReferences>
    <we:reference id="wa200003101" version="1.0.0.7" store="WA200003101" storeType="OMEX"/>
  </we:alternateReferences>
  <we:properties/>
  <we:bindings/>
  <we:snapshot xmlns:r="http://schemas.openxmlformats.org/officeDocument/2006/relationships"/>
</we:webextension>
</file>

<file path=xl/webextensions/webextension5.xml><?xml version="1.0" encoding="utf-8"?>
<we:webextension xmlns:we="http://schemas.microsoft.com/office/webextensions/webextension/2010/11" id="{C29E00F2-786C-44CC-9795-C0E34BAB21A5}">
  <we:reference id="wa104381673" version="2.1.1.0" store="en-US" storeType="OMEX"/>
  <we:alternateReferences>
    <we:reference id="wa104381673" version="2.1.1.0" store="WA10438167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21.emf"/><Relationship Id="rId3" Type="http://schemas.openxmlformats.org/officeDocument/2006/relationships/customProperty" Target="../customProperty7.bin"/><Relationship Id="rId7" Type="http://schemas.openxmlformats.org/officeDocument/2006/relationships/image" Target="../media/image18.emf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11" Type="http://schemas.openxmlformats.org/officeDocument/2006/relationships/image" Target="../media/image20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22.emf"/><Relationship Id="rId10" Type="http://schemas.openxmlformats.org/officeDocument/2006/relationships/control" Target="../activeX/activeX5.xml"/><Relationship Id="rId4" Type="http://schemas.openxmlformats.org/officeDocument/2006/relationships/drawing" Target="../drawings/drawing3.xml"/><Relationship Id="rId9" Type="http://schemas.openxmlformats.org/officeDocument/2006/relationships/image" Target="../media/image19.emf"/><Relationship Id="rId14" Type="http://schemas.openxmlformats.org/officeDocument/2006/relationships/control" Target="../activeX/activeX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unitcodb@emirates.net.ae" TargetMode="External"/><Relationship Id="rId2" Type="http://schemas.openxmlformats.org/officeDocument/2006/relationships/hyperlink" Target="mailto:Info@winnerac.com" TargetMode="External"/><Relationship Id="rId1" Type="http://schemas.openxmlformats.org/officeDocument/2006/relationships/printerSettings" Target="../printerSettings/printerSettings9.bin"/><Relationship Id="rId5" Type="http://schemas.openxmlformats.org/officeDocument/2006/relationships/customProperty" Target="../customProperty8.bin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1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7" Type="http://schemas.openxmlformats.org/officeDocument/2006/relationships/image" Target="../media/image32.emf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9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36.emf"/><Relationship Id="rId3" Type="http://schemas.openxmlformats.org/officeDocument/2006/relationships/customProperty" Target="../customProperty10.bin"/><Relationship Id="rId7" Type="http://schemas.openxmlformats.org/officeDocument/2006/relationships/image" Target="../media/image33.emf"/><Relationship Id="rId12" Type="http://schemas.openxmlformats.org/officeDocument/2006/relationships/control" Target="../activeX/activeX13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.xml"/><Relationship Id="rId11" Type="http://schemas.openxmlformats.org/officeDocument/2006/relationships/image" Target="../media/image35.emf"/><Relationship Id="rId5" Type="http://schemas.openxmlformats.org/officeDocument/2006/relationships/vmlDrawing" Target="../drawings/vmlDrawing5.vml"/><Relationship Id="rId10" Type="http://schemas.openxmlformats.org/officeDocument/2006/relationships/control" Target="../activeX/activeX12.xml"/><Relationship Id="rId4" Type="http://schemas.openxmlformats.org/officeDocument/2006/relationships/drawing" Target="../drawings/drawing6.xml"/><Relationship Id="rId9" Type="http://schemas.openxmlformats.org/officeDocument/2006/relationships/image" Target="../media/image34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17.xml"/><Relationship Id="rId18" Type="http://schemas.openxmlformats.org/officeDocument/2006/relationships/image" Target="../media/image42.emf"/><Relationship Id="rId3" Type="http://schemas.openxmlformats.org/officeDocument/2006/relationships/customProperty" Target="../customProperty12.bin"/><Relationship Id="rId21" Type="http://schemas.openxmlformats.org/officeDocument/2006/relationships/control" Target="../activeX/activeX21.xml"/><Relationship Id="rId7" Type="http://schemas.openxmlformats.org/officeDocument/2006/relationships/control" Target="../activeX/activeX14.xml"/><Relationship Id="rId12" Type="http://schemas.openxmlformats.org/officeDocument/2006/relationships/image" Target="../media/image39.emf"/><Relationship Id="rId17" Type="http://schemas.openxmlformats.org/officeDocument/2006/relationships/control" Target="../activeX/activeX19.xml"/><Relationship Id="rId2" Type="http://schemas.openxmlformats.org/officeDocument/2006/relationships/printerSettings" Target="../printerSettings/printerSettings20.bin"/><Relationship Id="rId16" Type="http://schemas.openxmlformats.org/officeDocument/2006/relationships/image" Target="../media/image41.emf"/><Relationship Id="rId20" Type="http://schemas.openxmlformats.org/officeDocument/2006/relationships/image" Target="../media/image43.emf"/><Relationship Id="rId1" Type="http://schemas.openxmlformats.org/officeDocument/2006/relationships/printerSettings" Target="../printerSettings/printerSettings19.bin"/><Relationship Id="rId6" Type="http://schemas.openxmlformats.org/officeDocument/2006/relationships/vmlDrawing" Target="../drawings/vmlDrawing7.vml"/><Relationship Id="rId11" Type="http://schemas.openxmlformats.org/officeDocument/2006/relationships/control" Target="../activeX/activeX16.xml"/><Relationship Id="rId5" Type="http://schemas.openxmlformats.org/officeDocument/2006/relationships/vmlDrawing" Target="../drawings/vmlDrawing6.vml"/><Relationship Id="rId15" Type="http://schemas.openxmlformats.org/officeDocument/2006/relationships/control" Target="../activeX/activeX18.xml"/><Relationship Id="rId10" Type="http://schemas.openxmlformats.org/officeDocument/2006/relationships/image" Target="../media/image38.emf"/><Relationship Id="rId19" Type="http://schemas.openxmlformats.org/officeDocument/2006/relationships/control" Target="../activeX/activeX20.xml"/><Relationship Id="rId4" Type="http://schemas.openxmlformats.org/officeDocument/2006/relationships/drawing" Target="../drawings/drawing7.xml"/><Relationship Id="rId9" Type="http://schemas.openxmlformats.org/officeDocument/2006/relationships/control" Target="../activeX/activeX15.xml"/><Relationship Id="rId14" Type="http://schemas.openxmlformats.org/officeDocument/2006/relationships/image" Target="../media/image40.emf"/><Relationship Id="rId22" Type="http://schemas.openxmlformats.org/officeDocument/2006/relationships/image" Target="../media/image44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control" Target="../activeX/activeX25.xml"/><Relationship Id="rId18" Type="http://schemas.openxmlformats.org/officeDocument/2006/relationships/image" Target="../media/image53.emf"/><Relationship Id="rId3" Type="http://schemas.openxmlformats.org/officeDocument/2006/relationships/customProperty" Target="../customProperty13.bin"/><Relationship Id="rId21" Type="http://schemas.openxmlformats.org/officeDocument/2006/relationships/control" Target="../activeX/activeX29.xml"/><Relationship Id="rId7" Type="http://schemas.openxmlformats.org/officeDocument/2006/relationships/control" Target="../activeX/activeX22.xml"/><Relationship Id="rId12" Type="http://schemas.openxmlformats.org/officeDocument/2006/relationships/image" Target="../media/image50.emf"/><Relationship Id="rId17" Type="http://schemas.openxmlformats.org/officeDocument/2006/relationships/control" Target="../activeX/activeX27.xml"/><Relationship Id="rId2" Type="http://schemas.openxmlformats.org/officeDocument/2006/relationships/printerSettings" Target="../printerSettings/printerSettings22.bin"/><Relationship Id="rId16" Type="http://schemas.openxmlformats.org/officeDocument/2006/relationships/image" Target="../media/image52.emf"/><Relationship Id="rId20" Type="http://schemas.openxmlformats.org/officeDocument/2006/relationships/image" Target="../media/image54.emf"/><Relationship Id="rId1" Type="http://schemas.openxmlformats.org/officeDocument/2006/relationships/printerSettings" Target="../printerSettings/printerSettings21.bin"/><Relationship Id="rId6" Type="http://schemas.openxmlformats.org/officeDocument/2006/relationships/vmlDrawing" Target="../drawings/vmlDrawing9.vml"/><Relationship Id="rId11" Type="http://schemas.openxmlformats.org/officeDocument/2006/relationships/control" Target="../activeX/activeX24.xml"/><Relationship Id="rId5" Type="http://schemas.openxmlformats.org/officeDocument/2006/relationships/vmlDrawing" Target="../drawings/vmlDrawing8.vml"/><Relationship Id="rId15" Type="http://schemas.openxmlformats.org/officeDocument/2006/relationships/control" Target="../activeX/activeX26.xml"/><Relationship Id="rId10" Type="http://schemas.openxmlformats.org/officeDocument/2006/relationships/image" Target="../media/image49.emf"/><Relationship Id="rId19" Type="http://schemas.openxmlformats.org/officeDocument/2006/relationships/control" Target="../activeX/activeX28.xml"/><Relationship Id="rId4" Type="http://schemas.openxmlformats.org/officeDocument/2006/relationships/drawing" Target="../drawings/drawing8.xml"/><Relationship Id="rId9" Type="http://schemas.openxmlformats.org/officeDocument/2006/relationships/control" Target="../activeX/activeX23.xml"/><Relationship Id="rId14" Type="http://schemas.openxmlformats.org/officeDocument/2006/relationships/image" Target="../media/image51.emf"/><Relationship Id="rId22" Type="http://schemas.openxmlformats.org/officeDocument/2006/relationships/image" Target="../media/image55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7" Type="http://schemas.openxmlformats.org/officeDocument/2006/relationships/image" Target="../media/image59.emf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3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customProperty" Target="../customProperty15.bin"/><Relationship Id="rId7" Type="http://schemas.openxmlformats.org/officeDocument/2006/relationships/image" Target="../media/image60.emf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31.xml"/><Relationship Id="rId11" Type="http://schemas.openxmlformats.org/officeDocument/2006/relationships/image" Target="../media/image62.emf"/><Relationship Id="rId5" Type="http://schemas.openxmlformats.org/officeDocument/2006/relationships/vmlDrawing" Target="../drawings/vmlDrawing11.vml"/><Relationship Id="rId10" Type="http://schemas.openxmlformats.org/officeDocument/2006/relationships/control" Target="../activeX/activeX33.xml"/><Relationship Id="rId4" Type="http://schemas.openxmlformats.org/officeDocument/2006/relationships/drawing" Target="../drawings/drawing10.xml"/><Relationship Id="rId9" Type="http://schemas.openxmlformats.org/officeDocument/2006/relationships/image" Target="../media/image6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customProperty" Target="../customProperty16.bin"/><Relationship Id="rId7" Type="http://schemas.openxmlformats.org/officeDocument/2006/relationships/image" Target="../media/image63.emf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34.xml"/><Relationship Id="rId5" Type="http://schemas.openxmlformats.org/officeDocument/2006/relationships/vmlDrawing" Target="../drawings/vmlDrawing12.vml"/><Relationship Id="rId4" Type="http://schemas.openxmlformats.org/officeDocument/2006/relationships/drawing" Target="../drawings/drawing11.xml"/><Relationship Id="rId9" Type="http://schemas.openxmlformats.org/officeDocument/2006/relationships/image" Target="../media/image6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control" Target="../activeX/activeX39.xml"/><Relationship Id="rId18" Type="http://schemas.openxmlformats.org/officeDocument/2006/relationships/image" Target="../media/image70.emf"/><Relationship Id="rId26" Type="http://schemas.openxmlformats.org/officeDocument/2006/relationships/image" Target="../media/image74.emf"/><Relationship Id="rId39" Type="http://schemas.openxmlformats.org/officeDocument/2006/relationships/control" Target="../activeX/activeX52.xml"/><Relationship Id="rId3" Type="http://schemas.openxmlformats.org/officeDocument/2006/relationships/customProperty" Target="../customProperty17.bin"/><Relationship Id="rId21" Type="http://schemas.openxmlformats.org/officeDocument/2006/relationships/control" Target="../activeX/activeX43.xml"/><Relationship Id="rId34" Type="http://schemas.openxmlformats.org/officeDocument/2006/relationships/image" Target="../media/image78.emf"/><Relationship Id="rId42" Type="http://schemas.openxmlformats.org/officeDocument/2006/relationships/image" Target="../media/image82.emf"/><Relationship Id="rId47" Type="http://schemas.openxmlformats.org/officeDocument/2006/relationships/control" Target="../activeX/activeX56.xml"/><Relationship Id="rId7" Type="http://schemas.openxmlformats.org/officeDocument/2006/relationships/control" Target="../activeX/activeX36.xml"/><Relationship Id="rId12" Type="http://schemas.openxmlformats.org/officeDocument/2006/relationships/image" Target="../media/image67.emf"/><Relationship Id="rId17" Type="http://schemas.openxmlformats.org/officeDocument/2006/relationships/control" Target="../activeX/activeX41.xml"/><Relationship Id="rId25" Type="http://schemas.openxmlformats.org/officeDocument/2006/relationships/control" Target="../activeX/activeX45.xml"/><Relationship Id="rId33" Type="http://schemas.openxmlformats.org/officeDocument/2006/relationships/control" Target="../activeX/activeX49.xml"/><Relationship Id="rId38" Type="http://schemas.openxmlformats.org/officeDocument/2006/relationships/image" Target="../media/image80.emf"/><Relationship Id="rId46" Type="http://schemas.openxmlformats.org/officeDocument/2006/relationships/image" Target="../media/image84.emf"/><Relationship Id="rId2" Type="http://schemas.openxmlformats.org/officeDocument/2006/relationships/printerSettings" Target="../printerSettings/printerSettings30.bin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control" Target="../activeX/activeX47.xml"/><Relationship Id="rId41" Type="http://schemas.openxmlformats.org/officeDocument/2006/relationships/control" Target="../activeX/activeX53.xml"/><Relationship Id="rId1" Type="http://schemas.openxmlformats.org/officeDocument/2006/relationships/printerSettings" Target="../printerSettings/printerSettings29.bin"/><Relationship Id="rId6" Type="http://schemas.openxmlformats.org/officeDocument/2006/relationships/vmlDrawing" Target="../drawings/vmlDrawing14.vml"/><Relationship Id="rId11" Type="http://schemas.openxmlformats.org/officeDocument/2006/relationships/control" Target="../activeX/activeX38.xml"/><Relationship Id="rId24" Type="http://schemas.openxmlformats.org/officeDocument/2006/relationships/image" Target="../media/image73.emf"/><Relationship Id="rId32" Type="http://schemas.openxmlformats.org/officeDocument/2006/relationships/image" Target="../media/image77.emf"/><Relationship Id="rId37" Type="http://schemas.openxmlformats.org/officeDocument/2006/relationships/control" Target="../activeX/activeX51.xml"/><Relationship Id="rId40" Type="http://schemas.openxmlformats.org/officeDocument/2006/relationships/image" Target="../media/image81.emf"/><Relationship Id="rId45" Type="http://schemas.openxmlformats.org/officeDocument/2006/relationships/control" Target="../activeX/activeX55.xml"/><Relationship Id="rId5" Type="http://schemas.openxmlformats.org/officeDocument/2006/relationships/vmlDrawing" Target="../drawings/vmlDrawing13.vml"/><Relationship Id="rId15" Type="http://schemas.openxmlformats.org/officeDocument/2006/relationships/control" Target="../activeX/activeX40.xml"/><Relationship Id="rId23" Type="http://schemas.openxmlformats.org/officeDocument/2006/relationships/control" Target="../activeX/activeX44.xml"/><Relationship Id="rId28" Type="http://schemas.openxmlformats.org/officeDocument/2006/relationships/image" Target="../media/image75.emf"/><Relationship Id="rId36" Type="http://schemas.openxmlformats.org/officeDocument/2006/relationships/image" Target="../media/image79.emf"/><Relationship Id="rId10" Type="http://schemas.openxmlformats.org/officeDocument/2006/relationships/image" Target="../media/image66.emf"/><Relationship Id="rId19" Type="http://schemas.openxmlformats.org/officeDocument/2006/relationships/control" Target="../activeX/activeX42.xml"/><Relationship Id="rId31" Type="http://schemas.openxmlformats.org/officeDocument/2006/relationships/control" Target="../activeX/activeX48.xml"/><Relationship Id="rId44" Type="http://schemas.openxmlformats.org/officeDocument/2006/relationships/image" Target="../media/image83.emf"/><Relationship Id="rId4" Type="http://schemas.openxmlformats.org/officeDocument/2006/relationships/drawing" Target="../drawings/drawing12.xml"/><Relationship Id="rId9" Type="http://schemas.openxmlformats.org/officeDocument/2006/relationships/control" Target="../activeX/activeX37.xml"/><Relationship Id="rId14" Type="http://schemas.openxmlformats.org/officeDocument/2006/relationships/image" Target="../media/image68.emf"/><Relationship Id="rId22" Type="http://schemas.openxmlformats.org/officeDocument/2006/relationships/image" Target="../media/image72.emf"/><Relationship Id="rId27" Type="http://schemas.openxmlformats.org/officeDocument/2006/relationships/control" Target="../activeX/activeX46.xml"/><Relationship Id="rId30" Type="http://schemas.openxmlformats.org/officeDocument/2006/relationships/image" Target="../media/image76.emf"/><Relationship Id="rId35" Type="http://schemas.openxmlformats.org/officeDocument/2006/relationships/control" Target="../activeX/activeX50.xml"/><Relationship Id="rId43" Type="http://schemas.openxmlformats.org/officeDocument/2006/relationships/control" Target="../activeX/activeX54.xml"/><Relationship Id="rId48" Type="http://schemas.openxmlformats.org/officeDocument/2006/relationships/image" Target="../media/image8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89.emf"/><Relationship Id="rId18" Type="http://schemas.openxmlformats.org/officeDocument/2006/relationships/control" Target="../activeX/activeX63.xml"/><Relationship Id="rId3" Type="http://schemas.openxmlformats.org/officeDocument/2006/relationships/customProperty" Target="../customProperty18.bin"/><Relationship Id="rId7" Type="http://schemas.openxmlformats.org/officeDocument/2006/relationships/image" Target="../media/image86.emf"/><Relationship Id="rId12" Type="http://schemas.openxmlformats.org/officeDocument/2006/relationships/control" Target="../activeX/activeX60.xml"/><Relationship Id="rId17" Type="http://schemas.openxmlformats.org/officeDocument/2006/relationships/image" Target="../media/image91.emf"/><Relationship Id="rId2" Type="http://schemas.openxmlformats.org/officeDocument/2006/relationships/printerSettings" Target="../printerSettings/printerSettings32.bin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vmlDrawing" Target="../drawings/vmlDrawing15.vml"/><Relationship Id="rId15" Type="http://schemas.openxmlformats.org/officeDocument/2006/relationships/image" Target="../media/image90.emf"/><Relationship Id="rId10" Type="http://schemas.openxmlformats.org/officeDocument/2006/relationships/control" Target="../activeX/activeX59.xml"/><Relationship Id="rId19" Type="http://schemas.openxmlformats.org/officeDocument/2006/relationships/image" Target="../media/image92.emf"/><Relationship Id="rId4" Type="http://schemas.openxmlformats.org/officeDocument/2006/relationships/drawing" Target="../drawings/drawing13.xml"/><Relationship Id="rId9" Type="http://schemas.openxmlformats.org/officeDocument/2006/relationships/image" Target="../media/image87.emf"/><Relationship Id="rId14" Type="http://schemas.openxmlformats.org/officeDocument/2006/relationships/control" Target="../activeX/activeX6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customProperty" Target="../customProperty19.bin"/><Relationship Id="rId7" Type="http://schemas.openxmlformats.org/officeDocument/2006/relationships/image" Target="../media/image96.emf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64.xml"/><Relationship Id="rId11" Type="http://schemas.openxmlformats.org/officeDocument/2006/relationships/image" Target="../media/image98.emf"/><Relationship Id="rId5" Type="http://schemas.openxmlformats.org/officeDocument/2006/relationships/vmlDrawing" Target="../drawings/vmlDrawing16.vml"/><Relationship Id="rId10" Type="http://schemas.openxmlformats.org/officeDocument/2006/relationships/control" Target="../activeX/activeX66.xml"/><Relationship Id="rId4" Type="http://schemas.openxmlformats.org/officeDocument/2006/relationships/drawing" Target="../drawings/drawing14.xml"/><Relationship Id="rId9" Type="http://schemas.openxmlformats.org/officeDocument/2006/relationships/image" Target="../media/image9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102.emf"/><Relationship Id="rId18" Type="http://schemas.openxmlformats.org/officeDocument/2006/relationships/control" Target="../activeX/activeX73.xml"/><Relationship Id="rId3" Type="http://schemas.openxmlformats.org/officeDocument/2006/relationships/customProperty" Target="../customProperty20.bin"/><Relationship Id="rId7" Type="http://schemas.openxmlformats.org/officeDocument/2006/relationships/image" Target="../media/image99.emf"/><Relationship Id="rId12" Type="http://schemas.openxmlformats.org/officeDocument/2006/relationships/control" Target="../activeX/activeX70.xml"/><Relationship Id="rId17" Type="http://schemas.openxmlformats.org/officeDocument/2006/relationships/image" Target="../media/image104.emf"/><Relationship Id="rId2" Type="http://schemas.openxmlformats.org/officeDocument/2006/relationships/printerSettings" Target="../printerSettings/printerSettings36.bin"/><Relationship Id="rId16" Type="http://schemas.openxmlformats.org/officeDocument/2006/relationships/control" Target="../activeX/activeX72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67.xml"/><Relationship Id="rId11" Type="http://schemas.openxmlformats.org/officeDocument/2006/relationships/image" Target="../media/image101.emf"/><Relationship Id="rId5" Type="http://schemas.openxmlformats.org/officeDocument/2006/relationships/vmlDrawing" Target="../drawings/vmlDrawing17.vml"/><Relationship Id="rId15" Type="http://schemas.openxmlformats.org/officeDocument/2006/relationships/image" Target="../media/image103.emf"/><Relationship Id="rId10" Type="http://schemas.openxmlformats.org/officeDocument/2006/relationships/control" Target="../activeX/activeX69.xml"/><Relationship Id="rId19" Type="http://schemas.openxmlformats.org/officeDocument/2006/relationships/image" Target="../media/image105.emf"/><Relationship Id="rId4" Type="http://schemas.openxmlformats.org/officeDocument/2006/relationships/drawing" Target="../drawings/drawing15.xml"/><Relationship Id="rId9" Type="http://schemas.openxmlformats.org/officeDocument/2006/relationships/image" Target="../media/image100.emf"/><Relationship Id="rId14" Type="http://schemas.openxmlformats.org/officeDocument/2006/relationships/control" Target="../activeX/activeX7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3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43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CE359-1219-43A0-AA40-DDB06A212A27}">
  <sheetPr codeName="Sheet13">
    <pageSetUpPr fitToPage="1"/>
  </sheetPr>
  <dimension ref="A1:U199"/>
  <sheetViews>
    <sheetView workbookViewId="0">
      <selection activeCell="B28" sqref="B28"/>
    </sheetView>
  </sheetViews>
  <sheetFormatPr defaultRowHeight="15"/>
  <cols>
    <col min="1" max="1" width="1.5703125" style="1" customWidth="1"/>
    <col min="2" max="2" width="10" style="1" customWidth="1"/>
    <col min="3" max="3" width="24.7109375" style="1" customWidth="1"/>
    <col min="4" max="4" width="10.7109375" style="1" bestFit="1" customWidth="1"/>
    <col min="5" max="5" width="9.28515625" style="1" customWidth="1"/>
    <col min="6" max="6" width="8" style="1" customWidth="1"/>
    <col min="7" max="7" width="7.7109375" style="1" customWidth="1"/>
    <col min="8" max="8" width="23.28515625" style="1" customWidth="1"/>
    <col min="9" max="9" width="11.140625" style="1201" bestFit="1" customWidth="1"/>
    <col min="10" max="10" width="5" style="1" customWidth="1"/>
    <col min="11" max="13" width="9.140625" style="1"/>
    <col min="14" max="14" width="22.140625" style="1" customWidth="1"/>
    <col min="15" max="15" width="21.7109375" style="1" customWidth="1"/>
    <col min="16" max="19" width="9.140625" style="1"/>
    <col min="20" max="20" width="26.5703125" style="1" bestFit="1" customWidth="1"/>
    <col min="21" max="21" width="9.85546875" style="1" bestFit="1" customWidth="1"/>
    <col min="22" max="16384" width="9.140625" style="1"/>
  </cols>
  <sheetData>
    <row r="1" spans="1:21">
      <c r="A1" s="1208" t="s">
        <v>4947</v>
      </c>
      <c r="B1" s="1208"/>
      <c r="C1" s="1208"/>
    </row>
    <row r="2" spans="1:21">
      <c r="A2" s="1714" t="s">
        <v>4948</v>
      </c>
      <c r="B2" s="1715"/>
      <c r="C2" s="1" t="s">
        <v>5835</v>
      </c>
    </row>
    <row r="3" spans="1:21" ht="16.5" customHeight="1">
      <c r="C3" s="1716" t="s">
        <v>4973</v>
      </c>
      <c r="D3" s="1716"/>
      <c r="E3" s="1716"/>
      <c r="F3" s="1716"/>
      <c r="G3" s="1716"/>
      <c r="H3" s="1716"/>
    </row>
    <row r="4" spans="1:21" ht="16.5" customHeight="1" thickBot="1">
      <c r="C4" s="1717"/>
      <c r="D4" s="1717"/>
      <c r="E4" s="1717"/>
      <c r="F4" s="1717"/>
      <c r="G4" s="1717"/>
      <c r="H4" s="1717"/>
    </row>
    <row r="5" spans="1:21" ht="15.75" thickTop="1">
      <c r="D5" s="1718">
        <v>45291</v>
      </c>
      <c r="E5" s="1718"/>
      <c r="F5" s="1718"/>
      <c r="G5" s="1718"/>
    </row>
    <row r="6" spans="1:21">
      <c r="O6" s="1">
        <v>1</v>
      </c>
      <c r="P6" s="1" t="s">
        <v>4949</v>
      </c>
    </row>
    <row r="7" spans="1:21" s="1272" customFormat="1" ht="22.5" customHeight="1" thickBot="1">
      <c r="B7" s="1203" t="s">
        <v>4974</v>
      </c>
      <c r="C7" s="1203"/>
      <c r="D7" s="1203"/>
      <c r="F7" s="1273"/>
      <c r="G7" s="1203" t="s">
        <v>4977</v>
      </c>
      <c r="H7" s="1203"/>
      <c r="I7" s="1207"/>
    </row>
    <row r="8" spans="1:21" ht="18.75" customHeight="1" thickTop="1">
      <c r="B8" s="1270" t="s">
        <v>4952</v>
      </c>
      <c r="C8" s="1200" t="s">
        <v>5112</v>
      </c>
      <c r="D8" s="1201">
        <v>6970.11</v>
      </c>
      <c r="F8" s="1209"/>
      <c r="G8" s="1271"/>
      <c r="H8" s="1252" t="s">
        <v>5117</v>
      </c>
      <c r="I8" s="1215"/>
      <c r="J8" s="1215"/>
    </row>
    <row r="9" spans="1:21">
      <c r="B9" s="1270" t="s">
        <v>4953</v>
      </c>
      <c r="C9" s="1200" t="s">
        <v>5113</v>
      </c>
      <c r="D9" s="1201">
        <v>2069.85</v>
      </c>
      <c r="E9" s="1215"/>
      <c r="F9" s="1209"/>
      <c r="G9" s="1271">
        <v>2000</v>
      </c>
      <c r="H9" s="1252" t="s">
        <v>5090</v>
      </c>
      <c r="I9" s="1253">
        <f>Sheet6!E17</f>
        <v>97727.200000000012</v>
      </c>
      <c r="J9" s="1215" t="s">
        <v>5092</v>
      </c>
    </row>
    <row r="10" spans="1:21">
      <c r="B10" s="1270" t="s">
        <v>4955</v>
      </c>
      <c r="C10" s="1200" t="s">
        <v>5115</v>
      </c>
      <c r="D10" s="1201">
        <v>7393.15</v>
      </c>
      <c r="E10" s="1201"/>
      <c r="F10" s="1209"/>
      <c r="G10" s="1271"/>
      <c r="H10" s="1" t="s">
        <v>4978</v>
      </c>
      <c r="I10" s="1201">
        <f>Sheet6!E27</f>
        <v>177993</v>
      </c>
      <c r="K10" s="1201"/>
    </row>
    <row r="11" spans="1:21" ht="15.75" thickBot="1">
      <c r="B11" s="1270" t="s">
        <v>4956</v>
      </c>
      <c r="C11" s="1200" t="s">
        <v>5114</v>
      </c>
      <c r="D11" s="1201">
        <v>46010.75</v>
      </c>
      <c r="E11" s="1201"/>
      <c r="F11" s="1209"/>
      <c r="G11" s="1204"/>
      <c r="H11" s="1204" t="s">
        <v>4981</v>
      </c>
      <c r="I11" s="1206">
        <f>SUM(I10)</f>
        <v>177993</v>
      </c>
    </row>
    <row r="12" spans="1:21" ht="15.75" thickTop="1">
      <c r="B12" s="1270" t="s">
        <v>4957</v>
      </c>
      <c r="C12" s="1200" t="s">
        <v>5116</v>
      </c>
      <c r="D12" s="1201">
        <v>737562.79</v>
      </c>
      <c r="E12" s="1201"/>
      <c r="F12" s="1209"/>
      <c r="S12" s="1191" t="s">
        <v>4950</v>
      </c>
      <c r="T12" s="1191" t="s">
        <v>36</v>
      </c>
      <c r="U12" s="1193">
        <v>0</v>
      </c>
    </row>
    <row r="13" spans="1:21">
      <c r="B13" s="1271">
        <v>1400</v>
      </c>
      <c r="C13" s="1200" t="s">
        <v>49</v>
      </c>
      <c r="D13" s="1201">
        <f>Sheet6!E4</f>
        <v>36878</v>
      </c>
      <c r="E13" s="1201"/>
      <c r="F13" s="1209"/>
      <c r="M13" s="163" t="s">
        <v>4950</v>
      </c>
      <c r="N13" s="1200" t="s">
        <v>36</v>
      </c>
      <c r="O13" s="1201">
        <v>0</v>
      </c>
      <c r="S13" s="1191" t="s">
        <v>4951</v>
      </c>
      <c r="T13" s="1194" t="s">
        <v>37</v>
      </c>
      <c r="U13" s="1195">
        <v>-500</v>
      </c>
    </row>
    <row r="14" spans="1:21" ht="15.75" thickBot="1">
      <c r="B14" s="1204"/>
      <c r="C14" s="1204" t="s">
        <v>4979</v>
      </c>
      <c r="D14" s="1205">
        <f>SUM(D8:D12)</f>
        <v>800006.65</v>
      </c>
      <c r="E14" s="1215" t="s">
        <v>4989</v>
      </c>
      <c r="F14" s="1209"/>
      <c r="M14" s="163"/>
      <c r="N14" s="1200"/>
      <c r="O14" s="1201"/>
      <c r="S14" s="1191" t="s">
        <v>4952</v>
      </c>
      <c r="T14" s="1194" t="s">
        <v>38</v>
      </c>
      <c r="U14" s="1195">
        <v>6970.11</v>
      </c>
    </row>
    <row r="15" spans="1:21" ht="15.75" thickTop="1">
      <c r="F15" s="1209"/>
      <c r="M15" s="163" t="s">
        <v>4951</v>
      </c>
      <c r="N15" s="1200" t="s">
        <v>37</v>
      </c>
      <c r="O15" s="1201">
        <v>-500</v>
      </c>
      <c r="S15" s="1191" t="s">
        <v>4953</v>
      </c>
      <c r="T15" s="1194" t="s">
        <v>39</v>
      </c>
      <c r="U15" s="1195">
        <v>2069.85</v>
      </c>
    </row>
    <row r="16" spans="1:21" s="1272" customFormat="1" ht="22.5" customHeight="1" thickBot="1">
      <c r="B16" s="1203" t="s">
        <v>4980</v>
      </c>
      <c r="C16" s="1203"/>
      <c r="D16" s="1203"/>
      <c r="F16" s="1273"/>
      <c r="G16" s="1203" t="s">
        <v>4976</v>
      </c>
      <c r="H16" s="1203"/>
      <c r="I16" s="1207"/>
      <c r="M16" s="1274" t="s">
        <v>4954</v>
      </c>
      <c r="N16" s="1275" t="s">
        <v>40</v>
      </c>
      <c r="O16" s="1276">
        <v>0.5</v>
      </c>
      <c r="S16" s="1277" t="s">
        <v>4954</v>
      </c>
      <c r="T16" s="1277" t="s">
        <v>40</v>
      </c>
      <c r="U16" s="1278">
        <v>0.5</v>
      </c>
    </row>
    <row r="17" spans="2:21" ht="15.75" thickTop="1">
      <c r="B17" s="1270" t="s">
        <v>4965</v>
      </c>
      <c r="C17" s="1200" t="s">
        <v>53</v>
      </c>
      <c r="D17" s="1201">
        <f>Sheet6!E40</f>
        <v>35569.5</v>
      </c>
      <c r="F17" s="1209"/>
      <c r="G17" s="1270"/>
      <c r="H17" s="1200" t="s">
        <v>4983</v>
      </c>
      <c r="I17" s="1201">
        <f>300000*51%</f>
        <v>153000</v>
      </c>
      <c r="S17" s="1191" t="s">
        <v>4955</v>
      </c>
      <c r="T17" s="1194" t="s">
        <v>41</v>
      </c>
      <c r="U17" s="1195">
        <v>7393.15</v>
      </c>
    </row>
    <row r="18" spans="2:21">
      <c r="B18" s="1270" t="s">
        <v>4966</v>
      </c>
      <c r="C18" s="1200" t="s">
        <v>54</v>
      </c>
      <c r="D18" s="1201">
        <f>Sheet6!E12</f>
        <v>392800</v>
      </c>
      <c r="E18" s="1215" t="s">
        <v>5004</v>
      </c>
      <c r="F18" s="1209"/>
      <c r="G18" s="1270"/>
      <c r="H18" s="1200" t="s">
        <v>4984</v>
      </c>
      <c r="I18" s="1201">
        <v>147000</v>
      </c>
      <c r="M18" s="1254" t="s">
        <v>4962</v>
      </c>
      <c r="N18" s="1255" t="s">
        <v>49</v>
      </c>
      <c r="O18" s="1256">
        <v>-9436.35</v>
      </c>
      <c r="S18" s="1191" t="s">
        <v>4956</v>
      </c>
      <c r="T18" s="1194" t="s">
        <v>42</v>
      </c>
      <c r="U18" s="1195">
        <v>46010.75</v>
      </c>
    </row>
    <row r="19" spans="2:21">
      <c r="B19" s="1270" t="s">
        <v>4967</v>
      </c>
      <c r="C19" s="1200" t="s">
        <v>55</v>
      </c>
      <c r="D19" s="1201">
        <f>Sheet6!E8</f>
        <v>6926</v>
      </c>
      <c r="E19" s="1215" t="s">
        <v>5003</v>
      </c>
      <c r="F19" s="1209"/>
      <c r="G19" s="1270"/>
      <c r="H19" s="1200" t="s">
        <v>70</v>
      </c>
      <c r="I19" s="282">
        <f>562197+4112</f>
        <v>566309</v>
      </c>
      <c r="M19" s="163" t="s">
        <v>4963</v>
      </c>
      <c r="N19" s="1200" t="s">
        <v>50</v>
      </c>
      <c r="O19" s="1201">
        <v>23500</v>
      </c>
      <c r="S19" s="1191" t="s">
        <v>4957</v>
      </c>
      <c r="T19" s="1194" t="s">
        <v>43</v>
      </c>
      <c r="U19" s="1195">
        <v>737562.79</v>
      </c>
    </row>
    <row r="20" spans="2:21">
      <c r="B20" s="1270" t="s">
        <v>4968</v>
      </c>
      <c r="C20" s="1200" t="s">
        <v>56</v>
      </c>
      <c r="D20" s="1201">
        <v>-191000</v>
      </c>
      <c r="E20" s="1215" t="s">
        <v>5087</v>
      </c>
      <c r="F20" s="1209"/>
      <c r="G20" s="1270"/>
      <c r="H20" s="1200"/>
      <c r="I20" s="282"/>
      <c r="M20" s="1257" t="s">
        <v>4964</v>
      </c>
      <c r="N20" s="1258" t="s">
        <v>52</v>
      </c>
      <c r="O20" s="1259">
        <v>-51307</v>
      </c>
      <c r="S20" s="1191" t="s">
        <v>4958</v>
      </c>
      <c r="T20" s="1194" t="s">
        <v>44</v>
      </c>
      <c r="U20" s="1195">
        <v>-49668.3</v>
      </c>
    </row>
    <row r="21" spans="2:21" ht="15.75" thickBot="1">
      <c r="B21" s="1204"/>
      <c r="C21" s="1204" t="s">
        <v>4979</v>
      </c>
      <c r="D21" s="1205">
        <f>SUM(D16:D20)</f>
        <v>244295.5</v>
      </c>
      <c r="E21" s="1215" t="s">
        <v>5091</v>
      </c>
      <c r="F21" s="1209"/>
      <c r="G21" s="1204"/>
      <c r="H21" s="1204" t="s">
        <v>4981</v>
      </c>
      <c r="I21" s="1206">
        <f>SUM(I16:I19)</f>
        <v>866309</v>
      </c>
      <c r="M21" s="163" t="s">
        <v>4960</v>
      </c>
      <c r="N21" s="1200" t="s">
        <v>46</v>
      </c>
      <c r="O21" s="1201">
        <v>-209653.19</v>
      </c>
      <c r="S21" s="1191" t="s">
        <v>4959</v>
      </c>
      <c r="T21" s="1191" t="s">
        <v>45</v>
      </c>
      <c r="U21" s="1192">
        <v>0</v>
      </c>
    </row>
    <row r="22" spans="2:21" ht="15.75" thickTop="1">
      <c r="E22" s="155"/>
      <c r="F22" s="1209"/>
      <c r="M22" s="163" t="s">
        <v>4970</v>
      </c>
      <c r="N22" s="1200" t="s">
        <v>58</v>
      </c>
      <c r="O22" s="1201">
        <v>4298.55</v>
      </c>
      <c r="S22" s="1191" t="s">
        <v>4960</v>
      </c>
      <c r="T22" s="1194" t="s">
        <v>46</v>
      </c>
      <c r="U22" s="1195">
        <v>-209653.19</v>
      </c>
    </row>
    <row r="23" spans="2:21">
      <c r="F23" s="1209"/>
      <c r="M23" s="163" t="s">
        <v>4969</v>
      </c>
      <c r="N23" s="1200" t="s">
        <v>57</v>
      </c>
      <c r="O23" s="1200">
        <v>-221948.4</v>
      </c>
      <c r="S23" s="1191" t="s">
        <v>4961</v>
      </c>
      <c r="T23" s="1191" t="s">
        <v>48</v>
      </c>
      <c r="U23" s="1192">
        <v>1.82</v>
      </c>
    </row>
    <row r="24" spans="2:21" ht="26.25" customHeight="1" thickBot="1">
      <c r="B24" s="1279" t="s">
        <v>4975</v>
      </c>
      <c r="C24" s="1280"/>
      <c r="D24" s="1281">
        <f>D21+D14</f>
        <v>1044302.15</v>
      </c>
      <c r="E24" s="1210"/>
      <c r="F24" s="1210"/>
      <c r="G24" s="1279" t="s">
        <v>4982</v>
      </c>
      <c r="H24" s="1280"/>
      <c r="I24" s="1281">
        <f>I21+I11</f>
        <v>1044302</v>
      </c>
      <c r="M24" s="163" t="s">
        <v>4972</v>
      </c>
      <c r="N24" s="1200" t="s">
        <v>70</v>
      </c>
      <c r="O24" s="1201">
        <f>-967610.13+421798+196144</f>
        <v>-349668.13</v>
      </c>
      <c r="S24" s="1191" t="s">
        <v>4962</v>
      </c>
      <c r="T24" s="1194" t="s">
        <v>49</v>
      </c>
      <c r="U24" s="1195">
        <v>-9436.35</v>
      </c>
    </row>
    <row r="25" spans="2:21" ht="15.75" thickTop="1">
      <c r="B25" s="1210"/>
      <c r="C25" s="1210"/>
      <c r="D25" s="1210"/>
      <c r="E25" s="1210"/>
      <c r="F25" s="1210"/>
      <c r="G25" s="1210"/>
      <c r="H25" s="1210"/>
      <c r="I25" s="1211"/>
      <c r="S25" s="1191" t="s">
        <v>4963</v>
      </c>
      <c r="T25" s="1194" t="s">
        <v>50</v>
      </c>
      <c r="U25" s="1195">
        <v>23500</v>
      </c>
    </row>
    <row r="26" spans="2:21" ht="15.75" thickBot="1">
      <c r="B26" s="1212"/>
      <c r="C26" s="1212"/>
      <c r="D26" s="1212"/>
      <c r="E26" s="1212"/>
      <c r="F26" s="1212"/>
      <c r="G26" s="1212"/>
      <c r="H26" s="1212"/>
      <c r="I26" s="1213">
        <f>D24-I24</f>
        <v>0.15000000002328306</v>
      </c>
      <c r="S26" s="1191" t="s">
        <v>4964</v>
      </c>
      <c r="T26" s="1194" t="s">
        <v>52</v>
      </c>
      <c r="U26" s="1195">
        <v>-51307</v>
      </c>
    </row>
    <row r="27" spans="2:21" ht="15.75" thickTop="1">
      <c r="S27" s="1191" t="s">
        <v>4965</v>
      </c>
      <c r="T27" s="1194" t="s">
        <v>53</v>
      </c>
      <c r="U27" s="1195">
        <v>149295.01999999999</v>
      </c>
    </row>
    <row r="28" spans="2:21">
      <c r="B28" s="1260"/>
      <c r="C28" s="1260"/>
      <c r="D28" s="1260"/>
      <c r="E28" s="1260"/>
      <c r="F28" s="1260"/>
      <c r="G28" s="1260"/>
      <c r="H28" s="1260"/>
      <c r="I28" s="1260"/>
      <c r="S28" s="1191" t="s">
        <v>4966</v>
      </c>
      <c r="T28" s="1194" t="s">
        <v>54</v>
      </c>
      <c r="U28" s="1195">
        <v>278861.98</v>
      </c>
    </row>
    <row r="29" spans="2:21">
      <c r="B29" s="1260"/>
      <c r="C29" s="1260"/>
      <c r="D29" s="1260"/>
      <c r="E29" s="1260"/>
      <c r="F29" s="1260"/>
      <c r="G29" s="1260"/>
      <c r="H29" s="1260"/>
      <c r="I29" s="1260"/>
      <c r="S29" s="1191" t="s">
        <v>4967</v>
      </c>
      <c r="T29" s="1194" t="s">
        <v>55</v>
      </c>
      <c r="U29" s="1195">
        <v>2576.42</v>
      </c>
    </row>
    <row r="30" spans="2:21">
      <c r="B30" s="1260"/>
      <c r="C30" s="1260"/>
      <c r="D30" s="1260"/>
      <c r="E30" s="1260"/>
      <c r="F30" s="1260"/>
      <c r="G30" s="1260"/>
      <c r="H30" s="1260"/>
      <c r="I30" s="1260"/>
      <c r="S30" s="1191" t="s">
        <v>4968</v>
      </c>
      <c r="T30" s="1194" t="s">
        <v>56</v>
      </c>
      <c r="U30" s="1195">
        <v>-191000</v>
      </c>
    </row>
    <row r="31" spans="2:21">
      <c r="B31" s="1260"/>
      <c r="C31" s="1260"/>
      <c r="D31" s="1260"/>
      <c r="E31" s="1260"/>
      <c r="F31" s="1260"/>
      <c r="G31" s="1260"/>
      <c r="H31" s="1260"/>
      <c r="I31" s="1260"/>
      <c r="S31" s="1191" t="s">
        <v>4969</v>
      </c>
      <c r="T31" s="1196" t="s">
        <v>57</v>
      </c>
      <c r="U31" s="1197">
        <v>-221948.4</v>
      </c>
    </row>
    <row r="32" spans="2:21">
      <c r="B32" s="1260"/>
      <c r="C32" s="1260"/>
      <c r="D32" s="1260"/>
      <c r="E32" s="1260"/>
      <c r="F32" s="1260"/>
      <c r="G32" s="1260"/>
      <c r="H32" s="1260"/>
      <c r="I32" s="1260"/>
      <c r="S32" s="1191" t="s">
        <v>4970</v>
      </c>
      <c r="T32" s="1196" t="s">
        <v>58</v>
      </c>
      <c r="U32" s="1197">
        <v>4298.55</v>
      </c>
    </row>
    <row r="33" spans="2:21">
      <c r="B33" s="1260"/>
      <c r="C33" s="1260"/>
      <c r="D33" s="1260"/>
      <c r="E33" s="1260"/>
      <c r="F33" s="1260"/>
      <c r="G33" s="1260"/>
      <c r="H33" s="1260"/>
      <c r="I33" s="1260"/>
      <c r="S33" s="1191" t="s">
        <v>4971</v>
      </c>
      <c r="T33" s="1191" t="s">
        <v>65</v>
      </c>
      <c r="U33" s="1192">
        <v>0</v>
      </c>
    </row>
    <row r="34" spans="2:21">
      <c r="B34" s="1260"/>
      <c r="C34" s="1260"/>
      <c r="D34" s="1260"/>
      <c r="E34" s="1260"/>
      <c r="F34" s="1260"/>
      <c r="G34" s="1260"/>
      <c r="H34" s="1260"/>
      <c r="I34" s="1260"/>
      <c r="S34" s="1191" t="s">
        <v>4972</v>
      </c>
      <c r="T34" s="1198" t="s">
        <v>70</v>
      </c>
      <c r="U34" s="1199">
        <v>-967610.13</v>
      </c>
    </row>
    <row r="35" spans="2:21">
      <c r="B35" s="1260"/>
      <c r="C35" s="1260"/>
      <c r="D35" s="1260"/>
      <c r="E35" s="1260"/>
      <c r="F35" s="1260"/>
      <c r="G35" s="1260"/>
      <c r="H35" s="1260"/>
      <c r="I35" s="1260"/>
      <c r="S35" s="1191"/>
      <c r="T35" s="1194"/>
      <c r="U35" s="1195"/>
    </row>
    <row r="36" spans="2:21">
      <c r="B36" s="1260"/>
      <c r="C36" s="1260"/>
      <c r="D36" s="1260"/>
      <c r="E36" s="1260"/>
      <c r="F36" s="1260"/>
      <c r="G36" s="1260"/>
      <c r="H36" s="1260"/>
      <c r="I36" s="1260"/>
      <c r="S36" s="1191"/>
      <c r="T36" s="1194"/>
      <c r="U36" s="1195"/>
    </row>
    <row r="37" spans="2:21">
      <c r="B37" s="1260"/>
      <c r="C37" s="1260"/>
      <c r="D37" s="1260"/>
      <c r="E37" s="1260"/>
      <c r="F37" s="1260"/>
      <c r="G37" s="1260"/>
      <c r="H37" s="1260"/>
      <c r="I37" s="1260"/>
      <c r="S37" s="1191"/>
      <c r="T37" s="1194"/>
      <c r="U37" s="1195"/>
    </row>
    <row r="38" spans="2:21">
      <c r="B38" s="1260"/>
      <c r="C38" s="1260"/>
      <c r="D38" s="1260"/>
      <c r="E38" s="1260"/>
      <c r="F38" s="1260"/>
      <c r="G38" s="1260"/>
      <c r="H38" s="1260"/>
      <c r="I38" s="1260"/>
      <c r="S38" s="1191"/>
      <c r="T38" s="1194"/>
      <c r="U38" s="1195"/>
    </row>
    <row r="39" spans="2:21">
      <c r="B39" s="1260"/>
      <c r="C39" s="1260"/>
      <c r="D39" s="1260"/>
      <c r="E39" s="1260"/>
      <c r="F39" s="1260"/>
      <c r="G39" s="1260"/>
      <c r="H39" s="1260"/>
      <c r="I39" s="1260"/>
      <c r="S39" s="1191"/>
      <c r="T39" s="1194"/>
      <c r="U39" s="1195"/>
    </row>
    <row r="40" spans="2:21">
      <c r="B40" s="1260"/>
      <c r="C40" s="1260"/>
      <c r="D40" s="1260"/>
      <c r="E40" s="1260"/>
      <c r="F40" s="1260"/>
      <c r="G40" s="1260"/>
      <c r="H40" s="1260"/>
      <c r="I40" s="1260"/>
      <c r="S40" s="1191"/>
      <c r="T40" s="1194"/>
      <c r="U40" s="1195"/>
    </row>
    <row r="41" spans="2:21">
      <c r="B41" s="1260"/>
      <c r="C41" s="1260"/>
      <c r="D41" s="1260"/>
      <c r="E41" s="1260"/>
      <c r="F41" s="1260"/>
      <c r="G41" s="1260"/>
      <c r="H41" s="1260"/>
      <c r="I41" s="1260"/>
      <c r="S41" s="1191"/>
      <c r="T41" s="1194"/>
      <c r="U41" s="1195"/>
    </row>
    <row r="42" spans="2:21">
      <c r="B42" s="1260"/>
      <c r="C42" s="1260"/>
      <c r="D42" s="1260"/>
      <c r="E42" s="1260"/>
      <c r="F42" s="1260"/>
      <c r="G42" s="1260"/>
      <c r="H42" s="1260"/>
      <c r="I42" s="1260"/>
      <c r="S42" s="1191"/>
      <c r="T42" s="1194"/>
      <c r="U42" s="1195"/>
    </row>
    <row r="43" spans="2:21">
      <c r="B43" s="1260"/>
      <c r="C43" s="1260"/>
      <c r="D43" s="1260"/>
      <c r="E43" s="1260"/>
      <c r="F43" s="1260"/>
      <c r="G43" s="1260"/>
      <c r="H43" s="1260"/>
      <c r="I43" s="1260"/>
      <c r="S43" s="1191"/>
      <c r="T43" s="1194"/>
      <c r="U43" s="1195"/>
    </row>
    <row r="44" spans="2:21">
      <c r="B44" s="1260"/>
      <c r="C44" s="1260"/>
      <c r="D44" s="1260"/>
      <c r="E44" s="1260"/>
      <c r="F44" s="1260"/>
      <c r="G44" s="1260"/>
      <c r="H44" s="1260"/>
      <c r="I44" s="1260"/>
      <c r="S44" s="1191"/>
      <c r="T44" s="1194"/>
      <c r="U44" s="1195"/>
    </row>
    <row r="45" spans="2:21">
      <c r="B45" s="1260"/>
      <c r="C45" s="1260"/>
      <c r="D45" s="1260"/>
      <c r="E45" s="1260"/>
      <c r="F45" s="1260"/>
      <c r="G45" s="1260"/>
      <c r="H45" s="1260"/>
      <c r="I45" s="1260"/>
      <c r="S45" s="1191"/>
      <c r="T45" s="1194"/>
      <c r="U45" s="1195"/>
    </row>
    <row r="46" spans="2:21">
      <c r="B46" s="1260"/>
      <c r="C46" s="1260"/>
      <c r="D46" s="1260"/>
      <c r="E46" s="1260"/>
      <c r="F46" s="1260"/>
      <c r="G46" s="1260"/>
      <c r="H46" s="1260"/>
      <c r="I46" s="1260"/>
      <c r="S46" s="1191"/>
      <c r="T46" s="1194"/>
      <c r="U46" s="1195"/>
    </row>
    <row r="47" spans="2:21">
      <c r="B47" s="1260"/>
      <c r="C47" s="1260"/>
      <c r="D47" s="1260"/>
      <c r="E47" s="1260"/>
      <c r="F47" s="1260"/>
      <c r="G47" s="1260"/>
      <c r="H47" s="1260"/>
      <c r="I47" s="1260"/>
      <c r="S47" s="1191"/>
      <c r="T47" s="1194"/>
      <c r="U47" s="1195"/>
    </row>
    <row r="48" spans="2:21">
      <c r="B48" s="1260"/>
      <c r="C48" s="1260"/>
      <c r="D48" s="1260"/>
      <c r="E48" s="1260"/>
      <c r="F48" s="1260"/>
      <c r="G48" s="1260"/>
      <c r="H48" s="1260"/>
      <c r="I48" s="1260"/>
      <c r="S48" s="1191"/>
      <c r="T48" s="1194"/>
      <c r="U48" s="1195"/>
    </row>
    <row r="49" spans="2:21">
      <c r="B49" s="1260"/>
      <c r="C49" s="1260"/>
      <c r="D49" s="1260"/>
      <c r="E49" s="1260"/>
      <c r="F49" s="1260"/>
      <c r="G49" s="1260"/>
      <c r="H49" s="1260"/>
      <c r="I49" s="1260"/>
      <c r="S49" s="1191"/>
      <c r="T49" s="1194"/>
      <c r="U49" s="1195"/>
    </row>
    <row r="50" spans="2:21">
      <c r="B50" s="1260"/>
      <c r="C50" s="1260"/>
      <c r="D50" s="1260"/>
      <c r="E50" s="1260"/>
      <c r="F50" s="1260"/>
      <c r="G50" s="1260"/>
      <c r="H50" s="1260"/>
      <c r="I50" s="1260"/>
      <c r="S50" s="1191"/>
      <c r="T50" s="1194"/>
      <c r="U50" s="1195"/>
    </row>
    <row r="51" spans="2:21">
      <c r="B51" s="1260"/>
      <c r="C51" s="1260"/>
      <c r="D51" s="1260"/>
      <c r="E51" s="1260"/>
      <c r="F51" s="1260"/>
      <c r="G51" s="1260"/>
      <c r="H51" s="1260"/>
      <c r="I51" s="1260"/>
      <c r="S51" s="1191"/>
      <c r="T51" s="1194"/>
      <c r="U51" s="1195"/>
    </row>
    <row r="52" spans="2:21">
      <c r="B52" s="1260"/>
      <c r="C52" s="1260"/>
      <c r="D52" s="1260"/>
      <c r="E52" s="1260"/>
      <c r="F52" s="1260"/>
      <c r="G52" s="1260"/>
      <c r="H52" s="1260"/>
      <c r="I52" s="1260"/>
      <c r="S52" s="1191"/>
      <c r="T52" s="1194"/>
      <c r="U52" s="1195"/>
    </row>
    <row r="53" spans="2:21">
      <c r="B53" s="1260"/>
      <c r="C53" s="1260"/>
      <c r="D53" s="1260"/>
      <c r="E53" s="1260"/>
      <c r="F53" s="1260"/>
      <c r="G53" s="1260"/>
      <c r="H53" s="1260"/>
      <c r="I53" s="1260"/>
      <c r="S53" s="1191"/>
      <c r="T53" s="1194"/>
      <c r="U53" s="1195"/>
    </row>
    <row r="54" spans="2:21">
      <c r="B54" s="1260"/>
      <c r="C54" s="1260"/>
      <c r="D54" s="1260"/>
      <c r="E54" s="1260"/>
      <c r="F54" s="1260"/>
      <c r="G54" s="1260"/>
      <c r="H54" s="1260"/>
      <c r="I54" s="1260"/>
      <c r="S54" s="1191"/>
      <c r="T54" s="1194"/>
      <c r="U54" s="1195"/>
    </row>
    <row r="55" spans="2:21">
      <c r="B55" s="1260"/>
      <c r="C55" s="1260"/>
      <c r="D55" s="1260"/>
      <c r="E55" s="1260"/>
      <c r="F55" s="1260"/>
      <c r="G55" s="1260"/>
      <c r="H55" s="1260"/>
      <c r="I55" s="1260"/>
      <c r="S55" s="1191"/>
      <c r="T55" s="1194"/>
      <c r="U55" s="1195"/>
    </row>
    <row r="56" spans="2:21">
      <c r="B56" s="1260"/>
      <c r="C56" s="1260"/>
      <c r="D56" s="1260"/>
      <c r="E56" s="1260"/>
      <c r="F56" s="1260"/>
      <c r="G56" s="1260"/>
      <c r="H56" s="1260"/>
      <c r="I56" s="1260"/>
      <c r="S56" s="1191"/>
      <c r="T56" s="1194"/>
      <c r="U56" s="1195"/>
    </row>
    <row r="57" spans="2:21">
      <c r="B57" s="1260"/>
      <c r="C57" s="1260"/>
      <c r="D57" s="1260"/>
      <c r="E57" s="1260"/>
      <c r="F57" s="1260"/>
      <c r="G57" s="1260"/>
      <c r="H57" s="1260"/>
      <c r="I57" s="1260"/>
      <c r="S57" s="1191"/>
      <c r="T57" s="1194"/>
      <c r="U57" s="1195"/>
    </row>
    <row r="58" spans="2:21">
      <c r="B58" s="1260"/>
      <c r="C58" s="1260"/>
      <c r="D58" s="1260"/>
      <c r="E58" s="1260"/>
      <c r="F58" s="1260"/>
      <c r="G58" s="1260"/>
      <c r="H58" s="1260"/>
      <c r="I58" s="1260"/>
      <c r="S58" s="1191"/>
      <c r="T58" s="1194"/>
      <c r="U58" s="1195"/>
    </row>
    <row r="59" spans="2:21" ht="12" customHeight="1">
      <c r="B59" s="1260"/>
      <c r="C59" s="1260"/>
      <c r="D59" s="1260"/>
      <c r="E59" s="1260"/>
      <c r="F59" s="1260"/>
      <c r="G59" s="1260"/>
      <c r="H59" s="1260"/>
      <c r="I59" s="1260"/>
      <c r="S59" s="1191"/>
      <c r="T59" s="1194"/>
      <c r="U59" s="1195"/>
    </row>
    <row r="60" spans="2:21">
      <c r="B60" s="1260"/>
      <c r="C60" s="1260"/>
      <c r="D60" s="1260"/>
      <c r="E60" s="1260"/>
      <c r="F60" s="1260"/>
      <c r="G60" s="1260"/>
      <c r="H60" s="1260"/>
      <c r="I60" s="1260"/>
      <c r="S60" s="1191"/>
      <c r="T60" s="1194"/>
      <c r="U60" s="1195"/>
    </row>
    <row r="61" spans="2:21">
      <c r="B61" s="1260"/>
      <c r="C61" s="1260"/>
      <c r="D61" s="1260"/>
      <c r="E61" s="1260"/>
      <c r="F61" s="1260"/>
      <c r="G61" s="1260"/>
      <c r="H61" s="1260"/>
      <c r="I61" s="1260"/>
      <c r="S61" s="1191"/>
      <c r="T61" s="1194"/>
      <c r="U61" s="1195"/>
    </row>
    <row r="62" spans="2:21">
      <c r="B62" s="1260"/>
      <c r="C62" s="1260"/>
      <c r="D62" s="1260"/>
      <c r="E62" s="1260"/>
      <c r="F62" s="1260"/>
      <c r="G62" s="1260"/>
      <c r="H62" s="1260"/>
      <c r="I62" s="1260"/>
      <c r="S62" s="1191"/>
      <c r="T62" s="1194"/>
      <c r="U62" s="1195"/>
    </row>
    <row r="63" spans="2:21">
      <c r="B63" s="1260"/>
      <c r="C63" s="1260"/>
      <c r="D63" s="1260"/>
      <c r="E63" s="1260"/>
      <c r="F63" s="1260"/>
      <c r="G63" s="1260"/>
      <c r="H63" s="1260"/>
      <c r="I63" s="1260"/>
      <c r="S63" s="1191"/>
      <c r="T63" s="1194"/>
      <c r="U63" s="1195"/>
    </row>
    <row r="64" spans="2:21">
      <c r="B64" s="1260"/>
      <c r="C64" s="1260"/>
      <c r="D64" s="1260"/>
      <c r="E64" s="1260"/>
      <c r="F64" s="1260"/>
      <c r="G64" s="1260"/>
      <c r="H64" s="1260"/>
      <c r="I64" s="1260"/>
      <c r="M64" s="1" t="s">
        <v>5012</v>
      </c>
      <c r="S64" s="1191"/>
      <c r="T64" s="1194"/>
      <c r="U64" s="1195"/>
    </row>
    <row r="65" spans="2:21">
      <c r="B65" s="1260"/>
      <c r="C65" s="1260"/>
      <c r="D65" s="1260"/>
      <c r="E65" s="1260"/>
      <c r="F65" s="1260"/>
      <c r="G65" s="1260"/>
      <c r="H65" s="1260"/>
      <c r="I65" s="1260"/>
      <c r="S65" s="1191"/>
      <c r="T65" s="1194"/>
      <c r="U65" s="1195"/>
    </row>
    <row r="66" spans="2:21">
      <c r="B66" s="1260"/>
      <c r="C66" s="1260"/>
      <c r="D66" s="1260"/>
      <c r="E66" s="1260"/>
      <c r="F66" s="1260"/>
      <c r="G66" s="1260"/>
      <c r="H66" s="1260"/>
      <c r="I66" s="1260"/>
      <c r="S66" s="1191"/>
      <c r="T66" s="1194"/>
      <c r="U66" s="1195"/>
    </row>
    <row r="67" spans="2:21">
      <c r="B67" s="1260"/>
      <c r="C67" s="1260"/>
      <c r="D67" s="1260"/>
      <c r="E67" s="1260"/>
      <c r="F67" s="1260"/>
      <c r="G67" s="1260"/>
      <c r="H67" s="1260"/>
      <c r="I67" s="1260"/>
      <c r="S67" s="1191"/>
      <c r="T67" s="1194"/>
      <c r="U67" s="1195"/>
    </row>
    <row r="68" spans="2:21">
      <c r="B68" s="1260"/>
      <c r="C68" s="1260"/>
      <c r="D68" s="1260"/>
      <c r="E68" s="1260"/>
      <c r="F68" s="1260"/>
      <c r="G68" s="1260"/>
      <c r="H68" s="1260"/>
      <c r="I68" s="1260"/>
      <c r="S68" s="1191"/>
      <c r="T68" s="1194"/>
      <c r="U68" s="1195"/>
    </row>
    <row r="69" spans="2:21">
      <c r="B69" s="1260"/>
      <c r="C69" s="1260"/>
      <c r="D69" s="1260"/>
      <c r="E69" s="1260"/>
      <c r="F69" s="1260"/>
      <c r="G69" s="1260"/>
      <c r="H69" s="1260"/>
      <c r="I69" s="1260"/>
      <c r="S69" s="1191"/>
      <c r="T69" s="1194"/>
      <c r="U69" s="1195"/>
    </row>
    <row r="70" spans="2:21">
      <c r="B70" s="1260"/>
      <c r="C70" s="1260"/>
      <c r="D70" s="1260"/>
      <c r="E70" s="1260"/>
      <c r="F70" s="1260"/>
      <c r="G70" s="1260"/>
      <c r="H70" s="1260"/>
      <c r="I70" s="1260"/>
      <c r="S70" s="1191"/>
      <c r="T70" s="1194"/>
      <c r="U70" s="1195"/>
    </row>
    <row r="71" spans="2:21">
      <c r="B71" s="1260"/>
      <c r="C71" s="1260"/>
      <c r="D71" s="1260"/>
      <c r="E71" s="1260"/>
      <c r="F71" s="1260"/>
      <c r="G71" s="1260"/>
      <c r="H71" s="1260"/>
      <c r="I71" s="1260"/>
      <c r="S71" s="1191"/>
      <c r="T71" s="1194"/>
      <c r="U71" s="1195"/>
    </row>
    <row r="72" spans="2:21">
      <c r="B72" s="1260"/>
      <c r="C72" s="1260"/>
      <c r="D72" s="1260"/>
      <c r="E72" s="1260"/>
      <c r="F72" s="1260"/>
      <c r="G72" s="1260"/>
      <c r="H72" s="1260"/>
      <c r="I72" s="1260"/>
      <c r="S72" s="1191"/>
      <c r="T72" s="1194"/>
      <c r="U72" s="1195"/>
    </row>
    <row r="73" spans="2:21">
      <c r="B73" s="1260"/>
      <c r="C73" s="1260"/>
      <c r="D73" s="1260"/>
      <c r="E73" s="1260"/>
      <c r="F73" s="1260"/>
      <c r="G73" s="1260"/>
      <c r="H73" s="1260"/>
      <c r="I73" s="1260"/>
      <c r="S73" s="1191"/>
      <c r="T73" s="1194"/>
      <c r="U73" s="1195"/>
    </row>
    <row r="74" spans="2:21">
      <c r="B74" s="1260"/>
      <c r="C74" s="1260"/>
      <c r="D74" s="1260"/>
      <c r="E74" s="1260"/>
      <c r="F74" s="1260"/>
      <c r="G74" s="1260"/>
      <c r="H74" s="1260"/>
      <c r="I74" s="1260"/>
      <c r="S74" s="1191"/>
      <c r="T74" s="1194"/>
      <c r="U74" s="1195"/>
    </row>
    <row r="75" spans="2:21">
      <c r="B75" s="1260"/>
      <c r="C75" s="1260"/>
      <c r="D75" s="1260"/>
      <c r="E75" s="1260"/>
      <c r="F75" s="1260"/>
      <c r="G75" s="1260"/>
      <c r="H75" s="1260"/>
      <c r="I75" s="1260"/>
      <c r="S75" s="1191"/>
      <c r="T75" s="1194"/>
      <c r="U75" s="1195"/>
    </row>
    <row r="76" spans="2:21">
      <c r="B76" s="1260"/>
      <c r="C76" s="1260"/>
      <c r="D76" s="1260"/>
      <c r="E76" s="1260"/>
      <c r="F76" s="1260"/>
      <c r="G76" s="1260"/>
      <c r="H76" s="1260"/>
      <c r="I76" s="1260"/>
      <c r="S76" s="1191"/>
      <c r="T76" s="1194"/>
      <c r="U76" s="1195"/>
    </row>
    <row r="77" spans="2:21">
      <c r="B77" s="1260"/>
      <c r="C77" s="1260"/>
      <c r="D77" s="1260"/>
      <c r="E77" s="1260"/>
      <c r="F77" s="1260"/>
      <c r="G77" s="1260"/>
      <c r="H77" s="1260"/>
      <c r="I77" s="1260"/>
      <c r="S77" s="1191"/>
      <c r="T77" s="1194"/>
      <c r="U77" s="1195"/>
    </row>
    <row r="78" spans="2:21">
      <c r="B78" s="1260"/>
      <c r="C78" s="1260"/>
      <c r="D78" s="1260"/>
      <c r="E78" s="1260"/>
      <c r="F78" s="1260"/>
      <c r="G78" s="1260"/>
      <c r="H78" s="1260"/>
      <c r="I78" s="1260"/>
      <c r="S78" s="1191"/>
      <c r="T78" s="1194"/>
      <c r="U78" s="1195"/>
    </row>
    <row r="79" spans="2:21">
      <c r="B79" s="1260"/>
      <c r="C79" s="1260"/>
      <c r="D79" s="1260"/>
      <c r="E79" s="1260"/>
      <c r="F79" s="1260"/>
      <c r="G79" s="1260"/>
      <c r="H79" s="1260"/>
      <c r="I79" s="1260"/>
      <c r="S79" s="1191"/>
      <c r="T79" s="1194"/>
      <c r="U79" s="1195"/>
    </row>
    <row r="80" spans="2:21">
      <c r="B80" s="1260"/>
      <c r="C80" s="1260"/>
      <c r="D80" s="1260"/>
      <c r="E80" s="1260"/>
      <c r="F80" s="1260"/>
      <c r="G80" s="1260"/>
      <c r="H80" s="1260"/>
      <c r="I80" s="1260"/>
      <c r="S80" s="1191"/>
      <c r="T80" s="1194"/>
      <c r="U80" s="1195"/>
    </row>
    <row r="81" spans="2:21">
      <c r="B81" s="1260"/>
      <c r="C81" s="1260"/>
      <c r="D81" s="1260"/>
      <c r="E81" s="1260"/>
      <c r="F81" s="1260"/>
      <c r="G81" s="1260"/>
      <c r="H81" s="1260"/>
      <c r="I81" s="1260"/>
      <c r="S81" s="1191"/>
      <c r="T81" s="1194"/>
      <c r="U81" s="1195"/>
    </row>
    <row r="82" spans="2:21">
      <c r="B82" s="1260"/>
      <c r="C82" s="1260"/>
      <c r="D82" s="1260"/>
      <c r="E82" s="1260"/>
      <c r="F82" s="1260"/>
      <c r="G82" s="1260"/>
      <c r="H82" s="1260"/>
      <c r="I82" s="1260"/>
      <c r="S82" s="1191"/>
      <c r="T82" s="1194"/>
      <c r="U82" s="1195"/>
    </row>
    <row r="83" spans="2:21">
      <c r="B83" s="1260"/>
      <c r="C83" s="1260"/>
      <c r="D83" s="1260"/>
      <c r="E83" s="1260"/>
      <c r="F83" s="1260"/>
      <c r="G83" s="1260"/>
      <c r="H83" s="1260"/>
      <c r="I83" s="1260"/>
      <c r="S83" s="1191"/>
      <c r="T83" s="1194"/>
      <c r="U83" s="1195"/>
    </row>
    <row r="84" spans="2:21">
      <c r="B84" s="1260"/>
      <c r="C84" s="1260"/>
      <c r="D84" s="1260"/>
      <c r="E84" s="1260"/>
      <c r="F84" s="1260"/>
      <c r="G84" s="1260"/>
      <c r="H84" s="1260"/>
      <c r="I84" s="1260"/>
      <c r="S84" s="1191"/>
      <c r="T84" s="1194"/>
      <c r="U84" s="1195"/>
    </row>
    <row r="85" spans="2:21">
      <c r="B85" s="1260"/>
      <c r="C85" s="1260"/>
      <c r="D85" s="1260"/>
      <c r="E85" s="1260"/>
      <c r="F85" s="1260"/>
      <c r="G85" s="1260"/>
      <c r="H85" s="1260"/>
      <c r="I85" s="1260"/>
      <c r="S85" s="1191"/>
      <c r="T85" s="1194"/>
      <c r="U85" s="1195"/>
    </row>
    <row r="86" spans="2:21">
      <c r="B86" s="1260"/>
      <c r="C86" s="1260"/>
      <c r="D86" s="1260"/>
      <c r="E86" s="1260"/>
      <c r="F86" s="1260"/>
      <c r="G86" s="1260"/>
      <c r="H86" s="1260"/>
      <c r="I86" s="1260"/>
      <c r="S86" s="1191"/>
      <c r="T86" s="1194"/>
      <c r="U86" s="1195"/>
    </row>
    <row r="87" spans="2:21">
      <c r="B87" s="1260"/>
      <c r="C87" s="1260"/>
      <c r="D87" s="1260"/>
      <c r="E87" s="1260"/>
      <c r="F87" s="1260"/>
      <c r="G87" s="1260"/>
      <c r="H87" s="1260"/>
      <c r="I87" s="1260"/>
      <c r="S87" s="1191"/>
      <c r="T87" s="1194"/>
      <c r="U87" s="1195"/>
    </row>
    <row r="88" spans="2:21">
      <c r="B88" s="1260"/>
      <c r="C88" s="1260"/>
      <c r="D88" s="1260"/>
      <c r="E88" s="1260"/>
      <c r="F88" s="1260"/>
      <c r="G88" s="1260"/>
      <c r="H88" s="1260"/>
      <c r="I88" s="1260"/>
      <c r="S88" s="1191"/>
      <c r="T88" s="1194"/>
      <c r="U88" s="1195"/>
    </row>
    <row r="89" spans="2:21">
      <c r="B89" s="1260"/>
      <c r="C89" s="1260"/>
      <c r="D89" s="1260"/>
      <c r="E89" s="1260"/>
      <c r="F89" s="1260"/>
      <c r="G89" s="1260"/>
      <c r="H89" s="1260"/>
      <c r="I89" s="1260"/>
      <c r="S89" s="1191"/>
      <c r="T89" s="1194"/>
      <c r="U89" s="1195"/>
    </row>
    <row r="90" spans="2:21">
      <c r="B90" s="1260"/>
      <c r="C90" s="1260"/>
      <c r="D90" s="1260"/>
      <c r="E90" s="1260"/>
      <c r="F90" s="1260"/>
      <c r="G90" s="1260"/>
      <c r="H90" s="1260"/>
      <c r="I90" s="1260"/>
      <c r="S90" s="1191"/>
      <c r="T90" s="1194"/>
      <c r="U90" s="1195"/>
    </row>
    <row r="91" spans="2:21">
      <c r="B91" s="1260"/>
      <c r="C91" s="1260"/>
      <c r="D91" s="1260"/>
      <c r="E91" s="1260"/>
      <c r="F91" s="1260"/>
      <c r="G91" s="1260"/>
      <c r="H91" s="1260"/>
      <c r="I91" s="1260"/>
      <c r="S91" s="1191"/>
      <c r="T91" s="1194"/>
      <c r="U91" s="1195"/>
    </row>
    <row r="92" spans="2:21">
      <c r="B92" s="1260"/>
      <c r="C92" s="1260"/>
      <c r="D92" s="1260"/>
      <c r="E92" s="1260"/>
      <c r="F92" s="1260"/>
      <c r="G92" s="1260"/>
      <c r="H92" s="1260"/>
      <c r="I92" s="1260"/>
      <c r="J92" s="1202"/>
      <c r="S92" s="1191"/>
      <c r="T92" s="1194"/>
      <c r="U92" s="1195"/>
    </row>
    <row r="93" spans="2:21">
      <c r="B93" s="1260"/>
      <c r="C93" s="1260"/>
      <c r="D93" s="1260"/>
      <c r="E93" s="1260"/>
      <c r="F93" s="1260"/>
      <c r="G93" s="1260"/>
      <c r="H93" s="1260"/>
      <c r="I93" s="1260"/>
      <c r="S93" s="1191"/>
      <c r="T93" s="1194"/>
      <c r="U93" s="1195"/>
    </row>
    <row r="94" spans="2:21">
      <c r="B94" s="1260"/>
      <c r="C94" s="1260"/>
      <c r="D94" s="1260"/>
      <c r="E94" s="1260"/>
      <c r="F94" s="1260"/>
      <c r="G94" s="1260"/>
      <c r="H94" s="1260"/>
      <c r="I94" s="1260"/>
      <c r="S94" s="1191"/>
      <c r="T94" s="1194"/>
      <c r="U94" s="1195"/>
    </row>
    <row r="95" spans="2:21">
      <c r="B95" s="1260"/>
      <c r="C95" s="1260"/>
      <c r="D95" s="1260"/>
      <c r="E95" s="1260"/>
      <c r="F95" s="1260"/>
      <c r="G95" s="1260"/>
      <c r="H95" s="1260"/>
      <c r="I95" s="1260"/>
      <c r="S95" s="1191"/>
      <c r="T95" s="1194"/>
      <c r="U95" s="1195"/>
    </row>
    <row r="96" spans="2:21">
      <c r="B96" s="1260"/>
      <c r="C96" s="1260"/>
      <c r="D96" s="1260"/>
      <c r="E96" s="1260"/>
      <c r="F96" s="1260"/>
      <c r="G96" s="1260"/>
      <c r="H96" s="1260"/>
      <c r="I96" s="1260"/>
      <c r="S96" s="1191"/>
      <c r="T96" s="1194"/>
      <c r="U96" s="1195"/>
    </row>
    <row r="97" spans="2:21" ht="18" customHeight="1">
      <c r="B97" s="1260"/>
      <c r="C97" s="1260"/>
      <c r="D97" s="1260"/>
      <c r="E97" s="1260"/>
      <c r="F97" s="1260"/>
      <c r="G97" s="1260"/>
      <c r="H97" s="1260"/>
      <c r="I97" s="1260"/>
      <c r="S97" s="1191"/>
      <c r="T97" s="1194"/>
      <c r="U97" s="1195"/>
    </row>
    <row r="98" spans="2:21">
      <c r="B98" s="1260"/>
      <c r="C98" s="1260"/>
      <c r="D98" s="1260"/>
      <c r="E98" s="1260"/>
      <c r="F98" s="1260"/>
      <c r="G98" s="1260"/>
      <c r="H98" s="1260"/>
      <c r="I98" s="1260"/>
      <c r="S98" s="1191"/>
      <c r="T98" s="1194"/>
      <c r="U98" s="1195"/>
    </row>
    <row r="99" spans="2:21">
      <c r="B99" s="1260"/>
      <c r="C99" s="1260"/>
      <c r="D99" s="1260"/>
      <c r="E99" s="1260"/>
      <c r="F99" s="1260"/>
      <c r="G99" s="1260"/>
      <c r="H99" s="1260"/>
      <c r="I99" s="1260"/>
      <c r="S99" s="1191"/>
      <c r="T99" s="1194"/>
      <c r="U99" s="1195"/>
    </row>
    <row r="100" spans="2:21">
      <c r="B100" s="1260"/>
      <c r="C100" s="1260"/>
      <c r="D100" s="1260"/>
      <c r="E100" s="1260"/>
      <c r="F100" s="1260"/>
      <c r="G100" s="1260"/>
      <c r="H100" s="1260"/>
      <c r="I100" s="1260"/>
      <c r="S100" s="1191"/>
      <c r="T100" s="1194"/>
      <c r="U100" s="1195"/>
    </row>
    <row r="103" spans="2:21">
      <c r="G103" s="155">
        <v>7000</v>
      </c>
    </row>
    <row r="104" spans="2:21">
      <c r="G104" s="155">
        <v>4875</v>
      </c>
    </row>
    <row r="105" spans="2:21">
      <c r="G105" s="155">
        <v>3600</v>
      </c>
    </row>
    <row r="106" spans="2:21">
      <c r="G106" s="155">
        <v>525</v>
      </c>
    </row>
    <row r="107" spans="2:21">
      <c r="G107" s="155">
        <v>1837.5</v>
      </c>
    </row>
    <row r="108" spans="2:21">
      <c r="G108" s="155">
        <v>1050</v>
      </c>
    </row>
    <row r="109" spans="2:21">
      <c r="G109" s="155">
        <v>2835</v>
      </c>
    </row>
    <row r="110" spans="2:21">
      <c r="G110" s="155">
        <v>7574.9999999999991</v>
      </c>
    </row>
    <row r="111" spans="2:21">
      <c r="E111" s="1" t="s">
        <v>1041</v>
      </c>
      <c r="G111" s="155">
        <v>577.5</v>
      </c>
    </row>
    <row r="112" spans="2:21">
      <c r="E112" s="1" t="s">
        <v>1042</v>
      </c>
    </row>
    <row r="113" spans="2:17">
      <c r="E113" s="1" t="s">
        <v>1043</v>
      </c>
    </row>
    <row r="114" spans="2:17">
      <c r="E114" s="1" t="s">
        <v>1044</v>
      </c>
    </row>
    <row r="115" spans="2:17">
      <c r="E115" s="1" t="s">
        <v>1045</v>
      </c>
    </row>
    <row r="116" spans="2:17">
      <c r="E116" s="1" t="s">
        <v>1046</v>
      </c>
    </row>
    <row r="117" spans="2:17">
      <c r="E117" s="1" t="s">
        <v>1047</v>
      </c>
      <c r="Q117" s="1">
        <v>0</v>
      </c>
    </row>
    <row r="118" spans="2:17">
      <c r="E118" s="1" t="s">
        <v>1048</v>
      </c>
      <c r="Q118" s="1">
        <v>0</v>
      </c>
    </row>
    <row r="119" spans="2:17" ht="38.25">
      <c r="E119" s="1" t="s">
        <v>1049</v>
      </c>
      <c r="G119" s="1229" t="s">
        <v>5022</v>
      </c>
      <c r="K119" s="1228" t="s">
        <v>5026</v>
      </c>
      <c r="L119" s="1227" t="s">
        <v>5027</v>
      </c>
      <c r="M119" s="1230" t="s">
        <v>5028</v>
      </c>
      <c r="Q119" s="1">
        <v>0</v>
      </c>
    </row>
    <row r="120" spans="2:17" ht="38.25">
      <c r="G120" s="1234">
        <v>7999.9999999999991</v>
      </c>
      <c r="H120" s="1230" t="s">
        <v>5023</v>
      </c>
      <c r="I120" s="1227" t="s">
        <v>5024</v>
      </c>
      <c r="J120" s="1231" t="s">
        <v>5025</v>
      </c>
      <c r="K120" s="1233">
        <v>0</v>
      </c>
      <c r="L120" s="1237"/>
      <c r="M120" s="1242">
        <v>42589</v>
      </c>
      <c r="N120" s="1234">
        <v>7000</v>
      </c>
      <c r="O120" s="1" t="s">
        <v>1041</v>
      </c>
      <c r="Q120" s="1" t="e">
        <v>#NUM!</v>
      </c>
    </row>
    <row r="121" spans="2:17">
      <c r="G121" s="1234">
        <v>5625</v>
      </c>
      <c r="H121" s="1235">
        <v>0</v>
      </c>
      <c r="I121" s="1232">
        <v>0</v>
      </c>
      <c r="J121" s="1236">
        <v>8.1666666666666661</v>
      </c>
      <c r="K121" s="1233">
        <v>0</v>
      </c>
      <c r="L121" s="1237"/>
      <c r="M121" s="1242">
        <v>42736</v>
      </c>
      <c r="N121" s="1234">
        <v>4875</v>
      </c>
      <c r="O121" s="1" t="s">
        <v>1042</v>
      </c>
      <c r="Q121" s="1" t="e">
        <v>#NUM!</v>
      </c>
    </row>
    <row r="122" spans="2:17">
      <c r="G122" s="1234">
        <v>4350</v>
      </c>
      <c r="H122" s="1235">
        <v>2250</v>
      </c>
      <c r="I122" s="1232">
        <v>0</v>
      </c>
      <c r="J122" s="1236">
        <v>7.75</v>
      </c>
      <c r="K122" s="1243">
        <v>0</v>
      </c>
      <c r="L122" s="1237"/>
      <c r="M122" s="1242">
        <v>43252</v>
      </c>
      <c r="N122" s="1234">
        <v>3600</v>
      </c>
      <c r="O122" s="1" t="s">
        <v>1043</v>
      </c>
      <c r="Q122" s="1">
        <v>7000</v>
      </c>
    </row>
    <row r="123" spans="2:17">
      <c r="G123" s="1234">
        <v>1050</v>
      </c>
      <c r="H123" s="1235">
        <v>2700</v>
      </c>
      <c r="I123" s="1232">
        <v>0</v>
      </c>
      <c r="J123" s="1236">
        <v>6.333333333333333</v>
      </c>
      <c r="K123" s="1233">
        <v>0</v>
      </c>
      <c r="L123" s="1237"/>
      <c r="M123" s="1242">
        <v>44978</v>
      </c>
      <c r="N123" s="1234">
        <v>525</v>
      </c>
      <c r="O123" s="1" t="s">
        <v>1044</v>
      </c>
      <c r="Q123" s="1">
        <v>4875</v>
      </c>
    </row>
    <row r="124" spans="2:17">
      <c r="G124" s="1234">
        <v>2362.5</v>
      </c>
      <c r="H124" s="1235">
        <v>0</v>
      </c>
      <c r="I124" s="1232">
        <v>0</v>
      </c>
      <c r="J124" s="1236">
        <v>1.6666666666666667</v>
      </c>
      <c r="K124" s="1233">
        <v>0</v>
      </c>
      <c r="L124" s="1237"/>
      <c r="M124" s="1242">
        <v>44197</v>
      </c>
      <c r="N124" s="1234">
        <v>1837.5</v>
      </c>
      <c r="O124" s="1" t="s">
        <v>1045</v>
      </c>
      <c r="Q124" s="1">
        <v>3600</v>
      </c>
    </row>
    <row r="125" spans="2:17">
      <c r="G125" s="1234">
        <v>1522.5</v>
      </c>
      <c r="H125" s="1235">
        <v>900</v>
      </c>
      <c r="I125" s="1232">
        <v>0</v>
      </c>
      <c r="J125" s="1236">
        <v>3.75</v>
      </c>
      <c r="K125" s="1233">
        <v>0</v>
      </c>
      <c r="L125" s="1237"/>
      <c r="M125" s="1242">
        <v>44677</v>
      </c>
      <c r="N125" s="1234">
        <v>1050</v>
      </c>
      <c r="O125" s="1" t="s">
        <v>1046</v>
      </c>
      <c r="Q125" s="1">
        <v>525</v>
      </c>
    </row>
    <row r="126" spans="2:17">
      <c r="G126" s="1234">
        <v>3449.9999999999995</v>
      </c>
      <c r="H126" s="1235">
        <v>0</v>
      </c>
      <c r="I126" s="1232">
        <v>0</v>
      </c>
      <c r="J126" s="1236">
        <v>2.4166666666666665</v>
      </c>
      <c r="K126" s="1233">
        <v>0</v>
      </c>
      <c r="L126" s="1237"/>
      <c r="M126" s="1242">
        <v>43623</v>
      </c>
      <c r="N126" s="1234">
        <v>2835</v>
      </c>
      <c r="O126" s="1" t="s">
        <v>1047</v>
      </c>
      <c r="Q126" s="1">
        <v>1837.5</v>
      </c>
    </row>
    <row r="127" spans="2:17" ht="25.5">
      <c r="B127" s="1226" t="s">
        <v>5043</v>
      </c>
      <c r="C127" s="1226" t="s">
        <v>5018</v>
      </c>
      <c r="D127" s="1226" t="s">
        <v>5019</v>
      </c>
      <c r="E127" s="1227" t="s">
        <v>5020</v>
      </c>
      <c r="F127" s="1228" t="s">
        <v>5021</v>
      </c>
      <c r="G127" s="1234">
        <v>8325</v>
      </c>
      <c r="H127" s="1235">
        <v>3800</v>
      </c>
      <c r="I127" s="1232">
        <v>0</v>
      </c>
      <c r="J127" s="1236">
        <v>5.333333333333333</v>
      </c>
      <c r="K127" s="1233">
        <v>500</v>
      </c>
      <c r="L127" s="1237" t="s">
        <v>1088</v>
      </c>
      <c r="M127" s="1242">
        <v>41640</v>
      </c>
      <c r="N127" s="1234">
        <v>7574.9999999999991</v>
      </c>
      <c r="O127" s="1" t="s">
        <v>1048</v>
      </c>
      <c r="Q127" s="1">
        <v>1050</v>
      </c>
    </row>
    <row r="128" spans="2:17">
      <c r="B128" s="142" t="s">
        <v>1041</v>
      </c>
      <c r="C128" s="160">
        <v>2800</v>
      </c>
      <c r="D128" s="160">
        <v>450</v>
      </c>
      <c r="E128" s="1232">
        <v>1200</v>
      </c>
      <c r="F128" s="1233">
        <v>3600</v>
      </c>
      <c r="G128" s="1234">
        <v>1050</v>
      </c>
      <c r="H128" s="1235">
        <v>10900</v>
      </c>
      <c r="I128" s="1232">
        <v>0</v>
      </c>
      <c r="J128" s="1236">
        <v>10.75</v>
      </c>
      <c r="K128" s="1233">
        <v>0</v>
      </c>
      <c r="L128" s="1237"/>
      <c r="M128" s="1242">
        <v>44956</v>
      </c>
      <c r="N128" s="1234">
        <v>577.5</v>
      </c>
      <c r="O128" s="1" t="s">
        <v>1049</v>
      </c>
      <c r="Q128" s="1">
        <v>2835</v>
      </c>
    </row>
    <row r="129" spans="2:17">
      <c r="B129" s="1249" t="s">
        <v>1042</v>
      </c>
      <c r="C129" s="160">
        <v>1700</v>
      </c>
      <c r="D129" s="160">
        <v>450</v>
      </c>
      <c r="E129" s="1232">
        <v>900</v>
      </c>
      <c r="F129" s="1233">
        <v>3150</v>
      </c>
      <c r="G129" s="1234"/>
      <c r="H129" s="1235">
        <v>0</v>
      </c>
      <c r="I129" s="1232">
        <v>0</v>
      </c>
      <c r="J129" s="1236">
        <v>1.6666666666666667</v>
      </c>
      <c r="K129" s="1233"/>
      <c r="L129" s="1237"/>
      <c r="M129" s="1242"/>
      <c r="Q129" s="1">
        <v>7574.9999999999991</v>
      </c>
    </row>
    <row r="130" spans="2:17">
      <c r="B130" s="1249" t="s">
        <v>1043</v>
      </c>
      <c r="C130" s="160">
        <v>1800</v>
      </c>
      <c r="D130" s="160">
        <v>450</v>
      </c>
      <c r="E130" s="1232">
        <v>900</v>
      </c>
      <c r="F130" s="1233">
        <v>2700</v>
      </c>
      <c r="H130" s="1235"/>
      <c r="I130" s="1232"/>
      <c r="J130" s="1236"/>
      <c r="Q130" s="1">
        <v>577.5</v>
      </c>
    </row>
    <row r="131" spans="2:17">
      <c r="B131" s="1249" t="s">
        <v>1044</v>
      </c>
      <c r="C131" s="160">
        <v>1600</v>
      </c>
      <c r="D131" s="160">
        <v>450</v>
      </c>
      <c r="E131" s="1232">
        <v>900</v>
      </c>
      <c r="F131" s="1233">
        <v>450</v>
      </c>
      <c r="Q131" s="1" t="e">
        <v>#NUM!</v>
      </c>
    </row>
    <row r="132" spans="2:17">
      <c r="B132" s="1249" t="s">
        <v>1045</v>
      </c>
      <c r="C132" s="160">
        <v>2400</v>
      </c>
      <c r="D132" s="160">
        <v>450</v>
      </c>
      <c r="E132" s="1232">
        <v>900</v>
      </c>
      <c r="F132" s="1233">
        <v>1350</v>
      </c>
      <c r="Q132" s="1">
        <v>0</v>
      </c>
    </row>
    <row r="133" spans="2:17">
      <c r="B133" s="1249" t="s">
        <v>1046</v>
      </c>
      <c r="C133" s="160">
        <v>1200</v>
      </c>
      <c r="D133" s="160">
        <v>450</v>
      </c>
      <c r="E133" s="1232">
        <v>900</v>
      </c>
      <c r="F133" s="1233">
        <v>900</v>
      </c>
    </row>
    <row r="134" spans="2:17">
      <c r="B134" s="1249" t="s">
        <v>1047</v>
      </c>
      <c r="C134" s="160">
        <v>1300</v>
      </c>
      <c r="D134" s="160">
        <v>450</v>
      </c>
      <c r="E134" s="1232">
        <v>900</v>
      </c>
      <c r="F134" s="1233">
        <v>2250</v>
      </c>
    </row>
    <row r="135" spans="2:17">
      <c r="B135" s="1249" t="s">
        <v>1048</v>
      </c>
      <c r="C135" s="160">
        <v>4600</v>
      </c>
      <c r="D135" s="160">
        <v>450</v>
      </c>
      <c r="E135" s="1232">
        <v>900</v>
      </c>
      <c r="F135" s="1233">
        <v>4500</v>
      </c>
    </row>
    <row r="136" spans="2:17">
      <c r="B136" s="1249" t="s">
        <v>1049</v>
      </c>
      <c r="C136" s="160">
        <v>1000</v>
      </c>
      <c r="D136" s="160">
        <v>450</v>
      </c>
      <c r="E136" s="1232">
        <v>900</v>
      </c>
      <c r="F136" s="1233">
        <v>450</v>
      </c>
    </row>
    <row r="137" spans="2:17">
      <c r="B137" s="1249"/>
      <c r="C137" s="160"/>
      <c r="D137" s="160"/>
      <c r="E137" s="1232"/>
      <c r="F137" s="1233"/>
      <c r="G137" s="1" t="s">
        <v>5083</v>
      </c>
      <c r="K137" s="1">
        <v>115110</v>
      </c>
    </row>
    <row r="138" spans="2:17">
      <c r="H138" s="1" t="s">
        <v>5084</v>
      </c>
      <c r="I138" s="1201" t="s">
        <v>5085</v>
      </c>
      <c r="J138" s="1">
        <v>115000</v>
      </c>
    </row>
    <row r="139" spans="2:17">
      <c r="G139" s="1" t="s">
        <v>5057</v>
      </c>
    </row>
    <row r="140" spans="2:17">
      <c r="F140" s="1">
        <v>3850</v>
      </c>
      <c r="G140" s="1" t="s">
        <v>5063</v>
      </c>
    </row>
    <row r="141" spans="2:17">
      <c r="F141" s="1">
        <v>500</v>
      </c>
    </row>
    <row r="145" spans="2:6">
      <c r="B145" s="1250">
        <v>4.5</v>
      </c>
      <c r="C145" t="s">
        <v>5059</v>
      </c>
      <c r="F145" s="1" t="s">
        <v>5082</v>
      </c>
    </row>
    <row r="146" spans="2:6">
      <c r="B146" s="1250">
        <v>10</v>
      </c>
      <c r="C146" t="s">
        <v>5059</v>
      </c>
    </row>
    <row r="147" spans="2:6">
      <c r="B147" s="1250">
        <v>10</v>
      </c>
      <c r="C147" t="s">
        <v>5079</v>
      </c>
    </row>
    <row r="148" spans="2:6">
      <c r="B148" s="1250">
        <v>15</v>
      </c>
      <c r="C148" t="s">
        <v>5059</v>
      </c>
    </row>
    <row r="149" spans="2:6">
      <c r="B149" s="1250">
        <v>25</v>
      </c>
      <c r="C149" t="s">
        <v>5059</v>
      </c>
    </row>
    <row r="150" spans="2:6">
      <c r="B150" s="1250">
        <v>25</v>
      </c>
      <c r="C150" t="s">
        <v>5059</v>
      </c>
    </row>
    <row r="151" spans="2:6">
      <c r="B151" s="1250">
        <v>42</v>
      </c>
      <c r="C151" t="s">
        <v>5059</v>
      </c>
    </row>
    <row r="152" spans="2:6">
      <c r="B152" s="1250">
        <v>44</v>
      </c>
      <c r="C152" t="s">
        <v>5059</v>
      </c>
    </row>
    <row r="153" spans="2:6">
      <c r="B153" s="1250">
        <v>45</v>
      </c>
      <c r="C153" t="s">
        <v>5080</v>
      </c>
    </row>
    <row r="154" spans="2:6">
      <c r="B154" s="1250">
        <v>47</v>
      </c>
      <c r="C154" t="s">
        <v>5059</v>
      </c>
    </row>
    <row r="155" spans="2:6">
      <c r="B155" s="1250">
        <v>50</v>
      </c>
      <c r="C155" t="s">
        <v>5059</v>
      </c>
    </row>
    <row r="156" spans="2:6">
      <c r="B156" s="1250">
        <v>50</v>
      </c>
      <c r="C156" t="s">
        <v>5059</v>
      </c>
    </row>
    <row r="157" spans="2:6">
      <c r="B157" s="1250">
        <v>53</v>
      </c>
      <c r="C157" t="s">
        <v>5059</v>
      </c>
    </row>
    <row r="158" spans="2:6">
      <c r="B158" s="1250">
        <v>55</v>
      </c>
      <c r="C158" t="s">
        <v>5059</v>
      </c>
    </row>
    <row r="159" spans="2:6">
      <c r="B159" s="1250">
        <v>80</v>
      </c>
      <c r="C159" t="s">
        <v>5059</v>
      </c>
    </row>
    <row r="160" spans="2:6">
      <c r="B160" s="1250">
        <v>85</v>
      </c>
      <c r="C160" t="s">
        <v>5059</v>
      </c>
    </row>
    <row r="161" spans="2:3">
      <c r="B161" s="1250">
        <v>95.14</v>
      </c>
      <c r="C161" t="s">
        <v>5069</v>
      </c>
    </row>
    <row r="162" spans="2:3">
      <c r="B162" s="1250">
        <v>122.62</v>
      </c>
      <c r="C162" t="s">
        <v>5077</v>
      </c>
    </row>
    <row r="163" spans="2:3">
      <c r="B163" s="1250">
        <v>139</v>
      </c>
      <c r="C163" t="s">
        <v>5059</v>
      </c>
    </row>
    <row r="164" spans="2:3">
      <c r="B164" s="1250">
        <v>177</v>
      </c>
      <c r="C164" t="s">
        <v>5059</v>
      </c>
    </row>
    <row r="165" spans="2:3">
      <c r="B165" s="1250">
        <v>195</v>
      </c>
      <c r="C165" t="s">
        <v>5055</v>
      </c>
    </row>
    <row r="166" spans="2:3">
      <c r="B166" s="1250">
        <v>195</v>
      </c>
      <c r="C166" t="s">
        <v>5059</v>
      </c>
    </row>
    <row r="167" spans="2:3">
      <c r="B167" s="1250">
        <v>205</v>
      </c>
      <c r="C167" t="s">
        <v>5059</v>
      </c>
    </row>
    <row r="168" spans="2:3">
      <c r="B168" s="1250">
        <v>235</v>
      </c>
      <c r="C168" t="s">
        <v>5054</v>
      </c>
    </row>
    <row r="169" spans="2:3">
      <c r="B169" s="1250">
        <v>259.22000000000003</v>
      </c>
      <c r="C169" t="s">
        <v>5081</v>
      </c>
    </row>
    <row r="170" spans="2:3">
      <c r="B170" s="1250">
        <v>265</v>
      </c>
      <c r="C170" t="s">
        <v>5053</v>
      </c>
    </row>
    <row r="171" spans="2:3">
      <c r="B171" s="1250">
        <v>268.88</v>
      </c>
      <c r="C171" t="s">
        <v>5070</v>
      </c>
    </row>
    <row r="172" spans="2:3">
      <c r="B172" s="1250">
        <v>289.70999999999998</v>
      </c>
      <c r="C172" t="s">
        <v>5078</v>
      </c>
    </row>
    <row r="173" spans="2:3">
      <c r="B173" s="1250">
        <v>305</v>
      </c>
      <c r="C173" t="s">
        <v>5059</v>
      </c>
    </row>
    <row r="174" spans="2:3">
      <c r="B174" s="1250">
        <v>330</v>
      </c>
      <c r="C174" t="s">
        <v>5076</v>
      </c>
    </row>
    <row r="175" spans="2:3">
      <c r="B175" s="1250">
        <v>336.3</v>
      </c>
      <c r="C175" t="s">
        <v>5071</v>
      </c>
    </row>
    <row r="176" spans="2:3">
      <c r="B176" s="1250">
        <v>484</v>
      </c>
      <c r="C176" t="s">
        <v>5056</v>
      </c>
    </row>
    <row r="177" spans="2:3">
      <c r="B177" s="1250">
        <v>500</v>
      </c>
      <c r="C177" t="s">
        <v>5059</v>
      </c>
    </row>
    <row r="178" spans="2:3">
      <c r="B178" s="1250">
        <v>525</v>
      </c>
      <c r="C178" t="s">
        <v>5058</v>
      </c>
    </row>
    <row r="179" spans="2:3">
      <c r="B179" s="1250">
        <v>607.6</v>
      </c>
      <c r="C179" t="s">
        <v>5073</v>
      </c>
    </row>
    <row r="180" spans="2:3">
      <c r="B180" s="1250">
        <v>639</v>
      </c>
      <c r="C180" t="s">
        <v>5059</v>
      </c>
    </row>
    <row r="181" spans="2:3">
      <c r="B181" s="1250">
        <v>640</v>
      </c>
      <c r="C181" t="s">
        <v>5059</v>
      </c>
    </row>
    <row r="182" spans="2:3">
      <c r="B182" s="1250">
        <v>685</v>
      </c>
      <c r="C182" t="s">
        <v>5058</v>
      </c>
    </row>
    <row r="183" spans="2:3">
      <c r="B183" s="1250">
        <v>750</v>
      </c>
      <c r="C183" t="s">
        <v>5054</v>
      </c>
    </row>
    <row r="184" spans="2:3">
      <c r="B184" s="1250">
        <v>820</v>
      </c>
      <c r="C184" t="s">
        <v>5075</v>
      </c>
    </row>
    <row r="185" spans="2:3">
      <c r="B185" s="1250">
        <v>951.43</v>
      </c>
      <c r="C185" t="s">
        <v>5068</v>
      </c>
    </row>
    <row r="186" spans="2:3">
      <c r="B186" s="1250">
        <v>1046.57</v>
      </c>
      <c r="C186" t="s">
        <v>5067</v>
      </c>
    </row>
    <row r="187" spans="2:3">
      <c r="B187" s="1250">
        <v>1326.2</v>
      </c>
      <c r="C187" t="s">
        <v>5059</v>
      </c>
    </row>
    <row r="188" spans="2:3">
      <c r="B188" s="1250">
        <v>1500</v>
      </c>
      <c r="C188" t="s">
        <v>5059</v>
      </c>
    </row>
    <row r="189" spans="2:3">
      <c r="B189" s="1250">
        <v>2189.52</v>
      </c>
      <c r="C189" t="s">
        <v>5074</v>
      </c>
    </row>
    <row r="190" spans="2:3">
      <c r="B190" s="1250">
        <v>2953</v>
      </c>
      <c r="C190" t="s">
        <v>5066</v>
      </c>
    </row>
    <row r="191" spans="2:3">
      <c r="B191" s="1250">
        <v>3044</v>
      </c>
      <c r="C191" t="s">
        <v>5060</v>
      </c>
    </row>
    <row r="192" spans="2:3">
      <c r="B192" s="1250">
        <v>3500</v>
      </c>
      <c r="C192" t="s">
        <v>5065</v>
      </c>
    </row>
    <row r="193" spans="2:3">
      <c r="B193" s="1250">
        <v>3903.81</v>
      </c>
      <c r="C193" t="s">
        <v>5072</v>
      </c>
    </row>
    <row r="194" spans="2:3">
      <c r="B194" s="1250">
        <v>3999</v>
      </c>
      <c r="C194" t="s">
        <v>5061</v>
      </c>
    </row>
    <row r="195" spans="2:3">
      <c r="B195" s="1250">
        <v>4400</v>
      </c>
      <c r="C195" t="s">
        <v>5062</v>
      </c>
    </row>
    <row r="196" spans="2:3">
      <c r="B196" s="1250"/>
      <c r="C196"/>
    </row>
    <row r="197" spans="2:3">
      <c r="B197" s="1250"/>
      <c r="C197"/>
    </row>
    <row r="198" spans="2:3">
      <c r="B198" s="1250"/>
      <c r="C198" t="s">
        <v>5064</v>
      </c>
    </row>
    <row r="199" spans="2:3">
      <c r="B199" s="1250"/>
      <c r="C199" s="1251">
        <f>SUM(B145:B198)</f>
        <v>38522.5</v>
      </c>
    </row>
  </sheetData>
  <mergeCells count="3">
    <mergeCell ref="A2:B2"/>
    <mergeCell ref="C3:H4"/>
    <mergeCell ref="D5:G5"/>
  </mergeCells>
  <pageMargins left="0.16" right="0.18" top="0.16" bottom="0.16" header="0.18" footer="0.3"/>
  <pageSetup paperSize="9" scale="90" fitToHeight="0" orientation="portrait" horizontalDpi="0" verticalDpi="0" r:id="rId1"/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5DCF7-5870-4F9A-9357-76FDA5479D16}">
  <sheetPr codeName="Sheet14"/>
  <dimension ref="A1:N118"/>
  <sheetViews>
    <sheetView workbookViewId="0">
      <selection activeCell="A2" sqref="A2:F111"/>
    </sheetView>
  </sheetViews>
  <sheetFormatPr defaultRowHeight="15"/>
  <cols>
    <col min="1" max="3" width="9.140625" style="1261"/>
    <col min="4" max="4" width="10.5703125" style="1261" bestFit="1" customWidth="1"/>
    <col min="5" max="5" width="9.85546875" style="1261" customWidth="1"/>
    <col min="6" max="6" width="17.85546875" style="1261" bestFit="1" customWidth="1"/>
    <col min="7" max="7" width="9.140625" style="1261"/>
    <col min="8" max="8" width="9.5703125" style="1261" bestFit="1" customWidth="1"/>
    <col min="9" max="10" width="9.140625" style="1261"/>
    <col min="11" max="11" width="36.85546875" style="1261" customWidth="1"/>
    <col min="12" max="16384" width="9.140625" style="126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201"/>
    </row>
    <row r="2" spans="1:12">
      <c r="A2" s="1719" t="s">
        <v>4987</v>
      </c>
      <c r="B2" s="1720"/>
      <c r="C2" s="1720"/>
      <c r="D2" s="1720"/>
      <c r="E2" s="1"/>
      <c r="F2" s="1"/>
      <c r="G2" s="1"/>
      <c r="H2" s="1"/>
      <c r="I2" s="1"/>
      <c r="J2" s="1"/>
      <c r="K2" s="1"/>
      <c r="L2" s="120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201"/>
    </row>
    <row r="4" spans="1:12" ht="15.75" thickBot="1">
      <c r="A4" s="1267" t="s">
        <v>4988</v>
      </c>
      <c r="B4" s="1721" t="s">
        <v>49</v>
      </c>
      <c r="C4" s="1721"/>
      <c r="D4" s="1721"/>
      <c r="E4" s="1266">
        <f>SUM(E5:E7)</f>
        <v>36878</v>
      </c>
      <c r="F4" s="1265"/>
      <c r="G4" s="1"/>
      <c r="H4" s="1"/>
      <c r="I4" s="1"/>
      <c r="J4" s="1"/>
      <c r="K4" s="1"/>
      <c r="L4" s="1201"/>
    </row>
    <row r="5" spans="1:12" ht="15.75" thickTop="1">
      <c r="A5" s="1262"/>
      <c r="B5" s="1722" t="s">
        <v>5088</v>
      </c>
      <c r="C5" s="1722"/>
      <c r="D5" s="1722"/>
      <c r="E5" s="1263">
        <v>6950</v>
      </c>
      <c r="F5" s="1264" t="s">
        <v>5105</v>
      </c>
      <c r="G5" s="1"/>
      <c r="H5" s="1"/>
      <c r="I5" s="1"/>
      <c r="J5" s="1"/>
      <c r="K5" s="1"/>
      <c r="L5" s="1201"/>
    </row>
    <row r="6" spans="1:12">
      <c r="A6" s="1262"/>
      <c r="B6" s="1722" t="s">
        <v>5089</v>
      </c>
      <c r="C6" s="1722"/>
      <c r="D6" s="1722"/>
      <c r="E6" s="1263">
        <v>22928</v>
      </c>
      <c r="F6" s="1264" t="s">
        <v>5107</v>
      </c>
      <c r="G6" s="1"/>
      <c r="H6" s="1"/>
      <c r="I6" s="1"/>
      <c r="J6" s="1"/>
      <c r="K6" s="1"/>
      <c r="L6" s="1201"/>
    </row>
    <row r="7" spans="1:12">
      <c r="A7" s="1262"/>
      <c r="B7" s="1722" t="s">
        <v>5106</v>
      </c>
      <c r="C7" s="1722"/>
      <c r="D7" s="1722"/>
      <c r="E7" s="1263">
        <v>7000</v>
      </c>
      <c r="F7" s="1264" t="s">
        <v>5108</v>
      </c>
      <c r="G7" s="1"/>
      <c r="H7" s="1"/>
      <c r="I7" s="1"/>
      <c r="J7" s="1"/>
      <c r="K7" s="1"/>
      <c r="L7" s="1201"/>
    </row>
    <row r="8" spans="1:12" ht="15.75" thickBot="1">
      <c r="A8" s="1267" t="s">
        <v>4988</v>
      </c>
      <c r="B8" s="1721" t="s">
        <v>55</v>
      </c>
      <c r="C8" s="1721"/>
      <c r="D8" s="1721"/>
      <c r="E8" s="1266">
        <f>SUM(E9:E11)</f>
        <v>6926</v>
      </c>
      <c r="F8" s="1265"/>
      <c r="G8" s="1"/>
      <c r="H8" s="1"/>
      <c r="I8" s="1"/>
      <c r="J8" s="1"/>
      <c r="K8" s="1"/>
      <c r="L8" s="1201"/>
    </row>
    <row r="9" spans="1:12" ht="15.75" thickTop="1">
      <c r="A9" s="1262"/>
      <c r="B9" s="1723" t="s">
        <v>5057</v>
      </c>
      <c r="C9" s="1724"/>
      <c r="D9" s="1725"/>
      <c r="E9" s="1263">
        <v>3850</v>
      </c>
      <c r="F9" s="1264"/>
      <c r="G9" s="1"/>
      <c r="H9" s="1"/>
      <c r="I9" s="1"/>
      <c r="J9" s="1"/>
      <c r="K9" s="1"/>
      <c r="L9" s="1201"/>
    </row>
    <row r="10" spans="1:12">
      <c r="A10" s="1262"/>
      <c r="B10" s="1726" t="s">
        <v>5063</v>
      </c>
      <c r="C10" s="1727"/>
      <c r="D10" s="1728"/>
      <c r="E10" s="1263">
        <v>500</v>
      </c>
      <c r="F10" s="1264"/>
      <c r="G10" s="1"/>
      <c r="H10" s="1"/>
      <c r="I10" s="1"/>
      <c r="J10" s="1"/>
      <c r="K10" s="1"/>
      <c r="L10" s="1201"/>
    </row>
    <row r="11" spans="1:12">
      <c r="A11" s="1262"/>
      <c r="B11" s="1726" t="s">
        <v>5086</v>
      </c>
      <c r="C11" s="1727"/>
      <c r="D11" s="1728"/>
      <c r="E11" s="1263">
        <v>2576</v>
      </c>
      <c r="F11" s="1264"/>
      <c r="G11" s="1"/>
      <c r="H11" s="1"/>
      <c r="I11" s="1201"/>
      <c r="J11" s="1"/>
      <c r="K11" s="1"/>
      <c r="L11" s="1201"/>
    </row>
    <row r="12" spans="1:12" ht="15.75" thickBot="1">
      <c r="A12" s="1267" t="s">
        <v>4988</v>
      </c>
      <c r="B12" s="1721" t="s">
        <v>5109</v>
      </c>
      <c r="C12" s="1721"/>
      <c r="D12" s="1721"/>
      <c r="E12" s="1266">
        <f>SUM(E13:E16)</f>
        <v>392800</v>
      </c>
      <c r="F12" s="1265"/>
      <c r="G12" s="1"/>
      <c r="H12" s="1"/>
      <c r="I12" s="1"/>
      <c r="J12" s="1"/>
      <c r="K12" s="1"/>
      <c r="L12" s="1201"/>
    </row>
    <row r="13" spans="1:12" ht="15.75" thickTop="1">
      <c r="A13" s="1262"/>
      <c r="B13" s="1722" t="s">
        <v>5083</v>
      </c>
      <c r="C13" s="1722"/>
      <c r="D13" s="1722"/>
      <c r="E13" s="1263">
        <v>115000</v>
      </c>
      <c r="F13" s="1264"/>
      <c r="G13" s="1"/>
      <c r="H13" s="1"/>
      <c r="I13" s="1"/>
      <c r="J13" s="1"/>
      <c r="K13" s="1"/>
      <c r="L13" s="1201"/>
    </row>
    <row r="14" spans="1:12">
      <c r="A14" s="1262"/>
      <c r="B14" s="1722" t="s">
        <v>5083</v>
      </c>
      <c r="C14" s="1722"/>
      <c r="D14" s="1722"/>
      <c r="E14" s="1263">
        <v>92600</v>
      </c>
      <c r="F14" s="1264"/>
      <c r="G14" s="1"/>
      <c r="H14" s="1"/>
      <c r="I14" s="1"/>
      <c r="J14" s="1"/>
      <c r="K14" s="1"/>
      <c r="L14" s="1201"/>
    </row>
    <row r="15" spans="1:12">
      <c r="A15" s="1262"/>
      <c r="B15" s="1722" t="s">
        <v>5083</v>
      </c>
      <c r="C15" s="1722"/>
      <c r="D15" s="1722"/>
      <c r="E15" s="1263">
        <v>92600</v>
      </c>
      <c r="F15" s="1264"/>
      <c r="G15" s="1"/>
      <c r="H15" s="1"/>
      <c r="I15" s="1"/>
      <c r="J15" s="1"/>
      <c r="K15" s="1"/>
      <c r="L15" s="1201"/>
    </row>
    <row r="16" spans="1:12">
      <c r="A16" s="1262"/>
      <c r="B16" s="1722" t="s">
        <v>5083</v>
      </c>
      <c r="C16" s="1722"/>
      <c r="D16" s="1722"/>
      <c r="E16" s="1263">
        <v>92600</v>
      </c>
      <c r="F16" s="1264"/>
      <c r="G16" s="1"/>
      <c r="H16" s="1"/>
      <c r="I16" s="1"/>
      <c r="J16" s="1"/>
      <c r="K16" s="1"/>
      <c r="L16" s="1201"/>
    </row>
    <row r="17" spans="1:12" ht="15.75" thickBot="1">
      <c r="A17" s="1267" t="s">
        <v>4988</v>
      </c>
      <c r="B17" s="1721" t="s">
        <v>5111</v>
      </c>
      <c r="C17" s="1721"/>
      <c r="D17" s="1721"/>
      <c r="E17" s="1266">
        <f>SUM(E18:E26)</f>
        <v>97727.200000000012</v>
      </c>
      <c r="F17" s="1265"/>
      <c r="G17" s="1"/>
      <c r="H17" s="1"/>
      <c r="I17" s="1"/>
      <c r="J17" s="1"/>
      <c r="K17" s="1"/>
      <c r="L17" s="1201"/>
    </row>
    <row r="18" spans="1:12" ht="15.75" thickTop="1">
      <c r="A18" s="1262"/>
      <c r="B18" s="1722" t="s">
        <v>5096</v>
      </c>
      <c r="C18" s="1722"/>
      <c r="D18" s="1722"/>
      <c r="E18" s="1263">
        <v>18360</v>
      </c>
      <c r="F18" s="1264"/>
      <c r="G18" s="1"/>
      <c r="H18" s="1"/>
      <c r="I18" s="1"/>
      <c r="J18" s="1"/>
      <c r="K18" s="1"/>
      <c r="L18" s="1201"/>
    </row>
    <row r="19" spans="1:12">
      <c r="A19" s="1262"/>
      <c r="B19" s="1722" t="s">
        <v>5097</v>
      </c>
      <c r="C19" s="1722"/>
      <c r="D19" s="1722"/>
      <c r="E19" s="1263">
        <v>15750</v>
      </c>
      <c r="F19" s="1264"/>
      <c r="G19" s="1"/>
      <c r="H19" s="1"/>
      <c r="I19" s="1"/>
      <c r="J19" s="1"/>
      <c r="K19" s="1"/>
      <c r="L19" s="1201"/>
    </row>
    <row r="20" spans="1:12">
      <c r="A20" s="1262"/>
      <c r="B20" s="1722" t="s">
        <v>5098</v>
      </c>
      <c r="C20" s="1722"/>
      <c r="D20" s="1722"/>
      <c r="E20" s="1263">
        <v>23126</v>
      </c>
      <c r="F20" s="1264"/>
      <c r="G20" s="1"/>
      <c r="H20" s="1"/>
      <c r="I20" s="1"/>
      <c r="J20" s="1"/>
      <c r="K20" s="1"/>
      <c r="L20" s="1201"/>
    </row>
    <row r="21" spans="1:12">
      <c r="A21" s="1262"/>
      <c r="B21" s="1722" t="s">
        <v>5099</v>
      </c>
      <c r="C21" s="1722"/>
      <c r="D21" s="1722"/>
      <c r="E21" s="1263">
        <v>6290</v>
      </c>
      <c r="F21" s="1262"/>
      <c r="G21" s="1"/>
      <c r="H21" s="1"/>
      <c r="I21" s="1"/>
      <c r="J21" s="1"/>
      <c r="K21" s="1"/>
      <c r="L21" s="1201"/>
    </row>
    <row r="22" spans="1:12">
      <c r="A22" s="1262"/>
      <c r="B22" s="1722" t="s">
        <v>5100</v>
      </c>
      <c r="C22" s="1722"/>
      <c r="D22" s="1722"/>
      <c r="E22" s="1263">
        <v>15000</v>
      </c>
      <c r="F22" s="1262"/>
      <c r="G22" s="1"/>
      <c r="H22" s="1"/>
      <c r="I22" s="1"/>
      <c r="J22" s="1"/>
      <c r="K22" s="1"/>
      <c r="L22" s="1201"/>
    </row>
    <row r="23" spans="1:12">
      <c r="A23" s="1262"/>
      <c r="B23" s="1722" t="s">
        <v>5101</v>
      </c>
      <c r="C23" s="1722"/>
      <c r="D23" s="1722"/>
      <c r="E23" s="1263">
        <v>3500</v>
      </c>
      <c r="F23" s="1262"/>
      <c r="G23" s="1"/>
      <c r="H23" s="1"/>
      <c r="I23" s="1"/>
      <c r="J23" s="1"/>
      <c r="K23" s="1"/>
      <c r="L23" s="1201"/>
    </row>
    <row r="24" spans="1:12">
      <c r="A24" s="1262"/>
      <c r="B24" s="1722" t="s">
        <v>5102</v>
      </c>
      <c r="C24" s="1722"/>
      <c r="D24" s="1722"/>
      <c r="E24" s="1263">
        <v>413.74</v>
      </c>
      <c r="F24" s="1262"/>
      <c r="G24" s="1"/>
      <c r="H24" s="1"/>
      <c r="I24" s="1"/>
      <c r="J24" s="1"/>
      <c r="K24" s="1"/>
      <c r="L24" s="1201"/>
    </row>
    <row r="25" spans="1:12">
      <c r="A25" s="1262"/>
      <c r="B25" s="1722" t="s">
        <v>5103</v>
      </c>
      <c r="C25" s="1722"/>
      <c r="D25" s="1722"/>
      <c r="E25" s="1263">
        <v>693.46</v>
      </c>
      <c r="F25" s="1262"/>
      <c r="G25" s="1"/>
      <c r="H25" s="1"/>
      <c r="I25" s="1"/>
      <c r="J25" s="1"/>
      <c r="K25" s="1"/>
      <c r="L25" s="1201"/>
    </row>
    <row r="26" spans="1:12">
      <c r="A26" s="1262"/>
      <c r="B26" s="1722" t="s">
        <v>5104</v>
      </c>
      <c r="C26" s="1722"/>
      <c r="D26" s="1722"/>
      <c r="E26" s="1263">
        <v>14594</v>
      </c>
      <c r="F26" s="1262"/>
      <c r="G26" s="1"/>
      <c r="H26" s="1"/>
      <c r="I26" s="1"/>
      <c r="J26" s="1"/>
      <c r="K26" s="1"/>
      <c r="L26" s="1201"/>
    </row>
    <row r="27" spans="1:12" ht="15.75" thickBot="1">
      <c r="A27" s="1267" t="s">
        <v>4988</v>
      </c>
      <c r="B27" s="1721" t="s">
        <v>5110</v>
      </c>
      <c r="C27" s="1721"/>
      <c r="D27" s="1721"/>
      <c r="E27" s="1266">
        <f>SUM(E28:E39)</f>
        <v>177993</v>
      </c>
      <c r="F27" s="1265"/>
      <c r="G27" s="1"/>
      <c r="H27" s="1"/>
      <c r="I27" s="1"/>
      <c r="J27" s="1"/>
      <c r="K27" s="1"/>
      <c r="L27" s="1201"/>
    </row>
    <row r="28" spans="1:12" ht="15.75" thickTop="1">
      <c r="A28" s="1262"/>
      <c r="B28" s="1722" t="s">
        <v>4990</v>
      </c>
      <c r="C28" s="1722"/>
      <c r="D28" s="1722"/>
      <c r="E28" s="1263">
        <v>49668</v>
      </c>
      <c r="F28" s="1264" t="s">
        <v>5000</v>
      </c>
      <c r="G28" s="1"/>
      <c r="H28" s="1"/>
      <c r="I28" s="1"/>
      <c r="J28" s="1"/>
      <c r="K28" s="1"/>
      <c r="L28" s="1201"/>
    </row>
    <row r="29" spans="1:12">
      <c r="A29" s="1262"/>
      <c r="B29" s="1722" t="s">
        <v>4991</v>
      </c>
      <c r="C29" s="1722"/>
      <c r="D29" s="1722"/>
      <c r="E29" s="1263">
        <v>61250</v>
      </c>
      <c r="F29" s="1264" t="s">
        <v>5001</v>
      </c>
      <c r="G29" s="1"/>
      <c r="H29" s="1"/>
      <c r="I29" s="1"/>
      <c r="J29" s="1"/>
      <c r="K29" s="1"/>
      <c r="L29" s="1201"/>
    </row>
    <row r="30" spans="1:12">
      <c r="A30" s="1262"/>
      <c r="B30" s="1722" t="s">
        <v>803</v>
      </c>
      <c r="C30" s="1722"/>
      <c r="D30" s="1722"/>
      <c r="E30" s="1263">
        <v>36750</v>
      </c>
      <c r="F30" s="1264" t="s">
        <v>5001</v>
      </c>
      <c r="G30" s="1"/>
      <c r="H30" s="1"/>
      <c r="I30" s="1"/>
      <c r="J30" s="1"/>
      <c r="K30" s="1"/>
      <c r="L30" s="1201"/>
    </row>
    <row r="31" spans="1:12">
      <c r="A31" s="1262"/>
      <c r="B31" s="1722" t="s">
        <v>4992</v>
      </c>
      <c r="C31" s="1722"/>
      <c r="D31" s="1722"/>
      <c r="E31" s="1263">
        <v>7000</v>
      </c>
      <c r="F31" s="1264" t="s">
        <v>5001</v>
      </c>
      <c r="G31" s="1"/>
      <c r="H31" s="1"/>
      <c r="I31" s="1"/>
      <c r="J31" s="1"/>
      <c r="K31" s="1"/>
      <c r="L31" s="1201"/>
    </row>
    <row r="32" spans="1:12">
      <c r="A32" s="1262"/>
      <c r="B32" s="1722" t="s">
        <v>4993</v>
      </c>
      <c r="C32" s="1722"/>
      <c r="D32" s="1722"/>
      <c r="E32" s="1263">
        <v>5325</v>
      </c>
      <c r="F32" s="1264" t="s">
        <v>5002</v>
      </c>
      <c r="G32" s="1"/>
      <c r="H32" s="1"/>
      <c r="I32" s="1"/>
      <c r="J32" s="1"/>
      <c r="K32" s="1"/>
      <c r="L32" s="1201"/>
    </row>
    <row r="33" spans="1:12">
      <c r="A33" s="1262"/>
      <c r="B33" s="1722" t="s">
        <v>5044</v>
      </c>
      <c r="C33" s="1722"/>
      <c r="D33" s="1722"/>
      <c r="E33" s="1263">
        <v>3600</v>
      </c>
      <c r="F33" s="1264" t="s">
        <v>5001</v>
      </c>
      <c r="G33" s="1"/>
      <c r="H33" s="1"/>
      <c r="I33" s="1"/>
      <c r="J33" s="1"/>
      <c r="K33" s="1"/>
      <c r="L33" s="1201"/>
    </row>
    <row r="34" spans="1:12">
      <c r="A34" s="1262"/>
      <c r="B34" s="1722" t="s">
        <v>4994</v>
      </c>
      <c r="C34" s="1722"/>
      <c r="D34" s="1722"/>
      <c r="E34" s="1263">
        <v>525</v>
      </c>
      <c r="F34" s="1264" t="s">
        <v>5001</v>
      </c>
      <c r="G34" s="1"/>
      <c r="H34" s="1"/>
      <c r="I34" s="1"/>
      <c r="J34" s="1"/>
      <c r="K34" s="1"/>
      <c r="L34" s="1201"/>
    </row>
    <row r="35" spans="1:12">
      <c r="A35" s="1262"/>
      <c r="B35" s="1722" t="s">
        <v>4995</v>
      </c>
      <c r="C35" s="1722"/>
      <c r="D35" s="1722"/>
      <c r="E35" s="1263">
        <v>1837.5</v>
      </c>
      <c r="F35" s="1264" t="s">
        <v>5001</v>
      </c>
      <c r="G35" s="1"/>
      <c r="H35" s="1"/>
      <c r="I35" s="1"/>
      <c r="J35" s="1"/>
      <c r="K35" s="1"/>
      <c r="L35" s="1201"/>
    </row>
    <row r="36" spans="1:12">
      <c r="A36" s="1262"/>
      <c r="B36" s="1722" t="s">
        <v>4996</v>
      </c>
      <c r="C36" s="1722"/>
      <c r="D36" s="1722"/>
      <c r="E36" s="1263">
        <v>1050</v>
      </c>
      <c r="F36" s="1264" t="s">
        <v>5001</v>
      </c>
      <c r="G36" s="1"/>
      <c r="H36" s="1"/>
      <c r="I36" s="1"/>
      <c r="J36" s="1"/>
      <c r="K36" s="1"/>
      <c r="L36" s="1201"/>
    </row>
    <row r="37" spans="1:12">
      <c r="A37" s="1262"/>
      <c r="B37" s="1722" t="s">
        <v>4997</v>
      </c>
      <c r="C37" s="1722"/>
      <c r="D37" s="1722"/>
      <c r="E37" s="1263">
        <v>2835</v>
      </c>
      <c r="F37" s="1264" t="s">
        <v>5001</v>
      </c>
      <c r="G37" s="1"/>
      <c r="H37" s="1"/>
      <c r="I37" s="1"/>
      <c r="J37" s="1"/>
      <c r="K37" s="1"/>
      <c r="L37" s="1201"/>
    </row>
    <row r="38" spans="1:12">
      <c r="A38" s="1262"/>
      <c r="B38" s="1722" t="s">
        <v>4998</v>
      </c>
      <c r="C38" s="1722"/>
      <c r="D38" s="1722"/>
      <c r="E38" s="1263">
        <v>7574.9999999999991</v>
      </c>
      <c r="F38" s="1264" t="s">
        <v>5001</v>
      </c>
      <c r="G38" s="1"/>
      <c r="H38" s="1"/>
      <c r="I38" s="1"/>
      <c r="J38" s="1"/>
      <c r="K38" s="1"/>
      <c r="L38" s="1201"/>
    </row>
    <row r="39" spans="1:12">
      <c r="A39" s="1262"/>
      <c r="B39" s="1722" t="s">
        <v>4999</v>
      </c>
      <c r="C39" s="1722"/>
      <c r="D39" s="1722"/>
      <c r="E39" s="1263">
        <v>577.5</v>
      </c>
      <c r="F39" s="1264" t="s">
        <v>5001</v>
      </c>
      <c r="G39" s="1"/>
      <c r="H39" s="1"/>
      <c r="I39" s="1"/>
      <c r="J39" s="1"/>
      <c r="K39" s="1"/>
      <c r="L39" s="1201"/>
    </row>
    <row r="40" spans="1:12" ht="15.75" thickBot="1">
      <c r="A40" s="1267" t="s">
        <v>4988</v>
      </c>
      <c r="B40" s="1269" t="s">
        <v>53</v>
      </c>
      <c r="C40" s="1269"/>
      <c r="D40" s="1269"/>
      <c r="E40" s="1266">
        <f>SUM(E41:E91)</f>
        <v>35569.5</v>
      </c>
      <c r="F40" s="1265"/>
      <c r="G40" s="1"/>
      <c r="H40" s="1"/>
      <c r="I40" s="1"/>
      <c r="J40" s="1"/>
      <c r="K40" s="1"/>
      <c r="L40" s="1201"/>
    </row>
    <row r="41" spans="1:12" ht="15.75" thickTop="1">
      <c r="A41" s="1262"/>
      <c r="B41" s="1722" t="s">
        <v>5059</v>
      </c>
      <c r="C41" s="1722"/>
      <c r="D41" s="1722"/>
      <c r="E41" s="1263">
        <v>4.5</v>
      </c>
      <c r="F41" s="1262"/>
      <c r="G41" s="1"/>
      <c r="H41" s="1"/>
      <c r="I41" s="1"/>
      <c r="J41" s="1"/>
      <c r="K41" s="1"/>
      <c r="L41" s="1201"/>
    </row>
    <row r="42" spans="1:12">
      <c r="A42" s="1262"/>
      <c r="B42" s="1722" t="s">
        <v>5059</v>
      </c>
      <c r="C42" s="1722"/>
      <c r="D42" s="1722"/>
      <c r="E42" s="1263">
        <v>10</v>
      </c>
      <c r="F42" s="1262"/>
      <c r="G42" s="1"/>
      <c r="H42" s="1"/>
      <c r="I42" s="1"/>
      <c r="J42" s="1"/>
      <c r="K42" s="1"/>
      <c r="L42" s="1201"/>
    </row>
    <row r="43" spans="1:12">
      <c r="A43" s="1262"/>
      <c r="B43" s="1722" t="s">
        <v>5079</v>
      </c>
      <c r="C43" s="1722"/>
      <c r="D43" s="1722"/>
      <c r="E43" s="1263">
        <v>10</v>
      </c>
      <c r="F43" s="1262"/>
      <c r="G43" s="1"/>
      <c r="H43" s="1"/>
      <c r="I43" s="1"/>
      <c r="J43" s="1"/>
      <c r="K43" s="1"/>
      <c r="L43" s="1201"/>
    </row>
    <row r="44" spans="1:12">
      <c r="A44" s="1262"/>
      <c r="B44" s="1722" t="s">
        <v>5059</v>
      </c>
      <c r="C44" s="1722"/>
      <c r="D44" s="1722"/>
      <c r="E44" s="1263">
        <v>15</v>
      </c>
      <c r="F44" s="1262"/>
      <c r="G44" s="1"/>
      <c r="H44" s="1"/>
      <c r="I44" s="1"/>
      <c r="J44" s="1"/>
      <c r="K44" s="1"/>
      <c r="L44" s="1201"/>
    </row>
    <row r="45" spans="1:12">
      <c r="A45" s="1262"/>
      <c r="B45" s="1722" t="s">
        <v>5059</v>
      </c>
      <c r="C45" s="1722"/>
      <c r="D45" s="1722"/>
      <c r="E45" s="1263">
        <v>25</v>
      </c>
      <c r="F45" s="1262"/>
      <c r="G45" s="1"/>
      <c r="H45" s="1"/>
      <c r="I45" s="1"/>
      <c r="J45" s="1"/>
      <c r="K45" s="1"/>
      <c r="L45" s="1201"/>
    </row>
    <row r="46" spans="1:12">
      <c r="A46" s="1262"/>
      <c r="B46" s="1722" t="s">
        <v>5059</v>
      </c>
      <c r="C46" s="1722"/>
      <c r="D46" s="1722"/>
      <c r="E46" s="1263">
        <v>25</v>
      </c>
      <c r="F46" s="1262"/>
      <c r="G46" s="1"/>
      <c r="H46" s="1"/>
      <c r="I46" s="1"/>
      <c r="J46" s="1"/>
      <c r="K46" s="1"/>
      <c r="L46" s="1201"/>
    </row>
    <row r="47" spans="1:12">
      <c r="A47" s="1262"/>
      <c r="B47" s="1722" t="s">
        <v>5059</v>
      </c>
      <c r="C47" s="1722"/>
      <c r="D47" s="1722"/>
      <c r="E47" s="1263">
        <v>42</v>
      </c>
      <c r="F47" s="1262"/>
      <c r="G47" s="1"/>
      <c r="H47" s="1"/>
      <c r="I47" s="1"/>
      <c r="J47" s="1"/>
      <c r="K47" s="1"/>
      <c r="L47" s="1201"/>
    </row>
    <row r="48" spans="1:12">
      <c r="A48" s="1262"/>
      <c r="B48" s="1722" t="s">
        <v>5059</v>
      </c>
      <c r="C48" s="1722"/>
      <c r="D48" s="1722"/>
      <c r="E48" s="1263">
        <v>44</v>
      </c>
      <c r="F48" s="1262"/>
      <c r="G48" s="1"/>
      <c r="H48" s="1"/>
      <c r="I48" s="1"/>
      <c r="J48" s="1"/>
      <c r="K48" s="1"/>
      <c r="L48" s="1201"/>
    </row>
    <row r="49" spans="1:12">
      <c r="A49" s="1262"/>
      <c r="B49" s="1722" t="s">
        <v>5080</v>
      </c>
      <c r="C49" s="1722"/>
      <c r="D49" s="1722"/>
      <c r="E49" s="1263">
        <v>45</v>
      </c>
      <c r="F49" s="1262"/>
      <c r="G49" s="1"/>
      <c r="H49" s="1"/>
      <c r="I49" s="1"/>
      <c r="J49" s="1"/>
      <c r="K49" s="1"/>
      <c r="L49" s="1201"/>
    </row>
    <row r="50" spans="1:12">
      <c r="A50" s="1262"/>
      <c r="B50" s="1722" t="s">
        <v>5059</v>
      </c>
      <c r="C50" s="1722"/>
      <c r="D50" s="1722"/>
      <c r="E50" s="1263">
        <v>47</v>
      </c>
      <c r="F50" s="1262"/>
      <c r="G50" s="1"/>
      <c r="H50" s="1"/>
      <c r="I50" s="1"/>
      <c r="J50" s="1"/>
      <c r="K50" s="1"/>
      <c r="L50" s="1201"/>
    </row>
    <row r="51" spans="1:12">
      <c r="A51" s="1262"/>
      <c r="B51" s="1722" t="s">
        <v>5059</v>
      </c>
      <c r="C51" s="1722"/>
      <c r="D51" s="1722"/>
      <c r="E51" s="1263">
        <v>50</v>
      </c>
      <c r="F51" s="1262"/>
      <c r="G51" s="1"/>
      <c r="H51" s="1"/>
      <c r="I51" s="1"/>
      <c r="J51" s="1"/>
      <c r="K51" s="1"/>
      <c r="L51" s="1201"/>
    </row>
    <row r="52" spans="1:12">
      <c r="A52" s="1262"/>
      <c r="B52" s="1722" t="s">
        <v>5059</v>
      </c>
      <c r="C52" s="1722"/>
      <c r="D52" s="1722"/>
      <c r="E52" s="1263">
        <v>50</v>
      </c>
      <c r="F52" s="1262"/>
      <c r="G52" s="1"/>
      <c r="H52" s="1"/>
      <c r="I52" s="1"/>
      <c r="J52" s="1"/>
      <c r="K52" s="1"/>
      <c r="L52" s="1201"/>
    </row>
    <row r="53" spans="1:12">
      <c r="A53" s="1262"/>
      <c r="B53" s="1722" t="s">
        <v>5059</v>
      </c>
      <c r="C53" s="1722"/>
      <c r="D53" s="1722"/>
      <c r="E53" s="1263">
        <v>53</v>
      </c>
      <c r="F53" s="1262"/>
      <c r="G53" s="1"/>
      <c r="H53" s="1"/>
      <c r="I53" s="1"/>
      <c r="J53" s="1"/>
      <c r="K53" s="1"/>
      <c r="L53" s="1201"/>
    </row>
    <row r="54" spans="1:12">
      <c r="A54" s="1262"/>
      <c r="B54" s="1722" t="s">
        <v>5059</v>
      </c>
      <c r="C54" s="1722"/>
      <c r="D54" s="1722"/>
      <c r="E54" s="1263">
        <v>55</v>
      </c>
      <c r="F54" s="1262"/>
      <c r="G54" s="1"/>
      <c r="H54" s="1"/>
      <c r="I54" s="1"/>
      <c r="J54" s="1"/>
      <c r="K54" s="1"/>
      <c r="L54" s="1201"/>
    </row>
    <row r="55" spans="1:12">
      <c r="A55" s="1262"/>
      <c r="B55" s="1722" t="s">
        <v>5059</v>
      </c>
      <c r="C55" s="1722"/>
      <c r="D55" s="1722"/>
      <c r="E55" s="1263">
        <v>80</v>
      </c>
      <c r="F55" s="1262"/>
      <c r="G55" s="1"/>
      <c r="H55" s="1"/>
      <c r="I55" s="1"/>
      <c r="J55" s="1"/>
      <c r="K55" s="1"/>
      <c r="L55" s="1201"/>
    </row>
    <row r="56" spans="1:12">
      <c r="A56" s="1262"/>
      <c r="B56" s="1722" t="s">
        <v>5059</v>
      </c>
      <c r="C56" s="1722"/>
      <c r="D56" s="1722"/>
      <c r="E56" s="1263">
        <v>85</v>
      </c>
      <c r="F56" s="1262"/>
      <c r="G56" s="1"/>
      <c r="H56" s="1"/>
      <c r="I56" s="1"/>
      <c r="J56" s="1"/>
      <c r="K56" s="1"/>
      <c r="L56" s="1201"/>
    </row>
    <row r="57" spans="1:12">
      <c r="A57" s="1262"/>
      <c r="B57" s="1722" t="s">
        <v>5069</v>
      </c>
      <c r="C57" s="1722"/>
      <c r="D57" s="1722"/>
      <c r="E57" s="1263">
        <v>95.14</v>
      </c>
      <c r="F57" s="1262"/>
      <c r="G57" s="1"/>
      <c r="H57" s="1"/>
      <c r="I57" s="1"/>
      <c r="J57" s="1"/>
      <c r="K57" s="1"/>
      <c r="L57" s="1201"/>
    </row>
    <row r="58" spans="1:12">
      <c r="A58" s="1262"/>
      <c r="B58" s="1722" t="s">
        <v>5077</v>
      </c>
      <c r="C58" s="1722"/>
      <c r="D58" s="1722"/>
      <c r="E58" s="1263">
        <v>122.62</v>
      </c>
      <c r="F58" s="1262"/>
      <c r="G58" s="1"/>
      <c r="H58" s="1"/>
      <c r="I58" s="1"/>
      <c r="J58" s="1"/>
      <c r="K58" s="1"/>
      <c r="L58" s="1201"/>
    </row>
    <row r="59" spans="1:12">
      <c r="A59" s="1262"/>
      <c r="B59" s="1722" t="s">
        <v>5059</v>
      </c>
      <c r="C59" s="1722"/>
      <c r="D59" s="1722"/>
      <c r="E59" s="1263">
        <v>139</v>
      </c>
      <c r="F59" s="1262"/>
      <c r="G59" s="1"/>
      <c r="H59" s="1"/>
      <c r="I59" s="1"/>
      <c r="J59" s="1"/>
      <c r="K59" s="1"/>
      <c r="L59" s="1201"/>
    </row>
    <row r="60" spans="1:12">
      <c r="A60" s="1262"/>
      <c r="B60" s="1722" t="s">
        <v>5059</v>
      </c>
      <c r="C60" s="1722"/>
      <c r="D60" s="1722"/>
      <c r="E60" s="1263">
        <v>177</v>
      </c>
      <c r="F60" s="1262"/>
      <c r="G60" s="1"/>
      <c r="H60" s="1"/>
      <c r="I60" s="1"/>
      <c r="J60" s="1"/>
      <c r="K60" s="1"/>
      <c r="L60" s="1201"/>
    </row>
    <row r="61" spans="1:12">
      <c r="A61" s="1262"/>
      <c r="B61" s="1722" t="s">
        <v>5055</v>
      </c>
      <c r="C61" s="1722"/>
      <c r="D61" s="1722"/>
      <c r="E61" s="1263">
        <v>195</v>
      </c>
      <c r="F61" s="1262"/>
      <c r="G61" s="1"/>
      <c r="H61" s="1"/>
      <c r="I61" s="1"/>
      <c r="J61" s="1"/>
      <c r="K61" s="1"/>
      <c r="L61" s="1201"/>
    </row>
    <row r="62" spans="1:12">
      <c r="A62" s="1262"/>
      <c r="B62" s="1722" t="s">
        <v>5059</v>
      </c>
      <c r="C62" s="1722"/>
      <c r="D62" s="1722"/>
      <c r="E62" s="1263">
        <v>195</v>
      </c>
      <c r="F62" s="1262"/>
      <c r="G62" s="1"/>
      <c r="H62" s="1"/>
      <c r="I62" s="1"/>
      <c r="J62" s="1"/>
      <c r="K62" s="1"/>
      <c r="L62" s="1201"/>
    </row>
    <row r="63" spans="1:12">
      <c r="A63" s="1262"/>
      <c r="B63" s="1722" t="s">
        <v>5059</v>
      </c>
      <c r="C63" s="1722"/>
      <c r="D63" s="1722"/>
      <c r="E63" s="1263">
        <v>205</v>
      </c>
      <c r="F63" s="1262"/>
      <c r="G63" s="1"/>
      <c r="H63" s="1"/>
      <c r="I63" s="1"/>
      <c r="J63" s="1"/>
      <c r="K63" s="1"/>
      <c r="L63" s="1201"/>
    </row>
    <row r="64" spans="1:12">
      <c r="A64" s="1262"/>
      <c r="B64" s="1722" t="s">
        <v>5054</v>
      </c>
      <c r="C64" s="1722"/>
      <c r="D64" s="1722"/>
      <c r="E64" s="1263">
        <v>235</v>
      </c>
      <c r="F64" s="1262"/>
      <c r="G64" s="1"/>
      <c r="H64" s="1"/>
      <c r="I64" s="1"/>
      <c r="J64" s="1"/>
      <c r="K64" s="1"/>
      <c r="L64" s="1201"/>
    </row>
    <row r="65" spans="1:12">
      <c r="A65" s="1262"/>
      <c r="B65" s="1722" t="s">
        <v>5081</v>
      </c>
      <c r="C65" s="1722"/>
      <c r="D65" s="1722"/>
      <c r="E65" s="1263">
        <v>259.22000000000003</v>
      </c>
      <c r="F65" s="1262"/>
      <c r="G65" s="1"/>
      <c r="H65" s="1"/>
      <c r="I65" s="1"/>
      <c r="J65" s="1"/>
      <c r="K65" s="1"/>
      <c r="L65" s="1201"/>
    </row>
    <row r="66" spans="1:12">
      <c r="A66" s="1262"/>
      <c r="B66" s="1722" t="s">
        <v>5053</v>
      </c>
      <c r="C66" s="1722"/>
      <c r="D66" s="1722"/>
      <c r="E66" s="1263">
        <v>265</v>
      </c>
      <c r="F66" s="1262"/>
      <c r="G66" s="1"/>
      <c r="H66" s="1"/>
      <c r="I66" s="1"/>
      <c r="J66" s="1"/>
      <c r="K66" s="1"/>
      <c r="L66" s="1201"/>
    </row>
    <row r="67" spans="1:12">
      <c r="A67" s="1262"/>
      <c r="B67" s="1722" t="s">
        <v>5070</v>
      </c>
      <c r="C67" s="1722"/>
      <c r="D67" s="1722"/>
      <c r="E67" s="1263">
        <v>268.88</v>
      </c>
      <c r="F67" s="1262"/>
      <c r="G67" s="1"/>
      <c r="H67" s="1"/>
      <c r="I67" s="1"/>
      <c r="J67" s="1"/>
      <c r="K67" s="1"/>
      <c r="L67" s="1201"/>
    </row>
    <row r="68" spans="1:12">
      <c r="A68" s="1262"/>
      <c r="B68" s="1722" t="s">
        <v>5078</v>
      </c>
      <c r="C68" s="1722"/>
      <c r="D68" s="1722"/>
      <c r="E68" s="1263">
        <v>289.70999999999998</v>
      </c>
      <c r="F68" s="1262"/>
      <c r="G68" s="1"/>
      <c r="H68" s="1"/>
      <c r="I68" s="1"/>
      <c r="J68" s="1"/>
      <c r="K68" s="1"/>
      <c r="L68" s="1201"/>
    </row>
    <row r="69" spans="1:12">
      <c r="A69" s="1262"/>
      <c r="B69" s="1722" t="s">
        <v>5059</v>
      </c>
      <c r="C69" s="1722"/>
      <c r="D69" s="1722"/>
      <c r="E69" s="1263">
        <v>305</v>
      </c>
      <c r="F69" s="1262"/>
      <c r="G69" s="1"/>
      <c r="H69" s="1"/>
      <c r="I69" s="1"/>
      <c r="J69" s="1"/>
      <c r="K69" s="1"/>
      <c r="L69" s="1201"/>
    </row>
    <row r="70" spans="1:12">
      <c r="A70" s="1262"/>
      <c r="B70" s="1722" t="s">
        <v>5076</v>
      </c>
      <c r="C70" s="1722"/>
      <c r="D70" s="1722"/>
      <c r="E70" s="1263">
        <v>330</v>
      </c>
      <c r="F70" s="1262"/>
      <c r="G70" s="1"/>
      <c r="H70" s="1"/>
      <c r="I70" s="1"/>
      <c r="J70" s="1"/>
      <c r="K70" s="1"/>
      <c r="L70" s="1201"/>
    </row>
    <row r="71" spans="1:12">
      <c r="A71" s="1262"/>
      <c r="B71" s="1722" t="s">
        <v>5071</v>
      </c>
      <c r="C71" s="1722"/>
      <c r="D71" s="1722"/>
      <c r="E71" s="1263">
        <v>336.3</v>
      </c>
      <c r="F71" s="1262"/>
      <c r="G71" s="1"/>
      <c r="H71" s="1"/>
      <c r="I71" s="1"/>
      <c r="J71" s="1"/>
      <c r="K71" s="1"/>
      <c r="L71" s="1201"/>
    </row>
    <row r="72" spans="1:12">
      <c r="A72" s="1262"/>
      <c r="B72" s="1722" t="s">
        <v>5056</v>
      </c>
      <c r="C72" s="1722"/>
      <c r="D72" s="1722"/>
      <c r="E72" s="1263">
        <v>484</v>
      </c>
      <c r="F72" s="1262"/>
      <c r="G72" s="1"/>
      <c r="H72" s="1"/>
      <c r="I72" s="1"/>
      <c r="J72" s="1"/>
      <c r="K72" s="1"/>
      <c r="L72" s="1201"/>
    </row>
    <row r="73" spans="1:12">
      <c r="A73" s="1262"/>
      <c r="B73" s="1722" t="s">
        <v>5059</v>
      </c>
      <c r="C73" s="1722"/>
      <c r="D73" s="1722"/>
      <c r="E73" s="1263">
        <v>500</v>
      </c>
      <c r="F73" s="1262"/>
      <c r="G73" s="1"/>
      <c r="H73" s="1"/>
      <c r="I73" s="1"/>
      <c r="J73" s="1"/>
      <c r="K73" s="1"/>
      <c r="L73" s="1201"/>
    </row>
    <row r="74" spans="1:12">
      <c r="A74" s="1262"/>
      <c r="B74" s="1722" t="s">
        <v>5058</v>
      </c>
      <c r="C74" s="1722"/>
      <c r="D74" s="1722"/>
      <c r="E74" s="1263">
        <v>525</v>
      </c>
      <c r="F74" s="1262"/>
      <c r="G74" s="1"/>
      <c r="H74" s="1"/>
      <c r="I74" s="1"/>
      <c r="J74" s="1"/>
      <c r="K74" s="1"/>
      <c r="L74" s="1201"/>
    </row>
    <row r="75" spans="1:12">
      <c r="A75" s="1262"/>
      <c r="B75" s="1722" t="s">
        <v>5073</v>
      </c>
      <c r="C75" s="1722"/>
      <c r="D75" s="1722"/>
      <c r="E75" s="1263">
        <v>607.6</v>
      </c>
      <c r="F75" s="1262"/>
      <c r="G75" s="1"/>
      <c r="H75" s="1"/>
      <c r="I75" s="1"/>
      <c r="J75" s="1"/>
      <c r="K75" s="1"/>
      <c r="L75" s="1201"/>
    </row>
    <row r="76" spans="1:12">
      <c r="A76" s="1262"/>
      <c r="B76" s="1722" t="s">
        <v>5059</v>
      </c>
      <c r="C76" s="1722"/>
      <c r="D76" s="1722"/>
      <c r="E76" s="1263">
        <v>639</v>
      </c>
      <c r="F76" s="1262"/>
      <c r="G76" s="1"/>
      <c r="H76" s="1"/>
      <c r="I76" s="1"/>
      <c r="J76" s="1"/>
      <c r="K76" s="1"/>
      <c r="L76" s="1201"/>
    </row>
    <row r="77" spans="1:12">
      <c r="A77" s="1262"/>
      <c r="B77" s="1722" t="s">
        <v>5059</v>
      </c>
      <c r="C77" s="1722"/>
      <c r="D77" s="1722"/>
      <c r="E77" s="1263">
        <v>640</v>
      </c>
      <c r="F77" s="1262"/>
      <c r="G77" s="1"/>
      <c r="H77" s="1"/>
      <c r="I77" s="1"/>
      <c r="J77" s="1"/>
      <c r="K77" s="1"/>
      <c r="L77" s="1201"/>
    </row>
    <row r="78" spans="1:12">
      <c r="A78" s="1262"/>
      <c r="B78" s="1722" t="s">
        <v>5058</v>
      </c>
      <c r="C78" s="1722"/>
      <c r="D78" s="1722"/>
      <c r="E78" s="1263">
        <v>685</v>
      </c>
      <c r="F78" s="1262"/>
      <c r="G78" s="1"/>
      <c r="H78" s="1"/>
      <c r="I78" s="1"/>
      <c r="J78" s="1"/>
      <c r="K78" s="1"/>
      <c r="L78" s="1201"/>
    </row>
    <row r="79" spans="1:12">
      <c r="A79" s="1262"/>
      <c r="B79" s="1722" t="s">
        <v>5054</v>
      </c>
      <c r="C79" s="1722"/>
      <c r="D79" s="1722"/>
      <c r="E79" s="1263">
        <v>750</v>
      </c>
      <c r="F79" s="1262"/>
      <c r="G79" s="1"/>
      <c r="H79" s="1"/>
      <c r="I79" s="1"/>
      <c r="J79" s="1"/>
      <c r="K79" s="1"/>
      <c r="L79" s="1201"/>
    </row>
    <row r="80" spans="1:12">
      <c r="A80" s="1262"/>
      <c r="B80" s="1722" t="s">
        <v>5075</v>
      </c>
      <c r="C80" s="1722"/>
      <c r="D80" s="1722"/>
      <c r="E80" s="1263">
        <v>820</v>
      </c>
      <c r="F80" s="1262"/>
      <c r="G80" s="1"/>
      <c r="H80" s="1"/>
      <c r="I80" s="1"/>
      <c r="J80" s="1"/>
      <c r="K80" s="1"/>
      <c r="L80" s="1201"/>
    </row>
    <row r="81" spans="1:12">
      <c r="A81" s="1262"/>
      <c r="B81" s="1722" t="s">
        <v>5068</v>
      </c>
      <c r="C81" s="1722"/>
      <c r="D81" s="1722"/>
      <c r="E81" s="1263">
        <v>951.43</v>
      </c>
      <c r="F81" s="1262"/>
      <c r="G81" s="1"/>
      <c r="H81" s="1"/>
      <c r="I81" s="1"/>
      <c r="J81" s="1"/>
      <c r="K81" s="1"/>
      <c r="L81" s="1201"/>
    </row>
    <row r="82" spans="1:12">
      <c r="A82" s="1262"/>
      <c r="B82" s="1722" t="s">
        <v>5067</v>
      </c>
      <c r="C82" s="1722"/>
      <c r="D82" s="1722"/>
      <c r="E82" s="1263">
        <v>1046.57</v>
      </c>
      <c r="F82" s="1262"/>
      <c r="G82" s="1"/>
      <c r="H82" s="1"/>
      <c r="I82" s="1"/>
      <c r="J82" s="1"/>
      <c r="K82" s="1"/>
      <c r="L82" s="1201"/>
    </row>
    <row r="83" spans="1:12">
      <c r="A83" s="1262"/>
      <c r="B83" s="1722" t="s">
        <v>5059</v>
      </c>
      <c r="C83" s="1722"/>
      <c r="D83" s="1722"/>
      <c r="E83" s="1263">
        <v>1326.2</v>
      </c>
      <c r="F83" s="1262"/>
      <c r="G83" s="1"/>
      <c r="H83" s="1"/>
      <c r="I83" s="1"/>
      <c r="J83" s="1"/>
      <c r="K83" s="1"/>
      <c r="L83" s="1201"/>
    </row>
    <row r="84" spans="1:12">
      <c r="A84" s="1262"/>
      <c r="B84" s="1722" t="s">
        <v>5059</v>
      </c>
      <c r="C84" s="1722"/>
      <c r="D84" s="1722"/>
      <c r="E84" s="1263">
        <v>1500</v>
      </c>
      <c r="F84" s="1262"/>
      <c r="G84" s="1"/>
      <c r="H84" s="1"/>
      <c r="I84" s="1"/>
      <c r="J84" s="1"/>
      <c r="K84" s="1"/>
      <c r="L84" s="1201"/>
    </row>
    <row r="85" spans="1:12">
      <c r="A85" s="1262"/>
      <c r="B85" s="1722" t="s">
        <v>5074</v>
      </c>
      <c r="C85" s="1722"/>
      <c r="D85" s="1722"/>
      <c r="E85" s="1263">
        <v>2189.52</v>
      </c>
      <c r="F85" s="1262"/>
      <c r="G85" s="1"/>
      <c r="H85" s="1"/>
      <c r="I85" s="1"/>
      <c r="J85" s="1"/>
      <c r="K85" s="1"/>
      <c r="L85" s="1201"/>
    </row>
    <row r="86" spans="1:12">
      <c r="A86" s="1262"/>
      <c r="B86" s="1722" t="s">
        <v>5066</v>
      </c>
      <c r="C86" s="1722"/>
      <c r="D86" s="1722"/>
      <c r="E86" s="1263"/>
      <c r="F86" s="1262"/>
      <c r="G86" s="1"/>
      <c r="H86" s="1"/>
      <c r="I86" s="1"/>
      <c r="J86" s="1"/>
      <c r="K86" s="1"/>
      <c r="L86" s="1201"/>
    </row>
    <row r="87" spans="1:12">
      <c r="A87" s="1262"/>
      <c r="B87" s="1722" t="s">
        <v>5060</v>
      </c>
      <c r="C87" s="1722"/>
      <c r="D87" s="1722"/>
      <c r="E87" s="1263">
        <v>3044</v>
      </c>
      <c r="F87" s="1262"/>
      <c r="G87" s="1"/>
      <c r="H87" s="1"/>
      <c r="I87" s="1"/>
      <c r="J87" s="1"/>
      <c r="K87" s="1"/>
      <c r="L87" s="1201"/>
    </row>
    <row r="88" spans="1:12">
      <c r="A88" s="1262"/>
      <c r="B88" s="1722" t="s">
        <v>5065</v>
      </c>
      <c r="C88" s="1722"/>
      <c r="D88" s="1722"/>
      <c r="E88" s="1263">
        <v>3500</v>
      </c>
      <c r="F88" s="1262"/>
      <c r="G88" s="1"/>
      <c r="H88" s="1"/>
      <c r="I88" s="1"/>
      <c r="J88" s="1"/>
      <c r="K88" s="1"/>
      <c r="L88" s="1201"/>
    </row>
    <row r="89" spans="1:12">
      <c r="A89" s="1262"/>
      <c r="B89" s="1722" t="s">
        <v>5072</v>
      </c>
      <c r="C89" s="1722"/>
      <c r="D89" s="1722"/>
      <c r="E89" s="1263">
        <v>3903.81</v>
      </c>
      <c r="F89" s="1262"/>
      <c r="G89" s="1"/>
      <c r="H89" s="1"/>
      <c r="I89" s="1"/>
      <c r="J89" s="1"/>
      <c r="K89" s="1"/>
      <c r="L89" s="1201"/>
    </row>
    <row r="90" spans="1:12">
      <c r="A90" s="1262"/>
      <c r="B90" s="1722" t="s">
        <v>5061</v>
      </c>
      <c r="C90" s="1722"/>
      <c r="D90" s="1722"/>
      <c r="E90" s="1263">
        <v>3999</v>
      </c>
      <c r="F90" s="1262"/>
      <c r="G90" s="1"/>
      <c r="H90" s="1"/>
      <c r="I90" s="1"/>
      <c r="J90" s="1"/>
      <c r="K90" s="1"/>
      <c r="L90" s="1201"/>
    </row>
    <row r="91" spans="1:12">
      <c r="A91" s="1262"/>
      <c r="B91" s="1722" t="s">
        <v>5062</v>
      </c>
      <c r="C91" s="1722"/>
      <c r="D91" s="1722"/>
      <c r="E91" s="1263">
        <v>4400</v>
      </c>
      <c r="F91" s="1262"/>
      <c r="G91" s="1"/>
      <c r="H91" s="1"/>
      <c r="I91" s="1"/>
      <c r="J91" s="1"/>
      <c r="K91" s="1"/>
      <c r="L91" s="1201"/>
    </row>
    <row r="92" spans="1:12" ht="15.75" thickBot="1">
      <c r="A92" s="1267"/>
      <c r="B92" s="1269"/>
      <c r="C92" s="1269"/>
      <c r="D92" s="1269"/>
      <c r="E92" s="1266"/>
      <c r="F92" s="1265"/>
      <c r="G92" s="1"/>
      <c r="H92" s="1"/>
      <c r="I92" s="1"/>
      <c r="J92" s="1"/>
      <c r="K92" s="1"/>
      <c r="L92" s="1201"/>
    </row>
    <row r="93" spans="1:12" ht="15.75" thickTop="1">
      <c r="A93" s="1262"/>
      <c r="B93" s="1722"/>
      <c r="C93" s="1722"/>
      <c r="D93" s="1722"/>
      <c r="E93" s="1262"/>
      <c r="F93" s="1262"/>
      <c r="G93" s="1"/>
      <c r="H93" s="1"/>
      <c r="I93" s="1"/>
      <c r="J93" s="1"/>
      <c r="K93" s="1"/>
      <c r="L93" s="1201"/>
    </row>
    <row r="94" spans="1:12">
      <c r="A94" s="1262"/>
      <c r="B94" s="1722"/>
      <c r="C94" s="1722"/>
      <c r="D94" s="1722"/>
      <c r="E94" s="1262"/>
      <c r="F94" s="1262"/>
      <c r="G94" s="1"/>
      <c r="H94" s="1"/>
      <c r="I94" s="1"/>
      <c r="J94" s="1"/>
      <c r="K94" s="1"/>
      <c r="L94" s="1201"/>
    </row>
    <row r="95" spans="1:12">
      <c r="A95" s="1262"/>
      <c r="B95" s="1722"/>
      <c r="C95" s="1722"/>
      <c r="D95" s="1722"/>
      <c r="E95" s="1262"/>
      <c r="F95" s="1262"/>
      <c r="G95" s="1"/>
      <c r="H95" s="1"/>
      <c r="I95" s="1"/>
      <c r="J95" s="1"/>
      <c r="K95" s="1"/>
      <c r="L95" s="1201"/>
    </row>
    <row r="96" spans="1:12">
      <c r="A96" s="1262"/>
      <c r="B96" s="1722"/>
      <c r="C96" s="1722"/>
      <c r="D96" s="1722"/>
      <c r="E96" s="1262"/>
      <c r="F96" s="1262"/>
      <c r="G96" s="1"/>
      <c r="H96" s="1"/>
      <c r="I96" s="1"/>
      <c r="J96" s="1"/>
      <c r="K96" s="1"/>
      <c r="L96" s="1201"/>
    </row>
    <row r="97" spans="1:14">
      <c r="A97" s="1262"/>
      <c r="B97" s="1722"/>
      <c r="C97" s="1722"/>
      <c r="D97" s="1722"/>
      <c r="E97" s="1262"/>
      <c r="F97" s="1262"/>
      <c r="G97" s="1"/>
      <c r="H97" s="1"/>
      <c r="I97" s="1"/>
      <c r="J97" s="1"/>
      <c r="K97" s="1"/>
      <c r="L97" s="1201"/>
    </row>
    <row r="98" spans="1:14">
      <c r="A98" s="1262"/>
      <c r="B98" s="1722"/>
      <c r="C98" s="1722"/>
      <c r="D98" s="1722"/>
      <c r="E98" s="1262"/>
      <c r="F98" s="1262"/>
      <c r="G98" s="1"/>
      <c r="H98" s="1"/>
      <c r="I98" s="1"/>
      <c r="J98" s="1"/>
      <c r="K98" s="1"/>
      <c r="L98" s="1201"/>
    </row>
    <row r="99" spans="1:14">
      <c r="A99" s="1262"/>
      <c r="B99" s="1722"/>
      <c r="C99" s="1722"/>
      <c r="D99" s="1722"/>
      <c r="E99" s="1262"/>
      <c r="F99" s="1262"/>
      <c r="G99" s="1"/>
      <c r="H99" s="1"/>
      <c r="I99" s="1"/>
      <c r="J99" s="1"/>
      <c r="K99" s="1"/>
      <c r="L99" s="1201"/>
    </row>
    <row r="100" spans="1:14">
      <c r="A100" s="1262"/>
      <c r="B100" s="1722"/>
      <c r="C100" s="1722"/>
      <c r="D100" s="1722"/>
      <c r="E100" s="1262"/>
      <c r="F100" s="1262"/>
      <c r="G100" s="1"/>
      <c r="H100" s="1"/>
      <c r="I100" s="1"/>
      <c r="J100" s="1"/>
      <c r="K100" s="1"/>
      <c r="L100" s="1201"/>
    </row>
    <row r="101" spans="1:14">
      <c r="A101" s="1262"/>
      <c r="B101" s="1722"/>
      <c r="C101" s="1722"/>
      <c r="D101" s="1722"/>
      <c r="E101" s="1262"/>
      <c r="F101" s="1262"/>
      <c r="G101" s="1"/>
      <c r="H101" s="1"/>
      <c r="I101" s="1"/>
      <c r="J101" s="1"/>
      <c r="K101" s="1"/>
      <c r="L101" s="1201"/>
    </row>
    <row r="102" spans="1:14">
      <c r="A102" s="1262"/>
      <c r="B102" s="1722"/>
      <c r="C102" s="1722"/>
      <c r="D102" s="1722"/>
      <c r="E102" s="1262"/>
      <c r="F102" s="1262"/>
      <c r="G102" s="1"/>
      <c r="H102" s="1"/>
      <c r="I102" s="1"/>
      <c r="J102" s="1"/>
      <c r="K102" s="1"/>
      <c r="L102" s="1201"/>
    </row>
    <row r="103" spans="1:14">
      <c r="A103" s="1262"/>
      <c r="B103" s="1722"/>
      <c r="C103" s="1722"/>
      <c r="D103" s="1722"/>
      <c r="E103" s="1262"/>
      <c r="F103" s="1262"/>
      <c r="G103" s="1"/>
      <c r="H103" s="1"/>
      <c r="I103" s="1"/>
      <c r="J103" s="1"/>
      <c r="K103" s="1"/>
      <c r="L103" s="1201"/>
    </row>
    <row r="104" spans="1:1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1:1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1:1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1:1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201"/>
      <c r="M107" s="1"/>
      <c r="N107" s="1"/>
    </row>
    <row r="108" spans="1:14">
      <c r="A108" s="1"/>
      <c r="B108" s="1216"/>
      <c r="C108" s="1201"/>
      <c r="D108" s="1"/>
      <c r="E108" s="1"/>
      <c r="F108" s="1"/>
      <c r="G108" s="1"/>
      <c r="H108" s="1"/>
      <c r="I108" s="1"/>
      <c r="J108" s="1"/>
      <c r="K108" s="1"/>
      <c r="L108" s="1201"/>
      <c r="M108" s="1"/>
      <c r="N108" s="1"/>
    </row>
    <row r="109" spans="1:14">
      <c r="A109" s="1217"/>
      <c r="B109" s="1216"/>
      <c r="C109" s="1201"/>
      <c r="D109" s="1"/>
      <c r="E109" s="1"/>
      <c r="F109" s="1"/>
      <c r="G109" s="1"/>
      <c r="H109" s="1"/>
      <c r="I109" s="1"/>
      <c r="J109" s="1"/>
      <c r="K109" s="1"/>
      <c r="L109" s="1201"/>
    </row>
    <row r="110" spans="1:14">
      <c r="A110" s="1"/>
      <c r="B110" s="1200"/>
      <c r="C110" s="1201"/>
      <c r="D110" s="1"/>
      <c r="E110" s="1"/>
      <c r="F110" s="1"/>
      <c r="G110" s="1"/>
      <c r="H110" s="1"/>
      <c r="I110" s="1"/>
      <c r="J110" s="1202"/>
      <c r="K110" s="1"/>
      <c r="L110" s="1201"/>
    </row>
    <row r="111" spans="1:14">
      <c r="A111" s="1214" t="s">
        <v>1064</v>
      </c>
      <c r="B111" s="1"/>
      <c r="C111" s="1214" t="s">
        <v>4985</v>
      </c>
      <c r="D111" s="1"/>
      <c r="E111" s="1"/>
      <c r="F111" s="1"/>
      <c r="G111" s="1"/>
      <c r="H111" s="1"/>
      <c r="I111" s="1"/>
      <c r="J111" s="1"/>
      <c r="K111" s="1214" t="s">
        <v>4986</v>
      </c>
      <c r="L111" s="1201"/>
    </row>
    <row r="112" spans="1:14">
      <c r="J112" s="1"/>
      <c r="K112" s="1"/>
      <c r="L112" s="1201"/>
    </row>
    <row r="113" spans="10:12">
      <c r="J113" s="1"/>
      <c r="K113" s="1"/>
      <c r="L113" s="1201"/>
    </row>
    <row r="114" spans="10:12">
      <c r="J114" s="1"/>
      <c r="K114" s="1"/>
      <c r="L114" s="1201"/>
    </row>
    <row r="115" spans="10:12">
      <c r="J115" s="1"/>
      <c r="K115" s="1"/>
      <c r="L115" s="1201"/>
    </row>
    <row r="116" spans="10:12">
      <c r="J116" s="1"/>
      <c r="K116" s="1"/>
    </row>
    <row r="117" spans="10:12">
      <c r="J117" s="1"/>
      <c r="K117" s="1"/>
    </row>
    <row r="118" spans="10:12">
      <c r="K118" s="1"/>
    </row>
  </sheetData>
  <mergeCells count="99">
    <mergeCell ref="B100:D100"/>
    <mergeCell ref="B101:D101"/>
    <mergeCell ref="B94:D94"/>
    <mergeCell ref="B95:D95"/>
    <mergeCell ref="B96:D96"/>
    <mergeCell ref="B97:D97"/>
    <mergeCell ref="B98:D98"/>
    <mergeCell ref="B99:D99"/>
    <mergeCell ref="B88:D88"/>
    <mergeCell ref="B89:D89"/>
    <mergeCell ref="B90:D90"/>
    <mergeCell ref="B91:D91"/>
    <mergeCell ref="B93:D93"/>
    <mergeCell ref="B87:D87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58:D58"/>
    <mergeCell ref="B71:D71"/>
    <mergeCell ref="B60:D60"/>
    <mergeCell ref="B61:D61"/>
    <mergeCell ref="B62:D62"/>
    <mergeCell ref="B63:D63"/>
    <mergeCell ref="B64:D64"/>
    <mergeCell ref="B65:D65"/>
    <mergeCell ref="B66:D66"/>
    <mergeCell ref="B67:D67"/>
    <mergeCell ref="B68:D68"/>
    <mergeCell ref="B69:D69"/>
    <mergeCell ref="B70:D70"/>
    <mergeCell ref="B53:D53"/>
    <mergeCell ref="B54:D54"/>
    <mergeCell ref="B55:D55"/>
    <mergeCell ref="B56:D56"/>
    <mergeCell ref="B57:D57"/>
    <mergeCell ref="B48:D48"/>
    <mergeCell ref="B49:D49"/>
    <mergeCell ref="B50:D50"/>
    <mergeCell ref="B51:D51"/>
    <mergeCell ref="B52:D52"/>
    <mergeCell ref="B34:D34"/>
    <mergeCell ref="B103:D103"/>
    <mergeCell ref="B35:D35"/>
    <mergeCell ref="B36:D36"/>
    <mergeCell ref="B37:D37"/>
    <mergeCell ref="B38:D38"/>
    <mergeCell ref="B39:D39"/>
    <mergeCell ref="B41:D41"/>
    <mergeCell ref="B42:D42"/>
    <mergeCell ref="B102:D102"/>
    <mergeCell ref="B43:D43"/>
    <mergeCell ref="B44:D44"/>
    <mergeCell ref="B45:D45"/>
    <mergeCell ref="B46:D46"/>
    <mergeCell ref="B47:D47"/>
    <mergeCell ref="B59:D59"/>
    <mergeCell ref="B33:D33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  <mergeCell ref="B32:D32"/>
    <mergeCell ref="B21:D21"/>
    <mergeCell ref="B8:D8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A2:D2"/>
    <mergeCell ref="B4:D4"/>
    <mergeCell ref="B5:D5"/>
    <mergeCell ref="B6:D6"/>
    <mergeCell ref="B7:D7"/>
  </mergeCells>
  <pageMargins left="0.7" right="0.7" top="0.75" bottom="0.75" header="0.3" footer="0.3"/>
  <pageSetup paperSize="9" orientation="portrait" horizontalDpi="0" verticalDpi="0" r:id="rId1"/>
  <customProperties>
    <customPr name="LastActiv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E65A5-FD02-442A-AB27-40E2E53F1887}">
  <sheetPr codeName="Sheet18"/>
  <dimension ref="A1:L41"/>
  <sheetViews>
    <sheetView workbookViewId="0">
      <selection activeCell="F34" sqref="F34:L41"/>
    </sheetView>
  </sheetViews>
  <sheetFormatPr defaultRowHeight="15"/>
  <cols>
    <col min="1" max="1" width="4.140625" bestFit="1" customWidth="1"/>
    <col min="2" max="2" width="32.140625" bestFit="1" customWidth="1"/>
    <col min="3" max="3" width="14" bestFit="1" customWidth="1"/>
    <col min="4" max="4" width="20.7109375" bestFit="1" customWidth="1"/>
    <col min="5" max="5" width="22.7109375" bestFit="1" customWidth="1"/>
    <col min="6" max="6" width="11.5703125" customWidth="1"/>
    <col min="7" max="7" width="17.42578125" customWidth="1"/>
    <col min="8" max="8" width="14.85546875" customWidth="1"/>
    <col min="9" max="9" width="15.7109375" customWidth="1"/>
    <col min="10" max="10" width="17.42578125" customWidth="1"/>
    <col min="11" max="11" width="14.7109375" customWidth="1"/>
    <col min="12" max="12" width="17.42578125" customWidth="1"/>
  </cols>
  <sheetData>
    <row r="1" spans="1:8" ht="21.75" thickBot="1">
      <c r="A1" s="1740" t="s">
        <v>5527</v>
      </c>
      <c r="B1" s="1741"/>
      <c r="C1" s="1741"/>
      <c r="D1" s="1741"/>
      <c r="E1" s="1742"/>
    </row>
    <row r="2" spans="1:8" ht="16.5" thickBot="1">
      <c r="A2" s="1549" t="s">
        <v>830</v>
      </c>
      <c r="B2" s="1550" t="s">
        <v>5528</v>
      </c>
      <c r="C2" s="1550" t="s">
        <v>5529</v>
      </c>
      <c r="D2" s="1550" t="s">
        <v>5530</v>
      </c>
      <c r="E2" s="1550" t="s">
        <v>5531</v>
      </c>
    </row>
    <row r="3" spans="1:8" ht="15.75" thickBot="1">
      <c r="A3" s="1743">
        <v>1</v>
      </c>
      <c r="B3" s="1744" t="s">
        <v>5532</v>
      </c>
      <c r="C3" s="1553" t="s">
        <v>224</v>
      </c>
      <c r="D3" s="1553" t="s">
        <v>5533</v>
      </c>
      <c r="E3" s="1553" t="s">
        <v>5534</v>
      </c>
      <c r="H3" s="1559" t="s">
        <v>5576</v>
      </c>
    </row>
    <row r="4" spans="1:8" ht="15.75" thickBot="1">
      <c r="A4" s="1736"/>
      <c r="B4" s="1739"/>
      <c r="C4" s="1553" t="s">
        <v>5535</v>
      </c>
      <c r="D4" s="1553" t="s">
        <v>5536</v>
      </c>
      <c r="E4" s="1553" t="s">
        <v>5534</v>
      </c>
    </row>
    <row r="5" spans="1:8" ht="15.75" thickBot="1">
      <c r="A5" s="1734">
        <v>2</v>
      </c>
      <c r="B5" s="1737" t="s">
        <v>5537</v>
      </c>
      <c r="C5" s="1553" t="s">
        <v>2470</v>
      </c>
      <c r="D5" s="1553" t="s">
        <v>5538</v>
      </c>
      <c r="E5" s="1553" t="s">
        <v>5539</v>
      </c>
    </row>
    <row r="6" spans="1:8" ht="15.75" thickBot="1">
      <c r="A6" s="1735"/>
      <c r="B6" s="1738"/>
      <c r="C6" s="1553" t="s">
        <v>5540</v>
      </c>
      <c r="D6" s="1553" t="s">
        <v>5538</v>
      </c>
      <c r="E6" s="1553" t="s">
        <v>5539</v>
      </c>
    </row>
    <row r="7" spans="1:8" ht="15.75" thickBot="1">
      <c r="A7" s="1736"/>
      <c r="B7" s="1739"/>
      <c r="C7" s="1553" t="s">
        <v>5541</v>
      </c>
      <c r="D7" s="1553" t="s">
        <v>5538</v>
      </c>
      <c r="E7" s="1553" t="s">
        <v>5539</v>
      </c>
    </row>
    <row r="8" spans="1:8" ht="19.5" thickBot="1">
      <c r="A8" s="1551">
        <v>3</v>
      </c>
      <c r="B8" s="1552" t="s">
        <v>5542</v>
      </c>
      <c r="C8" s="1553" t="s">
        <v>5543</v>
      </c>
      <c r="D8" s="1553" t="s">
        <v>5544</v>
      </c>
      <c r="E8" s="1553"/>
    </row>
    <row r="9" spans="1:8" ht="15.75" thickBot="1">
      <c r="A9" s="1734">
        <v>4</v>
      </c>
      <c r="B9" s="1737" t="s">
        <v>5545</v>
      </c>
      <c r="C9" s="1553" t="s">
        <v>5546</v>
      </c>
      <c r="D9" s="1553" t="s">
        <v>5547</v>
      </c>
      <c r="E9" s="1553"/>
    </row>
    <row r="10" spans="1:8" ht="15.75" thickBot="1">
      <c r="A10" s="1736"/>
      <c r="B10" s="1739"/>
      <c r="C10" s="1553" t="s">
        <v>5548</v>
      </c>
      <c r="D10" s="1553" t="s">
        <v>5538</v>
      </c>
      <c r="E10" s="1553"/>
    </row>
    <row r="11" spans="1:8" ht="15.75" thickBot="1">
      <c r="A11" s="1734">
        <v>5</v>
      </c>
      <c r="B11" s="1737" t="s">
        <v>5549</v>
      </c>
      <c r="C11" s="1553" t="s">
        <v>5550</v>
      </c>
      <c r="D11" s="1553" t="s">
        <v>5538</v>
      </c>
      <c r="E11" s="1553" t="s">
        <v>5551</v>
      </c>
    </row>
    <row r="12" spans="1:8" ht="15.75" thickBot="1">
      <c r="A12" s="1735"/>
      <c r="B12" s="1738"/>
      <c r="C12" s="1553" t="s">
        <v>5568</v>
      </c>
      <c r="D12" s="1553" t="s">
        <v>5538</v>
      </c>
      <c r="E12" s="1553"/>
    </row>
    <row r="13" spans="1:8" ht="15.75" thickBot="1">
      <c r="A13" s="1736"/>
      <c r="B13" s="1739"/>
      <c r="C13" s="1553" t="s">
        <v>5552</v>
      </c>
      <c r="D13" s="1553" t="s">
        <v>5553</v>
      </c>
      <c r="E13" s="1553" t="s">
        <v>5551</v>
      </c>
    </row>
    <row r="14" spans="1:8" ht="19.5" thickBot="1">
      <c r="A14" s="1551">
        <v>6</v>
      </c>
      <c r="B14" s="1737" t="s">
        <v>5554</v>
      </c>
      <c r="C14" s="1553" t="s">
        <v>5555</v>
      </c>
      <c r="D14" s="1553" t="s">
        <v>5553</v>
      </c>
      <c r="E14" s="1553" t="s">
        <v>5551</v>
      </c>
    </row>
    <row r="15" spans="1:8" ht="19.5" thickBot="1">
      <c r="A15" s="1551"/>
      <c r="B15" s="1739"/>
      <c r="C15" s="1553" t="s">
        <v>5569</v>
      </c>
      <c r="D15" s="1553" t="s">
        <v>5538</v>
      </c>
      <c r="E15" s="1553"/>
    </row>
    <row r="16" spans="1:8" ht="26.25" customHeight="1" thickBot="1">
      <c r="A16" s="1554">
        <v>7</v>
      </c>
      <c r="B16" s="1555" t="s">
        <v>5556</v>
      </c>
      <c r="C16" s="1553" t="s">
        <v>5557</v>
      </c>
      <c r="D16" s="1553" t="s">
        <v>5538</v>
      </c>
      <c r="E16" s="1553" t="s">
        <v>5551</v>
      </c>
    </row>
    <row r="17" spans="1:5" ht="15.75" thickBot="1">
      <c r="A17" s="1734">
        <v>8</v>
      </c>
      <c r="B17" s="1737" t="s">
        <v>5558</v>
      </c>
      <c r="C17" s="1553" t="s">
        <v>5559</v>
      </c>
      <c r="D17" s="1553" t="s">
        <v>5560</v>
      </c>
      <c r="E17" s="1553" t="s">
        <v>5561</v>
      </c>
    </row>
    <row r="18" spans="1:5" ht="15.75" thickBot="1">
      <c r="A18" s="1736"/>
      <c r="B18" s="1739"/>
      <c r="C18" s="1553" t="s">
        <v>5562</v>
      </c>
      <c r="D18" s="1553" t="s">
        <v>5563</v>
      </c>
      <c r="E18" s="1553" t="s">
        <v>5561</v>
      </c>
    </row>
    <row r="19" spans="1:5" ht="15.75" thickBot="1">
      <c r="A19" s="1734">
        <v>9</v>
      </c>
      <c r="B19" s="1737" t="s">
        <v>5564</v>
      </c>
      <c r="C19" s="1553" t="s">
        <v>5565</v>
      </c>
      <c r="D19" s="1553" t="s">
        <v>5538</v>
      </c>
      <c r="E19" s="1553" t="s">
        <v>5566</v>
      </c>
    </row>
    <row r="20" spans="1:5" ht="15.75" thickBot="1">
      <c r="A20" s="1736"/>
      <c r="B20" s="1739"/>
      <c r="C20" s="1553" t="s">
        <v>5567</v>
      </c>
      <c r="D20" s="1553" t="s">
        <v>5538</v>
      </c>
      <c r="E20" s="1553" t="s">
        <v>5566</v>
      </c>
    </row>
    <row r="21" spans="1:5" ht="24" customHeight="1" thickBot="1">
      <c r="A21" s="1554">
        <v>10</v>
      </c>
      <c r="B21" s="1556" t="s">
        <v>5571</v>
      </c>
      <c r="C21" s="1553" t="s">
        <v>5570</v>
      </c>
      <c r="D21" s="1553" t="s">
        <v>5547</v>
      </c>
      <c r="E21" s="1553"/>
    </row>
    <row r="22" spans="1:5" ht="24" customHeight="1" thickBot="1">
      <c r="A22" s="1554">
        <v>11</v>
      </c>
      <c r="B22" s="1556" t="s">
        <v>5572</v>
      </c>
      <c r="C22" s="1553" t="s">
        <v>5576</v>
      </c>
      <c r="D22" s="1553" t="s">
        <v>5575</v>
      </c>
      <c r="E22" s="1553"/>
    </row>
    <row r="23" spans="1:5" ht="24" customHeight="1" thickBot="1">
      <c r="A23" s="1558">
        <v>12</v>
      </c>
      <c r="B23" s="1557" t="s">
        <v>5574</v>
      </c>
      <c r="C23" s="1553" t="s">
        <v>5573</v>
      </c>
      <c r="D23" s="1553" t="s">
        <v>5538</v>
      </c>
      <c r="E23" s="1553"/>
    </row>
    <row r="33" spans="6:12" ht="15.75" thickBot="1"/>
    <row r="34" spans="6:12" ht="18.75" thickBot="1">
      <c r="F34" s="1729" t="s">
        <v>220</v>
      </c>
      <c r="G34" s="1730"/>
      <c r="H34" s="1730"/>
      <c r="I34" s="1730"/>
      <c r="J34" s="1730"/>
      <c r="K34" s="1731"/>
      <c r="L34" s="1563">
        <v>225000</v>
      </c>
    </row>
    <row r="35" spans="6:12" ht="18.75" thickBot="1">
      <c r="F35" s="1564" t="s">
        <v>830</v>
      </c>
      <c r="G35" s="1565" t="s">
        <v>14</v>
      </c>
      <c r="H35" s="1565" t="s">
        <v>240</v>
      </c>
      <c r="I35" s="1565" t="s">
        <v>222</v>
      </c>
      <c r="J35" s="1565" t="s">
        <v>241</v>
      </c>
      <c r="K35" s="1565" t="s">
        <v>240</v>
      </c>
      <c r="L35" s="1565" t="s">
        <v>222</v>
      </c>
    </row>
    <row r="36" spans="6:12" ht="16.5" thickBot="1">
      <c r="F36" s="1566">
        <v>1</v>
      </c>
      <c r="G36" s="1567" t="s">
        <v>242</v>
      </c>
      <c r="H36" s="1568">
        <v>0.25</v>
      </c>
      <c r="I36" s="1569">
        <f>$L$34*H36</f>
        <v>56250</v>
      </c>
      <c r="J36" s="1570" t="s">
        <v>243</v>
      </c>
      <c r="K36" s="1568">
        <v>1</v>
      </c>
      <c r="L36" s="1569">
        <f>I36*K36</f>
        <v>56250</v>
      </c>
    </row>
    <row r="37" spans="6:12" ht="16.5" thickBot="1">
      <c r="F37" s="1571">
        <v>2</v>
      </c>
      <c r="G37" s="1572" t="s">
        <v>244</v>
      </c>
      <c r="H37" s="1573">
        <v>0.3</v>
      </c>
      <c r="I37" s="1569">
        <f>$L$34*H37</f>
        <v>67500</v>
      </c>
      <c r="J37" s="1570" t="s">
        <v>5584</v>
      </c>
      <c r="K37" s="1568">
        <v>1</v>
      </c>
      <c r="L37" s="1569">
        <f>I37*K37</f>
        <v>67500</v>
      </c>
    </row>
    <row r="38" spans="6:12" ht="16.5" thickBot="1">
      <c r="F38" s="1574">
        <v>3</v>
      </c>
      <c r="G38" s="1575" t="s">
        <v>245</v>
      </c>
      <c r="H38" s="1576">
        <v>0.35</v>
      </c>
      <c r="I38" s="1569">
        <f>$L$34*H38</f>
        <v>78750</v>
      </c>
      <c r="J38" s="1570" t="s">
        <v>5584</v>
      </c>
      <c r="K38" s="1568">
        <v>1</v>
      </c>
      <c r="L38" s="1569">
        <f>I38*K38</f>
        <v>78750</v>
      </c>
    </row>
    <row r="39" spans="6:12" ht="16.5" thickBot="1">
      <c r="F39" s="1577">
        <v>4</v>
      </c>
      <c r="G39" s="1578" t="s">
        <v>246</v>
      </c>
      <c r="H39" s="1579">
        <v>7.0000000000000007E-2</v>
      </c>
      <c r="I39" s="1569">
        <f>$L$34*H39</f>
        <v>15750.000000000002</v>
      </c>
      <c r="J39" s="1570" t="s">
        <v>243</v>
      </c>
      <c r="K39" s="1568">
        <v>1</v>
      </c>
      <c r="L39" s="1569">
        <f>I39*K39</f>
        <v>15750.000000000002</v>
      </c>
    </row>
    <row r="40" spans="6:12" ht="16.5" thickBot="1">
      <c r="F40" s="1566">
        <v>5</v>
      </c>
      <c r="G40" s="1567" t="s">
        <v>5585</v>
      </c>
      <c r="H40" s="1568">
        <v>0.03</v>
      </c>
      <c r="I40" s="1569">
        <f>$L$34*H40</f>
        <v>6750</v>
      </c>
      <c r="J40" s="1570" t="s">
        <v>243</v>
      </c>
      <c r="K40" s="1568">
        <v>1</v>
      </c>
      <c r="L40" s="1569">
        <f>I40*K40</f>
        <v>6750</v>
      </c>
    </row>
    <row r="41" spans="6:12" ht="18.75" thickBot="1">
      <c r="F41" s="1732" t="s">
        <v>247</v>
      </c>
      <c r="G41" s="1733"/>
      <c r="H41" s="1580">
        <v>1</v>
      </c>
      <c r="I41" s="1581">
        <f>SUM(I36:I40)</f>
        <v>225000</v>
      </c>
      <c r="J41" s="1582"/>
      <c r="K41" s="1583"/>
      <c r="L41" s="1584">
        <v>127000</v>
      </c>
    </row>
  </sheetData>
  <mergeCells count="16">
    <mergeCell ref="A9:A10"/>
    <mergeCell ref="B9:B10"/>
    <mergeCell ref="A1:E1"/>
    <mergeCell ref="A3:A4"/>
    <mergeCell ref="B3:B4"/>
    <mergeCell ref="A5:A7"/>
    <mergeCell ref="B5:B7"/>
    <mergeCell ref="F34:K34"/>
    <mergeCell ref="F41:G41"/>
    <mergeCell ref="A11:A13"/>
    <mergeCell ref="B11:B13"/>
    <mergeCell ref="A17:A18"/>
    <mergeCell ref="B17:B18"/>
    <mergeCell ref="A19:A20"/>
    <mergeCell ref="B19:B20"/>
    <mergeCell ref="B14:B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1748-D779-4A68-B448-CC591A66CDDC}">
  <sheetPr codeName="Sheet12"/>
  <dimension ref="A1:U146"/>
  <sheetViews>
    <sheetView view="pageBreakPreview" topLeftCell="A52" zoomScale="85" zoomScaleNormal="100" zoomScaleSheetLayoutView="85" workbookViewId="0">
      <selection activeCell="C158" sqref="C158"/>
    </sheetView>
  </sheetViews>
  <sheetFormatPr defaultRowHeight="15"/>
  <cols>
    <col min="1" max="1" width="1.5703125" style="1" customWidth="1"/>
    <col min="2" max="2" width="10" style="1" customWidth="1"/>
    <col min="3" max="3" width="24.7109375" style="1" customWidth="1"/>
    <col min="4" max="4" width="12.7109375" style="1" bestFit="1" customWidth="1"/>
    <col min="5" max="5" width="9.28515625" style="1" customWidth="1"/>
    <col min="6" max="6" width="11.140625" style="1" bestFit="1" customWidth="1"/>
    <col min="7" max="7" width="7.7109375" style="1" customWidth="1"/>
    <col min="8" max="8" width="23.28515625" style="1" customWidth="1"/>
    <col min="9" max="9" width="12.7109375" style="1201" bestFit="1" customWidth="1"/>
    <col min="10" max="10" width="5" style="1" customWidth="1"/>
    <col min="11" max="13" width="9.140625" style="1"/>
    <col min="14" max="14" width="22.140625" style="1" customWidth="1"/>
    <col min="15" max="15" width="21.7109375" style="1" customWidth="1"/>
    <col min="16" max="19" width="9.140625" style="1"/>
    <col min="20" max="20" width="26.5703125" style="1" bestFit="1" customWidth="1"/>
    <col min="21" max="21" width="11.140625" style="1" bestFit="1" customWidth="1"/>
    <col min="22" max="16384" width="9.140625" style="1"/>
  </cols>
  <sheetData>
    <row r="1" spans="1:21" ht="20.25" customHeight="1">
      <c r="A1" s="1286" t="s">
        <v>4947</v>
      </c>
      <c r="B1" s="1287"/>
      <c r="C1" s="1208"/>
    </row>
    <row r="2" spans="1:21">
      <c r="A2" s="1714" t="s">
        <v>4948</v>
      </c>
      <c r="B2" s="1715"/>
    </row>
    <row r="3" spans="1:21" ht="16.5" customHeight="1">
      <c r="C3" s="1716" t="s">
        <v>4973</v>
      </c>
      <c r="D3" s="1716"/>
      <c r="E3" s="1716"/>
      <c r="F3" s="1716"/>
      <c r="G3" s="1716"/>
      <c r="H3" s="1716"/>
    </row>
    <row r="4" spans="1:21" ht="16.5" customHeight="1" thickBot="1">
      <c r="C4" s="1717"/>
      <c r="D4" s="1717"/>
      <c r="E4" s="1717"/>
      <c r="F4" s="1717"/>
      <c r="G4" s="1717"/>
      <c r="H4" s="1717"/>
    </row>
    <row r="5" spans="1:21" ht="15.75" thickTop="1">
      <c r="D5" s="1718">
        <v>45291</v>
      </c>
      <c r="E5" s="1718"/>
      <c r="F5" s="1718"/>
      <c r="G5" s="1718"/>
    </row>
    <row r="6" spans="1:21">
      <c r="O6" s="1">
        <v>1</v>
      </c>
      <c r="P6" s="1" t="s">
        <v>4949</v>
      </c>
    </row>
    <row r="7" spans="1:21" s="1272" customFormat="1" ht="22.5" customHeight="1" thickBot="1">
      <c r="B7" s="1203" t="s">
        <v>4974</v>
      </c>
      <c r="C7" s="1203"/>
      <c r="D7" s="1203"/>
      <c r="F7" s="1273"/>
      <c r="G7" s="1203" t="s">
        <v>4977</v>
      </c>
      <c r="H7" s="1203"/>
      <c r="I7" s="1207"/>
    </row>
    <row r="8" spans="1:21" ht="18.75" customHeight="1" thickTop="1">
      <c r="B8" s="1270" t="s">
        <v>4952</v>
      </c>
      <c r="C8" s="1200" t="s">
        <v>5112</v>
      </c>
      <c r="D8" s="1201">
        <v>6970.11</v>
      </c>
      <c r="F8" s="1209"/>
      <c r="G8" s="1271"/>
      <c r="H8" s="1252" t="s">
        <v>5117</v>
      </c>
      <c r="I8" s="1215"/>
      <c r="J8" s="1215"/>
    </row>
    <row r="9" spans="1:21">
      <c r="B9" s="1270" t="s">
        <v>4953</v>
      </c>
      <c r="C9" s="1200" t="s">
        <v>5113</v>
      </c>
      <c r="D9" s="1201">
        <v>2069.85</v>
      </c>
      <c r="E9" s="1215"/>
      <c r="F9" s="1209"/>
      <c r="G9" s="1271">
        <v>2000</v>
      </c>
      <c r="H9" s="1252" t="s">
        <v>5090</v>
      </c>
      <c r="I9" s="1253">
        <f>Sheet6!E17</f>
        <v>97727.200000000012</v>
      </c>
      <c r="J9" s="1215" t="s">
        <v>5092</v>
      </c>
    </row>
    <row r="10" spans="1:21">
      <c r="B10" s="1270" t="s">
        <v>4955</v>
      </c>
      <c r="C10" s="1200" t="s">
        <v>5115</v>
      </c>
      <c r="D10" s="1201">
        <v>7393.15</v>
      </c>
      <c r="E10" s="1201"/>
      <c r="F10" s="1209"/>
      <c r="G10" s="1271"/>
      <c r="H10" s="1" t="s">
        <v>4978</v>
      </c>
      <c r="I10" s="1201">
        <f>Sheet6!E27</f>
        <v>177993</v>
      </c>
      <c r="K10" s="1201"/>
    </row>
    <row r="11" spans="1:21" ht="15.75" thickBot="1">
      <c r="B11" s="1270" t="s">
        <v>4956</v>
      </c>
      <c r="C11" s="1200" t="s">
        <v>5114</v>
      </c>
      <c r="D11" s="1201">
        <v>46010.75</v>
      </c>
      <c r="E11" s="1201"/>
      <c r="F11" s="1209"/>
      <c r="G11" s="1204"/>
      <c r="H11" s="1204" t="s">
        <v>4981</v>
      </c>
      <c r="I11" s="1206">
        <f>SUM(I8:I10)</f>
        <v>275720.2</v>
      </c>
    </row>
    <row r="12" spans="1:21" ht="15.75" thickTop="1">
      <c r="B12" s="1270" t="s">
        <v>4957</v>
      </c>
      <c r="C12" s="1200" t="s">
        <v>5116</v>
      </c>
      <c r="D12" s="1201">
        <v>737562.79</v>
      </c>
      <c r="E12" s="1201"/>
      <c r="F12" s="1209"/>
      <c r="S12" s="1191" t="s">
        <v>4950</v>
      </c>
      <c r="T12" s="1191" t="s">
        <v>36</v>
      </c>
      <c r="U12" s="1193">
        <v>0</v>
      </c>
    </row>
    <row r="13" spans="1:21">
      <c r="B13" s="1271">
        <v>1400</v>
      </c>
      <c r="C13" s="1200" t="s">
        <v>49</v>
      </c>
      <c r="D13" s="1201">
        <f>Sheet6!E4</f>
        <v>36878</v>
      </c>
      <c r="E13" s="1201"/>
      <c r="F13" s="1209"/>
      <c r="M13" s="163" t="s">
        <v>4950</v>
      </c>
      <c r="N13" s="1200" t="s">
        <v>36</v>
      </c>
      <c r="O13" s="1201">
        <v>0</v>
      </c>
      <c r="S13" s="1191" t="s">
        <v>4951</v>
      </c>
      <c r="T13" s="1194" t="s">
        <v>37</v>
      </c>
      <c r="U13" s="1195">
        <v>-500</v>
      </c>
    </row>
    <row r="14" spans="1:21" ht="15.75" thickBot="1">
      <c r="B14" s="1204"/>
      <c r="C14" s="1204" t="s">
        <v>4979</v>
      </c>
      <c r="D14" s="1205">
        <f>SUM(D8:D13)</f>
        <v>836884.65</v>
      </c>
      <c r="E14" s="1215" t="s">
        <v>4989</v>
      </c>
      <c r="F14" s="1209"/>
      <c r="M14" s="163"/>
      <c r="N14" s="1200"/>
      <c r="O14" s="1201"/>
      <c r="S14" s="1191" t="s">
        <v>4952</v>
      </c>
      <c r="T14" s="1194" t="s">
        <v>38</v>
      </c>
      <c r="U14" s="1195">
        <v>6970.11</v>
      </c>
    </row>
    <row r="15" spans="1:21" ht="15.75" thickTop="1">
      <c r="F15" s="1209"/>
      <c r="M15" s="163" t="s">
        <v>4951</v>
      </c>
      <c r="N15" s="1200" t="s">
        <v>37</v>
      </c>
      <c r="O15" s="1201">
        <v>-500</v>
      </c>
      <c r="S15" s="1191" t="s">
        <v>4953</v>
      </c>
      <c r="T15" s="1194" t="s">
        <v>39</v>
      </c>
      <c r="U15" s="1195">
        <v>2069.85</v>
      </c>
    </row>
    <row r="16" spans="1:21" s="1272" customFormat="1" ht="22.5" customHeight="1" thickBot="1">
      <c r="B16" s="1203" t="s">
        <v>4980</v>
      </c>
      <c r="C16" s="1203"/>
      <c r="D16" s="1203"/>
      <c r="F16" s="1273"/>
      <c r="G16" s="1203" t="s">
        <v>4976</v>
      </c>
      <c r="H16" s="1203"/>
      <c r="I16" s="1207"/>
      <c r="M16" s="1274" t="s">
        <v>4954</v>
      </c>
      <c r="N16" s="1275" t="s">
        <v>40</v>
      </c>
      <c r="O16" s="1276">
        <v>0.5</v>
      </c>
      <c r="S16" s="1277" t="s">
        <v>4954</v>
      </c>
      <c r="T16" s="1277" t="s">
        <v>40</v>
      </c>
      <c r="U16" s="1278">
        <v>0.5</v>
      </c>
    </row>
    <row r="17" spans="2:21" ht="15.75" thickTop="1">
      <c r="B17" s="1270" t="s">
        <v>4965</v>
      </c>
      <c r="C17" s="1200" t="s">
        <v>53</v>
      </c>
      <c r="D17" s="1201">
        <f>Sheet6!E40</f>
        <v>35569.5</v>
      </c>
      <c r="F17" s="1209"/>
      <c r="G17" s="1270"/>
      <c r="H17" s="1200" t="s">
        <v>4983</v>
      </c>
      <c r="I17" s="1201">
        <f>300000*51%</f>
        <v>153000</v>
      </c>
      <c r="S17" s="1191" t="s">
        <v>4955</v>
      </c>
      <c r="T17" s="1194" t="s">
        <v>41</v>
      </c>
      <c r="U17" s="1195">
        <v>7393.15</v>
      </c>
    </row>
    <row r="18" spans="2:21">
      <c r="B18" s="1270" t="s">
        <v>4966</v>
      </c>
      <c r="C18" s="1200" t="s">
        <v>54</v>
      </c>
      <c r="D18" s="1201">
        <f>Sheet6!E12</f>
        <v>392800</v>
      </c>
      <c r="E18" s="1215" t="s">
        <v>5004</v>
      </c>
      <c r="F18" s="1209"/>
      <c r="G18" s="1270"/>
      <c r="H18" s="1200" t="s">
        <v>4984</v>
      </c>
      <c r="I18" s="1201">
        <v>147000</v>
      </c>
      <c r="M18" s="1254" t="s">
        <v>4962</v>
      </c>
      <c r="N18" s="1255" t="s">
        <v>49</v>
      </c>
      <c r="O18" s="1256">
        <v>-9436.35</v>
      </c>
      <c r="S18" s="1191" t="s">
        <v>4956</v>
      </c>
      <c r="T18" s="1194" t="s">
        <v>42</v>
      </c>
      <c r="U18" s="1195">
        <v>46010.75</v>
      </c>
    </row>
    <row r="19" spans="2:21">
      <c r="B19" s="1270" t="s">
        <v>4967</v>
      </c>
      <c r="C19" s="1200" t="s">
        <v>55</v>
      </c>
      <c r="D19" s="1201">
        <f>Sheet6!E8</f>
        <v>6926</v>
      </c>
      <c r="E19" s="1215" t="s">
        <v>5003</v>
      </c>
      <c r="F19" s="1209"/>
      <c r="G19" s="1270"/>
      <c r="H19" s="1200" t="s">
        <v>70</v>
      </c>
      <c r="I19" s="282">
        <f>562197-56737</f>
        <v>505460</v>
      </c>
      <c r="M19" s="163" t="s">
        <v>4963</v>
      </c>
      <c r="N19" s="1200" t="s">
        <v>50</v>
      </c>
      <c r="O19" s="1201">
        <v>23500</v>
      </c>
      <c r="S19" s="1191" t="s">
        <v>4957</v>
      </c>
      <c r="T19" s="1194" t="s">
        <v>43</v>
      </c>
      <c r="U19" s="1195">
        <v>737562.79</v>
      </c>
    </row>
    <row r="20" spans="2:21">
      <c r="B20" s="1270" t="s">
        <v>4968</v>
      </c>
      <c r="C20" s="1200" t="s">
        <v>56</v>
      </c>
      <c r="D20" s="1201">
        <v>-191000</v>
      </c>
      <c r="E20" s="1215" t="s">
        <v>5087</v>
      </c>
      <c r="F20" s="1209"/>
      <c r="G20" s="1270"/>
      <c r="H20" s="1200"/>
      <c r="I20" s="282"/>
      <c r="M20" s="1257" t="s">
        <v>4964</v>
      </c>
      <c r="N20" s="1258" t="s">
        <v>52</v>
      </c>
      <c r="O20" s="1259">
        <v>-51307</v>
      </c>
      <c r="S20" s="1191" t="s">
        <v>4958</v>
      </c>
      <c r="T20" s="1194" t="s">
        <v>44</v>
      </c>
      <c r="U20" s="1195">
        <v>-49668.3</v>
      </c>
    </row>
    <row r="21" spans="2:21" ht="15.75" thickBot="1">
      <c r="B21" s="1204"/>
      <c r="C21" s="1204" t="s">
        <v>4979</v>
      </c>
      <c r="D21" s="1205">
        <f>SUM(D16:D20)</f>
        <v>244295.5</v>
      </c>
      <c r="E21" s="1215" t="s">
        <v>5091</v>
      </c>
      <c r="F21" s="1209"/>
      <c r="G21" s="1204"/>
      <c r="H21" s="1204" t="s">
        <v>4981</v>
      </c>
      <c r="I21" s="1206">
        <f>SUM(I16:I19)</f>
        <v>805460</v>
      </c>
      <c r="M21" s="163" t="s">
        <v>4960</v>
      </c>
      <c r="N21" s="1200" t="s">
        <v>46</v>
      </c>
      <c r="O21" s="1201">
        <v>-209653.19</v>
      </c>
      <c r="S21" s="1191" t="s">
        <v>4959</v>
      </c>
      <c r="T21" s="1191" t="s">
        <v>45</v>
      </c>
      <c r="U21" s="1192">
        <v>0</v>
      </c>
    </row>
    <row r="22" spans="2:21" ht="15.75" thickTop="1">
      <c r="E22" s="155"/>
      <c r="F22" s="1209"/>
      <c r="M22" s="163" t="s">
        <v>4970</v>
      </c>
      <c r="N22" s="1200" t="s">
        <v>58</v>
      </c>
      <c r="O22" s="1201">
        <v>4298.55</v>
      </c>
      <c r="S22" s="1191" t="s">
        <v>4960</v>
      </c>
      <c r="T22" s="1194" t="s">
        <v>46</v>
      </c>
      <c r="U22" s="1195">
        <v>-209653.19</v>
      </c>
    </row>
    <row r="23" spans="2:21">
      <c r="F23" s="1209"/>
      <c r="M23" s="163" t="s">
        <v>4969</v>
      </c>
      <c r="N23" s="1200" t="s">
        <v>57</v>
      </c>
      <c r="O23" s="1200">
        <v>-221948.4</v>
      </c>
      <c r="S23" s="1191" t="s">
        <v>4961</v>
      </c>
      <c r="T23" s="1191" t="s">
        <v>48</v>
      </c>
      <c r="U23" s="1192">
        <v>1.82</v>
      </c>
    </row>
    <row r="24" spans="2:21" ht="26.25" customHeight="1" thickBot="1">
      <c r="B24" s="1279" t="s">
        <v>4975</v>
      </c>
      <c r="C24" s="1280"/>
      <c r="D24" s="1281">
        <f>D21+D14</f>
        <v>1081180.1499999999</v>
      </c>
      <c r="E24" s="1210"/>
      <c r="F24" s="1210"/>
      <c r="G24" s="1279" t="s">
        <v>4982</v>
      </c>
      <c r="H24" s="1280"/>
      <c r="I24" s="1281">
        <f>I21+I11</f>
        <v>1081180.2</v>
      </c>
      <c r="M24" s="163" t="s">
        <v>4972</v>
      </c>
      <c r="N24" s="1200" t="s">
        <v>70</v>
      </c>
      <c r="O24" s="1201">
        <f>-967610.13+421798+196144</f>
        <v>-349668.13</v>
      </c>
      <c r="S24" s="1191" t="s">
        <v>4962</v>
      </c>
      <c r="T24" s="1194" t="s">
        <v>49</v>
      </c>
      <c r="U24" s="1195">
        <v>-9436.35</v>
      </c>
    </row>
    <row r="25" spans="2:21" ht="15.75" thickTop="1">
      <c r="B25" s="1210"/>
      <c r="C25" s="1210"/>
      <c r="D25" s="1210"/>
      <c r="E25" s="1210"/>
      <c r="F25" s="1210"/>
      <c r="G25" s="1210"/>
      <c r="H25" s="1210"/>
      <c r="I25" s="1211"/>
      <c r="S25" s="1191" t="s">
        <v>4963</v>
      </c>
      <c r="T25" s="1194" t="s">
        <v>50</v>
      </c>
      <c r="U25" s="1195">
        <v>23500</v>
      </c>
    </row>
    <row r="26" spans="2:21">
      <c r="B26" s="1210"/>
      <c r="C26" s="1210"/>
      <c r="D26" s="1210"/>
      <c r="E26" s="1210"/>
      <c r="F26" s="1210"/>
      <c r="G26" s="1210"/>
      <c r="H26" s="1210"/>
      <c r="I26" s="1211"/>
      <c r="S26" s="1191"/>
      <c r="T26" s="1194"/>
      <c r="U26" s="1195"/>
    </row>
    <row r="27" spans="2:21">
      <c r="B27" s="1210"/>
      <c r="C27" s="1214"/>
      <c r="E27" s="1214"/>
      <c r="G27" s="1210"/>
      <c r="H27" s="1210"/>
      <c r="I27" s="1211"/>
      <c r="S27" s="1191"/>
      <c r="T27" s="1194"/>
      <c r="U27" s="1195"/>
    </row>
    <row r="28" spans="2:21">
      <c r="B28" s="1210"/>
      <c r="C28" s="1210"/>
      <c r="D28" s="1210"/>
      <c r="E28" s="1210"/>
      <c r="F28" s="1210"/>
      <c r="G28" s="1210"/>
      <c r="H28" s="1210"/>
      <c r="I28" s="1211"/>
      <c r="S28" s="1191"/>
      <c r="T28" s="1194"/>
      <c r="U28" s="1195"/>
    </row>
    <row r="29" spans="2:21">
      <c r="B29" s="1210"/>
      <c r="C29" s="1210"/>
      <c r="D29" s="1210"/>
      <c r="E29" s="1210"/>
      <c r="F29" s="1210"/>
      <c r="G29" s="1210"/>
      <c r="H29" s="1210"/>
      <c r="I29" s="1211"/>
      <c r="S29" s="1191"/>
      <c r="T29" s="1194"/>
      <c r="U29" s="1195"/>
    </row>
    <row r="30" spans="2:21" ht="15.75" thickBot="1">
      <c r="B30" s="1212"/>
      <c r="C30" s="1212"/>
      <c r="D30" s="1212"/>
      <c r="E30" s="1212"/>
      <c r="F30" s="1212"/>
      <c r="G30" s="1212"/>
      <c r="H30" s="1212"/>
      <c r="I30" s="1285">
        <f>D24-I24</f>
        <v>-5.0000000046566129E-2</v>
      </c>
      <c r="S30" s="1191" t="s">
        <v>4964</v>
      </c>
      <c r="T30" s="1194" t="s">
        <v>52</v>
      </c>
      <c r="U30" s="1195">
        <v>-51307</v>
      </c>
    </row>
    <row r="31" spans="2:21" ht="15.75" thickTop="1">
      <c r="B31" s="1210"/>
      <c r="C31" s="1210"/>
      <c r="D31" s="1210"/>
      <c r="E31" s="1210"/>
      <c r="F31" s="1210"/>
      <c r="G31" s="1210"/>
      <c r="H31" s="1210"/>
      <c r="I31" s="1211"/>
      <c r="S31" s="1191" t="s">
        <v>4965</v>
      </c>
      <c r="T31" s="1194" t="s">
        <v>53</v>
      </c>
      <c r="U31" s="1195">
        <v>149295.01999999999</v>
      </c>
    </row>
    <row r="32" spans="2:21">
      <c r="B32" s="1210"/>
      <c r="C32" s="1210"/>
      <c r="D32" s="1210"/>
      <c r="E32" s="1210"/>
      <c r="F32" s="1210"/>
      <c r="G32" s="1210"/>
      <c r="H32" s="1210"/>
      <c r="I32" s="1211"/>
      <c r="S32" s="1191" t="s">
        <v>4966</v>
      </c>
      <c r="T32" s="1194" t="s">
        <v>54</v>
      </c>
      <c r="U32" s="1195">
        <v>278861.98</v>
      </c>
    </row>
    <row r="33" spans="2:21" ht="21.75" customHeight="1">
      <c r="B33" s="1210"/>
      <c r="C33" s="1210"/>
      <c r="D33" s="1210"/>
      <c r="E33" s="1210"/>
      <c r="F33" s="1210"/>
      <c r="G33" s="1210"/>
      <c r="H33" s="1210"/>
      <c r="I33" s="1211"/>
      <c r="S33" s="1191" t="s">
        <v>4967</v>
      </c>
      <c r="T33" s="1194" t="s">
        <v>55</v>
      </c>
      <c r="U33" s="1195">
        <v>2576.42</v>
      </c>
    </row>
    <row r="34" spans="2:21">
      <c r="B34" s="1210"/>
      <c r="C34" s="1210"/>
      <c r="D34" s="1210"/>
      <c r="E34" s="1210"/>
      <c r="F34" s="1210"/>
      <c r="G34" s="1210"/>
      <c r="H34" s="1210"/>
      <c r="I34" s="1211"/>
      <c r="S34" s="1191" t="s">
        <v>4968</v>
      </c>
      <c r="T34" s="1194" t="s">
        <v>56</v>
      </c>
      <c r="U34" s="1195">
        <v>-191000</v>
      </c>
    </row>
    <row r="35" spans="2:21">
      <c r="S35" s="1191" t="s">
        <v>4969</v>
      </c>
      <c r="T35" s="1196" t="s">
        <v>57</v>
      </c>
      <c r="U35" s="1197">
        <v>-221948.4</v>
      </c>
    </row>
    <row r="36" spans="2:21">
      <c r="B36" s="1260"/>
      <c r="C36" s="1260"/>
      <c r="D36" s="1260"/>
      <c r="E36" s="1260"/>
      <c r="F36" s="1260"/>
      <c r="G36" s="1260"/>
      <c r="H36" s="1260"/>
      <c r="I36" s="1260"/>
      <c r="S36" s="1191" t="s">
        <v>4970</v>
      </c>
      <c r="T36" s="1196" t="s">
        <v>58</v>
      </c>
      <c r="U36" s="1197">
        <v>4298.55</v>
      </c>
    </row>
    <row r="37" spans="2:21">
      <c r="B37" s="1260"/>
      <c r="C37" s="1745" t="s">
        <v>4987</v>
      </c>
      <c r="D37" s="1745"/>
      <c r="E37" s="1745"/>
      <c r="F37" s="1745"/>
      <c r="G37" s="1745"/>
      <c r="H37" s="1745"/>
      <c r="I37" s="1260"/>
      <c r="S37" s="1191" t="s">
        <v>4971</v>
      </c>
      <c r="T37" s="1191" t="s">
        <v>65</v>
      </c>
      <c r="U37" s="1192">
        <v>0</v>
      </c>
    </row>
    <row r="38" spans="2:21">
      <c r="H38" s="1260"/>
      <c r="I38" s="1260"/>
      <c r="S38" s="1191" t="s">
        <v>4972</v>
      </c>
      <c r="T38" s="1198" t="s">
        <v>70</v>
      </c>
      <c r="U38" s="1199">
        <v>-967610.13</v>
      </c>
    </row>
    <row r="39" spans="2:21" ht="15.75" thickBot="1">
      <c r="B39" s="1267" t="s">
        <v>4988</v>
      </c>
      <c r="C39" s="1721" t="s">
        <v>49</v>
      </c>
      <c r="D39" s="1721"/>
      <c r="E39" s="1721"/>
      <c r="F39" s="1266">
        <v>36878</v>
      </c>
      <c r="G39" s="1268"/>
      <c r="H39" s="1268"/>
      <c r="I39" s="1260"/>
      <c r="S39" s="1191"/>
      <c r="T39" s="1194"/>
      <c r="U39" s="1195"/>
    </row>
    <row r="40" spans="2:21" ht="15.75" thickTop="1">
      <c r="B40" s="1262"/>
      <c r="C40" s="1722" t="s">
        <v>5088</v>
      </c>
      <c r="D40" s="1722"/>
      <c r="E40" s="1722"/>
      <c r="F40" s="1282">
        <v>6950</v>
      </c>
      <c r="G40" s="1746" t="s">
        <v>5105</v>
      </c>
      <c r="H40" s="1746"/>
      <c r="I40" s="1260"/>
      <c r="S40" s="1191"/>
      <c r="T40" s="1194"/>
      <c r="U40" s="1195"/>
    </row>
    <row r="41" spans="2:21">
      <c r="B41" s="1262"/>
      <c r="C41" s="1722" t="s">
        <v>5089</v>
      </c>
      <c r="D41" s="1722"/>
      <c r="E41" s="1722"/>
      <c r="F41" s="1282">
        <v>22928</v>
      </c>
      <c r="G41" s="1746" t="s">
        <v>5107</v>
      </c>
      <c r="H41" s="1746"/>
      <c r="I41" s="1260"/>
    </row>
    <row r="42" spans="2:21">
      <c r="B42" s="1262"/>
      <c r="C42" s="1722" t="s">
        <v>5106</v>
      </c>
      <c r="D42" s="1722"/>
      <c r="E42" s="1722"/>
      <c r="F42" s="1282">
        <v>7000</v>
      </c>
      <c r="G42" s="1746" t="s">
        <v>5108</v>
      </c>
      <c r="H42" s="1746"/>
      <c r="I42" s="1260"/>
    </row>
    <row r="43" spans="2:21" ht="15.75" thickBot="1">
      <c r="B43" s="1267" t="s">
        <v>4988</v>
      </c>
      <c r="C43" s="1721" t="s">
        <v>55</v>
      </c>
      <c r="D43" s="1721"/>
      <c r="E43" s="1721"/>
      <c r="F43" s="1266">
        <v>6926</v>
      </c>
      <c r="G43" s="1283"/>
      <c r="H43" s="1283"/>
      <c r="I43" s="1260"/>
    </row>
    <row r="44" spans="2:21" ht="15.75" thickTop="1">
      <c r="B44" s="1262"/>
      <c r="C44" s="1723" t="s">
        <v>5057</v>
      </c>
      <c r="D44" s="1724"/>
      <c r="E44" s="1725"/>
      <c r="F44" s="1282">
        <v>3850</v>
      </c>
      <c r="G44" s="1746"/>
      <c r="H44" s="1746"/>
      <c r="I44" s="1260"/>
    </row>
    <row r="45" spans="2:21">
      <c r="B45" s="1262"/>
      <c r="C45" s="1726" t="s">
        <v>5063</v>
      </c>
      <c r="D45" s="1727"/>
      <c r="E45" s="1728"/>
      <c r="F45" s="1282">
        <v>500</v>
      </c>
      <c r="G45" s="1746"/>
      <c r="H45" s="1746"/>
    </row>
    <row r="46" spans="2:21">
      <c r="B46" s="1262"/>
      <c r="C46" s="1726" t="s">
        <v>5086</v>
      </c>
      <c r="D46" s="1727"/>
      <c r="E46" s="1728"/>
      <c r="F46" s="1282">
        <v>2576</v>
      </c>
      <c r="G46" s="1746"/>
      <c r="H46" s="1746"/>
    </row>
    <row r="47" spans="2:21" ht="15.75" thickBot="1">
      <c r="B47" s="1267" t="s">
        <v>4988</v>
      </c>
      <c r="C47" s="1721" t="s">
        <v>5109</v>
      </c>
      <c r="D47" s="1721"/>
      <c r="E47" s="1721"/>
      <c r="F47" s="1266">
        <v>392800</v>
      </c>
      <c r="G47" s="1283"/>
      <c r="H47" s="1283"/>
    </row>
    <row r="48" spans="2:21" ht="15.75" thickTop="1">
      <c r="B48" s="1262"/>
      <c r="C48" s="1722" t="s">
        <v>5083</v>
      </c>
      <c r="D48" s="1722"/>
      <c r="E48" s="1722"/>
      <c r="F48" s="1282">
        <v>115000</v>
      </c>
      <c r="G48" s="1746"/>
      <c r="H48" s="1746"/>
    </row>
    <row r="49" spans="2:9">
      <c r="B49" s="1262"/>
      <c r="C49" s="1722" t="s">
        <v>5083</v>
      </c>
      <c r="D49" s="1722"/>
      <c r="E49" s="1722"/>
      <c r="F49" s="1282">
        <v>92600</v>
      </c>
      <c r="G49" s="1746"/>
      <c r="H49" s="1746"/>
    </row>
    <row r="50" spans="2:9">
      <c r="B50" s="1262"/>
      <c r="C50" s="1722" t="s">
        <v>5083</v>
      </c>
      <c r="D50" s="1722"/>
      <c r="E50" s="1722"/>
      <c r="F50" s="1282">
        <v>92600</v>
      </c>
      <c r="G50" s="1746"/>
      <c r="H50" s="1746"/>
    </row>
    <row r="51" spans="2:9">
      <c r="B51" s="1262"/>
      <c r="C51" s="1722" t="s">
        <v>5083</v>
      </c>
      <c r="D51" s="1722"/>
      <c r="E51" s="1722"/>
      <c r="F51" s="1282">
        <v>92600</v>
      </c>
      <c r="G51" s="1746"/>
      <c r="H51" s="1746"/>
    </row>
    <row r="52" spans="2:9" ht="15.75" thickBot="1">
      <c r="B52" s="1267" t="s">
        <v>4988</v>
      </c>
      <c r="C52" s="1721" t="s">
        <v>5111</v>
      </c>
      <c r="D52" s="1721"/>
      <c r="E52" s="1721"/>
      <c r="F52" s="1266">
        <v>97727.200000000012</v>
      </c>
      <c r="G52" s="1283"/>
      <c r="H52" s="1283"/>
    </row>
    <row r="53" spans="2:9" ht="15.75" thickTop="1">
      <c r="B53" s="1262"/>
      <c r="C53" s="1722" t="s">
        <v>5096</v>
      </c>
      <c r="D53" s="1722"/>
      <c r="E53" s="1722"/>
      <c r="F53" s="1282">
        <v>18360</v>
      </c>
      <c r="G53" s="1746"/>
      <c r="H53" s="1746"/>
    </row>
    <row r="54" spans="2:9">
      <c r="B54" s="1262"/>
      <c r="C54" s="1722" t="s">
        <v>5097</v>
      </c>
      <c r="D54" s="1722"/>
      <c r="E54" s="1722"/>
      <c r="F54" s="1282">
        <v>15750</v>
      </c>
      <c r="G54" s="1746"/>
      <c r="H54" s="1746"/>
    </row>
    <row r="55" spans="2:9">
      <c r="B55" s="1262"/>
      <c r="C55" s="1722" t="s">
        <v>5098</v>
      </c>
      <c r="D55" s="1722"/>
      <c r="E55" s="1722"/>
      <c r="F55" s="1282">
        <v>23126</v>
      </c>
      <c r="G55" s="1746"/>
      <c r="H55" s="1746"/>
    </row>
    <row r="56" spans="2:9">
      <c r="B56" s="1262"/>
      <c r="C56" s="1722" t="s">
        <v>5099</v>
      </c>
      <c r="D56" s="1722"/>
      <c r="E56" s="1722"/>
      <c r="F56" s="1282">
        <v>6290</v>
      </c>
      <c r="G56" s="1746"/>
      <c r="H56" s="1746"/>
    </row>
    <row r="57" spans="2:9">
      <c r="B57" s="1262"/>
      <c r="C57" s="1722" t="s">
        <v>5100</v>
      </c>
      <c r="D57" s="1722"/>
      <c r="E57" s="1722"/>
      <c r="F57" s="1282">
        <v>15000</v>
      </c>
      <c r="G57" s="1746"/>
      <c r="H57" s="1746"/>
    </row>
    <row r="58" spans="2:9">
      <c r="B58" s="1262"/>
      <c r="C58" s="1722" t="s">
        <v>5101</v>
      </c>
      <c r="D58" s="1722"/>
      <c r="E58" s="1722"/>
      <c r="F58" s="1282">
        <v>3500</v>
      </c>
      <c r="G58" s="1746"/>
      <c r="H58" s="1746"/>
    </row>
    <row r="59" spans="2:9">
      <c r="B59" s="1262"/>
      <c r="C59" s="1722" t="s">
        <v>5102</v>
      </c>
      <c r="D59" s="1722"/>
      <c r="E59" s="1722"/>
      <c r="F59" s="1282">
        <v>413.74</v>
      </c>
      <c r="G59" s="1746"/>
      <c r="H59" s="1746"/>
    </row>
    <row r="60" spans="2:9">
      <c r="B60" s="1262"/>
      <c r="C60" s="1722" t="s">
        <v>5103</v>
      </c>
      <c r="D60" s="1722"/>
      <c r="E60" s="1722"/>
      <c r="F60" s="1282">
        <v>693.46</v>
      </c>
      <c r="G60" s="1746"/>
      <c r="H60" s="1746"/>
    </row>
    <row r="61" spans="2:9">
      <c r="B61" s="1262"/>
      <c r="C61" s="1722" t="s">
        <v>5104</v>
      </c>
      <c r="D61" s="1722"/>
      <c r="E61" s="1722"/>
      <c r="F61" s="1282">
        <v>14594</v>
      </c>
      <c r="G61" s="1746"/>
      <c r="H61" s="1746"/>
    </row>
    <row r="62" spans="2:9" ht="15.75" thickBot="1">
      <c r="B62" s="1267" t="s">
        <v>4988</v>
      </c>
      <c r="C62" s="1721" t="s">
        <v>5110</v>
      </c>
      <c r="D62" s="1721"/>
      <c r="E62" s="1721"/>
      <c r="F62" s="1266">
        <v>177993</v>
      </c>
      <c r="G62" s="1283"/>
      <c r="H62" s="1283"/>
    </row>
    <row r="63" spans="2:9" ht="15.75" thickTop="1">
      <c r="B63" s="1262"/>
      <c r="C63" s="1722" t="s">
        <v>4990</v>
      </c>
      <c r="D63" s="1722"/>
      <c r="E63" s="1722"/>
      <c r="F63" s="1282">
        <v>49668</v>
      </c>
      <c r="G63" s="1746" t="s">
        <v>5000</v>
      </c>
      <c r="H63" s="1746"/>
      <c r="I63" s="1201" t="str">
        <f>G63&amp;"/"&amp;C63</f>
        <v xml:space="preserve">Nagative Custody Blnc/Eng.Mohamed -Custody </v>
      </c>
    </row>
    <row r="64" spans="2:9">
      <c r="B64" s="1262"/>
      <c r="C64" s="1722" t="s">
        <v>4991</v>
      </c>
      <c r="D64" s="1722"/>
      <c r="E64" s="1722"/>
      <c r="F64" s="1282">
        <v>61250</v>
      </c>
      <c r="G64" s="1746" t="s">
        <v>5001</v>
      </c>
      <c r="H64" s="1746"/>
      <c r="I64" s="1201" t="str">
        <f t="shared" ref="I64:I74" si="0">G64&amp;"/"&amp;C64</f>
        <v xml:space="preserve">EOS /MOHAMED ABD ELSALAM   </v>
      </c>
    </row>
    <row r="65" spans="2:9">
      <c r="B65" s="1262"/>
      <c r="C65" s="1722" t="s">
        <v>803</v>
      </c>
      <c r="D65" s="1722"/>
      <c r="E65" s="1722"/>
      <c r="F65" s="1282">
        <v>36750</v>
      </c>
      <c r="G65" s="1746" t="s">
        <v>5001</v>
      </c>
      <c r="H65" s="1746"/>
      <c r="I65" s="1201" t="str">
        <f t="shared" si="0"/>
        <v>EOS /Sijeesh</v>
      </c>
    </row>
    <row r="66" spans="2:9">
      <c r="B66" s="1262"/>
      <c r="C66" s="1722" t="s">
        <v>4992</v>
      </c>
      <c r="D66" s="1722"/>
      <c r="E66" s="1722"/>
      <c r="F66" s="1282">
        <v>7000</v>
      </c>
      <c r="G66" s="1746" t="s">
        <v>5001</v>
      </c>
      <c r="H66" s="1746"/>
      <c r="I66" s="1201" t="str">
        <f t="shared" si="0"/>
        <v>EOS /RAJESH SUKESAN SUKESAN</v>
      </c>
    </row>
    <row r="67" spans="2:9">
      <c r="B67" s="1262"/>
      <c r="C67" s="1722" t="s">
        <v>4993</v>
      </c>
      <c r="D67" s="1722"/>
      <c r="E67" s="1722"/>
      <c r="F67" s="1282">
        <v>5325</v>
      </c>
      <c r="G67" s="1746" t="s">
        <v>5002</v>
      </c>
      <c r="H67" s="1746"/>
      <c r="I67" s="1201" t="str">
        <f t="shared" si="0"/>
        <v>EOS  + Leave Salary/SANTOSH PHOOL CHAND</v>
      </c>
    </row>
    <row r="68" spans="2:9">
      <c r="B68" s="1262"/>
      <c r="C68" s="1722" t="s">
        <v>5044</v>
      </c>
      <c r="D68" s="1722"/>
      <c r="E68" s="1722"/>
      <c r="F68" s="1282">
        <v>3600</v>
      </c>
      <c r="G68" s="1746" t="s">
        <v>5001</v>
      </c>
      <c r="H68" s="1746"/>
      <c r="I68" s="1201" t="str">
        <f t="shared" si="0"/>
        <v>EOS /SUKCHAND SEKH AMANAt</v>
      </c>
    </row>
    <row r="69" spans="2:9">
      <c r="B69" s="1262"/>
      <c r="C69" s="1722" t="s">
        <v>4994</v>
      </c>
      <c r="D69" s="1722"/>
      <c r="E69" s="1722"/>
      <c r="F69" s="1282">
        <v>525</v>
      </c>
      <c r="G69" s="1746" t="s">
        <v>5001</v>
      </c>
      <c r="H69" s="1746"/>
      <c r="I69" s="1201" t="str">
        <f t="shared" si="0"/>
        <v>EOS /VISHNU PADINHARE PURAKKAL</v>
      </c>
    </row>
    <row r="70" spans="2:9">
      <c r="B70" s="1262"/>
      <c r="C70" s="1722" t="s">
        <v>4995</v>
      </c>
      <c r="D70" s="1722"/>
      <c r="E70" s="1722"/>
      <c r="F70" s="1282">
        <v>1837.5</v>
      </c>
      <c r="G70" s="1746" t="s">
        <v>5001</v>
      </c>
      <c r="H70" s="1746"/>
      <c r="I70" s="1201" t="str">
        <f t="shared" si="0"/>
        <v>EOS /SAJITH SUDARSANAN</v>
      </c>
    </row>
    <row r="71" spans="2:9">
      <c r="B71" s="1262"/>
      <c r="C71" s="1722" t="s">
        <v>4996</v>
      </c>
      <c r="D71" s="1722"/>
      <c r="E71" s="1722"/>
      <c r="F71" s="1282">
        <v>1050</v>
      </c>
      <c r="G71" s="1746" t="s">
        <v>5001</v>
      </c>
      <c r="H71" s="1746"/>
      <c r="I71" s="1201" t="str">
        <f t="shared" si="0"/>
        <v>EOS /ONKAR GURPAL SINGH</v>
      </c>
    </row>
    <row r="72" spans="2:9">
      <c r="B72" s="1262"/>
      <c r="C72" s="1722" t="s">
        <v>4997</v>
      </c>
      <c r="D72" s="1722"/>
      <c r="E72" s="1722"/>
      <c r="F72" s="1282">
        <v>2835</v>
      </c>
      <c r="G72" s="1746" t="s">
        <v>5001</v>
      </c>
      <c r="H72" s="1746"/>
      <c r="I72" s="1201" t="str">
        <f t="shared" si="0"/>
        <v>EOS /PAWAN KUMAR SHARMA</v>
      </c>
    </row>
    <row r="73" spans="2:9">
      <c r="B73" s="1262"/>
      <c r="C73" s="1722" t="s">
        <v>4998</v>
      </c>
      <c r="D73" s="1722"/>
      <c r="E73" s="1722"/>
      <c r="F73" s="1282">
        <v>7574.9999999999991</v>
      </c>
      <c r="G73" s="1746" t="s">
        <v>5001</v>
      </c>
      <c r="H73" s="1746"/>
      <c r="I73" s="1201" t="str">
        <f t="shared" si="0"/>
        <v>EOS /RATHEESH KUMAR MUTHU</v>
      </c>
    </row>
    <row r="74" spans="2:9">
      <c r="B74" s="1262"/>
      <c r="C74" s="1722" t="s">
        <v>4999</v>
      </c>
      <c r="D74" s="1722"/>
      <c r="E74" s="1722"/>
      <c r="F74" s="1282">
        <v>577.5</v>
      </c>
      <c r="G74" s="1746" t="s">
        <v>5001</v>
      </c>
      <c r="H74" s="1746"/>
      <c r="I74" s="1201" t="str">
        <f t="shared" si="0"/>
        <v>EOS /SIMUL KANTI DEY</v>
      </c>
    </row>
    <row r="75" spans="2:9" ht="15.75" thickBot="1">
      <c r="B75" s="1267" t="s">
        <v>4988</v>
      </c>
      <c r="C75" s="1269" t="s">
        <v>53</v>
      </c>
      <c r="D75" s="1269"/>
      <c r="E75" s="1269"/>
      <c r="F75" s="1266">
        <v>35569.5</v>
      </c>
      <c r="G75" s="1283"/>
      <c r="H75" s="1283"/>
    </row>
    <row r="76" spans="2:9" ht="15.75" thickTop="1">
      <c r="B76" s="1262"/>
      <c r="C76" s="1722" t="s">
        <v>5059</v>
      </c>
      <c r="D76" s="1722"/>
      <c r="E76" s="1722"/>
      <c r="F76" s="1282">
        <v>4.5</v>
      </c>
      <c r="G76" s="1746"/>
      <c r="H76" s="1746"/>
    </row>
    <row r="77" spans="2:9">
      <c r="B77" s="1262"/>
      <c r="C77" s="1722" t="s">
        <v>5059</v>
      </c>
      <c r="D77" s="1722"/>
      <c r="E77" s="1722"/>
      <c r="F77" s="1282">
        <v>10</v>
      </c>
      <c r="G77" s="1746"/>
      <c r="H77" s="1746"/>
    </row>
    <row r="78" spans="2:9">
      <c r="B78" s="1262"/>
      <c r="C78" s="1722" t="s">
        <v>5079</v>
      </c>
      <c r="D78" s="1722"/>
      <c r="E78" s="1722"/>
      <c r="F78" s="1282">
        <v>10</v>
      </c>
      <c r="G78" s="1746"/>
      <c r="H78" s="1746"/>
    </row>
    <row r="79" spans="2:9">
      <c r="B79" s="1262"/>
      <c r="C79" s="1722" t="s">
        <v>5059</v>
      </c>
      <c r="D79" s="1722"/>
      <c r="E79" s="1722"/>
      <c r="F79" s="1282">
        <v>15</v>
      </c>
      <c r="G79" s="1746"/>
      <c r="H79" s="1746"/>
    </row>
    <row r="80" spans="2:9">
      <c r="B80" s="1262"/>
      <c r="C80" s="1722" t="s">
        <v>5059</v>
      </c>
      <c r="D80" s="1722"/>
      <c r="E80" s="1722"/>
      <c r="F80" s="1282">
        <v>25</v>
      </c>
      <c r="G80" s="1746"/>
      <c r="H80" s="1746"/>
    </row>
    <row r="81" spans="2:8">
      <c r="B81" s="1262"/>
      <c r="C81" s="1722" t="s">
        <v>5059</v>
      </c>
      <c r="D81" s="1722"/>
      <c r="E81" s="1722"/>
      <c r="F81" s="1282">
        <v>25</v>
      </c>
      <c r="G81" s="1746"/>
      <c r="H81" s="1746"/>
    </row>
    <row r="82" spans="2:8">
      <c r="B82" s="1262"/>
      <c r="C82" s="1722" t="s">
        <v>5059</v>
      </c>
      <c r="D82" s="1722"/>
      <c r="E82" s="1722"/>
      <c r="F82" s="1282">
        <v>42</v>
      </c>
      <c r="G82" s="1746"/>
      <c r="H82" s="1746"/>
    </row>
    <row r="83" spans="2:8">
      <c r="B83" s="1262"/>
      <c r="C83" s="1722" t="s">
        <v>5059</v>
      </c>
      <c r="D83" s="1722"/>
      <c r="E83" s="1722"/>
      <c r="F83" s="1282">
        <v>44</v>
      </c>
      <c r="G83" s="1746"/>
      <c r="H83" s="1746"/>
    </row>
    <row r="84" spans="2:8">
      <c r="B84" s="1262"/>
      <c r="C84" s="1722" t="s">
        <v>5080</v>
      </c>
      <c r="D84" s="1722"/>
      <c r="E84" s="1722"/>
      <c r="F84" s="1282">
        <v>45</v>
      </c>
      <c r="G84" s="1746"/>
      <c r="H84" s="1746"/>
    </row>
    <row r="85" spans="2:8">
      <c r="B85" s="1262"/>
      <c r="C85" s="1722" t="s">
        <v>5059</v>
      </c>
      <c r="D85" s="1722"/>
      <c r="E85" s="1722"/>
      <c r="F85" s="1282">
        <v>47</v>
      </c>
      <c r="G85" s="1746"/>
      <c r="H85" s="1746"/>
    </row>
    <row r="86" spans="2:8">
      <c r="B86" s="1262"/>
      <c r="C86" s="1722" t="s">
        <v>5059</v>
      </c>
      <c r="D86" s="1722"/>
      <c r="E86" s="1722"/>
      <c r="F86" s="1282">
        <v>50</v>
      </c>
      <c r="G86" s="1746"/>
      <c r="H86" s="1746"/>
    </row>
    <row r="87" spans="2:8">
      <c r="B87" s="1262"/>
      <c r="C87" s="1722" t="s">
        <v>5059</v>
      </c>
      <c r="D87" s="1722"/>
      <c r="E87" s="1722"/>
      <c r="F87" s="1282">
        <v>50</v>
      </c>
      <c r="G87" s="1746"/>
      <c r="H87" s="1746"/>
    </row>
    <row r="88" spans="2:8">
      <c r="B88" s="1262"/>
      <c r="C88" s="1722" t="s">
        <v>5059</v>
      </c>
      <c r="D88" s="1722"/>
      <c r="E88" s="1722"/>
      <c r="F88" s="1282">
        <v>53</v>
      </c>
      <c r="G88" s="1746"/>
      <c r="H88" s="1746"/>
    </row>
    <row r="89" spans="2:8">
      <c r="B89" s="1262"/>
      <c r="C89" s="1722" t="s">
        <v>5059</v>
      </c>
      <c r="D89" s="1722"/>
      <c r="E89" s="1722"/>
      <c r="F89" s="1282">
        <v>55</v>
      </c>
      <c r="G89" s="1746"/>
      <c r="H89" s="1746"/>
    </row>
    <row r="90" spans="2:8">
      <c r="B90" s="1262"/>
      <c r="C90" s="1722" t="s">
        <v>5059</v>
      </c>
      <c r="D90" s="1722"/>
      <c r="E90" s="1722"/>
      <c r="F90" s="1282">
        <v>80</v>
      </c>
      <c r="G90" s="1746"/>
      <c r="H90" s="1746"/>
    </row>
    <row r="91" spans="2:8">
      <c r="B91" s="1262"/>
      <c r="C91" s="1722" t="s">
        <v>5059</v>
      </c>
      <c r="D91" s="1722"/>
      <c r="E91" s="1722"/>
      <c r="F91" s="1282">
        <v>85</v>
      </c>
      <c r="G91" s="1746"/>
      <c r="H91" s="1746"/>
    </row>
    <row r="92" spans="2:8">
      <c r="B92" s="1262"/>
      <c r="C92" s="1722" t="s">
        <v>5069</v>
      </c>
      <c r="D92" s="1722"/>
      <c r="E92" s="1722"/>
      <c r="F92" s="1282">
        <v>95.14</v>
      </c>
      <c r="G92" s="1746"/>
      <c r="H92" s="1746"/>
    </row>
    <row r="93" spans="2:8">
      <c r="B93" s="1262"/>
      <c r="C93" s="1722" t="s">
        <v>5077</v>
      </c>
      <c r="D93" s="1722"/>
      <c r="E93" s="1722"/>
      <c r="F93" s="1282">
        <v>122.62</v>
      </c>
      <c r="G93" s="1746"/>
      <c r="H93" s="1746"/>
    </row>
    <row r="94" spans="2:8">
      <c r="B94" s="1262"/>
      <c r="C94" s="1722" t="s">
        <v>5059</v>
      </c>
      <c r="D94" s="1722"/>
      <c r="E94" s="1722"/>
      <c r="F94" s="1282">
        <v>139</v>
      </c>
      <c r="G94" s="1746"/>
      <c r="H94" s="1746"/>
    </row>
    <row r="95" spans="2:8">
      <c r="B95" s="1262"/>
      <c r="C95" s="1722" t="s">
        <v>5059</v>
      </c>
      <c r="D95" s="1722"/>
      <c r="E95" s="1722"/>
      <c r="F95" s="1282">
        <v>177</v>
      </c>
      <c r="G95" s="1746"/>
      <c r="H95" s="1746"/>
    </row>
    <row r="96" spans="2:8">
      <c r="B96" s="1262"/>
      <c r="C96" s="1722" t="s">
        <v>5055</v>
      </c>
      <c r="D96" s="1722"/>
      <c r="E96" s="1722"/>
      <c r="F96" s="1282">
        <v>195</v>
      </c>
      <c r="G96" s="1746"/>
      <c r="H96" s="1746"/>
    </row>
    <row r="97" spans="2:8">
      <c r="B97" s="1262"/>
      <c r="C97" s="1722" t="s">
        <v>5059</v>
      </c>
      <c r="D97" s="1722"/>
      <c r="E97" s="1722"/>
      <c r="F97" s="1282">
        <v>195</v>
      </c>
      <c r="G97" s="1746"/>
      <c r="H97" s="1746"/>
    </row>
    <row r="98" spans="2:8">
      <c r="B98" s="1262"/>
      <c r="C98" s="1722" t="s">
        <v>5059</v>
      </c>
      <c r="D98" s="1722"/>
      <c r="E98" s="1722"/>
      <c r="F98" s="1282">
        <v>205</v>
      </c>
      <c r="G98" s="1746"/>
      <c r="H98" s="1746"/>
    </row>
    <row r="99" spans="2:8">
      <c r="B99" s="1262"/>
      <c r="C99" s="1722" t="s">
        <v>5054</v>
      </c>
      <c r="D99" s="1722"/>
      <c r="E99" s="1722"/>
      <c r="F99" s="1282">
        <v>235</v>
      </c>
      <c r="G99" s="1746"/>
      <c r="H99" s="1746"/>
    </row>
    <row r="100" spans="2:8">
      <c r="B100" s="1262"/>
      <c r="C100" s="1722" t="s">
        <v>5081</v>
      </c>
      <c r="D100" s="1722"/>
      <c r="E100" s="1722"/>
      <c r="F100" s="1282">
        <v>259.22000000000003</v>
      </c>
      <c r="G100" s="1746"/>
      <c r="H100" s="1746"/>
    </row>
    <row r="101" spans="2:8">
      <c r="B101" s="1262"/>
      <c r="C101" s="1722" t="s">
        <v>5053</v>
      </c>
      <c r="D101" s="1722"/>
      <c r="E101" s="1722"/>
      <c r="F101" s="1282">
        <v>265</v>
      </c>
      <c r="G101" s="1746"/>
      <c r="H101" s="1746"/>
    </row>
    <row r="102" spans="2:8">
      <c r="B102" s="1262"/>
      <c r="C102" s="1722" t="s">
        <v>5070</v>
      </c>
      <c r="D102" s="1722"/>
      <c r="E102" s="1722"/>
      <c r="F102" s="1282">
        <v>268.88</v>
      </c>
      <c r="G102" s="1746"/>
      <c r="H102" s="1746"/>
    </row>
    <row r="103" spans="2:8">
      <c r="B103" s="1262"/>
      <c r="C103" s="1722" t="s">
        <v>5078</v>
      </c>
      <c r="D103" s="1722"/>
      <c r="E103" s="1722"/>
      <c r="F103" s="1282">
        <v>289.70999999999998</v>
      </c>
      <c r="G103" s="1746"/>
      <c r="H103" s="1746"/>
    </row>
    <row r="104" spans="2:8">
      <c r="B104" s="1262"/>
      <c r="C104" s="1722" t="s">
        <v>5059</v>
      </c>
      <c r="D104" s="1722"/>
      <c r="E104" s="1722"/>
      <c r="F104" s="1282">
        <v>305</v>
      </c>
      <c r="G104" s="1746"/>
      <c r="H104" s="1746"/>
    </row>
    <row r="105" spans="2:8">
      <c r="B105" s="1262"/>
      <c r="C105" s="1722" t="s">
        <v>5076</v>
      </c>
      <c r="D105" s="1722"/>
      <c r="E105" s="1722"/>
      <c r="F105" s="1282">
        <v>330</v>
      </c>
      <c r="G105" s="1746"/>
      <c r="H105" s="1746"/>
    </row>
    <row r="106" spans="2:8">
      <c r="B106" s="1262"/>
      <c r="C106" s="1722" t="s">
        <v>5071</v>
      </c>
      <c r="D106" s="1722"/>
      <c r="E106" s="1722"/>
      <c r="F106" s="1282">
        <v>336.3</v>
      </c>
      <c r="G106" s="1746"/>
      <c r="H106" s="1746"/>
    </row>
    <row r="107" spans="2:8">
      <c r="B107" s="1262"/>
      <c r="C107" s="1722" t="s">
        <v>5056</v>
      </c>
      <c r="D107" s="1722"/>
      <c r="E107" s="1722"/>
      <c r="F107" s="1282">
        <v>484</v>
      </c>
      <c r="G107" s="1746"/>
      <c r="H107" s="1746"/>
    </row>
    <row r="108" spans="2:8">
      <c r="B108" s="1262"/>
      <c r="C108" s="1722" t="s">
        <v>5059</v>
      </c>
      <c r="D108" s="1722"/>
      <c r="E108" s="1722"/>
      <c r="F108" s="1282">
        <v>500</v>
      </c>
      <c r="G108" s="1746"/>
      <c r="H108" s="1746"/>
    </row>
    <row r="109" spans="2:8">
      <c r="B109" s="1262"/>
      <c r="C109" s="1722" t="s">
        <v>5058</v>
      </c>
      <c r="D109" s="1722"/>
      <c r="E109" s="1722"/>
      <c r="F109" s="1282">
        <v>525</v>
      </c>
      <c r="G109" s="1746"/>
      <c r="H109" s="1746"/>
    </row>
    <row r="110" spans="2:8">
      <c r="B110" s="1262"/>
      <c r="C110" s="1722" t="s">
        <v>5073</v>
      </c>
      <c r="D110" s="1722"/>
      <c r="E110" s="1722"/>
      <c r="F110" s="1282">
        <v>607.6</v>
      </c>
      <c r="G110" s="1746"/>
      <c r="H110" s="1746"/>
    </row>
    <row r="111" spans="2:8">
      <c r="B111" s="1262"/>
      <c r="C111" s="1722" t="s">
        <v>5059</v>
      </c>
      <c r="D111" s="1722"/>
      <c r="E111" s="1722"/>
      <c r="F111" s="1282">
        <v>639</v>
      </c>
      <c r="G111" s="1746"/>
      <c r="H111" s="1746"/>
    </row>
    <row r="112" spans="2:8">
      <c r="B112" s="1262"/>
      <c r="C112" s="1722" t="s">
        <v>5059</v>
      </c>
      <c r="D112" s="1722"/>
      <c r="E112" s="1722"/>
      <c r="F112" s="1282">
        <v>640</v>
      </c>
      <c r="G112" s="1746"/>
      <c r="H112" s="1746"/>
    </row>
    <row r="113" spans="2:8">
      <c r="B113" s="1262"/>
      <c r="C113" s="1722" t="s">
        <v>5058</v>
      </c>
      <c r="D113" s="1722"/>
      <c r="E113" s="1722"/>
      <c r="F113" s="1282">
        <v>685</v>
      </c>
      <c r="G113" s="1746"/>
      <c r="H113" s="1746"/>
    </row>
    <row r="114" spans="2:8">
      <c r="B114" s="1262"/>
      <c r="C114" s="1722" t="s">
        <v>5054</v>
      </c>
      <c r="D114" s="1722"/>
      <c r="E114" s="1722"/>
      <c r="F114" s="1282">
        <v>750</v>
      </c>
      <c r="G114" s="1746"/>
      <c r="H114" s="1746"/>
    </row>
    <row r="115" spans="2:8">
      <c r="B115" s="1262"/>
      <c r="C115" s="1722" t="s">
        <v>5075</v>
      </c>
      <c r="D115" s="1722"/>
      <c r="E115" s="1722"/>
      <c r="F115" s="1282">
        <v>820</v>
      </c>
      <c r="G115" s="1746"/>
      <c r="H115" s="1746"/>
    </row>
    <row r="116" spans="2:8">
      <c r="B116" s="1262"/>
      <c r="C116" s="1722" t="s">
        <v>5068</v>
      </c>
      <c r="D116" s="1722"/>
      <c r="E116" s="1722"/>
      <c r="F116" s="1282">
        <v>951.43</v>
      </c>
      <c r="G116" s="1746"/>
      <c r="H116" s="1746"/>
    </row>
    <row r="117" spans="2:8">
      <c r="B117" s="1262"/>
      <c r="C117" s="1722" t="s">
        <v>5067</v>
      </c>
      <c r="D117" s="1722"/>
      <c r="E117" s="1722"/>
      <c r="F117" s="1282">
        <v>1046.57</v>
      </c>
      <c r="G117" s="1746"/>
      <c r="H117" s="1746"/>
    </row>
    <row r="118" spans="2:8">
      <c r="B118" s="1262"/>
      <c r="C118" s="1722" t="s">
        <v>5059</v>
      </c>
      <c r="D118" s="1722"/>
      <c r="E118" s="1722"/>
      <c r="F118" s="1282">
        <v>1326.2</v>
      </c>
      <c r="G118" s="1746"/>
      <c r="H118" s="1746"/>
    </row>
    <row r="119" spans="2:8">
      <c r="B119" s="1262"/>
      <c r="C119" s="1722" t="s">
        <v>5059</v>
      </c>
      <c r="D119" s="1722"/>
      <c r="E119" s="1722"/>
      <c r="F119" s="1282">
        <v>1500</v>
      </c>
      <c r="G119" s="1746"/>
      <c r="H119" s="1746"/>
    </row>
    <row r="120" spans="2:8">
      <c r="B120" s="1262"/>
      <c r="C120" s="1722" t="s">
        <v>5074</v>
      </c>
      <c r="D120" s="1722"/>
      <c r="E120" s="1722"/>
      <c r="F120" s="1282">
        <v>2189.52</v>
      </c>
      <c r="G120" s="1746"/>
      <c r="H120" s="1746"/>
    </row>
    <row r="121" spans="2:8">
      <c r="B121" s="1262"/>
      <c r="C121" s="1722" t="s">
        <v>5066</v>
      </c>
      <c r="D121" s="1722"/>
      <c r="E121" s="1722"/>
      <c r="F121" s="1282"/>
      <c r="G121" s="1746"/>
      <c r="H121" s="1746"/>
    </row>
    <row r="122" spans="2:8">
      <c r="B122" s="1262"/>
      <c r="C122" s="1722" t="s">
        <v>5060</v>
      </c>
      <c r="D122" s="1722"/>
      <c r="E122" s="1722"/>
      <c r="F122" s="1282">
        <v>3044</v>
      </c>
      <c r="G122" s="1746"/>
      <c r="H122" s="1746"/>
    </row>
    <row r="123" spans="2:8">
      <c r="B123" s="1262"/>
      <c r="C123" s="1722" t="s">
        <v>5065</v>
      </c>
      <c r="D123" s="1722"/>
      <c r="E123" s="1722"/>
      <c r="F123" s="1282">
        <v>3500</v>
      </c>
      <c r="G123" s="1746"/>
      <c r="H123" s="1746"/>
    </row>
    <row r="124" spans="2:8">
      <c r="B124" s="1262"/>
      <c r="C124" s="1722" t="s">
        <v>5072</v>
      </c>
      <c r="D124" s="1722"/>
      <c r="E124" s="1722"/>
      <c r="F124" s="1282">
        <v>3903.81</v>
      </c>
      <c r="G124" s="1746"/>
      <c r="H124" s="1746"/>
    </row>
    <row r="125" spans="2:8">
      <c r="B125" s="1262"/>
      <c r="C125" s="1722" t="s">
        <v>5061</v>
      </c>
      <c r="D125" s="1722"/>
      <c r="E125" s="1722"/>
      <c r="F125" s="1282">
        <v>3999</v>
      </c>
      <c r="G125" s="1746"/>
      <c r="H125" s="1746"/>
    </row>
    <row r="126" spans="2:8">
      <c r="B126" s="1262"/>
      <c r="C126" s="1722" t="s">
        <v>5062</v>
      </c>
      <c r="D126" s="1722"/>
      <c r="E126" s="1722"/>
      <c r="F126" s="1282">
        <v>4400</v>
      </c>
      <c r="G126" s="1746"/>
      <c r="H126" s="1746"/>
    </row>
    <row r="127" spans="2:8" ht="15.75" thickBot="1">
      <c r="B127" s="1267"/>
      <c r="C127" s="1269"/>
      <c r="D127" s="1269"/>
      <c r="E127" s="1269"/>
      <c r="F127" s="1266"/>
      <c r="G127" s="1284"/>
      <c r="H127" s="1284"/>
    </row>
    <row r="128" spans="2:8" ht="15.75" thickTop="1">
      <c r="B128" s="1262"/>
      <c r="C128" s="1722"/>
      <c r="D128" s="1722"/>
      <c r="E128" s="1722"/>
      <c r="F128" s="1262"/>
      <c r="G128" s="1262"/>
    </row>
    <row r="129" spans="2:7">
      <c r="B129" s="1262"/>
      <c r="C129" s="1722"/>
      <c r="D129" s="1722"/>
      <c r="E129" s="1722"/>
      <c r="F129" s="1262"/>
      <c r="G129" s="1262"/>
    </row>
    <row r="130" spans="2:7">
      <c r="B130" s="1262"/>
      <c r="C130" s="1722"/>
      <c r="D130" s="1722"/>
      <c r="E130" s="1722"/>
      <c r="F130" s="1262"/>
      <c r="G130" s="1262"/>
    </row>
    <row r="131" spans="2:7">
      <c r="B131" s="1262"/>
      <c r="C131" s="1722"/>
      <c r="D131" s="1722"/>
      <c r="E131" s="1722"/>
      <c r="F131" s="1262"/>
      <c r="G131" s="1262"/>
    </row>
    <row r="132" spans="2:7">
      <c r="B132" s="1262"/>
      <c r="C132" s="1722"/>
      <c r="D132" s="1722"/>
      <c r="E132" s="1722"/>
      <c r="F132" s="1262"/>
      <c r="G132" s="1262"/>
    </row>
    <row r="133" spans="2:7">
      <c r="B133" s="1262"/>
      <c r="C133" s="1722"/>
      <c r="D133" s="1722"/>
      <c r="E133" s="1722"/>
      <c r="F133" s="1262"/>
      <c r="G133" s="1262"/>
    </row>
    <row r="134" spans="2:7">
      <c r="B134" s="1262"/>
      <c r="C134" s="1722"/>
      <c r="D134" s="1722"/>
      <c r="E134" s="1722"/>
      <c r="F134" s="1262"/>
      <c r="G134" s="1262"/>
    </row>
    <row r="135" spans="2:7">
      <c r="B135" s="1262"/>
      <c r="C135" s="1722"/>
      <c r="D135" s="1722"/>
      <c r="E135" s="1722"/>
      <c r="F135" s="1262"/>
      <c r="G135" s="1262"/>
    </row>
    <row r="136" spans="2:7">
      <c r="B136" s="1262"/>
      <c r="C136" s="1722"/>
      <c r="D136" s="1722"/>
      <c r="E136" s="1722"/>
      <c r="F136" s="1262"/>
      <c r="G136" s="1262"/>
    </row>
    <row r="137" spans="2:7">
      <c r="B137" s="1262"/>
      <c r="C137" s="1722"/>
      <c r="D137" s="1722"/>
      <c r="E137" s="1722"/>
      <c r="F137" s="1262"/>
      <c r="G137" s="1262"/>
    </row>
    <row r="138" spans="2:7">
      <c r="B138" s="1262"/>
      <c r="C138" s="1722"/>
      <c r="D138" s="1722"/>
      <c r="E138" s="1722"/>
      <c r="F138" s="1262"/>
      <c r="G138" s="1262"/>
    </row>
    <row r="143" spans="2:7">
      <c r="C143" s="1216"/>
      <c r="D143" s="1201"/>
    </row>
    <row r="144" spans="2:7">
      <c r="B144" s="1217"/>
      <c r="C144" s="1216"/>
      <c r="D144" s="1201"/>
    </row>
    <row r="145" spans="2:4">
      <c r="C145" s="1200"/>
      <c r="D145" s="1201"/>
    </row>
    <row r="146" spans="2:4">
      <c r="B146" s="1214" t="s">
        <v>1064</v>
      </c>
      <c r="D146" s="1214" t="s">
        <v>4985</v>
      </c>
    </row>
  </sheetData>
  <sortState xmlns:xlrd2="http://schemas.microsoft.com/office/spreadsheetml/2017/richdata2" ref="S13:U40">
    <sortCondition ref="S12:S40"/>
  </sortState>
  <mergeCells count="184">
    <mergeCell ref="G123:H123"/>
    <mergeCell ref="G124:H124"/>
    <mergeCell ref="G125:H125"/>
    <mergeCell ref="G126:H126"/>
    <mergeCell ref="G118:H118"/>
    <mergeCell ref="G119:H119"/>
    <mergeCell ref="G120:H120"/>
    <mergeCell ref="G121:H121"/>
    <mergeCell ref="G122:H122"/>
    <mergeCell ref="G113:H113"/>
    <mergeCell ref="G114:H114"/>
    <mergeCell ref="G115:H115"/>
    <mergeCell ref="G116:H116"/>
    <mergeCell ref="G117:H117"/>
    <mergeCell ref="G108:H108"/>
    <mergeCell ref="G109:H109"/>
    <mergeCell ref="G110:H110"/>
    <mergeCell ref="G111:H111"/>
    <mergeCell ref="G112:H112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73:H73"/>
    <mergeCell ref="G74:H74"/>
    <mergeCell ref="G76:H76"/>
    <mergeCell ref="G77:H77"/>
    <mergeCell ref="G68:H68"/>
    <mergeCell ref="G69:H69"/>
    <mergeCell ref="G70:H70"/>
    <mergeCell ref="G71:H71"/>
    <mergeCell ref="G72:H7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C136:E136"/>
    <mergeCell ref="C137:E137"/>
    <mergeCell ref="C138:E138"/>
    <mergeCell ref="G40:H40"/>
    <mergeCell ref="G41:H41"/>
    <mergeCell ref="G42:H42"/>
    <mergeCell ref="G44:H44"/>
    <mergeCell ref="G45:H45"/>
    <mergeCell ref="G46:H46"/>
    <mergeCell ref="G48:H48"/>
    <mergeCell ref="G49:H49"/>
    <mergeCell ref="G50:H50"/>
    <mergeCell ref="G51:H51"/>
    <mergeCell ref="C131:E131"/>
    <mergeCell ref="C132:E132"/>
    <mergeCell ref="C133:E133"/>
    <mergeCell ref="C134:E134"/>
    <mergeCell ref="C135:E135"/>
    <mergeCell ref="C125:E125"/>
    <mergeCell ref="C126:E126"/>
    <mergeCell ref="C128:E128"/>
    <mergeCell ref="C129:E129"/>
    <mergeCell ref="C130:E130"/>
    <mergeCell ref="C120:E120"/>
    <mergeCell ref="C121:E121"/>
    <mergeCell ref="C122:E122"/>
    <mergeCell ref="C123:E123"/>
    <mergeCell ref="C124:E124"/>
    <mergeCell ref="C115:E115"/>
    <mergeCell ref="C116:E116"/>
    <mergeCell ref="C117:E117"/>
    <mergeCell ref="C118:E118"/>
    <mergeCell ref="C119:E119"/>
    <mergeCell ref="C110:E110"/>
    <mergeCell ref="C111:E111"/>
    <mergeCell ref="C112:E112"/>
    <mergeCell ref="C113:E113"/>
    <mergeCell ref="C114:E114"/>
    <mergeCell ref="C105:E105"/>
    <mergeCell ref="C106:E106"/>
    <mergeCell ref="C107:E107"/>
    <mergeCell ref="C108:E108"/>
    <mergeCell ref="C109:E109"/>
    <mergeCell ref="C100:E100"/>
    <mergeCell ref="C101:E101"/>
    <mergeCell ref="C102:E102"/>
    <mergeCell ref="C103:E103"/>
    <mergeCell ref="C104:E104"/>
    <mergeCell ref="C95:E95"/>
    <mergeCell ref="C96:E96"/>
    <mergeCell ref="C97:E97"/>
    <mergeCell ref="C98:E98"/>
    <mergeCell ref="C99:E99"/>
    <mergeCell ref="C90:E90"/>
    <mergeCell ref="C91:E91"/>
    <mergeCell ref="C92:E92"/>
    <mergeCell ref="C93:E93"/>
    <mergeCell ref="C94:E94"/>
    <mergeCell ref="C85:E85"/>
    <mergeCell ref="C86:E86"/>
    <mergeCell ref="C87:E87"/>
    <mergeCell ref="C88:E88"/>
    <mergeCell ref="C89:E89"/>
    <mergeCell ref="C80:E80"/>
    <mergeCell ref="C81:E81"/>
    <mergeCell ref="C82:E82"/>
    <mergeCell ref="C83:E83"/>
    <mergeCell ref="C84:E84"/>
    <mergeCell ref="C74:E74"/>
    <mergeCell ref="C76:E76"/>
    <mergeCell ref="C77:E77"/>
    <mergeCell ref="C78:E78"/>
    <mergeCell ref="C79:E79"/>
    <mergeCell ref="C58:E58"/>
    <mergeCell ref="C59:E59"/>
    <mergeCell ref="C60:E60"/>
    <mergeCell ref="C37:H37"/>
    <mergeCell ref="G53:H53"/>
    <mergeCell ref="G54:H54"/>
    <mergeCell ref="G55:H55"/>
    <mergeCell ref="G56:H56"/>
    <mergeCell ref="G57:H57"/>
    <mergeCell ref="C39:E39"/>
    <mergeCell ref="C40:E40"/>
    <mergeCell ref="C41:E41"/>
    <mergeCell ref="C42:E42"/>
    <mergeCell ref="C52:E52"/>
    <mergeCell ref="C53:E53"/>
    <mergeCell ref="C54:E54"/>
    <mergeCell ref="C43:E43"/>
    <mergeCell ref="C44:E44"/>
    <mergeCell ref="C45:E45"/>
    <mergeCell ref="C46:E46"/>
    <mergeCell ref="A2:B2"/>
    <mergeCell ref="C3:H4"/>
    <mergeCell ref="D5:G5"/>
    <mergeCell ref="C73:E73"/>
    <mergeCell ref="C62:E62"/>
    <mergeCell ref="C63:E63"/>
    <mergeCell ref="C64:E64"/>
    <mergeCell ref="C65:E65"/>
    <mergeCell ref="C66:E66"/>
    <mergeCell ref="C67:E67"/>
    <mergeCell ref="C68:E68"/>
    <mergeCell ref="C69:E69"/>
    <mergeCell ref="C70:E70"/>
    <mergeCell ref="C71:E71"/>
    <mergeCell ref="C72:E72"/>
    <mergeCell ref="C61:E61"/>
    <mergeCell ref="C47:E47"/>
    <mergeCell ref="C48:E48"/>
    <mergeCell ref="C49:E49"/>
    <mergeCell ref="C50:E50"/>
    <mergeCell ref="C51:E51"/>
    <mergeCell ref="C55:E55"/>
    <mergeCell ref="C56:E56"/>
    <mergeCell ref="C57:E57"/>
  </mergeCells>
  <pageMargins left="0" right="0" top="0" bottom="0.31496062992125984" header="0" footer="7.874015748031496E-2"/>
  <pageSetup paperSize="9" scale="85" fitToHeight="0" orientation="portrait" horizontalDpi="0" verticalDpi="0" r:id="rId1"/>
  <headerFooter>
    <oddFooter>&amp;L&amp;"-,Bold Italic"&amp;U&amp;K0070C0Accounts Manager&amp;C&amp;"-,Bold Italic"&amp;U&amp;K0070C0Accountant&amp;R&amp;"-,Bold Italic"&amp;U&amp;K0070C0Gen.Manager</oddFooter>
  </headerFooter>
  <customProperties>
    <customPr name="LastActive" r:id="rId2"/>
  </customProperties>
  <ignoredErrors>
    <ignoredError sqref="B8:B9" numberStoredAsText="1"/>
  </ignoredError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64D99-7D95-4C76-9931-1BC55D0F6925}">
  <sheetPr codeName="Sheet15">
    <pageSetUpPr fitToPage="1"/>
  </sheetPr>
  <dimension ref="A1:AC79"/>
  <sheetViews>
    <sheetView topLeftCell="A43" workbookViewId="0">
      <selection activeCell="G17" sqref="G17"/>
    </sheetView>
  </sheetViews>
  <sheetFormatPr defaultRowHeight="15"/>
  <cols>
    <col min="1" max="1" width="5.140625" customWidth="1"/>
    <col min="2" max="2" width="23.7109375" customWidth="1"/>
    <col min="3" max="3" width="0" hidden="1" customWidth="1"/>
    <col min="7" max="7" width="14.42578125" style="1492" customWidth="1"/>
    <col min="8" max="8" width="12" customWidth="1"/>
    <col min="9" max="9" width="10.5703125" style="1518" customWidth="1"/>
    <col min="10" max="10" width="7.28515625" customWidth="1"/>
    <col min="11" max="11" width="7.5703125" style="1493" customWidth="1"/>
  </cols>
  <sheetData>
    <row r="1" spans="1:29" ht="15.75" thickBot="1"/>
    <row r="2" spans="1:29" ht="26.25" thickTop="1">
      <c r="A2" s="1423"/>
      <c r="B2" s="1423" t="s">
        <v>315</v>
      </c>
      <c r="C2" s="1423" t="s">
        <v>315</v>
      </c>
      <c r="D2" s="1421" t="s">
        <v>5393</v>
      </c>
      <c r="E2" s="1421" t="s">
        <v>5394</v>
      </c>
      <c r="F2" s="1421" t="s">
        <v>5396</v>
      </c>
      <c r="G2" s="1515" t="s">
        <v>348</v>
      </c>
      <c r="H2" s="1423"/>
      <c r="I2" s="1519"/>
      <c r="J2" s="1423"/>
      <c r="K2" s="1527" t="s">
        <v>5395</v>
      </c>
      <c r="L2" s="1421" t="s">
        <v>5152</v>
      </c>
      <c r="M2" s="1421" t="s">
        <v>27</v>
      </c>
      <c r="N2" s="1421" t="s">
        <v>344</v>
      </c>
      <c r="O2" s="1421" t="s">
        <v>345</v>
      </c>
      <c r="P2" s="1421" t="s">
        <v>363</v>
      </c>
      <c r="Q2" s="1421" t="s">
        <v>364</v>
      </c>
      <c r="R2" s="1421" t="s">
        <v>222</v>
      </c>
      <c r="S2" s="1421" t="s">
        <v>221</v>
      </c>
      <c r="T2" s="1422" t="s">
        <v>346</v>
      </c>
      <c r="U2" s="1422" t="s">
        <v>347</v>
      </c>
      <c r="V2" s="1424" t="s">
        <v>348</v>
      </c>
      <c r="W2" s="1424" t="s">
        <v>349</v>
      </c>
      <c r="X2" s="1424" t="s">
        <v>350</v>
      </c>
      <c r="Y2" s="1424" t="s">
        <v>348</v>
      </c>
      <c r="Z2" s="1424" t="s">
        <v>349</v>
      </c>
      <c r="AA2" s="1424" t="s">
        <v>350</v>
      </c>
      <c r="AB2" s="1424" t="s">
        <v>351</v>
      </c>
      <c r="AC2" s="1494" t="s">
        <v>5395</v>
      </c>
    </row>
    <row r="3" spans="1:29" ht="14.25" customHeight="1">
      <c r="A3" s="1495">
        <v>204</v>
      </c>
      <c r="B3" s="1496" t="s">
        <v>266</v>
      </c>
      <c r="C3" s="1497" t="s">
        <v>998</v>
      </c>
      <c r="D3" s="1497"/>
      <c r="E3" s="1497"/>
      <c r="F3" s="1497"/>
      <c r="G3" s="1516">
        <v>97562</v>
      </c>
      <c r="H3" s="1497"/>
      <c r="I3" s="1520"/>
      <c r="J3" s="1497"/>
      <c r="K3" s="1528">
        <v>-4075</v>
      </c>
      <c r="L3" s="1498" t="s">
        <v>999</v>
      </c>
      <c r="M3" s="1498" t="s">
        <v>342</v>
      </c>
      <c r="N3" s="1498">
        <v>7117665</v>
      </c>
      <c r="O3" s="1498"/>
      <c r="P3" s="1499" t="s">
        <v>1000</v>
      </c>
      <c r="Q3" s="1498" t="s">
        <v>1001</v>
      </c>
      <c r="R3" s="1500">
        <v>205000</v>
      </c>
      <c r="S3" s="1500">
        <v>24000</v>
      </c>
      <c r="T3" s="1501">
        <v>233075</v>
      </c>
      <c r="U3" s="1501">
        <v>151483</v>
      </c>
      <c r="V3" s="1502">
        <v>97562</v>
      </c>
      <c r="W3" s="1502">
        <v>85806</v>
      </c>
      <c r="X3" s="1502"/>
      <c r="Y3" s="1502"/>
      <c r="Z3" s="1502"/>
      <c r="AA3" s="1502"/>
      <c r="AB3" s="1502"/>
      <c r="AC3" s="1506">
        <f t="shared" ref="AC3:AC34" si="0">(R3+S3)-T3</f>
        <v>-4075</v>
      </c>
    </row>
    <row r="4" spans="1:29" ht="14.25" customHeight="1">
      <c r="A4" s="1495">
        <v>202</v>
      </c>
      <c r="B4" s="1496" t="s">
        <v>2883</v>
      </c>
      <c r="C4" s="1497" t="s">
        <v>2882</v>
      </c>
      <c r="D4" s="1497"/>
      <c r="E4" s="1497"/>
      <c r="F4" s="1497"/>
      <c r="G4" s="1516" t="s">
        <v>230</v>
      </c>
      <c r="H4" s="1497"/>
      <c r="I4" s="1520"/>
      <c r="J4" s="1497"/>
      <c r="K4" s="1528">
        <v>-1872.7600000000093</v>
      </c>
      <c r="L4" s="1498" t="s">
        <v>460</v>
      </c>
      <c r="M4" s="1503" t="s">
        <v>5373</v>
      </c>
      <c r="N4" s="1498">
        <v>6180172</v>
      </c>
      <c r="O4" s="1498"/>
      <c r="P4" s="1499" t="s">
        <v>462</v>
      </c>
      <c r="Q4" s="1498" t="s">
        <v>461</v>
      </c>
      <c r="R4" s="1500">
        <v>565000</v>
      </c>
      <c r="S4" s="1500">
        <v>40000</v>
      </c>
      <c r="T4" s="1501">
        <v>606872.76</v>
      </c>
      <c r="U4" s="1501">
        <v>486701.42</v>
      </c>
      <c r="V4" s="1502" t="s">
        <v>230</v>
      </c>
      <c r="W4" s="1502">
        <v>316680</v>
      </c>
      <c r="X4" s="1502">
        <v>315800</v>
      </c>
      <c r="Y4" s="1502"/>
      <c r="Z4" s="1502"/>
      <c r="AA4" s="1502"/>
      <c r="AB4" s="1502"/>
      <c r="AC4" s="1506">
        <f t="shared" si="0"/>
        <v>-1872.7600000000093</v>
      </c>
    </row>
    <row r="5" spans="1:29" ht="14.25" customHeight="1">
      <c r="A5" s="1495">
        <v>211</v>
      </c>
      <c r="B5" s="1496" t="s">
        <v>270</v>
      </c>
      <c r="C5" s="1497" t="s">
        <v>718</v>
      </c>
      <c r="D5" s="1497"/>
      <c r="E5" s="1497"/>
      <c r="F5" s="1497"/>
      <c r="G5" s="1516" t="s">
        <v>722</v>
      </c>
      <c r="H5" s="1497"/>
      <c r="I5" s="1520"/>
      <c r="J5" s="1497"/>
      <c r="K5" s="1528">
        <v>-1740</v>
      </c>
      <c r="L5" s="1498" t="s">
        <v>719</v>
      </c>
      <c r="M5" s="1498" t="s">
        <v>5374</v>
      </c>
      <c r="N5" s="1498">
        <v>2630983</v>
      </c>
      <c r="O5" s="1498"/>
      <c r="P5" s="1499" t="s">
        <v>721</v>
      </c>
      <c r="Q5" s="1503" t="s">
        <v>720</v>
      </c>
      <c r="R5" s="1500">
        <v>310000</v>
      </c>
      <c r="S5" s="1500">
        <v>27500</v>
      </c>
      <c r="T5" s="1501">
        <v>339240</v>
      </c>
      <c r="U5" s="1501">
        <v>239868.37999999998</v>
      </c>
      <c r="V5" s="1502" t="s">
        <v>722</v>
      </c>
      <c r="W5" s="1502">
        <v>165207</v>
      </c>
      <c r="X5" s="1502">
        <v>165389</v>
      </c>
      <c r="Y5" s="1502"/>
      <c r="Z5" s="1502"/>
      <c r="AA5" s="1502"/>
      <c r="AB5" s="1502"/>
      <c r="AC5" s="1506">
        <f t="shared" si="0"/>
        <v>-1740</v>
      </c>
    </row>
    <row r="6" spans="1:29" ht="14.25" customHeight="1">
      <c r="A6" s="1495">
        <v>217</v>
      </c>
      <c r="B6" s="1496" t="s">
        <v>296</v>
      </c>
      <c r="C6" s="1497" t="s">
        <v>649</v>
      </c>
      <c r="D6" s="1497"/>
      <c r="E6" s="1497"/>
      <c r="F6" s="1497"/>
      <c r="G6" s="1516" t="s">
        <v>652</v>
      </c>
      <c r="H6" s="1497"/>
      <c r="I6" s="1520"/>
      <c r="J6" s="1497"/>
      <c r="K6" s="1528">
        <v>-1077.5</v>
      </c>
      <c r="L6" s="1498" t="s">
        <v>323</v>
      </c>
      <c r="M6" s="1503" t="s">
        <v>5379</v>
      </c>
      <c r="N6" s="1498">
        <v>2827624</v>
      </c>
      <c r="O6" s="1498"/>
      <c r="P6" s="1499" t="s">
        <v>651</v>
      </c>
      <c r="Q6" s="1503" t="s">
        <v>650</v>
      </c>
      <c r="R6" s="1500">
        <v>175000</v>
      </c>
      <c r="S6" s="1500">
        <v>3000</v>
      </c>
      <c r="T6" s="1501">
        <v>179077.5</v>
      </c>
      <c r="U6" s="1501">
        <v>152930.56599999999</v>
      </c>
      <c r="V6" s="1502" t="s">
        <v>652</v>
      </c>
      <c r="W6" s="1502">
        <v>96631</v>
      </c>
      <c r="X6" s="1502">
        <v>85622</v>
      </c>
      <c r="Y6" s="1502"/>
      <c r="Z6" s="1502"/>
      <c r="AA6" s="1502"/>
      <c r="AB6" s="1502"/>
      <c r="AC6" s="1506">
        <f t="shared" si="0"/>
        <v>-1077.5</v>
      </c>
    </row>
    <row r="7" spans="1:29" ht="14.25" customHeight="1">
      <c r="A7" s="1495">
        <v>221</v>
      </c>
      <c r="B7" s="1496" t="s">
        <v>305</v>
      </c>
      <c r="C7" s="1497" t="s">
        <v>501</v>
      </c>
      <c r="D7" s="1497"/>
      <c r="E7" s="1497"/>
      <c r="F7" s="1497"/>
      <c r="G7" s="1516" t="s">
        <v>504</v>
      </c>
      <c r="H7" s="1497"/>
      <c r="I7" s="1520"/>
      <c r="J7" s="1497"/>
      <c r="K7" s="1528">
        <v>-270</v>
      </c>
      <c r="L7" s="1498" t="s">
        <v>323</v>
      </c>
      <c r="M7" s="1498" t="s">
        <v>5381</v>
      </c>
      <c r="N7" s="1498">
        <v>7115084</v>
      </c>
      <c r="O7" s="1498"/>
      <c r="P7" s="1499" t="s">
        <v>503</v>
      </c>
      <c r="Q7" s="1498" t="s">
        <v>502</v>
      </c>
      <c r="R7" s="1500">
        <v>135000</v>
      </c>
      <c r="S7" s="1500">
        <v>9000</v>
      </c>
      <c r="T7" s="1501">
        <v>144270</v>
      </c>
      <c r="U7" s="1501">
        <v>117426.29750000002</v>
      </c>
      <c r="V7" s="1502" t="s">
        <v>504</v>
      </c>
      <c r="W7" s="1502">
        <v>76335</v>
      </c>
      <c r="X7" s="1502">
        <v>76335</v>
      </c>
      <c r="Y7" s="1502"/>
      <c r="Z7" s="1502"/>
      <c r="AA7" s="1502"/>
      <c r="AB7" s="1502"/>
      <c r="AC7" s="1506">
        <f t="shared" si="0"/>
        <v>-270</v>
      </c>
    </row>
    <row r="8" spans="1:29" ht="14.25" customHeight="1">
      <c r="A8" s="1495">
        <v>223</v>
      </c>
      <c r="B8" s="1496" t="s">
        <v>292</v>
      </c>
      <c r="C8" s="1497" t="s">
        <v>770</v>
      </c>
      <c r="D8" s="1497"/>
      <c r="E8" s="1497"/>
      <c r="F8" s="1497"/>
      <c r="G8" s="1516" t="s">
        <v>491</v>
      </c>
      <c r="H8" s="1497"/>
      <c r="I8" s="1520"/>
      <c r="J8" s="1497"/>
      <c r="K8" s="1528">
        <v>-102</v>
      </c>
      <c r="L8" s="1498" t="s">
        <v>323</v>
      </c>
      <c r="M8" s="1498" t="s">
        <v>342</v>
      </c>
      <c r="N8" s="1498">
        <v>71111233</v>
      </c>
      <c r="O8" s="1498"/>
      <c r="P8" s="1499" t="s">
        <v>771</v>
      </c>
      <c r="Q8" s="1499" t="s">
        <v>415</v>
      </c>
      <c r="R8" s="1500">
        <v>100000</v>
      </c>
      <c r="S8" s="1500"/>
      <c r="T8" s="1501">
        <v>100102</v>
      </c>
      <c r="U8" s="1501">
        <v>70915.75</v>
      </c>
      <c r="V8" s="1502" t="s">
        <v>491</v>
      </c>
      <c r="W8" s="1502">
        <v>52363</v>
      </c>
      <c r="X8" s="1502">
        <v>52363</v>
      </c>
      <c r="Y8" s="1502"/>
      <c r="Z8" s="1502"/>
      <c r="AA8" s="1502"/>
      <c r="AB8" s="1502"/>
      <c r="AC8" s="1506">
        <f t="shared" si="0"/>
        <v>-102</v>
      </c>
    </row>
    <row r="9" spans="1:29" ht="14.25" customHeight="1">
      <c r="A9" s="1495">
        <v>212</v>
      </c>
      <c r="B9" s="1496" t="s">
        <v>312</v>
      </c>
      <c r="C9" s="1504" t="s">
        <v>706</v>
      </c>
      <c r="D9" s="1504"/>
      <c r="E9" s="1504"/>
      <c r="F9" s="1504"/>
      <c r="G9" s="1516"/>
      <c r="H9" s="1504"/>
      <c r="I9" s="1521"/>
      <c r="J9" s="1504"/>
      <c r="K9" s="1529">
        <v>-0.5</v>
      </c>
      <c r="L9" s="1498" t="s">
        <v>323</v>
      </c>
      <c r="M9" s="1503" t="s">
        <v>5375</v>
      </c>
      <c r="N9" s="1498">
        <v>7112758</v>
      </c>
      <c r="O9" s="1498"/>
      <c r="P9" s="1498" t="s">
        <v>708</v>
      </c>
      <c r="Q9" s="1503" t="s">
        <v>707</v>
      </c>
      <c r="R9" s="1500">
        <v>205000</v>
      </c>
      <c r="S9" s="1500">
        <v>4300</v>
      </c>
      <c r="T9" s="1501">
        <v>209300.5</v>
      </c>
      <c r="U9" s="1501">
        <v>157115.99</v>
      </c>
      <c r="V9" s="1502"/>
      <c r="W9" s="1502"/>
      <c r="X9" s="1502">
        <v>103319.5</v>
      </c>
      <c r="Y9" s="1502"/>
      <c r="Z9" s="1502"/>
      <c r="AA9" s="1502"/>
      <c r="AB9" s="1502"/>
      <c r="AC9" s="1506">
        <f t="shared" si="0"/>
        <v>-0.5</v>
      </c>
    </row>
    <row r="10" spans="1:29" ht="14.25" customHeight="1">
      <c r="A10" s="1495">
        <v>213</v>
      </c>
      <c r="B10" s="1496" t="s">
        <v>298</v>
      </c>
      <c r="C10" s="1497" t="s">
        <v>779</v>
      </c>
      <c r="D10" s="1497"/>
      <c r="E10" s="1497"/>
      <c r="F10" s="1497"/>
      <c r="G10" s="1516" t="s">
        <v>660</v>
      </c>
      <c r="H10" s="1497"/>
      <c r="I10" s="1520"/>
      <c r="J10" s="1497"/>
      <c r="K10" s="1528">
        <v>-0.5</v>
      </c>
      <c r="L10" s="1505" t="s">
        <v>5376</v>
      </c>
      <c r="M10" s="1498" t="s">
        <v>659</v>
      </c>
      <c r="N10" s="1498">
        <v>2270341</v>
      </c>
      <c r="O10" s="1498"/>
      <c r="P10" s="1498" t="s">
        <v>658</v>
      </c>
      <c r="Q10" s="1498" t="s">
        <v>657</v>
      </c>
      <c r="R10" s="1500">
        <v>370000</v>
      </c>
      <c r="S10" s="1500">
        <v>6404</v>
      </c>
      <c r="T10" s="1501">
        <v>376404.5</v>
      </c>
      <c r="U10" s="1501">
        <v>229674.12</v>
      </c>
      <c r="V10" s="1502" t="s">
        <v>660</v>
      </c>
      <c r="W10" s="1502">
        <v>163123</v>
      </c>
      <c r="X10" s="1502">
        <v>163123</v>
      </c>
      <c r="Y10" s="1502"/>
      <c r="Z10" s="1502"/>
      <c r="AA10" s="1502"/>
      <c r="AB10" s="1502"/>
      <c r="AC10" s="1506">
        <f t="shared" si="0"/>
        <v>-0.5</v>
      </c>
    </row>
    <row r="11" spans="1:29" ht="14.25" customHeight="1">
      <c r="A11" s="1495">
        <v>210</v>
      </c>
      <c r="B11" s="1507" t="s">
        <v>310</v>
      </c>
      <c r="C11" s="1508"/>
      <c r="D11" s="1508"/>
      <c r="E11" s="1508"/>
      <c r="F11" s="1508"/>
      <c r="G11" s="1517"/>
      <c r="H11" s="1508"/>
      <c r="I11" s="1522"/>
      <c r="J11" s="1508"/>
      <c r="K11" s="1530">
        <v>0</v>
      </c>
      <c r="L11" s="1509"/>
      <c r="M11" s="1509"/>
      <c r="N11" s="1509"/>
      <c r="O11" s="1509"/>
      <c r="P11" s="1510"/>
      <c r="Q11" s="1509"/>
      <c r="R11" s="1511"/>
      <c r="S11" s="1511"/>
      <c r="T11" s="1512">
        <v>0</v>
      </c>
      <c r="U11" s="1512">
        <v>45</v>
      </c>
      <c r="V11" s="1513"/>
      <c r="W11" s="1513"/>
      <c r="X11" s="1513"/>
      <c r="Y11" s="1513"/>
      <c r="Z11" s="1513"/>
      <c r="AA11" s="1513"/>
      <c r="AB11" s="1513"/>
      <c r="AC11" s="1514">
        <f t="shared" si="0"/>
        <v>0</v>
      </c>
    </row>
    <row r="12" spans="1:29" ht="14.25" customHeight="1">
      <c r="A12" s="1495">
        <v>210</v>
      </c>
      <c r="B12" s="1507" t="s">
        <v>311</v>
      </c>
      <c r="C12" s="1508"/>
      <c r="D12" s="1508"/>
      <c r="E12" s="1508"/>
      <c r="F12" s="1508"/>
      <c r="G12" s="1517"/>
      <c r="H12" s="1508"/>
      <c r="I12" s="1522"/>
      <c r="J12" s="1508"/>
      <c r="K12" s="1530">
        <v>0</v>
      </c>
      <c r="L12" s="1509"/>
      <c r="M12" s="1509"/>
      <c r="N12" s="1509"/>
      <c r="O12" s="1509"/>
      <c r="P12" s="1510"/>
      <c r="Q12" s="1509"/>
      <c r="R12" s="1511"/>
      <c r="S12" s="1511"/>
      <c r="T12" s="1512">
        <v>0</v>
      </c>
      <c r="U12" s="1512">
        <v>45</v>
      </c>
      <c r="V12" s="1513"/>
      <c r="W12" s="1513"/>
      <c r="X12" s="1513"/>
      <c r="Y12" s="1513"/>
      <c r="Z12" s="1513"/>
      <c r="AA12" s="1513"/>
      <c r="AB12" s="1513"/>
      <c r="AC12" s="1514">
        <f t="shared" si="0"/>
        <v>0</v>
      </c>
    </row>
    <row r="13" spans="1:29" ht="14.25" customHeight="1">
      <c r="A13" s="1495">
        <v>222</v>
      </c>
      <c r="B13" s="1496" t="s">
        <v>306</v>
      </c>
      <c r="C13" s="1497" t="s">
        <v>489</v>
      </c>
      <c r="D13" s="1497"/>
      <c r="E13" s="1497"/>
      <c r="F13" s="1497"/>
      <c r="G13" s="1516" t="s">
        <v>493</v>
      </c>
      <c r="H13" s="1497"/>
      <c r="I13" s="1520"/>
      <c r="J13" s="1497"/>
      <c r="K13" s="1528">
        <v>0</v>
      </c>
      <c r="L13" s="1498" t="s">
        <v>490</v>
      </c>
      <c r="M13" s="1498" t="s">
        <v>5380</v>
      </c>
      <c r="N13" s="1498">
        <v>2822300</v>
      </c>
      <c r="O13" s="1498"/>
      <c r="P13" s="1499" t="s">
        <v>492</v>
      </c>
      <c r="Q13" s="1503" t="s">
        <v>491</v>
      </c>
      <c r="R13" s="1500">
        <v>170000</v>
      </c>
      <c r="S13" s="1500"/>
      <c r="T13" s="1501">
        <v>170000</v>
      </c>
      <c r="U13" s="1501">
        <v>133707.19</v>
      </c>
      <c r="V13" s="1502" t="s">
        <v>493</v>
      </c>
      <c r="W13" s="1502">
        <v>93513</v>
      </c>
      <c r="X13" s="1502">
        <v>93513.75</v>
      </c>
      <c r="Y13" s="1502"/>
      <c r="Z13" s="1502"/>
      <c r="AA13" s="1502"/>
      <c r="AB13" s="1502"/>
      <c r="AC13" s="1506">
        <f t="shared" si="0"/>
        <v>0</v>
      </c>
    </row>
    <row r="14" spans="1:29" ht="14.25" customHeight="1">
      <c r="A14" s="1495">
        <v>231</v>
      </c>
      <c r="B14" s="1496" t="s">
        <v>186</v>
      </c>
      <c r="C14" s="1497" t="s">
        <v>638</v>
      </c>
      <c r="D14" s="1497"/>
      <c r="E14" s="1497"/>
      <c r="F14" s="1497"/>
      <c r="G14" s="1516" t="s">
        <v>641</v>
      </c>
      <c r="H14" s="1497"/>
      <c r="I14" s="1520"/>
      <c r="J14" s="1497"/>
      <c r="K14" s="1528">
        <v>0</v>
      </c>
      <c r="L14" s="1498" t="s">
        <v>323</v>
      </c>
      <c r="M14" s="1498" t="s">
        <v>5384</v>
      </c>
      <c r="N14" s="1498">
        <v>4240894</v>
      </c>
      <c r="O14" s="1498"/>
      <c r="P14" s="1498" t="s">
        <v>640</v>
      </c>
      <c r="Q14" s="1503" t="s">
        <v>639</v>
      </c>
      <c r="R14" s="1500">
        <v>130000</v>
      </c>
      <c r="S14" s="1500">
        <v>5250</v>
      </c>
      <c r="T14" s="1501">
        <v>135250</v>
      </c>
      <c r="U14" s="1501">
        <v>101227.06</v>
      </c>
      <c r="V14" s="1502" t="s">
        <v>641</v>
      </c>
      <c r="W14" s="1502">
        <v>71961</v>
      </c>
      <c r="X14" s="1502">
        <v>70649</v>
      </c>
      <c r="Y14" s="1502"/>
      <c r="Z14" s="1502"/>
      <c r="AA14" s="1502"/>
      <c r="AB14" s="1502"/>
      <c r="AC14" s="1506">
        <f t="shared" si="0"/>
        <v>0</v>
      </c>
    </row>
    <row r="15" spans="1:29" ht="14.25" customHeight="1">
      <c r="A15" s="1495">
        <v>234</v>
      </c>
      <c r="B15" s="1496" t="s">
        <v>286</v>
      </c>
      <c r="C15" s="1497" t="s">
        <v>3031</v>
      </c>
      <c r="D15" s="1497"/>
      <c r="E15" s="1497"/>
      <c r="F15" s="1497"/>
      <c r="G15" s="1516" t="s">
        <v>612</v>
      </c>
      <c r="H15" s="1497"/>
      <c r="I15" s="1520"/>
      <c r="J15" s="1497"/>
      <c r="K15" s="1528">
        <v>0</v>
      </c>
      <c r="L15" s="1503" t="s">
        <v>610</v>
      </c>
      <c r="M15" s="1503" t="s">
        <v>5385</v>
      </c>
      <c r="N15" s="1498">
        <v>4247060</v>
      </c>
      <c r="O15" s="1498"/>
      <c r="P15" s="1499" t="s">
        <v>491</v>
      </c>
      <c r="Q15" s="1503" t="s">
        <v>611</v>
      </c>
      <c r="R15" s="1500">
        <v>130000</v>
      </c>
      <c r="S15" s="1500">
        <v>4500</v>
      </c>
      <c r="T15" s="1501">
        <v>134500</v>
      </c>
      <c r="U15" s="1501">
        <v>101865.81999999999</v>
      </c>
      <c r="V15" s="1502" t="s">
        <v>612</v>
      </c>
      <c r="W15" s="1502">
        <v>70696.5</v>
      </c>
      <c r="X15" s="1502">
        <v>69054</v>
      </c>
      <c r="Y15" s="1502"/>
      <c r="Z15" s="1502"/>
      <c r="AA15" s="1502"/>
      <c r="AB15" s="1502"/>
      <c r="AC15" s="1506">
        <f t="shared" si="0"/>
        <v>0</v>
      </c>
    </row>
    <row r="16" spans="1:29" ht="14.25" customHeight="1">
      <c r="A16" s="1495">
        <v>239</v>
      </c>
      <c r="B16" s="1496" t="s">
        <v>280</v>
      </c>
      <c r="C16" s="1497" t="s">
        <v>573</v>
      </c>
      <c r="D16" s="1497"/>
      <c r="E16" s="1497"/>
      <c r="F16" s="1497"/>
      <c r="G16" s="1516" t="s">
        <v>577</v>
      </c>
      <c r="H16" s="1497"/>
      <c r="I16" s="1520"/>
      <c r="J16" s="1497"/>
      <c r="K16" s="1528">
        <v>0</v>
      </c>
      <c r="L16" s="1498" t="s">
        <v>574</v>
      </c>
      <c r="M16" s="1498" t="s">
        <v>5388</v>
      </c>
      <c r="N16" s="1498">
        <v>7116512</v>
      </c>
      <c r="O16" s="1498"/>
      <c r="P16" s="1498" t="s">
        <v>576</v>
      </c>
      <c r="Q16" s="1498" t="s">
        <v>575</v>
      </c>
      <c r="R16" s="1500">
        <v>95000</v>
      </c>
      <c r="S16" s="1500">
        <v>10000</v>
      </c>
      <c r="T16" s="1501">
        <v>105000</v>
      </c>
      <c r="U16" s="1501">
        <v>74580</v>
      </c>
      <c r="V16" s="1502" t="s">
        <v>577</v>
      </c>
      <c r="W16" s="1502">
        <v>51918</v>
      </c>
      <c r="X16" s="1502">
        <v>51918</v>
      </c>
      <c r="Y16" s="1502"/>
      <c r="Z16" s="1502"/>
      <c r="AA16" s="1502"/>
      <c r="AB16" s="1502"/>
      <c r="AC16" s="1506">
        <f t="shared" si="0"/>
        <v>0</v>
      </c>
    </row>
    <row r="17" spans="1:29" ht="14.25" customHeight="1">
      <c r="A17" s="1495">
        <v>250</v>
      </c>
      <c r="B17" s="1496" t="s">
        <v>295</v>
      </c>
      <c r="C17" s="1497" t="s">
        <v>1330</v>
      </c>
      <c r="D17" s="1497"/>
      <c r="E17" s="1497"/>
      <c r="F17" s="1497"/>
      <c r="G17" s="1516" t="s">
        <v>842</v>
      </c>
      <c r="H17" s="1497"/>
      <c r="I17" s="1520"/>
      <c r="J17" s="1497"/>
      <c r="K17" s="1528">
        <v>0</v>
      </c>
      <c r="L17" s="1498" t="s">
        <v>1331</v>
      </c>
      <c r="M17" s="1498" t="s">
        <v>342</v>
      </c>
      <c r="N17" s="1498">
        <v>71114197</v>
      </c>
      <c r="O17" s="1498"/>
      <c r="P17" s="1499"/>
      <c r="Q17" s="1498"/>
      <c r="R17" s="1500">
        <v>85000</v>
      </c>
      <c r="S17" s="1500">
        <v>8000</v>
      </c>
      <c r="T17" s="1501">
        <v>93000</v>
      </c>
      <c r="U17" s="1501">
        <v>66666.66</v>
      </c>
      <c r="V17" s="1502" t="s">
        <v>842</v>
      </c>
      <c r="W17" s="1502">
        <v>48153</v>
      </c>
      <c r="X17" s="1502">
        <v>37160</v>
      </c>
      <c r="Y17" s="1502"/>
      <c r="Z17" s="1502"/>
      <c r="AA17" s="1502"/>
      <c r="AB17" s="1502"/>
      <c r="AC17" s="1506">
        <f t="shared" si="0"/>
        <v>0</v>
      </c>
    </row>
    <row r="18" spans="1:29" ht="14.25" customHeight="1">
      <c r="A18" s="1495">
        <v>283</v>
      </c>
      <c r="B18" s="1496" t="s">
        <v>1262</v>
      </c>
      <c r="C18" s="1497"/>
      <c r="D18" s="1497"/>
      <c r="E18" s="1497"/>
      <c r="F18" s="1497"/>
      <c r="G18" s="1516"/>
      <c r="H18" s="1497"/>
      <c r="I18" s="1520"/>
      <c r="J18" s="1497"/>
      <c r="K18" s="1528">
        <v>0</v>
      </c>
      <c r="L18" s="1498"/>
      <c r="M18" s="1498"/>
      <c r="N18" s="1498"/>
      <c r="O18" s="1498"/>
      <c r="P18" s="1499"/>
      <c r="Q18" s="1503"/>
      <c r="R18" s="1500"/>
      <c r="S18" s="1500"/>
      <c r="T18" s="1501">
        <v>0</v>
      </c>
      <c r="U18" s="1501">
        <v>0</v>
      </c>
      <c r="V18" s="1502"/>
      <c r="W18" s="1502"/>
      <c r="X18" s="1502"/>
      <c r="Y18" s="1502"/>
      <c r="Z18" s="1502"/>
      <c r="AA18" s="1502"/>
      <c r="AB18" s="1502"/>
      <c r="AC18" s="1506">
        <f t="shared" si="0"/>
        <v>0</v>
      </c>
    </row>
    <row r="19" spans="1:29" ht="14.25" customHeight="1">
      <c r="A19" s="1495">
        <v>233</v>
      </c>
      <c r="B19" s="1496" t="s">
        <v>299</v>
      </c>
      <c r="C19" s="1497" t="s">
        <v>1003</v>
      </c>
      <c r="D19" s="1497"/>
      <c r="E19" s="1497"/>
      <c r="F19" s="1497"/>
      <c r="G19" s="1516" t="s">
        <v>841</v>
      </c>
      <c r="H19" s="1497"/>
      <c r="I19" s="1520"/>
      <c r="J19" s="1497"/>
      <c r="K19" s="1528">
        <v>0.79999999998835847</v>
      </c>
      <c r="L19" s="1498" t="s">
        <v>1004</v>
      </c>
      <c r="M19" s="1498" t="s">
        <v>356</v>
      </c>
      <c r="N19" s="1498">
        <v>2610984</v>
      </c>
      <c r="O19" s="1498"/>
      <c r="P19" s="1499" t="s">
        <v>1006</v>
      </c>
      <c r="Q19" s="1498" t="s">
        <v>1005</v>
      </c>
      <c r="R19" s="1500">
        <v>230000</v>
      </c>
      <c r="S19" s="1500"/>
      <c r="T19" s="1501">
        <v>229999.2</v>
      </c>
      <c r="U19" s="1501">
        <v>186989.78</v>
      </c>
      <c r="V19" s="1502" t="s">
        <v>841</v>
      </c>
      <c r="W19" s="1502">
        <v>129675</v>
      </c>
      <c r="X19" s="1502">
        <v>129675</v>
      </c>
      <c r="Y19" s="1502"/>
      <c r="Z19" s="1502"/>
      <c r="AA19" s="1502"/>
      <c r="AB19" s="1502"/>
      <c r="AC19" s="1506">
        <f t="shared" si="0"/>
        <v>0.79999999998835847</v>
      </c>
    </row>
    <row r="20" spans="1:29" ht="14.25" customHeight="1">
      <c r="A20" s="1495">
        <v>206</v>
      </c>
      <c r="B20" s="1496" t="s">
        <v>187</v>
      </c>
      <c r="C20" s="1497" t="s">
        <v>354</v>
      </c>
      <c r="D20" s="1497"/>
      <c r="E20" s="1497"/>
      <c r="F20" s="1497"/>
      <c r="G20" s="1516" t="s">
        <v>255</v>
      </c>
      <c r="H20" s="1497"/>
      <c r="I20" s="1520"/>
      <c r="J20" s="1497"/>
      <c r="K20" s="1528">
        <v>2</v>
      </c>
      <c r="L20" s="1498" t="s">
        <v>355</v>
      </c>
      <c r="M20" s="1498" t="s">
        <v>356</v>
      </c>
      <c r="N20" s="1498">
        <v>2610630</v>
      </c>
      <c r="O20" s="1498" t="s">
        <v>357</v>
      </c>
      <c r="P20" s="1498"/>
      <c r="Q20" s="1498"/>
      <c r="R20" s="1500">
        <v>290000</v>
      </c>
      <c r="S20" s="1500">
        <v>25700</v>
      </c>
      <c r="T20" s="1501">
        <v>315698</v>
      </c>
      <c r="U20" s="1501">
        <v>230517.85</v>
      </c>
      <c r="V20" s="1502" t="s">
        <v>255</v>
      </c>
      <c r="W20" s="1502">
        <v>150176</v>
      </c>
      <c r="X20" s="1502">
        <v>308008</v>
      </c>
      <c r="Y20" s="1502"/>
      <c r="Z20" s="1502"/>
      <c r="AA20" s="1502"/>
      <c r="AB20" s="1502"/>
      <c r="AC20" s="1506">
        <f t="shared" si="0"/>
        <v>2</v>
      </c>
    </row>
    <row r="21" spans="1:29" ht="14.25" customHeight="1">
      <c r="A21" s="1495">
        <v>262</v>
      </c>
      <c r="B21" s="1496" t="s">
        <v>275</v>
      </c>
      <c r="C21" s="1497" t="s">
        <v>319</v>
      </c>
      <c r="D21" s="1497"/>
      <c r="E21" s="1497"/>
      <c r="F21" s="1497"/>
      <c r="G21" s="1516" t="s">
        <v>449</v>
      </c>
      <c r="H21" s="1497"/>
      <c r="I21" s="1520"/>
      <c r="J21" s="1497"/>
      <c r="K21" s="1528">
        <v>765</v>
      </c>
      <c r="L21" s="1503" t="s">
        <v>326</v>
      </c>
      <c r="M21" s="1498" t="s">
        <v>337</v>
      </c>
      <c r="N21" s="1498">
        <v>4161553</v>
      </c>
      <c r="O21" s="1498"/>
      <c r="P21" s="1499" t="s">
        <v>448</v>
      </c>
      <c r="Q21" s="1503" t="s">
        <v>447</v>
      </c>
      <c r="R21" s="1500">
        <v>153000</v>
      </c>
      <c r="S21" s="1500"/>
      <c r="T21" s="1501">
        <v>152235</v>
      </c>
      <c r="U21" s="1501">
        <v>61823.93</v>
      </c>
      <c r="V21" s="1502" t="s">
        <v>449</v>
      </c>
      <c r="W21" s="1502">
        <v>79233</v>
      </c>
      <c r="X21" s="1502">
        <v>26056</v>
      </c>
      <c r="Y21" s="1502"/>
      <c r="Z21" s="1502"/>
      <c r="AA21" s="1502"/>
      <c r="AB21" s="1502"/>
      <c r="AC21" s="1506">
        <f t="shared" si="0"/>
        <v>765</v>
      </c>
    </row>
    <row r="22" spans="1:29" ht="14.25" customHeight="1">
      <c r="A22" s="1495">
        <v>214</v>
      </c>
      <c r="B22" s="1496" t="s">
        <v>273</v>
      </c>
      <c r="C22" s="1497" t="s">
        <v>778</v>
      </c>
      <c r="D22" s="1497"/>
      <c r="E22" s="1497"/>
      <c r="F22" s="1497"/>
      <c r="G22" s="1516" t="s">
        <v>433</v>
      </c>
      <c r="H22" s="1497"/>
      <c r="I22" s="1520"/>
      <c r="J22" s="1497"/>
      <c r="K22" s="1528">
        <v>919</v>
      </c>
      <c r="L22" s="1503" t="s">
        <v>326</v>
      </c>
      <c r="M22" s="1498" t="s">
        <v>5377</v>
      </c>
      <c r="N22" s="1498" t="s">
        <v>5378</v>
      </c>
      <c r="O22" s="1498"/>
      <c r="P22" s="1499" t="s">
        <v>425</v>
      </c>
      <c r="Q22" s="1498" t="s">
        <v>424</v>
      </c>
      <c r="R22" s="1500">
        <v>90000</v>
      </c>
      <c r="S22" s="1500">
        <v>2119</v>
      </c>
      <c r="T22" s="1501">
        <v>91200</v>
      </c>
      <c r="U22" s="1501">
        <v>63327</v>
      </c>
      <c r="V22" s="1502" t="s">
        <v>433</v>
      </c>
      <c r="W22" s="1502">
        <v>50058</v>
      </c>
      <c r="X22" s="1502">
        <v>50057</v>
      </c>
      <c r="Y22" s="1502"/>
      <c r="Z22" s="1502"/>
      <c r="AA22" s="1502"/>
      <c r="AB22" s="1502"/>
      <c r="AC22" s="1506">
        <f t="shared" si="0"/>
        <v>919</v>
      </c>
    </row>
    <row r="23" spans="1:29" ht="14.25" customHeight="1">
      <c r="A23" s="1531">
        <v>142</v>
      </c>
      <c r="B23" s="1523" t="s">
        <v>289</v>
      </c>
      <c r="C23" s="1524" t="s">
        <v>749</v>
      </c>
      <c r="D23" s="1524"/>
      <c r="E23" s="1524"/>
      <c r="F23" s="1524"/>
      <c r="G23" s="1525"/>
      <c r="H23" s="1524" t="str">
        <f>IFERROR(VLOOKUP(A23,Sheet4!A2:C679,2,FALSE),"")</f>
        <v/>
      </c>
      <c r="I23" s="1526" t="str">
        <f>IFERROR(VLOOKUP(A23,Sheet4!$A$2:$C$679,3,FALSE),"")</f>
        <v/>
      </c>
      <c r="J23" s="1524"/>
      <c r="K23" s="1532">
        <v>19542</v>
      </c>
      <c r="L23" s="1404" t="s">
        <v>750</v>
      </c>
      <c r="M23" s="1405" t="s">
        <v>751</v>
      </c>
      <c r="N23" s="1404">
        <v>5021711</v>
      </c>
      <c r="O23" s="1404"/>
      <c r="P23" s="1406" t="s">
        <v>738</v>
      </c>
      <c r="Q23" s="1407" t="s">
        <v>739</v>
      </c>
      <c r="R23" s="1408">
        <v>210000</v>
      </c>
      <c r="S23" s="1408">
        <v>10867</v>
      </c>
      <c r="T23" s="1409">
        <v>201325</v>
      </c>
      <c r="U23" s="1409">
        <v>156599.74</v>
      </c>
      <c r="V23" s="1393"/>
      <c r="W23" s="1393">
        <v>114975</v>
      </c>
      <c r="X23" s="1393">
        <v>114972.74</v>
      </c>
      <c r="Y23" s="1393"/>
      <c r="Z23" s="1393"/>
      <c r="AA23" s="1393"/>
      <c r="AB23" s="1393"/>
      <c r="AC23" s="283">
        <f t="shared" si="0"/>
        <v>19542</v>
      </c>
    </row>
    <row r="24" spans="1:29" ht="14.25" customHeight="1">
      <c r="A24" s="1531">
        <v>182</v>
      </c>
      <c r="B24" s="1523" t="s">
        <v>279</v>
      </c>
      <c r="C24" s="1524" t="s">
        <v>568</v>
      </c>
      <c r="D24" s="1524"/>
      <c r="E24" s="1524"/>
      <c r="F24" s="1524"/>
      <c r="G24" s="1525"/>
      <c r="H24" s="1524" t="str">
        <f>IFERROR(VLOOKUP(A24,Sheet4!A3:C680,2,FALSE),"")</f>
        <v/>
      </c>
      <c r="I24" s="1526" t="str">
        <f>IFERROR(VLOOKUP(A24,Sheet4!$A$2:$C$679,3,FALSE),"")</f>
        <v/>
      </c>
      <c r="J24" s="1524"/>
      <c r="K24" s="1532">
        <v>193500</v>
      </c>
      <c r="L24" s="1404" t="s">
        <v>326</v>
      </c>
      <c r="M24" s="1404" t="s">
        <v>5369</v>
      </c>
      <c r="N24" s="1404">
        <v>2812052</v>
      </c>
      <c r="O24" s="1404"/>
      <c r="P24" s="1406" t="s">
        <v>570</v>
      </c>
      <c r="Q24" s="1407" t="s">
        <v>569</v>
      </c>
      <c r="R24" s="1408">
        <v>215000</v>
      </c>
      <c r="S24" s="1408"/>
      <c r="T24" s="1409">
        <v>21500</v>
      </c>
      <c r="U24" s="1409">
        <v>500</v>
      </c>
      <c r="V24" s="1393"/>
      <c r="W24" s="1393"/>
      <c r="X24" s="1393"/>
      <c r="Y24" s="1393"/>
      <c r="Z24" s="1393"/>
      <c r="AA24" s="1393"/>
      <c r="AB24" s="1393"/>
      <c r="AC24" s="283">
        <f t="shared" si="0"/>
        <v>193500</v>
      </c>
    </row>
    <row r="25" spans="1:29" ht="14.25" customHeight="1">
      <c r="A25" s="1531">
        <v>194</v>
      </c>
      <c r="B25" s="1523" t="s">
        <v>314</v>
      </c>
      <c r="C25" s="1524" t="s">
        <v>3032</v>
      </c>
      <c r="D25" s="1524"/>
      <c r="E25" s="1524"/>
      <c r="F25" s="1524"/>
      <c r="G25" s="1525"/>
      <c r="H25" s="1524" t="str">
        <f>IFERROR(VLOOKUP(A25,Sheet4!A4:C681,2,FALSE),"")</f>
        <v/>
      </c>
      <c r="I25" s="1526" t="str">
        <f>IFERROR(VLOOKUP(A25,Sheet4!$A$2:$C$679,3,FALSE),"")</f>
        <v/>
      </c>
      <c r="J25" s="1524"/>
      <c r="K25" s="1532">
        <v>5800</v>
      </c>
      <c r="L25" s="1410" t="s">
        <v>339</v>
      </c>
      <c r="M25" s="1410" t="s">
        <v>5370</v>
      </c>
      <c r="N25" s="1404">
        <v>2827675</v>
      </c>
      <c r="O25" s="1404"/>
      <c r="P25" s="1411" t="s">
        <v>815</v>
      </c>
      <c r="Q25" s="1404" t="s">
        <v>814</v>
      </c>
      <c r="R25" s="1408">
        <v>106000</v>
      </c>
      <c r="S25" s="1408">
        <v>5300</v>
      </c>
      <c r="T25" s="1409">
        <v>105500</v>
      </c>
      <c r="U25" s="1409">
        <v>85163.99</v>
      </c>
      <c r="V25" s="1393"/>
      <c r="W25" s="1393"/>
      <c r="X25" s="1393"/>
      <c r="Y25" s="1393"/>
      <c r="Z25" s="1393"/>
      <c r="AA25" s="1393"/>
      <c r="AB25" s="1393"/>
      <c r="AC25" s="283">
        <f t="shared" si="0"/>
        <v>5800</v>
      </c>
    </row>
    <row r="26" spans="1:29" ht="14.25" customHeight="1">
      <c r="A26" s="1531">
        <v>197</v>
      </c>
      <c r="B26" s="1523" t="s">
        <v>151</v>
      </c>
      <c r="C26" s="1533" t="s">
        <v>540</v>
      </c>
      <c r="D26" s="1533"/>
      <c r="E26" s="1533"/>
      <c r="F26" s="1533"/>
      <c r="G26" s="1525" t="s">
        <v>543</v>
      </c>
      <c r="H26" s="1524" t="str">
        <f>IFERROR(VLOOKUP(A26,Sheet4!A5:C682,2,FALSE),"")</f>
        <v>LPO 48/2022</v>
      </c>
      <c r="I26" s="1526">
        <f>IFERROR(VLOOKUP(A26,Sheet4!$A$2:$C$679,3,FALSE),"")</f>
        <v>0</v>
      </c>
      <c r="J26" s="1533"/>
      <c r="K26" s="1534">
        <v>25952.380952380947</v>
      </c>
      <c r="L26" s="1404" t="s">
        <v>323</v>
      </c>
      <c r="M26" s="1404" t="s">
        <v>5371</v>
      </c>
      <c r="N26" s="1404">
        <v>2662391</v>
      </c>
      <c r="O26" s="1404"/>
      <c r="P26" s="1406" t="s">
        <v>542</v>
      </c>
      <c r="Q26" s="1407" t="s">
        <v>541</v>
      </c>
      <c r="R26" s="1408">
        <v>185000</v>
      </c>
      <c r="S26" s="1408">
        <v>10000</v>
      </c>
      <c r="T26" s="1409">
        <v>169047.61904761905</v>
      </c>
      <c r="U26" s="1409">
        <v>125656.24</v>
      </c>
      <c r="V26" s="1393" t="s">
        <v>543</v>
      </c>
      <c r="W26" s="1393">
        <v>107100</v>
      </c>
      <c r="X26" s="1393">
        <v>85994</v>
      </c>
      <c r="Y26" s="1393"/>
      <c r="Z26" s="1393"/>
      <c r="AA26" s="1393"/>
      <c r="AB26" s="1393"/>
      <c r="AC26" s="283">
        <f t="shared" si="0"/>
        <v>25952.380952380947</v>
      </c>
    </row>
    <row r="27" spans="1:29" ht="14.25" customHeight="1">
      <c r="A27" s="1531">
        <v>200</v>
      </c>
      <c r="B27" s="1523" t="s">
        <v>313</v>
      </c>
      <c r="C27" s="1524" t="s">
        <v>701</v>
      </c>
      <c r="D27" s="1524"/>
      <c r="E27" s="1524"/>
      <c r="F27" s="1524"/>
      <c r="G27" s="1525"/>
      <c r="H27" s="1524" t="str">
        <f>IFERROR(VLOOKUP(A27,Sheet4!A6:C683,2,FALSE),"")</f>
        <v/>
      </c>
      <c r="I27" s="1526" t="str">
        <f>IFERROR(VLOOKUP(A27,Sheet4!$A$2:$C$679,3,FALSE),"")</f>
        <v/>
      </c>
      <c r="J27" s="1524"/>
      <c r="K27" s="1532">
        <v>25000</v>
      </c>
      <c r="L27" s="1404" t="s">
        <v>702</v>
      </c>
      <c r="M27" s="1404" t="s">
        <v>5372</v>
      </c>
      <c r="N27" s="1404">
        <v>2824694</v>
      </c>
      <c r="O27" s="1404"/>
      <c r="P27" s="1406" t="s">
        <v>704</v>
      </c>
      <c r="Q27" s="1407" t="s">
        <v>703</v>
      </c>
      <c r="R27" s="1408">
        <v>30000</v>
      </c>
      <c r="S27" s="1408"/>
      <c r="T27" s="1409">
        <v>5000</v>
      </c>
      <c r="U27" s="1409">
        <v>846</v>
      </c>
      <c r="V27" s="1393"/>
      <c r="W27" s="1393"/>
      <c r="X27" s="1393"/>
      <c r="Y27" s="1393"/>
      <c r="Z27" s="1393"/>
      <c r="AA27" s="1393"/>
      <c r="AB27" s="1393"/>
      <c r="AC27" s="283">
        <f t="shared" si="0"/>
        <v>25000</v>
      </c>
    </row>
    <row r="28" spans="1:29" ht="14.25" customHeight="1">
      <c r="A28" s="1531">
        <v>207</v>
      </c>
      <c r="B28" s="1523" t="s">
        <v>1349</v>
      </c>
      <c r="C28" s="1524" t="s">
        <v>501</v>
      </c>
      <c r="D28" s="1524"/>
      <c r="E28" s="1524"/>
      <c r="F28" s="1524"/>
      <c r="G28" s="1525"/>
      <c r="H28" s="1524" t="str">
        <f>IFERROR(VLOOKUP(A28,Sheet4!A7:C684,2,FALSE),"")</f>
        <v/>
      </c>
      <c r="I28" s="1526" t="str">
        <f>IFERROR(VLOOKUP(A28,Sheet4!$A$2:$C$679,3,FALSE),"")</f>
        <v/>
      </c>
      <c r="J28" s="1524"/>
      <c r="K28" s="1532">
        <v>134250</v>
      </c>
      <c r="L28" s="1404" t="s">
        <v>323</v>
      </c>
      <c r="M28" s="1404" t="s">
        <v>1007</v>
      </c>
      <c r="N28" s="1404">
        <v>7115084</v>
      </c>
      <c r="O28" s="1404"/>
      <c r="P28" s="1406" t="s">
        <v>1009</v>
      </c>
      <c r="Q28" s="1404" t="s">
        <v>1008</v>
      </c>
      <c r="R28" s="1408">
        <v>135000</v>
      </c>
      <c r="S28" s="1408">
        <v>9000</v>
      </c>
      <c r="T28" s="1409">
        <v>9750</v>
      </c>
      <c r="U28" s="1409">
        <v>0</v>
      </c>
      <c r="V28" s="1393"/>
      <c r="W28" s="1393"/>
      <c r="X28" s="1393"/>
      <c r="Y28" s="1393"/>
      <c r="Z28" s="1393"/>
      <c r="AA28" s="1393"/>
      <c r="AB28" s="1393"/>
      <c r="AC28" s="283">
        <f t="shared" si="0"/>
        <v>134250</v>
      </c>
    </row>
    <row r="29" spans="1:29" ht="14.25" customHeight="1">
      <c r="A29" s="1531">
        <v>215</v>
      </c>
      <c r="B29" s="1523" t="s">
        <v>850</v>
      </c>
      <c r="C29" s="1524" t="s">
        <v>2999</v>
      </c>
      <c r="D29" s="1524"/>
      <c r="E29" s="1524"/>
      <c r="F29" s="1524"/>
      <c r="G29" s="1525" t="s">
        <v>796</v>
      </c>
      <c r="H29" s="1524" t="str">
        <f>IFERROR(VLOOKUP(A29,Sheet4!A8:C685,2,FALSE),"")</f>
        <v>H/M/189/2023</v>
      </c>
      <c r="I29" s="1526">
        <f>IFERROR(VLOOKUP(A29,Sheet4!$A$2:$C$679,3,FALSE),"")</f>
        <v>0</v>
      </c>
      <c r="J29" s="1524"/>
      <c r="K29" s="1532">
        <v>87499.528571428615</v>
      </c>
      <c r="L29" s="1404" t="s">
        <v>3000</v>
      </c>
      <c r="M29" s="1404" t="s">
        <v>3001</v>
      </c>
      <c r="N29" s="1404">
        <v>4310154</v>
      </c>
      <c r="O29" s="1404"/>
      <c r="P29" s="1406" t="s">
        <v>795</v>
      </c>
      <c r="Q29" s="1404" t="s">
        <v>794</v>
      </c>
      <c r="R29" s="1408">
        <v>425000</v>
      </c>
      <c r="S29" s="1408"/>
      <c r="T29" s="1409">
        <v>337500.47142857139</v>
      </c>
      <c r="U29" s="1409">
        <v>300709.17</v>
      </c>
      <c r="V29" s="1393" t="s">
        <v>796</v>
      </c>
      <c r="W29" s="1393">
        <v>210147</v>
      </c>
      <c r="X29" s="1393">
        <v>170141</v>
      </c>
      <c r="Y29" s="1393" t="s">
        <v>852</v>
      </c>
      <c r="Z29" s="1393"/>
      <c r="AA29" s="1393"/>
      <c r="AB29" s="1393"/>
      <c r="AC29" s="283">
        <f t="shared" si="0"/>
        <v>87499.528571428615</v>
      </c>
    </row>
    <row r="30" spans="1:29" ht="14.25" customHeight="1">
      <c r="A30" s="1531">
        <v>216</v>
      </c>
      <c r="B30" s="1523" t="s">
        <v>300</v>
      </c>
      <c r="C30" s="1524" t="s">
        <v>671</v>
      </c>
      <c r="D30" s="1524"/>
      <c r="E30" s="1524"/>
      <c r="F30" s="1524"/>
      <c r="G30" s="1525" t="s">
        <v>675</v>
      </c>
      <c r="H30" s="1524" t="str">
        <f>IFERROR(VLOOKUP(A30,Sheet4!A9:C686,2,FALSE),"")</f>
        <v xml:space="preserve">LPO 18 / 2024 </v>
      </c>
      <c r="I30" s="1526">
        <f>IFERROR(VLOOKUP(A30,Sheet4!$A$2:$C$679,3,FALSE),"")</f>
        <v>0</v>
      </c>
      <c r="J30" s="1524"/>
      <c r="K30" s="1532">
        <v>6750</v>
      </c>
      <c r="L30" s="1407" t="s">
        <v>672</v>
      </c>
      <c r="M30" s="1407" t="s">
        <v>5379</v>
      </c>
      <c r="N30" s="1404">
        <v>2827625</v>
      </c>
      <c r="O30" s="1404"/>
      <c r="P30" s="1404" t="s">
        <v>674</v>
      </c>
      <c r="Q30" s="1407" t="s">
        <v>673</v>
      </c>
      <c r="R30" s="1408">
        <v>165000</v>
      </c>
      <c r="S30" s="1408">
        <v>30000</v>
      </c>
      <c r="T30" s="1409">
        <v>188250</v>
      </c>
      <c r="U30" s="1409">
        <v>142979.09</v>
      </c>
      <c r="V30" s="1393" t="s">
        <v>675</v>
      </c>
      <c r="W30" s="1393">
        <v>85344</v>
      </c>
      <c r="X30" s="1393">
        <v>74267</v>
      </c>
      <c r="Y30" s="1393"/>
      <c r="Z30" s="1393"/>
      <c r="AA30" s="1393"/>
      <c r="AB30" s="1393"/>
      <c r="AC30" s="283">
        <f t="shared" si="0"/>
        <v>6750</v>
      </c>
    </row>
    <row r="31" spans="1:29" ht="14.25" customHeight="1">
      <c r="A31" s="1531">
        <v>218</v>
      </c>
      <c r="B31" s="1523" t="s">
        <v>153</v>
      </c>
      <c r="C31" s="1533" t="s">
        <v>528</v>
      </c>
      <c r="D31" s="1533"/>
      <c r="E31" s="1533"/>
      <c r="F31" s="1533"/>
      <c r="G31" s="1525" t="s">
        <v>532</v>
      </c>
      <c r="H31" s="1524" t="str">
        <f>IFERROR(VLOOKUP(A31,Sheet4!A10:C687,2,FALSE),"")</f>
        <v/>
      </c>
      <c r="I31" s="1526" t="str">
        <f>IFERROR(VLOOKUP(A31,Sheet4!$A$2:$C$679,3,FALSE),"")</f>
        <v/>
      </c>
      <c r="J31" s="1533"/>
      <c r="K31" s="1534">
        <v>16855.239999999991</v>
      </c>
      <c r="L31" s="1404" t="s">
        <v>529</v>
      </c>
      <c r="M31" s="1404" t="s">
        <v>5380</v>
      </c>
      <c r="N31" s="1404">
        <v>2822704</v>
      </c>
      <c r="O31" s="1404"/>
      <c r="P31" s="1404" t="s">
        <v>531</v>
      </c>
      <c r="Q31" s="1404" t="s">
        <v>530</v>
      </c>
      <c r="R31" s="1408">
        <v>160000</v>
      </c>
      <c r="S31" s="1408">
        <v>9000</v>
      </c>
      <c r="T31" s="1409">
        <v>152144.76</v>
      </c>
      <c r="U31" s="1409">
        <v>121187.35250000001</v>
      </c>
      <c r="V31" s="1393" t="s">
        <v>532</v>
      </c>
      <c r="W31" s="1393">
        <v>94668</v>
      </c>
      <c r="X31" s="1393">
        <v>74902</v>
      </c>
      <c r="Y31" s="1393" t="s">
        <v>533</v>
      </c>
      <c r="Z31" s="1393">
        <v>15445</v>
      </c>
      <c r="AA31" s="1393">
        <v>15445</v>
      </c>
      <c r="AB31" s="1393"/>
      <c r="AC31" s="283">
        <f t="shared" si="0"/>
        <v>16855.239999999991</v>
      </c>
    </row>
    <row r="32" spans="1:29" ht="14.25" customHeight="1">
      <c r="A32" s="1531">
        <v>219</v>
      </c>
      <c r="B32" s="1523" t="s">
        <v>265</v>
      </c>
      <c r="C32" s="1524" t="s">
        <v>369</v>
      </c>
      <c r="D32" s="1524"/>
      <c r="E32" s="1524"/>
      <c r="F32" s="1524"/>
      <c r="G32" s="1525" t="s">
        <v>374</v>
      </c>
      <c r="H32" s="1524" t="str">
        <f>IFERROR(VLOOKUP(A32,Sheet4!A11:C688,2,FALSE),"")</f>
        <v/>
      </c>
      <c r="I32" s="1526" t="str">
        <f>IFERROR(VLOOKUP(A32,Sheet4!$A$2:$C$679,3,FALSE),"")</f>
        <v/>
      </c>
      <c r="J32" s="1524"/>
      <c r="K32" s="1532">
        <v>11750</v>
      </c>
      <c r="L32" s="1404" t="s">
        <v>370</v>
      </c>
      <c r="M32" s="1404" t="s">
        <v>371</v>
      </c>
      <c r="N32" s="1404">
        <v>71110925</v>
      </c>
      <c r="O32" s="1404"/>
      <c r="P32" s="1406" t="s">
        <v>373</v>
      </c>
      <c r="Q32" s="1404" t="s">
        <v>372</v>
      </c>
      <c r="R32" s="1408">
        <v>135000</v>
      </c>
      <c r="S32" s="1408"/>
      <c r="T32" s="1409">
        <v>123250</v>
      </c>
      <c r="U32" s="1409">
        <v>96470.75</v>
      </c>
      <c r="V32" s="1393" t="s">
        <v>374</v>
      </c>
      <c r="W32" s="1393">
        <v>75216</v>
      </c>
      <c r="X32" s="1393">
        <v>75217</v>
      </c>
      <c r="Y32" s="1393" t="s">
        <v>375</v>
      </c>
      <c r="Z32" s="1393"/>
      <c r="AA32" s="1393"/>
      <c r="AB32" s="1393"/>
      <c r="AC32" s="283">
        <f t="shared" si="0"/>
        <v>11750</v>
      </c>
    </row>
    <row r="33" spans="1:29" ht="14.25" customHeight="1">
      <c r="A33" s="1531">
        <v>220</v>
      </c>
      <c r="B33" s="1523" t="s">
        <v>290</v>
      </c>
      <c r="C33" s="1524" t="s">
        <v>754</v>
      </c>
      <c r="D33" s="1524"/>
      <c r="E33" s="1524"/>
      <c r="F33" s="1524"/>
      <c r="G33" s="1525" t="s">
        <v>755</v>
      </c>
      <c r="H33" s="1524" t="str">
        <f>IFERROR(VLOOKUP(A33,Sheet4!A12:C689,2,FALSE),"")</f>
        <v/>
      </c>
      <c r="I33" s="1526" t="str">
        <f>IFERROR(VLOOKUP(A33,Sheet4!$A$2:$C$679,3,FALSE),"")</f>
        <v/>
      </c>
      <c r="J33" s="1524"/>
      <c r="K33" s="1532">
        <v>60125</v>
      </c>
      <c r="L33" s="1404"/>
      <c r="M33" s="1404" t="s">
        <v>585</v>
      </c>
      <c r="N33" s="1404">
        <v>9310127</v>
      </c>
      <c r="O33" s="1404"/>
      <c r="P33" s="1404" t="s">
        <v>753</v>
      </c>
      <c r="Q33" s="1404" t="s">
        <v>752</v>
      </c>
      <c r="R33" s="1408">
        <v>165000</v>
      </c>
      <c r="S33" s="1408"/>
      <c r="T33" s="1409">
        <v>104875</v>
      </c>
      <c r="U33" s="1409">
        <v>65281.450000000004</v>
      </c>
      <c r="V33" s="1393" t="s">
        <v>755</v>
      </c>
      <c r="W33" s="1393">
        <v>92232</v>
      </c>
      <c r="X33" s="1393">
        <v>36073</v>
      </c>
      <c r="Y33" s="1393"/>
      <c r="Z33" s="1393"/>
      <c r="AA33" s="1393"/>
      <c r="AB33" s="1393"/>
      <c r="AC33" s="283">
        <f t="shared" si="0"/>
        <v>60125</v>
      </c>
    </row>
    <row r="34" spans="1:29" ht="14.25" customHeight="1">
      <c r="A34" s="1531">
        <v>225</v>
      </c>
      <c r="B34" s="1523" t="s">
        <v>626</v>
      </c>
      <c r="C34" s="1523" t="s">
        <v>626</v>
      </c>
      <c r="D34" s="1523"/>
      <c r="E34" s="1523"/>
      <c r="F34" s="1523"/>
      <c r="G34" s="1525" t="s">
        <v>29</v>
      </c>
      <c r="H34" s="1524" t="str">
        <f>IFERROR(VLOOKUP(A34,Sheet4!A13:C690,2,FALSE),"")</f>
        <v>LPO 25/ 2024</v>
      </c>
      <c r="I34" s="1526">
        <f>IFERROR(VLOOKUP(A34,Sheet4!$A$2:$C$679,3,FALSE),"")</f>
        <v>0</v>
      </c>
      <c r="J34" s="1523"/>
      <c r="K34" s="1532">
        <v>23907.480952380953</v>
      </c>
      <c r="L34" s="1404" t="s">
        <v>627</v>
      </c>
      <c r="M34" s="1407" t="s">
        <v>342</v>
      </c>
      <c r="N34" s="1404">
        <v>7116001</v>
      </c>
      <c r="O34" s="1404"/>
      <c r="P34" s="1406" t="s">
        <v>629</v>
      </c>
      <c r="Q34" s="1412" t="s">
        <v>628</v>
      </c>
      <c r="R34" s="1413">
        <v>155000</v>
      </c>
      <c r="S34" s="1408">
        <v>10500</v>
      </c>
      <c r="T34" s="1409">
        <v>141592.51904761905</v>
      </c>
      <c r="U34" s="1409">
        <v>94701.950000000012</v>
      </c>
      <c r="V34" s="1393" t="s">
        <v>29</v>
      </c>
      <c r="W34" s="1393">
        <v>89738</v>
      </c>
      <c r="X34" s="1393">
        <v>67645.5</v>
      </c>
      <c r="Y34" s="1393"/>
      <c r="Z34" s="1393"/>
      <c r="AA34" s="1393"/>
      <c r="AB34" s="1393"/>
      <c r="AC34" s="283">
        <f t="shared" si="0"/>
        <v>23907.480952380953</v>
      </c>
    </row>
    <row r="35" spans="1:29" ht="14.25" customHeight="1">
      <c r="A35" s="1531">
        <v>226</v>
      </c>
      <c r="B35" s="1523" t="s">
        <v>809</v>
      </c>
      <c r="C35" s="1524" t="s">
        <v>810</v>
      </c>
      <c r="D35" s="1524"/>
      <c r="E35" s="1524"/>
      <c r="F35" s="1524"/>
      <c r="G35" s="1525" t="s">
        <v>813</v>
      </c>
      <c r="H35" s="1524" t="str">
        <f>IFERROR(VLOOKUP(A35,Sheet4!A14:C691,2,FALSE),"")</f>
        <v/>
      </c>
      <c r="I35" s="1526" t="str">
        <f>IFERROR(VLOOKUP(A35,Sheet4!$A$2:$C$679,3,FALSE),"")</f>
        <v/>
      </c>
      <c r="J35" s="1524"/>
      <c r="K35" s="1532">
        <v>85952.380952380947</v>
      </c>
      <c r="L35" s="1410" t="s">
        <v>323</v>
      </c>
      <c r="M35" s="1414" t="s">
        <v>342</v>
      </c>
      <c r="N35" s="1415">
        <v>7116022</v>
      </c>
      <c r="O35" s="1404"/>
      <c r="P35" s="1416" t="s">
        <v>812</v>
      </c>
      <c r="Q35" s="1417" t="s">
        <v>811</v>
      </c>
      <c r="R35" s="1408">
        <v>100000</v>
      </c>
      <c r="S35" s="1408">
        <v>5000</v>
      </c>
      <c r="T35" s="1409">
        <v>19047.619047619046</v>
      </c>
      <c r="U35" s="1409">
        <v>9232.24</v>
      </c>
      <c r="V35" s="1393" t="s">
        <v>813</v>
      </c>
      <c r="W35" s="1393">
        <v>53077</v>
      </c>
      <c r="X35" s="1393"/>
      <c r="Y35" s="1393"/>
      <c r="Z35" s="1393"/>
      <c r="AA35" s="1393"/>
      <c r="AB35" s="1393"/>
      <c r="AC35" s="283">
        <f t="shared" ref="AC35:AC66" si="1">(R35+S35)-T35</f>
        <v>85952.380952380947</v>
      </c>
    </row>
    <row r="36" spans="1:29" ht="14.25" customHeight="1">
      <c r="A36" s="1531">
        <v>227</v>
      </c>
      <c r="B36" s="1523" t="s">
        <v>272</v>
      </c>
      <c r="C36" s="1524" t="s">
        <v>413</v>
      </c>
      <c r="D36" s="1524"/>
      <c r="E36" s="1524"/>
      <c r="F36" s="1524"/>
      <c r="G36" s="1525" t="s">
        <v>417</v>
      </c>
      <c r="H36" s="1524" t="str">
        <f>IFERROR(VLOOKUP(A36,Sheet4!A15:C692,2,FALSE),"")</f>
        <v xml:space="preserve">LPO 78/ 2023 </v>
      </c>
      <c r="I36" s="1526">
        <f>IFERROR(VLOOKUP(A36,Sheet4!$A$2:$C$679,3,FALSE),"")</f>
        <v>0</v>
      </c>
      <c r="J36" s="1524"/>
      <c r="K36" s="1532">
        <v>10855.669999999984</v>
      </c>
      <c r="L36" s="1407" t="s">
        <v>5382</v>
      </c>
      <c r="M36" s="1407" t="s">
        <v>5383</v>
      </c>
      <c r="N36" s="1404">
        <v>9131306</v>
      </c>
      <c r="O36" s="1404"/>
      <c r="P36" s="1406" t="s">
        <v>415</v>
      </c>
      <c r="Q36" s="1407" t="s">
        <v>414</v>
      </c>
      <c r="R36" s="1408">
        <v>295000</v>
      </c>
      <c r="S36" s="1408"/>
      <c r="T36" s="1409">
        <v>284144.33</v>
      </c>
      <c r="U36" s="1409">
        <v>202185.33</v>
      </c>
      <c r="V36" s="1393" t="s">
        <v>417</v>
      </c>
      <c r="W36" s="1393">
        <v>161988</v>
      </c>
      <c r="X36" s="1393">
        <v>161988.5</v>
      </c>
      <c r="Y36" s="1393"/>
      <c r="Z36" s="1393"/>
      <c r="AA36" s="1393"/>
      <c r="AB36" s="1393"/>
      <c r="AC36" s="283">
        <f t="shared" si="1"/>
        <v>10855.669999999984</v>
      </c>
    </row>
    <row r="37" spans="1:29" ht="14.25" customHeight="1">
      <c r="A37" s="1531">
        <v>228</v>
      </c>
      <c r="B37" s="1523" t="s">
        <v>297</v>
      </c>
      <c r="C37" s="1524" t="s">
        <v>1337</v>
      </c>
      <c r="D37" s="1524"/>
      <c r="E37" s="1524"/>
      <c r="F37" s="1524"/>
      <c r="G37" s="1525" t="s">
        <v>873</v>
      </c>
      <c r="H37" s="1524" t="str">
        <f>IFERROR(VLOOKUP(A37,Sheet4!A16:C693,2,FALSE),"")</f>
        <v/>
      </c>
      <c r="I37" s="1526" t="str">
        <f>IFERROR(VLOOKUP(A37,Sheet4!$A$2:$C$679,3,FALSE),"")</f>
        <v/>
      </c>
      <c r="J37" s="1524"/>
      <c r="K37" s="1532">
        <v>5850</v>
      </c>
      <c r="L37" s="1404"/>
      <c r="M37" s="1404"/>
      <c r="N37" s="1404"/>
      <c r="O37" s="1404"/>
      <c r="P37" s="1406"/>
      <c r="Q37" s="1404"/>
      <c r="R37" s="1408">
        <v>39000</v>
      </c>
      <c r="S37" s="1408"/>
      <c r="T37" s="1409">
        <v>33150</v>
      </c>
      <c r="U37" s="1409">
        <v>28561.81</v>
      </c>
      <c r="V37" s="1393" t="s">
        <v>873</v>
      </c>
      <c r="W37" s="1393">
        <v>24885</v>
      </c>
      <c r="X37" s="1393"/>
      <c r="Y37" s="1393"/>
      <c r="Z37" s="1393"/>
      <c r="AA37" s="1393"/>
      <c r="AB37" s="1393"/>
      <c r="AC37" s="283">
        <f t="shared" si="1"/>
        <v>5850</v>
      </c>
    </row>
    <row r="38" spans="1:29" ht="14.25" customHeight="1">
      <c r="A38" s="1531">
        <v>229</v>
      </c>
      <c r="B38" s="1523" t="s">
        <v>1022</v>
      </c>
      <c r="C38" s="1524" t="s">
        <v>1015</v>
      </c>
      <c r="D38" s="1524"/>
      <c r="E38" s="1524"/>
      <c r="F38" s="1524"/>
      <c r="G38" s="1525" t="s">
        <v>1021</v>
      </c>
      <c r="H38" s="1524" t="str">
        <f>IFERROR(VLOOKUP(A38,Sheet4!A17:C694,2,FALSE),"")</f>
        <v/>
      </c>
      <c r="I38" s="1526" t="str">
        <f>IFERROR(VLOOKUP(A38,Sheet4!$A$2:$C$679,3,FALSE),"")</f>
        <v/>
      </c>
      <c r="J38" s="1524"/>
      <c r="K38" s="1532">
        <v>98725</v>
      </c>
      <c r="L38" s="1404" t="s">
        <v>1018</v>
      </c>
      <c r="M38" s="1404" t="s">
        <v>1017</v>
      </c>
      <c r="N38" s="1404">
        <v>9310131</v>
      </c>
      <c r="O38" s="1404" t="s">
        <v>1019</v>
      </c>
      <c r="P38" s="1406" t="s">
        <v>1016</v>
      </c>
      <c r="Q38" s="1404" t="s">
        <v>1020</v>
      </c>
      <c r="R38" s="1408">
        <v>197000</v>
      </c>
      <c r="S38" s="1408">
        <v>15000</v>
      </c>
      <c r="T38" s="1409">
        <v>113275</v>
      </c>
      <c r="U38" s="1409">
        <v>59384</v>
      </c>
      <c r="V38" s="1393" t="s">
        <v>1021</v>
      </c>
      <c r="W38" s="1393">
        <v>114838.5</v>
      </c>
      <c r="X38" s="1393">
        <v>38089</v>
      </c>
      <c r="Y38" s="1393"/>
      <c r="Z38" s="1393"/>
      <c r="AA38" s="1393"/>
      <c r="AB38" s="1393"/>
      <c r="AC38" s="283">
        <f t="shared" si="1"/>
        <v>98725</v>
      </c>
    </row>
    <row r="39" spans="1:29" ht="14.25" customHeight="1">
      <c r="A39" s="1531">
        <v>230</v>
      </c>
      <c r="B39" s="1523" t="s">
        <v>281</v>
      </c>
      <c r="C39" s="1524" t="s">
        <v>586</v>
      </c>
      <c r="D39" s="1524"/>
      <c r="E39" s="1524"/>
      <c r="F39" s="1524"/>
      <c r="G39" s="1525" t="s">
        <v>224</v>
      </c>
      <c r="H39" s="1524" t="str">
        <f>IFERROR(VLOOKUP(A39,Sheet4!A18:C695,2,FALSE),"")</f>
        <v/>
      </c>
      <c r="I39" s="1526" t="str">
        <f>IFERROR(VLOOKUP(A39,Sheet4!$A$2:$C$679,3,FALSE),"")</f>
        <v/>
      </c>
      <c r="J39" s="1524"/>
      <c r="K39" s="1532">
        <v>64175</v>
      </c>
      <c r="L39" s="1407" t="s">
        <v>326</v>
      </c>
      <c r="M39" s="1404" t="s">
        <v>585</v>
      </c>
      <c r="N39" s="1404">
        <v>9310128</v>
      </c>
      <c r="O39" s="1404"/>
      <c r="P39" s="1404" t="s">
        <v>584</v>
      </c>
      <c r="Q39" s="1404" t="s">
        <v>583</v>
      </c>
      <c r="R39" s="1408">
        <v>151000</v>
      </c>
      <c r="S39" s="1408"/>
      <c r="T39" s="1409">
        <v>86825</v>
      </c>
      <c r="U39" s="1409">
        <v>53263</v>
      </c>
      <c r="V39" s="1393" t="s">
        <v>224</v>
      </c>
      <c r="W39" s="1393">
        <v>86604</v>
      </c>
      <c r="X39" s="1393">
        <v>31054</v>
      </c>
      <c r="Y39" s="1393"/>
      <c r="Z39" s="1393"/>
      <c r="AA39" s="1393"/>
      <c r="AB39" s="1393"/>
      <c r="AC39" s="283">
        <f t="shared" si="1"/>
        <v>64175</v>
      </c>
    </row>
    <row r="40" spans="1:29" ht="14.25" customHeight="1">
      <c r="A40" s="1531">
        <v>235</v>
      </c>
      <c r="B40" s="1523" t="s">
        <v>271</v>
      </c>
      <c r="C40" s="1524" t="s">
        <v>407</v>
      </c>
      <c r="D40" s="1524"/>
      <c r="E40" s="1524"/>
      <c r="F40" s="1524"/>
      <c r="G40" s="1525" t="s">
        <v>411</v>
      </c>
      <c r="H40" s="1524" t="str">
        <f>IFERROR(VLOOKUP(A40,Sheet4!A19:C696,2,FALSE),"")</f>
        <v/>
      </c>
      <c r="I40" s="1526" t="str">
        <f>IFERROR(VLOOKUP(A40,Sheet4!$A$2:$C$679,3,FALSE),"")</f>
        <v/>
      </c>
      <c r="J40" s="1524"/>
      <c r="K40" s="1532">
        <v>251500</v>
      </c>
      <c r="L40" s="1404" t="s">
        <v>408</v>
      </c>
      <c r="M40" s="1404" t="s">
        <v>5386</v>
      </c>
      <c r="N40" s="1404">
        <v>4238244</v>
      </c>
      <c r="O40" s="1404"/>
      <c r="P40" s="1406" t="s">
        <v>410</v>
      </c>
      <c r="Q40" s="1404" t="s">
        <v>409</v>
      </c>
      <c r="R40" s="1408">
        <v>250000</v>
      </c>
      <c r="S40" s="1408">
        <v>26500</v>
      </c>
      <c r="T40" s="1409">
        <v>25000</v>
      </c>
      <c r="U40" s="1409">
        <v>10626</v>
      </c>
      <c r="V40" s="1393" t="s">
        <v>411</v>
      </c>
      <c r="W40" s="1393">
        <v>141765</v>
      </c>
      <c r="X40" s="1393"/>
      <c r="Y40" s="1393"/>
      <c r="Z40" s="1393"/>
      <c r="AA40" s="1393"/>
      <c r="AB40" s="1393"/>
      <c r="AC40" s="283">
        <f t="shared" si="1"/>
        <v>251500</v>
      </c>
    </row>
    <row r="41" spans="1:29" ht="14.25" customHeight="1">
      <c r="A41" s="1531">
        <v>236</v>
      </c>
      <c r="B41" s="1523" t="s">
        <v>157</v>
      </c>
      <c r="C41" s="1524" t="s">
        <v>519</v>
      </c>
      <c r="D41" s="1524"/>
      <c r="E41" s="1524"/>
      <c r="F41" s="1524"/>
      <c r="G41" s="1525" t="s">
        <v>523</v>
      </c>
      <c r="H41" s="1524" t="str">
        <f>IFERROR(VLOOKUP(A41,Sheet4!A20:C697,2,FALSE),"")</f>
        <v/>
      </c>
      <c r="I41" s="1526" t="str">
        <f>IFERROR(VLOOKUP(A41,Sheet4!$A$2:$C$679,3,FALSE),"")</f>
        <v/>
      </c>
      <c r="J41" s="1524"/>
      <c r="K41" s="1532">
        <v>108000</v>
      </c>
      <c r="L41" s="1404"/>
      <c r="M41" s="1404" t="s">
        <v>520</v>
      </c>
      <c r="N41" s="1404">
        <v>71110059</v>
      </c>
      <c r="O41" s="1404"/>
      <c r="P41" s="1406" t="s">
        <v>522</v>
      </c>
      <c r="Q41" s="1407" t="s">
        <v>521</v>
      </c>
      <c r="R41" s="1408">
        <v>135000</v>
      </c>
      <c r="S41" s="1408"/>
      <c r="T41" s="1409">
        <v>27000</v>
      </c>
      <c r="U41" s="1409">
        <v>19528</v>
      </c>
      <c r="V41" s="1393" t="s">
        <v>523</v>
      </c>
      <c r="W41" s="1393">
        <v>65546</v>
      </c>
      <c r="X41" s="1393"/>
      <c r="Y41" s="1393"/>
      <c r="Z41" s="1393"/>
      <c r="AA41" s="1393"/>
      <c r="AB41" s="1393"/>
      <c r="AC41" s="283">
        <f t="shared" si="1"/>
        <v>108000</v>
      </c>
    </row>
    <row r="42" spans="1:29" ht="14.25" customHeight="1">
      <c r="A42" s="1531">
        <v>237</v>
      </c>
      <c r="B42" s="1523" t="s">
        <v>284</v>
      </c>
      <c r="C42" s="1524" t="s">
        <v>1503</v>
      </c>
      <c r="D42" s="1524"/>
      <c r="E42" s="1524"/>
      <c r="F42" s="1524"/>
      <c r="G42" s="1525" t="s">
        <v>1014</v>
      </c>
      <c r="H42" s="1524" t="str">
        <f>IFERROR(VLOOKUP(A42,Sheet4!A21:C698,2,FALSE),"")</f>
        <v/>
      </c>
      <c r="I42" s="1526" t="str">
        <f>IFERROR(VLOOKUP(A42,Sheet4!$A$2:$C$679,3,FALSE),"")</f>
        <v/>
      </c>
      <c r="J42" s="1524"/>
      <c r="K42" s="1532">
        <v>19535</v>
      </c>
      <c r="L42" s="1404" t="s">
        <v>1012</v>
      </c>
      <c r="M42" s="1404" t="s">
        <v>1011</v>
      </c>
      <c r="N42" s="1404">
        <v>3556019</v>
      </c>
      <c r="O42" s="1404"/>
      <c r="P42" s="1406" t="s">
        <v>1010</v>
      </c>
      <c r="Q42" s="1404" t="s">
        <v>1013</v>
      </c>
      <c r="R42" s="1408">
        <v>145000</v>
      </c>
      <c r="S42" s="1408">
        <v>15000</v>
      </c>
      <c r="T42" s="1409">
        <v>140465</v>
      </c>
      <c r="U42" s="1409">
        <v>115519.94000000002</v>
      </c>
      <c r="V42" s="1393" t="s">
        <v>1014</v>
      </c>
      <c r="W42" s="1393">
        <v>82183.5</v>
      </c>
      <c r="X42" s="1393">
        <v>82183.25</v>
      </c>
      <c r="Y42" s="1393"/>
      <c r="Z42" s="1393"/>
      <c r="AA42" s="1393"/>
      <c r="AB42" s="1393"/>
      <c r="AC42" s="283">
        <f t="shared" si="1"/>
        <v>19535</v>
      </c>
    </row>
    <row r="43" spans="1:29" ht="14.25" customHeight="1">
      <c r="A43" s="1531">
        <v>238</v>
      </c>
      <c r="B43" s="1523" t="s">
        <v>285</v>
      </c>
      <c r="C43" s="1524" t="s">
        <v>601</v>
      </c>
      <c r="D43" s="1524"/>
      <c r="E43" s="1524"/>
      <c r="F43" s="1524"/>
      <c r="G43" s="1525" t="s">
        <v>604</v>
      </c>
      <c r="H43" s="1524" t="str">
        <f>IFERROR(VLOOKUP(A43,Sheet4!A22:C699,2,FALSE),"")</f>
        <v>H/M/112/2023</v>
      </c>
      <c r="I43" s="1526">
        <f>IFERROR(VLOOKUP(A43,Sheet4!$A$2:$C$679,3,FALSE),"")</f>
        <v>0</v>
      </c>
      <c r="J43" s="1524"/>
      <c r="K43" s="1532">
        <v>99000</v>
      </c>
      <c r="L43" s="1404" t="s">
        <v>332</v>
      </c>
      <c r="M43" s="1404" t="s">
        <v>5387</v>
      </c>
      <c r="N43" s="1404">
        <v>7115010</v>
      </c>
      <c r="O43" s="1404"/>
      <c r="P43" s="1404" t="s">
        <v>603</v>
      </c>
      <c r="Q43" s="1407" t="s">
        <v>602</v>
      </c>
      <c r="R43" s="1408">
        <v>220000</v>
      </c>
      <c r="S43" s="1408"/>
      <c r="T43" s="1409">
        <v>121000</v>
      </c>
      <c r="U43" s="1409">
        <v>61059.53</v>
      </c>
      <c r="V43" s="1393" t="s">
        <v>604</v>
      </c>
      <c r="W43" s="1393">
        <v>96815</v>
      </c>
      <c r="X43" s="1393">
        <v>23982</v>
      </c>
      <c r="Y43" s="1393"/>
      <c r="Z43" s="1393"/>
      <c r="AA43" s="1393"/>
      <c r="AB43" s="1393"/>
      <c r="AC43" s="283">
        <f t="shared" si="1"/>
        <v>99000</v>
      </c>
    </row>
    <row r="44" spans="1:29" ht="14.25" customHeight="1">
      <c r="A44" s="1531">
        <v>241</v>
      </c>
      <c r="B44" s="1523" t="s">
        <v>158</v>
      </c>
      <c r="C44" s="1523" t="s">
        <v>762</v>
      </c>
      <c r="D44" s="1523"/>
      <c r="E44" s="1523"/>
      <c r="F44" s="1523"/>
      <c r="G44" s="1525" t="s">
        <v>766</v>
      </c>
      <c r="H44" s="1524" t="str">
        <f>IFERROR(VLOOKUP(A44,Sheet4!A23:C700,2,FALSE),"")</f>
        <v xml:space="preserve">LPO 121/ 2023  </v>
      </c>
      <c r="I44" s="1526">
        <f>IFERROR(VLOOKUP(A44,Sheet4!$A$2:$C$679,3,FALSE),"")</f>
        <v>0</v>
      </c>
      <c r="J44" s="1523"/>
      <c r="K44" s="1532">
        <v>76500</v>
      </c>
      <c r="L44" s="1404" t="s">
        <v>763</v>
      </c>
      <c r="M44" s="1404" t="s">
        <v>5155</v>
      </c>
      <c r="N44" s="1404">
        <v>9131520</v>
      </c>
      <c r="O44" s="1404"/>
      <c r="P44" s="1406" t="s">
        <v>765</v>
      </c>
      <c r="Q44" s="1404" t="s">
        <v>764</v>
      </c>
      <c r="R44" s="1408">
        <v>170000</v>
      </c>
      <c r="S44" s="1408"/>
      <c r="T44" s="1409">
        <v>93500</v>
      </c>
      <c r="U44" s="1409">
        <v>66762.73</v>
      </c>
      <c r="V44" s="1393" t="s">
        <v>766</v>
      </c>
      <c r="W44" s="1393">
        <v>100196</v>
      </c>
      <c r="X44" s="1393">
        <v>33936</v>
      </c>
      <c r="Y44" s="1393"/>
      <c r="Z44" s="1393"/>
      <c r="AA44" s="1393"/>
      <c r="AB44" s="1393"/>
      <c r="AC44" s="283">
        <f t="shared" si="1"/>
        <v>76500</v>
      </c>
    </row>
    <row r="45" spans="1:29" ht="14.25" customHeight="1">
      <c r="A45" s="1531">
        <v>242</v>
      </c>
      <c r="B45" s="1523" t="s">
        <v>274</v>
      </c>
      <c r="C45" s="1524" t="s">
        <v>435</v>
      </c>
      <c r="D45" s="1524"/>
      <c r="E45" s="1524"/>
      <c r="F45" s="1524"/>
      <c r="G45" s="1525" t="s">
        <v>441</v>
      </c>
      <c r="H45" s="1524" t="str">
        <f>IFERROR(VLOOKUP(A45,Sheet4!A24:C701,2,FALSE),"")</f>
        <v>LPO 129 R/ 2023</v>
      </c>
      <c r="I45" s="1526">
        <f>IFERROR(VLOOKUP(A45,Sheet4!$A$2:$C$679,3,FALSE),"")</f>
        <v>0</v>
      </c>
      <c r="J45" s="1524"/>
      <c r="K45" s="1532">
        <v>22500</v>
      </c>
      <c r="L45" s="1404" t="s">
        <v>436</v>
      </c>
      <c r="M45" s="1407" t="s">
        <v>437</v>
      </c>
      <c r="N45" s="1404" t="s">
        <v>438</v>
      </c>
      <c r="O45" s="1404"/>
      <c r="P45" s="1406" t="s">
        <v>440</v>
      </c>
      <c r="Q45" s="1407" t="s">
        <v>439</v>
      </c>
      <c r="R45" s="1408">
        <v>210000</v>
      </c>
      <c r="S45" s="1408">
        <v>12000</v>
      </c>
      <c r="T45" s="1409">
        <v>199500</v>
      </c>
      <c r="U45" s="1409">
        <v>170087.40549999999</v>
      </c>
      <c r="V45" s="1393" t="s">
        <v>441</v>
      </c>
      <c r="W45" s="1393">
        <v>106460</v>
      </c>
      <c r="X45" s="1393">
        <v>35307</v>
      </c>
      <c r="Y45" s="1393"/>
      <c r="Z45" s="1393"/>
      <c r="AA45" s="1393"/>
      <c r="AB45" s="1393"/>
      <c r="AC45" s="283">
        <f t="shared" si="1"/>
        <v>22500</v>
      </c>
    </row>
    <row r="46" spans="1:29" ht="14.25" customHeight="1">
      <c r="A46" s="1531">
        <v>243</v>
      </c>
      <c r="B46" s="1523" t="s">
        <v>308</v>
      </c>
      <c r="C46" s="1524" t="s">
        <v>843</v>
      </c>
      <c r="D46" s="1524"/>
      <c r="E46" s="1524"/>
      <c r="F46" s="1524"/>
      <c r="G46" s="1525" t="s">
        <v>190</v>
      </c>
      <c r="H46" s="1524" t="str">
        <f>IFERROR(VLOOKUP(A46,Sheet4!A25:C702,2,FALSE),"")</f>
        <v>H/M/120/2023</v>
      </c>
      <c r="I46" s="1526">
        <f>IFERROR(VLOOKUP(A46,Sheet4!$A$2:$C$679,3,FALSE),"")</f>
        <v>0</v>
      </c>
      <c r="J46" s="1524"/>
      <c r="K46" s="1532">
        <v>11076</v>
      </c>
      <c r="L46" s="1404"/>
      <c r="M46" s="1404"/>
      <c r="N46" s="1404"/>
      <c r="O46" s="1404"/>
      <c r="P46" s="1404"/>
      <c r="Q46" s="1404"/>
      <c r="R46" s="1408">
        <v>130000</v>
      </c>
      <c r="S46" s="1408"/>
      <c r="T46" s="1409">
        <v>118924</v>
      </c>
      <c r="U46" s="1409">
        <v>93685.36</v>
      </c>
      <c r="V46" s="1393" t="s">
        <v>190</v>
      </c>
      <c r="W46" s="1393">
        <v>72435</v>
      </c>
      <c r="X46" s="1393">
        <v>44815</v>
      </c>
      <c r="Y46" s="1393"/>
      <c r="Z46" s="1393"/>
      <c r="AA46" s="1393"/>
      <c r="AB46" s="1393"/>
      <c r="AC46" s="283">
        <f t="shared" si="1"/>
        <v>11076</v>
      </c>
    </row>
    <row r="47" spans="1:29" ht="14.25" customHeight="1">
      <c r="A47" s="1531">
        <v>245</v>
      </c>
      <c r="B47" s="1523" t="s">
        <v>192</v>
      </c>
      <c r="C47" s="1524" t="s">
        <v>788</v>
      </c>
      <c r="D47" s="1524"/>
      <c r="E47" s="1524"/>
      <c r="F47" s="1524"/>
      <c r="G47" s="1525" t="s">
        <v>790</v>
      </c>
      <c r="H47" s="1524" t="str">
        <f>IFERROR(VLOOKUP(A47,Sheet4!A26:C703,2,FALSE),"")</f>
        <v>LPO 79/2023</v>
      </c>
      <c r="I47" s="1526">
        <f>IFERROR(VLOOKUP(A47,Sheet4!$A$2:$C$679,3,FALSE),"")</f>
        <v>0</v>
      </c>
      <c r="J47" s="1524"/>
      <c r="K47" s="1532">
        <v>108400</v>
      </c>
      <c r="L47" s="1410" t="s">
        <v>323</v>
      </c>
      <c r="M47" s="1415" t="s">
        <v>5384</v>
      </c>
      <c r="N47" s="1415">
        <v>4240951</v>
      </c>
      <c r="O47" s="1404"/>
      <c r="P47" s="1406" t="s">
        <v>628</v>
      </c>
      <c r="Q47" s="1417" t="s">
        <v>789</v>
      </c>
      <c r="R47" s="1408">
        <v>200000</v>
      </c>
      <c r="S47" s="1408">
        <v>8400</v>
      </c>
      <c r="T47" s="1409">
        <v>100000</v>
      </c>
      <c r="U47" s="1409">
        <v>63736.28</v>
      </c>
      <c r="V47" s="1393" t="s">
        <v>790</v>
      </c>
      <c r="W47" s="1393">
        <v>103587</v>
      </c>
      <c r="X47" s="1393">
        <v>31410.75</v>
      </c>
      <c r="Y47" s="1393"/>
      <c r="Z47" s="1393"/>
      <c r="AA47" s="1393"/>
      <c r="AB47" s="1393"/>
      <c r="AC47" s="283">
        <f t="shared" si="1"/>
        <v>108400</v>
      </c>
    </row>
    <row r="48" spans="1:29" ht="14.25" customHeight="1">
      <c r="A48" s="1531">
        <v>246</v>
      </c>
      <c r="B48" s="1523" t="s">
        <v>293</v>
      </c>
      <c r="C48" s="1524" t="s">
        <v>554</v>
      </c>
      <c r="D48" s="1524"/>
      <c r="E48" s="1524"/>
      <c r="F48" s="1524"/>
      <c r="G48" s="1525" t="s">
        <v>558</v>
      </c>
      <c r="H48" s="1524" t="str">
        <f>IFERROR(VLOOKUP(A48,Sheet4!A27:C704,2,FALSE),"")</f>
        <v>H/M/12R/2024</v>
      </c>
      <c r="I48" s="1526">
        <f>IFERROR(VLOOKUP(A48,Sheet4!$A$2:$C$679,3,FALSE),"")</f>
        <v>0</v>
      </c>
      <c r="J48" s="1524"/>
      <c r="K48" s="1532">
        <v>99000</v>
      </c>
      <c r="L48" s="1404" t="s">
        <v>555</v>
      </c>
      <c r="M48" s="1404" t="s">
        <v>5389</v>
      </c>
      <c r="N48" s="1404">
        <v>2822361</v>
      </c>
      <c r="O48" s="1404"/>
      <c r="P48" s="1404" t="s">
        <v>557</v>
      </c>
      <c r="Q48" s="1404" t="s">
        <v>556</v>
      </c>
      <c r="R48" s="1408">
        <v>180000</v>
      </c>
      <c r="S48" s="1408">
        <v>18000</v>
      </c>
      <c r="T48" s="1409">
        <v>99000</v>
      </c>
      <c r="U48" s="1409">
        <v>80599.550000000017</v>
      </c>
      <c r="V48" s="1393" t="s">
        <v>558</v>
      </c>
      <c r="W48" s="1393">
        <v>98857</v>
      </c>
      <c r="X48" s="1393">
        <v>32892</v>
      </c>
      <c r="Y48" s="1393"/>
      <c r="Z48" s="1393"/>
      <c r="AA48" s="1393"/>
      <c r="AB48" s="1393"/>
      <c r="AC48" s="283">
        <f t="shared" si="1"/>
        <v>99000</v>
      </c>
    </row>
    <row r="49" spans="1:29" ht="14.25" customHeight="1">
      <c r="A49" s="1531">
        <v>247</v>
      </c>
      <c r="B49" s="1523" t="s">
        <v>267</v>
      </c>
      <c r="C49" s="1523" t="s">
        <v>731</v>
      </c>
      <c r="D49" s="1523"/>
      <c r="E49" s="1523"/>
      <c r="F49" s="1523"/>
      <c r="G49" s="1525"/>
      <c r="H49" s="1524" t="str">
        <f>IFERROR(VLOOKUP(A49,Sheet4!A28:C705,2,FALSE),"")</f>
        <v/>
      </c>
      <c r="I49" s="1526" t="str">
        <f>IFERROR(VLOOKUP(A49,Sheet4!$A$2:$C$679,3,FALSE),"")</f>
        <v/>
      </c>
      <c r="J49" s="1523"/>
      <c r="K49" s="1532">
        <v>136000</v>
      </c>
      <c r="L49" s="1404" t="s">
        <v>328</v>
      </c>
      <c r="M49" s="1404" t="s">
        <v>732</v>
      </c>
      <c r="N49" s="1404">
        <v>9132570</v>
      </c>
      <c r="O49" s="1404"/>
      <c r="P49" s="1404" t="s">
        <v>734</v>
      </c>
      <c r="Q49" s="1404" t="s">
        <v>733</v>
      </c>
      <c r="R49" s="1408">
        <v>160000</v>
      </c>
      <c r="S49" s="1408"/>
      <c r="T49" s="1409">
        <v>24000</v>
      </c>
      <c r="U49" s="1409">
        <v>14756</v>
      </c>
      <c r="V49" s="1393"/>
      <c r="W49" s="1393"/>
      <c r="X49" s="1393"/>
      <c r="Y49" s="1393"/>
      <c r="Z49" s="1393"/>
      <c r="AA49" s="1393"/>
      <c r="AB49" s="1393"/>
      <c r="AC49" s="283">
        <f t="shared" si="1"/>
        <v>136000</v>
      </c>
    </row>
    <row r="50" spans="1:29" ht="14.25" customHeight="1">
      <c r="A50" s="1531">
        <v>249</v>
      </c>
      <c r="B50" s="1523" t="s">
        <v>282</v>
      </c>
      <c r="C50" s="1524" t="s">
        <v>590</v>
      </c>
      <c r="D50" s="1524"/>
      <c r="E50" s="1524"/>
      <c r="F50" s="1524"/>
      <c r="G50" s="1525" t="s">
        <v>593</v>
      </c>
      <c r="H50" s="1524" t="str">
        <f>IFERROR(VLOOKUP(A50,Sheet4!A29:C706,2,FALSE),"")</f>
        <v>H/M/07/2024</v>
      </c>
      <c r="I50" s="1526">
        <f>IFERROR(VLOOKUP(A50,Sheet4!$A$2:$C$679,3,FALSE),"")</f>
        <v>0</v>
      </c>
      <c r="J50" s="1524"/>
      <c r="K50" s="1532">
        <v>19920</v>
      </c>
      <c r="L50" s="1407" t="s">
        <v>591</v>
      </c>
      <c r="M50" s="1404" t="s">
        <v>5390</v>
      </c>
      <c r="N50" s="1404">
        <v>4220118</v>
      </c>
      <c r="O50" s="1404"/>
      <c r="P50" s="1404" t="s">
        <v>592</v>
      </c>
      <c r="Q50" s="1404" t="s">
        <v>589</v>
      </c>
      <c r="R50" s="1408">
        <v>240000</v>
      </c>
      <c r="S50" s="1408"/>
      <c r="T50" s="1409">
        <v>220080</v>
      </c>
      <c r="U50" s="1409">
        <v>190380.7</v>
      </c>
      <c r="V50" s="1393" t="s">
        <v>593</v>
      </c>
      <c r="W50" s="1393">
        <v>137938</v>
      </c>
      <c r="X50" s="1393">
        <v>51492</v>
      </c>
      <c r="Y50" s="1393"/>
      <c r="Z50" s="1393"/>
      <c r="AA50" s="1393"/>
      <c r="AB50" s="1393"/>
      <c r="AC50" s="283">
        <f t="shared" si="1"/>
        <v>19920</v>
      </c>
    </row>
    <row r="51" spans="1:29" ht="14.25" customHeight="1">
      <c r="A51" s="1531">
        <v>251</v>
      </c>
      <c r="B51" s="1523" t="s">
        <v>304</v>
      </c>
      <c r="C51" s="1524" t="s">
        <v>511</v>
      </c>
      <c r="D51" s="1524"/>
      <c r="E51" s="1524"/>
      <c r="F51" s="1524"/>
      <c r="G51" s="1525" t="s">
        <v>515</v>
      </c>
      <c r="H51" s="1524" t="str">
        <f>IFERROR(VLOOKUP(A51,Sheet4!A30:C707,2,FALSE),"")</f>
        <v>LPO 04/ 2024</v>
      </c>
      <c r="I51" s="1526">
        <f>IFERROR(VLOOKUP(A51,Sheet4!$A$2:$C$679,3,FALSE),"")</f>
        <v>0</v>
      </c>
      <c r="J51" s="1524"/>
      <c r="K51" s="1532">
        <v>85000</v>
      </c>
      <c r="L51" s="1407" t="s">
        <v>512</v>
      </c>
      <c r="M51" s="1404" t="s">
        <v>324</v>
      </c>
      <c r="N51" s="1404">
        <v>7112760</v>
      </c>
      <c r="O51" s="1404"/>
      <c r="P51" s="1406" t="s">
        <v>514</v>
      </c>
      <c r="Q51" s="1407" t="s">
        <v>513</v>
      </c>
      <c r="R51" s="1408">
        <v>170000</v>
      </c>
      <c r="S51" s="1408"/>
      <c r="T51" s="1409">
        <v>85000</v>
      </c>
      <c r="U51" s="1409">
        <v>57848.76</v>
      </c>
      <c r="V51" s="1393" t="s">
        <v>515</v>
      </c>
      <c r="W51" s="1393">
        <v>97335</v>
      </c>
      <c r="X51" s="1393">
        <v>32776</v>
      </c>
      <c r="Y51" s="1393"/>
      <c r="Z51" s="1393"/>
      <c r="AA51" s="1393"/>
      <c r="AB51" s="1393"/>
      <c r="AC51" s="283">
        <f t="shared" si="1"/>
        <v>85000</v>
      </c>
    </row>
    <row r="52" spans="1:29" ht="14.25" customHeight="1">
      <c r="A52" s="1531">
        <v>252</v>
      </c>
      <c r="B52" s="1523" t="s">
        <v>287</v>
      </c>
      <c r="C52" s="1524" t="s">
        <v>620</v>
      </c>
      <c r="D52" s="1524"/>
      <c r="E52" s="1524"/>
      <c r="F52" s="1524"/>
      <c r="G52" s="1525" t="s">
        <v>459</v>
      </c>
      <c r="H52" s="1524" t="str">
        <f>IFERROR(VLOOKUP(A52,Sheet4!A31:C708,2,FALSE),"")</f>
        <v xml:space="preserve">LPO 09 R/ 2024  </v>
      </c>
      <c r="I52" s="1526">
        <f>IFERROR(VLOOKUP(A52,Sheet4!$A$2:$C$679,3,FALSE),"")</f>
        <v>0</v>
      </c>
      <c r="J52" s="1524"/>
      <c r="K52" s="1532">
        <v>21500</v>
      </c>
      <c r="L52" s="1404" t="s">
        <v>621</v>
      </c>
      <c r="M52" s="1404" t="s">
        <v>342</v>
      </c>
      <c r="N52" s="1404">
        <v>7118410</v>
      </c>
      <c r="O52" s="1404"/>
      <c r="P52" s="1406" t="s">
        <v>623</v>
      </c>
      <c r="Q52" s="1407" t="s">
        <v>622</v>
      </c>
      <c r="R52" s="1408">
        <v>215000</v>
      </c>
      <c r="S52" s="1408">
        <v>3500</v>
      </c>
      <c r="T52" s="1409">
        <v>197000</v>
      </c>
      <c r="U52" s="1409">
        <v>153790.29250000001</v>
      </c>
      <c r="V52" s="1393" t="s">
        <v>459</v>
      </c>
      <c r="W52" s="1393">
        <v>100947</v>
      </c>
      <c r="X52" s="1393">
        <v>48658</v>
      </c>
      <c r="Y52" s="1393"/>
      <c r="Z52" s="1393"/>
      <c r="AA52" s="1393"/>
      <c r="AB52" s="1393"/>
      <c r="AC52" s="283">
        <f t="shared" si="1"/>
        <v>21500</v>
      </c>
    </row>
    <row r="53" spans="1:29" ht="14.25" customHeight="1">
      <c r="A53" s="1531">
        <v>253</v>
      </c>
      <c r="B53" s="1523" t="s">
        <v>309</v>
      </c>
      <c r="C53" s="1524" t="s">
        <v>482</v>
      </c>
      <c r="D53" s="1524"/>
      <c r="E53" s="1524"/>
      <c r="F53" s="1524"/>
      <c r="G53" s="1525" t="s">
        <v>486</v>
      </c>
      <c r="H53" s="1524" t="str">
        <f>IFERROR(VLOOKUP(A53,Sheet4!A32:C709,2,FALSE),"")</f>
        <v>H/M/159/2023</v>
      </c>
      <c r="I53" s="1526">
        <f>IFERROR(VLOOKUP(A53,Sheet4!$A$2:$C$679,3,FALSE),"")</f>
        <v>0</v>
      </c>
      <c r="J53" s="1524"/>
      <c r="K53" s="1532">
        <v>21101</v>
      </c>
      <c r="L53" s="1404" t="s">
        <v>483</v>
      </c>
      <c r="M53" s="1404" t="s">
        <v>342</v>
      </c>
      <c r="N53" s="1404">
        <v>71112212</v>
      </c>
      <c r="O53" s="1404"/>
      <c r="P53" s="1406" t="s">
        <v>485</v>
      </c>
      <c r="Q53" s="1404" t="s">
        <v>484</v>
      </c>
      <c r="R53" s="1408">
        <v>49000</v>
      </c>
      <c r="S53" s="1408"/>
      <c r="T53" s="1409">
        <v>27899</v>
      </c>
      <c r="U53" s="1409">
        <v>12544.85</v>
      </c>
      <c r="V53" s="1393" t="s">
        <v>486</v>
      </c>
      <c r="W53" s="1393">
        <v>23200</v>
      </c>
      <c r="X53" s="1393">
        <v>7188</v>
      </c>
      <c r="Y53" s="1393"/>
      <c r="Z53" s="1393"/>
      <c r="AA53" s="1393"/>
      <c r="AB53" s="1393"/>
      <c r="AC53" s="283">
        <f t="shared" si="1"/>
        <v>21101</v>
      </c>
    </row>
    <row r="54" spans="1:29" ht="14.25" customHeight="1">
      <c r="A54" s="1531">
        <v>254</v>
      </c>
      <c r="B54" s="1523" t="s">
        <v>1338</v>
      </c>
      <c r="C54" s="1523" t="s">
        <v>681</v>
      </c>
      <c r="D54" s="1523"/>
      <c r="E54" s="1523"/>
      <c r="F54" s="1523"/>
      <c r="G54" s="1525" t="s">
        <v>685</v>
      </c>
      <c r="H54" s="1524" t="str">
        <f>IFERROR(VLOOKUP(A54,Sheet4!A33:C710,2,FALSE),"")</f>
        <v xml:space="preserve">LPO 08/ 2024  </v>
      </c>
      <c r="I54" s="1526">
        <f>IFERROR(VLOOKUP(A54,Sheet4!$A$2:$C$679,3,FALSE),"")</f>
        <v>0</v>
      </c>
      <c r="J54" s="1523"/>
      <c r="K54" s="1532">
        <v>109250</v>
      </c>
      <c r="L54" s="1407" t="s">
        <v>326</v>
      </c>
      <c r="M54" s="1404" t="s">
        <v>682</v>
      </c>
      <c r="N54" s="1404">
        <v>2827634</v>
      </c>
      <c r="O54" s="1404"/>
      <c r="P54" s="1406" t="s">
        <v>684</v>
      </c>
      <c r="Q54" s="1404" t="s">
        <v>683</v>
      </c>
      <c r="R54" s="1408">
        <v>230000</v>
      </c>
      <c r="S54" s="1408"/>
      <c r="T54" s="1409">
        <v>120750</v>
      </c>
      <c r="U54" s="1409">
        <v>71060.219999999987</v>
      </c>
      <c r="V54" s="1393" t="s">
        <v>685</v>
      </c>
      <c r="W54" s="1393">
        <v>137828</v>
      </c>
      <c r="X54" s="1393">
        <v>49487</v>
      </c>
      <c r="Y54" s="1393"/>
      <c r="Z54" s="1393"/>
      <c r="AA54" s="1393"/>
      <c r="AB54" s="1393"/>
      <c r="AC54" s="283">
        <f t="shared" si="1"/>
        <v>109250</v>
      </c>
    </row>
    <row r="55" spans="1:29" ht="14.25" customHeight="1">
      <c r="A55" s="1531">
        <v>255</v>
      </c>
      <c r="B55" s="1523" t="s">
        <v>278</v>
      </c>
      <c r="C55" s="1524" t="s">
        <v>564</v>
      </c>
      <c r="D55" s="1524"/>
      <c r="E55" s="1524"/>
      <c r="F55" s="1524"/>
      <c r="G55" s="1525"/>
      <c r="H55" s="1524" t="str">
        <f>IFERROR(VLOOKUP(A55,Sheet4!A34:C711,2,FALSE),"")</f>
        <v>H/M/32/2024</v>
      </c>
      <c r="I55" s="1526">
        <f>IFERROR(VLOOKUP(A55,Sheet4!$A$2:$C$679,3,FALSE),"")</f>
        <v>0</v>
      </c>
      <c r="J55" s="1524"/>
      <c r="K55" s="1532">
        <v>65250</v>
      </c>
      <c r="L55" s="1404" t="s">
        <v>326</v>
      </c>
      <c r="M55" s="1404" t="s">
        <v>327</v>
      </c>
      <c r="N55" s="1404">
        <v>7114991</v>
      </c>
      <c r="O55" s="1404"/>
      <c r="P55" s="1406" t="s">
        <v>566</v>
      </c>
      <c r="Q55" s="1404" t="s">
        <v>565</v>
      </c>
      <c r="R55" s="1408">
        <v>145000</v>
      </c>
      <c r="S55" s="1408"/>
      <c r="T55" s="1409">
        <v>79750</v>
      </c>
      <c r="U55" s="1409">
        <v>64709.67</v>
      </c>
      <c r="V55" s="1393"/>
      <c r="W55" s="1393"/>
      <c r="X55" s="1393"/>
      <c r="Y55" s="1393"/>
      <c r="Z55" s="1393"/>
      <c r="AA55" s="1393"/>
      <c r="AB55" s="1393"/>
      <c r="AC55" s="283">
        <f t="shared" si="1"/>
        <v>65250</v>
      </c>
    </row>
    <row r="56" spans="1:29" ht="14.25" customHeight="1">
      <c r="A56" s="1531">
        <v>256</v>
      </c>
      <c r="B56" s="1523" t="s">
        <v>269</v>
      </c>
      <c r="C56" s="1524" t="s">
        <v>400</v>
      </c>
      <c r="D56" s="1524"/>
      <c r="E56" s="1524"/>
      <c r="F56" s="1524"/>
      <c r="G56" s="1525"/>
      <c r="H56" s="1524" t="str">
        <f>IFERROR(VLOOKUP(A56,Sheet4!A35:C712,2,FALSE),"")</f>
        <v>H/M/34/2024</v>
      </c>
      <c r="I56" s="1526">
        <f>IFERROR(VLOOKUP(A56,Sheet4!$A$2:$C$679,3,FALSE),"")</f>
        <v>0</v>
      </c>
      <c r="J56" s="1524"/>
      <c r="K56" s="1532">
        <v>256256</v>
      </c>
      <c r="L56" s="1404" t="s">
        <v>401</v>
      </c>
      <c r="M56" s="1404" t="s">
        <v>325</v>
      </c>
      <c r="N56" s="1404">
        <v>3521086</v>
      </c>
      <c r="O56" s="1404"/>
      <c r="P56" s="1406" t="s">
        <v>403</v>
      </c>
      <c r="Q56" s="1404" t="s">
        <v>402</v>
      </c>
      <c r="R56" s="1408">
        <v>455000</v>
      </c>
      <c r="S56" s="1408"/>
      <c r="T56" s="1409">
        <v>198744</v>
      </c>
      <c r="U56" s="1409">
        <v>138840.17600000001</v>
      </c>
      <c r="V56" s="1393"/>
      <c r="W56" s="1393"/>
      <c r="X56" s="1393"/>
      <c r="Y56" s="1393"/>
      <c r="Z56" s="1393"/>
      <c r="AA56" s="1393"/>
      <c r="AB56" s="1393"/>
      <c r="AC56" s="283">
        <f t="shared" si="1"/>
        <v>256256</v>
      </c>
    </row>
    <row r="57" spans="1:29" ht="14.25" customHeight="1">
      <c r="A57" s="1531">
        <v>257</v>
      </c>
      <c r="B57" s="1523" t="s">
        <v>301</v>
      </c>
      <c r="C57" s="1524" t="s">
        <v>690</v>
      </c>
      <c r="D57" s="1524"/>
      <c r="E57" s="1524"/>
      <c r="F57" s="1524"/>
      <c r="G57" s="1525" t="s">
        <v>695</v>
      </c>
      <c r="H57" s="1524" t="str">
        <f>IFERROR(VLOOKUP(A57,Sheet4!A36:C713,2,FALSE),"")</f>
        <v>H/M/05/2024</v>
      </c>
      <c r="I57" s="1526">
        <f>IFERROR(VLOOKUP(A57,Sheet4!$A$2:$C$679,3,FALSE),"")</f>
        <v>0</v>
      </c>
      <c r="J57" s="1524"/>
      <c r="K57" s="1532">
        <v>18393</v>
      </c>
      <c r="L57" s="1404" t="s">
        <v>691</v>
      </c>
      <c r="M57" s="1404" t="s">
        <v>692</v>
      </c>
      <c r="N57" s="1404">
        <v>4318280</v>
      </c>
      <c r="O57" s="1404"/>
      <c r="P57" s="1406" t="s">
        <v>694</v>
      </c>
      <c r="Q57" s="1407" t="s">
        <v>693</v>
      </c>
      <c r="R57" s="1408">
        <v>166000</v>
      </c>
      <c r="S57" s="1408">
        <v>8500</v>
      </c>
      <c r="T57" s="1409">
        <v>156107</v>
      </c>
      <c r="U57" s="1409">
        <v>120608.74</v>
      </c>
      <c r="V57" s="1393" t="s">
        <v>695</v>
      </c>
      <c r="W57" s="1393">
        <v>97744</v>
      </c>
      <c r="X57" s="1393">
        <v>33968</v>
      </c>
      <c r="Y57" s="1393"/>
      <c r="Z57" s="1393"/>
      <c r="AA57" s="1393"/>
      <c r="AB57" s="1393"/>
      <c r="AC57" s="283">
        <f t="shared" si="1"/>
        <v>18393</v>
      </c>
    </row>
    <row r="58" spans="1:29" ht="14.25" customHeight="1">
      <c r="A58" s="1531">
        <v>258</v>
      </c>
      <c r="B58" s="1523" t="s">
        <v>1851</v>
      </c>
      <c r="C58" s="1524" t="s">
        <v>318</v>
      </c>
      <c r="D58" s="1524"/>
      <c r="E58" s="1524"/>
      <c r="F58" s="1524"/>
      <c r="G58" s="1525"/>
      <c r="H58" s="1524" t="str">
        <f>IFERROR(VLOOKUP(A58,Sheet4!A37:C714,2,FALSE),"")</f>
        <v/>
      </c>
      <c r="I58" s="1526" t="str">
        <f>IFERROR(VLOOKUP(A58,Sheet4!$A$2:$C$679,3,FALSE),"")</f>
        <v>30/4/2024</v>
      </c>
      <c r="J58" s="1524"/>
      <c r="K58" s="1532">
        <v>61200</v>
      </c>
      <c r="L58" s="1407" t="s">
        <v>5391</v>
      </c>
      <c r="M58" s="1404" t="s">
        <v>336</v>
      </c>
      <c r="N58" s="1404">
        <v>2826592</v>
      </c>
      <c r="O58" s="1404"/>
      <c r="P58" s="1406" t="s">
        <v>635</v>
      </c>
      <c r="Q58" s="1404" t="s">
        <v>634</v>
      </c>
      <c r="R58" s="1408">
        <v>136000</v>
      </c>
      <c r="S58" s="1408"/>
      <c r="T58" s="1409">
        <v>74800</v>
      </c>
      <c r="U58" s="1409">
        <v>44717.107499999998</v>
      </c>
      <c r="V58" s="1393"/>
      <c r="W58" s="1393"/>
      <c r="X58" s="1393"/>
      <c r="Y58" s="1393"/>
      <c r="Z58" s="1393"/>
      <c r="AA58" s="1393"/>
      <c r="AB58" s="1393"/>
      <c r="AC58" s="283">
        <f t="shared" si="1"/>
        <v>61200</v>
      </c>
    </row>
    <row r="59" spans="1:29" ht="14.25" customHeight="1">
      <c r="A59" s="1531">
        <v>259</v>
      </c>
      <c r="B59" s="1523" t="s">
        <v>264</v>
      </c>
      <c r="C59" s="1524" t="s">
        <v>361</v>
      </c>
      <c r="D59" s="1524"/>
      <c r="E59" s="1524"/>
      <c r="F59" s="1524"/>
      <c r="G59" s="1525"/>
      <c r="H59" s="1524" t="str">
        <f>IFERROR(VLOOKUP(A59,Sheet4!A38:C715,2,FALSE),"")</f>
        <v>No LPO</v>
      </c>
      <c r="I59" s="1526">
        <f>IFERROR(VLOOKUP(A59,Sheet4!$A$2:$C$679,3,FALSE),"")</f>
        <v>0</v>
      </c>
      <c r="J59" s="1524"/>
      <c r="K59" s="1532">
        <v>165750</v>
      </c>
      <c r="L59" s="1404" t="s">
        <v>362</v>
      </c>
      <c r="M59" s="1404" t="s">
        <v>333</v>
      </c>
      <c r="N59" s="1404">
        <v>9132544</v>
      </c>
      <c r="O59" s="1418"/>
      <c r="P59" s="1406" t="s">
        <v>365</v>
      </c>
      <c r="Q59" s="1418"/>
      <c r="R59" s="1408">
        <v>195000</v>
      </c>
      <c r="S59" s="1408"/>
      <c r="T59" s="1409">
        <v>29250</v>
      </c>
      <c r="U59" s="1409">
        <v>13089</v>
      </c>
      <c r="V59" s="1393"/>
      <c r="W59" s="1393"/>
      <c r="X59" s="1393"/>
      <c r="Y59" s="1393"/>
      <c r="Z59" s="1393"/>
      <c r="AA59" s="1393"/>
      <c r="AB59" s="1393"/>
      <c r="AC59" s="283">
        <f t="shared" si="1"/>
        <v>165750</v>
      </c>
    </row>
    <row r="60" spans="1:29" ht="14.25" customHeight="1">
      <c r="A60" s="1531">
        <v>260</v>
      </c>
      <c r="B60" s="1523" t="s">
        <v>5324</v>
      </c>
      <c r="C60" s="1524" t="s">
        <v>316</v>
      </c>
      <c r="D60" s="1524"/>
      <c r="E60" s="1524"/>
      <c r="F60" s="1524"/>
      <c r="G60" s="1525"/>
      <c r="H60" s="1524" t="str">
        <f>IFERROR(VLOOKUP(A60,Sheet4!A39:C716,2,FALSE),"")</f>
        <v>No LPO</v>
      </c>
      <c r="I60" s="1526">
        <f>IFERROR(VLOOKUP(A60,Sheet4!$A$2:$C$679,3,FALSE),"")</f>
        <v>0</v>
      </c>
      <c r="J60" s="1524"/>
      <c r="K60" s="1532">
        <v>221000</v>
      </c>
      <c r="L60" s="1407" t="s">
        <v>329</v>
      </c>
      <c r="M60" s="1407" t="s">
        <v>334</v>
      </c>
      <c r="N60" s="1404">
        <v>4312238</v>
      </c>
      <c r="O60" s="1404"/>
      <c r="P60" s="1406" t="s">
        <v>633</v>
      </c>
      <c r="Q60" s="1407" t="s">
        <v>632</v>
      </c>
      <c r="R60" s="1408">
        <v>260000</v>
      </c>
      <c r="S60" s="1408"/>
      <c r="T60" s="1409">
        <v>39000</v>
      </c>
      <c r="U60" s="1409">
        <v>15962</v>
      </c>
      <c r="V60" s="1393"/>
      <c r="W60" s="1393"/>
      <c r="X60" s="1393"/>
      <c r="Y60" s="1393"/>
      <c r="Z60" s="1393"/>
      <c r="AA60" s="1393"/>
      <c r="AB60" s="1393"/>
      <c r="AC60" s="283">
        <f t="shared" si="1"/>
        <v>221000</v>
      </c>
    </row>
    <row r="61" spans="1:29" ht="14.25" customHeight="1">
      <c r="A61" s="1531">
        <v>261</v>
      </c>
      <c r="B61" s="1523" t="s">
        <v>5321</v>
      </c>
      <c r="C61" s="1524" t="s">
        <v>456</v>
      </c>
      <c r="D61" s="1524"/>
      <c r="E61" s="1524"/>
      <c r="F61" s="1524"/>
      <c r="G61" s="1525"/>
      <c r="H61" s="1524" t="str">
        <f>IFERROR(VLOOKUP(A61,Sheet4!A40:C717,2,FALSE),"")</f>
        <v>No LPO</v>
      </c>
      <c r="I61" s="1526">
        <f>IFERROR(VLOOKUP(A61,Sheet4!$A$2:$C$679,3,FALSE),"")</f>
        <v>0</v>
      </c>
      <c r="J61" s="1524"/>
      <c r="K61" s="1532">
        <v>195500</v>
      </c>
      <c r="L61" s="1404" t="s">
        <v>328</v>
      </c>
      <c r="M61" s="1404" t="s">
        <v>457</v>
      </c>
      <c r="N61" s="1404"/>
      <c r="O61" s="1404"/>
      <c r="P61" s="1406" t="s">
        <v>459</v>
      </c>
      <c r="Q61" s="1404" t="s">
        <v>458</v>
      </c>
      <c r="R61" s="1408">
        <v>230000</v>
      </c>
      <c r="S61" s="1408"/>
      <c r="T61" s="1409">
        <v>34500</v>
      </c>
      <c r="U61" s="1409">
        <v>15750</v>
      </c>
      <c r="V61" s="1393"/>
      <c r="W61" s="1393"/>
      <c r="X61" s="1393"/>
      <c r="Y61" s="1393"/>
      <c r="Z61" s="1393"/>
      <c r="AA61" s="1393"/>
      <c r="AB61" s="1393"/>
      <c r="AC61" s="283">
        <f t="shared" si="1"/>
        <v>195500</v>
      </c>
    </row>
    <row r="62" spans="1:29" ht="14.25" customHeight="1">
      <c r="A62" s="1531">
        <v>264</v>
      </c>
      <c r="B62" s="1523" t="s">
        <v>5334</v>
      </c>
      <c r="C62" s="1524" t="s">
        <v>526</v>
      </c>
      <c r="D62" s="1524"/>
      <c r="E62" s="1524"/>
      <c r="F62" s="1524"/>
      <c r="G62" s="1525"/>
      <c r="H62" s="1524" t="str">
        <f>IFERROR(VLOOKUP(A62,Sheet4!A41:C718,2,FALSE),"")</f>
        <v>No LPO</v>
      </c>
      <c r="I62" s="1526">
        <f>IFERROR(VLOOKUP(A62,Sheet4!$A$2:$C$679,3,FALSE),"")</f>
        <v>0</v>
      </c>
      <c r="J62" s="1524"/>
      <c r="K62" s="1532">
        <v>156428.57</v>
      </c>
      <c r="L62" s="1407" t="s">
        <v>330</v>
      </c>
      <c r="M62" s="1404" t="s">
        <v>331</v>
      </c>
      <c r="N62" s="1404">
        <v>9130926</v>
      </c>
      <c r="O62" s="1404"/>
      <c r="P62" s="1406" t="s">
        <v>527</v>
      </c>
      <c r="Q62" s="1404" t="s">
        <v>525</v>
      </c>
      <c r="R62" s="1408">
        <v>185000</v>
      </c>
      <c r="S62" s="1408"/>
      <c r="T62" s="1409">
        <v>28571.43</v>
      </c>
      <c r="U62" s="1409">
        <v>874</v>
      </c>
      <c r="V62" s="1393"/>
      <c r="W62" s="1393"/>
      <c r="X62" s="1393"/>
      <c r="Y62" s="1393"/>
      <c r="Z62" s="1393"/>
      <c r="AA62" s="1393"/>
      <c r="AB62" s="1393"/>
      <c r="AC62" s="283">
        <f t="shared" si="1"/>
        <v>156428.57</v>
      </c>
    </row>
    <row r="63" spans="1:29" ht="14.25" customHeight="1">
      <c r="A63" s="1531">
        <v>265</v>
      </c>
      <c r="B63" s="1523" t="s">
        <v>5327</v>
      </c>
      <c r="C63" s="1524" t="s">
        <v>317</v>
      </c>
      <c r="D63" s="1524"/>
      <c r="E63" s="1524"/>
      <c r="F63" s="1524"/>
      <c r="G63" s="1525"/>
      <c r="H63" s="1524" t="str">
        <f>IFERROR(VLOOKUP(A63,Sheet4!A42:C719,2,FALSE),"")</f>
        <v>No LPO</v>
      </c>
      <c r="I63" s="1526">
        <f>IFERROR(VLOOKUP(A63,Sheet4!$A$2:$C$679,3,FALSE),"")</f>
        <v>0</v>
      </c>
      <c r="J63" s="1524"/>
      <c r="K63" s="1532">
        <v>223500</v>
      </c>
      <c r="L63" s="1404" t="s">
        <v>326</v>
      </c>
      <c r="M63" s="1404" t="s">
        <v>335</v>
      </c>
      <c r="N63" s="1404">
        <v>7118668</v>
      </c>
      <c r="O63" s="1404"/>
      <c r="P63" s="1406" t="s">
        <v>699</v>
      </c>
      <c r="Q63" s="1404" t="s">
        <v>698</v>
      </c>
      <c r="R63" s="1408">
        <v>235000</v>
      </c>
      <c r="S63" s="1408"/>
      <c r="T63" s="1409">
        <v>11500</v>
      </c>
      <c r="U63" s="1409">
        <v>778.53</v>
      </c>
      <c r="V63" s="1393"/>
      <c r="W63" s="1393"/>
      <c r="X63" s="1393"/>
      <c r="Y63" s="1393"/>
      <c r="Z63" s="1393"/>
      <c r="AA63" s="1393"/>
      <c r="AB63" s="1393"/>
      <c r="AC63" s="283">
        <f t="shared" si="1"/>
        <v>223500</v>
      </c>
    </row>
    <row r="64" spans="1:29" ht="14.25" customHeight="1">
      <c r="A64" s="1531">
        <v>275</v>
      </c>
      <c r="B64" s="1523" t="s">
        <v>320</v>
      </c>
      <c r="C64" s="1524" t="s">
        <v>320</v>
      </c>
      <c r="D64" s="1524"/>
      <c r="E64" s="1524"/>
      <c r="F64" s="1524"/>
      <c r="G64" s="1525"/>
      <c r="H64" s="1524" t="str">
        <f>IFERROR(VLOOKUP(A64,Sheet4!A43:C720,2,FALSE),"")</f>
        <v>No LPO</v>
      </c>
      <c r="I64" s="1526">
        <f>IFERROR(VLOOKUP(A64,Sheet4!$A$2:$C$679,3,FALSE),"")</f>
        <v>0</v>
      </c>
      <c r="J64" s="1524"/>
      <c r="K64" s="1532">
        <v>56100</v>
      </c>
      <c r="L64" s="1404" t="s">
        <v>1419</v>
      </c>
      <c r="M64" s="1404" t="s">
        <v>338</v>
      </c>
      <c r="N64" s="1404">
        <v>7114544</v>
      </c>
      <c r="O64" s="1404"/>
      <c r="P64" s="1406" t="s">
        <v>373</v>
      </c>
      <c r="Q64" s="1404" t="s">
        <v>637</v>
      </c>
      <c r="R64" s="1408">
        <v>118000</v>
      </c>
      <c r="S64" s="1408">
        <v>9550</v>
      </c>
      <c r="T64" s="1409">
        <v>71450</v>
      </c>
      <c r="U64" s="1409">
        <v>35480.93</v>
      </c>
      <c r="V64" s="1393"/>
      <c r="W64" s="1393"/>
      <c r="X64" s="1393"/>
      <c r="Y64" s="1393"/>
      <c r="Z64" s="1393"/>
      <c r="AA64" s="1393"/>
      <c r="AB64" s="1393"/>
      <c r="AC64" s="283">
        <f t="shared" si="1"/>
        <v>56100</v>
      </c>
    </row>
    <row r="65" spans="1:29" ht="14.25" customHeight="1">
      <c r="A65" s="1531">
        <v>276</v>
      </c>
      <c r="B65" s="1523" t="s">
        <v>283</v>
      </c>
      <c r="C65" s="1524" t="s">
        <v>597</v>
      </c>
      <c r="D65" s="1524"/>
      <c r="E65" s="1524"/>
      <c r="F65" s="1524"/>
      <c r="G65" s="1525"/>
      <c r="H65" s="1524" t="str">
        <f>IFERROR(VLOOKUP(A65,Sheet4!A44:C721,2,FALSE),"")</f>
        <v>No LPO</v>
      </c>
      <c r="I65" s="1526">
        <f>IFERROR(VLOOKUP(A65,Sheet4!$A$2:$C$679,3,FALSE),"")</f>
        <v>0</v>
      </c>
      <c r="J65" s="1524"/>
      <c r="K65" s="1532">
        <v>78000</v>
      </c>
      <c r="L65" s="1404" t="s">
        <v>598</v>
      </c>
      <c r="M65" s="1404" t="s">
        <v>340</v>
      </c>
      <c r="N65" s="1404">
        <v>71114728</v>
      </c>
      <c r="O65" s="1404"/>
      <c r="P65" s="1406" t="s">
        <v>600</v>
      </c>
      <c r="Q65" s="1404" t="s">
        <v>599</v>
      </c>
      <c r="R65" s="1408">
        <v>92000</v>
      </c>
      <c r="S65" s="1408">
        <v>9000</v>
      </c>
      <c r="T65" s="1409">
        <v>23000</v>
      </c>
      <c r="U65" s="1409">
        <v>4918</v>
      </c>
      <c r="V65" s="1393"/>
      <c r="W65" s="1393"/>
      <c r="X65" s="1393"/>
      <c r="Y65" s="1393"/>
      <c r="Z65" s="1393"/>
      <c r="AA65" s="1393"/>
      <c r="AB65" s="1393"/>
      <c r="AC65" s="283">
        <f t="shared" si="1"/>
        <v>78000</v>
      </c>
    </row>
    <row r="66" spans="1:29" ht="14.25" customHeight="1">
      <c r="A66" s="1531">
        <v>277</v>
      </c>
      <c r="B66" s="1523" t="s">
        <v>268</v>
      </c>
      <c r="C66" s="1523" t="s">
        <v>396</v>
      </c>
      <c r="D66" s="1523"/>
      <c r="E66" s="1523"/>
      <c r="F66" s="1523"/>
      <c r="G66" s="1525"/>
      <c r="H66" s="1524" t="str">
        <f>IFERROR(VLOOKUP(A66,Sheet4!A45:C722,2,FALSE),"")</f>
        <v>No LPO</v>
      </c>
      <c r="I66" s="1526">
        <f>IFERROR(VLOOKUP(A66,Sheet4!$A$2:$C$679,3,FALSE),"")</f>
        <v>0</v>
      </c>
      <c r="J66" s="1523"/>
      <c r="K66" s="1532">
        <v>114250</v>
      </c>
      <c r="L66" s="1404" t="s">
        <v>341</v>
      </c>
      <c r="M66" s="1404" t="s">
        <v>340</v>
      </c>
      <c r="N66" s="1404">
        <v>71114734</v>
      </c>
      <c r="O66" s="1404"/>
      <c r="P66" s="1406" t="s">
        <v>398</v>
      </c>
      <c r="Q66" s="1404" t="s">
        <v>397</v>
      </c>
      <c r="R66" s="1408">
        <v>135000</v>
      </c>
      <c r="S66" s="1408">
        <v>13000</v>
      </c>
      <c r="T66" s="1409">
        <v>33750</v>
      </c>
      <c r="U66" s="1409">
        <v>836.48</v>
      </c>
      <c r="V66" s="1393"/>
      <c r="W66" s="1393"/>
      <c r="X66" s="1393"/>
      <c r="Y66" s="1393"/>
      <c r="Z66" s="1393"/>
      <c r="AA66" s="1393"/>
      <c r="AB66" s="1393"/>
      <c r="AC66" s="283">
        <f t="shared" si="1"/>
        <v>114250</v>
      </c>
    </row>
    <row r="67" spans="1:29" ht="14.25" customHeight="1">
      <c r="A67" s="1531">
        <v>278</v>
      </c>
      <c r="B67" s="1523" t="s">
        <v>2845</v>
      </c>
      <c r="C67" s="1524" t="s">
        <v>2846</v>
      </c>
      <c r="D67" s="1524"/>
      <c r="E67" s="1524"/>
      <c r="F67" s="1524"/>
      <c r="G67" s="1525"/>
      <c r="H67" s="1524" t="str">
        <f>IFERROR(VLOOKUP(A67,Sheet4!A46:C723,2,FALSE),"")</f>
        <v>No LPO</v>
      </c>
      <c r="I67" s="1526">
        <f>IFERROR(VLOOKUP(A67,Sheet4!$A$2:$C$679,3,FALSE),"")</f>
        <v>0</v>
      </c>
      <c r="J67" s="1524"/>
      <c r="K67" s="1532">
        <v>207000</v>
      </c>
      <c r="L67" s="1410" t="s">
        <v>330</v>
      </c>
      <c r="M67" s="1415" t="s">
        <v>343</v>
      </c>
      <c r="N67" s="1415">
        <v>6713324</v>
      </c>
      <c r="O67" s="1404" t="s">
        <v>785</v>
      </c>
      <c r="P67" s="1411" t="s">
        <v>784</v>
      </c>
      <c r="Q67" s="1417" t="s">
        <v>783</v>
      </c>
      <c r="R67" s="1408">
        <v>220000</v>
      </c>
      <c r="S67" s="1408">
        <v>20000</v>
      </c>
      <c r="T67" s="1409">
        <v>33000</v>
      </c>
      <c r="U67" s="1409">
        <v>28526.33</v>
      </c>
      <c r="V67" s="1393"/>
      <c r="W67" s="1393"/>
      <c r="X67" s="1393"/>
      <c r="Y67" s="1393"/>
      <c r="Z67" s="1393"/>
      <c r="AA67" s="1393"/>
      <c r="AB67" s="1393"/>
      <c r="AC67" s="283">
        <f t="shared" ref="AC67:AC79" si="2">(R67+S67)-T67</f>
        <v>207000</v>
      </c>
    </row>
    <row r="68" spans="1:29" ht="14.25" customHeight="1">
      <c r="A68" s="1531">
        <v>279</v>
      </c>
      <c r="B68" s="1523" t="s">
        <v>307</v>
      </c>
      <c r="C68" s="1524" t="s">
        <v>307</v>
      </c>
      <c r="D68" s="1524"/>
      <c r="E68" s="1524"/>
      <c r="F68" s="1524"/>
      <c r="G68" s="1525"/>
      <c r="H68" s="1524" t="str">
        <f>IFERROR(VLOOKUP(A68,Sheet4!A47:C724,2,FALSE),"")</f>
        <v>H/M/138/2024</v>
      </c>
      <c r="I68" s="1526">
        <f>IFERROR(VLOOKUP(A68,Sheet4!$A$2:$C$679,3,FALSE),"")</f>
        <v>45502</v>
      </c>
      <c r="J68" s="1524"/>
      <c r="K68" s="1532">
        <v>4800</v>
      </c>
      <c r="L68" s="1410" t="s">
        <v>339</v>
      </c>
      <c r="M68" s="1411" t="s">
        <v>5392</v>
      </c>
      <c r="N68" s="1415">
        <v>315050180</v>
      </c>
      <c r="O68" s="1404"/>
      <c r="P68" s="1419" t="s">
        <v>781</v>
      </c>
      <c r="Q68" s="1404" t="s">
        <v>780</v>
      </c>
      <c r="R68" s="1408">
        <v>96000</v>
      </c>
      <c r="S68" s="1408">
        <v>16000</v>
      </c>
      <c r="T68" s="1409">
        <v>107200</v>
      </c>
      <c r="U68" s="1409">
        <v>52220.03</v>
      </c>
      <c r="V68" s="1393"/>
      <c r="W68" s="1393"/>
      <c r="X68" s="1393"/>
      <c r="Y68" s="1393"/>
      <c r="Z68" s="1393"/>
      <c r="AA68" s="1393"/>
      <c r="AB68" s="1393"/>
      <c r="AC68" s="283">
        <f t="shared" si="2"/>
        <v>4800</v>
      </c>
    </row>
    <row r="69" spans="1:29" ht="14.25" customHeight="1">
      <c r="A69" s="1531">
        <v>280</v>
      </c>
      <c r="B69" s="1523" t="s">
        <v>869</v>
      </c>
      <c r="C69" s="1524" t="s">
        <v>869</v>
      </c>
      <c r="D69" s="1524"/>
      <c r="E69" s="1524"/>
      <c r="F69" s="1524"/>
      <c r="G69" s="1525"/>
      <c r="H69" s="1524" t="str">
        <f>IFERROR(VLOOKUP(A69,Sheet4!A48:C725,2,FALSE),"")</f>
        <v>No LPO</v>
      </c>
      <c r="I69" s="1526">
        <f>IFERROR(VLOOKUP(A69,Sheet4!$A$2:$C$679,3,FALSE),"")</f>
        <v>0</v>
      </c>
      <c r="J69" s="1524"/>
      <c r="K69" s="1532">
        <v>126000</v>
      </c>
      <c r="L69" s="1404" t="s">
        <v>326</v>
      </c>
      <c r="M69" s="1404" t="s">
        <v>870</v>
      </c>
      <c r="N69" s="1404">
        <v>4314217</v>
      </c>
      <c r="O69" s="1404"/>
      <c r="P69" s="1404"/>
      <c r="Q69" s="1404"/>
      <c r="R69" s="1408">
        <v>140000</v>
      </c>
      <c r="S69" s="1408"/>
      <c r="T69" s="1409">
        <v>14000</v>
      </c>
      <c r="U69" s="1409">
        <v>569</v>
      </c>
      <c r="V69" s="1393"/>
      <c r="W69" s="1393"/>
      <c r="X69" s="1393"/>
      <c r="Y69" s="1393"/>
      <c r="Z69" s="1393"/>
      <c r="AA69" s="1393"/>
      <c r="AB69" s="1393"/>
      <c r="AC69" s="283">
        <f t="shared" si="2"/>
        <v>126000</v>
      </c>
    </row>
    <row r="70" spans="1:29" ht="14.25" customHeight="1">
      <c r="A70" s="1531">
        <v>281</v>
      </c>
      <c r="B70" s="1523" t="s">
        <v>866</v>
      </c>
      <c r="C70" s="1524" t="s">
        <v>866</v>
      </c>
      <c r="D70" s="1524"/>
      <c r="E70" s="1524"/>
      <c r="F70" s="1524"/>
      <c r="G70" s="1525"/>
      <c r="H70" s="1524" t="str">
        <f>IFERROR(VLOOKUP(A70,Sheet4!A49:C726,2,FALSE),"")</f>
        <v>No LPO</v>
      </c>
      <c r="I70" s="1526">
        <f>IFERROR(VLOOKUP(A70,Sheet4!$A$2:$C$679,3,FALSE),"")</f>
        <v>0</v>
      </c>
      <c r="J70" s="1524"/>
      <c r="K70" s="1532">
        <v>120650</v>
      </c>
      <c r="L70" s="1404" t="s">
        <v>867</v>
      </c>
      <c r="M70" s="1404" t="s">
        <v>868</v>
      </c>
      <c r="N70" s="1404">
        <v>7115417</v>
      </c>
      <c r="O70" s="1404"/>
      <c r="P70" s="1404"/>
      <c r="Q70" s="1404"/>
      <c r="R70" s="1408">
        <v>127000</v>
      </c>
      <c r="S70" s="1408"/>
      <c r="T70" s="1409">
        <v>6350</v>
      </c>
      <c r="U70" s="1409">
        <v>1980.5</v>
      </c>
      <c r="V70" s="1393"/>
      <c r="W70" s="1393"/>
      <c r="X70" s="1393"/>
      <c r="Y70" s="1393"/>
      <c r="Z70" s="1393"/>
      <c r="AA70" s="1393"/>
      <c r="AB70" s="1393"/>
      <c r="AC70" s="283">
        <f t="shared" si="2"/>
        <v>120650</v>
      </c>
    </row>
    <row r="71" spans="1:29" ht="14.25" customHeight="1">
      <c r="A71" s="1531">
        <v>282</v>
      </c>
      <c r="B71" s="1523" t="s">
        <v>1213</v>
      </c>
      <c r="C71" s="1524" t="s">
        <v>1213</v>
      </c>
      <c r="D71" s="1524"/>
      <c r="E71" s="1524"/>
      <c r="F71" s="1524"/>
      <c r="G71" s="1525"/>
      <c r="H71" s="1524" t="str">
        <f>IFERROR(VLOOKUP(A71,Sheet4!A50:C727,2,FALSE),"")</f>
        <v>No LPO</v>
      </c>
      <c r="I71" s="1526">
        <f>IFERROR(VLOOKUP(A71,Sheet4!$A$2:$C$679,3,FALSE),"")</f>
        <v>0</v>
      </c>
      <c r="J71" s="1524"/>
      <c r="K71" s="1532">
        <v>204000</v>
      </c>
      <c r="L71" s="1404" t="s">
        <v>1220</v>
      </c>
      <c r="M71" s="1404" t="s">
        <v>1217</v>
      </c>
      <c r="N71" s="1404">
        <v>2631465</v>
      </c>
      <c r="O71" s="1404"/>
      <c r="P71" s="1406" t="s">
        <v>1219</v>
      </c>
      <c r="Q71" s="1407" t="s">
        <v>1218</v>
      </c>
      <c r="R71" s="1408">
        <v>240000</v>
      </c>
      <c r="S71" s="1408"/>
      <c r="T71" s="1409">
        <v>36000</v>
      </c>
      <c r="U71" s="1409">
        <v>15694.25</v>
      </c>
      <c r="V71" s="1393"/>
      <c r="W71" s="1393"/>
      <c r="X71" s="1393"/>
      <c r="Y71" s="1393"/>
      <c r="Z71" s="1393"/>
      <c r="AA71" s="1393"/>
      <c r="AB71" s="1393"/>
      <c r="AC71" s="283">
        <f t="shared" si="2"/>
        <v>204000</v>
      </c>
    </row>
    <row r="72" spans="1:29" ht="14.25" customHeight="1">
      <c r="A72" s="1531">
        <v>284</v>
      </c>
      <c r="B72" s="1523" t="s">
        <v>1834</v>
      </c>
      <c r="C72" s="1524" t="s">
        <v>1835</v>
      </c>
      <c r="D72" s="1524"/>
      <c r="E72" s="1524"/>
      <c r="F72" s="1524"/>
      <c r="G72" s="1525"/>
      <c r="H72" s="1524" t="str">
        <f>IFERROR(VLOOKUP(A72,Sheet4!A51:C728,2,FALSE),"")</f>
        <v/>
      </c>
      <c r="I72" s="1526" t="str">
        <f>IFERROR(VLOOKUP(A72,Sheet4!$A$2:$C$679,3,FALSE),"")</f>
        <v/>
      </c>
      <c r="J72" s="1524"/>
      <c r="K72" s="1532">
        <v>60000</v>
      </c>
      <c r="L72" s="1404" t="s">
        <v>1031</v>
      </c>
      <c r="M72" s="1404" t="s">
        <v>1032</v>
      </c>
      <c r="N72" s="1404">
        <v>4312426</v>
      </c>
      <c r="O72" s="1404"/>
      <c r="P72" s="1406"/>
      <c r="Q72" s="1404" t="s">
        <v>1033</v>
      </c>
      <c r="R72" s="1408">
        <v>75000</v>
      </c>
      <c r="S72" s="1408"/>
      <c r="T72" s="1409">
        <v>15000</v>
      </c>
      <c r="U72" s="1409">
        <v>4278.33</v>
      </c>
      <c r="V72" s="1393"/>
      <c r="W72" s="1393"/>
      <c r="X72" s="1393"/>
      <c r="Y72" s="1393"/>
      <c r="Z72" s="1393"/>
      <c r="AA72" s="1393"/>
      <c r="AB72" s="1393"/>
      <c r="AC72" s="283">
        <f t="shared" si="2"/>
        <v>60000</v>
      </c>
    </row>
    <row r="73" spans="1:29" ht="14.25" customHeight="1">
      <c r="A73" s="1531">
        <v>285</v>
      </c>
      <c r="B73" s="1523" t="s">
        <v>1356</v>
      </c>
      <c r="C73" s="1524" t="s">
        <v>1356</v>
      </c>
      <c r="D73" s="1524"/>
      <c r="E73" s="1524"/>
      <c r="F73" s="1524"/>
      <c r="G73" s="1525"/>
      <c r="H73" s="1524" t="str">
        <f>IFERROR(VLOOKUP(A73,Sheet4!A52:C729,2,FALSE),"")</f>
        <v>H/M/201/2024</v>
      </c>
      <c r="I73" s="1526">
        <f>IFERROR(VLOOKUP(A73,Sheet4!$A$2:$C$679,3,FALSE),"")</f>
        <v>45598</v>
      </c>
      <c r="J73" s="1524"/>
      <c r="K73" s="1532">
        <v>84250</v>
      </c>
      <c r="L73" s="1404" t="s">
        <v>974</v>
      </c>
      <c r="M73" s="1404" t="s">
        <v>977</v>
      </c>
      <c r="N73" s="1404">
        <v>9140401</v>
      </c>
      <c r="O73" s="1404" t="s">
        <v>1792</v>
      </c>
      <c r="P73" s="1406" t="s">
        <v>1357</v>
      </c>
      <c r="Q73" s="1407" t="s">
        <v>1358</v>
      </c>
      <c r="R73" s="1408">
        <v>100000</v>
      </c>
      <c r="S73" s="1408"/>
      <c r="T73" s="1409">
        <v>15750</v>
      </c>
      <c r="U73" s="1409">
        <v>400</v>
      </c>
      <c r="V73" s="1393"/>
      <c r="W73" s="1393"/>
      <c r="X73" s="1393"/>
      <c r="Y73" s="1393"/>
      <c r="Z73" s="1393"/>
      <c r="AA73" s="1393"/>
      <c r="AB73" s="1393"/>
      <c r="AC73" s="283">
        <f t="shared" si="2"/>
        <v>84250</v>
      </c>
    </row>
    <row r="74" spans="1:29" ht="14.25" customHeight="1">
      <c r="A74" s="1531">
        <v>286</v>
      </c>
      <c r="B74" s="1523" t="s">
        <v>978</v>
      </c>
      <c r="C74" s="1524" t="s">
        <v>978</v>
      </c>
      <c r="D74" s="1524"/>
      <c r="E74" s="1524"/>
      <c r="F74" s="1524"/>
      <c r="G74" s="1525"/>
      <c r="H74" s="1524" t="str">
        <f>IFERROR(VLOOKUP(A74,Sheet4!A53:C730,2,FALSE),"")</f>
        <v/>
      </c>
      <c r="I74" s="1526" t="str">
        <f>IFERROR(VLOOKUP(A74,Sheet4!$A$2:$C$679,3,FALSE),"")</f>
        <v/>
      </c>
      <c r="J74" s="1524"/>
      <c r="K74" s="1532">
        <v>126375</v>
      </c>
      <c r="L74" s="1404" t="s">
        <v>975</v>
      </c>
      <c r="M74" s="1404" t="s">
        <v>976</v>
      </c>
      <c r="N74" s="1404">
        <v>2661233</v>
      </c>
      <c r="O74" s="1404"/>
      <c r="P74" s="1406"/>
      <c r="Q74" s="1407"/>
      <c r="R74" s="1408">
        <v>150000</v>
      </c>
      <c r="S74" s="1408"/>
      <c r="T74" s="1409">
        <v>23625</v>
      </c>
      <c r="U74" s="1409">
        <v>537.79999999999995</v>
      </c>
      <c r="V74" s="1393"/>
      <c r="W74" s="1393"/>
      <c r="X74" s="1393"/>
      <c r="Y74" s="1393"/>
      <c r="Z74" s="1393"/>
      <c r="AA74" s="1393"/>
      <c r="AB74" s="1393"/>
      <c r="AC74" s="283">
        <f t="shared" si="2"/>
        <v>126375</v>
      </c>
    </row>
    <row r="75" spans="1:29" ht="14.25" customHeight="1">
      <c r="A75" s="1531">
        <v>287</v>
      </c>
      <c r="B75" s="1523" t="s">
        <v>5005</v>
      </c>
      <c r="C75" s="1524" t="s">
        <v>5005</v>
      </c>
      <c r="D75" s="1524"/>
      <c r="E75" s="1524"/>
      <c r="F75" s="1524"/>
      <c r="G75" s="1525"/>
      <c r="H75" s="1524" t="str">
        <f>IFERROR(VLOOKUP(A75,Sheet4!A54:C731,2,FALSE),"")</f>
        <v>H/M/189/2024</v>
      </c>
      <c r="I75" s="1526">
        <f>IFERROR(VLOOKUP(A75,Sheet4!$A$2:$C$679,3,FALSE),"")</f>
        <v>45598</v>
      </c>
      <c r="J75" s="1524"/>
      <c r="K75" s="1532">
        <v>330000</v>
      </c>
      <c r="L75" s="1404" t="s">
        <v>5008</v>
      </c>
      <c r="M75" s="1404" t="s">
        <v>5007</v>
      </c>
      <c r="N75" s="1404">
        <v>6317174</v>
      </c>
      <c r="O75" s="1404" t="s">
        <v>785</v>
      </c>
      <c r="P75" s="1406" t="s">
        <v>5006</v>
      </c>
      <c r="Q75" s="1407" t="s">
        <v>1094</v>
      </c>
      <c r="R75" s="1408">
        <v>330000</v>
      </c>
      <c r="S75" s="1408"/>
      <c r="T75" s="1409">
        <v>0</v>
      </c>
      <c r="U75" s="1409">
        <v>0</v>
      </c>
      <c r="V75" s="1393"/>
      <c r="W75" s="1393"/>
      <c r="X75" s="1393"/>
      <c r="Y75" s="1393"/>
      <c r="Z75" s="1393"/>
      <c r="AA75" s="1393"/>
      <c r="AB75" s="1393"/>
      <c r="AC75" s="283">
        <f t="shared" si="2"/>
        <v>330000</v>
      </c>
    </row>
    <row r="76" spans="1:29" ht="14.25" customHeight="1">
      <c r="A76" s="1531">
        <v>288</v>
      </c>
      <c r="B76" s="1523" t="s">
        <v>5045</v>
      </c>
      <c r="C76" s="1524" t="s">
        <v>5045</v>
      </c>
      <c r="D76" s="1524"/>
      <c r="E76" s="1524"/>
      <c r="F76" s="1524"/>
      <c r="G76" s="1525"/>
      <c r="H76" s="1524" t="str">
        <f>IFERROR(VLOOKUP(A76,Sheet4!A55:C732,2,FALSE),"")</f>
        <v/>
      </c>
      <c r="I76" s="1526" t="str">
        <f>IFERROR(VLOOKUP(A76,Sheet4!$A$2:$C$679,3,FALSE),"")</f>
        <v/>
      </c>
      <c r="J76" s="1524"/>
      <c r="K76" s="1532">
        <v>75000</v>
      </c>
      <c r="L76" s="1404" t="s">
        <v>326</v>
      </c>
      <c r="M76" s="1404" t="s">
        <v>5046</v>
      </c>
      <c r="N76" s="1404">
        <v>6720346</v>
      </c>
      <c r="O76" s="1404"/>
      <c r="P76" s="1406" t="s">
        <v>29</v>
      </c>
      <c r="Q76" s="1407" t="s">
        <v>5047</v>
      </c>
      <c r="R76" s="1408">
        <v>75000</v>
      </c>
      <c r="S76" s="1408"/>
      <c r="T76" s="1409">
        <v>0</v>
      </c>
      <c r="U76" s="1409">
        <v>0</v>
      </c>
      <c r="V76" s="1393"/>
      <c r="W76" s="1393"/>
      <c r="X76" s="1393"/>
      <c r="Y76" s="1393"/>
      <c r="Z76" s="1393"/>
      <c r="AA76" s="1393"/>
      <c r="AB76" s="1393"/>
      <c r="AC76" s="283">
        <f t="shared" si="2"/>
        <v>75000</v>
      </c>
    </row>
    <row r="77" spans="1:29" ht="14.25" customHeight="1">
      <c r="A77" s="1531">
        <v>289</v>
      </c>
      <c r="B77" s="1523" t="s">
        <v>5260</v>
      </c>
      <c r="C77" s="1523" t="s">
        <v>5260</v>
      </c>
      <c r="D77" s="1523"/>
      <c r="E77" s="1523"/>
      <c r="F77" s="1523"/>
      <c r="G77" s="1525"/>
      <c r="H77" s="1524" t="str">
        <f>IFERROR(VLOOKUP(A77,Sheet4!A56:C733,2,FALSE),"")</f>
        <v>H/M/199/2024</v>
      </c>
      <c r="I77" s="1526">
        <f>IFERROR(VLOOKUP(A77,Sheet4!$A$2:$C$679,3,FALSE),"")</f>
        <v>45598</v>
      </c>
      <c r="J77" s="1523"/>
      <c r="K77" s="1532">
        <v>131000</v>
      </c>
      <c r="L77" s="1404" t="s">
        <v>5261</v>
      </c>
      <c r="M77" s="1404" t="s">
        <v>5262</v>
      </c>
      <c r="N77" s="1404">
        <v>4314295</v>
      </c>
      <c r="O77" s="1404"/>
      <c r="P77" s="1406" t="s">
        <v>5263</v>
      </c>
      <c r="Q77" s="1406" t="s">
        <v>1249</v>
      </c>
      <c r="R77" s="1408">
        <v>131000</v>
      </c>
      <c r="S77" s="1408"/>
      <c r="T77" s="1409">
        <v>0</v>
      </c>
      <c r="U77" s="1409">
        <v>0</v>
      </c>
      <c r="V77" s="1393"/>
      <c r="W77" s="1393"/>
      <c r="X77" s="1393"/>
      <c r="Y77" s="1393"/>
      <c r="Z77" s="1393"/>
      <c r="AA77" s="1393"/>
      <c r="AB77" s="1393"/>
      <c r="AC77" s="283">
        <f t="shared" si="2"/>
        <v>131000</v>
      </c>
    </row>
    <row r="78" spans="1:29" ht="14.25" customHeight="1">
      <c r="A78" s="1531">
        <v>290</v>
      </c>
      <c r="B78" s="1523" t="s">
        <v>5367</v>
      </c>
      <c r="C78" s="1523" t="s">
        <v>5367</v>
      </c>
      <c r="D78" s="1523"/>
      <c r="E78" s="1523"/>
      <c r="F78" s="1523"/>
      <c r="G78" s="1525"/>
      <c r="H78" s="1524" t="str">
        <f>IFERROR(VLOOKUP(A78,Sheet4!A57:C734,2,FALSE),"")</f>
        <v/>
      </c>
      <c r="I78" s="1526" t="str">
        <f>IFERROR(VLOOKUP(A78,Sheet4!$A$2:$C$679,3,FALSE),"")</f>
        <v/>
      </c>
      <c r="J78" s="1523"/>
      <c r="K78" s="1532">
        <v>135000</v>
      </c>
      <c r="L78" s="1404" t="s">
        <v>5368</v>
      </c>
      <c r="M78" s="1404" t="s">
        <v>5348</v>
      </c>
      <c r="N78" s="1404">
        <v>71111015</v>
      </c>
      <c r="O78" s="1404"/>
      <c r="P78" s="1406" t="s">
        <v>5350</v>
      </c>
      <c r="Q78" s="1406" t="s">
        <v>5349</v>
      </c>
      <c r="R78" s="1408">
        <v>135000</v>
      </c>
      <c r="S78" s="1408"/>
      <c r="T78" s="1409">
        <v>0</v>
      </c>
      <c r="U78" s="1409">
        <v>0</v>
      </c>
      <c r="V78" s="1393"/>
      <c r="W78" s="1393"/>
      <c r="X78" s="1393"/>
      <c r="Y78" s="1393"/>
      <c r="Z78" s="1393"/>
      <c r="AA78" s="1393"/>
      <c r="AB78" s="1393"/>
      <c r="AC78" s="283">
        <f t="shared" si="2"/>
        <v>135000</v>
      </c>
    </row>
    <row r="79" spans="1:29" ht="14.25" customHeight="1">
      <c r="A79" s="1531">
        <v>291</v>
      </c>
      <c r="B79" s="1523" t="s">
        <v>5362</v>
      </c>
      <c r="C79" s="1524" t="s">
        <v>5362</v>
      </c>
      <c r="D79" s="1524"/>
      <c r="E79" s="1524"/>
      <c r="F79" s="1524"/>
      <c r="G79" s="1525"/>
      <c r="H79" s="1524" t="str">
        <f>IFERROR(VLOOKUP(A79,Sheet4!A58:C735,2,FALSE),"")</f>
        <v/>
      </c>
      <c r="I79" s="1526" t="str">
        <f>IFERROR(VLOOKUP(A79,Sheet4!$A$2:$C$679,3,FALSE),"")</f>
        <v/>
      </c>
      <c r="J79" s="1524"/>
      <c r="K79" s="1532">
        <v>170000</v>
      </c>
      <c r="L79" s="1404" t="s">
        <v>326</v>
      </c>
      <c r="M79" s="1404" t="s">
        <v>5363</v>
      </c>
      <c r="N79" s="1404">
        <v>71110868</v>
      </c>
      <c r="O79" s="1404"/>
      <c r="P79" s="1406" t="s">
        <v>5364</v>
      </c>
      <c r="Q79" s="1406" t="s">
        <v>5365</v>
      </c>
      <c r="R79" s="1408">
        <v>170000</v>
      </c>
      <c r="S79" s="1408"/>
      <c r="T79" s="1409">
        <v>0</v>
      </c>
      <c r="U79" s="1409">
        <v>0</v>
      </c>
      <c r="V79" s="1393"/>
      <c r="W79" s="1393"/>
      <c r="X79" s="1393"/>
      <c r="Y79" s="1393"/>
      <c r="Z79" s="1393"/>
      <c r="AA79" s="1393"/>
      <c r="AB79" s="1393"/>
      <c r="AC79" s="283">
        <f t="shared" si="2"/>
        <v>170000</v>
      </c>
    </row>
  </sheetData>
  <sortState xmlns:xlrd2="http://schemas.microsoft.com/office/spreadsheetml/2017/richdata2" ref="A23:AC79">
    <sortCondition ref="A23:A79"/>
  </sortState>
  <conditionalFormatting sqref="A5 A7:A30">
    <cfRule type="duplicateValues" dxfId="127" priority="13"/>
  </conditionalFormatting>
  <conditionalFormatting sqref="A31:A40 A42:A45 A47:A51 A53:A57">
    <cfRule type="duplicateValues" dxfId="126" priority="12"/>
  </conditionalFormatting>
  <conditionalFormatting sqref="A58:A64">
    <cfRule type="duplicateValues" dxfId="125" priority="11"/>
  </conditionalFormatting>
  <conditionalFormatting sqref="A4">
    <cfRule type="duplicateValues" dxfId="124" priority="10"/>
  </conditionalFormatting>
  <conditionalFormatting sqref="A6">
    <cfRule type="duplicateValues" dxfId="123" priority="9"/>
  </conditionalFormatting>
  <conditionalFormatting sqref="A71:A73 A75:A76">
    <cfRule type="duplicateValues" dxfId="122" priority="8"/>
  </conditionalFormatting>
  <conditionalFormatting sqref="A74">
    <cfRule type="duplicateValues" dxfId="121" priority="7"/>
  </conditionalFormatting>
  <conditionalFormatting sqref="A41">
    <cfRule type="duplicateValues" dxfId="120" priority="6"/>
  </conditionalFormatting>
  <conditionalFormatting sqref="A46">
    <cfRule type="duplicateValues" dxfId="119" priority="5"/>
  </conditionalFormatting>
  <conditionalFormatting sqref="A52">
    <cfRule type="duplicateValues" dxfId="118" priority="4"/>
  </conditionalFormatting>
  <conditionalFormatting sqref="A65">
    <cfRule type="duplicateValues" dxfId="117" priority="3"/>
  </conditionalFormatting>
  <conditionalFormatting sqref="A77 A79">
    <cfRule type="duplicateValues" dxfId="116" priority="2"/>
  </conditionalFormatting>
  <conditionalFormatting sqref="A78">
    <cfRule type="duplicateValues" dxfId="115" priority="1"/>
  </conditionalFormatting>
  <pageMargins left="0.19685039370078741" right="0.11811023622047245" top="0.16" bottom="0.16" header="0.16" footer="0.16"/>
  <pageSetup paperSize="9" scale="37" fitToHeight="0" orientation="portrait" horizontalDpi="0" verticalDpi="0" r:id="rId1"/>
  <customProperties>
    <customPr name="LastActive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C4728-44BC-4CD1-9ED2-460E909916EF}">
  <sheetPr codeName="Sheet19"/>
  <dimension ref="A1:G86"/>
  <sheetViews>
    <sheetView topLeftCell="A13" workbookViewId="0">
      <selection activeCell="L43" sqref="L43"/>
    </sheetView>
  </sheetViews>
  <sheetFormatPr defaultRowHeight="15"/>
  <cols>
    <col min="1" max="1" width="4.7109375" customWidth="1"/>
    <col min="2" max="2" width="39.42578125" customWidth="1"/>
    <col min="3" max="3" width="43.5703125" hidden="1" customWidth="1"/>
    <col min="4" max="4" width="15.42578125" customWidth="1"/>
    <col min="5" max="5" width="12.5703125" customWidth="1"/>
    <col min="6" max="6" width="13.42578125" customWidth="1"/>
    <col min="7" max="7" width="13.7109375" style="1602" customWidth="1"/>
  </cols>
  <sheetData>
    <row r="1" spans="1:7" ht="23.25">
      <c r="A1" s="1347" t="s">
        <v>1453</v>
      </c>
      <c r="B1" s="1342"/>
      <c r="C1" s="1342"/>
      <c r="D1" s="403"/>
      <c r="E1" s="403"/>
      <c r="F1" s="403"/>
      <c r="G1" s="1599"/>
    </row>
    <row r="2" spans="1:7">
      <c r="A2" s="1625"/>
      <c r="B2" s="681"/>
      <c r="C2" s="681"/>
      <c r="D2" s="681"/>
      <c r="E2" s="681"/>
      <c r="F2" s="681"/>
      <c r="G2" s="1600"/>
    </row>
    <row r="3" spans="1:7" ht="21">
      <c r="A3" s="681"/>
      <c r="B3" s="1626" t="s">
        <v>5653</v>
      </c>
      <c r="C3" s="681"/>
      <c r="D3" s="1624"/>
      <c r="E3" s="681"/>
      <c r="F3" s="681"/>
      <c r="G3" s="1600"/>
    </row>
    <row r="4" spans="1:7" ht="15.75" thickBot="1">
      <c r="A4" s="681"/>
      <c r="B4" s="681"/>
      <c r="C4" s="681"/>
      <c r="D4" s="681"/>
      <c r="E4" s="681"/>
      <c r="F4" s="681"/>
      <c r="G4" s="1600"/>
    </row>
    <row r="5" spans="1:7" ht="36.75" customHeight="1" thickTop="1">
      <c r="A5" s="1622"/>
      <c r="B5" s="1622" t="s">
        <v>315</v>
      </c>
      <c r="C5" s="1622" t="s">
        <v>315</v>
      </c>
      <c r="D5" s="1622" t="s">
        <v>220</v>
      </c>
      <c r="E5" s="1622" t="s">
        <v>221</v>
      </c>
      <c r="F5" s="1622" t="s">
        <v>5650</v>
      </c>
      <c r="G5" s="1623" t="s">
        <v>5651</v>
      </c>
    </row>
    <row r="6" spans="1:7" hidden="1">
      <c r="A6" s="1603">
        <v>287</v>
      </c>
      <c r="B6" s="1604" t="s">
        <v>5005</v>
      </c>
      <c r="C6" s="1605" t="s">
        <v>5005</v>
      </c>
      <c r="D6" s="1607">
        <v>330000</v>
      </c>
      <c r="E6" s="1607"/>
      <c r="F6" s="1608">
        <v>0</v>
      </c>
      <c r="G6" s="1609">
        <f t="shared" ref="G6:G31" si="0">F6/D6</f>
        <v>0</v>
      </c>
    </row>
    <row r="7" spans="1:7" hidden="1">
      <c r="A7" s="1603">
        <v>289</v>
      </c>
      <c r="B7" s="1604" t="s">
        <v>5260</v>
      </c>
      <c r="C7" s="1604" t="s">
        <v>5260</v>
      </c>
      <c r="D7" s="1607">
        <v>131000</v>
      </c>
      <c r="E7" s="1607"/>
      <c r="F7" s="1608">
        <v>0</v>
      </c>
      <c r="G7" s="1609">
        <f t="shared" si="0"/>
        <v>0</v>
      </c>
    </row>
    <row r="8" spans="1:7" hidden="1">
      <c r="A8" s="1603">
        <v>292</v>
      </c>
      <c r="B8" s="1604" t="s">
        <v>5586</v>
      </c>
      <c r="C8" s="1604" t="s">
        <v>5586</v>
      </c>
      <c r="D8" s="1607">
        <v>225000</v>
      </c>
      <c r="E8" s="1607"/>
      <c r="F8" s="1608">
        <v>0</v>
      </c>
      <c r="G8" s="1609">
        <f t="shared" si="0"/>
        <v>0</v>
      </c>
    </row>
    <row r="9" spans="1:7" hidden="1">
      <c r="A9" s="1603">
        <v>293</v>
      </c>
      <c r="B9" s="1604" t="s">
        <v>5610</v>
      </c>
      <c r="C9" s="1605" t="s">
        <v>5610</v>
      </c>
      <c r="D9" s="1607">
        <v>410000</v>
      </c>
      <c r="E9" s="1607"/>
      <c r="F9" s="1608">
        <v>0</v>
      </c>
      <c r="G9" s="1609">
        <f t="shared" si="0"/>
        <v>0</v>
      </c>
    </row>
    <row r="10" spans="1:7" ht="21.75" customHeight="1">
      <c r="A10" s="1603">
        <v>265</v>
      </c>
      <c r="B10" s="1604" t="s">
        <v>5327</v>
      </c>
      <c r="C10" s="1605" t="s">
        <v>317</v>
      </c>
      <c r="D10" s="1607">
        <v>235000</v>
      </c>
      <c r="E10" s="1607"/>
      <c r="F10" s="1608">
        <v>11500</v>
      </c>
      <c r="G10" s="1609">
        <f t="shared" si="0"/>
        <v>4.8936170212765959E-2</v>
      </c>
    </row>
    <row r="11" spans="1:7" ht="21.75" customHeight="1">
      <c r="A11" s="1603">
        <v>281</v>
      </c>
      <c r="B11" s="1604" t="s">
        <v>866</v>
      </c>
      <c r="C11" s="1605" t="s">
        <v>866</v>
      </c>
      <c r="D11" s="1607">
        <v>127000</v>
      </c>
      <c r="E11" s="1607"/>
      <c r="F11" s="1608">
        <v>6350</v>
      </c>
      <c r="G11" s="1609">
        <f t="shared" si="0"/>
        <v>0.05</v>
      </c>
    </row>
    <row r="12" spans="1:7" ht="21.75" customHeight="1">
      <c r="A12" s="1603">
        <v>207</v>
      </c>
      <c r="B12" s="1604" t="s">
        <v>1349</v>
      </c>
      <c r="C12" s="1605" t="s">
        <v>501</v>
      </c>
      <c r="D12" s="1607">
        <v>135000</v>
      </c>
      <c r="E12" s="1607">
        <v>9000</v>
      </c>
      <c r="F12" s="1608">
        <v>9750</v>
      </c>
      <c r="G12" s="1609">
        <f t="shared" si="0"/>
        <v>7.2222222222222215E-2</v>
      </c>
    </row>
    <row r="13" spans="1:7" ht="21.75" customHeight="1">
      <c r="A13" s="1603">
        <v>182</v>
      </c>
      <c r="B13" s="1604" t="s">
        <v>279</v>
      </c>
      <c r="C13" s="1605" t="s">
        <v>568</v>
      </c>
      <c r="D13" s="1607">
        <v>215000</v>
      </c>
      <c r="E13" s="1607"/>
      <c r="F13" s="1608">
        <v>21500</v>
      </c>
      <c r="G13" s="1609">
        <f t="shared" si="0"/>
        <v>0.1</v>
      </c>
    </row>
    <row r="14" spans="1:7" ht="21.75" customHeight="1">
      <c r="A14" s="1603">
        <v>235</v>
      </c>
      <c r="B14" s="1604" t="s">
        <v>271</v>
      </c>
      <c r="C14" s="1605" t="s">
        <v>407</v>
      </c>
      <c r="D14" s="1607">
        <v>250000</v>
      </c>
      <c r="E14" s="1607">
        <v>26500</v>
      </c>
      <c r="F14" s="1608">
        <v>25000</v>
      </c>
      <c r="G14" s="1609">
        <f t="shared" si="0"/>
        <v>0.1</v>
      </c>
    </row>
    <row r="15" spans="1:7" ht="21.75" customHeight="1">
      <c r="A15" s="1603">
        <v>280</v>
      </c>
      <c r="B15" s="1604" t="s">
        <v>869</v>
      </c>
      <c r="C15" s="1605" t="s">
        <v>869</v>
      </c>
      <c r="D15" s="1607">
        <v>140000</v>
      </c>
      <c r="E15" s="1607"/>
      <c r="F15" s="1608">
        <v>14000</v>
      </c>
      <c r="G15" s="1609">
        <f t="shared" si="0"/>
        <v>0.1</v>
      </c>
    </row>
    <row r="16" spans="1:7" ht="21.75" customHeight="1">
      <c r="A16" s="1603">
        <v>290</v>
      </c>
      <c r="B16" s="1604" t="s">
        <v>5367</v>
      </c>
      <c r="C16" s="1604" t="s">
        <v>5367</v>
      </c>
      <c r="D16" s="1607">
        <v>135000</v>
      </c>
      <c r="E16" s="1607"/>
      <c r="F16" s="1608">
        <v>13500</v>
      </c>
      <c r="G16" s="1609">
        <f t="shared" si="0"/>
        <v>0.1</v>
      </c>
    </row>
    <row r="17" spans="1:7" ht="21.75" customHeight="1">
      <c r="A17" s="1603">
        <v>288</v>
      </c>
      <c r="B17" s="1604" t="s">
        <v>5045</v>
      </c>
      <c r="C17" s="1605" t="s">
        <v>5045</v>
      </c>
      <c r="D17" s="1607">
        <v>75000</v>
      </c>
      <c r="E17" s="1607"/>
      <c r="F17" s="1608">
        <v>10000</v>
      </c>
      <c r="G17" s="1609">
        <f t="shared" si="0"/>
        <v>0.13333333333333333</v>
      </c>
    </row>
    <row r="18" spans="1:7" ht="21.75" customHeight="1">
      <c r="A18" s="1603">
        <v>247</v>
      </c>
      <c r="B18" s="1604" t="s">
        <v>731</v>
      </c>
      <c r="C18" s="1604" t="s">
        <v>731</v>
      </c>
      <c r="D18" s="1607">
        <v>160000</v>
      </c>
      <c r="E18" s="1607"/>
      <c r="F18" s="1608">
        <v>24000</v>
      </c>
      <c r="G18" s="1609">
        <f t="shared" si="0"/>
        <v>0.15</v>
      </c>
    </row>
    <row r="19" spans="1:7" ht="21.75" customHeight="1">
      <c r="A19" s="1603">
        <v>259</v>
      </c>
      <c r="B19" s="1604" t="s">
        <v>264</v>
      </c>
      <c r="C19" s="1605" t="s">
        <v>361</v>
      </c>
      <c r="D19" s="1607">
        <v>195000</v>
      </c>
      <c r="E19" s="1607"/>
      <c r="F19" s="1608">
        <v>29250</v>
      </c>
      <c r="G19" s="1609">
        <f t="shared" si="0"/>
        <v>0.15</v>
      </c>
    </row>
    <row r="20" spans="1:7" ht="21.75" customHeight="1">
      <c r="A20" s="1603">
        <v>260</v>
      </c>
      <c r="B20" s="1604" t="s">
        <v>5324</v>
      </c>
      <c r="C20" s="1605" t="s">
        <v>316</v>
      </c>
      <c r="D20" s="1607">
        <v>260000</v>
      </c>
      <c r="E20" s="1607"/>
      <c r="F20" s="1608">
        <v>39000</v>
      </c>
      <c r="G20" s="1609">
        <f t="shared" si="0"/>
        <v>0.15</v>
      </c>
    </row>
    <row r="21" spans="1:7" ht="21.75" customHeight="1">
      <c r="A21" s="1603">
        <v>261</v>
      </c>
      <c r="B21" s="1604" t="s">
        <v>5321</v>
      </c>
      <c r="C21" s="1605" t="s">
        <v>456</v>
      </c>
      <c r="D21" s="1607">
        <v>230000</v>
      </c>
      <c r="E21" s="1607"/>
      <c r="F21" s="1608">
        <v>34500</v>
      </c>
      <c r="G21" s="1609">
        <f t="shared" si="0"/>
        <v>0.15</v>
      </c>
    </row>
    <row r="22" spans="1:7" ht="21.75" customHeight="1">
      <c r="A22" s="1603">
        <v>278</v>
      </c>
      <c r="B22" s="1604" t="s">
        <v>2845</v>
      </c>
      <c r="C22" s="1605" t="s">
        <v>2846</v>
      </c>
      <c r="D22" s="1607">
        <v>220000</v>
      </c>
      <c r="E22" s="1607">
        <v>20000</v>
      </c>
      <c r="F22" s="1608">
        <v>33000</v>
      </c>
      <c r="G22" s="1609">
        <f t="shared" si="0"/>
        <v>0.15</v>
      </c>
    </row>
    <row r="23" spans="1:7" ht="21.75" customHeight="1">
      <c r="A23" s="1603">
        <v>282</v>
      </c>
      <c r="B23" s="1604" t="s">
        <v>1213</v>
      </c>
      <c r="C23" s="1605" t="s">
        <v>1213</v>
      </c>
      <c r="D23" s="1607">
        <v>240000</v>
      </c>
      <c r="E23" s="1607"/>
      <c r="F23" s="1608">
        <v>36000</v>
      </c>
      <c r="G23" s="1609">
        <f t="shared" si="0"/>
        <v>0.15</v>
      </c>
    </row>
    <row r="24" spans="1:7" ht="21.75" customHeight="1">
      <c r="A24" s="1603">
        <v>264</v>
      </c>
      <c r="B24" s="1604" t="s">
        <v>5334</v>
      </c>
      <c r="C24" s="1605" t="s">
        <v>526</v>
      </c>
      <c r="D24" s="1607">
        <v>185000</v>
      </c>
      <c r="E24" s="1607">
        <v>22000</v>
      </c>
      <c r="F24" s="1608">
        <v>28571.43</v>
      </c>
      <c r="G24" s="1609">
        <f t="shared" si="0"/>
        <v>0.15444016216216216</v>
      </c>
    </row>
    <row r="25" spans="1:7" ht="21.75" customHeight="1">
      <c r="A25" s="1603">
        <v>285</v>
      </c>
      <c r="B25" s="1604" t="s">
        <v>1356</v>
      </c>
      <c r="C25" s="1605" t="s">
        <v>1356</v>
      </c>
      <c r="D25" s="1607">
        <v>100000</v>
      </c>
      <c r="E25" s="1607"/>
      <c r="F25" s="1608">
        <v>15750</v>
      </c>
      <c r="G25" s="1609">
        <f t="shared" si="0"/>
        <v>0.1575</v>
      </c>
    </row>
    <row r="26" spans="1:7" ht="21.75" customHeight="1">
      <c r="A26" s="1603">
        <v>286</v>
      </c>
      <c r="B26" s="1604" t="s">
        <v>978</v>
      </c>
      <c r="C26" s="1605" t="s">
        <v>978</v>
      </c>
      <c r="D26" s="1607">
        <v>150000</v>
      </c>
      <c r="E26" s="1607"/>
      <c r="F26" s="1608">
        <v>23625</v>
      </c>
      <c r="G26" s="1609">
        <f t="shared" si="0"/>
        <v>0.1575</v>
      </c>
    </row>
    <row r="27" spans="1:7" ht="21.75" customHeight="1">
      <c r="A27" s="1603">
        <v>200</v>
      </c>
      <c r="B27" s="1604" t="s">
        <v>313</v>
      </c>
      <c r="C27" s="1605" t="s">
        <v>701</v>
      </c>
      <c r="D27" s="1607">
        <v>30000</v>
      </c>
      <c r="E27" s="1607"/>
      <c r="F27" s="1608">
        <v>5000</v>
      </c>
      <c r="G27" s="1609">
        <f t="shared" si="0"/>
        <v>0.16666666666666666</v>
      </c>
    </row>
    <row r="28" spans="1:7" ht="21.75" customHeight="1">
      <c r="A28" s="1603">
        <v>226</v>
      </c>
      <c r="B28" s="1604" t="s">
        <v>809</v>
      </c>
      <c r="C28" s="1605" t="s">
        <v>810</v>
      </c>
      <c r="D28" s="1607">
        <v>100000</v>
      </c>
      <c r="E28" s="1607">
        <v>5000</v>
      </c>
      <c r="F28" s="1608">
        <v>19047.619047619046</v>
      </c>
      <c r="G28" s="1609">
        <f t="shared" si="0"/>
        <v>0.19047619047619047</v>
      </c>
    </row>
    <row r="29" spans="1:7" ht="21.75" customHeight="1">
      <c r="A29" s="1603">
        <v>236</v>
      </c>
      <c r="B29" s="1604" t="s">
        <v>157</v>
      </c>
      <c r="C29" s="1605" t="s">
        <v>519</v>
      </c>
      <c r="D29" s="1607">
        <v>135000</v>
      </c>
      <c r="E29" s="1607"/>
      <c r="F29" s="1608">
        <v>27000</v>
      </c>
      <c r="G29" s="1609">
        <f t="shared" si="0"/>
        <v>0.2</v>
      </c>
    </row>
    <row r="30" spans="1:7" ht="21.75" customHeight="1">
      <c r="A30" s="1603">
        <v>284</v>
      </c>
      <c r="B30" s="1604" t="s">
        <v>5652</v>
      </c>
      <c r="C30" s="1605" t="s">
        <v>1835</v>
      </c>
      <c r="D30" s="1607">
        <v>75000</v>
      </c>
      <c r="E30" s="1607"/>
      <c r="F30" s="1608">
        <v>15000</v>
      </c>
      <c r="G30" s="1609">
        <f t="shared" si="0"/>
        <v>0.2</v>
      </c>
    </row>
    <row r="31" spans="1:7" ht="21.75" customHeight="1" thickBot="1">
      <c r="A31" s="1614">
        <v>291</v>
      </c>
      <c r="B31" s="1615" t="s">
        <v>5362</v>
      </c>
      <c r="C31" s="1616" t="s">
        <v>5362</v>
      </c>
      <c r="D31" s="1617">
        <v>170000</v>
      </c>
      <c r="E31" s="1617"/>
      <c r="F31" s="1618">
        <v>34000</v>
      </c>
      <c r="G31" s="1619">
        <f t="shared" si="0"/>
        <v>0.2</v>
      </c>
    </row>
    <row r="32" spans="1:7" ht="25.5" customHeight="1" thickTop="1">
      <c r="A32" s="1610"/>
      <c r="B32" s="1620" t="s">
        <v>20</v>
      </c>
      <c r="C32" s="1611"/>
      <c r="D32" s="1621">
        <f>SUM(D10:D31)</f>
        <v>3562000</v>
      </c>
      <c r="E32" s="1612"/>
      <c r="F32" s="1627">
        <f>SUM(F10:F31)</f>
        <v>475344.04904761905</v>
      </c>
      <c r="G32" s="1613"/>
    </row>
    <row r="33" spans="1:7">
      <c r="A33" s="1603"/>
      <c r="B33" s="1604"/>
      <c r="C33" s="1605"/>
      <c r="D33" s="1607"/>
      <c r="E33" s="1607"/>
      <c r="F33" s="1608"/>
      <c r="G33" s="1609"/>
    </row>
    <row r="34" spans="1:7">
      <c r="A34" s="1603">
        <v>277</v>
      </c>
      <c r="B34" s="1604" t="s">
        <v>268</v>
      </c>
      <c r="C34" s="1604" t="s">
        <v>396</v>
      </c>
      <c r="D34" s="1408">
        <v>135000</v>
      </c>
      <c r="E34" s="1408">
        <v>13000</v>
      </c>
      <c r="F34" s="1409">
        <v>33750</v>
      </c>
      <c r="G34" s="1601">
        <f t="shared" ref="G34:G65" si="1">F34/D34</f>
        <v>0.25</v>
      </c>
    </row>
    <row r="35" spans="1:7">
      <c r="A35" s="1603">
        <v>256</v>
      </c>
      <c r="B35" s="1604" t="s">
        <v>269</v>
      </c>
      <c r="C35" s="1605" t="s">
        <v>400</v>
      </c>
      <c r="D35" s="1408">
        <v>455000</v>
      </c>
      <c r="E35" s="1408"/>
      <c r="F35" s="1409">
        <v>198744</v>
      </c>
      <c r="G35" s="1601">
        <f t="shared" si="1"/>
        <v>0.43680000000000002</v>
      </c>
    </row>
    <row r="36" spans="1:7">
      <c r="A36" s="1603">
        <v>245</v>
      </c>
      <c r="B36" s="1604" t="s">
        <v>192</v>
      </c>
      <c r="C36" s="1605" t="s">
        <v>788</v>
      </c>
      <c r="D36" s="1408">
        <v>200000</v>
      </c>
      <c r="E36" s="1408">
        <v>8400</v>
      </c>
      <c r="F36" s="1409">
        <v>100000</v>
      </c>
      <c r="G36" s="1601">
        <f t="shared" si="1"/>
        <v>0.5</v>
      </c>
    </row>
    <row r="37" spans="1:7">
      <c r="A37" s="1603">
        <v>251</v>
      </c>
      <c r="B37" s="1604" t="s">
        <v>304</v>
      </c>
      <c r="C37" s="1605" t="s">
        <v>511</v>
      </c>
      <c r="D37" s="1408">
        <v>170000</v>
      </c>
      <c r="E37" s="1408"/>
      <c r="F37" s="1409">
        <v>85000</v>
      </c>
      <c r="G37" s="1601">
        <f t="shared" si="1"/>
        <v>0.5</v>
      </c>
    </row>
    <row r="38" spans="1:7">
      <c r="A38" s="1603">
        <v>254</v>
      </c>
      <c r="B38" s="1604" t="s">
        <v>1338</v>
      </c>
      <c r="C38" s="1604" t="s">
        <v>681</v>
      </c>
      <c r="D38" s="1408">
        <v>230000</v>
      </c>
      <c r="E38" s="1408"/>
      <c r="F38" s="1409">
        <v>120750</v>
      </c>
      <c r="G38" s="1601">
        <f t="shared" si="1"/>
        <v>0.52500000000000002</v>
      </c>
    </row>
    <row r="39" spans="1:7">
      <c r="A39" s="1603">
        <v>238</v>
      </c>
      <c r="B39" s="1604" t="s">
        <v>285</v>
      </c>
      <c r="C39" s="1605" t="s">
        <v>601</v>
      </c>
      <c r="D39" s="1408">
        <v>220000</v>
      </c>
      <c r="E39" s="1408"/>
      <c r="F39" s="1409">
        <v>121000</v>
      </c>
      <c r="G39" s="1601">
        <f t="shared" si="1"/>
        <v>0.55000000000000004</v>
      </c>
    </row>
    <row r="40" spans="1:7">
      <c r="A40" s="1603">
        <v>241</v>
      </c>
      <c r="B40" s="1604" t="s">
        <v>158</v>
      </c>
      <c r="C40" s="1604" t="s">
        <v>762</v>
      </c>
      <c r="D40" s="1408">
        <v>170000</v>
      </c>
      <c r="E40" s="1408"/>
      <c r="F40" s="1409">
        <v>93500</v>
      </c>
      <c r="G40" s="1601">
        <f t="shared" si="1"/>
        <v>0.55000000000000004</v>
      </c>
    </row>
    <row r="41" spans="1:7">
      <c r="A41" s="1603">
        <v>246</v>
      </c>
      <c r="B41" s="1604" t="s">
        <v>293</v>
      </c>
      <c r="C41" s="1605" t="s">
        <v>554</v>
      </c>
      <c r="D41" s="1408">
        <v>180000</v>
      </c>
      <c r="E41" s="1408">
        <v>18000</v>
      </c>
      <c r="F41" s="1409">
        <v>99000</v>
      </c>
      <c r="G41" s="1601">
        <f t="shared" si="1"/>
        <v>0.55000000000000004</v>
      </c>
    </row>
    <row r="42" spans="1:7">
      <c r="A42" s="1603">
        <v>255</v>
      </c>
      <c r="B42" s="1604" t="s">
        <v>278</v>
      </c>
      <c r="C42" s="1605" t="s">
        <v>564</v>
      </c>
      <c r="D42" s="1408">
        <v>145000</v>
      </c>
      <c r="E42" s="1408"/>
      <c r="F42" s="1409">
        <v>79750</v>
      </c>
      <c r="G42" s="1601">
        <f t="shared" si="1"/>
        <v>0.55000000000000004</v>
      </c>
    </row>
    <row r="43" spans="1:7">
      <c r="A43" s="1603">
        <v>258</v>
      </c>
      <c r="B43" s="1604" t="s">
        <v>1851</v>
      </c>
      <c r="C43" s="1605" t="s">
        <v>318</v>
      </c>
      <c r="D43" s="1408">
        <v>136000</v>
      </c>
      <c r="E43" s="1408"/>
      <c r="F43" s="1409">
        <v>74800</v>
      </c>
      <c r="G43" s="1601">
        <f t="shared" si="1"/>
        <v>0.55000000000000004</v>
      </c>
    </row>
    <row r="44" spans="1:7">
      <c r="A44" s="1603">
        <v>276</v>
      </c>
      <c r="B44" s="1604" t="s">
        <v>283</v>
      </c>
      <c r="C44" s="1605" t="s">
        <v>597</v>
      </c>
      <c r="D44" s="1408">
        <v>92000</v>
      </c>
      <c r="E44" s="1408">
        <v>9000</v>
      </c>
      <c r="F44" s="1409">
        <v>50600</v>
      </c>
      <c r="G44" s="1601">
        <f t="shared" si="1"/>
        <v>0.55000000000000004</v>
      </c>
    </row>
    <row r="45" spans="1:7">
      <c r="A45" s="1603">
        <v>253</v>
      </c>
      <c r="B45" s="1604" t="s">
        <v>309</v>
      </c>
      <c r="C45" s="1605" t="s">
        <v>482</v>
      </c>
      <c r="D45" s="1408">
        <v>49000</v>
      </c>
      <c r="E45" s="1408"/>
      <c r="F45" s="1409">
        <v>27899</v>
      </c>
      <c r="G45" s="1601">
        <f t="shared" si="1"/>
        <v>0.56936734693877555</v>
      </c>
    </row>
    <row r="46" spans="1:7">
      <c r="A46" s="1603">
        <v>229</v>
      </c>
      <c r="B46" s="1604" t="s">
        <v>1022</v>
      </c>
      <c r="C46" s="1605" t="s">
        <v>1015</v>
      </c>
      <c r="D46" s="1408">
        <v>197000</v>
      </c>
      <c r="E46" s="1408">
        <v>15000</v>
      </c>
      <c r="F46" s="1409">
        <v>113275</v>
      </c>
      <c r="G46" s="1601">
        <f t="shared" si="1"/>
        <v>0.57499999999999996</v>
      </c>
    </row>
    <row r="47" spans="1:7">
      <c r="A47" s="1603">
        <v>230</v>
      </c>
      <c r="B47" s="1604" t="s">
        <v>5401</v>
      </c>
      <c r="C47" s="1605" t="s">
        <v>5402</v>
      </c>
      <c r="D47" s="1408">
        <v>151000</v>
      </c>
      <c r="E47" s="1408"/>
      <c r="F47" s="1409">
        <v>86825</v>
      </c>
      <c r="G47" s="1601">
        <f t="shared" si="1"/>
        <v>0.57499999999999996</v>
      </c>
    </row>
    <row r="48" spans="1:7">
      <c r="A48" s="1603">
        <v>275</v>
      </c>
      <c r="B48" s="1604" t="s">
        <v>320</v>
      </c>
      <c r="C48" s="1605" t="s">
        <v>320</v>
      </c>
      <c r="D48" s="1408">
        <v>118000</v>
      </c>
      <c r="E48" s="1408">
        <v>9550</v>
      </c>
      <c r="F48" s="1409">
        <v>71450</v>
      </c>
      <c r="G48" s="1601">
        <f t="shared" si="1"/>
        <v>0.60550847457627122</v>
      </c>
    </row>
    <row r="49" spans="1:7">
      <c r="A49" s="1603">
        <v>220</v>
      </c>
      <c r="B49" s="1604" t="s">
        <v>290</v>
      </c>
      <c r="C49" s="1605" t="s">
        <v>754</v>
      </c>
      <c r="D49" s="1408">
        <v>165000</v>
      </c>
      <c r="E49" s="1408"/>
      <c r="F49" s="1409">
        <v>104875</v>
      </c>
      <c r="G49" s="1601">
        <f t="shared" si="1"/>
        <v>0.63560606060606062</v>
      </c>
    </row>
    <row r="50" spans="1:7">
      <c r="A50" s="1603">
        <v>215</v>
      </c>
      <c r="B50" s="1604" t="s">
        <v>850</v>
      </c>
      <c r="C50" s="1605" t="s">
        <v>2999</v>
      </c>
      <c r="D50" s="1408">
        <v>425000</v>
      </c>
      <c r="E50" s="1408"/>
      <c r="F50" s="1409">
        <v>337500.47142857139</v>
      </c>
      <c r="G50" s="1601">
        <f t="shared" si="1"/>
        <v>0.79411875630252093</v>
      </c>
    </row>
    <row r="51" spans="1:7">
      <c r="A51" s="1603">
        <v>228</v>
      </c>
      <c r="B51" s="1604" t="s">
        <v>297</v>
      </c>
      <c r="C51" s="1605" t="s">
        <v>1337</v>
      </c>
      <c r="D51" s="1408">
        <v>39000</v>
      </c>
      <c r="E51" s="1408"/>
      <c r="F51" s="1409">
        <v>33150</v>
      </c>
      <c r="G51" s="1601">
        <f t="shared" si="1"/>
        <v>0.85</v>
      </c>
    </row>
    <row r="52" spans="1:7">
      <c r="A52" s="1603">
        <v>219</v>
      </c>
      <c r="B52" s="1604" t="s">
        <v>265</v>
      </c>
      <c r="C52" s="1605" t="s">
        <v>369</v>
      </c>
      <c r="D52" s="1408">
        <v>135000</v>
      </c>
      <c r="E52" s="1408"/>
      <c r="F52" s="1409">
        <v>123250</v>
      </c>
      <c r="G52" s="1601">
        <f t="shared" si="1"/>
        <v>0.91296296296296298</v>
      </c>
    </row>
    <row r="53" spans="1:7">
      <c r="A53" s="1603">
        <v>225</v>
      </c>
      <c r="B53" s="1604" t="s">
        <v>626</v>
      </c>
      <c r="C53" s="1604" t="s">
        <v>626</v>
      </c>
      <c r="D53" s="1413">
        <v>155000</v>
      </c>
      <c r="E53" s="1408">
        <v>10500</v>
      </c>
      <c r="F53" s="1409">
        <v>141592.51904761905</v>
      </c>
      <c r="G53" s="1601">
        <f t="shared" si="1"/>
        <v>0.91350012288786486</v>
      </c>
    </row>
    <row r="54" spans="1:7">
      <c r="A54" s="1603">
        <v>197</v>
      </c>
      <c r="B54" s="1604" t="s">
        <v>151</v>
      </c>
      <c r="C54" s="1606" t="s">
        <v>540</v>
      </c>
      <c r="D54" s="1408">
        <v>185000</v>
      </c>
      <c r="E54" s="1408">
        <v>10000</v>
      </c>
      <c r="F54" s="1409">
        <v>169047.61904761905</v>
      </c>
      <c r="G54" s="1601">
        <f t="shared" si="1"/>
        <v>0.9137709137709138</v>
      </c>
    </row>
    <row r="55" spans="1:7">
      <c r="A55" s="1603">
        <v>243</v>
      </c>
      <c r="B55" s="1604" t="s">
        <v>308</v>
      </c>
      <c r="C55" s="1605" t="s">
        <v>843</v>
      </c>
      <c r="D55" s="1408">
        <v>130000</v>
      </c>
      <c r="E55" s="1408"/>
      <c r="F55" s="1409">
        <v>118924</v>
      </c>
      <c r="G55" s="1601">
        <f t="shared" si="1"/>
        <v>0.91479999999999995</v>
      </c>
    </row>
    <row r="56" spans="1:7">
      <c r="A56" s="1603">
        <v>252</v>
      </c>
      <c r="B56" s="1604" t="s">
        <v>287</v>
      </c>
      <c r="C56" s="1605" t="s">
        <v>620</v>
      </c>
      <c r="D56" s="1408">
        <v>215000</v>
      </c>
      <c r="E56" s="1408">
        <v>3500</v>
      </c>
      <c r="F56" s="1409">
        <v>197000</v>
      </c>
      <c r="G56" s="1601">
        <f t="shared" si="1"/>
        <v>0.91627906976744189</v>
      </c>
    </row>
    <row r="57" spans="1:7">
      <c r="A57" s="1603">
        <v>249</v>
      </c>
      <c r="B57" s="1604" t="s">
        <v>282</v>
      </c>
      <c r="C57" s="1605" t="s">
        <v>590</v>
      </c>
      <c r="D57" s="1408">
        <v>240000</v>
      </c>
      <c r="E57" s="1408"/>
      <c r="F57" s="1409">
        <v>220080</v>
      </c>
      <c r="G57" s="1601">
        <f t="shared" si="1"/>
        <v>0.91700000000000004</v>
      </c>
    </row>
    <row r="58" spans="1:7">
      <c r="A58" s="1603">
        <v>257</v>
      </c>
      <c r="B58" s="1604" t="s">
        <v>301</v>
      </c>
      <c r="C58" s="1605" t="s">
        <v>690</v>
      </c>
      <c r="D58" s="1408">
        <v>166000</v>
      </c>
      <c r="E58" s="1408">
        <v>8500</v>
      </c>
      <c r="F58" s="1409">
        <v>156107</v>
      </c>
      <c r="G58" s="1601">
        <f t="shared" si="1"/>
        <v>0.94040361445783127</v>
      </c>
    </row>
    <row r="59" spans="1:7">
      <c r="A59" s="1603">
        <v>242</v>
      </c>
      <c r="B59" s="1604" t="s">
        <v>274</v>
      </c>
      <c r="C59" s="1605" t="s">
        <v>435</v>
      </c>
      <c r="D59" s="1408">
        <v>210000</v>
      </c>
      <c r="E59" s="1408">
        <v>17000</v>
      </c>
      <c r="F59" s="1409">
        <v>199500</v>
      </c>
      <c r="G59" s="1601">
        <f t="shared" si="1"/>
        <v>0.95</v>
      </c>
    </row>
    <row r="60" spans="1:7">
      <c r="A60" s="1603">
        <v>218</v>
      </c>
      <c r="B60" s="1604" t="s">
        <v>153</v>
      </c>
      <c r="C60" s="1606" t="s">
        <v>528</v>
      </c>
      <c r="D60" s="1408">
        <v>160000</v>
      </c>
      <c r="E60" s="1408">
        <v>9000</v>
      </c>
      <c r="F60" s="1409">
        <v>152144.76</v>
      </c>
      <c r="G60" s="1601">
        <f t="shared" si="1"/>
        <v>0.95090475000000008</v>
      </c>
    </row>
    <row r="61" spans="1:7">
      <c r="A61" s="1603">
        <v>142</v>
      </c>
      <c r="B61" s="1604" t="s">
        <v>289</v>
      </c>
      <c r="C61" s="1605" t="s">
        <v>749</v>
      </c>
      <c r="D61" s="1408">
        <v>210000</v>
      </c>
      <c r="E61" s="1408">
        <v>10867</v>
      </c>
      <c r="F61" s="1409">
        <v>201325</v>
      </c>
      <c r="G61" s="1601">
        <f t="shared" si="1"/>
        <v>0.9586904761904762</v>
      </c>
    </row>
    <row r="62" spans="1:7">
      <c r="A62" s="1603">
        <v>237</v>
      </c>
      <c r="B62" s="1604" t="s">
        <v>284</v>
      </c>
      <c r="C62" s="1605" t="s">
        <v>1503</v>
      </c>
      <c r="D62" s="1408">
        <v>145000</v>
      </c>
      <c r="E62" s="1408">
        <v>15000</v>
      </c>
      <c r="F62" s="1409">
        <v>140465</v>
      </c>
      <c r="G62" s="1601">
        <f t="shared" si="1"/>
        <v>0.96872413793103451</v>
      </c>
    </row>
    <row r="63" spans="1:7">
      <c r="A63" s="1603">
        <v>262</v>
      </c>
      <c r="B63" s="1604" t="s">
        <v>275</v>
      </c>
      <c r="C63" s="1605" t="s">
        <v>319</v>
      </c>
      <c r="D63" s="1408">
        <v>153000</v>
      </c>
      <c r="E63" s="1408"/>
      <c r="F63" s="1409">
        <v>152235</v>
      </c>
      <c r="G63" s="1601">
        <f t="shared" si="1"/>
        <v>0.995</v>
      </c>
    </row>
    <row r="64" spans="1:7">
      <c r="A64" s="1603">
        <v>194</v>
      </c>
      <c r="B64" s="1604" t="s">
        <v>314</v>
      </c>
      <c r="C64" s="1605" t="s">
        <v>3032</v>
      </c>
      <c r="D64" s="1408">
        <v>106000</v>
      </c>
      <c r="E64" s="1408">
        <v>5300</v>
      </c>
      <c r="F64" s="1409">
        <v>105500</v>
      </c>
      <c r="G64" s="1601">
        <f t="shared" si="1"/>
        <v>0.99528301886792447</v>
      </c>
    </row>
    <row r="65" spans="1:7">
      <c r="A65" s="1603">
        <v>233</v>
      </c>
      <c r="B65" s="1604" t="s">
        <v>299</v>
      </c>
      <c r="C65" s="1605" t="s">
        <v>1003</v>
      </c>
      <c r="D65" s="1408">
        <v>230000</v>
      </c>
      <c r="E65" s="1408"/>
      <c r="F65" s="1409">
        <v>229999.2</v>
      </c>
      <c r="G65" s="1601">
        <f t="shared" si="1"/>
        <v>0.99999652173913045</v>
      </c>
    </row>
    <row r="66" spans="1:7">
      <c r="A66" s="1603">
        <v>222</v>
      </c>
      <c r="B66" s="1604" t="s">
        <v>306</v>
      </c>
      <c r="C66" s="1605" t="s">
        <v>489</v>
      </c>
      <c r="D66" s="1408">
        <v>170000</v>
      </c>
      <c r="E66" s="1408"/>
      <c r="F66" s="1409">
        <v>170000</v>
      </c>
      <c r="G66" s="1601">
        <f t="shared" ref="G66:G86" si="2">F66/D66</f>
        <v>1</v>
      </c>
    </row>
    <row r="67" spans="1:7">
      <c r="A67" s="1603">
        <v>223</v>
      </c>
      <c r="B67" s="1604" t="s">
        <v>292</v>
      </c>
      <c r="C67" s="1605" t="s">
        <v>770</v>
      </c>
      <c r="D67" s="1408">
        <v>100000</v>
      </c>
      <c r="E67" s="1408"/>
      <c r="F67" s="1409">
        <v>100102</v>
      </c>
      <c r="G67" s="1601">
        <f t="shared" si="2"/>
        <v>1.00102</v>
      </c>
    </row>
    <row r="68" spans="1:7">
      <c r="A68" s="1603">
        <v>214</v>
      </c>
      <c r="B68" s="1604" t="s">
        <v>273</v>
      </c>
      <c r="C68" s="1605" t="s">
        <v>778</v>
      </c>
      <c r="D68" s="1408">
        <v>90000</v>
      </c>
      <c r="E68" s="1408">
        <v>2119</v>
      </c>
      <c r="F68" s="1409">
        <v>91200</v>
      </c>
      <c r="G68" s="1601">
        <f t="shared" si="2"/>
        <v>1.0133333333333334</v>
      </c>
    </row>
    <row r="69" spans="1:7">
      <c r="A69" s="1603">
        <v>213</v>
      </c>
      <c r="B69" s="1604" t="s">
        <v>298</v>
      </c>
      <c r="C69" s="1605" t="s">
        <v>779</v>
      </c>
      <c r="D69" s="1408">
        <v>370000</v>
      </c>
      <c r="E69" s="1408">
        <v>6404</v>
      </c>
      <c r="F69" s="1409">
        <v>376404.5</v>
      </c>
      <c r="G69" s="1601">
        <f t="shared" si="2"/>
        <v>1.0173094594594594</v>
      </c>
    </row>
    <row r="70" spans="1:7">
      <c r="A70" s="1603">
        <v>212</v>
      </c>
      <c r="B70" s="1604" t="s">
        <v>312</v>
      </c>
      <c r="C70" s="1606" t="s">
        <v>706</v>
      </c>
      <c r="D70" s="1408">
        <v>205000</v>
      </c>
      <c r="E70" s="1408">
        <v>4300</v>
      </c>
      <c r="F70" s="1409">
        <v>209300.5</v>
      </c>
      <c r="G70" s="1601">
        <f t="shared" si="2"/>
        <v>1.0209780487804878</v>
      </c>
    </row>
    <row r="71" spans="1:7">
      <c r="A71" s="1603">
        <v>217</v>
      </c>
      <c r="B71" s="1604" t="s">
        <v>296</v>
      </c>
      <c r="C71" s="1605" t="s">
        <v>649</v>
      </c>
      <c r="D71" s="1408">
        <v>175000</v>
      </c>
      <c r="E71" s="1408">
        <v>3000</v>
      </c>
      <c r="F71" s="1409">
        <v>179077.5</v>
      </c>
      <c r="G71" s="1601">
        <f t="shared" si="2"/>
        <v>1.0233000000000001</v>
      </c>
    </row>
    <row r="72" spans="1:7">
      <c r="A72" s="1603">
        <v>234</v>
      </c>
      <c r="B72" s="1604" t="s">
        <v>286</v>
      </c>
      <c r="C72" s="1605" t="s">
        <v>3031</v>
      </c>
      <c r="D72" s="1408">
        <v>130000</v>
      </c>
      <c r="E72" s="1408">
        <v>4500</v>
      </c>
      <c r="F72" s="1409">
        <v>134500</v>
      </c>
      <c r="G72" s="1601">
        <f t="shared" si="2"/>
        <v>1.0346153846153847</v>
      </c>
    </row>
    <row r="73" spans="1:7">
      <c r="A73" s="1603">
        <v>231</v>
      </c>
      <c r="B73" s="1604" t="s">
        <v>186</v>
      </c>
      <c r="C73" s="1605" t="s">
        <v>638</v>
      </c>
      <c r="D73" s="1408">
        <v>130000</v>
      </c>
      <c r="E73" s="1408">
        <v>5250</v>
      </c>
      <c r="F73" s="1409">
        <v>135250</v>
      </c>
      <c r="G73" s="1601">
        <f t="shared" si="2"/>
        <v>1.0403846153846155</v>
      </c>
    </row>
    <row r="74" spans="1:7">
      <c r="A74" s="1603">
        <v>221</v>
      </c>
      <c r="B74" s="1604" t="s">
        <v>305</v>
      </c>
      <c r="C74" s="1605" t="s">
        <v>501</v>
      </c>
      <c r="D74" s="1408">
        <v>135000</v>
      </c>
      <c r="E74" s="1408">
        <v>9000</v>
      </c>
      <c r="F74" s="1409">
        <v>144270</v>
      </c>
      <c r="G74" s="1601">
        <f t="shared" si="2"/>
        <v>1.0686666666666667</v>
      </c>
    </row>
    <row r="75" spans="1:7">
      <c r="A75" s="1603">
        <v>202</v>
      </c>
      <c r="B75" s="1604" t="s">
        <v>2883</v>
      </c>
      <c r="C75" s="1605" t="s">
        <v>2882</v>
      </c>
      <c r="D75" s="1408">
        <v>565000</v>
      </c>
      <c r="E75" s="1408">
        <v>40000</v>
      </c>
      <c r="F75" s="1409">
        <v>606872.76</v>
      </c>
      <c r="G75" s="1601">
        <f t="shared" si="2"/>
        <v>1.0741110796460178</v>
      </c>
    </row>
    <row r="76" spans="1:7">
      <c r="A76" s="1603">
        <v>206</v>
      </c>
      <c r="B76" s="1604" t="s">
        <v>187</v>
      </c>
      <c r="C76" s="1605" t="s">
        <v>354</v>
      </c>
      <c r="D76" s="1408">
        <v>290000</v>
      </c>
      <c r="E76" s="1408">
        <v>25700</v>
      </c>
      <c r="F76" s="1409">
        <v>315698</v>
      </c>
      <c r="G76" s="1601">
        <f t="shared" si="2"/>
        <v>1.0886137931034483</v>
      </c>
    </row>
    <row r="77" spans="1:7">
      <c r="A77" s="1603">
        <v>250</v>
      </c>
      <c r="B77" s="1604" t="s">
        <v>295</v>
      </c>
      <c r="C77" s="1605" t="s">
        <v>1330</v>
      </c>
      <c r="D77" s="1408">
        <v>85000</v>
      </c>
      <c r="E77" s="1408">
        <v>8000</v>
      </c>
      <c r="F77" s="1409">
        <v>93000</v>
      </c>
      <c r="G77" s="1601">
        <f t="shared" si="2"/>
        <v>1.0941176470588236</v>
      </c>
    </row>
    <row r="78" spans="1:7">
      <c r="A78" s="1603">
        <v>211</v>
      </c>
      <c r="B78" s="1604" t="s">
        <v>270</v>
      </c>
      <c r="C78" s="1605" t="s">
        <v>718</v>
      </c>
      <c r="D78" s="1408">
        <v>310000</v>
      </c>
      <c r="E78" s="1408">
        <v>27500</v>
      </c>
      <c r="F78" s="1409">
        <v>339240</v>
      </c>
      <c r="G78" s="1601">
        <f t="shared" si="2"/>
        <v>1.0943225806451613</v>
      </c>
    </row>
    <row r="79" spans="1:7">
      <c r="A79" s="1603">
        <v>239</v>
      </c>
      <c r="B79" s="1604" t="s">
        <v>280</v>
      </c>
      <c r="C79" s="1605" t="s">
        <v>573</v>
      </c>
      <c r="D79" s="1408">
        <v>95000</v>
      </c>
      <c r="E79" s="1408">
        <v>10000</v>
      </c>
      <c r="F79" s="1409">
        <v>105000</v>
      </c>
      <c r="G79" s="1601">
        <f t="shared" si="2"/>
        <v>1.1052631578947369</v>
      </c>
    </row>
    <row r="80" spans="1:7">
      <c r="A80" s="1603">
        <v>279</v>
      </c>
      <c r="B80" s="1604" t="s">
        <v>307</v>
      </c>
      <c r="C80" s="1605" t="s">
        <v>307</v>
      </c>
      <c r="D80" s="1408">
        <v>96000</v>
      </c>
      <c r="E80" s="1408">
        <v>16000</v>
      </c>
      <c r="F80" s="1409">
        <v>107200</v>
      </c>
      <c r="G80" s="1601">
        <f t="shared" si="2"/>
        <v>1.1166666666666667</v>
      </c>
    </row>
    <row r="81" spans="1:7">
      <c r="A81" s="1603">
        <v>204</v>
      </c>
      <c r="B81" s="1604" t="s">
        <v>266</v>
      </c>
      <c r="C81" s="1605" t="s">
        <v>998</v>
      </c>
      <c r="D81" s="1408">
        <v>205000</v>
      </c>
      <c r="E81" s="1408">
        <v>24000</v>
      </c>
      <c r="F81" s="1409">
        <v>233075</v>
      </c>
      <c r="G81" s="1601">
        <f t="shared" si="2"/>
        <v>1.1369512195121951</v>
      </c>
    </row>
    <row r="82" spans="1:7">
      <c r="A82" s="1603">
        <v>216</v>
      </c>
      <c r="B82" s="1604" t="s">
        <v>300</v>
      </c>
      <c r="C82" s="1605" t="s">
        <v>671</v>
      </c>
      <c r="D82" s="1408">
        <v>165000</v>
      </c>
      <c r="E82" s="1408">
        <v>30000</v>
      </c>
      <c r="F82" s="1409">
        <v>188250</v>
      </c>
      <c r="G82" s="1601">
        <f t="shared" si="2"/>
        <v>1.1409090909090909</v>
      </c>
    </row>
    <row r="83" spans="1:7">
      <c r="A83" s="1603">
        <v>210</v>
      </c>
      <c r="B83" s="1604" t="s">
        <v>310</v>
      </c>
      <c r="C83" s="1605"/>
      <c r="D83" s="1408"/>
      <c r="E83" s="1408"/>
      <c r="F83" s="1409">
        <v>0</v>
      </c>
      <c r="G83" s="1601" t="e">
        <f t="shared" si="2"/>
        <v>#DIV/0!</v>
      </c>
    </row>
    <row r="84" spans="1:7">
      <c r="A84" s="1603">
        <v>210</v>
      </c>
      <c r="B84" s="1604" t="s">
        <v>311</v>
      </c>
      <c r="C84" s="1605"/>
      <c r="D84" s="1408"/>
      <c r="E84" s="1408"/>
      <c r="F84" s="1409">
        <v>0</v>
      </c>
      <c r="G84" s="1601" t="e">
        <f t="shared" si="2"/>
        <v>#DIV/0!</v>
      </c>
    </row>
    <row r="85" spans="1:7">
      <c r="A85" s="1603">
        <v>227</v>
      </c>
      <c r="B85" s="1604" t="s">
        <v>272</v>
      </c>
      <c r="C85" s="1605" t="s">
        <v>413</v>
      </c>
      <c r="D85" s="1408" t="s">
        <v>416</v>
      </c>
      <c r="E85" s="1408"/>
      <c r="F85" s="1409">
        <v>284144.33</v>
      </c>
      <c r="G85" s="1601" t="e">
        <f t="shared" si="2"/>
        <v>#VALUE!</v>
      </c>
    </row>
    <row r="86" spans="1:7">
      <c r="A86" s="1603">
        <v>283</v>
      </c>
      <c r="B86" s="1604" t="s">
        <v>1262</v>
      </c>
      <c r="C86" s="1605"/>
      <c r="D86" s="1408"/>
      <c r="E86" s="1408"/>
      <c r="F86" s="1409">
        <v>0</v>
      </c>
      <c r="G86" s="1601" t="e">
        <f t="shared" si="2"/>
        <v>#DIV/0!</v>
      </c>
    </row>
  </sheetData>
  <sortState xmlns:xlrd2="http://schemas.microsoft.com/office/spreadsheetml/2017/richdata2" ref="A6:G86">
    <sortCondition ref="G6:G86"/>
  </sortState>
  <conditionalFormatting sqref="A8 A10:A35">
    <cfRule type="duplicateValues" dxfId="114" priority="13"/>
  </conditionalFormatting>
  <conditionalFormatting sqref="A36:A45 A47:A50 A52:A56 A58:A62">
    <cfRule type="duplicateValues" dxfId="113" priority="12"/>
  </conditionalFormatting>
  <conditionalFormatting sqref="A63:A69">
    <cfRule type="duplicateValues" dxfId="112" priority="11"/>
  </conditionalFormatting>
  <conditionalFormatting sqref="A7">
    <cfRule type="duplicateValues" dxfId="111" priority="10"/>
  </conditionalFormatting>
  <conditionalFormatting sqref="A9">
    <cfRule type="duplicateValues" dxfId="110" priority="9"/>
  </conditionalFormatting>
  <conditionalFormatting sqref="A76:A78 A80:A81">
    <cfRule type="duplicateValues" dxfId="109" priority="8"/>
  </conditionalFormatting>
  <conditionalFormatting sqref="A79">
    <cfRule type="duplicateValues" dxfId="108" priority="7"/>
  </conditionalFormatting>
  <conditionalFormatting sqref="A46">
    <cfRule type="duplicateValues" dxfId="107" priority="6"/>
  </conditionalFormatting>
  <conditionalFormatting sqref="A51">
    <cfRule type="duplicateValues" dxfId="106" priority="5"/>
  </conditionalFormatting>
  <conditionalFormatting sqref="A57">
    <cfRule type="duplicateValues" dxfId="105" priority="4"/>
  </conditionalFormatting>
  <conditionalFormatting sqref="A70">
    <cfRule type="duplicateValues" dxfId="104" priority="3"/>
  </conditionalFormatting>
  <conditionalFormatting sqref="A82 A84:A86">
    <cfRule type="duplicateValues" dxfId="103" priority="2"/>
  </conditionalFormatting>
  <conditionalFormatting sqref="A83">
    <cfRule type="duplicateValues" dxfId="102" priority="1"/>
  </conditionalFormatting>
  <pageMargins left="0.16" right="0.2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F32E1-A616-4408-9413-0A0F66E57939}">
  <sheetPr codeName="Sheet11"/>
  <dimension ref="A1:AI679"/>
  <sheetViews>
    <sheetView topLeftCell="A366" workbookViewId="0">
      <selection activeCell="D6" sqref="D6"/>
    </sheetView>
  </sheetViews>
  <sheetFormatPr defaultRowHeight="15.75"/>
  <cols>
    <col min="4" max="4" width="11" bestFit="1" customWidth="1"/>
    <col min="5" max="5" width="24.140625" bestFit="1" customWidth="1"/>
    <col min="6" max="6" width="11" customWidth="1"/>
    <col min="20" max="20" width="13.42578125" style="1171" customWidth="1"/>
    <col min="21" max="21" width="24.140625" style="1172" customWidth="1"/>
    <col min="22" max="22" width="12.85546875" bestFit="1" customWidth="1"/>
    <col min="23" max="25" width="10" style="1175" customWidth="1"/>
  </cols>
  <sheetData>
    <row r="1" spans="1:35" ht="25.5">
      <c r="A1" s="433" t="s">
        <v>24</v>
      </c>
      <c r="B1" s="55" t="s">
        <v>202</v>
      </c>
      <c r="C1" s="55" t="s">
        <v>4</v>
      </c>
      <c r="D1" s="55" t="s">
        <v>213</v>
      </c>
      <c r="E1" s="55" t="s">
        <v>10</v>
      </c>
      <c r="F1" s="293" t="s">
        <v>204</v>
      </c>
      <c r="G1" s="57" t="s">
        <v>205</v>
      </c>
      <c r="H1" s="57" t="s">
        <v>206</v>
      </c>
      <c r="I1" s="57" t="s">
        <v>207</v>
      </c>
      <c r="J1" s="57" t="s">
        <v>7</v>
      </c>
      <c r="K1" s="59" t="s">
        <v>203</v>
      </c>
      <c r="L1" s="59" t="s">
        <v>24</v>
      </c>
      <c r="M1" s="433" t="s">
        <v>24</v>
      </c>
      <c r="T1" s="1753" t="s">
        <v>4942</v>
      </c>
      <c r="U1" s="1754"/>
      <c r="V1" s="1754"/>
      <c r="W1" s="1754"/>
      <c r="X1" s="1754"/>
      <c r="Y1" s="1754"/>
    </row>
    <row r="2" spans="1:35" ht="15">
      <c r="A2" s="292">
        <v>258</v>
      </c>
      <c r="B2" s="66" t="s">
        <v>1879</v>
      </c>
      <c r="C2" s="66" t="s">
        <v>1030</v>
      </c>
      <c r="D2" s="54" t="s">
        <v>168</v>
      </c>
      <c r="E2" s="435" t="str">
        <f>IFERROR(VLOOKUP(D2,Mychart!$A$125:$B$811,2,FALSE),"-")</f>
        <v>UTS Carrier</v>
      </c>
      <c r="F2" s="676" t="s">
        <v>236</v>
      </c>
      <c r="G2" s="58">
        <v>1</v>
      </c>
      <c r="H2" s="58"/>
      <c r="I2" s="58"/>
      <c r="J2" s="58"/>
      <c r="K2" s="137"/>
      <c r="L2" s="56" t="s">
        <v>1878</v>
      </c>
      <c r="M2" s="292">
        <v>258</v>
      </c>
      <c r="T2" s="1753"/>
      <c r="U2" s="1754"/>
      <c r="V2" s="1754"/>
      <c r="W2" s="1754"/>
      <c r="X2" s="1754"/>
      <c r="Y2" s="1754"/>
    </row>
    <row r="3" spans="1:35" ht="16.5" customHeight="1">
      <c r="A3" s="292">
        <v>258</v>
      </c>
      <c r="B3" s="66" t="s">
        <v>1879</v>
      </c>
      <c r="C3" s="66" t="s">
        <v>1030</v>
      </c>
      <c r="D3" s="54" t="s">
        <v>168</v>
      </c>
      <c r="E3" s="435" t="str">
        <f>IFERROR(VLOOKUP(D3,Mychart!$A$125:$B$811,2,FALSE),"-")</f>
        <v>UTS Carrier</v>
      </c>
      <c r="F3" s="676" t="s">
        <v>237</v>
      </c>
      <c r="G3" s="58">
        <v>1</v>
      </c>
      <c r="H3" s="58"/>
      <c r="I3" s="58"/>
      <c r="J3" s="58"/>
      <c r="K3" s="137"/>
      <c r="L3" s="56" t="s">
        <v>1878</v>
      </c>
      <c r="M3" s="292">
        <v>258</v>
      </c>
      <c r="N3" s="433" t="s">
        <v>1207</v>
      </c>
      <c r="O3" s="433" t="s">
        <v>2899</v>
      </c>
      <c r="P3" s="613" t="s">
        <v>1208</v>
      </c>
      <c r="R3" s="915" t="s">
        <v>2896</v>
      </c>
      <c r="T3" s="1176" t="s">
        <v>202</v>
      </c>
      <c r="U3" s="1179" t="s">
        <v>24</v>
      </c>
      <c r="V3" s="1180" t="s">
        <v>204</v>
      </c>
      <c r="W3" s="1177" t="s">
        <v>205</v>
      </c>
      <c r="X3" s="1178" t="s">
        <v>4941</v>
      </c>
      <c r="Y3" s="1177" t="s">
        <v>4940</v>
      </c>
      <c r="Z3" s="57" t="s">
        <v>7</v>
      </c>
      <c r="AA3" s="59" t="s">
        <v>203</v>
      </c>
      <c r="AC3" s="433" t="s">
        <v>24</v>
      </c>
      <c r="AD3" s="433" t="s">
        <v>1123</v>
      </c>
      <c r="AE3" s="434" t="s">
        <v>1206</v>
      </c>
      <c r="AF3" s="433" t="s">
        <v>1207</v>
      </c>
      <c r="AH3" s="613" t="s">
        <v>1208</v>
      </c>
      <c r="AI3" s="915" t="s">
        <v>2964</v>
      </c>
    </row>
    <row r="4" spans="1:35">
      <c r="A4" s="292">
        <v>258</v>
      </c>
      <c r="B4" s="66" t="s">
        <v>1879</v>
      </c>
      <c r="C4" s="66" t="s">
        <v>1030</v>
      </c>
      <c r="D4" s="54" t="s">
        <v>168</v>
      </c>
      <c r="E4" s="435" t="str">
        <f>IFERROR(VLOOKUP(D4,Mychart!$A$125:$B$811,2,FALSE),"-")</f>
        <v>UTS Carrier</v>
      </c>
      <c r="F4" s="676" t="s">
        <v>238</v>
      </c>
      <c r="G4" s="58">
        <v>2</v>
      </c>
      <c r="H4" s="58"/>
      <c r="I4" s="58"/>
      <c r="J4" s="58"/>
      <c r="K4" s="137"/>
      <c r="L4" s="56" t="s">
        <v>1878</v>
      </c>
      <c r="M4" s="292">
        <v>258</v>
      </c>
      <c r="N4" s="292">
        <v>137938</v>
      </c>
      <c r="O4" s="292"/>
      <c r="P4" s="614">
        <v>137938</v>
      </c>
      <c r="R4" s="913">
        <v>4404</v>
      </c>
      <c r="T4" s="1755" t="s">
        <v>3021</v>
      </c>
      <c r="U4" s="1747" t="s">
        <v>1235</v>
      </c>
      <c r="V4" s="676" t="s">
        <v>236</v>
      </c>
      <c r="W4" s="1173">
        <v>2</v>
      </c>
      <c r="X4" s="1174">
        <v>2</v>
      </c>
      <c r="Y4" s="1173">
        <f t="shared" ref="Y4:Y25" si="0">W4-X4</f>
        <v>0</v>
      </c>
      <c r="Z4" s="58"/>
      <c r="AA4" s="137"/>
      <c r="AC4" s="292">
        <v>249</v>
      </c>
      <c r="AD4" s="292"/>
      <c r="AE4" s="358"/>
      <c r="AF4" s="292"/>
      <c r="AH4" s="614">
        <v>0</v>
      </c>
      <c r="AI4" s="913">
        <v>0</v>
      </c>
    </row>
    <row r="5" spans="1:35">
      <c r="A5" s="292">
        <v>258</v>
      </c>
      <c r="B5" s="66" t="s">
        <v>1879</v>
      </c>
      <c r="C5" s="66" t="s">
        <v>1030</v>
      </c>
      <c r="D5" s="54" t="s">
        <v>168</v>
      </c>
      <c r="E5" s="435" t="str">
        <f>IFERROR(VLOOKUP(D5,Mychart!$A$125:$B$811,2,FALSE),"-")</f>
        <v>UTS Carrier</v>
      </c>
      <c r="F5" s="676" t="s">
        <v>239</v>
      </c>
      <c r="G5" s="58">
        <v>2</v>
      </c>
      <c r="H5" s="58"/>
      <c r="I5" s="58"/>
      <c r="J5" s="58"/>
      <c r="K5" s="137"/>
      <c r="L5" s="56" t="s">
        <v>1878</v>
      </c>
      <c r="M5" s="292">
        <v>258</v>
      </c>
      <c r="N5" s="292">
        <v>97744.5</v>
      </c>
      <c r="O5" s="292"/>
      <c r="P5" s="614">
        <v>97744.5</v>
      </c>
      <c r="R5" s="913">
        <v>14705</v>
      </c>
      <c r="T5" s="1756"/>
      <c r="U5" s="1748"/>
      <c r="V5" s="676" t="s">
        <v>237</v>
      </c>
      <c r="W5" s="1173">
        <v>2</v>
      </c>
      <c r="X5" s="1174">
        <v>2</v>
      </c>
      <c r="Y5" s="1173">
        <f t="shared" si="0"/>
        <v>0</v>
      </c>
      <c r="Z5" s="58"/>
      <c r="AA5" s="137"/>
      <c r="AC5" s="292">
        <v>249</v>
      </c>
      <c r="AD5" s="292"/>
      <c r="AE5" s="358"/>
      <c r="AF5" s="292"/>
      <c r="AH5" s="614">
        <v>0</v>
      </c>
      <c r="AI5" s="913">
        <v>0</v>
      </c>
    </row>
    <row r="6" spans="1:35">
      <c r="A6" s="292">
        <v>258</v>
      </c>
      <c r="B6" s="66" t="s">
        <v>1879</v>
      </c>
      <c r="C6" s="66" t="s">
        <v>1030</v>
      </c>
      <c r="D6" s="54" t="s">
        <v>168</v>
      </c>
      <c r="E6" s="435" t="str">
        <f>IFERROR(VLOOKUP(D6,Mychart!$A$125:$B$811,2,FALSE),"-")</f>
        <v>UTS Carrier</v>
      </c>
      <c r="F6" s="676" t="s">
        <v>234</v>
      </c>
      <c r="G6" s="58">
        <v>3</v>
      </c>
      <c r="H6" s="58"/>
      <c r="I6" s="58"/>
      <c r="J6" s="58"/>
      <c r="K6" s="137"/>
      <c r="L6" s="56" t="s">
        <v>1878</v>
      </c>
      <c r="M6" s="292">
        <v>258</v>
      </c>
      <c r="N6" s="292">
        <v>51120</v>
      </c>
      <c r="O6" s="292"/>
      <c r="P6" s="614">
        <v>51119.25</v>
      </c>
      <c r="R6" s="913">
        <v>20244.05</v>
      </c>
      <c r="T6" s="1756"/>
      <c r="U6" s="1748"/>
      <c r="V6" s="676" t="s">
        <v>827</v>
      </c>
      <c r="W6" s="1173">
        <v>1</v>
      </c>
      <c r="X6" s="1174">
        <v>1</v>
      </c>
      <c r="Y6" s="1173">
        <f t="shared" si="0"/>
        <v>0</v>
      </c>
      <c r="Z6" s="58"/>
      <c r="AA6" s="137"/>
      <c r="AC6" s="292">
        <v>249</v>
      </c>
      <c r="AD6" s="292"/>
      <c r="AE6" s="358"/>
      <c r="AF6" s="292"/>
      <c r="AH6" s="614">
        <v>0</v>
      </c>
      <c r="AI6" s="913">
        <v>0</v>
      </c>
    </row>
    <row r="7" spans="1:35">
      <c r="A7" s="292">
        <v>258</v>
      </c>
      <c r="B7" s="66" t="s">
        <v>1879</v>
      </c>
      <c r="C7" s="66" t="s">
        <v>1030</v>
      </c>
      <c r="D7" s="54" t="s">
        <v>168</v>
      </c>
      <c r="E7" s="435" t="str">
        <f>IFERROR(VLOOKUP(D7,Mychart!$A$125:$B$811,2,FALSE),"-")</f>
        <v>UTS Carrier</v>
      </c>
      <c r="F7" s="676" t="s">
        <v>235</v>
      </c>
      <c r="G7" s="58">
        <v>3</v>
      </c>
      <c r="H7" s="58"/>
      <c r="I7" s="58"/>
      <c r="J7" s="58"/>
      <c r="K7" s="137"/>
      <c r="L7" s="56" t="s">
        <v>1878</v>
      </c>
      <c r="M7" s="292">
        <v>258</v>
      </c>
      <c r="T7" s="1756"/>
      <c r="U7" s="1748"/>
      <c r="V7" s="676" t="s">
        <v>828</v>
      </c>
      <c r="W7" s="1173">
        <v>1</v>
      </c>
      <c r="X7" s="1174">
        <v>1</v>
      </c>
      <c r="Y7" s="1173">
        <f t="shared" si="0"/>
        <v>0</v>
      </c>
      <c r="Z7" s="58"/>
      <c r="AA7" s="137"/>
      <c r="AC7" s="292">
        <v>249</v>
      </c>
      <c r="AD7" s="292"/>
      <c r="AE7" s="358"/>
      <c r="AF7" s="292"/>
      <c r="AH7" s="614">
        <v>0</v>
      </c>
      <c r="AI7" s="913">
        <v>0</v>
      </c>
    </row>
    <row r="8" spans="1:35">
      <c r="A8" s="292">
        <v>258</v>
      </c>
      <c r="B8" s="66" t="s">
        <v>1879</v>
      </c>
      <c r="C8" s="66" t="s">
        <v>1030</v>
      </c>
      <c r="D8" s="54" t="s">
        <v>168</v>
      </c>
      <c r="E8" s="435" t="str">
        <f>IFERROR(VLOOKUP(D8,Mychart!$A$125:$B$811,2,FALSE),"-")</f>
        <v>UTS Carrier</v>
      </c>
      <c r="F8" s="676" t="s">
        <v>232</v>
      </c>
      <c r="G8" s="58">
        <v>3</v>
      </c>
      <c r="H8" s="58"/>
      <c r="I8" s="58"/>
      <c r="J8" s="58"/>
      <c r="K8" s="137"/>
      <c r="L8" s="56" t="s">
        <v>1878</v>
      </c>
      <c r="M8" s="292">
        <v>258</v>
      </c>
      <c r="T8" s="1756"/>
      <c r="U8" s="1748"/>
      <c r="V8" s="676" t="s">
        <v>238</v>
      </c>
      <c r="W8" s="1173">
        <v>1</v>
      </c>
      <c r="X8" s="1174"/>
      <c r="Y8" s="1173">
        <f t="shared" si="0"/>
        <v>1</v>
      </c>
      <c r="Z8" s="58"/>
      <c r="AA8" s="137"/>
      <c r="AC8" s="292">
        <v>249</v>
      </c>
      <c r="AD8" s="292"/>
      <c r="AE8" s="358"/>
      <c r="AF8" s="292"/>
      <c r="AH8" s="614">
        <v>0</v>
      </c>
      <c r="AI8" s="913">
        <v>0</v>
      </c>
    </row>
    <row r="9" spans="1:35">
      <c r="A9" s="292">
        <v>258</v>
      </c>
      <c r="B9" s="66" t="s">
        <v>1879</v>
      </c>
      <c r="C9" s="66" t="s">
        <v>1030</v>
      </c>
      <c r="D9" s="54" t="s">
        <v>168</v>
      </c>
      <c r="E9" s="435" t="str">
        <f>IFERROR(VLOOKUP(D9,Mychart!$A$125:$B$811,2,FALSE),"-")</f>
        <v>UTS Carrier</v>
      </c>
      <c r="F9" s="676" t="s">
        <v>233</v>
      </c>
      <c r="G9" s="58">
        <v>3</v>
      </c>
      <c r="H9" s="58"/>
      <c r="I9" s="58"/>
      <c r="J9" s="58"/>
      <c r="K9" s="137"/>
      <c r="L9" s="56" t="s">
        <v>1878</v>
      </c>
      <c r="M9" s="292">
        <v>258</v>
      </c>
      <c r="T9" s="1756"/>
      <c r="U9" s="1748"/>
      <c r="V9" s="676" t="s">
        <v>239</v>
      </c>
      <c r="W9" s="1173">
        <v>1</v>
      </c>
      <c r="X9" s="1174">
        <v>1</v>
      </c>
      <c r="Y9" s="1173">
        <f t="shared" si="0"/>
        <v>0</v>
      </c>
      <c r="Z9" s="58"/>
      <c r="AA9" s="137"/>
      <c r="AC9" s="292">
        <v>249</v>
      </c>
      <c r="AD9" s="292"/>
      <c r="AE9" s="358"/>
      <c r="AF9" s="292"/>
      <c r="AH9" s="614">
        <v>0</v>
      </c>
      <c r="AI9" s="913">
        <v>0</v>
      </c>
    </row>
    <row r="10" spans="1:35">
      <c r="A10" s="292">
        <v>258</v>
      </c>
      <c r="B10" s="66" t="s">
        <v>1879</v>
      </c>
      <c r="C10" s="66" t="s">
        <v>1030</v>
      </c>
      <c r="D10" s="54" t="s">
        <v>168</v>
      </c>
      <c r="E10" s="435" t="str">
        <f>IFERROR(VLOOKUP(D10,Mychart!$A$125:$B$811,2,FALSE),"-")</f>
        <v>UTS Carrier</v>
      </c>
      <c r="F10" s="676" t="s">
        <v>1100</v>
      </c>
      <c r="G10" s="58">
        <v>3</v>
      </c>
      <c r="H10" s="58"/>
      <c r="I10" s="58"/>
      <c r="J10" s="58"/>
      <c r="K10" s="137"/>
      <c r="L10" s="56" t="s">
        <v>1878</v>
      </c>
      <c r="M10" s="292">
        <v>258</v>
      </c>
      <c r="T10" s="1756"/>
      <c r="U10" s="1748"/>
      <c r="V10" s="676" t="s">
        <v>232</v>
      </c>
      <c r="W10" s="1173">
        <v>13</v>
      </c>
      <c r="X10" s="1174">
        <v>13</v>
      </c>
      <c r="Y10" s="1173">
        <f t="shared" si="0"/>
        <v>0</v>
      </c>
      <c r="Z10" s="58"/>
      <c r="AA10" s="137"/>
      <c r="AC10" s="292">
        <v>249</v>
      </c>
      <c r="AD10" s="292"/>
      <c r="AE10" s="358"/>
      <c r="AF10" s="292"/>
      <c r="AH10" s="614">
        <v>0</v>
      </c>
      <c r="AI10" s="913">
        <v>0</v>
      </c>
    </row>
    <row r="11" spans="1:35">
      <c r="A11" s="292">
        <v>258</v>
      </c>
      <c r="B11" s="66" t="s">
        <v>1879</v>
      </c>
      <c r="C11" s="66" t="s">
        <v>1030</v>
      </c>
      <c r="D11" s="54" t="s">
        <v>168</v>
      </c>
      <c r="E11" s="435" t="str">
        <f>IFERROR(VLOOKUP(D11,Mychart!$A$125:$B$811,2,FALSE),"-")</f>
        <v>UTS Carrier</v>
      </c>
      <c r="F11" s="676" t="s">
        <v>1099</v>
      </c>
      <c r="G11" s="58">
        <v>3</v>
      </c>
      <c r="H11" s="58"/>
      <c r="I11" s="58"/>
      <c r="J11" s="58"/>
      <c r="K11" s="137"/>
      <c r="L11" s="56" t="s">
        <v>1878</v>
      </c>
      <c r="M11" s="292">
        <v>258</v>
      </c>
      <c r="T11" s="1756"/>
      <c r="U11" s="1748"/>
      <c r="V11" s="676" t="s">
        <v>233</v>
      </c>
      <c r="W11" s="1173">
        <v>13</v>
      </c>
      <c r="X11" s="1174">
        <v>13</v>
      </c>
      <c r="Y11" s="1173">
        <f t="shared" si="0"/>
        <v>0</v>
      </c>
      <c r="Z11" s="58"/>
      <c r="AA11" s="137"/>
      <c r="AC11" s="292">
        <v>249</v>
      </c>
      <c r="AD11" s="292"/>
      <c r="AE11" s="358"/>
      <c r="AF11" s="292"/>
      <c r="AH11" s="614">
        <v>0</v>
      </c>
      <c r="AI11" s="913">
        <v>0</v>
      </c>
    </row>
    <row r="12" spans="1:35">
      <c r="A12" s="292">
        <v>258</v>
      </c>
      <c r="B12" s="66" t="s">
        <v>1879</v>
      </c>
      <c r="C12" s="66" t="s">
        <v>1030</v>
      </c>
      <c r="D12" s="54" t="s">
        <v>168</v>
      </c>
      <c r="E12" s="435" t="str">
        <f>IFERROR(VLOOKUP(D12,Mychart!$A$125:$B$811,2,FALSE),"-")</f>
        <v>UTS Carrier</v>
      </c>
      <c r="F12" s="676" t="s">
        <v>1081</v>
      </c>
      <c r="G12" s="58">
        <v>1</v>
      </c>
      <c r="H12" s="58"/>
      <c r="I12" s="58"/>
      <c r="J12" s="58"/>
      <c r="K12" s="137"/>
      <c r="L12" s="56" t="s">
        <v>1878</v>
      </c>
      <c r="M12" s="292">
        <v>258</v>
      </c>
      <c r="T12" s="1756"/>
      <c r="U12" s="1748"/>
      <c r="V12" s="676" t="s">
        <v>1236</v>
      </c>
      <c r="W12" s="1173">
        <v>17</v>
      </c>
      <c r="X12" s="1174">
        <v>17</v>
      </c>
      <c r="Y12" s="1173">
        <f t="shared" si="0"/>
        <v>0</v>
      </c>
      <c r="Z12" s="58"/>
      <c r="AA12" s="137"/>
      <c r="AC12" s="292">
        <v>249</v>
      </c>
      <c r="AD12" s="292"/>
      <c r="AE12" s="358"/>
      <c r="AF12" s="292"/>
      <c r="AH12" s="614">
        <v>0</v>
      </c>
      <c r="AI12" s="913">
        <v>0</v>
      </c>
    </row>
    <row r="13" spans="1:35">
      <c r="A13" s="292">
        <v>258</v>
      </c>
      <c r="B13" s="66" t="s">
        <v>1879</v>
      </c>
      <c r="C13" s="66" t="s">
        <v>1030</v>
      </c>
      <c r="D13" s="54" t="s">
        <v>168</v>
      </c>
      <c r="E13" s="435" t="str">
        <f>IFERROR(VLOOKUP(D13,Mychart!$A$125:$B$811,2,FALSE),"-")</f>
        <v>UTS Carrier</v>
      </c>
      <c r="F13" s="676" t="s">
        <v>1082</v>
      </c>
      <c r="G13" s="58">
        <v>1</v>
      </c>
      <c r="H13" s="58"/>
      <c r="I13" s="58"/>
      <c r="J13" s="58"/>
      <c r="K13" s="137"/>
      <c r="L13" s="56" t="s">
        <v>1878</v>
      </c>
      <c r="M13" s="292">
        <v>258</v>
      </c>
      <c r="T13" s="1757"/>
      <c r="U13" s="1749"/>
      <c r="V13" s="1007"/>
      <c r="W13" s="1181"/>
      <c r="X13" s="1182"/>
      <c r="Y13" s="1181"/>
      <c r="Z13" s="1183"/>
      <c r="AA13" s="1184"/>
      <c r="AC13" s="292">
        <v>249</v>
      </c>
      <c r="AD13" s="292" t="s">
        <v>4925</v>
      </c>
      <c r="AE13" s="358">
        <v>133534</v>
      </c>
      <c r="AF13" s="292">
        <v>137938</v>
      </c>
      <c r="AH13" s="614">
        <v>137938</v>
      </c>
      <c r="AI13" s="913">
        <v>4404</v>
      </c>
    </row>
    <row r="14" spans="1:35">
      <c r="A14" s="292">
        <v>258</v>
      </c>
      <c r="B14" s="66" t="s">
        <v>1879</v>
      </c>
      <c r="C14" s="66" t="s">
        <v>1030</v>
      </c>
      <c r="D14" s="54" t="s">
        <v>168</v>
      </c>
      <c r="E14" s="435" t="str">
        <f>IFERROR(VLOOKUP(D14,Mychart!$A$125:$B$811,2,FALSE),"-")</f>
        <v>UTS Carrier</v>
      </c>
      <c r="F14" s="676" t="s">
        <v>1236</v>
      </c>
      <c r="G14" s="58">
        <v>9</v>
      </c>
      <c r="H14" s="58">
        <v>8090</v>
      </c>
      <c r="I14" s="58"/>
      <c r="J14" s="58"/>
      <c r="K14" s="137"/>
      <c r="L14" s="56" t="s">
        <v>1878</v>
      </c>
      <c r="M14" s="292">
        <v>258</v>
      </c>
      <c r="T14" s="1755" t="s">
        <v>1259</v>
      </c>
      <c r="U14" s="1747" t="s">
        <v>1265</v>
      </c>
      <c r="V14" s="676" t="s">
        <v>825</v>
      </c>
      <c r="W14" s="1173">
        <v>1</v>
      </c>
      <c r="X14" s="1174">
        <v>1</v>
      </c>
      <c r="Y14" s="1173">
        <f t="shared" si="0"/>
        <v>0</v>
      </c>
      <c r="Z14" s="58"/>
      <c r="AA14" s="137"/>
      <c r="AC14" s="292">
        <v>257</v>
      </c>
      <c r="AD14" s="292"/>
      <c r="AE14" s="358"/>
      <c r="AF14" s="292"/>
      <c r="AH14" s="614"/>
      <c r="AI14" s="913">
        <v>0</v>
      </c>
    </row>
    <row r="15" spans="1:35">
      <c r="A15" s="292">
        <v>258</v>
      </c>
      <c r="B15" s="66" t="s">
        <v>1879</v>
      </c>
      <c r="C15" s="66" t="s">
        <v>1030</v>
      </c>
      <c r="D15" s="54" t="s">
        <v>168</v>
      </c>
      <c r="E15" s="435" t="str">
        <f>IFERROR(VLOOKUP(D15,Mychart!$A$125:$B$811,2,FALSE),"-")</f>
        <v>UTS Carrier</v>
      </c>
      <c r="F15" s="676"/>
      <c r="G15" s="58"/>
      <c r="H15" s="58"/>
      <c r="I15" s="58">
        <v>72810</v>
      </c>
      <c r="J15" s="58">
        <v>3640.5</v>
      </c>
      <c r="K15" s="137"/>
      <c r="L15" s="56" t="s">
        <v>1878</v>
      </c>
      <c r="M15" s="292">
        <v>258</v>
      </c>
      <c r="T15" s="1756"/>
      <c r="U15" s="1748"/>
      <c r="V15" s="676" t="s">
        <v>826</v>
      </c>
      <c r="W15" s="1173">
        <v>1</v>
      </c>
      <c r="X15" s="1174"/>
      <c r="Y15" s="1173">
        <f t="shared" si="0"/>
        <v>1</v>
      </c>
      <c r="Z15" s="58"/>
      <c r="AA15" s="137"/>
      <c r="AC15" s="292">
        <v>257</v>
      </c>
      <c r="AD15" s="292"/>
      <c r="AE15" s="358"/>
      <c r="AF15" s="292"/>
      <c r="AH15" s="614"/>
      <c r="AI15" s="913">
        <v>0</v>
      </c>
    </row>
    <row r="16" spans="1:35">
      <c r="A16" s="292">
        <v>225</v>
      </c>
      <c r="B16" s="66" t="s">
        <v>1167</v>
      </c>
      <c r="C16" s="60"/>
      <c r="D16" s="54" t="s">
        <v>168</v>
      </c>
      <c r="E16" s="435" t="str">
        <f>IFERROR(VLOOKUP(D16,Mychart!$A$125:$B$811,2,FALSE),"-")</f>
        <v>UTS Carrier</v>
      </c>
      <c r="F16" s="676" t="s">
        <v>825</v>
      </c>
      <c r="G16" s="58">
        <v>1</v>
      </c>
      <c r="H16" s="58"/>
      <c r="I16" s="58"/>
      <c r="J16" s="58"/>
      <c r="K16" s="137"/>
      <c r="L16" s="56" t="s">
        <v>155</v>
      </c>
      <c r="M16" s="292">
        <v>225</v>
      </c>
      <c r="T16" s="1756"/>
      <c r="U16" s="1748"/>
      <c r="V16" s="676" t="s">
        <v>236</v>
      </c>
      <c r="W16" s="1173">
        <v>5</v>
      </c>
      <c r="X16" s="1174">
        <v>5</v>
      </c>
      <c r="Y16" s="1173">
        <f t="shared" si="0"/>
        <v>0</v>
      </c>
      <c r="Z16" s="58"/>
      <c r="AA16" s="137"/>
      <c r="AC16" s="292">
        <v>257</v>
      </c>
      <c r="AD16" s="292"/>
      <c r="AE16" s="358"/>
      <c r="AF16" s="292"/>
      <c r="AH16" s="614"/>
      <c r="AI16" s="913">
        <v>0</v>
      </c>
    </row>
    <row r="17" spans="1:35">
      <c r="A17" s="292">
        <v>225</v>
      </c>
      <c r="B17" s="66" t="s">
        <v>1167</v>
      </c>
      <c r="C17" s="60"/>
      <c r="D17" s="54" t="s">
        <v>168</v>
      </c>
      <c r="E17" s="435" t="str">
        <f>IFERROR(VLOOKUP(D17,Mychart!$A$125:$B$811,2,FALSE),"-")</f>
        <v>UTS Carrier</v>
      </c>
      <c r="F17" s="676" t="s">
        <v>826</v>
      </c>
      <c r="G17" s="58">
        <v>1</v>
      </c>
      <c r="H17" s="58"/>
      <c r="I17" s="58"/>
      <c r="J17" s="58"/>
      <c r="K17" s="137"/>
      <c r="L17" s="56" t="s">
        <v>155</v>
      </c>
      <c r="M17" s="292">
        <v>225</v>
      </c>
      <c r="T17" s="1756"/>
      <c r="U17" s="1748"/>
      <c r="V17" s="676" t="s">
        <v>237</v>
      </c>
      <c r="W17" s="1173">
        <v>5</v>
      </c>
      <c r="X17" s="1174"/>
      <c r="Y17" s="1173">
        <f t="shared" si="0"/>
        <v>5</v>
      </c>
      <c r="Z17" s="58"/>
      <c r="AA17" s="137"/>
      <c r="AC17" s="292">
        <v>257</v>
      </c>
      <c r="AD17" s="292"/>
      <c r="AE17" s="358"/>
      <c r="AF17" s="292"/>
      <c r="AH17" s="614"/>
      <c r="AI17" s="913">
        <v>0</v>
      </c>
    </row>
    <row r="18" spans="1:35">
      <c r="A18" s="292">
        <v>225</v>
      </c>
      <c r="B18" s="66" t="s">
        <v>1167</v>
      </c>
      <c r="C18" s="60"/>
      <c r="D18" s="54" t="s">
        <v>168</v>
      </c>
      <c r="E18" s="435" t="str">
        <f>IFERROR(VLOOKUP(D18,Mychart!$A$125:$B$811,2,FALSE),"-")</f>
        <v>UTS Carrier</v>
      </c>
      <c r="F18" s="676" t="s">
        <v>1168</v>
      </c>
      <c r="G18" s="58">
        <v>4</v>
      </c>
      <c r="H18" s="58"/>
      <c r="I18" s="58"/>
      <c r="J18" s="58"/>
      <c r="K18" s="137"/>
      <c r="L18" s="56" t="s">
        <v>155</v>
      </c>
      <c r="M18" s="292">
        <v>225</v>
      </c>
      <c r="T18" s="1756"/>
      <c r="U18" s="1748"/>
      <c r="V18" s="676" t="s">
        <v>234</v>
      </c>
      <c r="W18" s="1173">
        <v>6</v>
      </c>
      <c r="X18" s="1174">
        <v>4</v>
      </c>
      <c r="Y18" s="1173">
        <f t="shared" si="0"/>
        <v>2</v>
      </c>
      <c r="Z18" s="58"/>
      <c r="AA18" s="137"/>
      <c r="AC18" s="292">
        <v>257</v>
      </c>
      <c r="AD18" s="292"/>
      <c r="AE18" s="358"/>
      <c r="AF18" s="292"/>
      <c r="AH18" s="614"/>
      <c r="AI18" s="913">
        <v>0</v>
      </c>
    </row>
    <row r="19" spans="1:35">
      <c r="A19" s="292">
        <v>225</v>
      </c>
      <c r="B19" s="66" t="s">
        <v>1167</v>
      </c>
      <c r="C19" s="60"/>
      <c r="D19" s="54" t="s">
        <v>168</v>
      </c>
      <c r="E19" s="435" t="str">
        <f>IFERROR(VLOOKUP(D19,Mychart!$A$125:$B$811,2,FALSE),"-")</f>
        <v>UTS Carrier</v>
      </c>
      <c r="F19" s="676" t="s">
        <v>828</v>
      </c>
      <c r="G19" s="58">
        <v>4</v>
      </c>
      <c r="H19" s="58"/>
      <c r="I19" s="58"/>
      <c r="J19" s="58"/>
      <c r="K19" s="137"/>
      <c r="L19" s="56" t="s">
        <v>155</v>
      </c>
      <c r="M19" s="292">
        <v>225</v>
      </c>
      <c r="T19" s="1756"/>
      <c r="U19" s="1748"/>
      <c r="V19" s="676" t="s">
        <v>235</v>
      </c>
      <c r="W19" s="1173">
        <v>6</v>
      </c>
      <c r="X19" s="1174"/>
      <c r="Y19" s="1173">
        <f t="shared" si="0"/>
        <v>6</v>
      </c>
      <c r="Z19" s="58"/>
      <c r="AA19" s="137"/>
      <c r="AC19" s="292">
        <v>257</v>
      </c>
      <c r="AD19" s="292"/>
      <c r="AE19" s="358"/>
      <c r="AF19" s="292"/>
      <c r="AH19" s="614"/>
      <c r="AI19" s="913">
        <v>0</v>
      </c>
    </row>
    <row r="20" spans="1:35">
      <c r="A20" s="292">
        <v>225</v>
      </c>
      <c r="B20" s="66" t="s">
        <v>1167</v>
      </c>
      <c r="C20" s="60"/>
      <c r="D20" s="54" t="s">
        <v>168</v>
      </c>
      <c r="E20" s="435" t="str">
        <f>IFERROR(VLOOKUP(D20,Mychart!$A$125:$B$811,2,FALSE),"-")</f>
        <v>UTS Carrier</v>
      </c>
      <c r="F20" s="676" t="s">
        <v>234</v>
      </c>
      <c r="G20" s="58">
        <v>3</v>
      </c>
      <c r="H20" s="58"/>
      <c r="I20" s="58"/>
      <c r="J20" s="58"/>
      <c r="K20" s="137"/>
      <c r="L20" s="56" t="s">
        <v>155</v>
      </c>
      <c r="M20" s="292">
        <v>225</v>
      </c>
      <c r="T20" s="1756"/>
      <c r="U20" s="1748"/>
      <c r="V20" s="676" t="s">
        <v>232</v>
      </c>
      <c r="W20" s="1173">
        <v>1</v>
      </c>
      <c r="X20" s="1174">
        <v>1</v>
      </c>
      <c r="Y20" s="1173">
        <f t="shared" si="0"/>
        <v>0</v>
      </c>
      <c r="Z20" s="58"/>
      <c r="AA20" s="137"/>
      <c r="AC20" s="292">
        <v>257</v>
      </c>
      <c r="AD20" s="292"/>
      <c r="AE20" s="358"/>
      <c r="AF20" s="292"/>
      <c r="AH20" s="614"/>
      <c r="AI20" s="913">
        <v>0</v>
      </c>
    </row>
    <row r="21" spans="1:35">
      <c r="A21" s="292">
        <v>225</v>
      </c>
      <c r="B21" s="66" t="s">
        <v>1167</v>
      </c>
      <c r="C21" s="60"/>
      <c r="D21" s="54" t="s">
        <v>168</v>
      </c>
      <c r="E21" s="435" t="str">
        <f>IFERROR(VLOOKUP(D21,Mychart!$A$125:$B$811,2,FALSE),"-")</f>
        <v>UTS Carrier</v>
      </c>
      <c r="F21" s="676" t="s">
        <v>235</v>
      </c>
      <c r="G21" s="58">
        <v>3</v>
      </c>
      <c r="H21" s="58"/>
      <c r="I21" s="58"/>
      <c r="J21" s="58"/>
      <c r="K21" s="137"/>
      <c r="L21" s="56" t="s">
        <v>155</v>
      </c>
      <c r="M21" s="292">
        <v>225</v>
      </c>
      <c r="T21" s="1756"/>
      <c r="U21" s="1748"/>
      <c r="V21" s="676" t="s">
        <v>233</v>
      </c>
      <c r="W21" s="1173">
        <v>1</v>
      </c>
      <c r="X21" s="1174"/>
      <c r="Y21" s="1173">
        <f t="shared" si="0"/>
        <v>1</v>
      </c>
      <c r="Z21" s="58"/>
      <c r="AA21" s="137"/>
      <c r="AC21" s="292">
        <v>257</v>
      </c>
      <c r="AD21" s="292"/>
      <c r="AE21" s="358"/>
      <c r="AF21" s="292"/>
      <c r="AH21" s="614"/>
      <c r="AI21" s="913">
        <v>0</v>
      </c>
    </row>
    <row r="22" spans="1:35">
      <c r="A22" s="292">
        <v>225</v>
      </c>
      <c r="B22" s="66" t="s">
        <v>1167</v>
      </c>
      <c r="C22" s="60"/>
      <c r="D22" s="54" t="s">
        <v>168</v>
      </c>
      <c r="E22" s="435" t="str">
        <f>IFERROR(VLOOKUP(D22,Mychart!$A$125:$B$811,2,FALSE),"-")</f>
        <v>UTS Carrier</v>
      </c>
      <c r="F22" s="676" t="s">
        <v>232</v>
      </c>
      <c r="G22" s="58">
        <v>4</v>
      </c>
      <c r="H22" s="58"/>
      <c r="I22" s="58"/>
      <c r="J22" s="58"/>
      <c r="K22" s="137"/>
      <c r="L22" s="56" t="s">
        <v>155</v>
      </c>
      <c r="M22" s="292">
        <v>225</v>
      </c>
      <c r="T22" s="1756"/>
      <c r="U22" s="1748"/>
      <c r="V22" s="676" t="s">
        <v>1099</v>
      </c>
      <c r="W22" s="1173">
        <v>3</v>
      </c>
      <c r="X22" s="1174"/>
      <c r="Y22" s="1173">
        <f t="shared" si="0"/>
        <v>3</v>
      </c>
      <c r="Z22" s="58"/>
      <c r="AA22" s="137"/>
      <c r="AC22" s="292">
        <v>257</v>
      </c>
      <c r="AD22" s="292"/>
      <c r="AE22" s="358"/>
      <c r="AF22" s="292"/>
      <c r="AH22" s="614"/>
      <c r="AI22" s="913">
        <v>0</v>
      </c>
    </row>
    <row r="23" spans="1:35">
      <c r="A23" s="292">
        <v>225</v>
      </c>
      <c r="B23" s="66" t="s">
        <v>1167</v>
      </c>
      <c r="C23" s="60"/>
      <c r="D23" s="54" t="s">
        <v>168</v>
      </c>
      <c r="E23" s="435" t="str">
        <f>IFERROR(VLOOKUP(D23,Mychart!$A$125:$B$811,2,FALSE),"-")</f>
        <v>UTS Carrier</v>
      </c>
      <c r="F23" s="676" t="s">
        <v>233</v>
      </c>
      <c r="G23" s="58">
        <v>4</v>
      </c>
      <c r="H23" s="58"/>
      <c r="I23" s="58"/>
      <c r="J23" s="58"/>
      <c r="K23" s="137"/>
      <c r="L23" s="56" t="s">
        <v>155</v>
      </c>
      <c r="M23" s="292">
        <v>225</v>
      </c>
      <c r="T23" s="1756"/>
      <c r="U23" s="1748"/>
      <c r="V23" s="676" t="s">
        <v>1100</v>
      </c>
      <c r="W23" s="1173">
        <v>3</v>
      </c>
      <c r="X23" s="1174"/>
      <c r="Y23" s="1173">
        <f t="shared" si="0"/>
        <v>3</v>
      </c>
      <c r="Z23" s="58"/>
      <c r="AA23" s="137"/>
      <c r="AC23" s="292">
        <v>257</v>
      </c>
      <c r="AD23" s="292"/>
      <c r="AE23" s="358"/>
      <c r="AF23" s="292"/>
      <c r="AH23" s="614"/>
      <c r="AI23" s="913">
        <v>0</v>
      </c>
    </row>
    <row r="24" spans="1:35">
      <c r="A24" s="292">
        <v>225</v>
      </c>
      <c r="B24" s="66" t="s">
        <v>1167</v>
      </c>
      <c r="C24" s="60"/>
      <c r="D24" s="54" t="s">
        <v>168</v>
      </c>
      <c r="E24" s="435" t="str">
        <f>IFERROR(VLOOKUP(D24,Mychart!$A$125:$B$811,2,FALSE),"-")</f>
        <v>UTS Carrier</v>
      </c>
      <c r="F24" s="676" t="s">
        <v>1169</v>
      </c>
      <c r="G24" s="58">
        <v>1</v>
      </c>
      <c r="H24" s="58"/>
      <c r="I24" s="58"/>
      <c r="J24" s="58"/>
      <c r="K24" s="137"/>
      <c r="L24" s="56" t="s">
        <v>155</v>
      </c>
      <c r="M24" s="292">
        <v>225</v>
      </c>
      <c r="T24" s="1756"/>
      <c r="U24" s="1748"/>
      <c r="V24" s="676" t="s">
        <v>834</v>
      </c>
      <c r="W24" s="1173">
        <v>1</v>
      </c>
      <c r="X24" s="1174">
        <v>1</v>
      </c>
      <c r="Y24" s="1173">
        <f t="shared" si="0"/>
        <v>0</v>
      </c>
      <c r="Z24" s="58"/>
      <c r="AA24" s="137"/>
      <c r="AC24" s="292">
        <v>257</v>
      </c>
      <c r="AD24" s="292"/>
      <c r="AE24" s="358"/>
      <c r="AF24" s="292"/>
      <c r="AH24" s="614"/>
      <c r="AI24" s="913">
        <v>0</v>
      </c>
    </row>
    <row r="25" spans="1:35">
      <c r="A25" s="292">
        <v>225</v>
      </c>
      <c r="B25" s="66" t="s">
        <v>1167</v>
      </c>
      <c r="C25" s="60"/>
      <c r="D25" s="54" t="s">
        <v>168</v>
      </c>
      <c r="E25" s="435" t="str">
        <f>IFERROR(VLOOKUP(D25,Mychart!$A$125:$B$811,2,FALSE),"-")</f>
        <v>UTS Carrier</v>
      </c>
      <c r="F25" s="676" t="s">
        <v>1170</v>
      </c>
      <c r="G25" s="58">
        <v>1</v>
      </c>
      <c r="H25" s="58"/>
      <c r="I25" s="58"/>
      <c r="J25" s="58"/>
      <c r="K25" s="137"/>
      <c r="L25" s="56" t="s">
        <v>155</v>
      </c>
      <c r="M25" s="292">
        <v>225</v>
      </c>
      <c r="T25" s="1756"/>
      <c r="U25" s="1748"/>
      <c r="V25" s="676" t="s">
        <v>835</v>
      </c>
      <c r="W25" s="1173">
        <v>1</v>
      </c>
      <c r="X25" s="1174">
        <v>1</v>
      </c>
      <c r="Y25" s="1173">
        <f t="shared" si="0"/>
        <v>0</v>
      </c>
      <c r="Z25" s="58"/>
      <c r="AA25" s="137"/>
      <c r="AC25" s="292">
        <v>257</v>
      </c>
      <c r="AD25" s="292"/>
      <c r="AE25" s="358"/>
      <c r="AF25" s="292"/>
      <c r="AH25" s="614"/>
      <c r="AI25" s="913">
        <v>0</v>
      </c>
    </row>
    <row r="26" spans="1:35">
      <c r="A26" s="292">
        <v>225</v>
      </c>
      <c r="B26" s="66" t="s">
        <v>1167</v>
      </c>
      <c r="C26" s="60"/>
      <c r="D26" s="54" t="s">
        <v>168</v>
      </c>
      <c r="E26" s="435" t="str">
        <f>IFERROR(VLOOKUP(D26,Mychart!$A$125:$B$811,2,FALSE),"-")</f>
        <v>UTS Carrier</v>
      </c>
      <c r="F26" s="676"/>
      <c r="G26" s="58"/>
      <c r="H26" s="58"/>
      <c r="I26" s="58">
        <v>85465</v>
      </c>
      <c r="J26" s="58">
        <v>4273.25</v>
      </c>
      <c r="K26" s="137"/>
      <c r="L26" s="56" t="s">
        <v>155</v>
      </c>
      <c r="M26" s="292">
        <v>225</v>
      </c>
      <c r="T26" s="1756"/>
      <c r="U26" s="1748"/>
      <c r="V26" s="676" t="s">
        <v>1236</v>
      </c>
      <c r="W26" s="1173">
        <v>13</v>
      </c>
      <c r="X26" s="1174"/>
      <c r="Y26" s="1173"/>
      <c r="Z26" s="58"/>
      <c r="AA26" s="137"/>
      <c r="AC26" s="292">
        <v>257</v>
      </c>
      <c r="AD26" s="292"/>
      <c r="AE26" s="358"/>
      <c r="AF26" s="292"/>
      <c r="AH26" s="614"/>
      <c r="AI26" s="913">
        <v>0</v>
      </c>
    </row>
    <row r="27" spans="1:35">
      <c r="A27" s="292">
        <v>227</v>
      </c>
      <c r="B27" s="66" t="s">
        <v>1171</v>
      </c>
      <c r="C27" s="60"/>
      <c r="D27" s="54" t="s">
        <v>168</v>
      </c>
      <c r="E27" s="435" t="str">
        <f>IFERROR(VLOOKUP(D27,Mychart!$A$125:$B$811,2,FALSE),"-")</f>
        <v>UTS Carrier</v>
      </c>
      <c r="F27" s="676" t="s">
        <v>1172</v>
      </c>
      <c r="G27" s="58">
        <v>2</v>
      </c>
      <c r="H27" s="58"/>
      <c r="I27" s="58"/>
      <c r="J27" s="58"/>
      <c r="K27" s="137"/>
      <c r="L27" s="56" t="s">
        <v>1173</v>
      </c>
      <c r="M27" s="292">
        <v>227</v>
      </c>
      <c r="T27" s="1757"/>
      <c r="U27" s="1749"/>
      <c r="V27" s="1007"/>
      <c r="W27" s="1181"/>
      <c r="X27" s="1182"/>
      <c r="Y27" s="1181"/>
      <c r="Z27" s="1183"/>
      <c r="AA27" s="1184"/>
      <c r="AC27" s="292">
        <v>257</v>
      </c>
      <c r="AD27" s="292" t="s">
        <v>4866</v>
      </c>
      <c r="AE27" s="358">
        <v>83039.5</v>
      </c>
      <c r="AF27" s="292">
        <v>97744.5</v>
      </c>
      <c r="AH27" s="614">
        <v>97744.5</v>
      </c>
      <c r="AI27" s="913">
        <v>14705</v>
      </c>
    </row>
    <row r="28" spans="1:35">
      <c r="A28" s="292">
        <v>227</v>
      </c>
      <c r="B28" s="66" t="s">
        <v>1171</v>
      </c>
      <c r="C28" s="60"/>
      <c r="D28" s="54" t="s">
        <v>168</v>
      </c>
      <c r="E28" s="435" t="str">
        <f>IFERROR(VLOOKUP(D28,Mychart!$A$125:$B$811,2,FALSE),"-")</f>
        <v>UTS Carrier</v>
      </c>
      <c r="F28" s="676" t="s">
        <v>1174</v>
      </c>
      <c r="G28" s="58">
        <v>2</v>
      </c>
      <c r="H28" s="58"/>
      <c r="I28" s="58"/>
      <c r="J28" s="58"/>
      <c r="K28" s="137"/>
      <c r="L28" s="56" t="s">
        <v>1173</v>
      </c>
      <c r="M28" s="292">
        <v>227</v>
      </c>
      <c r="T28" s="1750" t="s">
        <v>1098</v>
      </c>
      <c r="U28" s="1747" t="s">
        <v>983</v>
      </c>
      <c r="V28" s="676" t="s">
        <v>236</v>
      </c>
      <c r="W28" s="1173">
        <v>2</v>
      </c>
      <c r="X28" s="1174">
        <v>2</v>
      </c>
      <c r="Y28" s="1173">
        <f t="shared" ref="Y28:Y35" si="1">W28-X28</f>
        <v>0</v>
      </c>
      <c r="Z28" s="58"/>
      <c r="AA28" s="56"/>
      <c r="AC28" s="292">
        <v>279</v>
      </c>
      <c r="AD28" s="292"/>
      <c r="AE28" s="358"/>
      <c r="AF28" s="292"/>
      <c r="AH28" s="614">
        <v>0</v>
      </c>
      <c r="AI28" s="913">
        <v>0</v>
      </c>
    </row>
    <row r="29" spans="1:35">
      <c r="A29" s="292">
        <v>227</v>
      </c>
      <c r="B29" s="66" t="s">
        <v>1171</v>
      </c>
      <c r="C29" s="60"/>
      <c r="D29" s="54" t="s">
        <v>168</v>
      </c>
      <c r="E29" s="435" t="str">
        <f>IFERROR(VLOOKUP(D29,Mychart!$A$125:$B$811,2,FALSE),"-")</f>
        <v>UTS Carrier</v>
      </c>
      <c r="F29" s="676" t="s">
        <v>1175</v>
      </c>
      <c r="G29" s="58">
        <v>1</v>
      </c>
      <c r="H29" s="58"/>
      <c r="I29" s="58"/>
      <c r="J29" s="58"/>
      <c r="K29" s="137"/>
      <c r="L29" s="56" t="s">
        <v>1173</v>
      </c>
      <c r="M29" s="292">
        <v>227</v>
      </c>
      <c r="T29" s="1751"/>
      <c r="U29" s="1748"/>
      <c r="V29" s="676" t="s">
        <v>237</v>
      </c>
      <c r="W29" s="1173">
        <v>2</v>
      </c>
      <c r="X29" s="1174">
        <v>2</v>
      </c>
      <c r="Y29" s="1173">
        <f t="shared" si="1"/>
        <v>0</v>
      </c>
      <c r="Z29" s="58"/>
      <c r="AA29" s="56"/>
      <c r="AC29" s="292">
        <v>279</v>
      </c>
      <c r="AD29" s="292"/>
      <c r="AE29" s="358"/>
      <c r="AF29" s="292"/>
      <c r="AH29" s="614">
        <v>0</v>
      </c>
      <c r="AI29" s="913">
        <v>0</v>
      </c>
    </row>
    <row r="30" spans="1:35">
      <c r="A30" s="292">
        <v>227</v>
      </c>
      <c r="B30" s="66" t="s">
        <v>1171</v>
      </c>
      <c r="C30" s="60"/>
      <c r="D30" s="54" t="s">
        <v>168</v>
      </c>
      <c r="E30" s="435" t="str">
        <f>IFERROR(VLOOKUP(D30,Mychart!$A$125:$B$811,2,FALSE),"-")</f>
        <v>UTS Carrier</v>
      </c>
      <c r="F30" s="676" t="s">
        <v>1176</v>
      </c>
      <c r="G30" s="58">
        <v>1</v>
      </c>
      <c r="H30" s="58"/>
      <c r="I30" s="58"/>
      <c r="J30" s="58"/>
      <c r="K30" s="137"/>
      <c r="L30" s="56" t="s">
        <v>1173</v>
      </c>
      <c r="M30" s="292">
        <v>227</v>
      </c>
      <c r="T30" s="1751"/>
      <c r="U30" s="1748"/>
      <c r="V30" s="676" t="s">
        <v>827</v>
      </c>
      <c r="W30" s="1173">
        <v>1</v>
      </c>
      <c r="X30" s="1174">
        <v>1</v>
      </c>
      <c r="Y30" s="1173">
        <f t="shared" si="1"/>
        <v>0</v>
      </c>
      <c r="Z30" s="58"/>
      <c r="AA30" s="56"/>
      <c r="AC30" s="292">
        <v>279</v>
      </c>
      <c r="AD30" s="292"/>
      <c r="AE30" s="358"/>
      <c r="AF30" s="292"/>
      <c r="AH30" s="614">
        <v>0</v>
      </c>
      <c r="AI30" s="913">
        <v>0</v>
      </c>
    </row>
    <row r="31" spans="1:35">
      <c r="A31" s="292">
        <v>227</v>
      </c>
      <c r="B31" s="66" t="s">
        <v>1171</v>
      </c>
      <c r="C31" s="60"/>
      <c r="D31" s="54" t="s">
        <v>168</v>
      </c>
      <c r="E31" s="435" t="str">
        <f>IFERROR(VLOOKUP(D31,Mychart!$A$125:$B$811,2,FALSE),"-")</f>
        <v>UTS Carrier</v>
      </c>
      <c r="F31" s="676" t="s">
        <v>1177</v>
      </c>
      <c r="G31" s="58">
        <v>1</v>
      </c>
      <c r="H31" s="58"/>
      <c r="I31" s="58"/>
      <c r="J31" s="58"/>
      <c r="K31" s="137"/>
      <c r="L31" s="56" t="s">
        <v>1173</v>
      </c>
      <c r="M31" s="292">
        <v>227</v>
      </c>
      <c r="T31" s="1751"/>
      <c r="U31" s="1748"/>
      <c r="V31" s="676" t="s">
        <v>828</v>
      </c>
      <c r="W31" s="1173">
        <v>1</v>
      </c>
      <c r="X31" s="1174">
        <v>1</v>
      </c>
      <c r="Y31" s="1173">
        <f t="shared" si="1"/>
        <v>0</v>
      </c>
      <c r="Z31" s="58"/>
      <c r="AA31" s="56"/>
      <c r="AC31" s="292">
        <v>279</v>
      </c>
      <c r="AD31" s="292"/>
      <c r="AE31" s="358"/>
      <c r="AF31" s="292"/>
      <c r="AH31" s="614">
        <v>0</v>
      </c>
      <c r="AI31" s="913">
        <v>0</v>
      </c>
    </row>
    <row r="32" spans="1:35">
      <c r="A32" s="292">
        <v>227</v>
      </c>
      <c r="B32" s="66" t="s">
        <v>1171</v>
      </c>
      <c r="C32" s="60"/>
      <c r="D32" s="54" t="s">
        <v>168</v>
      </c>
      <c r="E32" s="435" t="str">
        <f>IFERROR(VLOOKUP(D32,Mychart!$A$125:$B$811,2,FALSE),"-")</f>
        <v>UTS Carrier</v>
      </c>
      <c r="F32" s="676" t="s">
        <v>1178</v>
      </c>
      <c r="G32" s="58">
        <v>1</v>
      </c>
      <c r="H32" s="58"/>
      <c r="I32" s="58"/>
      <c r="J32" s="58"/>
      <c r="K32" s="137"/>
      <c r="L32" s="56" t="s">
        <v>1173</v>
      </c>
      <c r="M32" s="292">
        <v>227</v>
      </c>
      <c r="T32" s="1751"/>
      <c r="U32" s="1748"/>
      <c r="V32" s="676" t="s">
        <v>234</v>
      </c>
      <c r="W32" s="1173">
        <v>4</v>
      </c>
      <c r="X32" s="1174"/>
      <c r="Y32" s="1173">
        <f t="shared" si="1"/>
        <v>4</v>
      </c>
      <c r="Z32" s="58"/>
      <c r="AA32" s="56"/>
      <c r="AC32" s="292">
        <v>279</v>
      </c>
      <c r="AD32" s="292"/>
      <c r="AE32" s="358"/>
      <c r="AF32" s="292"/>
      <c r="AH32" s="614">
        <v>0</v>
      </c>
      <c r="AI32" s="913">
        <v>0</v>
      </c>
    </row>
    <row r="33" spans="1:35">
      <c r="A33" s="292">
        <v>227</v>
      </c>
      <c r="B33" s="66" t="s">
        <v>1171</v>
      </c>
      <c r="C33" s="60"/>
      <c r="D33" s="54" t="s">
        <v>168</v>
      </c>
      <c r="E33" s="435" t="str">
        <f>IFERROR(VLOOKUP(D33,Mychart!$A$125:$B$811,2,FALSE),"-")</f>
        <v>UTS Carrier</v>
      </c>
      <c r="F33" s="676" t="s">
        <v>1179</v>
      </c>
      <c r="G33" s="58">
        <v>5</v>
      </c>
      <c r="H33" s="58"/>
      <c r="I33" s="58"/>
      <c r="J33" s="58"/>
      <c r="K33" s="137"/>
      <c r="L33" s="56" t="s">
        <v>1173</v>
      </c>
      <c r="M33" s="292">
        <v>227</v>
      </c>
      <c r="T33" s="1751"/>
      <c r="U33" s="1748"/>
      <c r="V33" s="676" t="s">
        <v>235</v>
      </c>
      <c r="W33" s="1173">
        <v>4</v>
      </c>
      <c r="X33" s="1174">
        <v>4</v>
      </c>
      <c r="Y33" s="1173">
        <f t="shared" si="1"/>
        <v>0</v>
      </c>
      <c r="Z33" s="58"/>
      <c r="AA33" s="56"/>
      <c r="AC33" s="292">
        <v>279</v>
      </c>
      <c r="AD33" s="292"/>
      <c r="AE33" s="358"/>
      <c r="AF33" s="292"/>
      <c r="AH33" s="614">
        <v>0</v>
      </c>
      <c r="AI33" s="913">
        <v>0</v>
      </c>
    </row>
    <row r="34" spans="1:35">
      <c r="A34" s="292">
        <v>227</v>
      </c>
      <c r="B34" s="66" t="s">
        <v>1171</v>
      </c>
      <c r="C34" s="60"/>
      <c r="D34" s="54" t="s">
        <v>168</v>
      </c>
      <c r="E34" s="435" t="str">
        <f>IFERROR(VLOOKUP(D34,Mychart!$A$125:$B$811,2,FALSE),"-")</f>
        <v>UTS Carrier</v>
      </c>
      <c r="F34" s="676" t="s">
        <v>1180</v>
      </c>
      <c r="G34" s="58">
        <v>5</v>
      </c>
      <c r="H34" s="58"/>
      <c r="I34" s="58"/>
      <c r="J34" s="58"/>
      <c r="K34" s="137"/>
      <c r="L34" s="56" t="s">
        <v>1173</v>
      </c>
      <c r="M34" s="292">
        <v>227</v>
      </c>
      <c r="T34" s="1751"/>
      <c r="U34" s="1748"/>
      <c r="V34" s="676" t="s">
        <v>1099</v>
      </c>
      <c r="W34" s="1173">
        <v>1</v>
      </c>
      <c r="X34" s="1174">
        <v>1</v>
      </c>
      <c r="Y34" s="1173">
        <f t="shared" si="1"/>
        <v>0</v>
      </c>
      <c r="Z34" s="58"/>
      <c r="AA34" s="56"/>
      <c r="AC34" s="292">
        <v>279</v>
      </c>
      <c r="AD34" s="292"/>
      <c r="AE34" s="358"/>
      <c r="AF34" s="292"/>
      <c r="AH34" s="614">
        <v>0</v>
      </c>
      <c r="AI34" s="913">
        <v>0</v>
      </c>
    </row>
    <row r="35" spans="1:35">
      <c r="A35" s="292">
        <v>227</v>
      </c>
      <c r="B35" s="66" t="s">
        <v>1171</v>
      </c>
      <c r="C35" s="60"/>
      <c r="D35" s="54" t="s">
        <v>168</v>
      </c>
      <c r="E35" s="435" t="str">
        <f>IFERROR(VLOOKUP(D35,Mychart!$A$125:$B$811,2,FALSE),"-")</f>
        <v>UTS Carrier</v>
      </c>
      <c r="F35" s="676" t="s">
        <v>1181</v>
      </c>
      <c r="G35" s="58">
        <v>2</v>
      </c>
      <c r="H35" s="58"/>
      <c r="I35" s="58"/>
      <c r="J35" s="58"/>
      <c r="K35" s="137"/>
      <c r="L35" s="56" t="s">
        <v>1173</v>
      </c>
      <c r="M35" s="292">
        <v>227</v>
      </c>
      <c r="T35" s="1751"/>
      <c r="U35" s="1748"/>
      <c r="V35" s="676" t="s">
        <v>1100</v>
      </c>
      <c r="W35" s="1173">
        <v>1</v>
      </c>
      <c r="X35" s="1174">
        <v>1</v>
      </c>
      <c r="Y35" s="1173">
        <f t="shared" si="1"/>
        <v>0</v>
      </c>
      <c r="Z35" s="58"/>
      <c r="AA35" s="56"/>
      <c r="AC35" s="292">
        <v>279</v>
      </c>
      <c r="AD35" s="292"/>
      <c r="AE35" s="358"/>
      <c r="AF35" s="292"/>
      <c r="AH35" s="614">
        <v>0</v>
      </c>
      <c r="AI35" s="913">
        <v>0</v>
      </c>
    </row>
    <row r="36" spans="1:35">
      <c r="A36" s="292">
        <v>227</v>
      </c>
      <c r="B36" s="66" t="s">
        <v>1171</v>
      </c>
      <c r="C36" s="60"/>
      <c r="D36" s="54" t="s">
        <v>168</v>
      </c>
      <c r="E36" s="435" t="str">
        <f>IFERROR(VLOOKUP(D36,Mychart!$A$125:$B$811,2,FALSE),"-")</f>
        <v>UTS Carrier</v>
      </c>
      <c r="F36" s="676" t="s">
        <v>1182</v>
      </c>
      <c r="G36" s="58">
        <v>2</v>
      </c>
      <c r="H36" s="58"/>
      <c r="I36" s="58"/>
      <c r="J36" s="58"/>
      <c r="K36" s="137"/>
      <c r="L36" s="56" t="s">
        <v>1173</v>
      </c>
      <c r="M36" s="292">
        <v>227</v>
      </c>
      <c r="T36" s="1752"/>
      <c r="U36" s="1749"/>
      <c r="V36" s="1007"/>
      <c r="W36" s="1181"/>
      <c r="X36" s="1182"/>
      <c r="Y36" s="1181"/>
      <c r="Z36" s="1183"/>
      <c r="AA36" s="1184"/>
      <c r="AC36" s="292">
        <v>279</v>
      </c>
      <c r="AD36" s="292" t="s">
        <v>1838</v>
      </c>
      <c r="AE36" s="358">
        <v>30875.200000000001</v>
      </c>
      <c r="AF36" s="292">
        <v>51120</v>
      </c>
      <c r="AH36" s="614">
        <v>51119.25</v>
      </c>
      <c r="AI36" s="913">
        <v>20244.8</v>
      </c>
    </row>
    <row r="37" spans="1:35">
      <c r="A37" s="292">
        <v>227</v>
      </c>
      <c r="B37" s="66" t="s">
        <v>1171</v>
      </c>
      <c r="C37" s="60"/>
      <c r="D37" s="54" t="s">
        <v>168</v>
      </c>
      <c r="E37" s="435" t="str">
        <f>IFERROR(VLOOKUP(D37,Mychart!$A$125:$B$811,2,FALSE),"-")</f>
        <v>UTS Carrier</v>
      </c>
      <c r="F37" s="676" t="s">
        <v>1183</v>
      </c>
      <c r="G37" s="58">
        <v>8</v>
      </c>
      <c r="H37" s="58"/>
      <c r="I37" s="58"/>
      <c r="J37" s="58"/>
      <c r="K37" s="137"/>
      <c r="L37" s="56" t="s">
        <v>1173</v>
      </c>
      <c r="M37" s="292">
        <v>227</v>
      </c>
    </row>
    <row r="38" spans="1:35">
      <c r="A38" s="292">
        <v>227</v>
      </c>
      <c r="B38" s="66" t="s">
        <v>1171</v>
      </c>
      <c r="C38" s="60"/>
      <c r="D38" s="54" t="s">
        <v>168</v>
      </c>
      <c r="E38" s="435" t="str">
        <f>IFERROR(VLOOKUP(D38,Mychart!$A$125:$B$811,2,FALSE),"-")</f>
        <v>UTS Carrier</v>
      </c>
      <c r="F38" s="676" t="s">
        <v>1184</v>
      </c>
      <c r="G38" s="58">
        <v>8</v>
      </c>
      <c r="H38" s="58"/>
      <c r="I38" s="58"/>
      <c r="J38" s="58"/>
      <c r="K38" s="137"/>
      <c r="L38" s="56" t="s">
        <v>1173</v>
      </c>
      <c r="M38" s="292">
        <v>227</v>
      </c>
    </row>
    <row r="39" spans="1:35">
      <c r="A39" s="292">
        <v>227</v>
      </c>
      <c r="B39" s="66" t="s">
        <v>1171</v>
      </c>
      <c r="C39" s="60"/>
      <c r="D39" s="54" t="s">
        <v>168</v>
      </c>
      <c r="E39" s="435" t="str">
        <f>IFERROR(VLOOKUP(D39,Mychart!$A$125:$B$811,2,FALSE),"-")</f>
        <v>UTS Carrier</v>
      </c>
      <c r="F39" s="676" t="s">
        <v>1185</v>
      </c>
      <c r="G39" s="58">
        <v>3</v>
      </c>
      <c r="H39" s="58"/>
      <c r="I39" s="58"/>
      <c r="J39" s="58"/>
      <c r="K39" s="137"/>
      <c r="L39" s="56" t="s">
        <v>1173</v>
      </c>
      <c r="M39" s="292">
        <v>227</v>
      </c>
    </row>
    <row r="40" spans="1:35">
      <c r="A40" s="292">
        <v>227</v>
      </c>
      <c r="B40" s="66" t="s">
        <v>1171</v>
      </c>
      <c r="C40" s="60"/>
      <c r="D40" s="54" t="s">
        <v>168</v>
      </c>
      <c r="E40" s="435" t="str">
        <f>IFERROR(VLOOKUP(D40,Mychart!$A$125:$B$811,2,FALSE),"-")</f>
        <v>UTS Carrier</v>
      </c>
      <c r="F40" s="676" t="s">
        <v>233</v>
      </c>
      <c r="G40" s="58">
        <v>3</v>
      </c>
      <c r="H40" s="58"/>
      <c r="I40" s="58"/>
      <c r="J40" s="58"/>
      <c r="K40" s="137"/>
      <c r="L40" s="56" t="s">
        <v>1173</v>
      </c>
      <c r="M40" s="292">
        <v>227</v>
      </c>
    </row>
    <row r="41" spans="1:35">
      <c r="A41" s="292">
        <v>227</v>
      </c>
      <c r="B41" s="66" t="s">
        <v>1171</v>
      </c>
      <c r="C41" s="60"/>
      <c r="D41" s="54" t="s">
        <v>168</v>
      </c>
      <c r="E41" s="435" t="str">
        <f>IFERROR(VLOOKUP(D41,Mychart!$A$125:$B$811,2,FALSE),"-")</f>
        <v>UTS Carrier</v>
      </c>
      <c r="F41" s="676" t="s">
        <v>1169</v>
      </c>
      <c r="G41" s="58">
        <v>1</v>
      </c>
      <c r="H41" s="58"/>
      <c r="I41" s="58"/>
      <c r="J41" s="58"/>
      <c r="K41" s="137"/>
      <c r="L41" s="56" t="s">
        <v>1173</v>
      </c>
      <c r="M41" s="292">
        <v>227</v>
      </c>
    </row>
    <row r="42" spans="1:35">
      <c r="A42" s="292">
        <v>227</v>
      </c>
      <c r="B42" s="66" t="s">
        <v>1171</v>
      </c>
      <c r="C42" s="60"/>
      <c r="D42" s="54" t="s">
        <v>168</v>
      </c>
      <c r="E42" s="435" t="str">
        <f>IFERROR(VLOOKUP(D42,Mychart!$A$125:$B$811,2,FALSE),"-")</f>
        <v>UTS Carrier</v>
      </c>
      <c r="F42" s="676" t="s">
        <v>1170</v>
      </c>
      <c r="G42" s="58">
        <v>1</v>
      </c>
      <c r="H42" s="58"/>
      <c r="I42" s="58"/>
      <c r="J42" s="58"/>
      <c r="K42" s="137"/>
      <c r="L42" s="56" t="s">
        <v>1173</v>
      </c>
      <c r="M42" s="292">
        <v>227</v>
      </c>
    </row>
    <row r="43" spans="1:35">
      <c r="A43" s="292">
        <v>227</v>
      </c>
      <c r="B43" s="66" t="s">
        <v>1171</v>
      </c>
      <c r="C43" s="60"/>
      <c r="D43" s="54" t="s">
        <v>168</v>
      </c>
      <c r="E43" s="435" t="str">
        <f>IFERROR(VLOOKUP(D43,Mychart!$A$125:$B$811,2,FALSE),"-")</f>
        <v>UTS Carrier</v>
      </c>
      <c r="F43" s="676" t="s">
        <v>832</v>
      </c>
      <c r="G43" s="58">
        <v>6</v>
      </c>
      <c r="H43" s="58"/>
      <c r="I43" s="58"/>
      <c r="J43" s="58"/>
      <c r="K43" s="137"/>
      <c r="L43" s="56" t="s">
        <v>1173</v>
      </c>
      <c r="M43" s="292">
        <v>227</v>
      </c>
    </row>
    <row r="44" spans="1:35">
      <c r="A44" s="292">
        <v>227</v>
      </c>
      <c r="B44" s="66" t="s">
        <v>1171</v>
      </c>
      <c r="C44" s="60"/>
      <c r="D44" s="54" t="s">
        <v>168</v>
      </c>
      <c r="E44" s="435" t="str">
        <f>IFERROR(VLOOKUP(D44,Mychart!$A$125:$B$811,2,FALSE),"-")</f>
        <v>UTS Carrier</v>
      </c>
      <c r="F44" s="676" t="s">
        <v>833</v>
      </c>
      <c r="G44" s="58">
        <v>6</v>
      </c>
      <c r="H44" s="58"/>
      <c r="I44" s="58"/>
      <c r="J44" s="58"/>
      <c r="K44" s="137"/>
      <c r="L44" s="56" t="s">
        <v>1173</v>
      </c>
      <c r="M44" s="292">
        <v>227</v>
      </c>
    </row>
    <row r="45" spans="1:35">
      <c r="A45" s="292">
        <v>227</v>
      </c>
      <c r="B45" s="66" t="s">
        <v>1171</v>
      </c>
      <c r="C45" s="60"/>
      <c r="D45" s="54" t="s">
        <v>168</v>
      </c>
      <c r="E45" s="435" t="str">
        <f>IFERROR(VLOOKUP(D45,Mychart!$A$125:$B$811,2,FALSE),"-")</f>
        <v>UTS Carrier</v>
      </c>
      <c r="F45" s="676"/>
      <c r="G45" s="58"/>
      <c r="H45" s="58"/>
      <c r="I45" s="58">
        <v>154275</v>
      </c>
      <c r="J45" s="58">
        <v>7713</v>
      </c>
      <c r="K45" s="137"/>
      <c r="L45" s="56" t="s">
        <v>1173</v>
      </c>
      <c r="M45" s="292">
        <v>227</v>
      </c>
    </row>
    <row r="46" spans="1:35">
      <c r="A46" s="292">
        <v>216</v>
      </c>
      <c r="B46" s="66" t="s">
        <v>1186</v>
      </c>
      <c r="C46" s="60"/>
      <c r="D46" s="54" t="s">
        <v>168</v>
      </c>
      <c r="E46" s="435" t="str">
        <f>IFERROR(VLOOKUP(D46,Mychart!$A$125:$B$811,2,FALSE),"-")</f>
        <v>UTS Carrier</v>
      </c>
      <c r="F46" s="676" t="s">
        <v>236</v>
      </c>
      <c r="G46" s="58">
        <v>4</v>
      </c>
      <c r="H46" s="58"/>
      <c r="I46" s="58"/>
      <c r="J46" s="58"/>
      <c r="K46" s="137"/>
      <c r="L46" s="56" t="s">
        <v>1187</v>
      </c>
      <c r="M46" s="292">
        <v>216</v>
      </c>
    </row>
    <row r="47" spans="1:35">
      <c r="A47" s="292">
        <v>216</v>
      </c>
      <c r="B47" s="66" t="s">
        <v>1186</v>
      </c>
      <c r="C47" s="60"/>
      <c r="D47" s="54" t="s">
        <v>168</v>
      </c>
      <c r="E47" s="435" t="str">
        <f>IFERROR(VLOOKUP(D47,Mychart!$A$125:$B$811,2,FALSE),"-")</f>
        <v>UTS Carrier</v>
      </c>
      <c r="F47" s="676" t="s">
        <v>237</v>
      </c>
      <c r="G47" s="58">
        <v>4</v>
      </c>
      <c r="H47" s="58"/>
      <c r="I47" s="58"/>
      <c r="J47" s="58"/>
      <c r="K47" s="137"/>
      <c r="L47" s="56" t="s">
        <v>1187</v>
      </c>
      <c r="M47" s="292">
        <v>216</v>
      </c>
    </row>
    <row r="48" spans="1:35">
      <c r="A48" s="292">
        <v>216</v>
      </c>
      <c r="B48" s="66" t="s">
        <v>1186</v>
      </c>
      <c r="C48" s="60"/>
      <c r="D48" s="54" t="s">
        <v>168</v>
      </c>
      <c r="E48" s="435" t="str">
        <f>IFERROR(VLOOKUP(D48,Mychart!$A$125:$B$811,2,FALSE),"-")</f>
        <v>UTS Carrier</v>
      </c>
      <c r="F48" s="676" t="s">
        <v>238</v>
      </c>
      <c r="G48" s="58">
        <v>1</v>
      </c>
      <c r="H48" s="58"/>
      <c r="I48" s="58"/>
      <c r="J48" s="58"/>
      <c r="K48" s="137"/>
      <c r="L48" s="56" t="s">
        <v>1187</v>
      </c>
      <c r="M48" s="292">
        <v>216</v>
      </c>
    </row>
    <row r="49" spans="1:13">
      <c r="A49" s="292">
        <v>216</v>
      </c>
      <c r="B49" s="66" t="s">
        <v>1186</v>
      </c>
      <c r="C49" s="60"/>
      <c r="D49" s="54" t="s">
        <v>168</v>
      </c>
      <c r="E49" s="435" t="str">
        <f>IFERROR(VLOOKUP(D49,Mychart!$A$125:$B$811,2,FALSE),"-")</f>
        <v>UTS Carrier</v>
      </c>
      <c r="F49" s="676" t="s">
        <v>239</v>
      </c>
      <c r="G49" s="58">
        <v>1</v>
      </c>
      <c r="H49" s="58"/>
      <c r="I49" s="58"/>
      <c r="J49" s="58"/>
      <c r="K49" s="137"/>
      <c r="L49" s="56" t="s">
        <v>1187</v>
      </c>
      <c r="M49" s="292">
        <v>216</v>
      </c>
    </row>
    <row r="50" spans="1:13">
      <c r="A50" s="292">
        <v>216</v>
      </c>
      <c r="B50" s="66" t="s">
        <v>1186</v>
      </c>
      <c r="C50" s="60"/>
      <c r="D50" s="54" t="s">
        <v>168</v>
      </c>
      <c r="E50" s="435" t="str">
        <f>IFERROR(VLOOKUP(D50,Mychart!$A$125:$B$811,2,FALSE),"-")</f>
        <v>UTS Carrier</v>
      </c>
      <c r="F50" s="676" t="s">
        <v>234</v>
      </c>
      <c r="G50" s="58">
        <v>2</v>
      </c>
      <c r="H50" s="58"/>
      <c r="I50" s="58"/>
      <c r="J50" s="58"/>
      <c r="K50" s="137"/>
      <c r="L50" s="56" t="s">
        <v>1187</v>
      </c>
      <c r="M50" s="292">
        <v>216</v>
      </c>
    </row>
    <row r="51" spans="1:13">
      <c r="A51" s="292">
        <v>216</v>
      </c>
      <c r="B51" s="66" t="s">
        <v>1186</v>
      </c>
      <c r="C51" s="60"/>
      <c r="D51" s="54" t="s">
        <v>168</v>
      </c>
      <c r="E51" s="435" t="str">
        <f>IFERROR(VLOOKUP(D51,Mychart!$A$125:$B$811,2,FALSE),"-")</f>
        <v>UTS Carrier</v>
      </c>
      <c r="F51" s="676" t="s">
        <v>235</v>
      </c>
      <c r="G51" s="58">
        <v>2</v>
      </c>
      <c r="H51" s="58"/>
      <c r="I51" s="58"/>
      <c r="J51" s="58"/>
      <c r="K51" s="137"/>
      <c r="L51" s="56" t="s">
        <v>1187</v>
      </c>
      <c r="M51" s="292">
        <v>216</v>
      </c>
    </row>
    <row r="52" spans="1:13">
      <c r="A52" s="292">
        <v>216</v>
      </c>
      <c r="B52" s="66" t="s">
        <v>1186</v>
      </c>
      <c r="C52" s="60"/>
      <c r="D52" s="54" t="s">
        <v>168</v>
      </c>
      <c r="E52" s="435" t="str">
        <f>IFERROR(VLOOKUP(D52,Mychart!$A$125:$B$811,2,FALSE),"-")</f>
        <v>UTS Carrier</v>
      </c>
      <c r="F52" s="676" t="s">
        <v>232</v>
      </c>
      <c r="G52" s="58">
        <v>2</v>
      </c>
      <c r="H52" s="58"/>
      <c r="I52" s="58"/>
      <c r="J52" s="58"/>
      <c r="K52" s="137"/>
      <c r="L52" s="56" t="s">
        <v>1187</v>
      </c>
      <c r="M52" s="292">
        <v>216</v>
      </c>
    </row>
    <row r="53" spans="1:13">
      <c r="A53" s="292">
        <v>216</v>
      </c>
      <c r="B53" s="66" t="s">
        <v>1186</v>
      </c>
      <c r="C53" s="60"/>
      <c r="D53" s="54" t="s">
        <v>168</v>
      </c>
      <c r="E53" s="435" t="str">
        <f>IFERROR(VLOOKUP(D53,Mychart!$A$125:$B$811,2,FALSE),"-")</f>
        <v>UTS Carrier</v>
      </c>
      <c r="F53" s="676" t="s">
        <v>233</v>
      </c>
      <c r="G53" s="58">
        <v>2</v>
      </c>
      <c r="H53" s="58"/>
      <c r="I53" s="58"/>
      <c r="J53" s="58"/>
      <c r="K53" s="137"/>
      <c r="L53" s="56" t="s">
        <v>1187</v>
      </c>
      <c r="M53" s="292">
        <v>216</v>
      </c>
    </row>
    <row r="54" spans="1:13">
      <c r="A54" s="292">
        <v>216</v>
      </c>
      <c r="B54" s="66" t="s">
        <v>1186</v>
      </c>
      <c r="C54" s="60"/>
      <c r="D54" s="54" t="s">
        <v>168</v>
      </c>
      <c r="E54" s="435" t="str">
        <f>IFERROR(VLOOKUP(D54,Mychart!$A$125:$B$811,2,FALSE),"-")</f>
        <v>UTS Carrier</v>
      </c>
      <c r="F54" s="676" t="s">
        <v>1169</v>
      </c>
      <c r="G54" s="58">
        <v>1</v>
      </c>
      <c r="H54" s="58"/>
      <c r="I54" s="58"/>
      <c r="J54" s="58"/>
      <c r="K54" s="137"/>
      <c r="L54" s="56" t="s">
        <v>1187</v>
      </c>
      <c r="M54" s="292">
        <v>216</v>
      </c>
    </row>
    <row r="55" spans="1:13">
      <c r="A55" s="292">
        <v>216</v>
      </c>
      <c r="B55" s="66" t="s">
        <v>1186</v>
      </c>
      <c r="C55" s="60"/>
      <c r="D55" s="54" t="s">
        <v>168</v>
      </c>
      <c r="E55" s="435" t="str">
        <f>IFERROR(VLOOKUP(D55,Mychart!$A$125:$B$811,2,FALSE),"-")</f>
        <v>UTS Carrier</v>
      </c>
      <c r="F55" s="676" t="s">
        <v>1170</v>
      </c>
      <c r="G55" s="58">
        <v>1</v>
      </c>
      <c r="H55" s="58"/>
      <c r="I55" s="58"/>
      <c r="J55" s="58"/>
      <c r="K55" s="137"/>
      <c r="L55" s="56" t="s">
        <v>1187</v>
      </c>
      <c r="M55" s="292">
        <v>216</v>
      </c>
    </row>
    <row r="56" spans="1:13">
      <c r="A56" s="292">
        <v>216</v>
      </c>
      <c r="B56" s="66" t="s">
        <v>1186</v>
      </c>
      <c r="C56" s="60"/>
      <c r="D56" s="54" t="s">
        <v>168</v>
      </c>
      <c r="E56" s="435" t="str">
        <f>IFERROR(VLOOKUP(D56,Mychart!$A$125:$B$811,2,FALSE),"-")</f>
        <v>UTS Carrier</v>
      </c>
      <c r="F56" s="676" t="s">
        <v>1188</v>
      </c>
      <c r="G56" s="58">
        <v>1</v>
      </c>
      <c r="H56" s="58"/>
      <c r="I56" s="58"/>
      <c r="J56" s="58"/>
      <c r="K56" s="137"/>
      <c r="L56" s="56" t="s">
        <v>1187</v>
      </c>
      <c r="M56" s="292">
        <v>216</v>
      </c>
    </row>
    <row r="57" spans="1:13">
      <c r="A57" s="310">
        <v>216</v>
      </c>
      <c r="B57" s="66" t="s">
        <v>1186</v>
      </c>
      <c r="C57" s="60"/>
      <c r="D57" s="54" t="s">
        <v>168</v>
      </c>
      <c r="E57" s="435" t="str">
        <f>IFERROR(VLOOKUP(D57,Mychart!$A$125:$B$811,2,FALSE),"-")</f>
        <v>UTS Carrier</v>
      </c>
      <c r="F57" s="676"/>
      <c r="G57" s="58"/>
      <c r="H57" s="58"/>
      <c r="I57" s="58">
        <v>81280</v>
      </c>
      <c r="J57" s="58">
        <v>4064</v>
      </c>
      <c r="K57" s="137"/>
      <c r="L57" s="308" t="s">
        <v>1187</v>
      </c>
      <c r="M57" s="310">
        <v>216</v>
      </c>
    </row>
    <row r="58" spans="1:13">
      <c r="A58" s="292">
        <v>254</v>
      </c>
      <c r="B58" s="66" t="s">
        <v>1189</v>
      </c>
      <c r="C58" s="60"/>
      <c r="D58" s="54" t="s">
        <v>168</v>
      </c>
      <c r="E58" s="435" t="str">
        <f>IFERROR(VLOOKUP(D58,Mychart!$A$125:$B$811,2,FALSE),"-")</f>
        <v>UTS Carrier</v>
      </c>
      <c r="F58" s="676" t="s">
        <v>236</v>
      </c>
      <c r="G58" s="58">
        <v>1</v>
      </c>
      <c r="H58" s="58"/>
      <c r="I58" s="58"/>
      <c r="J58" s="58"/>
      <c r="K58" s="137"/>
      <c r="L58" s="56" t="s">
        <v>1190</v>
      </c>
      <c r="M58" s="292">
        <v>254</v>
      </c>
    </row>
    <row r="59" spans="1:13">
      <c r="A59" s="292">
        <v>254</v>
      </c>
      <c r="B59" s="66" t="s">
        <v>1189</v>
      </c>
      <c r="C59" s="60"/>
      <c r="D59" s="54" t="s">
        <v>168</v>
      </c>
      <c r="E59" s="435" t="str">
        <f>IFERROR(VLOOKUP(D59,Mychart!$A$125:$B$811,2,FALSE),"-")</f>
        <v>UTS Carrier</v>
      </c>
      <c r="F59" s="676" t="s">
        <v>237</v>
      </c>
      <c r="G59" s="58">
        <v>1</v>
      </c>
      <c r="H59" s="58"/>
      <c r="I59" s="58"/>
      <c r="J59" s="58"/>
      <c r="K59" s="137"/>
      <c r="L59" s="56" t="s">
        <v>1190</v>
      </c>
      <c r="M59" s="292">
        <v>254</v>
      </c>
    </row>
    <row r="60" spans="1:13">
      <c r="A60" s="292">
        <v>254</v>
      </c>
      <c r="B60" s="66" t="s">
        <v>1189</v>
      </c>
      <c r="C60" s="60"/>
      <c r="D60" s="54" t="s">
        <v>168</v>
      </c>
      <c r="E60" s="435" t="str">
        <f>IFERROR(VLOOKUP(D60,Mychart!$A$125:$B$811,2,FALSE),"-")</f>
        <v>UTS Carrier</v>
      </c>
      <c r="F60" s="676" t="s">
        <v>827</v>
      </c>
      <c r="G60" s="58">
        <v>2</v>
      </c>
      <c r="H60" s="58"/>
      <c r="I60" s="58"/>
      <c r="J60" s="58"/>
      <c r="K60" s="137"/>
      <c r="L60" s="56" t="s">
        <v>1190</v>
      </c>
      <c r="M60" s="292">
        <v>254</v>
      </c>
    </row>
    <row r="61" spans="1:13">
      <c r="A61" s="292">
        <v>254</v>
      </c>
      <c r="B61" s="66" t="s">
        <v>1189</v>
      </c>
      <c r="C61" s="60"/>
      <c r="D61" s="54" t="s">
        <v>168</v>
      </c>
      <c r="E61" s="435" t="str">
        <f>IFERROR(VLOOKUP(D61,Mychart!$A$125:$B$811,2,FALSE),"-")</f>
        <v>UTS Carrier</v>
      </c>
      <c r="F61" s="676" t="s">
        <v>828</v>
      </c>
      <c r="G61" s="58">
        <v>2</v>
      </c>
      <c r="H61" s="58"/>
      <c r="I61" s="58"/>
      <c r="J61" s="58"/>
      <c r="K61" s="137"/>
      <c r="L61" s="56" t="s">
        <v>1190</v>
      </c>
      <c r="M61" s="292">
        <v>254</v>
      </c>
    </row>
    <row r="62" spans="1:13">
      <c r="A62" s="292">
        <v>254</v>
      </c>
      <c r="B62" s="66" t="s">
        <v>1189</v>
      </c>
      <c r="C62" s="60"/>
      <c r="D62" s="54" t="s">
        <v>168</v>
      </c>
      <c r="E62" s="435" t="str">
        <f>IFERROR(VLOOKUP(D62,Mychart!$A$125:$B$811,2,FALSE),"-")</f>
        <v>UTS Carrier</v>
      </c>
      <c r="F62" s="676" t="s">
        <v>238</v>
      </c>
      <c r="G62" s="58">
        <v>2</v>
      </c>
      <c r="H62" s="58"/>
      <c r="I62" s="58"/>
      <c r="J62" s="58"/>
      <c r="K62" s="137"/>
      <c r="L62" s="56" t="s">
        <v>1190</v>
      </c>
      <c r="M62" s="292">
        <v>254</v>
      </c>
    </row>
    <row r="63" spans="1:13">
      <c r="A63" s="292">
        <v>254</v>
      </c>
      <c r="B63" s="66" t="s">
        <v>1189</v>
      </c>
      <c r="C63" s="60"/>
      <c r="D63" s="54" t="s">
        <v>168</v>
      </c>
      <c r="E63" s="435" t="str">
        <f>IFERROR(VLOOKUP(D63,Mychart!$A$125:$B$811,2,FALSE),"-")</f>
        <v>UTS Carrier</v>
      </c>
      <c r="F63" s="676" t="s">
        <v>239</v>
      </c>
      <c r="G63" s="58">
        <v>2</v>
      </c>
      <c r="H63" s="58"/>
      <c r="I63" s="58"/>
      <c r="J63" s="58"/>
      <c r="K63" s="137"/>
      <c r="L63" s="56" t="s">
        <v>1190</v>
      </c>
      <c r="M63" s="292">
        <v>254</v>
      </c>
    </row>
    <row r="64" spans="1:13">
      <c r="A64" s="292">
        <v>254</v>
      </c>
      <c r="B64" s="66" t="s">
        <v>1189</v>
      </c>
      <c r="C64" s="60"/>
      <c r="D64" s="54" t="s">
        <v>168</v>
      </c>
      <c r="E64" s="435" t="str">
        <f>IFERROR(VLOOKUP(D64,Mychart!$A$125:$B$811,2,FALSE),"-")</f>
        <v>UTS Carrier</v>
      </c>
      <c r="F64" s="676" t="s">
        <v>234</v>
      </c>
      <c r="G64" s="58">
        <v>5</v>
      </c>
      <c r="H64" s="58"/>
      <c r="I64" s="58"/>
      <c r="J64" s="58"/>
      <c r="K64" s="137"/>
      <c r="L64" s="56" t="s">
        <v>1190</v>
      </c>
      <c r="M64" s="292">
        <v>254</v>
      </c>
    </row>
    <row r="65" spans="1:13">
      <c r="A65" s="292">
        <v>254</v>
      </c>
      <c r="B65" s="66" t="s">
        <v>1189</v>
      </c>
      <c r="C65" s="60"/>
      <c r="D65" s="54" t="s">
        <v>168</v>
      </c>
      <c r="E65" s="435" t="str">
        <f>IFERROR(VLOOKUP(D65,Mychart!$A$125:$B$811,2,FALSE),"-")</f>
        <v>UTS Carrier</v>
      </c>
      <c r="F65" s="676" t="s">
        <v>235</v>
      </c>
      <c r="G65" s="58">
        <v>5</v>
      </c>
      <c r="H65" s="58"/>
      <c r="I65" s="58"/>
      <c r="J65" s="58"/>
      <c r="K65" s="137"/>
      <c r="L65" s="56" t="s">
        <v>1190</v>
      </c>
      <c r="M65" s="292">
        <v>254</v>
      </c>
    </row>
    <row r="66" spans="1:13">
      <c r="A66" s="292">
        <v>254</v>
      </c>
      <c r="B66" s="66" t="s">
        <v>1189</v>
      </c>
      <c r="C66" s="60"/>
      <c r="D66" s="54" t="s">
        <v>168</v>
      </c>
      <c r="E66" s="435" t="str">
        <f>IFERROR(VLOOKUP(D66,Mychart!$A$125:$B$811,2,FALSE),"-")</f>
        <v>UTS Carrier</v>
      </c>
      <c r="F66" s="676" t="s">
        <v>232</v>
      </c>
      <c r="G66" s="58">
        <v>7</v>
      </c>
      <c r="H66" s="58"/>
      <c r="I66" s="58"/>
      <c r="J66" s="58"/>
      <c r="K66" s="137"/>
      <c r="L66" s="56" t="s">
        <v>1190</v>
      </c>
      <c r="M66" s="292">
        <v>254</v>
      </c>
    </row>
    <row r="67" spans="1:13">
      <c r="A67" s="292">
        <v>254</v>
      </c>
      <c r="B67" s="66" t="s">
        <v>1189</v>
      </c>
      <c r="C67" s="60"/>
      <c r="D67" s="54" t="s">
        <v>168</v>
      </c>
      <c r="E67" s="435" t="str">
        <f>IFERROR(VLOOKUP(D67,Mychart!$A$125:$B$811,2,FALSE),"-")</f>
        <v>UTS Carrier</v>
      </c>
      <c r="F67" s="676" t="s">
        <v>233</v>
      </c>
      <c r="G67" s="58">
        <v>7</v>
      </c>
      <c r="H67" s="58"/>
      <c r="I67" s="58"/>
      <c r="J67" s="58"/>
      <c r="K67" s="137"/>
      <c r="L67" s="56" t="s">
        <v>1190</v>
      </c>
      <c r="M67" s="292">
        <v>254</v>
      </c>
    </row>
    <row r="68" spans="1:13">
      <c r="A68" s="292">
        <v>254</v>
      </c>
      <c r="B68" s="66" t="s">
        <v>1189</v>
      </c>
      <c r="C68" s="60"/>
      <c r="D68" s="54" t="s">
        <v>168</v>
      </c>
      <c r="E68" s="435" t="str">
        <f>IFERROR(VLOOKUP(D68,Mychart!$A$125:$B$811,2,FALSE),"-")</f>
        <v>UTS Carrier</v>
      </c>
      <c r="F68" s="676" t="s">
        <v>1081</v>
      </c>
      <c r="G68" s="58">
        <v>1</v>
      </c>
      <c r="H68" s="58"/>
      <c r="I68" s="58"/>
      <c r="J68" s="58"/>
      <c r="K68" s="137"/>
      <c r="L68" s="56" t="s">
        <v>1190</v>
      </c>
      <c r="M68" s="292">
        <v>254</v>
      </c>
    </row>
    <row r="69" spans="1:13">
      <c r="A69" s="292">
        <v>254</v>
      </c>
      <c r="B69" s="66" t="s">
        <v>1189</v>
      </c>
      <c r="C69" s="60"/>
      <c r="D69" s="54" t="s">
        <v>168</v>
      </c>
      <c r="E69" s="435" t="str">
        <f>IFERROR(VLOOKUP(D69,Mychart!$A$125:$B$811,2,FALSE),"-")</f>
        <v>UTS Carrier</v>
      </c>
      <c r="F69" s="676" t="s">
        <v>1082</v>
      </c>
      <c r="G69" s="58">
        <v>1</v>
      </c>
      <c r="H69" s="58"/>
      <c r="I69" s="58"/>
      <c r="J69" s="58"/>
      <c r="K69" s="137"/>
      <c r="L69" s="56" t="s">
        <v>1190</v>
      </c>
      <c r="M69" s="292">
        <v>254</v>
      </c>
    </row>
    <row r="70" spans="1:13">
      <c r="A70" s="292">
        <v>254</v>
      </c>
      <c r="B70" s="66" t="s">
        <v>1189</v>
      </c>
      <c r="C70" s="60"/>
      <c r="D70" s="54" t="s">
        <v>168</v>
      </c>
      <c r="E70" s="435" t="str">
        <f>IFERROR(VLOOKUP(D70,Mychart!$A$125:$B$811,2,FALSE),"-")</f>
        <v>UTS Carrier</v>
      </c>
      <c r="F70" s="676" t="s">
        <v>834</v>
      </c>
      <c r="G70" s="58">
        <v>1</v>
      </c>
      <c r="H70" s="58"/>
      <c r="I70" s="58"/>
      <c r="J70" s="58"/>
      <c r="K70" s="137"/>
      <c r="L70" s="56" t="s">
        <v>1190</v>
      </c>
      <c r="M70" s="292">
        <v>254</v>
      </c>
    </row>
    <row r="71" spans="1:13">
      <c r="A71" s="292">
        <v>254</v>
      </c>
      <c r="B71" s="66" t="s">
        <v>1189</v>
      </c>
      <c r="C71" s="60"/>
      <c r="D71" s="54" t="s">
        <v>168</v>
      </c>
      <c r="E71" s="435" t="str">
        <f>IFERROR(VLOOKUP(D71,Mychart!$A$125:$B$811,2,FALSE),"-")</f>
        <v>UTS Carrier</v>
      </c>
      <c r="F71" s="676" t="s">
        <v>835</v>
      </c>
      <c r="G71" s="58">
        <v>1</v>
      </c>
      <c r="H71" s="58"/>
      <c r="I71" s="58"/>
      <c r="J71" s="58"/>
      <c r="K71" s="137"/>
      <c r="L71" s="56" t="s">
        <v>1190</v>
      </c>
      <c r="M71" s="292">
        <v>254</v>
      </c>
    </row>
    <row r="72" spans="1:13">
      <c r="A72" s="292">
        <v>254</v>
      </c>
      <c r="B72" s="66" t="s">
        <v>1189</v>
      </c>
      <c r="C72" s="60"/>
      <c r="D72" s="54" t="s">
        <v>168</v>
      </c>
      <c r="E72" s="435" t="str">
        <f>IFERROR(VLOOKUP(D72,Mychart!$A$125:$B$811,2,FALSE),"-")</f>
        <v>UTS Carrier</v>
      </c>
      <c r="F72" s="676"/>
      <c r="G72" s="58"/>
      <c r="H72" s="58"/>
      <c r="I72" s="58">
        <v>131265</v>
      </c>
      <c r="J72" s="58">
        <v>6563.25</v>
      </c>
      <c r="K72" s="137"/>
      <c r="L72" s="56" t="s">
        <v>1190</v>
      </c>
      <c r="M72" s="292">
        <v>254</v>
      </c>
    </row>
    <row r="73" spans="1:13">
      <c r="A73" s="292">
        <v>221</v>
      </c>
      <c r="B73" s="66" t="s">
        <v>1191</v>
      </c>
      <c r="C73" s="60"/>
      <c r="D73" s="54" t="s">
        <v>168</v>
      </c>
      <c r="E73" s="435" t="str">
        <f>IFERROR(VLOOKUP(D73,Mychart!$A$125:$B$811,2,FALSE),"-")</f>
        <v>UTS Carrier</v>
      </c>
      <c r="F73" s="676" t="s">
        <v>1177</v>
      </c>
      <c r="G73" s="58">
        <v>5</v>
      </c>
      <c r="H73" s="58"/>
      <c r="I73" s="58"/>
      <c r="J73" s="58"/>
      <c r="K73" s="137"/>
      <c r="L73" s="56" t="s">
        <v>1192</v>
      </c>
      <c r="M73" s="292">
        <v>221</v>
      </c>
    </row>
    <row r="74" spans="1:13">
      <c r="A74" s="292">
        <v>221</v>
      </c>
      <c r="B74" s="66" t="s">
        <v>1191</v>
      </c>
      <c r="C74" s="60"/>
      <c r="D74" s="54" t="s">
        <v>168</v>
      </c>
      <c r="E74" s="435" t="str">
        <f>IFERROR(VLOOKUP(D74,Mychart!$A$125:$B$811,2,FALSE),"-")</f>
        <v>UTS Carrier</v>
      </c>
      <c r="F74" s="676" t="s">
        <v>237</v>
      </c>
      <c r="G74" s="58">
        <v>5</v>
      </c>
      <c r="H74" s="58"/>
      <c r="I74" s="58"/>
      <c r="J74" s="58"/>
      <c r="K74" s="137"/>
      <c r="L74" s="56" t="s">
        <v>1192</v>
      </c>
      <c r="M74" s="292">
        <v>221</v>
      </c>
    </row>
    <row r="75" spans="1:13">
      <c r="A75" s="292">
        <v>221</v>
      </c>
      <c r="B75" s="66" t="s">
        <v>1191</v>
      </c>
      <c r="C75" s="60"/>
      <c r="D75" s="54" t="s">
        <v>168</v>
      </c>
      <c r="E75" s="435" t="str">
        <f>IFERROR(VLOOKUP(D75,Mychart!$A$125:$B$811,2,FALSE),"-")</f>
        <v>UTS Carrier</v>
      </c>
      <c r="F75" s="676" t="s">
        <v>1168</v>
      </c>
      <c r="G75" s="58">
        <v>1</v>
      </c>
      <c r="H75" s="58"/>
      <c r="I75" s="58"/>
      <c r="J75" s="58"/>
      <c r="K75" s="137"/>
      <c r="L75" s="56" t="s">
        <v>1192</v>
      </c>
      <c r="M75" s="292">
        <v>221</v>
      </c>
    </row>
    <row r="76" spans="1:13">
      <c r="A76" s="292">
        <v>221</v>
      </c>
      <c r="B76" s="66" t="s">
        <v>1191</v>
      </c>
      <c r="C76" s="60"/>
      <c r="D76" s="54" t="s">
        <v>168</v>
      </c>
      <c r="E76" s="435" t="str">
        <f>IFERROR(VLOOKUP(D76,Mychart!$A$125:$B$811,2,FALSE),"-")</f>
        <v>UTS Carrier</v>
      </c>
      <c r="F76" s="676" t="s">
        <v>828</v>
      </c>
      <c r="G76" s="58">
        <v>1</v>
      </c>
      <c r="H76" s="58"/>
      <c r="I76" s="58"/>
      <c r="J76" s="58"/>
      <c r="K76" s="137"/>
      <c r="L76" s="56" t="s">
        <v>1192</v>
      </c>
      <c r="M76" s="292">
        <v>221</v>
      </c>
    </row>
    <row r="77" spans="1:13">
      <c r="A77" s="292">
        <v>221</v>
      </c>
      <c r="B77" s="66" t="s">
        <v>1191</v>
      </c>
      <c r="C77" s="60"/>
      <c r="D77" s="54" t="s">
        <v>168</v>
      </c>
      <c r="E77" s="435" t="str">
        <f>IFERROR(VLOOKUP(D77,Mychart!$A$125:$B$811,2,FALSE),"-")</f>
        <v>UTS Carrier</v>
      </c>
      <c r="F77" s="676" t="s">
        <v>1183</v>
      </c>
      <c r="G77" s="58">
        <v>2</v>
      </c>
      <c r="H77" s="58"/>
      <c r="I77" s="58"/>
      <c r="J77" s="58"/>
      <c r="K77" s="137"/>
      <c r="L77" s="56" t="s">
        <v>1192</v>
      </c>
      <c r="M77" s="292">
        <v>221</v>
      </c>
    </row>
    <row r="78" spans="1:13">
      <c r="A78" s="292">
        <v>221</v>
      </c>
      <c r="B78" s="66" t="s">
        <v>1191</v>
      </c>
      <c r="C78" s="60"/>
      <c r="D78" s="54" t="s">
        <v>168</v>
      </c>
      <c r="E78" s="435" t="str">
        <f>IFERROR(VLOOKUP(D78,Mychart!$A$125:$B$811,2,FALSE),"-")</f>
        <v>UTS Carrier</v>
      </c>
      <c r="F78" s="676" t="s">
        <v>1184</v>
      </c>
      <c r="G78" s="58">
        <v>2</v>
      </c>
      <c r="H78" s="58"/>
      <c r="I78" s="58"/>
      <c r="J78" s="58"/>
      <c r="K78" s="137"/>
      <c r="L78" s="56" t="s">
        <v>1192</v>
      </c>
      <c r="M78" s="292">
        <v>221</v>
      </c>
    </row>
    <row r="79" spans="1:13">
      <c r="A79" s="292">
        <v>221</v>
      </c>
      <c r="B79" s="66" t="s">
        <v>1191</v>
      </c>
      <c r="C79" s="60"/>
      <c r="D79" s="54" t="s">
        <v>168</v>
      </c>
      <c r="E79" s="435" t="str">
        <f>IFERROR(VLOOKUP(D79,Mychart!$A$125:$B$811,2,FALSE),"-")</f>
        <v>UTS Carrier</v>
      </c>
      <c r="F79" s="676" t="s">
        <v>1185</v>
      </c>
      <c r="G79" s="58">
        <v>2</v>
      </c>
      <c r="H79" s="58"/>
      <c r="I79" s="58"/>
      <c r="J79" s="58"/>
      <c r="K79" s="137"/>
      <c r="L79" s="56" t="s">
        <v>1192</v>
      </c>
      <c r="M79" s="292">
        <v>221</v>
      </c>
    </row>
    <row r="80" spans="1:13">
      <c r="A80" s="292">
        <v>221</v>
      </c>
      <c r="B80" s="66" t="s">
        <v>1191</v>
      </c>
      <c r="C80" s="60"/>
      <c r="D80" s="54" t="s">
        <v>168</v>
      </c>
      <c r="E80" s="435" t="str">
        <f>IFERROR(VLOOKUP(D80,Mychart!$A$125:$B$811,2,FALSE),"-")</f>
        <v>UTS Carrier</v>
      </c>
      <c r="F80" s="676" t="s">
        <v>1193</v>
      </c>
      <c r="G80" s="58">
        <v>2</v>
      </c>
      <c r="H80" s="58"/>
      <c r="I80" s="58"/>
      <c r="J80" s="58"/>
      <c r="K80" s="137"/>
      <c r="L80" s="56" t="s">
        <v>1192</v>
      </c>
      <c r="M80" s="292">
        <v>221</v>
      </c>
    </row>
    <row r="81" spans="1:13">
      <c r="A81" s="292">
        <v>221</v>
      </c>
      <c r="B81" s="66" t="s">
        <v>1191</v>
      </c>
      <c r="C81" s="60"/>
      <c r="D81" s="54" t="s">
        <v>168</v>
      </c>
      <c r="E81" s="435" t="str">
        <f>IFERROR(VLOOKUP(D81,Mychart!$A$125:$B$811,2,FALSE),"-")</f>
        <v>UTS Carrier</v>
      </c>
      <c r="F81" s="676" t="s">
        <v>832</v>
      </c>
      <c r="G81" s="58">
        <v>2</v>
      </c>
      <c r="H81" s="58"/>
      <c r="I81" s="58"/>
      <c r="J81" s="58"/>
      <c r="K81" s="137"/>
      <c r="L81" s="56" t="s">
        <v>1192</v>
      </c>
      <c r="M81" s="292">
        <v>221</v>
      </c>
    </row>
    <row r="82" spans="1:13">
      <c r="A82" s="292">
        <v>221</v>
      </c>
      <c r="B82" s="66" t="s">
        <v>1191</v>
      </c>
      <c r="C82" s="60"/>
      <c r="D82" s="54" t="s">
        <v>168</v>
      </c>
      <c r="E82" s="435" t="str">
        <f>IFERROR(VLOOKUP(D82,Mychart!$A$125:$B$811,2,FALSE),"-")</f>
        <v>UTS Carrier</v>
      </c>
      <c r="F82" s="676" t="s">
        <v>1194</v>
      </c>
      <c r="G82" s="58">
        <v>2</v>
      </c>
      <c r="H82" s="58"/>
      <c r="I82" s="58"/>
      <c r="J82" s="58"/>
      <c r="K82" s="137"/>
      <c r="L82" s="56" t="s">
        <v>1192</v>
      </c>
      <c r="M82" s="292">
        <v>221</v>
      </c>
    </row>
    <row r="83" spans="1:13">
      <c r="A83" s="292">
        <v>221</v>
      </c>
      <c r="B83" s="66" t="s">
        <v>1191</v>
      </c>
      <c r="C83" s="60"/>
      <c r="D83" s="54" t="s">
        <v>168</v>
      </c>
      <c r="E83" s="435" t="str">
        <f>IFERROR(VLOOKUP(D83,Mychart!$A$125:$B$811,2,FALSE),"-")</f>
        <v>UTS Carrier</v>
      </c>
      <c r="F83" s="676" t="s">
        <v>1195</v>
      </c>
      <c r="G83" s="58">
        <v>1</v>
      </c>
      <c r="H83" s="58"/>
      <c r="I83" s="58"/>
      <c r="J83" s="58"/>
      <c r="K83" s="137"/>
      <c r="L83" s="56" t="s">
        <v>1192</v>
      </c>
      <c r="M83" s="292">
        <v>221</v>
      </c>
    </row>
    <row r="84" spans="1:13">
      <c r="A84" s="292">
        <v>221</v>
      </c>
      <c r="B84" s="66" t="s">
        <v>1191</v>
      </c>
      <c r="C84" s="60"/>
      <c r="D84" s="54" t="s">
        <v>168</v>
      </c>
      <c r="E84" s="435" t="str">
        <f>IFERROR(VLOOKUP(D84,Mychart!$A$125:$B$811,2,FALSE),"-")</f>
        <v>UTS Carrier</v>
      </c>
      <c r="F84" s="676" t="s">
        <v>1196</v>
      </c>
      <c r="G84" s="58">
        <v>1</v>
      </c>
      <c r="H84" s="58"/>
      <c r="I84" s="58"/>
      <c r="J84" s="58"/>
      <c r="K84" s="137"/>
      <c r="L84" s="56" t="s">
        <v>1192</v>
      </c>
      <c r="M84" s="292">
        <v>221</v>
      </c>
    </row>
    <row r="85" spans="1:13">
      <c r="A85" s="292">
        <v>221</v>
      </c>
      <c r="B85" s="66" t="s">
        <v>1191</v>
      </c>
      <c r="C85" s="60"/>
      <c r="D85" s="54" t="s">
        <v>168</v>
      </c>
      <c r="E85" s="435" t="str">
        <f>IFERROR(VLOOKUP(D85,Mychart!$A$125:$B$811,2,FALSE),"-")</f>
        <v>UTS Carrier</v>
      </c>
      <c r="F85" s="676"/>
      <c r="G85" s="58"/>
      <c r="H85" s="58"/>
      <c r="I85" s="58">
        <v>72700</v>
      </c>
      <c r="J85" s="58">
        <v>3635</v>
      </c>
      <c r="K85" s="137"/>
      <c r="L85" s="56" t="s">
        <v>1192</v>
      </c>
      <c r="M85" s="292">
        <v>221</v>
      </c>
    </row>
    <row r="86" spans="1:13">
      <c r="A86" s="292">
        <v>252</v>
      </c>
      <c r="B86" s="66" t="s">
        <v>1302</v>
      </c>
      <c r="C86" s="60"/>
      <c r="D86" s="54" t="s">
        <v>168</v>
      </c>
      <c r="E86" s="435" t="str">
        <f>IFERROR(VLOOKUP(D86,Mychart!$A$125:$B$811,2,FALSE),"-")</f>
        <v>UTS Carrier</v>
      </c>
      <c r="F86" s="676" t="s">
        <v>825</v>
      </c>
      <c r="G86" s="58">
        <v>5</v>
      </c>
      <c r="H86" s="58"/>
      <c r="I86" s="58"/>
      <c r="J86" s="58"/>
      <c r="K86" s="137"/>
      <c r="L86" s="56" t="s">
        <v>1197</v>
      </c>
      <c r="M86" s="292">
        <v>252</v>
      </c>
    </row>
    <row r="87" spans="1:13">
      <c r="A87" s="292">
        <v>252</v>
      </c>
      <c r="B87" s="66" t="s">
        <v>1302</v>
      </c>
      <c r="C87" s="60"/>
      <c r="D87" s="54" t="s">
        <v>168</v>
      </c>
      <c r="E87" s="435" t="str">
        <f>IFERROR(VLOOKUP(D87,Mychart!$A$125:$B$811,2,FALSE),"-")</f>
        <v>UTS Carrier</v>
      </c>
      <c r="F87" s="676" t="s">
        <v>826</v>
      </c>
      <c r="G87" s="58">
        <v>5</v>
      </c>
      <c r="H87" s="58"/>
      <c r="I87" s="58"/>
      <c r="J87" s="58"/>
      <c r="K87" s="137"/>
      <c r="L87" s="56" t="s">
        <v>1197</v>
      </c>
      <c r="M87" s="292">
        <v>252</v>
      </c>
    </row>
    <row r="88" spans="1:13">
      <c r="A88" s="292">
        <v>252</v>
      </c>
      <c r="B88" s="66" t="s">
        <v>1302</v>
      </c>
      <c r="C88" s="60"/>
      <c r="D88" s="54" t="s">
        <v>168</v>
      </c>
      <c r="E88" s="435" t="str">
        <f>IFERROR(VLOOKUP(D88,Mychart!$A$125:$B$811,2,FALSE),"-")</f>
        <v>UTS Carrier</v>
      </c>
      <c r="F88" s="676" t="s">
        <v>236</v>
      </c>
      <c r="G88" s="58">
        <v>2</v>
      </c>
      <c r="H88" s="58"/>
      <c r="I88" s="58"/>
      <c r="J88" s="58"/>
      <c r="K88" s="137"/>
      <c r="L88" s="56" t="s">
        <v>1197</v>
      </c>
      <c r="M88" s="292">
        <v>252</v>
      </c>
    </row>
    <row r="89" spans="1:13">
      <c r="A89" s="292">
        <v>252</v>
      </c>
      <c r="B89" s="66" t="s">
        <v>1302</v>
      </c>
      <c r="C89" s="60"/>
      <c r="D89" s="54" t="s">
        <v>168</v>
      </c>
      <c r="E89" s="435" t="str">
        <f>IFERROR(VLOOKUP(D89,Mychart!$A$125:$B$811,2,FALSE),"-")</f>
        <v>UTS Carrier</v>
      </c>
      <c r="F89" s="676" t="s">
        <v>237</v>
      </c>
      <c r="G89" s="58">
        <v>2</v>
      </c>
      <c r="H89" s="58"/>
      <c r="I89" s="58"/>
      <c r="J89" s="58"/>
      <c r="K89" s="137"/>
      <c r="L89" s="56" t="s">
        <v>1197</v>
      </c>
      <c r="M89" s="292">
        <v>252</v>
      </c>
    </row>
    <row r="90" spans="1:13">
      <c r="A90" s="292">
        <v>252</v>
      </c>
      <c r="B90" s="66" t="s">
        <v>1302</v>
      </c>
      <c r="C90" s="60"/>
      <c r="D90" s="54" t="s">
        <v>168</v>
      </c>
      <c r="E90" s="435" t="str">
        <f>IFERROR(VLOOKUP(D90,Mychart!$A$125:$B$811,2,FALSE),"-")</f>
        <v>UTS Carrier</v>
      </c>
      <c r="F90" s="676" t="s">
        <v>827</v>
      </c>
      <c r="G90" s="58">
        <v>3</v>
      </c>
      <c r="H90" s="58"/>
      <c r="I90" s="58"/>
      <c r="J90" s="58"/>
      <c r="K90" s="137"/>
      <c r="L90" s="56" t="s">
        <v>1197</v>
      </c>
      <c r="M90" s="292">
        <v>252</v>
      </c>
    </row>
    <row r="91" spans="1:13">
      <c r="A91" s="292">
        <v>252</v>
      </c>
      <c r="B91" s="66" t="s">
        <v>1302</v>
      </c>
      <c r="C91" s="60"/>
      <c r="D91" s="54" t="s">
        <v>168</v>
      </c>
      <c r="E91" s="435" t="str">
        <f>IFERROR(VLOOKUP(D91,Mychart!$A$125:$B$811,2,FALSE),"-")</f>
        <v>UTS Carrier</v>
      </c>
      <c r="F91" s="676" t="s">
        <v>828</v>
      </c>
      <c r="G91" s="58">
        <v>3</v>
      </c>
      <c r="H91" s="58"/>
      <c r="I91" s="58"/>
      <c r="J91" s="58"/>
      <c r="K91" s="137"/>
      <c r="L91" s="56" t="s">
        <v>1197</v>
      </c>
      <c r="M91" s="292">
        <v>252</v>
      </c>
    </row>
    <row r="92" spans="1:13">
      <c r="A92" s="292">
        <v>252</v>
      </c>
      <c r="B92" s="66" t="s">
        <v>1302</v>
      </c>
      <c r="C92" s="60"/>
      <c r="D92" s="54" t="s">
        <v>168</v>
      </c>
      <c r="E92" s="435" t="str">
        <f>IFERROR(VLOOKUP(D92,Mychart!$A$125:$B$811,2,FALSE),"-")</f>
        <v>UTS Carrier</v>
      </c>
      <c r="F92" s="676" t="s">
        <v>238</v>
      </c>
      <c r="G92" s="58">
        <v>1</v>
      </c>
      <c r="H92" s="58"/>
      <c r="I92" s="58"/>
      <c r="J92" s="58"/>
      <c r="K92" s="137"/>
      <c r="L92" s="56" t="s">
        <v>1197</v>
      </c>
      <c r="M92" s="292">
        <v>252</v>
      </c>
    </row>
    <row r="93" spans="1:13">
      <c r="A93" s="292">
        <v>252</v>
      </c>
      <c r="B93" s="66" t="s">
        <v>1302</v>
      </c>
      <c r="C93" s="60"/>
      <c r="D93" s="54" t="s">
        <v>168</v>
      </c>
      <c r="E93" s="435" t="str">
        <f>IFERROR(VLOOKUP(D93,Mychart!$A$125:$B$811,2,FALSE),"-")</f>
        <v>UTS Carrier</v>
      </c>
      <c r="F93" s="676" t="s">
        <v>239</v>
      </c>
      <c r="G93" s="58">
        <v>1</v>
      </c>
      <c r="H93" s="58"/>
      <c r="I93" s="58"/>
      <c r="J93" s="58"/>
      <c r="K93" s="137"/>
      <c r="L93" s="56" t="s">
        <v>1197</v>
      </c>
      <c r="M93" s="292">
        <v>252</v>
      </c>
    </row>
    <row r="94" spans="1:13">
      <c r="A94" s="292">
        <v>252</v>
      </c>
      <c r="B94" s="66" t="s">
        <v>1302</v>
      </c>
      <c r="C94" s="60"/>
      <c r="D94" s="54" t="s">
        <v>168</v>
      </c>
      <c r="E94" s="435" t="str">
        <f>IFERROR(VLOOKUP(D94,Mychart!$A$125:$B$811,2,FALSE),"-")</f>
        <v>UTS Carrier</v>
      </c>
      <c r="F94" s="676" t="s">
        <v>234</v>
      </c>
      <c r="G94" s="58">
        <v>1</v>
      </c>
      <c r="H94" s="58"/>
      <c r="I94" s="58"/>
      <c r="J94" s="58"/>
      <c r="K94" s="137"/>
      <c r="L94" s="56" t="s">
        <v>1197</v>
      </c>
      <c r="M94" s="292">
        <v>252</v>
      </c>
    </row>
    <row r="95" spans="1:13">
      <c r="A95" s="292">
        <v>252</v>
      </c>
      <c r="B95" s="66" t="s">
        <v>1302</v>
      </c>
      <c r="C95" s="60"/>
      <c r="D95" s="54" t="s">
        <v>168</v>
      </c>
      <c r="E95" s="435" t="str">
        <f>IFERROR(VLOOKUP(D95,Mychart!$A$125:$B$811,2,FALSE),"-")</f>
        <v>UTS Carrier</v>
      </c>
      <c r="F95" s="676" t="s">
        <v>235</v>
      </c>
      <c r="G95" s="58">
        <v>1</v>
      </c>
      <c r="H95" s="58"/>
      <c r="I95" s="58"/>
      <c r="J95" s="58"/>
      <c r="K95" s="137"/>
      <c r="L95" s="56" t="s">
        <v>1197</v>
      </c>
      <c r="M95" s="292">
        <v>252</v>
      </c>
    </row>
    <row r="96" spans="1:13">
      <c r="A96" s="292">
        <v>252</v>
      </c>
      <c r="B96" s="66" t="s">
        <v>1302</v>
      </c>
      <c r="C96" s="60"/>
      <c r="D96" s="54" t="s">
        <v>168</v>
      </c>
      <c r="E96" s="435" t="str">
        <f>IFERROR(VLOOKUP(D96,Mychart!$A$125:$B$811,2,FALSE),"-")</f>
        <v>UTS Carrier</v>
      </c>
      <c r="F96" s="676" t="s">
        <v>232</v>
      </c>
      <c r="G96" s="58">
        <v>3</v>
      </c>
      <c r="H96" s="58"/>
      <c r="I96" s="58"/>
      <c r="J96" s="58"/>
      <c r="K96" s="137"/>
      <c r="L96" s="56" t="s">
        <v>1197</v>
      </c>
      <c r="M96" s="292">
        <v>252</v>
      </c>
    </row>
    <row r="97" spans="1:13">
      <c r="A97" s="292">
        <v>252</v>
      </c>
      <c r="B97" s="66" t="s">
        <v>1302</v>
      </c>
      <c r="C97" s="60"/>
      <c r="D97" s="54" t="s">
        <v>168</v>
      </c>
      <c r="E97" s="435" t="str">
        <f>IFERROR(VLOOKUP(D97,Mychart!$A$125:$B$811,2,FALSE),"-")</f>
        <v>UTS Carrier</v>
      </c>
      <c r="F97" s="676" t="s">
        <v>233</v>
      </c>
      <c r="G97" s="58">
        <v>3</v>
      </c>
      <c r="H97" s="58"/>
      <c r="I97" s="58"/>
      <c r="J97" s="58"/>
      <c r="K97" s="137"/>
      <c r="L97" s="56" t="s">
        <v>1197</v>
      </c>
      <c r="M97" s="292">
        <v>252</v>
      </c>
    </row>
    <row r="98" spans="1:13">
      <c r="A98" s="292">
        <v>252</v>
      </c>
      <c r="B98" s="66" t="s">
        <v>1302</v>
      </c>
      <c r="C98" s="60"/>
      <c r="D98" s="54" t="s">
        <v>168</v>
      </c>
      <c r="E98" s="435" t="str">
        <f>IFERROR(VLOOKUP(D98,Mychart!$A$125:$B$811,2,FALSE),"-")</f>
        <v>UTS Carrier</v>
      </c>
      <c r="F98" s="676" t="s">
        <v>1099</v>
      </c>
      <c r="G98" s="58">
        <v>3</v>
      </c>
      <c r="H98" s="58"/>
      <c r="I98" s="58"/>
      <c r="J98" s="58"/>
      <c r="K98" s="137"/>
      <c r="L98" s="56" t="s">
        <v>1197</v>
      </c>
      <c r="M98" s="292">
        <v>252</v>
      </c>
    </row>
    <row r="99" spans="1:13">
      <c r="A99" s="292">
        <v>252</v>
      </c>
      <c r="B99" s="66" t="s">
        <v>1302</v>
      </c>
      <c r="C99" s="60"/>
      <c r="D99" s="54" t="s">
        <v>168</v>
      </c>
      <c r="E99" s="435" t="str">
        <f>IFERROR(VLOOKUP(D99,Mychart!$A$125:$B$811,2,FALSE),"-")</f>
        <v>UTS Carrier</v>
      </c>
      <c r="F99" s="676" t="s">
        <v>1100</v>
      </c>
      <c r="G99" s="58">
        <v>3</v>
      </c>
      <c r="H99" s="58"/>
      <c r="I99" s="58"/>
      <c r="J99" s="58"/>
      <c r="K99" s="137"/>
      <c r="L99" s="56" t="s">
        <v>1197</v>
      </c>
      <c r="M99" s="292">
        <v>252</v>
      </c>
    </row>
    <row r="100" spans="1:13">
      <c r="A100" s="292">
        <v>252</v>
      </c>
      <c r="B100" s="66" t="s">
        <v>1302</v>
      </c>
      <c r="C100" s="60"/>
      <c r="D100" s="54" t="s">
        <v>168</v>
      </c>
      <c r="E100" s="435" t="str">
        <f>IFERROR(VLOOKUP(D100,Mychart!$A$125:$B$811,2,FALSE),"-")</f>
        <v>UTS Carrier</v>
      </c>
      <c r="F100" s="676" t="s">
        <v>1236</v>
      </c>
      <c r="G100" s="58">
        <v>15</v>
      </c>
      <c r="H100" s="58"/>
      <c r="I100" s="58"/>
      <c r="J100" s="58"/>
      <c r="K100" s="137"/>
      <c r="L100" s="56" t="s">
        <v>1197</v>
      </c>
      <c r="M100" s="292">
        <v>252</v>
      </c>
    </row>
    <row r="101" spans="1:13">
      <c r="A101" s="292">
        <v>252</v>
      </c>
      <c r="B101" s="66" t="s">
        <v>1302</v>
      </c>
      <c r="C101" s="60"/>
      <c r="D101" s="54" t="s">
        <v>168</v>
      </c>
      <c r="E101" s="435" t="str">
        <f>IFERROR(VLOOKUP(D101,Mychart!$A$125:$B$811,2,FALSE),"-")</f>
        <v>UTS Carrier</v>
      </c>
      <c r="F101" s="676"/>
      <c r="G101" s="58"/>
      <c r="H101" s="58"/>
      <c r="I101" s="58"/>
      <c r="J101" s="58"/>
      <c r="K101" s="137"/>
      <c r="L101" s="56" t="s">
        <v>1197</v>
      </c>
      <c r="M101" s="292">
        <v>252</v>
      </c>
    </row>
    <row r="102" spans="1:13">
      <c r="A102" s="292">
        <v>241</v>
      </c>
      <c r="B102" s="66" t="s">
        <v>1198</v>
      </c>
      <c r="C102" s="60"/>
      <c r="D102" s="54" t="s">
        <v>168</v>
      </c>
      <c r="E102" s="435" t="str">
        <f>IFERROR(VLOOKUP(D102,Mychart!$A$125:$B$811,2,FALSE),"-")</f>
        <v>UTS Carrier</v>
      </c>
      <c r="F102" s="676" t="s">
        <v>1175</v>
      </c>
      <c r="G102" s="58">
        <v>2</v>
      </c>
      <c r="H102" s="58"/>
      <c r="I102" s="58"/>
      <c r="J102" s="58"/>
      <c r="K102" s="137"/>
      <c r="L102" s="56" t="s">
        <v>1199</v>
      </c>
      <c r="M102" s="292">
        <v>241</v>
      </c>
    </row>
    <row r="103" spans="1:13">
      <c r="A103" s="292">
        <v>241</v>
      </c>
      <c r="B103" s="66" t="s">
        <v>1198</v>
      </c>
      <c r="C103" s="60"/>
      <c r="D103" s="54" t="s">
        <v>168</v>
      </c>
      <c r="E103" s="435" t="str">
        <f>IFERROR(VLOOKUP(D103,Mychart!$A$125:$B$811,2,FALSE),"-")</f>
        <v>UTS Carrier</v>
      </c>
      <c r="F103" s="676" t="s">
        <v>826</v>
      </c>
      <c r="G103" s="58">
        <v>2</v>
      </c>
      <c r="H103" s="58"/>
      <c r="I103" s="58"/>
      <c r="J103" s="58"/>
      <c r="K103" s="137"/>
      <c r="L103" s="56" t="s">
        <v>1199</v>
      </c>
      <c r="M103" s="292">
        <v>241</v>
      </c>
    </row>
    <row r="104" spans="1:13">
      <c r="A104" s="292">
        <v>241</v>
      </c>
      <c r="B104" s="66" t="s">
        <v>1198</v>
      </c>
      <c r="C104" s="60"/>
      <c r="D104" s="54" t="s">
        <v>168</v>
      </c>
      <c r="E104" s="435" t="str">
        <f>IFERROR(VLOOKUP(D104,Mychart!$A$125:$B$811,2,FALSE),"-")</f>
        <v>UTS Carrier</v>
      </c>
      <c r="F104" s="676" t="s">
        <v>1177</v>
      </c>
      <c r="G104" s="58">
        <v>2</v>
      </c>
      <c r="H104" s="58"/>
      <c r="I104" s="58"/>
      <c r="J104" s="58"/>
      <c r="K104" s="137"/>
      <c r="L104" s="56" t="s">
        <v>1199</v>
      </c>
      <c r="M104" s="292">
        <v>241</v>
      </c>
    </row>
    <row r="105" spans="1:13">
      <c r="A105" s="292">
        <v>241</v>
      </c>
      <c r="B105" s="66" t="s">
        <v>1198</v>
      </c>
      <c r="C105" s="60"/>
      <c r="D105" s="54" t="s">
        <v>168</v>
      </c>
      <c r="E105" s="435" t="str">
        <f>IFERROR(VLOOKUP(D105,Mychart!$A$125:$B$811,2,FALSE),"-")</f>
        <v>UTS Carrier</v>
      </c>
      <c r="F105" s="676" t="s">
        <v>237</v>
      </c>
      <c r="G105" s="58">
        <v>2</v>
      </c>
      <c r="H105" s="58"/>
      <c r="I105" s="58"/>
      <c r="J105" s="58"/>
      <c r="K105" s="137"/>
      <c r="L105" s="56" t="s">
        <v>1199</v>
      </c>
      <c r="M105" s="292">
        <v>241</v>
      </c>
    </row>
    <row r="106" spans="1:13">
      <c r="A106" s="292">
        <v>241</v>
      </c>
      <c r="B106" s="66" t="s">
        <v>1198</v>
      </c>
      <c r="C106" s="60"/>
      <c r="D106" s="54" t="s">
        <v>168</v>
      </c>
      <c r="E106" s="435" t="str">
        <f>IFERROR(VLOOKUP(D106,Mychart!$A$125:$B$811,2,FALSE),"-")</f>
        <v>UTS Carrier</v>
      </c>
      <c r="F106" s="676" t="s">
        <v>1200</v>
      </c>
      <c r="G106" s="58">
        <v>2</v>
      </c>
      <c r="H106" s="58"/>
      <c r="I106" s="58"/>
      <c r="J106" s="58"/>
      <c r="K106" s="137"/>
      <c r="L106" s="56" t="s">
        <v>1199</v>
      </c>
      <c r="M106" s="292">
        <v>241</v>
      </c>
    </row>
    <row r="107" spans="1:13">
      <c r="A107" s="292">
        <v>241</v>
      </c>
      <c r="B107" s="66" t="s">
        <v>1198</v>
      </c>
      <c r="C107" s="60"/>
      <c r="D107" s="54" t="s">
        <v>168</v>
      </c>
      <c r="E107" s="435" t="str">
        <f>IFERROR(VLOOKUP(D107,Mychart!$A$125:$B$811,2,FALSE),"-")</f>
        <v>UTS Carrier</v>
      </c>
      <c r="F107" s="676" t="s">
        <v>239</v>
      </c>
      <c r="G107" s="58">
        <v>2</v>
      </c>
      <c r="H107" s="58"/>
      <c r="I107" s="58"/>
      <c r="J107" s="58"/>
      <c r="K107" s="137"/>
      <c r="L107" s="56" t="s">
        <v>1199</v>
      </c>
      <c r="M107" s="292">
        <v>241</v>
      </c>
    </row>
    <row r="108" spans="1:13">
      <c r="A108" s="292">
        <v>241</v>
      </c>
      <c r="B108" s="66" t="s">
        <v>1198</v>
      </c>
      <c r="C108" s="60"/>
      <c r="D108" s="54" t="s">
        <v>168</v>
      </c>
      <c r="E108" s="435" t="str">
        <f>IFERROR(VLOOKUP(D108,Mychart!$A$125:$B$811,2,FALSE),"-")</f>
        <v>UTS Carrier</v>
      </c>
      <c r="F108" s="676" t="s">
        <v>1183</v>
      </c>
      <c r="G108" s="58">
        <v>1</v>
      </c>
      <c r="H108" s="58"/>
      <c r="I108" s="58"/>
      <c r="J108" s="58"/>
      <c r="K108" s="137"/>
      <c r="L108" s="56" t="s">
        <v>1199</v>
      </c>
      <c r="M108" s="292">
        <v>241</v>
      </c>
    </row>
    <row r="109" spans="1:13">
      <c r="A109" s="292">
        <v>241</v>
      </c>
      <c r="B109" s="66" t="s">
        <v>1198</v>
      </c>
      <c r="C109" s="60"/>
      <c r="D109" s="54" t="s">
        <v>168</v>
      </c>
      <c r="E109" s="435" t="str">
        <f>IFERROR(VLOOKUP(D109,Mychart!$A$125:$B$811,2,FALSE),"-")</f>
        <v>UTS Carrier</v>
      </c>
      <c r="F109" s="676" t="s">
        <v>1184</v>
      </c>
      <c r="G109" s="58">
        <v>1</v>
      </c>
      <c r="H109" s="58"/>
      <c r="I109" s="58"/>
      <c r="J109" s="58"/>
      <c r="K109" s="137"/>
      <c r="L109" s="56" t="s">
        <v>1199</v>
      </c>
      <c r="M109" s="292">
        <v>241</v>
      </c>
    </row>
    <row r="110" spans="1:13">
      <c r="A110" s="292">
        <v>241</v>
      </c>
      <c r="B110" s="66" t="s">
        <v>1198</v>
      </c>
      <c r="C110" s="60"/>
      <c r="D110" s="54" t="s">
        <v>168</v>
      </c>
      <c r="E110" s="435" t="str">
        <f>IFERROR(VLOOKUP(D110,Mychart!$A$125:$B$811,2,FALSE),"-")</f>
        <v>UTS Carrier</v>
      </c>
      <c r="F110" s="676" t="s">
        <v>1185</v>
      </c>
      <c r="G110" s="58">
        <v>5</v>
      </c>
      <c r="H110" s="58"/>
      <c r="I110" s="58"/>
      <c r="J110" s="58"/>
      <c r="K110" s="137"/>
      <c r="L110" s="56" t="s">
        <v>1199</v>
      </c>
      <c r="M110" s="292">
        <v>241</v>
      </c>
    </row>
    <row r="111" spans="1:13">
      <c r="A111" s="292">
        <v>241</v>
      </c>
      <c r="B111" s="66" t="s">
        <v>1198</v>
      </c>
      <c r="C111" s="60"/>
      <c r="D111" s="54" t="s">
        <v>168</v>
      </c>
      <c r="E111" s="435" t="str">
        <f>IFERROR(VLOOKUP(D111,Mychart!$A$125:$B$811,2,FALSE),"-")</f>
        <v>UTS Carrier</v>
      </c>
      <c r="F111" s="676" t="s">
        <v>1193</v>
      </c>
      <c r="G111" s="58">
        <v>5</v>
      </c>
      <c r="H111" s="58"/>
      <c r="I111" s="58"/>
      <c r="J111" s="58"/>
      <c r="K111" s="137"/>
      <c r="L111" s="56" t="s">
        <v>1199</v>
      </c>
      <c r="M111" s="292">
        <v>241</v>
      </c>
    </row>
    <row r="112" spans="1:13">
      <c r="A112" s="292">
        <v>241</v>
      </c>
      <c r="B112" s="66" t="s">
        <v>1198</v>
      </c>
      <c r="C112" s="60"/>
      <c r="D112" s="54" t="s">
        <v>168</v>
      </c>
      <c r="E112" s="435" t="str">
        <f>IFERROR(VLOOKUP(D112,Mychart!$A$125:$B$811,2,FALSE),"-")</f>
        <v>UTS Carrier</v>
      </c>
      <c r="F112" s="676" t="s">
        <v>832</v>
      </c>
      <c r="G112" s="58">
        <v>4</v>
      </c>
      <c r="H112" s="58"/>
      <c r="I112" s="58"/>
      <c r="J112" s="58"/>
      <c r="K112" s="137"/>
      <c r="L112" s="56" t="s">
        <v>1199</v>
      </c>
      <c r="M112" s="292">
        <v>241</v>
      </c>
    </row>
    <row r="113" spans="1:13">
      <c r="A113" s="292">
        <v>241</v>
      </c>
      <c r="B113" s="66" t="s">
        <v>1198</v>
      </c>
      <c r="C113" s="60"/>
      <c r="D113" s="54" t="s">
        <v>168</v>
      </c>
      <c r="E113" s="435" t="str">
        <f>IFERROR(VLOOKUP(D113,Mychart!$A$125:$B$811,2,FALSE),"-")</f>
        <v>UTS Carrier</v>
      </c>
      <c r="F113" s="676" t="s">
        <v>1194</v>
      </c>
      <c r="G113" s="58">
        <v>4</v>
      </c>
      <c r="H113" s="58"/>
      <c r="I113" s="58"/>
      <c r="J113" s="58"/>
      <c r="K113" s="137"/>
      <c r="L113" s="56" t="s">
        <v>1199</v>
      </c>
      <c r="M113" s="292">
        <v>241</v>
      </c>
    </row>
    <row r="114" spans="1:13">
      <c r="A114" s="292">
        <v>241</v>
      </c>
      <c r="B114" s="66" t="s">
        <v>1198</v>
      </c>
      <c r="C114" s="60"/>
      <c r="D114" s="54" t="s">
        <v>168</v>
      </c>
      <c r="E114" s="435" t="str">
        <f>IFERROR(VLOOKUP(D114,Mychart!$A$125:$B$811,2,FALSE),"-")</f>
        <v>UTS Carrier</v>
      </c>
      <c r="F114" s="676" t="s">
        <v>1195</v>
      </c>
      <c r="G114" s="58">
        <v>1</v>
      </c>
      <c r="H114" s="58"/>
      <c r="I114" s="58"/>
      <c r="J114" s="58"/>
      <c r="K114" s="137"/>
      <c r="L114" s="56" t="s">
        <v>1199</v>
      </c>
      <c r="M114" s="292">
        <v>241</v>
      </c>
    </row>
    <row r="115" spans="1:13">
      <c r="A115" s="292">
        <v>241</v>
      </c>
      <c r="B115" s="66" t="s">
        <v>1198</v>
      </c>
      <c r="C115" s="60"/>
      <c r="D115" s="54" t="s">
        <v>168</v>
      </c>
      <c r="E115" s="435" t="str">
        <f>IFERROR(VLOOKUP(D115,Mychart!$A$125:$B$811,2,FALSE),"-")</f>
        <v>UTS Carrier</v>
      </c>
      <c r="F115" s="676" t="s">
        <v>1196</v>
      </c>
      <c r="G115" s="58">
        <v>1</v>
      </c>
      <c r="H115" s="58"/>
      <c r="I115" s="58"/>
      <c r="J115" s="58"/>
      <c r="K115" s="137"/>
      <c r="L115" s="56" t="s">
        <v>1199</v>
      </c>
      <c r="M115" s="292">
        <v>241</v>
      </c>
    </row>
    <row r="116" spans="1:13">
      <c r="A116" s="292">
        <v>241</v>
      </c>
      <c r="B116" s="66" t="s">
        <v>1198</v>
      </c>
      <c r="C116" s="60"/>
      <c r="D116" s="54" t="s">
        <v>168</v>
      </c>
      <c r="E116" s="435" t="str">
        <f>IFERROR(VLOOKUP(D116,Mychart!$A$125:$B$811,2,FALSE),"-")</f>
        <v>UTS Carrier</v>
      </c>
      <c r="F116" s="676"/>
      <c r="G116" s="58"/>
      <c r="H116" s="58"/>
      <c r="I116" s="58">
        <v>95425</v>
      </c>
      <c r="J116" s="58">
        <v>4771.25</v>
      </c>
      <c r="K116" s="137"/>
      <c r="L116" s="56" t="s">
        <v>1199</v>
      </c>
      <c r="M116" s="292">
        <v>241</v>
      </c>
    </row>
    <row r="117" spans="1:13">
      <c r="A117" s="292">
        <v>262</v>
      </c>
      <c r="B117" s="66" t="s">
        <v>1201</v>
      </c>
      <c r="C117" s="60"/>
      <c r="D117" s="54" t="s">
        <v>168</v>
      </c>
      <c r="E117" s="435" t="str">
        <f>IFERROR(VLOOKUP(D117,Mychart!$A$125:$B$811,2,FALSE),"-")</f>
        <v>UTS Carrier</v>
      </c>
      <c r="F117" s="676" t="s">
        <v>825</v>
      </c>
      <c r="G117" s="58">
        <v>1</v>
      </c>
      <c r="H117" s="58"/>
      <c r="I117" s="58"/>
      <c r="J117" s="58"/>
      <c r="K117" s="137"/>
      <c r="L117" s="56" t="s">
        <v>1202</v>
      </c>
      <c r="M117" s="292">
        <v>262</v>
      </c>
    </row>
    <row r="118" spans="1:13">
      <c r="A118" s="292">
        <v>262</v>
      </c>
      <c r="B118" s="66" t="s">
        <v>1201</v>
      </c>
      <c r="C118" s="60"/>
      <c r="D118" s="54" t="s">
        <v>168</v>
      </c>
      <c r="E118" s="435" t="str">
        <f>IFERROR(VLOOKUP(D118,Mychart!$A$125:$B$811,2,FALSE),"-")</f>
        <v>UTS Carrier</v>
      </c>
      <c r="F118" s="676" t="s">
        <v>826</v>
      </c>
      <c r="G118" s="58">
        <v>1</v>
      </c>
      <c r="H118" s="58"/>
      <c r="I118" s="58"/>
      <c r="J118" s="58"/>
      <c r="K118" s="137"/>
      <c r="L118" s="56" t="s">
        <v>1202</v>
      </c>
      <c r="M118" s="292">
        <v>262</v>
      </c>
    </row>
    <row r="119" spans="1:13">
      <c r="A119" s="292">
        <v>262</v>
      </c>
      <c r="B119" s="66" t="s">
        <v>1201</v>
      </c>
      <c r="C119" s="60"/>
      <c r="D119" s="54" t="s">
        <v>168</v>
      </c>
      <c r="E119" s="435" t="str">
        <f>IFERROR(VLOOKUP(D119,Mychart!$A$125:$B$811,2,FALSE),"-")</f>
        <v>UTS Carrier</v>
      </c>
      <c r="F119" s="676" t="s">
        <v>236</v>
      </c>
      <c r="G119" s="58">
        <v>1</v>
      </c>
      <c r="H119" s="58"/>
      <c r="I119" s="58"/>
      <c r="J119" s="58"/>
      <c r="K119" s="137"/>
      <c r="L119" s="56" t="s">
        <v>1202</v>
      </c>
      <c r="M119" s="292">
        <v>262</v>
      </c>
    </row>
    <row r="120" spans="1:13">
      <c r="A120" s="292">
        <v>262</v>
      </c>
      <c r="B120" s="66" t="s">
        <v>1201</v>
      </c>
      <c r="C120" s="60"/>
      <c r="D120" s="54" t="s">
        <v>168</v>
      </c>
      <c r="E120" s="435" t="str">
        <f>IFERROR(VLOOKUP(D120,Mychart!$A$125:$B$811,2,FALSE),"-")</f>
        <v>UTS Carrier</v>
      </c>
      <c r="F120" s="676" t="s">
        <v>237</v>
      </c>
      <c r="G120" s="58">
        <v>1</v>
      </c>
      <c r="H120" s="58"/>
      <c r="I120" s="58"/>
      <c r="J120" s="58"/>
      <c r="K120" s="137"/>
      <c r="L120" s="56" t="s">
        <v>1202</v>
      </c>
      <c r="M120" s="292">
        <v>262</v>
      </c>
    </row>
    <row r="121" spans="1:13">
      <c r="A121" s="292">
        <v>262</v>
      </c>
      <c r="B121" s="66" t="s">
        <v>1201</v>
      </c>
      <c r="C121" s="60"/>
      <c r="D121" s="54" t="s">
        <v>168</v>
      </c>
      <c r="E121" s="435" t="str">
        <f>IFERROR(VLOOKUP(D121,Mychart!$A$125:$B$811,2,FALSE),"-")</f>
        <v>UTS Carrier</v>
      </c>
      <c r="F121" s="676" t="s">
        <v>827</v>
      </c>
      <c r="G121" s="58">
        <v>1</v>
      </c>
      <c r="H121" s="58"/>
      <c r="I121" s="58"/>
      <c r="J121" s="58"/>
      <c r="K121" s="137"/>
      <c r="L121" s="56" t="s">
        <v>1202</v>
      </c>
      <c r="M121" s="292">
        <v>262</v>
      </c>
    </row>
    <row r="122" spans="1:13">
      <c r="A122" s="292">
        <v>262</v>
      </c>
      <c r="B122" s="66" t="s">
        <v>1201</v>
      </c>
      <c r="C122" s="60"/>
      <c r="D122" s="54" t="s">
        <v>168</v>
      </c>
      <c r="E122" s="435" t="str">
        <f>IFERROR(VLOOKUP(D122,Mychart!$A$125:$B$811,2,FALSE),"-")</f>
        <v>UTS Carrier</v>
      </c>
      <c r="F122" s="676" t="s">
        <v>828</v>
      </c>
      <c r="G122" s="58">
        <v>1</v>
      </c>
      <c r="H122" s="58"/>
      <c r="I122" s="58"/>
      <c r="J122" s="58"/>
      <c r="K122" s="137"/>
      <c r="L122" s="56" t="s">
        <v>1202</v>
      </c>
      <c r="M122" s="292">
        <v>262</v>
      </c>
    </row>
    <row r="123" spans="1:13">
      <c r="A123" s="292">
        <v>262</v>
      </c>
      <c r="B123" s="66" t="s">
        <v>1201</v>
      </c>
      <c r="C123" s="60"/>
      <c r="D123" s="54" t="s">
        <v>168</v>
      </c>
      <c r="E123" s="435" t="str">
        <f>IFERROR(VLOOKUP(D123,Mychart!$A$125:$B$811,2,FALSE),"-")</f>
        <v>UTS Carrier</v>
      </c>
      <c r="F123" s="676" t="s">
        <v>232</v>
      </c>
      <c r="G123" s="58">
        <v>6</v>
      </c>
      <c r="H123" s="58"/>
      <c r="I123" s="58"/>
      <c r="J123" s="58"/>
      <c r="K123" s="137"/>
      <c r="L123" s="56" t="s">
        <v>1202</v>
      </c>
      <c r="M123" s="292">
        <v>262</v>
      </c>
    </row>
    <row r="124" spans="1:13">
      <c r="A124" s="292">
        <v>262</v>
      </c>
      <c r="B124" s="66" t="s">
        <v>1201</v>
      </c>
      <c r="C124" s="60"/>
      <c r="D124" s="54" t="s">
        <v>168</v>
      </c>
      <c r="E124" s="435" t="str">
        <f>IFERROR(VLOOKUP(D124,Mychart!$A$125:$B$811,2,FALSE),"-")</f>
        <v>UTS Carrier</v>
      </c>
      <c r="F124" s="676" t="s">
        <v>233</v>
      </c>
      <c r="G124" s="58">
        <v>6</v>
      </c>
      <c r="H124" s="58"/>
      <c r="I124" s="58"/>
      <c r="J124" s="58"/>
      <c r="K124" s="137"/>
      <c r="L124" s="56" t="s">
        <v>1202</v>
      </c>
      <c r="M124" s="292">
        <v>262</v>
      </c>
    </row>
    <row r="125" spans="1:13">
      <c r="A125" s="292">
        <v>262</v>
      </c>
      <c r="B125" s="66" t="s">
        <v>1201</v>
      </c>
      <c r="C125" s="60"/>
      <c r="D125" s="54" t="s">
        <v>168</v>
      </c>
      <c r="E125" s="435" t="str">
        <f>IFERROR(VLOOKUP(D125,Mychart!$A$125:$B$811,2,FALSE),"-")</f>
        <v>UTS Carrier</v>
      </c>
      <c r="F125" s="676" t="s">
        <v>1099</v>
      </c>
      <c r="G125" s="58">
        <v>1</v>
      </c>
      <c r="H125" s="58"/>
      <c r="I125" s="58"/>
      <c r="J125" s="58"/>
      <c r="K125" s="137"/>
      <c r="L125" s="56" t="s">
        <v>1202</v>
      </c>
      <c r="M125" s="292">
        <v>262</v>
      </c>
    </row>
    <row r="126" spans="1:13">
      <c r="A126" s="292">
        <v>262</v>
      </c>
      <c r="B126" s="66" t="s">
        <v>1201</v>
      </c>
      <c r="C126" s="60"/>
      <c r="D126" s="54" t="s">
        <v>168</v>
      </c>
      <c r="E126" s="435" t="str">
        <f>IFERROR(VLOOKUP(D126,Mychart!$A$125:$B$811,2,FALSE),"-")</f>
        <v>UTS Carrier</v>
      </c>
      <c r="F126" s="676" t="s">
        <v>1100</v>
      </c>
      <c r="G126" s="58">
        <v>1</v>
      </c>
      <c r="H126" s="58"/>
      <c r="I126" s="58"/>
      <c r="J126" s="58"/>
      <c r="K126" s="137"/>
      <c r="L126" s="56" t="s">
        <v>1202</v>
      </c>
      <c r="M126" s="292">
        <v>262</v>
      </c>
    </row>
    <row r="127" spans="1:13">
      <c r="A127" s="292">
        <v>262</v>
      </c>
      <c r="B127" s="66" t="s">
        <v>1201</v>
      </c>
      <c r="C127" s="60"/>
      <c r="D127" s="54" t="s">
        <v>168</v>
      </c>
      <c r="E127" s="435" t="str">
        <f>IFERROR(VLOOKUP(D127,Mychart!$A$125:$B$811,2,FALSE),"-")</f>
        <v>UTS Carrier</v>
      </c>
      <c r="F127" s="676" t="s">
        <v>832</v>
      </c>
      <c r="G127" s="58">
        <v>1</v>
      </c>
      <c r="H127" s="58"/>
      <c r="I127" s="58"/>
      <c r="J127" s="58"/>
      <c r="K127" s="137"/>
      <c r="L127" s="56" t="s">
        <v>1202</v>
      </c>
      <c r="M127" s="292">
        <v>262</v>
      </c>
    </row>
    <row r="128" spans="1:13">
      <c r="A128" s="292">
        <v>262</v>
      </c>
      <c r="B128" s="66" t="s">
        <v>1201</v>
      </c>
      <c r="C128" s="60"/>
      <c r="D128" s="54" t="s">
        <v>168</v>
      </c>
      <c r="E128" s="435" t="str">
        <f>IFERROR(VLOOKUP(D128,Mychart!$A$125:$B$811,2,FALSE),"-")</f>
        <v>UTS Carrier</v>
      </c>
      <c r="F128" s="676" t="s">
        <v>833</v>
      </c>
      <c r="G128" s="58">
        <v>1</v>
      </c>
      <c r="H128" s="58"/>
      <c r="I128" s="58"/>
      <c r="J128" s="58"/>
      <c r="K128" s="137"/>
      <c r="L128" s="56" t="s">
        <v>1202</v>
      </c>
      <c r="M128" s="292">
        <v>262</v>
      </c>
    </row>
    <row r="129" spans="1:13">
      <c r="A129" s="292">
        <v>262</v>
      </c>
      <c r="B129" s="66" t="s">
        <v>1201</v>
      </c>
      <c r="C129" s="60"/>
      <c r="D129" s="54" t="s">
        <v>168</v>
      </c>
      <c r="E129" s="435" t="str">
        <f>IFERROR(VLOOKUP(D129,Mychart!$A$125:$B$811,2,FALSE),"-")</f>
        <v>UTS Carrier</v>
      </c>
      <c r="F129" s="676" t="s">
        <v>1203</v>
      </c>
      <c r="G129" s="58">
        <v>1</v>
      </c>
      <c r="H129" s="58"/>
      <c r="I129" s="58"/>
      <c r="J129" s="58"/>
      <c r="K129" s="137"/>
      <c r="L129" s="56" t="s">
        <v>1202</v>
      </c>
      <c r="M129" s="292">
        <v>262</v>
      </c>
    </row>
    <row r="130" spans="1:13">
      <c r="A130" s="292">
        <v>262</v>
      </c>
      <c r="B130" s="66" t="s">
        <v>1201</v>
      </c>
      <c r="C130" s="60"/>
      <c r="D130" s="54" t="s">
        <v>168</v>
      </c>
      <c r="E130" s="435" t="str">
        <f>IFERROR(VLOOKUP(D130,Mychart!$A$125:$B$811,2,FALSE),"-")</f>
        <v>UTS Carrier</v>
      </c>
      <c r="F130" s="676" t="s">
        <v>1204</v>
      </c>
      <c r="G130" s="58">
        <v>1</v>
      </c>
      <c r="H130" s="58"/>
      <c r="I130" s="58"/>
      <c r="J130" s="58"/>
      <c r="K130" s="137"/>
      <c r="L130" s="56" t="s">
        <v>1202</v>
      </c>
      <c r="M130" s="292">
        <v>262</v>
      </c>
    </row>
    <row r="131" spans="1:13">
      <c r="A131" s="292">
        <v>262</v>
      </c>
      <c r="B131" s="66" t="s">
        <v>1201</v>
      </c>
      <c r="C131" s="60"/>
      <c r="D131" s="54" t="s">
        <v>168</v>
      </c>
      <c r="E131" s="435" t="str">
        <f>IFERROR(VLOOKUP(D131,Mychart!$A$125:$B$811,2,FALSE),"-")</f>
        <v>UTS Carrier</v>
      </c>
      <c r="F131" s="676"/>
      <c r="G131" s="58"/>
      <c r="H131" s="58"/>
      <c r="I131" s="58">
        <v>75460</v>
      </c>
      <c r="J131" s="58">
        <v>3773</v>
      </c>
      <c r="K131" s="137"/>
      <c r="L131" s="56" t="s">
        <v>1202</v>
      </c>
      <c r="M131" s="292">
        <v>262</v>
      </c>
    </row>
    <row r="132" spans="1:13">
      <c r="A132" s="292">
        <v>245</v>
      </c>
      <c r="B132" s="66" t="s">
        <v>1225</v>
      </c>
      <c r="C132" s="60"/>
      <c r="D132" s="54" t="s">
        <v>168</v>
      </c>
      <c r="E132" s="435" t="str">
        <f>IFERROR(VLOOKUP(D132,Mychart!$A$125:$B$811,2,FALSE),"-")</f>
        <v>UTS Carrier</v>
      </c>
      <c r="F132" s="676" t="s">
        <v>1177</v>
      </c>
      <c r="G132" s="58">
        <v>1</v>
      </c>
      <c r="H132" s="58"/>
      <c r="I132" s="58"/>
      <c r="J132" s="58"/>
      <c r="K132" s="137"/>
      <c r="L132" s="56" t="s">
        <v>192</v>
      </c>
      <c r="M132" s="292">
        <v>245</v>
      </c>
    </row>
    <row r="133" spans="1:13">
      <c r="A133" s="292">
        <v>245</v>
      </c>
      <c r="B133" s="66" t="s">
        <v>1225</v>
      </c>
      <c r="C133" s="60"/>
      <c r="D133" s="54" t="s">
        <v>168</v>
      </c>
      <c r="E133" s="435" t="str">
        <f>IFERROR(VLOOKUP(D133,Mychart!$A$125:$B$811,2,FALSE),"-")</f>
        <v>UTS Carrier</v>
      </c>
      <c r="F133" s="676" t="s">
        <v>237</v>
      </c>
      <c r="G133" s="58">
        <v>1</v>
      </c>
      <c r="H133" s="58"/>
      <c r="I133" s="58"/>
      <c r="J133" s="58"/>
      <c r="K133" s="137"/>
      <c r="L133" s="56" t="s">
        <v>192</v>
      </c>
      <c r="M133" s="292">
        <v>245</v>
      </c>
    </row>
    <row r="134" spans="1:13">
      <c r="A134" s="292">
        <v>245</v>
      </c>
      <c r="B134" s="66" t="s">
        <v>1225</v>
      </c>
      <c r="C134" s="60"/>
      <c r="D134" s="54" t="s">
        <v>168</v>
      </c>
      <c r="E134" s="435" t="str">
        <f>IFERROR(VLOOKUP(D134,Mychart!$A$125:$B$811,2,FALSE),"-")</f>
        <v>UTS Carrier</v>
      </c>
      <c r="F134" s="676" t="s">
        <v>1168</v>
      </c>
      <c r="G134" s="58">
        <v>3</v>
      </c>
      <c r="H134" s="58"/>
      <c r="I134" s="58"/>
      <c r="J134" s="58"/>
      <c r="K134" s="137"/>
      <c r="L134" s="56" t="s">
        <v>192</v>
      </c>
      <c r="M134" s="292">
        <v>245</v>
      </c>
    </row>
    <row r="135" spans="1:13">
      <c r="A135" s="292">
        <v>245</v>
      </c>
      <c r="B135" s="66" t="s">
        <v>1225</v>
      </c>
      <c r="C135" s="60"/>
      <c r="D135" s="54" t="s">
        <v>168</v>
      </c>
      <c r="E135" s="435" t="str">
        <f>IFERROR(VLOOKUP(D135,Mychart!$A$125:$B$811,2,FALSE),"-")</f>
        <v>UTS Carrier</v>
      </c>
      <c r="F135" s="676" t="s">
        <v>1226</v>
      </c>
      <c r="G135" s="58">
        <v>3</v>
      </c>
      <c r="H135" s="58"/>
      <c r="I135" s="58"/>
      <c r="J135" s="58"/>
      <c r="K135" s="137"/>
      <c r="L135" s="56" t="s">
        <v>192</v>
      </c>
      <c r="M135" s="292">
        <v>245</v>
      </c>
    </row>
    <row r="136" spans="1:13">
      <c r="A136" s="292">
        <v>245</v>
      </c>
      <c r="B136" s="66" t="s">
        <v>1225</v>
      </c>
      <c r="C136" s="60"/>
      <c r="D136" s="54" t="s">
        <v>168</v>
      </c>
      <c r="E136" s="435" t="str">
        <f>IFERROR(VLOOKUP(D136,Mychart!$A$125:$B$811,2,FALSE),"-")</f>
        <v>UTS Carrier</v>
      </c>
      <c r="F136" s="676" t="s">
        <v>1185</v>
      </c>
      <c r="G136" s="58">
        <v>6</v>
      </c>
      <c r="H136" s="58"/>
      <c r="I136" s="58"/>
      <c r="J136" s="58"/>
      <c r="K136" s="137"/>
      <c r="L136" s="56" t="s">
        <v>192</v>
      </c>
      <c r="M136" s="292">
        <v>245</v>
      </c>
    </row>
    <row r="137" spans="1:13">
      <c r="A137" s="292">
        <v>245</v>
      </c>
      <c r="B137" s="66" t="s">
        <v>1225</v>
      </c>
      <c r="C137" s="60"/>
      <c r="D137" s="54" t="s">
        <v>168</v>
      </c>
      <c r="E137" s="435" t="str">
        <f>IFERROR(VLOOKUP(D137,Mychart!$A$125:$B$811,2,FALSE),"-")</f>
        <v>UTS Carrier</v>
      </c>
      <c r="F137" s="676" t="s">
        <v>233</v>
      </c>
      <c r="G137" s="58">
        <v>6</v>
      </c>
      <c r="H137" s="58"/>
      <c r="I137" s="58"/>
      <c r="J137" s="58"/>
      <c r="K137" s="137"/>
      <c r="L137" s="56" t="s">
        <v>192</v>
      </c>
      <c r="M137" s="292">
        <v>245</v>
      </c>
    </row>
    <row r="138" spans="1:13">
      <c r="A138" s="292">
        <v>245</v>
      </c>
      <c r="B138" s="66" t="s">
        <v>1225</v>
      </c>
      <c r="C138" s="60"/>
      <c r="D138" s="54" t="s">
        <v>168</v>
      </c>
      <c r="E138" s="435" t="str">
        <f>IFERROR(VLOOKUP(D138,Mychart!$A$125:$B$811,2,FALSE),"-")</f>
        <v>UTS Carrier</v>
      </c>
      <c r="F138" s="676" t="s">
        <v>1169</v>
      </c>
      <c r="G138" s="58">
        <v>2</v>
      </c>
      <c r="H138" s="58"/>
      <c r="I138" s="58"/>
      <c r="J138" s="58"/>
      <c r="K138" s="137"/>
      <c r="L138" s="56" t="s">
        <v>192</v>
      </c>
      <c r="M138" s="292">
        <v>245</v>
      </c>
    </row>
    <row r="139" spans="1:13">
      <c r="A139" s="292">
        <v>245</v>
      </c>
      <c r="B139" s="66" t="s">
        <v>1225</v>
      </c>
      <c r="C139" s="60"/>
      <c r="D139" s="54" t="s">
        <v>168</v>
      </c>
      <c r="E139" s="435" t="str">
        <f>IFERROR(VLOOKUP(D139,Mychart!$A$125:$B$811,2,FALSE),"-")</f>
        <v>UTS Carrier</v>
      </c>
      <c r="F139" s="676" t="s">
        <v>1227</v>
      </c>
      <c r="G139" s="58">
        <v>2</v>
      </c>
      <c r="H139" s="58"/>
      <c r="I139" s="58"/>
      <c r="J139" s="58"/>
      <c r="K139" s="137"/>
      <c r="L139" s="56" t="s">
        <v>192</v>
      </c>
      <c r="M139" s="292">
        <v>245</v>
      </c>
    </row>
    <row r="140" spans="1:13">
      <c r="A140" s="292">
        <v>245</v>
      </c>
      <c r="B140" s="66" t="s">
        <v>1225</v>
      </c>
      <c r="C140" s="60"/>
      <c r="D140" s="54" t="s">
        <v>168</v>
      </c>
      <c r="E140" s="435" t="str">
        <f>IFERROR(VLOOKUP(D140,Mychart!$A$125:$B$811,2,FALSE),"-")</f>
        <v>UTS Carrier</v>
      </c>
      <c r="F140" s="676" t="s">
        <v>1228</v>
      </c>
      <c r="G140" s="58">
        <v>3</v>
      </c>
      <c r="H140" s="58"/>
      <c r="I140" s="58"/>
      <c r="J140" s="58"/>
      <c r="K140" s="137"/>
      <c r="L140" s="56" t="s">
        <v>192</v>
      </c>
      <c r="M140" s="292">
        <v>245</v>
      </c>
    </row>
    <row r="141" spans="1:13">
      <c r="A141" s="292">
        <v>245</v>
      </c>
      <c r="B141" s="66" t="s">
        <v>1225</v>
      </c>
      <c r="C141" s="60"/>
      <c r="D141" s="54" t="s">
        <v>168</v>
      </c>
      <c r="E141" s="435" t="str">
        <f>IFERROR(VLOOKUP(D141,Mychart!$A$125:$B$811,2,FALSE),"-")</f>
        <v>UTS Carrier</v>
      </c>
      <c r="F141" s="676" t="s">
        <v>833</v>
      </c>
      <c r="G141" s="58">
        <v>3</v>
      </c>
      <c r="H141" s="58"/>
      <c r="I141" s="58"/>
      <c r="J141" s="58"/>
      <c r="K141" s="137"/>
      <c r="L141" s="56" t="s">
        <v>192</v>
      </c>
      <c r="M141" s="292">
        <v>245</v>
      </c>
    </row>
    <row r="142" spans="1:13">
      <c r="A142" s="292">
        <v>245</v>
      </c>
      <c r="B142" s="66" t="s">
        <v>1225</v>
      </c>
      <c r="C142" s="60"/>
      <c r="D142" s="54" t="s">
        <v>168</v>
      </c>
      <c r="E142" s="435" t="str">
        <f>IFERROR(VLOOKUP(D142,Mychart!$A$125:$B$811,2,FALSE),"-")</f>
        <v>UTS Carrier</v>
      </c>
      <c r="F142" s="676" t="s">
        <v>1081</v>
      </c>
      <c r="G142" s="58">
        <v>1</v>
      </c>
      <c r="H142" s="58"/>
      <c r="I142" s="58"/>
      <c r="J142" s="58"/>
      <c r="K142" s="137"/>
      <c r="L142" s="56" t="s">
        <v>192</v>
      </c>
      <c r="M142" s="292">
        <v>245</v>
      </c>
    </row>
    <row r="143" spans="1:13">
      <c r="A143" s="292">
        <v>245</v>
      </c>
      <c r="B143" s="66" t="s">
        <v>1225</v>
      </c>
      <c r="C143" s="60"/>
      <c r="D143" s="54" t="s">
        <v>168</v>
      </c>
      <c r="E143" s="435" t="str">
        <f>IFERROR(VLOOKUP(D143,Mychart!$A$125:$B$811,2,FALSE),"-")</f>
        <v>UTS Carrier</v>
      </c>
      <c r="F143" s="676" t="s">
        <v>1229</v>
      </c>
      <c r="G143" s="58">
        <v>1</v>
      </c>
      <c r="H143" s="58"/>
      <c r="I143" s="58"/>
      <c r="J143" s="58"/>
      <c r="K143" s="137"/>
      <c r="L143" s="56" t="s">
        <v>192</v>
      </c>
      <c r="M143" s="292">
        <v>245</v>
      </c>
    </row>
    <row r="144" spans="1:13">
      <c r="A144" s="292">
        <v>245</v>
      </c>
      <c r="B144" s="66" t="s">
        <v>1225</v>
      </c>
      <c r="C144" s="60"/>
      <c r="D144" s="54" t="s">
        <v>168</v>
      </c>
      <c r="E144" s="435" t="str">
        <f>IFERROR(VLOOKUP(D144,Mychart!$A$125:$B$811,2,FALSE),"-")</f>
        <v>UTS Carrier</v>
      </c>
      <c r="F144" s="676" t="s">
        <v>1230</v>
      </c>
      <c r="G144" s="58">
        <v>1</v>
      </c>
      <c r="H144" s="58"/>
      <c r="I144" s="58"/>
      <c r="J144" s="58"/>
      <c r="K144" s="137"/>
      <c r="L144" s="56" t="s">
        <v>192</v>
      </c>
      <c r="M144" s="292">
        <v>245</v>
      </c>
    </row>
    <row r="145" spans="1:13">
      <c r="A145" s="292">
        <v>245</v>
      </c>
      <c r="B145" s="66" t="s">
        <v>1225</v>
      </c>
      <c r="C145" s="60"/>
      <c r="D145" s="54" t="s">
        <v>168</v>
      </c>
      <c r="E145" s="435" t="str">
        <f>IFERROR(VLOOKUP(D145,Mychart!$A$125:$B$811,2,FALSE),"-")</f>
        <v>UTS Carrier</v>
      </c>
      <c r="F145" s="676"/>
      <c r="G145" s="58"/>
      <c r="H145" s="58"/>
      <c r="I145" s="58"/>
      <c r="J145" s="58"/>
      <c r="K145" s="137"/>
      <c r="L145" s="56" t="s">
        <v>192</v>
      </c>
      <c r="M145" s="292">
        <v>245</v>
      </c>
    </row>
    <row r="146" spans="1:13">
      <c r="A146" s="292">
        <v>251</v>
      </c>
      <c r="B146" s="66" t="s">
        <v>1231</v>
      </c>
      <c r="C146" s="60"/>
      <c r="D146" s="54" t="s">
        <v>168</v>
      </c>
      <c r="E146" s="435" t="str">
        <f>IFERROR(VLOOKUP(D146,Mychart!$A$125:$B$811,2,FALSE),"-")</f>
        <v>UTS Carrier</v>
      </c>
      <c r="F146" s="676" t="s">
        <v>827</v>
      </c>
      <c r="G146" s="58">
        <v>5</v>
      </c>
      <c r="H146" s="58"/>
      <c r="I146" s="58"/>
      <c r="J146" s="58"/>
      <c r="K146" s="137"/>
      <c r="L146" s="56" t="s">
        <v>1232</v>
      </c>
      <c r="M146" s="292">
        <v>251</v>
      </c>
    </row>
    <row r="147" spans="1:13">
      <c r="A147" s="292">
        <v>251</v>
      </c>
      <c r="B147" s="66" t="s">
        <v>1231</v>
      </c>
      <c r="C147" s="60"/>
      <c r="D147" s="54" t="s">
        <v>168</v>
      </c>
      <c r="E147" s="435" t="str">
        <f>IFERROR(VLOOKUP(D147,Mychart!$A$125:$B$811,2,FALSE),"-")</f>
        <v>UTS Carrier</v>
      </c>
      <c r="F147" s="676" t="s">
        <v>828</v>
      </c>
      <c r="G147" s="58">
        <v>5</v>
      </c>
      <c r="H147" s="58"/>
      <c r="I147" s="58"/>
      <c r="J147" s="58"/>
      <c r="K147" s="137"/>
      <c r="L147" s="56" t="s">
        <v>1232</v>
      </c>
      <c r="M147" s="292">
        <v>251</v>
      </c>
    </row>
    <row r="148" spans="1:13">
      <c r="A148" s="292">
        <v>251</v>
      </c>
      <c r="B148" s="66" t="s">
        <v>1231</v>
      </c>
      <c r="C148" s="60"/>
      <c r="D148" s="54" t="s">
        <v>168</v>
      </c>
      <c r="E148" s="435" t="str">
        <f>IFERROR(VLOOKUP(D148,Mychart!$A$125:$B$811,2,FALSE),"-")</f>
        <v>UTS Carrier</v>
      </c>
      <c r="F148" s="676" t="s">
        <v>238</v>
      </c>
      <c r="G148" s="58">
        <v>2</v>
      </c>
      <c r="H148" s="58"/>
      <c r="I148" s="58"/>
      <c r="J148" s="58"/>
      <c r="K148" s="137"/>
      <c r="L148" s="56" t="s">
        <v>1232</v>
      </c>
      <c r="M148" s="292">
        <v>251</v>
      </c>
    </row>
    <row r="149" spans="1:13">
      <c r="A149" s="292">
        <v>251</v>
      </c>
      <c r="B149" s="66" t="s">
        <v>1231</v>
      </c>
      <c r="C149" s="60"/>
      <c r="D149" s="54" t="s">
        <v>168</v>
      </c>
      <c r="E149" s="435" t="str">
        <f>IFERROR(VLOOKUP(D149,Mychart!$A$125:$B$811,2,FALSE),"-")</f>
        <v>UTS Carrier</v>
      </c>
      <c r="F149" s="676" t="s">
        <v>239</v>
      </c>
      <c r="G149" s="58">
        <v>2</v>
      </c>
      <c r="H149" s="58"/>
      <c r="I149" s="58"/>
      <c r="J149" s="58"/>
      <c r="K149" s="137"/>
      <c r="L149" s="56" t="s">
        <v>1232</v>
      </c>
      <c r="M149" s="292">
        <v>251</v>
      </c>
    </row>
    <row r="150" spans="1:13">
      <c r="A150" s="292">
        <v>251</v>
      </c>
      <c r="B150" s="66" t="s">
        <v>1231</v>
      </c>
      <c r="C150" s="60"/>
      <c r="D150" s="54" t="s">
        <v>168</v>
      </c>
      <c r="E150" s="435" t="str">
        <f>IFERROR(VLOOKUP(D150,Mychart!$A$125:$B$811,2,FALSE),"-")</f>
        <v>UTS Carrier</v>
      </c>
      <c r="F150" s="676" t="s">
        <v>234</v>
      </c>
      <c r="G150" s="58">
        <v>1</v>
      </c>
      <c r="H150" s="58"/>
      <c r="I150" s="58"/>
      <c r="J150" s="58"/>
      <c r="K150" s="137"/>
      <c r="L150" s="56" t="s">
        <v>1232</v>
      </c>
      <c r="M150" s="292">
        <v>251</v>
      </c>
    </row>
    <row r="151" spans="1:13">
      <c r="A151" s="292">
        <v>251</v>
      </c>
      <c r="B151" s="66" t="s">
        <v>1231</v>
      </c>
      <c r="C151" s="60"/>
      <c r="D151" s="54" t="s">
        <v>168</v>
      </c>
      <c r="E151" s="435" t="str">
        <f>IFERROR(VLOOKUP(D151,Mychart!$A$125:$B$811,2,FALSE),"-")</f>
        <v>UTS Carrier</v>
      </c>
      <c r="F151" s="676" t="s">
        <v>235</v>
      </c>
      <c r="G151" s="58">
        <v>1</v>
      </c>
      <c r="H151" s="58"/>
      <c r="I151" s="58"/>
      <c r="J151" s="58"/>
      <c r="K151" s="137"/>
      <c r="L151" s="56" t="s">
        <v>1232</v>
      </c>
      <c r="M151" s="292">
        <v>251</v>
      </c>
    </row>
    <row r="152" spans="1:13">
      <c r="A152" s="292">
        <v>251</v>
      </c>
      <c r="B152" s="66" t="s">
        <v>1231</v>
      </c>
      <c r="C152" s="60"/>
      <c r="D152" s="54" t="s">
        <v>168</v>
      </c>
      <c r="E152" s="435" t="str">
        <f>IFERROR(VLOOKUP(D152,Mychart!$A$125:$B$811,2,FALSE),"-")</f>
        <v>UTS Carrier</v>
      </c>
      <c r="F152" s="676" t="s">
        <v>232</v>
      </c>
      <c r="G152" s="58">
        <v>4</v>
      </c>
      <c r="H152" s="58"/>
      <c r="I152" s="58"/>
      <c r="J152" s="58"/>
      <c r="K152" s="137"/>
      <c r="L152" s="56" t="s">
        <v>1232</v>
      </c>
      <c r="M152" s="292">
        <v>251</v>
      </c>
    </row>
    <row r="153" spans="1:13">
      <c r="A153" s="292">
        <v>251</v>
      </c>
      <c r="B153" s="66" t="s">
        <v>1231</v>
      </c>
      <c r="C153" s="60"/>
      <c r="D153" s="54" t="s">
        <v>168</v>
      </c>
      <c r="E153" s="435" t="str">
        <f>IFERROR(VLOOKUP(D153,Mychart!$A$125:$B$811,2,FALSE),"-")</f>
        <v>UTS Carrier</v>
      </c>
      <c r="F153" s="676" t="s">
        <v>233</v>
      </c>
      <c r="G153" s="58">
        <v>4</v>
      </c>
      <c r="H153" s="58"/>
      <c r="I153" s="58"/>
      <c r="J153" s="58"/>
      <c r="K153" s="137"/>
      <c r="L153" s="56" t="s">
        <v>1232</v>
      </c>
      <c r="M153" s="292">
        <v>251</v>
      </c>
    </row>
    <row r="154" spans="1:13">
      <c r="A154" s="292">
        <v>251</v>
      </c>
      <c r="B154" s="66" t="s">
        <v>1231</v>
      </c>
      <c r="C154" s="60"/>
      <c r="D154" s="54" t="s">
        <v>168</v>
      </c>
      <c r="E154" s="435" t="str">
        <f>IFERROR(VLOOKUP(D154,Mychart!$A$125:$B$811,2,FALSE),"-")</f>
        <v>UTS Carrier</v>
      </c>
      <c r="F154" s="676" t="s">
        <v>1099</v>
      </c>
      <c r="G154" s="58">
        <v>1</v>
      </c>
      <c r="H154" s="58"/>
      <c r="I154" s="58"/>
      <c r="J154" s="58"/>
      <c r="K154" s="137"/>
      <c r="L154" s="56" t="s">
        <v>1232</v>
      </c>
      <c r="M154" s="292">
        <v>251</v>
      </c>
    </row>
    <row r="155" spans="1:13">
      <c r="A155" s="292">
        <v>251</v>
      </c>
      <c r="B155" s="66" t="s">
        <v>1231</v>
      </c>
      <c r="C155" s="60"/>
      <c r="D155" s="54" t="s">
        <v>168</v>
      </c>
      <c r="E155" s="435" t="str">
        <f>IFERROR(VLOOKUP(D155,Mychart!$A$125:$B$811,2,FALSE),"-")</f>
        <v>UTS Carrier</v>
      </c>
      <c r="F155" s="676" t="s">
        <v>1100</v>
      </c>
      <c r="G155" s="58">
        <v>1</v>
      </c>
      <c r="H155" s="58"/>
      <c r="I155" s="58"/>
      <c r="J155" s="58"/>
      <c r="K155" s="137"/>
      <c r="L155" s="56" t="s">
        <v>1232</v>
      </c>
      <c r="M155" s="292">
        <v>251</v>
      </c>
    </row>
    <row r="156" spans="1:13">
      <c r="A156" s="292">
        <v>251</v>
      </c>
      <c r="B156" s="66" t="s">
        <v>1231</v>
      </c>
      <c r="C156" s="60"/>
      <c r="D156" s="54" t="s">
        <v>168</v>
      </c>
      <c r="E156" s="435" t="str">
        <f>IFERROR(VLOOKUP(D156,Mychart!$A$125:$B$811,2,FALSE),"-")</f>
        <v>UTS Carrier</v>
      </c>
      <c r="F156" s="676" t="s">
        <v>832</v>
      </c>
      <c r="G156" s="58">
        <v>2</v>
      </c>
      <c r="H156" s="58"/>
      <c r="I156" s="58"/>
      <c r="J156" s="58"/>
      <c r="K156" s="137"/>
      <c r="L156" s="56" t="s">
        <v>1232</v>
      </c>
      <c r="M156" s="292">
        <v>251</v>
      </c>
    </row>
    <row r="157" spans="1:13">
      <c r="A157" s="292">
        <v>251</v>
      </c>
      <c r="B157" s="66" t="s">
        <v>1231</v>
      </c>
      <c r="C157" s="60"/>
      <c r="D157" s="54" t="s">
        <v>168</v>
      </c>
      <c r="E157" s="435" t="str">
        <f>IFERROR(VLOOKUP(D157,Mychart!$A$125:$B$811,2,FALSE),"-")</f>
        <v>UTS Carrier</v>
      </c>
      <c r="F157" s="676" t="s">
        <v>833</v>
      </c>
      <c r="G157" s="58">
        <v>2</v>
      </c>
      <c r="H157" s="58"/>
      <c r="I157" s="58"/>
      <c r="J157" s="58"/>
      <c r="K157" s="137"/>
      <c r="L157" s="56" t="s">
        <v>1232</v>
      </c>
      <c r="M157" s="292">
        <v>251</v>
      </c>
    </row>
    <row r="158" spans="1:13">
      <c r="A158" s="292">
        <v>251</v>
      </c>
      <c r="B158" s="66" t="s">
        <v>1231</v>
      </c>
      <c r="C158" s="60"/>
      <c r="D158" s="54" t="s">
        <v>168</v>
      </c>
      <c r="E158" s="435" t="str">
        <f>IFERROR(VLOOKUP(D158,Mychart!$A$125:$B$811,2,FALSE),"-")</f>
        <v>UTS Carrier</v>
      </c>
      <c r="F158" s="676" t="s">
        <v>1081</v>
      </c>
      <c r="G158" s="58">
        <v>3</v>
      </c>
      <c r="H158" s="58"/>
      <c r="I158" s="58"/>
      <c r="J158" s="58"/>
      <c r="K158" s="137"/>
      <c r="L158" s="56" t="s">
        <v>1232</v>
      </c>
      <c r="M158" s="292">
        <v>251</v>
      </c>
    </row>
    <row r="159" spans="1:13">
      <c r="A159" s="292">
        <v>251</v>
      </c>
      <c r="B159" s="66" t="s">
        <v>1231</v>
      </c>
      <c r="C159" s="60"/>
      <c r="D159" s="54" t="s">
        <v>168</v>
      </c>
      <c r="E159" s="435" t="str">
        <f>IFERROR(VLOOKUP(D159,Mychart!$A$125:$B$811,2,FALSE),"-")</f>
        <v>UTS Carrier</v>
      </c>
      <c r="F159" s="676" t="s">
        <v>1082</v>
      </c>
      <c r="G159" s="58">
        <v>3</v>
      </c>
      <c r="H159" s="58"/>
      <c r="I159" s="58"/>
      <c r="J159" s="58"/>
      <c r="K159" s="137"/>
      <c r="L159" s="56" t="s">
        <v>1232</v>
      </c>
      <c r="M159" s="292">
        <v>251</v>
      </c>
    </row>
    <row r="160" spans="1:13">
      <c r="A160" s="292">
        <v>251</v>
      </c>
      <c r="B160" s="66" t="s">
        <v>1231</v>
      </c>
      <c r="C160" s="60"/>
      <c r="D160" s="54" t="s">
        <v>168</v>
      </c>
      <c r="E160" s="435" t="str">
        <f>IFERROR(VLOOKUP(D160,Mychart!$A$125:$B$811,2,FALSE),"-")</f>
        <v>UTS Carrier</v>
      </c>
      <c r="F160" s="676"/>
      <c r="G160" s="58"/>
      <c r="H160" s="58"/>
      <c r="I160" s="58"/>
      <c r="J160" s="58"/>
      <c r="K160" s="137"/>
      <c r="L160" s="56" t="s">
        <v>1232</v>
      </c>
      <c r="M160" s="292">
        <v>251</v>
      </c>
    </row>
    <row r="161" spans="1:13">
      <c r="A161" s="292">
        <v>242</v>
      </c>
      <c r="B161" s="66" t="s">
        <v>1299</v>
      </c>
      <c r="C161" s="60"/>
      <c r="D161" s="54" t="s">
        <v>168</v>
      </c>
      <c r="E161" s="435" t="str">
        <f>IFERROR(VLOOKUP(D161,Mychart!$A$125:$B$811,2,FALSE),"-")</f>
        <v>UTS Carrier</v>
      </c>
      <c r="F161" s="676" t="s">
        <v>1177</v>
      </c>
      <c r="G161" s="58">
        <v>3</v>
      </c>
      <c r="H161" s="58"/>
      <c r="I161" s="58"/>
      <c r="J161" s="58"/>
      <c r="K161" s="137"/>
      <c r="L161" s="56" t="s">
        <v>1233</v>
      </c>
      <c r="M161" s="292">
        <v>242</v>
      </c>
    </row>
    <row r="162" spans="1:13">
      <c r="A162" s="292">
        <v>242</v>
      </c>
      <c r="B162" s="66" t="s">
        <v>1299</v>
      </c>
      <c r="C162" s="60"/>
      <c r="D162" s="54" t="s">
        <v>168</v>
      </c>
      <c r="E162" s="435" t="str">
        <f>IFERROR(VLOOKUP(D162,Mychart!$A$125:$B$811,2,FALSE),"-")</f>
        <v>UTS Carrier</v>
      </c>
      <c r="F162" s="676" t="s">
        <v>237</v>
      </c>
      <c r="G162" s="58">
        <v>3</v>
      </c>
      <c r="H162" s="58"/>
      <c r="I162" s="58"/>
      <c r="J162" s="58"/>
      <c r="K162" s="137"/>
      <c r="L162" s="56" t="s">
        <v>1233</v>
      </c>
      <c r="M162" s="292">
        <v>242</v>
      </c>
    </row>
    <row r="163" spans="1:13">
      <c r="A163" s="292">
        <v>242</v>
      </c>
      <c r="B163" s="66" t="s">
        <v>1299</v>
      </c>
      <c r="C163" s="60"/>
      <c r="D163" s="54" t="s">
        <v>168</v>
      </c>
      <c r="E163" s="435" t="str">
        <f>IFERROR(VLOOKUP(D163,Mychart!$A$125:$B$811,2,FALSE),"-")</f>
        <v>UTS Carrier</v>
      </c>
      <c r="F163" s="676" t="s">
        <v>1200</v>
      </c>
      <c r="G163" s="58">
        <v>3</v>
      </c>
      <c r="H163" s="58"/>
      <c r="I163" s="58"/>
      <c r="J163" s="58"/>
      <c r="K163" s="137"/>
      <c r="L163" s="56" t="s">
        <v>1233</v>
      </c>
      <c r="M163" s="292">
        <v>242</v>
      </c>
    </row>
    <row r="164" spans="1:13">
      <c r="A164" s="292">
        <v>242</v>
      </c>
      <c r="B164" s="66" t="s">
        <v>1299</v>
      </c>
      <c r="C164" s="60"/>
      <c r="D164" s="54" t="s">
        <v>168</v>
      </c>
      <c r="E164" s="435" t="str">
        <f>IFERROR(VLOOKUP(D164,Mychart!$A$125:$B$811,2,FALSE),"-")</f>
        <v>UTS Carrier</v>
      </c>
      <c r="F164" s="676" t="s">
        <v>239</v>
      </c>
      <c r="G164" s="58">
        <v>3</v>
      </c>
      <c r="H164" s="58"/>
      <c r="I164" s="58"/>
      <c r="J164" s="58"/>
      <c r="K164" s="137"/>
      <c r="L164" s="56" t="s">
        <v>1233</v>
      </c>
      <c r="M164" s="292">
        <v>242</v>
      </c>
    </row>
    <row r="165" spans="1:13">
      <c r="A165" s="292">
        <v>242</v>
      </c>
      <c r="B165" s="66" t="s">
        <v>1299</v>
      </c>
      <c r="C165" s="60"/>
      <c r="D165" s="54" t="s">
        <v>168</v>
      </c>
      <c r="E165" s="435" t="str">
        <f>IFERROR(VLOOKUP(D165,Mychart!$A$125:$B$811,2,FALSE),"-")</f>
        <v>UTS Carrier</v>
      </c>
      <c r="F165" s="676" t="s">
        <v>1183</v>
      </c>
      <c r="G165" s="58">
        <v>4</v>
      </c>
      <c r="H165" s="58"/>
      <c r="I165" s="58"/>
      <c r="J165" s="58"/>
      <c r="K165" s="137"/>
      <c r="L165" s="56" t="s">
        <v>1233</v>
      </c>
      <c r="M165" s="292">
        <v>242</v>
      </c>
    </row>
    <row r="166" spans="1:13">
      <c r="A166" s="292">
        <v>242</v>
      </c>
      <c r="B166" s="66" t="s">
        <v>1299</v>
      </c>
      <c r="C166" s="60"/>
      <c r="D166" s="54" t="s">
        <v>168</v>
      </c>
      <c r="E166" s="435" t="str">
        <f>IFERROR(VLOOKUP(D166,Mychart!$A$125:$B$811,2,FALSE),"-")</f>
        <v>UTS Carrier</v>
      </c>
      <c r="F166" s="676" t="s">
        <v>235</v>
      </c>
      <c r="G166" s="58">
        <v>4</v>
      </c>
      <c r="H166" s="58"/>
      <c r="I166" s="58"/>
      <c r="J166" s="58"/>
      <c r="K166" s="137"/>
      <c r="L166" s="56" t="s">
        <v>1233</v>
      </c>
      <c r="M166" s="292">
        <v>242</v>
      </c>
    </row>
    <row r="167" spans="1:13">
      <c r="A167" s="292">
        <v>242</v>
      </c>
      <c r="B167" s="66" t="s">
        <v>1299</v>
      </c>
      <c r="C167" s="60"/>
      <c r="D167" s="54" t="s">
        <v>168</v>
      </c>
      <c r="E167" s="435" t="str">
        <f>IFERROR(VLOOKUP(D167,Mychart!$A$125:$B$811,2,FALSE),"-")</f>
        <v>UTS Carrier</v>
      </c>
      <c r="F167" s="676" t="s">
        <v>1185</v>
      </c>
      <c r="G167" s="58">
        <v>3</v>
      </c>
      <c r="H167" s="58"/>
      <c r="I167" s="58"/>
      <c r="J167" s="58"/>
      <c r="K167" s="137"/>
      <c r="L167" s="56" t="s">
        <v>1233</v>
      </c>
      <c r="M167" s="292">
        <v>242</v>
      </c>
    </row>
    <row r="168" spans="1:13">
      <c r="A168" s="292">
        <v>242</v>
      </c>
      <c r="B168" s="66" t="s">
        <v>1299</v>
      </c>
      <c r="C168" s="60"/>
      <c r="D168" s="54" t="s">
        <v>168</v>
      </c>
      <c r="E168" s="435" t="str">
        <f>IFERROR(VLOOKUP(D168,Mychart!$A$125:$B$811,2,FALSE),"-")</f>
        <v>UTS Carrier</v>
      </c>
      <c r="F168" s="676" t="s">
        <v>233</v>
      </c>
      <c r="G168" s="58">
        <v>3</v>
      </c>
      <c r="H168" s="58"/>
      <c r="I168" s="58"/>
      <c r="J168" s="58"/>
      <c r="K168" s="137"/>
      <c r="L168" s="56" t="s">
        <v>1233</v>
      </c>
      <c r="M168" s="292">
        <v>242</v>
      </c>
    </row>
    <row r="169" spans="1:13">
      <c r="A169" s="292">
        <v>242</v>
      </c>
      <c r="B169" s="66" t="s">
        <v>1299</v>
      </c>
      <c r="C169" s="60"/>
      <c r="D169" s="54" t="s">
        <v>168</v>
      </c>
      <c r="E169" s="435" t="str">
        <f>IFERROR(VLOOKUP(D169,Mychart!$A$125:$B$811,2,FALSE),"-")</f>
        <v>UTS Carrier</v>
      </c>
      <c r="F169" s="676" t="s">
        <v>832</v>
      </c>
      <c r="G169" s="58">
        <v>4</v>
      </c>
      <c r="H169" s="58"/>
      <c r="I169" s="58"/>
      <c r="J169" s="58"/>
      <c r="K169" s="137"/>
      <c r="L169" s="56" t="s">
        <v>1233</v>
      </c>
      <c r="M169" s="292">
        <v>242</v>
      </c>
    </row>
    <row r="170" spans="1:13">
      <c r="A170" s="292">
        <v>242</v>
      </c>
      <c r="B170" s="66" t="s">
        <v>1299</v>
      </c>
      <c r="C170" s="60"/>
      <c r="D170" s="54" t="s">
        <v>168</v>
      </c>
      <c r="E170" s="435" t="str">
        <f>IFERROR(VLOOKUP(D170,Mychart!$A$125:$B$811,2,FALSE),"-")</f>
        <v>UTS Carrier</v>
      </c>
      <c r="F170" s="676" t="s">
        <v>833</v>
      </c>
      <c r="G170" s="58">
        <v>4</v>
      </c>
      <c r="H170" s="58"/>
      <c r="I170" s="58"/>
      <c r="J170" s="58"/>
      <c r="K170" s="137"/>
      <c r="L170" s="56" t="s">
        <v>1233</v>
      </c>
      <c r="M170" s="292">
        <v>242</v>
      </c>
    </row>
    <row r="171" spans="1:13">
      <c r="A171" s="292">
        <v>242</v>
      </c>
      <c r="B171" s="66" t="s">
        <v>1299</v>
      </c>
      <c r="C171" s="60"/>
      <c r="D171" s="54" t="s">
        <v>168</v>
      </c>
      <c r="E171" s="435" t="str">
        <f>IFERROR(VLOOKUP(D171,Mychart!$A$125:$B$811,2,FALSE),"-")</f>
        <v>UTS Carrier</v>
      </c>
      <c r="F171" s="676" t="s">
        <v>1300</v>
      </c>
      <c r="G171" s="58">
        <v>13</v>
      </c>
      <c r="H171" s="58"/>
      <c r="I171" s="58"/>
      <c r="J171" s="58"/>
      <c r="K171" s="137"/>
      <c r="L171" s="56" t="s">
        <v>1233</v>
      </c>
      <c r="M171" s="292">
        <v>242</v>
      </c>
    </row>
    <row r="172" spans="1:13">
      <c r="A172" s="292">
        <v>242</v>
      </c>
      <c r="B172" s="66" t="s">
        <v>1299</v>
      </c>
      <c r="C172" s="60"/>
      <c r="D172" s="54" t="s">
        <v>168</v>
      </c>
      <c r="E172" s="435" t="str">
        <f>IFERROR(VLOOKUP(D172,Mychart!$A$125:$B$811,2,FALSE),"-")</f>
        <v>UTS Carrier</v>
      </c>
      <c r="F172" s="676" t="s">
        <v>1203</v>
      </c>
      <c r="G172" s="58">
        <v>1</v>
      </c>
      <c r="H172" s="58"/>
      <c r="I172" s="58"/>
      <c r="J172" s="58"/>
      <c r="K172" s="137"/>
      <c r="L172" s="56" t="s">
        <v>1233</v>
      </c>
      <c r="M172" s="292">
        <v>242</v>
      </c>
    </row>
    <row r="173" spans="1:13">
      <c r="A173" s="292">
        <v>242</v>
      </c>
      <c r="B173" s="66" t="s">
        <v>1299</v>
      </c>
      <c r="C173" s="60"/>
      <c r="D173" s="54" t="s">
        <v>168</v>
      </c>
      <c r="E173" s="435" t="str">
        <f>IFERROR(VLOOKUP(D173,Mychart!$A$125:$B$811,2,FALSE),"-")</f>
        <v>UTS Carrier</v>
      </c>
      <c r="F173" s="676" t="s">
        <v>1204</v>
      </c>
      <c r="G173" s="58">
        <v>1</v>
      </c>
      <c r="H173" s="58"/>
      <c r="I173" s="58"/>
      <c r="J173" s="58"/>
      <c r="K173" s="137"/>
      <c r="L173" s="56" t="s">
        <v>1233</v>
      </c>
      <c r="M173" s="292">
        <v>242</v>
      </c>
    </row>
    <row r="174" spans="1:13">
      <c r="A174" s="292">
        <v>242</v>
      </c>
      <c r="B174" s="66" t="s">
        <v>1299</v>
      </c>
      <c r="C174" s="60"/>
      <c r="D174" s="54" t="s">
        <v>168</v>
      </c>
      <c r="E174" s="435" t="str">
        <f>IFERROR(VLOOKUP(D174,Mychart!$A$125:$B$811,2,FALSE),"-")</f>
        <v>UTS Carrier</v>
      </c>
      <c r="F174" s="676" t="s">
        <v>1301</v>
      </c>
      <c r="G174" s="58">
        <v>1</v>
      </c>
      <c r="H174" s="58"/>
      <c r="I174" s="58"/>
      <c r="J174" s="58"/>
      <c r="K174" s="137"/>
      <c r="L174" s="56" t="s">
        <v>1233</v>
      </c>
      <c r="M174" s="292">
        <v>242</v>
      </c>
    </row>
    <row r="175" spans="1:13">
      <c r="A175" s="292">
        <v>242</v>
      </c>
      <c r="B175" s="66" t="s">
        <v>1299</v>
      </c>
      <c r="C175" s="60"/>
      <c r="D175" s="54" t="s">
        <v>168</v>
      </c>
      <c r="E175" s="435" t="str">
        <f>IFERROR(VLOOKUP(D175,Mychart!$A$125:$B$811,2,FALSE),"-")</f>
        <v>UTS Carrier</v>
      </c>
      <c r="F175" s="676"/>
      <c r="G175" s="58"/>
      <c r="H175" s="58"/>
      <c r="I175" s="58"/>
      <c r="J175" s="58"/>
      <c r="K175" s="137"/>
      <c r="L175" s="56" t="s">
        <v>1233</v>
      </c>
      <c r="M175" s="292">
        <v>242</v>
      </c>
    </row>
    <row r="176" spans="1:13">
      <c r="A176" s="292">
        <v>249</v>
      </c>
      <c r="B176" s="66" t="s">
        <v>3021</v>
      </c>
      <c r="C176" s="60"/>
      <c r="D176" s="54" t="s">
        <v>168</v>
      </c>
      <c r="E176" s="435" t="str">
        <f>IFERROR(VLOOKUP(D176,Mychart!$A$125:$B$811,2,FALSE),"-")</f>
        <v>UTS Carrier</v>
      </c>
      <c r="F176" s="676" t="s">
        <v>236</v>
      </c>
      <c r="G176" s="58">
        <v>2</v>
      </c>
      <c r="H176" s="58"/>
      <c r="I176" s="58"/>
      <c r="J176" s="58"/>
      <c r="K176" s="137"/>
      <c r="L176" s="56" t="s">
        <v>1235</v>
      </c>
      <c r="M176" s="292">
        <v>249</v>
      </c>
    </row>
    <row r="177" spans="1:13">
      <c r="A177" s="292">
        <v>249</v>
      </c>
      <c r="B177" s="66" t="s">
        <v>3021</v>
      </c>
      <c r="C177" s="60"/>
      <c r="D177" s="54" t="s">
        <v>168</v>
      </c>
      <c r="E177" s="435" t="str">
        <f>IFERROR(VLOOKUP(D177,Mychart!$A$125:$B$811,2,FALSE),"-")</f>
        <v>UTS Carrier</v>
      </c>
      <c r="F177" s="676" t="s">
        <v>237</v>
      </c>
      <c r="G177" s="58">
        <v>2</v>
      </c>
      <c r="H177" s="58"/>
      <c r="I177" s="58"/>
      <c r="J177" s="58"/>
      <c r="K177" s="137"/>
      <c r="L177" s="56" t="s">
        <v>1235</v>
      </c>
      <c r="M177" s="292">
        <v>249</v>
      </c>
    </row>
    <row r="178" spans="1:13">
      <c r="A178" s="292">
        <v>249</v>
      </c>
      <c r="B178" s="66" t="s">
        <v>3021</v>
      </c>
      <c r="C178" s="60"/>
      <c r="D178" s="54" t="s">
        <v>168</v>
      </c>
      <c r="E178" s="435" t="str">
        <f>IFERROR(VLOOKUP(D178,Mychart!$A$125:$B$811,2,FALSE),"-")</f>
        <v>UTS Carrier</v>
      </c>
      <c r="F178" s="676" t="s">
        <v>827</v>
      </c>
      <c r="G178" s="58">
        <v>1</v>
      </c>
      <c r="H178" s="58"/>
      <c r="I178" s="58"/>
      <c r="J178" s="58"/>
      <c r="K178" s="137"/>
      <c r="L178" s="56" t="s">
        <v>1235</v>
      </c>
      <c r="M178" s="292">
        <v>249</v>
      </c>
    </row>
    <row r="179" spans="1:13">
      <c r="A179" s="292">
        <v>249</v>
      </c>
      <c r="B179" s="66" t="s">
        <v>3021</v>
      </c>
      <c r="C179" s="60"/>
      <c r="D179" s="54" t="s">
        <v>168</v>
      </c>
      <c r="E179" s="435" t="str">
        <f>IFERROR(VLOOKUP(D179,Mychart!$A$125:$B$811,2,FALSE),"-")</f>
        <v>UTS Carrier</v>
      </c>
      <c r="F179" s="676" t="s">
        <v>828</v>
      </c>
      <c r="G179" s="58">
        <v>1</v>
      </c>
      <c r="H179" s="58"/>
      <c r="I179" s="58"/>
      <c r="J179" s="58"/>
      <c r="K179" s="137"/>
      <c r="L179" s="56" t="s">
        <v>1235</v>
      </c>
      <c r="M179" s="292">
        <v>249</v>
      </c>
    </row>
    <row r="180" spans="1:13">
      <c r="A180" s="292">
        <v>249</v>
      </c>
      <c r="B180" s="66" t="s">
        <v>3021</v>
      </c>
      <c r="C180" s="60"/>
      <c r="D180" s="54" t="s">
        <v>168</v>
      </c>
      <c r="E180" s="435" t="str">
        <f>IFERROR(VLOOKUP(D180,Mychart!$A$125:$B$811,2,FALSE),"-")</f>
        <v>UTS Carrier</v>
      </c>
      <c r="F180" s="676" t="s">
        <v>238</v>
      </c>
      <c r="G180" s="58">
        <v>1</v>
      </c>
      <c r="H180" s="58"/>
      <c r="I180" s="58"/>
      <c r="J180" s="58"/>
      <c r="K180" s="137"/>
      <c r="L180" s="56" t="s">
        <v>1235</v>
      </c>
      <c r="M180" s="292">
        <v>249</v>
      </c>
    </row>
    <row r="181" spans="1:13">
      <c r="A181" s="292">
        <v>249</v>
      </c>
      <c r="B181" s="66" t="s">
        <v>3021</v>
      </c>
      <c r="C181" s="60"/>
      <c r="D181" s="54" t="s">
        <v>168</v>
      </c>
      <c r="E181" s="435" t="str">
        <f>IFERROR(VLOOKUP(D181,Mychart!$A$125:$B$811,2,FALSE),"-")</f>
        <v>UTS Carrier</v>
      </c>
      <c r="F181" s="676" t="s">
        <v>239</v>
      </c>
      <c r="G181" s="58">
        <v>1</v>
      </c>
      <c r="H181" s="58"/>
      <c r="I181" s="58"/>
      <c r="J181" s="58"/>
      <c r="K181" s="137"/>
      <c r="L181" s="56" t="s">
        <v>1235</v>
      </c>
      <c r="M181" s="292">
        <v>249</v>
      </c>
    </row>
    <row r="182" spans="1:13">
      <c r="A182" s="292">
        <v>249</v>
      </c>
      <c r="B182" s="66" t="s">
        <v>3021</v>
      </c>
      <c r="C182" s="60"/>
      <c r="D182" s="54" t="s">
        <v>168</v>
      </c>
      <c r="E182" s="435" t="str">
        <f>IFERROR(VLOOKUP(D182,Mychart!$A$125:$B$811,2,FALSE),"-")</f>
        <v>UTS Carrier</v>
      </c>
      <c r="F182" s="676" t="s">
        <v>232</v>
      </c>
      <c r="G182" s="58">
        <v>13</v>
      </c>
      <c r="H182" s="58"/>
      <c r="I182" s="58"/>
      <c r="J182" s="58"/>
      <c r="K182" s="137"/>
      <c r="L182" s="56" t="s">
        <v>1235</v>
      </c>
      <c r="M182" s="292">
        <v>249</v>
      </c>
    </row>
    <row r="183" spans="1:13">
      <c r="A183" s="292">
        <v>249</v>
      </c>
      <c r="B183" s="66" t="s">
        <v>3021</v>
      </c>
      <c r="C183" s="60"/>
      <c r="D183" s="54" t="s">
        <v>168</v>
      </c>
      <c r="E183" s="435" t="str">
        <f>IFERROR(VLOOKUP(D183,Mychart!$A$125:$B$811,2,FALSE),"-")</f>
        <v>UTS Carrier</v>
      </c>
      <c r="F183" s="676" t="s">
        <v>233</v>
      </c>
      <c r="G183" s="58">
        <v>13</v>
      </c>
      <c r="H183" s="58"/>
      <c r="I183" s="58"/>
      <c r="J183" s="58"/>
      <c r="K183" s="137"/>
      <c r="L183" s="56" t="s">
        <v>1235</v>
      </c>
      <c r="M183" s="292">
        <v>249</v>
      </c>
    </row>
    <row r="184" spans="1:13">
      <c r="A184" s="292">
        <v>249</v>
      </c>
      <c r="B184" s="66" t="s">
        <v>3021</v>
      </c>
      <c r="C184" s="60"/>
      <c r="D184" s="54" t="s">
        <v>168</v>
      </c>
      <c r="E184" s="435" t="str">
        <f>IFERROR(VLOOKUP(D184,Mychart!$A$125:$B$811,2,FALSE),"-")</f>
        <v>UTS Carrier</v>
      </c>
      <c r="F184" s="676" t="s">
        <v>1236</v>
      </c>
      <c r="G184" s="58">
        <v>17</v>
      </c>
      <c r="H184" s="58"/>
      <c r="I184" s="58"/>
      <c r="J184" s="58"/>
      <c r="K184" s="137"/>
      <c r="L184" s="56" t="s">
        <v>1235</v>
      </c>
      <c r="M184" s="292">
        <v>249</v>
      </c>
    </row>
    <row r="185" spans="1:13">
      <c r="A185" s="292">
        <v>249</v>
      </c>
      <c r="B185" s="66" t="s">
        <v>3021</v>
      </c>
      <c r="C185" s="60"/>
      <c r="D185" s="54" t="s">
        <v>168</v>
      </c>
      <c r="E185" s="435" t="str">
        <f>IFERROR(VLOOKUP(D185,Mychart!$A$125:$B$811,2,FALSE),"-")</f>
        <v>UTS Carrier</v>
      </c>
      <c r="F185" s="676"/>
      <c r="G185" s="58"/>
      <c r="H185" s="58"/>
      <c r="I185" s="58"/>
      <c r="J185" s="58"/>
      <c r="K185" s="137"/>
      <c r="L185" s="56" t="s">
        <v>1235</v>
      </c>
      <c r="M185" s="292">
        <v>249</v>
      </c>
    </row>
    <row r="186" spans="1:13">
      <c r="A186" s="292">
        <v>197</v>
      </c>
      <c r="B186" s="66" t="s">
        <v>1237</v>
      </c>
      <c r="C186" s="60"/>
      <c r="D186" s="54" t="s">
        <v>168</v>
      </c>
      <c r="E186" s="435" t="str">
        <f>IFERROR(VLOOKUP(D186,Mychart!$A$125:$B$811,2,FALSE),"-")</f>
        <v>UTS Carrier</v>
      </c>
      <c r="F186" s="676" t="s">
        <v>825</v>
      </c>
      <c r="G186" s="58">
        <v>1</v>
      </c>
      <c r="H186" s="58"/>
      <c r="I186" s="58"/>
      <c r="J186" s="58"/>
      <c r="K186" s="137"/>
      <c r="L186" s="56" t="s">
        <v>1238</v>
      </c>
      <c r="M186" s="292">
        <v>197</v>
      </c>
    </row>
    <row r="187" spans="1:13">
      <c r="A187" s="292">
        <v>197</v>
      </c>
      <c r="B187" s="66" t="s">
        <v>1237</v>
      </c>
      <c r="C187" s="60"/>
      <c r="D187" s="54" t="s">
        <v>168</v>
      </c>
      <c r="E187" s="435" t="str">
        <f>IFERROR(VLOOKUP(D187,Mychart!$A$125:$B$811,2,FALSE),"-")</f>
        <v>UTS Carrier</v>
      </c>
      <c r="F187" s="676" t="s">
        <v>826</v>
      </c>
      <c r="G187" s="58">
        <v>1</v>
      </c>
      <c r="H187" s="58"/>
      <c r="I187" s="58"/>
      <c r="J187" s="58"/>
      <c r="K187" s="137"/>
      <c r="L187" s="56" t="s">
        <v>1238</v>
      </c>
      <c r="M187" s="292">
        <v>197</v>
      </c>
    </row>
    <row r="188" spans="1:13">
      <c r="A188" s="292">
        <v>197</v>
      </c>
      <c r="B188" s="66" t="s">
        <v>1237</v>
      </c>
      <c r="C188" s="60"/>
      <c r="D188" s="54" t="s">
        <v>168</v>
      </c>
      <c r="E188" s="435" t="str">
        <f>IFERROR(VLOOKUP(D188,Mychart!$A$125:$B$811,2,FALSE),"-")</f>
        <v>UTS Carrier</v>
      </c>
      <c r="F188" s="676" t="s">
        <v>827</v>
      </c>
      <c r="G188" s="58">
        <v>4</v>
      </c>
      <c r="H188" s="58"/>
      <c r="I188" s="58"/>
      <c r="J188" s="58"/>
      <c r="K188" s="137"/>
      <c r="L188" s="56" t="s">
        <v>1238</v>
      </c>
      <c r="M188" s="292">
        <v>197</v>
      </c>
    </row>
    <row r="189" spans="1:13">
      <c r="A189" s="292">
        <v>197</v>
      </c>
      <c r="B189" s="66" t="s">
        <v>1237</v>
      </c>
      <c r="C189" s="60"/>
      <c r="D189" s="54" t="s">
        <v>168</v>
      </c>
      <c r="E189" s="435" t="str">
        <f>IFERROR(VLOOKUP(D189,Mychart!$A$125:$B$811,2,FALSE),"-")</f>
        <v>UTS Carrier</v>
      </c>
      <c r="F189" s="676" t="s">
        <v>828</v>
      </c>
      <c r="G189" s="58">
        <v>4</v>
      </c>
      <c r="H189" s="58"/>
      <c r="I189" s="58"/>
      <c r="J189" s="58"/>
      <c r="K189" s="137"/>
      <c r="L189" s="56" t="s">
        <v>1238</v>
      </c>
      <c r="M189" s="292">
        <v>197</v>
      </c>
    </row>
    <row r="190" spans="1:13">
      <c r="A190" s="292">
        <v>197</v>
      </c>
      <c r="B190" s="66" t="s">
        <v>1237</v>
      </c>
      <c r="C190" s="60"/>
      <c r="D190" s="54" t="s">
        <v>168</v>
      </c>
      <c r="E190" s="435" t="str">
        <f>IFERROR(VLOOKUP(D190,Mychart!$A$125:$B$811,2,FALSE),"-")</f>
        <v>UTS Carrier</v>
      </c>
      <c r="F190" s="676" t="s">
        <v>238</v>
      </c>
      <c r="G190" s="58">
        <v>1</v>
      </c>
      <c r="H190" s="58"/>
      <c r="I190" s="58"/>
      <c r="J190" s="58"/>
      <c r="K190" s="137"/>
      <c r="L190" s="56" t="s">
        <v>1238</v>
      </c>
      <c r="M190" s="292">
        <v>197</v>
      </c>
    </row>
    <row r="191" spans="1:13">
      <c r="A191" s="292">
        <v>197</v>
      </c>
      <c r="B191" s="66" t="s">
        <v>1237</v>
      </c>
      <c r="C191" s="60"/>
      <c r="D191" s="54" t="s">
        <v>168</v>
      </c>
      <c r="E191" s="435" t="str">
        <f>IFERROR(VLOOKUP(D191,Mychart!$A$125:$B$811,2,FALSE),"-")</f>
        <v>UTS Carrier</v>
      </c>
      <c r="F191" s="676" t="s">
        <v>239</v>
      </c>
      <c r="G191" s="58">
        <v>1</v>
      </c>
      <c r="H191" s="58"/>
      <c r="I191" s="58"/>
      <c r="J191" s="58"/>
      <c r="K191" s="137"/>
      <c r="L191" s="56" t="s">
        <v>1238</v>
      </c>
      <c r="M191" s="292">
        <v>197</v>
      </c>
    </row>
    <row r="192" spans="1:13">
      <c r="A192" s="292">
        <v>197</v>
      </c>
      <c r="B192" s="66" t="s">
        <v>1237</v>
      </c>
      <c r="C192" s="60"/>
      <c r="D192" s="54" t="s">
        <v>168</v>
      </c>
      <c r="E192" s="435" t="str">
        <f>IFERROR(VLOOKUP(D192,Mychart!$A$125:$B$811,2,FALSE),"-")</f>
        <v>UTS Carrier</v>
      </c>
      <c r="F192" s="676" t="s">
        <v>234</v>
      </c>
      <c r="G192" s="58">
        <v>5</v>
      </c>
      <c r="H192" s="58"/>
      <c r="I192" s="58"/>
      <c r="J192" s="58"/>
      <c r="K192" s="137"/>
      <c r="L192" s="56" t="s">
        <v>1238</v>
      </c>
      <c r="M192" s="292">
        <v>197</v>
      </c>
    </row>
    <row r="193" spans="1:13">
      <c r="A193" s="292">
        <v>197</v>
      </c>
      <c r="B193" s="66" t="s">
        <v>1237</v>
      </c>
      <c r="C193" s="60"/>
      <c r="D193" s="54" t="s">
        <v>168</v>
      </c>
      <c r="E193" s="435" t="str">
        <f>IFERROR(VLOOKUP(D193,Mychart!$A$125:$B$811,2,FALSE),"-")</f>
        <v>UTS Carrier</v>
      </c>
      <c r="F193" s="676" t="s">
        <v>235</v>
      </c>
      <c r="G193" s="58">
        <v>5</v>
      </c>
      <c r="H193" s="58"/>
      <c r="I193" s="58"/>
      <c r="J193" s="58"/>
      <c r="K193" s="137"/>
      <c r="L193" s="56" t="s">
        <v>1238</v>
      </c>
      <c r="M193" s="292">
        <v>197</v>
      </c>
    </row>
    <row r="194" spans="1:13">
      <c r="A194" s="292">
        <v>197</v>
      </c>
      <c r="B194" s="66" t="s">
        <v>1237</v>
      </c>
      <c r="C194" s="60"/>
      <c r="D194" s="54" t="s">
        <v>168</v>
      </c>
      <c r="E194" s="435" t="str">
        <f>IFERROR(VLOOKUP(D194,Mychart!$A$125:$B$811,2,FALSE),"-")</f>
        <v>UTS Carrier</v>
      </c>
      <c r="F194" s="676" t="s">
        <v>232</v>
      </c>
      <c r="G194" s="58">
        <v>3</v>
      </c>
      <c r="H194" s="58"/>
      <c r="I194" s="58"/>
      <c r="J194" s="58"/>
      <c r="K194" s="137"/>
      <c r="L194" s="56" t="s">
        <v>1238</v>
      </c>
      <c r="M194" s="292">
        <v>197</v>
      </c>
    </row>
    <row r="195" spans="1:13">
      <c r="A195" s="292">
        <v>197</v>
      </c>
      <c r="B195" s="66" t="s">
        <v>1237</v>
      </c>
      <c r="C195" s="60"/>
      <c r="D195" s="54" t="s">
        <v>168</v>
      </c>
      <c r="E195" s="435" t="str">
        <f>IFERROR(VLOOKUP(D195,Mychart!$A$125:$B$811,2,FALSE),"-")</f>
        <v>UTS Carrier</v>
      </c>
      <c r="F195" s="676" t="s">
        <v>233</v>
      </c>
      <c r="G195" s="58">
        <v>3</v>
      </c>
      <c r="H195" s="58"/>
      <c r="I195" s="58"/>
      <c r="J195" s="58"/>
      <c r="K195" s="137"/>
      <c r="L195" s="56" t="s">
        <v>1238</v>
      </c>
      <c r="M195" s="292">
        <v>197</v>
      </c>
    </row>
    <row r="196" spans="1:13">
      <c r="A196" s="292">
        <v>197</v>
      </c>
      <c r="B196" s="66" t="s">
        <v>1237</v>
      </c>
      <c r="C196" s="60"/>
      <c r="D196" s="54" t="s">
        <v>168</v>
      </c>
      <c r="E196" s="435" t="str">
        <f>IFERROR(VLOOKUP(D196,Mychart!$A$125:$B$811,2,FALSE),"-")</f>
        <v>UTS Carrier</v>
      </c>
      <c r="F196" s="676" t="s">
        <v>1236</v>
      </c>
      <c r="G196" s="58">
        <v>14</v>
      </c>
      <c r="H196" s="58"/>
      <c r="I196" s="58"/>
      <c r="J196" s="58"/>
      <c r="K196" s="137"/>
      <c r="L196" s="56" t="s">
        <v>1238</v>
      </c>
      <c r="M196" s="292">
        <v>197</v>
      </c>
    </row>
    <row r="197" spans="1:13">
      <c r="A197" s="292">
        <v>197</v>
      </c>
      <c r="B197" s="66" t="s">
        <v>1237</v>
      </c>
      <c r="C197" s="60"/>
      <c r="D197" s="54" t="s">
        <v>168</v>
      </c>
      <c r="E197" s="435" t="str">
        <f>IFERROR(VLOOKUP(D197,Mychart!$A$125:$B$811,2,FALSE),"-")</f>
        <v>UTS Carrier</v>
      </c>
      <c r="F197" s="676" t="s">
        <v>1169</v>
      </c>
      <c r="G197" s="58">
        <v>1</v>
      </c>
      <c r="H197" s="58"/>
      <c r="I197" s="58"/>
      <c r="J197" s="58"/>
      <c r="K197" s="137"/>
      <c r="L197" s="56" t="s">
        <v>1238</v>
      </c>
      <c r="M197" s="292">
        <v>197</v>
      </c>
    </row>
    <row r="198" spans="1:13">
      <c r="A198" s="292">
        <v>197</v>
      </c>
      <c r="B198" s="66" t="s">
        <v>1237</v>
      </c>
      <c r="C198" s="60"/>
      <c r="D198" s="54" t="s">
        <v>168</v>
      </c>
      <c r="E198" s="435" t="str">
        <f>IFERROR(VLOOKUP(D198,Mychart!$A$125:$B$811,2,FALSE),"-")</f>
        <v>UTS Carrier</v>
      </c>
      <c r="F198" s="676" t="s">
        <v>1170</v>
      </c>
      <c r="G198" s="58">
        <v>1</v>
      </c>
      <c r="H198" s="58"/>
      <c r="I198" s="58"/>
      <c r="J198" s="58"/>
      <c r="K198" s="137"/>
      <c r="L198" s="56" t="s">
        <v>1238</v>
      </c>
      <c r="M198" s="292">
        <v>197</v>
      </c>
    </row>
    <row r="199" spans="1:13">
      <c r="A199" s="292">
        <v>197</v>
      </c>
      <c r="B199" s="66" t="s">
        <v>1237</v>
      </c>
      <c r="C199" s="60"/>
      <c r="D199" s="54" t="s">
        <v>168</v>
      </c>
      <c r="E199" s="435" t="str">
        <f>IFERROR(VLOOKUP(D199,Mychart!$A$125:$B$811,2,FALSE),"-")</f>
        <v>UTS Carrier</v>
      </c>
      <c r="F199" s="676" t="s">
        <v>832</v>
      </c>
      <c r="G199" s="58">
        <v>2</v>
      </c>
      <c r="H199" s="58"/>
      <c r="I199" s="58"/>
      <c r="J199" s="58"/>
      <c r="K199" s="137"/>
      <c r="L199" s="56" t="s">
        <v>1238</v>
      </c>
      <c r="M199" s="292">
        <v>197</v>
      </c>
    </row>
    <row r="200" spans="1:13">
      <c r="A200" s="292">
        <v>197</v>
      </c>
      <c r="B200" s="66" t="s">
        <v>1237</v>
      </c>
      <c r="C200" s="60"/>
      <c r="D200" s="54" t="s">
        <v>168</v>
      </c>
      <c r="E200" s="435" t="str">
        <f>IFERROR(VLOOKUP(D200,Mychart!$A$125:$B$811,2,FALSE),"-")</f>
        <v>UTS Carrier</v>
      </c>
      <c r="F200" s="676" t="s">
        <v>833</v>
      </c>
      <c r="G200" s="58">
        <v>2</v>
      </c>
      <c r="H200" s="58"/>
      <c r="I200" s="58"/>
      <c r="J200" s="58"/>
      <c r="K200" s="137"/>
      <c r="L200" s="56" t="s">
        <v>1238</v>
      </c>
      <c r="M200" s="292">
        <v>197</v>
      </c>
    </row>
    <row r="201" spans="1:13">
      <c r="A201" s="292">
        <v>197</v>
      </c>
      <c r="B201" s="66" t="s">
        <v>1237</v>
      </c>
      <c r="C201" s="60"/>
      <c r="D201" s="54" t="s">
        <v>168</v>
      </c>
      <c r="E201" s="435" t="str">
        <f>IFERROR(VLOOKUP(D201,Mychart!$A$125:$B$811,2,FALSE),"-")</f>
        <v>UTS Carrier</v>
      </c>
      <c r="F201" s="676" t="s">
        <v>1081</v>
      </c>
      <c r="G201" s="58">
        <v>1</v>
      </c>
      <c r="H201" s="58"/>
      <c r="I201" s="58"/>
      <c r="J201" s="58"/>
      <c r="K201" s="137"/>
      <c r="L201" s="56" t="s">
        <v>1238</v>
      </c>
      <c r="M201" s="292">
        <v>197</v>
      </c>
    </row>
    <row r="202" spans="1:13">
      <c r="A202" s="292">
        <v>197</v>
      </c>
      <c r="B202" s="66" t="s">
        <v>1237</v>
      </c>
      <c r="C202" s="60"/>
      <c r="D202" s="54" t="s">
        <v>168</v>
      </c>
      <c r="E202" s="435" t="str">
        <f>IFERROR(VLOOKUP(D202,Mychart!$A$125:$B$811,2,FALSE),"-")</f>
        <v>UTS Carrier</v>
      </c>
      <c r="F202" s="676" t="s">
        <v>1082</v>
      </c>
      <c r="G202" s="58">
        <v>1</v>
      </c>
      <c r="H202" s="58"/>
      <c r="I202" s="58"/>
      <c r="J202" s="58"/>
      <c r="K202" s="137"/>
      <c r="L202" s="56" t="s">
        <v>1238</v>
      </c>
      <c r="M202" s="292">
        <v>197</v>
      </c>
    </row>
    <row r="203" spans="1:13">
      <c r="A203" s="292">
        <v>197</v>
      </c>
      <c r="B203" s="66" t="s">
        <v>1237</v>
      </c>
      <c r="C203" s="60"/>
      <c r="D203" s="54" t="s">
        <v>168</v>
      </c>
      <c r="E203" s="435" t="str">
        <f>IFERROR(VLOOKUP(D203,Mychart!$A$125:$B$811,2,FALSE),"-")</f>
        <v>UTS Carrier</v>
      </c>
      <c r="F203" s="676"/>
      <c r="G203" s="58"/>
      <c r="H203" s="58"/>
      <c r="I203" s="58"/>
      <c r="J203" s="58"/>
      <c r="K203" s="137"/>
      <c r="L203" s="308" t="s">
        <v>1238</v>
      </c>
      <c r="M203" s="292">
        <v>197</v>
      </c>
    </row>
    <row r="204" spans="1:13">
      <c r="A204" s="292">
        <v>217</v>
      </c>
      <c r="B204" s="66" t="s">
        <v>1240</v>
      </c>
      <c r="C204" s="60"/>
      <c r="D204" s="54" t="s">
        <v>168</v>
      </c>
      <c r="E204" s="435" t="str">
        <f>IFERROR(VLOOKUP(D204,Mychart!$A$125:$B$811,2,FALSE),"-")</f>
        <v>UTS Carrier</v>
      </c>
      <c r="F204" s="676" t="s">
        <v>825</v>
      </c>
      <c r="G204" s="58">
        <v>1</v>
      </c>
      <c r="H204" s="58"/>
      <c r="I204" s="58"/>
      <c r="J204" s="58"/>
      <c r="K204" s="137"/>
      <c r="L204" s="56" t="s">
        <v>1241</v>
      </c>
      <c r="M204" s="292">
        <v>217</v>
      </c>
    </row>
    <row r="205" spans="1:13">
      <c r="A205" s="292">
        <v>217</v>
      </c>
      <c r="B205" s="66" t="s">
        <v>1240</v>
      </c>
      <c r="C205" s="60"/>
      <c r="D205" s="54" t="s">
        <v>168</v>
      </c>
      <c r="E205" s="435" t="str">
        <f>IFERROR(VLOOKUP(D205,Mychart!$A$125:$B$811,2,FALSE),"-")</f>
        <v>UTS Carrier</v>
      </c>
      <c r="F205" s="676" t="s">
        <v>826</v>
      </c>
      <c r="G205" s="58">
        <v>1</v>
      </c>
      <c r="H205" s="58"/>
      <c r="I205" s="58"/>
      <c r="J205" s="58"/>
      <c r="K205" s="137"/>
      <c r="L205" s="56" t="s">
        <v>1241</v>
      </c>
      <c r="M205" s="292">
        <v>217</v>
      </c>
    </row>
    <row r="206" spans="1:13">
      <c r="A206" s="292">
        <v>217</v>
      </c>
      <c r="B206" s="66" t="s">
        <v>1240</v>
      </c>
      <c r="C206" s="60"/>
      <c r="D206" s="54" t="s">
        <v>168</v>
      </c>
      <c r="E206" s="435" t="str">
        <f>IFERROR(VLOOKUP(D206,Mychart!$A$125:$B$811,2,FALSE),"-")</f>
        <v>UTS Carrier</v>
      </c>
      <c r="F206" s="676" t="s">
        <v>827</v>
      </c>
      <c r="G206" s="58">
        <v>4</v>
      </c>
      <c r="H206" s="58"/>
      <c r="I206" s="58"/>
      <c r="J206" s="58"/>
      <c r="K206" s="137"/>
      <c r="L206" s="56" t="s">
        <v>1241</v>
      </c>
      <c r="M206" s="292">
        <v>217</v>
      </c>
    </row>
    <row r="207" spans="1:13">
      <c r="A207" s="292">
        <v>217</v>
      </c>
      <c r="B207" s="66" t="s">
        <v>1240</v>
      </c>
      <c r="C207" s="60"/>
      <c r="D207" s="54" t="s">
        <v>168</v>
      </c>
      <c r="E207" s="435" t="str">
        <f>IFERROR(VLOOKUP(D207,Mychart!$A$125:$B$811,2,FALSE),"-")</f>
        <v>UTS Carrier</v>
      </c>
      <c r="F207" s="676" t="s">
        <v>828</v>
      </c>
      <c r="G207" s="58">
        <v>4</v>
      </c>
      <c r="H207" s="58"/>
      <c r="I207" s="58"/>
      <c r="J207" s="58"/>
      <c r="K207" s="137"/>
      <c r="L207" s="56" t="s">
        <v>1241</v>
      </c>
      <c r="M207" s="292">
        <v>217</v>
      </c>
    </row>
    <row r="208" spans="1:13">
      <c r="A208" s="292">
        <v>217</v>
      </c>
      <c r="B208" s="66" t="s">
        <v>1240</v>
      </c>
      <c r="C208" s="60"/>
      <c r="D208" s="54" t="s">
        <v>168</v>
      </c>
      <c r="E208" s="435" t="str">
        <f>IFERROR(VLOOKUP(D208,Mychart!$A$125:$B$811,2,FALSE),"-")</f>
        <v>UTS Carrier</v>
      </c>
      <c r="F208" s="676" t="s">
        <v>238</v>
      </c>
      <c r="G208" s="58">
        <v>3</v>
      </c>
      <c r="H208" s="58"/>
      <c r="I208" s="58"/>
      <c r="J208" s="58"/>
      <c r="K208" s="137"/>
      <c r="L208" s="56" t="s">
        <v>1241</v>
      </c>
      <c r="M208" s="292">
        <v>217</v>
      </c>
    </row>
    <row r="209" spans="1:13">
      <c r="A209" s="292">
        <v>217</v>
      </c>
      <c r="B209" s="66" t="s">
        <v>1240</v>
      </c>
      <c r="C209" s="60"/>
      <c r="D209" s="54" t="s">
        <v>168</v>
      </c>
      <c r="E209" s="435" t="str">
        <f>IFERROR(VLOOKUP(D209,Mychart!$A$125:$B$811,2,FALSE),"-")</f>
        <v>UTS Carrier</v>
      </c>
      <c r="F209" s="676" t="s">
        <v>239</v>
      </c>
      <c r="G209" s="58">
        <v>3</v>
      </c>
      <c r="H209" s="58"/>
      <c r="I209" s="58"/>
      <c r="J209" s="58"/>
      <c r="K209" s="137"/>
      <c r="L209" s="56" t="s">
        <v>1241</v>
      </c>
      <c r="M209" s="292">
        <v>217</v>
      </c>
    </row>
    <row r="210" spans="1:13">
      <c r="A210" s="292">
        <v>217</v>
      </c>
      <c r="B210" s="66" t="s">
        <v>1240</v>
      </c>
      <c r="C210" s="60"/>
      <c r="D210" s="54" t="s">
        <v>168</v>
      </c>
      <c r="E210" s="435" t="str">
        <f>IFERROR(VLOOKUP(D210,Mychart!$A$125:$B$811,2,FALSE),"-")</f>
        <v>UTS Carrier</v>
      </c>
      <c r="F210" s="676" t="s">
        <v>234</v>
      </c>
      <c r="G210" s="58">
        <v>4</v>
      </c>
      <c r="H210" s="58"/>
      <c r="I210" s="58"/>
      <c r="J210" s="58"/>
      <c r="K210" s="137"/>
      <c r="L210" s="56" t="s">
        <v>1241</v>
      </c>
      <c r="M210" s="292">
        <v>217</v>
      </c>
    </row>
    <row r="211" spans="1:13">
      <c r="A211" s="292">
        <v>217</v>
      </c>
      <c r="B211" s="66" t="s">
        <v>1240</v>
      </c>
      <c r="C211" s="60"/>
      <c r="D211" s="54" t="s">
        <v>168</v>
      </c>
      <c r="E211" s="435" t="str">
        <f>IFERROR(VLOOKUP(D211,Mychart!$A$125:$B$811,2,FALSE),"-")</f>
        <v>UTS Carrier</v>
      </c>
      <c r="F211" s="676" t="s">
        <v>235</v>
      </c>
      <c r="G211" s="58">
        <v>4</v>
      </c>
      <c r="H211" s="58"/>
      <c r="I211" s="58"/>
      <c r="J211" s="58"/>
      <c r="K211" s="137"/>
      <c r="L211" s="56" t="s">
        <v>1241</v>
      </c>
      <c r="M211" s="292">
        <v>217</v>
      </c>
    </row>
    <row r="212" spans="1:13">
      <c r="A212" s="292">
        <v>217</v>
      </c>
      <c r="B212" s="66" t="s">
        <v>1240</v>
      </c>
      <c r="C212" s="60"/>
      <c r="D212" s="54" t="s">
        <v>168</v>
      </c>
      <c r="E212" s="435" t="str">
        <f>IFERROR(VLOOKUP(D212,Mychart!$A$125:$B$811,2,FALSE),"-")</f>
        <v>UTS Carrier</v>
      </c>
      <c r="F212" s="676" t="s">
        <v>232</v>
      </c>
      <c r="G212" s="58">
        <v>2</v>
      </c>
      <c r="H212" s="58"/>
      <c r="I212" s="58"/>
      <c r="J212" s="58"/>
      <c r="K212" s="137"/>
      <c r="L212" s="56" t="s">
        <v>1241</v>
      </c>
      <c r="M212" s="292">
        <v>217</v>
      </c>
    </row>
    <row r="213" spans="1:13">
      <c r="A213" s="292">
        <v>217</v>
      </c>
      <c r="B213" s="66" t="s">
        <v>1240</v>
      </c>
      <c r="C213" s="60"/>
      <c r="D213" s="54" t="s">
        <v>168</v>
      </c>
      <c r="E213" s="435" t="str">
        <f>IFERROR(VLOOKUP(D213,Mychart!$A$125:$B$811,2,FALSE),"-")</f>
        <v>UTS Carrier</v>
      </c>
      <c r="F213" s="676" t="s">
        <v>233</v>
      </c>
      <c r="G213" s="58">
        <v>2</v>
      </c>
      <c r="H213" s="58"/>
      <c r="I213" s="58"/>
      <c r="J213" s="58"/>
      <c r="K213" s="137"/>
      <c r="L213" s="56" t="s">
        <v>1241</v>
      </c>
      <c r="M213" s="292">
        <v>217</v>
      </c>
    </row>
    <row r="214" spans="1:13">
      <c r="A214" s="292">
        <v>217</v>
      </c>
      <c r="B214" s="66" t="s">
        <v>1240</v>
      </c>
      <c r="C214" s="60"/>
      <c r="D214" s="54" t="s">
        <v>168</v>
      </c>
      <c r="E214" s="435" t="str">
        <f>IFERROR(VLOOKUP(D214,Mychart!$A$125:$B$811,2,FALSE),"-")</f>
        <v>UTS Carrier</v>
      </c>
      <c r="F214" s="676"/>
      <c r="G214" s="58"/>
      <c r="H214" s="58"/>
      <c r="I214" s="58"/>
      <c r="J214" s="58"/>
      <c r="K214" s="137"/>
      <c r="L214" s="56" t="s">
        <v>1241</v>
      </c>
      <c r="M214" s="292">
        <v>217</v>
      </c>
    </row>
    <row r="215" spans="1:13">
      <c r="A215" s="292">
        <v>257</v>
      </c>
      <c r="B215" s="66" t="s">
        <v>1259</v>
      </c>
      <c r="C215" s="60"/>
      <c r="D215" s="54" t="s">
        <v>168</v>
      </c>
      <c r="E215" s="435" t="str">
        <f>IFERROR(VLOOKUP(D215,Mychart!$A$125:$B$811,2,FALSE),"-")</f>
        <v>UTS Carrier</v>
      </c>
      <c r="F215" s="676" t="s">
        <v>825</v>
      </c>
      <c r="G215" s="58">
        <v>1</v>
      </c>
      <c r="H215" s="58"/>
      <c r="I215" s="58"/>
      <c r="J215" s="58"/>
      <c r="K215" s="137"/>
      <c r="L215" s="56" t="s">
        <v>1265</v>
      </c>
      <c r="M215" s="292">
        <v>257</v>
      </c>
    </row>
    <row r="216" spans="1:13">
      <c r="A216" s="292">
        <v>257</v>
      </c>
      <c r="B216" s="66" t="s">
        <v>1259</v>
      </c>
      <c r="C216" s="60"/>
      <c r="D216" s="54" t="s">
        <v>168</v>
      </c>
      <c r="E216" s="435" t="str">
        <f>IFERROR(VLOOKUP(D216,Mychart!$A$125:$B$811,2,FALSE),"-")</f>
        <v>UTS Carrier</v>
      </c>
      <c r="F216" s="676" t="s">
        <v>826</v>
      </c>
      <c r="G216" s="58">
        <v>1</v>
      </c>
      <c r="H216" s="58"/>
      <c r="I216" s="58"/>
      <c r="J216" s="58"/>
      <c r="K216" s="137"/>
      <c r="L216" s="56" t="s">
        <v>1265</v>
      </c>
      <c r="M216" s="292">
        <v>257</v>
      </c>
    </row>
    <row r="217" spans="1:13">
      <c r="A217" s="292">
        <v>257</v>
      </c>
      <c r="B217" s="66" t="s">
        <v>1259</v>
      </c>
      <c r="C217" s="60"/>
      <c r="D217" s="54" t="s">
        <v>168</v>
      </c>
      <c r="E217" s="435" t="str">
        <f>IFERROR(VLOOKUP(D217,Mychart!$A$125:$B$811,2,FALSE),"-")</f>
        <v>UTS Carrier</v>
      </c>
      <c r="F217" s="676" t="s">
        <v>236</v>
      </c>
      <c r="G217" s="58">
        <v>5</v>
      </c>
      <c r="H217" s="58"/>
      <c r="I217" s="58"/>
      <c r="J217" s="58"/>
      <c r="K217" s="137"/>
      <c r="L217" s="56" t="s">
        <v>1265</v>
      </c>
      <c r="M217" s="292">
        <v>257</v>
      </c>
    </row>
    <row r="218" spans="1:13">
      <c r="A218" s="292">
        <v>257</v>
      </c>
      <c r="B218" s="66" t="s">
        <v>1259</v>
      </c>
      <c r="C218" s="60"/>
      <c r="D218" s="54" t="s">
        <v>168</v>
      </c>
      <c r="E218" s="435" t="str">
        <f>IFERROR(VLOOKUP(D218,Mychart!$A$125:$B$811,2,FALSE),"-")</f>
        <v>UTS Carrier</v>
      </c>
      <c r="F218" s="676" t="s">
        <v>237</v>
      </c>
      <c r="G218" s="58">
        <v>5</v>
      </c>
      <c r="H218" s="58"/>
      <c r="I218" s="58"/>
      <c r="J218" s="58"/>
      <c r="K218" s="137"/>
      <c r="L218" s="56" t="s">
        <v>1265</v>
      </c>
      <c r="M218" s="292">
        <v>257</v>
      </c>
    </row>
    <row r="219" spans="1:13">
      <c r="A219" s="292">
        <v>257</v>
      </c>
      <c r="B219" s="66" t="s">
        <v>1259</v>
      </c>
      <c r="C219" s="60"/>
      <c r="D219" s="54" t="s">
        <v>168</v>
      </c>
      <c r="E219" s="435" t="str">
        <f>IFERROR(VLOOKUP(D219,Mychart!$A$125:$B$811,2,FALSE),"-")</f>
        <v>UTS Carrier</v>
      </c>
      <c r="F219" s="676" t="s">
        <v>234</v>
      </c>
      <c r="G219" s="58">
        <v>6</v>
      </c>
      <c r="H219" s="58"/>
      <c r="I219" s="58"/>
      <c r="J219" s="58"/>
      <c r="K219" s="137"/>
      <c r="L219" s="56" t="s">
        <v>1265</v>
      </c>
      <c r="M219" s="292">
        <v>257</v>
      </c>
    </row>
    <row r="220" spans="1:13">
      <c r="A220" s="292">
        <v>257</v>
      </c>
      <c r="B220" s="66" t="s">
        <v>1259</v>
      </c>
      <c r="C220" s="60"/>
      <c r="D220" s="54" t="s">
        <v>168</v>
      </c>
      <c r="E220" s="435" t="str">
        <f>IFERROR(VLOOKUP(D220,Mychart!$A$125:$B$811,2,FALSE),"-")</f>
        <v>UTS Carrier</v>
      </c>
      <c r="F220" s="676" t="s">
        <v>235</v>
      </c>
      <c r="G220" s="58">
        <v>6</v>
      </c>
      <c r="H220" s="58"/>
      <c r="I220" s="58"/>
      <c r="J220" s="58"/>
      <c r="K220" s="137"/>
      <c r="L220" s="56" t="s">
        <v>1265</v>
      </c>
      <c r="M220" s="292">
        <v>257</v>
      </c>
    </row>
    <row r="221" spans="1:13">
      <c r="A221" s="292">
        <v>257</v>
      </c>
      <c r="B221" s="66" t="s">
        <v>1259</v>
      </c>
      <c r="C221" s="60"/>
      <c r="D221" s="54" t="s">
        <v>168</v>
      </c>
      <c r="E221" s="435" t="str">
        <f>IFERROR(VLOOKUP(D221,Mychart!$A$125:$B$811,2,FALSE),"-")</f>
        <v>UTS Carrier</v>
      </c>
      <c r="F221" s="676" t="s">
        <v>232</v>
      </c>
      <c r="G221" s="58">
        <v>1</v>
      </c>
      <c r="H221" s="58"/>
      <c r="I221" s="58"/>
      <c r="J221" s="58"/>
      <c r="K221" s="137"/>
      <c r="L221" s="56" t="s">
        <v>1265</v>
      </c>
      <c r="M221" s="292">
        <v>257</v>
      </c>
    </row>
    <row r="222" spans="1:13">
      <c r="A222" s="292">
        <v>257</v>
      </c>
      <c r="B222" s="66" t="s">
        <v>1259</v>
      </c>
      <c r="C222" s="60"/>
      <c r="D222" s="54" t="s">
        <v>168</v>
      </c>
      <c r="E222" s="435" t="str">
        <f>IFERROR(VLOOKUP(D222,Mychart!$A$125:$B$811,2,FALSE),"-")</f>
        <v>UTS Carrier</v>
      </c>
      <c r="F222" s="676" t="s">
        <v>233</v>
      </c>
      <c r="G222" s="58">
        <v>1</v>
      </c>
      <c r="H222" s="58"/>
      <c r="I222" s="58"/>
      <c r="J222" s="58"/>
      <c r="K222" s="137"/>
      <c r="L222" s="56" t="s">
        <v>1265</v>
      </c>
      <c r="M222" s="292">
        <v>257</v>
      </c>
    </row>
    <row r="223" spans="1:13">
      <c r="A223" s="292">
        <v>257</v>
      </c>
      <c r="B223" s="66" t="s">
        <v>1259</v>
      </c>
      <c r="C223" s="60"/>
      <c r="D223" s="54" t="s">
        <v>168</v>
      </c>
      <c r="E223" s="435" t="str">
        <f>IFERROR(VLOOKUP(D223,Mychart!$A$125:$B$811,2,FALSE),"-")</f>
        <v>UTS Carrier</v>
      </c>
      <c r="F223" s="676" t="s">
        <v>1099</v>
      </c>
      <c r="G223" s="58">
        <v>3</v>
      </c>
      <c r="H223" s="58"/>
      <c r="I223" s="58"/>
      <c r="J223" s="58"/>
      <c r="K223" s="137"/>
      <c r="L223" s="56" t="s">
        <v>1265</v>
      </c>
      <c r="M223" s="292">
        <v>257</v>
      </c>
    </row>
    <row r="224" spans="1:13">
      <c r="A224" s="292">
        <v>257</v>
      </c>
      <c r="B224" s="66" t="s">
        <v>1259</v>
      </c>
      <c r="C224" s="60"/>
      <c r="D224" s="54" t="s">
        <v>168</v>
      </c>
      <c r="E224" s="435" t="str">
        <f>IFERROR(VLOOKUP(D224,Mychart!$A$125:$B$811,2,FALSE),"-")</f>
        <v>UTS Carrier</v>
      </c>
      <c r="F224" s="676" t="s">
        <v>1100</v>
      </c>
      <c r="G224" s="58">
        <v>3</v>
      </c>
      <c r="H224" s="58"/>
      <c r="I224" s="58"/>
      <c r="J224" s="58"/>
      <c r="K224" s="137"/>
      <c r="L224" s="56" t="s">
        <v>1265</v>
      </c>
      <c r="M224" s="292">
        <v>257</v>
      </c>
    </row>
    <row r="225" spans="1:13">
      <c r="A225" s="292">
        <v>257</v>
      </c>
      <c r="B225" s="66" t="s">
        <v>1259</v>
      </c>
      <c r="C225" s="60"/>
      <c r="D225" s="54" t="s">
        <v>168</v>
      </c>
      <c r="E225" s="435" t="str">
        <f>IFERROR(VLOOKUP(D225,Mychart!$A$125:$B$811,2,FALSE),"-")</f>
        <v>UTS Carrier</v>
      </c>
      <c r="F225" s="676" t="s">
        <v>834</v>
      </c>
      <c r="G225" s="58">
        <v>1</v>
      </c>
      <c r="H225" s="58"/>
      <c r="I225" s="58"/>
      <c r="J225" s="58"/>
      <c r="K225" s="137"/>
      <c r="L225" s="56" t="s">
        <v>1265</v>
      </c>
      <c r="M225" s="292">
        <v>257</v>
      </c>
    </row>
    <row r="226" spans="1:13">
      <c r="A226" s="292">
        <v>257</v>
      </c>
      <c r="B226" s="66" t="s">
        <v>1259</v>
      </c>
      <c r="C226" s="60"/>
      <c r="D226" s="54" t="s">
        <v>168</v>
      </c>
      <c r="E226" s="435" t="str">
        <f>IFERROR(VLOOKUP(D226,Mychart!$A$125:$B$811,2,FALSE),"-")</f>
        <v>UTS Carrier</v>
      </c>
      <c r="F226" s="676" t="s">
        <v>835</v>
      </c>
      <c r="G226" s="58">
        <v>1</v>
      </c>
      <c r="H226" s="58"/>
      <c r="I226" s="58"/>
      <c r="J226" s="58"/>
      <c r="K226" s="137"/>
      <c r="L226" s="56" t="s">
        <v>1265</v>
      </c>
      <c r="M226" s="292">
        <v>257</v>
      </c>
    </row>
    <row r="227" spans="1:13">
      <c r="A227" s="292">
        <v>257</v>
      </c>
      <c r="B227" s="66" t="s">
        <v>1259</v>
      </c>
      <c r="C227" s="60"/>
      <c r="D227" s="54" t="s">
        <v>168</v>
      </c>
      <c r="E227" s="435" t="str">
        <f>IFERROR(VLOOKUP(D227,Mychart!$A$125:$B$811,2,FALSE),"-")</f>
        <v>UTS Carrier</v>
      </c>
      <c r="F227" s="676" t="s">
        <v>1236</v>
      </c>
      <c r="G227" s="58">
        <v>13</v>
      </c>
      <c r="H227" s="58"/>
      <c r="I227" s="58"/>
      <c r="J227" s="58"/>
      <c r="K227" s="137"/>
      <c r="L227" s="56" t="s">
        <v>1265</v>
      </c>
      <c r="M227" s="292">
        <v>257</v>
      </c>
    </row>
    <row r="228" spans="1:13">
      <c r="A228" s="292">
        <v>257</v>
      </c>
      <c r="B228" s="66" t="s">
        <v>1259</v>
      </c>
      <c r="C228" s="60"/>
      <c r="D228" s="54" t="s">
        <v>168</v>
      </c>
      <c r="E228" s="435" t="str">
        <f>IFERROR(VLOOKUP(D228,Mychart!$A$125:$B$811,2,FALSE),"-")</f>
        <v>UTS Carrier</v>
      </c>
      <c r="F228" s="676"/>
      <c r="G228" s="58"/>
      <c r="H228" s="58"/>
      <c r="I228" s="58"/>
      <c r="J228" s="58"/>
      <c r="K228" s="137"/>
      <c r="L228" s="56" t="s">
        <v>1265</v>
      </c>
      <c r="M228" s="292">
        <v>257</v>
      </c>
    </row>
    <row r="229" spans="1:13">
      <c r="A229" s="292">
        <v>246</v>
      </c>
      <c r="B229" s="66" t="s">
        <v>1260</v>
      </c>
      <c r="C229" s="60"/>
      <c r="D229" s="54" t="s">
        <v>168</v>
      </c>
      <c r="E229" s="435" t="str">
        <f>IFERROR(VLOOKUP(D229,Mychart!$A$125:$B$811,2,FALSE),"-")</f>
        <v>UTS Carrier</v>
      </c>
      <c r="F229" s="676" t="s">
        <v>1100</v>
      </c>
      <c r="G229" s="58">
        <v>2</v>
      </c>
      <c r="H229" s="58"/>
      <c r="I229" s="58"/>
      <c r="J229" s="58"/>
      <c r="K229" s="137"/>
      <c r="L229" s="56" t="s">
        <v>1266</v>
      </c>
      <c r="M229" s="292">
        <v>246</v>
      </c>
    </row>
    <row r="230" spans="1:13">
      <c r="A230" s="292">
        <v>246</v>
      </c>
      <c r="B230" s="66" t="s">
        <v>1260</v>
      </c>
      <c r="C230" s="60"/>
      <c r="D230" s="54" t="s">
        <v>168</v>
      </c>
      <c r="E230" s="435" t="str">
        <f>IFERROR(VLOOKUP(D230,Mychart!$A$125:$B$811,2,FALSE),"-")</f>
        <v>UTS Carrier</v>
      </c>
      <c r="F230" s="676" t="s">
        <v>1099</v>
      </c>
      <c r="G230" s="58">
        <v>2</v>
      </c>
      <c r="H230" s="58"/>
      <c r="I230" s="58"/>
      <c r="J230" s="58"/>
      <c r="K230" s="137"/>
      <c r="L230" s="56" t="s">
        <v>1266</v>
      </c>
      <c r="M230" s="292">
        <v>246</v>
      </c>
    </row>
    <row r="231" spans="1:13">
      <c r="A231" s="292">
        <v>246</v>
      </c>
      <c r="B231" s="66" t="s">
        <v>1260</v>
      </c>
      <c r="C231" s="60"/>
      <c r="D231" s="54" t="s">
        <v>168</v>
      </c>
      <c r="E231" s="435" t="str">
        <f>IFERROR(VLOOKUP(D231,Mychart!$A$125:$B$811,2,FALSE),"-")</f>
        <v>UTS Carrier</v>
      </c>
      <c r="F231" s="676" t="s">
        <v>833</v>
      </c>
      <c r="G231" s="58">
        <v>3</v>
      </c>
      <c r="H231" s="58"/>
      <c r="I231" s="58"/>
      <c r="J231" s="58"/>
      <c r="K231" s="137"/>
      <c r="L231" s="56" t="s">
        <v>1266</v>
      </c>
      <c r="M231" s="292">
        <v>246</v>
      </c>
    </row>
    <row r="232" spans="1:13">
      <c r="A232" s="292">
        <v>246</v>
      </c>
      <c r="B232" s="66" t="s">
        <v>1260</v>
      </c>
      <c r="C232" s="60"/>
      <c r="D232" s="54" t="s">
        <v>168</v>
      </c>
      <c r="E232" s="435" t="str">
        <f>IFERROR(VLOOKUP(D232,Mychart!$A$125:$B$811,2,FALSE),"-")</f>
        <v>UTS Carrier</v>
      </c>
      <c r="F232" s="676" t="s">
        <v>832</v>
      </c>
      <c r="G232" s="58">
        <v>3</v>
      </c>
      <c r="H232" s="58"/>
      <c r="I232" s="58"/>
      <c r="J232" s="58"/>
      <c r="K232" s="137"/>
      <c r="L232" s="56" t="s">
        <v>1266</v>
      </c>
      <c r="M232" s="292">
        <v>246</v>
      </c>
    </row>
    <row r="233" spans="1:13">
      <c r="A233" s="292">
        <v>246</v>
      </c>
      <c r="B233" s="66" t="s">
        <v>1260</v>
      </c>
      <c r="C233" s="60"/>
      <c r="D233" s="54" t="s">
        <v>168</v>
      </c>
      <c r="E233" s="435" t="str">
        <f>IFERROR(VLOOKUP(D233,Mychart!$A$125:$B$811,2,FALSE),"-")</f>
        <v>UTS Carrier</v>
      </c>
      <c r="F233" s="676" t="s">
        <v>1170</v>
      </c>
      <c r="G233" s="58">
        <v>1</v>
      </c>
      <c r="H233" s="58"/>
      <c r="I233" s="58"/>
      <c r="J233" s="58"/>
      <c r="K233" s="137"/>
      <c r="L233" s="56" t="s">
        <v>1266</v>
      </c>
      <c r="M233" s="292">
        <v>246</v>
      </c>
    </row>
    <row r="234" spans="1:13">
      <c r="A234" s="292">
        <v>246</v>
      </c>
      <c r="B234" s="66" t="s">
        <v>1260</v>
      </c>
      <c r="C234" s="60"/>
      <c r="D234" s="54" t="s">
        <v>168</v>
      </c>
      <c r="E234" s="435" t="str">
        <f>IFERROR(VLOOKUP(D234,Mychart!$A$125:$B$811,2,FALSE),"-")</f>
        <v>UTS Carrier</v>
      </c>
      <c r="F234" s="676" t="s">
        <v>1169</v>
      </c>
      <c r="G234" s="58">
        <v>1</v>
      </c>
      <c r="H234" s="58"/>
      <c r="I234" s="58"/>
      <c r="J234" s="58"/>
      <c r="K234" s="137"/>
      <c r="L234" s="56" t="s">
        <v>1266</v>
      </c>
      <c r="M234" s="292">
        <v>246</v>
      </c>
    </row>
    <row r="235" spans="1:13">
      <c r="A235" s="292">
        <v>246</v>
      </c>
      <c r="B235" s="66" t="s">
        <v>1260</v>
      </c>
      <c r="C235" s="60"/>
      <c r="D235" s="54" t="s">
        <v>168</v>
      </c>
      <c r="E235" s="435" t="str">
        <f>IFERROR(VLOOKUP(D235,Mychart!$A$125:$B$811,2,FALSE),"-")</f>
        <v>UTS Carrier</v>
      </c>
      <c r="F235" s="676" t="s">
        <v>237</v>
      </c>
      <c r="G235" s="58">
        <v>1</v>
      </c>
      <c r="H235" s="58"/>
      <c r="I235" s="58"/>
      <c r="J235" s="58"/>
      <c r="K235" s="137"/>
      <c r="L235" s="56" t="s">
        <v>1266</v>
      </c>
      <c r="M235" s="292">
        <v>246</v>
      </c>
    </row>
    <row r="236" spans="1:13">
      <c r="A236" s="292">
        <v>246</v>
      </c>
      <c r="B236" s="66" t="s">
        <v>1260</v>
      </c>
      <c r="C236" s="60"/>
      <c r="D236" s="54" t="s">
        <v>168</v>
      </c>
      <c r="E236" s="435" t="str">
        <f>IFERROR(VLOOKUP(D236,Mychart!$A$125:$B$811,2,FALSE),"-")</f>
        <v>UTS Carrier</v>
      </c>
      <c r="F236" s="676" t="s">
        <v>236</v>
      </c>
      <c r="G236" s="58">
        <v>1</v>
      </c>
      <c r="H236" s="58"/>
      <c r="I236" s="58"/>
      <c r="J236" s="58"/>
      <c r="K236" s="137"/>
      <c r="L236" s="56" t="s">
        <v>1266</v>
      </c>
      <c r="M236" s="292">
        <v>246</v>
      </c>
    </row>
    <row r="237" spans="1:13">
      <c r="A237" s="292">
        <v>246</v>
      </c>
      <c r="B237" s="66" t="s">
        <v>1260</v>
      </c>
      <c r="C237" s="60"/>
      <c r="D237" s="54" t="s">
        <v>168</v>
      </c>
      <c r="E237" s="435" t="str">
        <f>IFERROR(VLOOKUP(D237,Mychart!$A$125:$B$811,2,FALSE),"-")</f>
        <v>UTS Carrier</v>
      </c>
      <c r="F237" s="676" t="s">
        <v>828</v>
      </c>
      <c r="G237" s="58">
        <v>2</v>
      </c>
      <c r="H237" s="58"/>
      <c r="I237" s="58"/>
      <c r="J237" s="58"/>
      <c r="K237" s="137"/>
      <c r="L237" s="56" t="s">
        <v>1266</v>
      </c>
      <c r="M237" s="292">
        <v>246</v>
      </c>
    </row>
    <row r="238" spans="1:13">
      <c r="A238" s="292">
        <v>246</v>
      </c>
      <c r="B238" s="66" t="s">
        <v>1260</v>
      </c>
      <c r="C238" s="60"/>
      <c r="D238" s="54" t="s">
        <v>168</v>
      </c>
      <c r="E238" s="435" t="str">
        <f>IFERROR(VLOOKUP(D238,Mychart!$A$125:$B$811,2,FALSE),"-")</f>
        <v>UTS Carrier</v>
      </c>
      <c r="F238" s="676" t="s">
        <v>827</v>
      </c>
      <c r="G238" s="58">
        <v>2</v>
      </c>
      <c r="H238" s="58"/>
      <c r="I238" s="58"/>
      <c r="J238" s="58"/>
      <c r="K238" s="137"/>
      <c r="L238" s="56" t="s">
        <v>1266</v>
      </c>
      <c r="M238" s="292">
        <v>246</v>
      </c>
    </row>
    <row r="239" spans="1:13">
      <c r="A239" s="292">
        <v>246</v>
      </c>
      <c r="B239" s="66" t="s">
        <v>1260</v>
      </c>
      <c r="C239" s="60"/>
      <c r="D239" s="54" t="s">
        <v>168</v>
      </c>
      <c r="E239" s="435" t="str">
        <f>IFERROR(VLOOKUP(D239,Mychart!$A$125:$B$811,2,FALSE),"-")</f>
        <v>UTS Carrier</v>
      </c>
      <c r="F239" s="676" t="s">
        <v>235</v>
      </c>
      <c r="G239" s="58">
        <v>1</v>
      </c>
      <c r="H239" s="58"/>
      <c r="I239" s="58"/>
      <c r="J239" s="58"/>
      <c r="K239" s="137"/>
      <c r="L239" s="56" t="s">
        <v>1266</v>
      </c>
      <c r="M239" s="292">
        <v>246</v>
      </c>
    </row>
    <row r="240" spans="1:13">
      <c r="A240" s="292">
        <v>246</v>
      </c>
      <c r="B240" s="66" t="s">
        <v>1260</v>
      </c>
      <c r="C240" s="60"/>
      <c r="D240" s="54" t="s">
        <v>168</v>
      </c>
      <c r="E240" s="435" t="str">
        <f>IFERROR(VLOOKUP(D240,Mychart!$A$125:$B$811,2,FALSE),"-")</f>
        <v>UTS Carrier</v>
      </c>
      <c r="F240" s="676" t="s">
        <v>234</v>
      </c>
      <c r="G240" s="58">
        <v>1</v>
      </c>
      <c r="H240" s="58"/>
      <c r="I240" s="58"/>
      <c r="J240" s="58"/>
      <c r="K240" s="137"/>
      <c r="L240" s="56" t="s">
        <v>1266</v>
      </c>
      <c r="M240" s="292">
        <v>246</v>
      </c>
    </row>
    <row r="241" spans="1:13">
      <c r="A241" s="292">
        <v>246</v>
      </c>
      <c r="B241" s="66" t="s">
        <v>1260</v>
      </c>
      <c r="C241" s="60"/>
      <c r="D241" s="54" t="s">
        <v>168</v>
      </c>
      <c r="E241" s="435" t="str">
        <f>IFERROR(VLOOKUP(D241,Mychart!$A$125:$B$811,2,FALSE),"-")</f>
        <v>UTS Carrier</v>
      </c>
      <c r="F241" s="676" t="s">
        <v>233</v>
      </c>
      <c r="G241" s="58">
        <v>7</v>
      </c>
      <c r="H241" s="58"/>
      <c r="I241" s="58"/>
      <c r="J241" s="58"/>
      <c r="K241" s="137"/>
      <c r="L241" s="56" t="s">
        <v>1266</v>
      </c>
      <c r="M241" s="292">
        <v>246</v>
      </c>
    </row>
    <row r="242" spans="1:13">
      <c r="A242" s="292">
        <v>246</v>
      </c>
      <c r="B242" s="66" t="s">
        <v>1260</v>
      </c>
      <c r="C242" s="60"/>
      <c r="D242" s="54" t="s">
        <v>168</v>
      </c>
      <c r="E242" s="435" t="str">
        <f>IFERROR(VLOOKUP(D242,Mychart!$A$125:$B$811,2,FALSE),"-")</f>
        <v>UTS Carrier</v>
      </c>
      <c r="F242" s="676" t="s">
        <v>232</v>
      </c>
      <c r="G242" s="58">
        <v>7</v>
      </c>
      <c r="H242" s="58"/>
      <c r="I242" s="58"/>
      <c r="J242" s="58"/>
      <c r="K242" s="137"/>
      <c r="L242" s="56" t="s">
        <v>1266</v>
      </c>
      <c r="M242" s="292">
        <v>246</v>
      </c>
    </row>
    <row r="243" spans="1:13">
      <c r="A243" s="292">
        <v>246</v>
      </c>
      <c r="B243" s="66" t="s">
        <v>1260</v>
      </c>
      <c r="C243" s="60"/>
      <c r="D243" s="54" t="s">
        <v>168</v>
      </c>
      <c r="E243" s="435" t="str">
        <f>IFERROR(VLOOKUP(D243,Mychart!$A$125:$B$811,2,FALSE),"-")</f>
        <v>UTS Carrier</v>
      </c>
      <c r="F243" s="676"/>
      <c r="G243" s="58"/>
      <c r="H243" s="58"/>
      <c r="I243" s="58"/>
      <c r="J243" s="58"/>
      <c r="K243" s="137"/>
      <c r="L243" s="56" t="s">
        <v>1266</v>
      </c>
      <c r="M243" s="292">
        <v>246</v>
      </c>
    </row>
    <row r="244" spans="1:13">
      <c r="A244" s="292">
        <v>197</v>
      </c>
      <c r="B244" s="66" t="s">
        <v>1261</v>
      </c>
      <c r="C244" s="60"/>
      <c r="D244" s="54" t="s">
        <v>168</v>
      </c>
      <c r="E244" s="435" t="str">
        <f>IFERROR(VLOOKUP(D244,Mychart!$A$125:$B$811,2,FALSE),"-")</f>
        <v>UTS Carrier</v>
      </c>
      <c r="F244" s="676" t="s">
        <v>825</v>
      </c>
      <c r="G244" s="58">
        <v>1</v>
      </c>
      <c r="H244" s="58"/>
      <c r="I244" s="58"/>
      <c r="J244" s="58"/>
      <c r="K244" s="137"/>
      <c r="L244" s="56" t="s">
        <v>1267</v>
      </c>
      <c r="M244" s="292">
        <v>197</v>
      </c>
    </row>
    <row r="245" spans="1:13">
      <c r="A245" s="292">
        <v>197</v>
      </c>
      <c r="B245" s="66" t="s">
        <v>1261</v>
      </c>
      <c r="C245" s="60"/>
      <c r="D245" s="54" t="s">
        <v>168</v>
      </c>
      <c r="E245" s="435" t="str">
        <f>IFERROR(VLOOKUP(D245,Mychart!$A$125:$B$811,2,FALSE),"-")</f>
        <v>UTS Carrier</v>
      </c>
      <c r="F245" s="676" t="s">
        <v>232</v>
      </c>
      <c r="G245" s="58">
        <v>3</v>
      </c>
      <c r="H245" s="58"/>
      <c r="I245" s="58"/>
      <c r="J245" s="58"/>
      <c r="K245" s="137"/>
      <c r="L245" s="56" t="s">
        <v>1267</v>
      </c>
      <c r="M245" s="292">
        <v>197</v>
      </c>
    </row>
    <row r="246" spans="1:13">
      <c r="A246" s="292">
        <v>197</v>
      </c>
      <c r="B246" s="66" t="s">
        <v>1261</v>
      </c>
      <c r="C246" s="60"/>
      <c r="D246" s="54" t="s">
        <v>168</v>
      </c>
      <c r="E246" s="435" t="str">
        <f>IFERROR(VLOOKUP(D246,Mychart!$A$125:$B$811,2,FALSE),"-")</f>
        <v>UTS Carrier</v>
      </c>
      <c r="F246" s="676" t="s">
        <v>1236</v>
      </c>
      <c r="G246" s="58">
        <v>4</v>
      </c>
      <c r="H246" s="58"/>
      <c r="I246" s="58"/>
      <c r="J246" s="58"/>
      <c r="K246" s="137"/>
      <c r="L246" s="56" t="s">
        <v>1267</v>
      </c>
      <c r="M246" s="292">
        <v>197</v>
      </c>
    </row>
    <row r="247" spans="1:13">
      <c r="A247" s="292">
        <v>197</v>
      </c>
      <c r="B247" s="66" t="s">
        <v>1261</v>
      </c>
      <c r="C247" s="60"/>
      <c r="D247" s="54" t="s">
        <v>168</v>
      </c>
      <c r="E247" s="435" t="str">
        <f>IFERROR(VLOOKUP(D247,Mychart!$A$125:$B$811,2,FALSE),"-")</f>
        <v>UTS Carrier</v>
      </c>
      <c r="F247" s="676" t="s">
        <v>1268</v>
      </c>
      <c r="G247" s="58">
        <v>1</v>
      </c>
      <c r="H247" s="58"/>
      <c r="I247" s="58"/>
      <c r="J247" s="58"/>
      <c r="K247" s="137"/>
      <c r="L247" s="56" t="s">
        <v>1267</v>
      </c>
      <c r="M247" s="292">
        <v>197</v>
      </c>
    </row>
    <row r="248" spans="1:13">
      <c r="A248" s="292">
        <v>197</v>
      </c>
      <c r="B248" s="66" t="s">
        <v>1261</v>
      </c>
      <c r="C248" s="60"/>
      <c r="D248" s="54" t="s">
        <v>168</v>
      </c>
      <c r="E248" s="435" t="str">
        <f>IFERROR(VLOOKUP(D248,Mychart!$A$125:$B$811,2,FALSE),"-")</f>
        <v>UTS Carrier</v>
      </c>
      <c r="F248" s="676" t="s">
        <v>1170</v>
      </c>
      <c r="G248" s="58">
        <v>1</v>
      </c>
      <c r="H248" s="58"/>
      <c r="I248" s="58"/>
      <c r="J248" s="58"/>
      <c r="K248" s="137"/>
      <c r="L248" s="56" t="s">
        <v>1267</v>
      </c>
      <c r="M248" s="292">
        <v>197</v>
      </c>
    </row>
    <row r="249" spans="1:13">
      <c r="A249" s="292">
        <v>197</v>
      </c>
      <c r="B249" s="66" t="s">
        <v>1261</v>
      </c>
      <c r="C249" s="60"/>
      <c r="D249" s="54" t="s">
        <v>168</v>
      </c>
      <c r="E249" s="435" t="str">
        <f>IFERROR(VLOOKUP(D249,Mychart!$A$125:$B$811,2,FALSE),"-")</f>
        <v>UTS Carrier</v>
      </c>
      <c r="F249" s="676" t="s">
        <v>832</v>
      </c>
      <c r="G249" s="58">
        <v>2</v>
      </c>
      <c r="H249" s="58"/>
      <c r="I249" s="58"/>
      <c r="J249" s="58"/>
      <c r="K249" s="137"/>
      <c r="L249" s="56" t="s">
        <v>1267</v>
      </c>
      <c r="M249" s="292">
        <v>197</v>
      </c>
    </row>
    <row r="250" spans="1:13">
      <c r="A250" s="292">
        <v>197</v>
      </c>
      <c r="B250" s="66" t="s">
        <v>1261</v>
      </c>
      <c r="C250" s="60"/>
      <c r="D250" s="54" t="s">
        <v>168</v>
      </c>
      <c r="E250" s="435" t="str">
        <f>IFERROR(VLOOKUP(D250,Mychart!$A$125:$B$811,2,FALSE),"-")</f>
        <v>UTS Carrier</v>
      </c>
      <c r="F250" s="676" t="s">
        <v>833</v>
      </c>
      <c r="G250" s="58">
        <v>2</v>
      </c>
      <c r="H250" s="58"/>
      <c r="I250" s="58"/>
      <c r="J250" s="58"/>
      <c r="K250" s="137"/>
      <c r="L250" s="56" t="s">
        <v>1267</v>
      </c>
      <c r="M250" s="292">
        <v>197</v>
      </c>
    </row>
    <row r="251" spans="1:13">
      <c r="A251" s="292">
        <v>197</v>
      </c>
      <c r="B251" s="66" t="s">
        <v>1261</v>
      </c>
      <c r="C251" s="60"/>
      <c r="D251" s="54" t="s">
        <v>168</v>
      </c>
      <c r="E251" s="435" t="str">
        <f>IFERROR(VLOOKUP(D251,Mychart!$A$125:$B$811,2,FALSE),"-")</f>
        <v>UTS Carrier</v>
      </c>
      <c r="F251" s="676" t="s">
        <v>1081</v>
      </c>
      <c r="G251" s="58">
        <v>1</v>
      </c>
      <c r="H251" s="58"/>
      <c r="I251" s="58"/>
      <c r="J251" s="58"/>
      <c r="K251" s="137"/>
      <c r="L251" s="56" t="s">
        <v>1267</v>
      </c>
      <c r="M251" s="292">
        <v>197</v>
      </c>
    </row>
    <row r="252" spans="1:13">
      <c r="A252" s="292">
        <v>197</v>
      </c>
      <c r="B252" s="66" t="s">
        <v>1261</v>
      </c>
      <c r="C252" s="60"/>
      <c r="D252" s="54" t="s">
        <v>168</v>
      </c>
      <c r="E252" s="435" t="str">
        <f>IFERROR(VLOOKUP(D252,Mychart!$A$125:$B$811,2,FALSE),"-")</f>
        <v>UTS Carrier</v>
      </c>
      <c r="F252" s="676" t="s">
        <v>1082</v>
      </c>
      <c r="G252" s="58">
        <v>1</v>
      </c>
      <c r="H252" s="58"/>
      <c r="I252" s="58"/>
      <c r="J252" s="58"/>
      <c r="K252" s="137"/>
      <c r="L252" s="56" t="s">
        <v>1267</v>
      </c>
      <c r="M252" s="292">
        <v>197</v>
      </c>
    </row>
    <row r="253" spans="1:13">
      <c r="A253" s="292">
        <v>197</v>
      </c>
      <c r="B253" s="66" t="s">
        <v>1261</v>
      </c>
      <c r="C253" s="60"/>
      <c r="D253" s="54" t="s">
        <v>168</v>
      </c>
      <c r="E253" s="435" t="str">
        <f>IFERROR(VLOOKUP(D253,Mychart!$A$125:$B$811,2,FALSE),"-")</f>
        <v>UTS Carrier</v>
      </c>
      <c r="F253" s="676"/>
      <c r="G253" s="58"/>
      <c r="H253" s="58"/>
      <c r="I253" s="58"/>
      <c r="J253" s="58"/>
      <c r="K253" s="137"/>
      <c r="L253" s="308" t="s">
        <v>1267</v>
      </c>
      <c r="M253" s="292">
        <v>197</v>
      </c>
    </row>
    <row r="254" spans="1:13">
      <c r="A254" s="292">
        <v>250</v>
      </c>
      <c r="B254" s="66" t="s">
        <v>1269</v>
      </c>
      <c r="C254" s="60"/>
      <c r="D254" s="54" t="s">
        <v>168</v>
      </c>
      <c r="E254" s="435" t="str">
        <f>IFERROR(VLOOKUP(D254,Mychart!$A$125:$B$811,2,FALSE),"-")</f>
        <v>UTS Carrier</v>
      </c>
      <c r="F254" s="676" t="s">
        <v>827</v>
      </c>
      <c r="G254" s="58">
        <v>1</v>
      </c>
      <c r="H254" s="58"/>
      <c r="I254" s="58"/>
      <c r="J254" s="58"/>
      <c r="K254" s="137"/>
      <c r="L254" s="56" t="s">
        <v>1270</v>
      </c>
      <c r="M254" s="292">
        <v>250</v>
      </c>
    </row>
    <row r="255" spans="1:13">
      <c r="A255" s="292">
        <v>250</v>
      </c>
      <c r="B255" s="66" t="s">
        <v>1269</v>
      </c>
      <c r="C255" s="60"/>
      <c r="D255" s="54" t="s">
        <v>168</v>
      </c>
      <c r="E255" s="435" t="str">
        <f>IFERROR(VLOOKUP(D255,Mychart!$A$125:$B$811,2,FALSE),"-")</f>
        <v>UTS Carrier</v>
      </c>
      <c r="F255" s="676" t="s">
        <v>828</v>
      </c>
      <c r="G255" s="58">
        <v>1</v>
      </c>
      <c r="H255" s="58"/>
      <c r="I255" s="58"/>
      <c r="J255" s="58"/>
      <c r="K255" s="137"/>
      <c r="L255" s="56" t="s">
        <v>1270</v>
      </c>
      <c r="M255" s="292">
        <v>250</v>
      </c>
    </row>
    <row r="256" spans="1:13">
      <c r="A256" s="292">
        <v>250</v>
      </c>
      <c r="B256" s="66" t="s">
        <v>1269</v>
      </c>
      <c r="C256" s="60"/>
      <c r="D256" s="54" t="s">
        <v>168</v>
      </c>
      <c r="E256" s="435" t="str">
        <f>IFERROR(VLOOKUP(D256,Mychart!$A$125:$B$811,2,FALSE),"-")</f>
        <v>UTS Carrier</v>
      </c>
      <c r="F256" s="676" t="s">
        <v>238</v>
      </c>
      <c r="G256" s="58">
        <v>1</v>
      </c>
      <c r="H256" s="58"/>
      <c r="I256" s="58"/>
      <c r="J256" s="58"/>
      <c r="K256" s="137"/>
      <c r="L256" s="56" t="s">
        <v>1270</v>
      </c>
      <c r="M256" s="292">
        <v>250</v>
      </c>
    </row>
    <row r="257" spans="1:13">
      <c r="A257" s="292">
        <v>250</v>
      </c>
      <c r="B257" s="66" t="s">
        <v>1269</v>
      </c>
      <c r="C257" s="60"/>
      <c r="D257" s="54" t="s">
        <v>168</v>
      </c>
      <c r="E257" s="435" t="str">
        <f>IFERROR(VLOOKUP(D257,Mychart!$A$125:$B$811,2,FALSE),"-")</f>
        <v>UTS Carrier</v>
      </c>
      <c r="F257" s="676" t="s">
        <v>239</v>
      </c>
      <c r="G257" s="58">
        <v>1</v>
      </c>
      <c r="H257" s="58"/>
      <c r="I257" s="58"/>
      <c r="J257" s="58"/>
      <c r="K257" s="137"/>
      <c r="L257" s="56" t="s">
        <v>1270</v>
      </c>
      <c r="M257" s="292">
        <v>250</v>
      </c>
    </row>
    <row r="258" spans="1:13">
      <c r="A258" s="292">
        <v>250</v>
      </c>
      <c r="B258" s="66" t="s">
        <v>1269</v>
      </c>
      <c r="C258" s="60"/>
      <c r="D258" s="54" t="s">
        <v>168</v>
      </c>
      <c r="E258" s="435" t="str">
        <f>IFERROR(VLOOKUP(D258,Mychart!$A$125:$B$811,2,FALSE),"-")</f>
        <v>UTS Carrier</v>
      </c>
      <c r="F258" s="676" t="s">
        <v>234</v>
      </c>
      <c r="G258" s="58">
        <v>1</v>
      </c>
      <c r="H258" s="58"/>
      <c r="I258" s="58"/>
      <c r="J258" s="58"/>
      <c r="K258" s="137"/>
      <c r="L258" s="56" t="s">
        <v>1270</v>
      </c>
      <c r="M258" s="292">
        <v>250</v>
      </c>
    </row>
    <row r="259" spans="1:13">
      <c r="A259" s="292">
        <v>250</v>
      </c>
      <c r="B259" s="66" t="s">
        <v>1269</v>
      </c>
      <c r="C259" s="60"/>
      <c r="D259" s="54" t="s">
        <v>168</v>
      </c>
      <c r="E259" s="435" t="str">
        <f>IFERROR(VLOOKUP(D259,Mychart!$A$125:$B$811,2,FALSE),"-")</f>
        <v>UTS Carrier</v>
      </c>
      <c r="F259" s="676" t="s">
        <v>235</v>
      </c>
      <c r="G259" s="58">
        <v>1</v>
      </c>
      <c r="H259" s="58"/>
      <c r="I259" s="58"/>
      <c r="J259" s="58"/>
      <c r="K259" s="137"/>
      <c r="L259" s="56" t="s">
        <v>1270</v>
      </c>
      <c r="M259" s="292">
        <v>250</v>
      </c>
    </row>
    <row r="260" spans="1:13">
      <c r="A260" s="292">
        <v>250</v>
      </c>
      <c r="B260" s="66" t="s">
        <v>1269</v>
      </c>
      <c r="C260" s="60"/>
      <c r="D260" s="54" t="s">
        <v>168</v>
      </c>
      <c r="E260" s="435" t="str">
        <f>IFERROR(VLOOKUP(D260,Mychart!$A$125:$B$811,2,FALSE),"-")</f>
        <v>UTS Carrier</v>
      </c>
      <c r="F260" s="676" t="s">
        <v>232</v>
      </c>
      <c r="G260" s="58">
        <v>2</v>
      </c>
      <c r="H260" s="58"/>
      <c r="I260" s="58"/>
      <c r="J260" s="58"/>
      <c r="K260" s="137"/>
      <c r="L260" s="56" t="s">
        <v>1270</v>
      </c>
      <c r="M260" s="292">
        <v>250</v>
      </c>
    </row>
    <row r="261" spans="1:13">
      <c r="A261" s="292">
        <v>250</v>
      </c>
      <c r="B261" s="66" t="s">
        <v>1269</v>
      </c>
      <c r="C261" s="60"/>
      <c r="D261" s="54" t="s">
        <v>168</v>
      </c>
      <c r="E261" s="435" t="str">
        <f>IFERROR(VLOOKUP(D261,Mychart!$A$125:$B$811,2,FALSE),"-")</f>
        <v>UTS Carrier</v>
      </c>
      <c r="F261" s="676" t="s">
        <v>233</v>
      </c>
      <c r="G261" s="58">
        <v>2</v>
      </c>
      <c r="H261" s="58"/>
      <c r="I261" s="58"/>
      <c r="J261" s="58"/>
      <c r="K261" s="137"/>
      <c r="L261" s="56" t="s">
        <v>1270</v>
      </c>
      <c r="M261" s="292">
        <v>250</v>
      </c>
    </row>
    <row r="262" spans="1:13">
      <c r="A262" s="292">
        <v>250</v>
      </c>
      <c r="B262" s="66" t="s">
        <v>1269</v>
      </c>
      <c r="C262" s="60"/>
      <c r="D262" s="54" t="s">
        <v>168</v>
      </c>
      <c r="E262" s="435" t="str">
        <f>IFERROR(VLOOKUP(D262,Mychart!$A$125:$B$811,2,FALSE),"-")</f>
        <v>UTS Carrier</v>
      </c>
      <c r="F262" s="676" t="s">
        <v>832</v>
      </c>
      <c r="G262" s="58">
        <v>3</v>
      </c>
      <c r="H262" s="58"/>
      <c r="I262" s="58"/>
      <c r="J262" s="58"/>
      <c r="K262" s="137"/>
      <c r="L262" s="56" t="s">
        <v>1270</v>
      </c>
      <c r="M262" s="292">
        <v>250</v>
      </c>
    </row>
    <row r="263" spans="1:13">
      <c r="A263" s="292">
        <v>250</v>
      </c>
      <c r="B263" s="66" t="s">
        <v>1269</v>
      </c>
      <c r="C263" s="60"/>
      <c r="D263" s="54" t="s">
        <v>168</v>
      </c>
      <c r="E263" s="435" t="str">
        <f>IFERROR(VLOOKUP(D263,Mychart!$A$125:$B$811,2,FALSE),"-")</f>
        <v>UTS Carrier</v>
      </c>
      <c r="F263" s="676" t="s">
        <v>833</v>
      </c>
      <c r="G263" s="58">
        <v>3</v>
      </c>
      <c r="H263" s="58"/>
      <c r="I263" s="58"/>
      <c r="J263" s="58"/>
      <c r="K263" s="137"/>
      <c r="L263" s="56" t="s">
        <v>1270</v>
      </c>
      <c r="M263" s="292">
        <v>250</v>
      </c>
    </row>
    <row r="264" spans="1:13">
      <c r="A264" s="292">
        <v>250</v>
      </c>
      <c r="B264" s="66" t="s">
        <v>1269</v>
      </c>
      <c r="C264" s="60"/>
      <c r="D264" s="54" t="s">
        <v>168</v>
      </c>
      <c r="E264" s="435" t="str">
        <f>IFERROR(VLOOKUP(D264,Mychart!$A$125:$B$811,2,FALSE),"-")</f>
        <v>UTS Carrier</v>
      </c>
      <c r="F264" s="676" t="s">
        <v>834</v>
      </c>
      <c r="G264" s="58">
        <v>1</v>
      </c>
      <c r="H264" s="58"/>
      <c r="I264" s="58"/>
      <c r="J264" s="58"/>
      <c r="K264" s="137"/>
      <c r="L264" s="56" t="s">
        <v>1270</v>
      </c>
      <c r="M264" s="292">
        <v>250</v>
      </c>
    </row>
    <row r="265" spans="1:13">
      <c r="A265" s="292">
        <v>250</v>
      </c>
      <c r="B265" s="66" t="s">
        <v>1269</v>
      </c>
      <c r="C265" s="60"/>
      <c r="D265" s="54" t="s">
        <v>168</v>
      </c>
      <c r="E265" s="435" t="str">
        <f>IFERROR(VLOOKUP(D265,Mychart!$A$125:$B$811,2,FALSE),"-")</f>
        <v>UTS Carrier</v>
      </c>
      <c r="F265" s="676" t="s">
        <v>835</v>
      </c>
      <c r="G265" s="58">
        <v>1</v>
      </c>
      <c r="H265" s="58"/>
      <c r="I265" s="58"/>
      <c r="J265" s="58"/>
      <c r="K265" s="137"/>
      <c r="L265" s="56" t="s">
        <v>1270</v>
      </c>
      <c r="M265" s="292">
        <v>250</v>
      </c>
    </row>
    <row r="266" spans="1:13">
      <c r="A266" s="292">
        <v>250</v>
      </c>
      <c r="B266" s="66" t="s">
        <v>1269</v>
      </c>
      <c r="C266" s="60"/>
      <c r="D266" s="54" t="s">
        <v>168</v>
      </c>
      <c r="E266" s="435" t="str">
        <f>IFERROR(VLOOKUP(D266,Mychart!$A$125:$B$811,2,FALSE),"-")</f>
        <v>UTS Carrier</v>
      </c>
      <c r="F266" s="676" t="s">
        <v>1236</v>
      </c>
      <c r="G266" s="58">
        <v>5</v>
      </c>
      <c r="H266" s="58"/>
      <c r="I266" s="58"/>
      <c r="J266" s="58"/>
      <c r="K266" s="137"/>
      <c r="L266" s="56" t="s">
        <v>1270</v>
      </c>
      <c r="M266" s="292">
        <v>250</v>
      </c>
    </row>
    <row r="267" spans="1:13">
      <c r="A267" s="292">
        <v>250</v>
      </c>
      <c r="B267" s="66" t="s">
        <v>1269</v>
      </c>
      <c r="C267" s="60"/>
      <c r="D267" s="54" t="s">
        <v>168</v>
      </c>
      <c r="E267" s="435" t="str">
        <f>IFERROR(VLOOKUP(D267,Mychart!$A$125:$B$811,2,FALSE),"-")</f>
        <v>UTS Carrier</v>
      </c>
      <c r="F267" s="676"/>
      <c r="G267" s="58"/>
      <c r="H267" s="58"/>
      <c r="I267" s="58"/>
      <c r="J267" s="58"/>
      <c r="K267" s="137"/>
      <c r="L267" s="56" t="s">
        <v>1270</v>
      </c>
      <c r="M267" s="292">
        <v>250</v>
      </c>
    </row>
    <row r="268" spans="1:13">
      <c r="A268" s="292">
        <v>216</v>
      </c>
      <c r="B268" s="66" t="s">
        <v>1404</v>
      </c>
      <c r="C268" s="60"/>
      <c r="D268" s="54" t="s">
        <v>168</v>
      </c>
      <c r="E268" s="435" t="str">
        <f>IFERROR(VLOOKUP(D268,Mychart!$A$125:$B$811,2,FALSE),"-")</f>
        <v>UTS Carrier</v>
      </c>
      <c r="F268" s="676" t="s">
        <v>1177</v>
      </c>
      <c r="G268" s="58">
        <v>4</v>
      </c>
      <c r="H268" s="58"/>
      <c r="I268" s="58"/>
      <c r="J268" s="58"/>
      <c r="K268" s="137"/>
      <c r="L268" s="56" t="s">
        <v>671</v>
      </c>
      <c r="M268" s="292">
        <v>216</v>
      </c>
    </row>
    <row r="269" spans="1:13">
      <c r="A269" s="292">
        <v>216</v>
      </c>
      <c r="B269" s="66" t="s">
        <v>1404</v>
      </c>
      <c r="C269" s="60"/>
      <c r="D269" s="54" t="s">
        <v>168</v>
      </c>
      <c r="E269" s="435" t="str">
        <f>IFERROR(VLOOKUP(D269,Mychart!$A$125:$B$811,2,FALSE),"-")</f>
        <v>UTS Carrier</v>
      </c>
      <c r="F269" s="676" t="s">
        <v>237</v>
      </c>
      <c r="G269" s="58">
        <v>4</v>
      </c>
      <c r="H269" s="58"/>
      <c r="I269" s="58"/>
      <c r="J269" s="58"/>
      <c r="K269" s="137"/>
      <c r="L269" s="56" t="s">
        <v>671</v>
      </c>
      <c r="M269" s="292">
        <v>216</v>
      </c>
    </row>
    <row r="270" spans="1:13">
      <c r="A270" s="292">
        <v>216</v>
      </c>
      <c r="B270" s="66" t="s">
        <v>1404</v>
      </c>
      <c r="C270" s="60"/>
      <c r="D270" s="54" t="s">
        <v>168</v>
      </c>
      <c r="E270" s="435" t="str">
        <f>IFERROR(VLOOKUP(D270,Mychart!$A$125:$B$811,2,FALSE),"-")</f>
        <v>UTS Carrier</v>
      </c>
      <c r="F270" s="676" t="s">
        <v>238</v>
      </c>
      <c r="G270" s="58">
        <v>1</v>
      </c>
      <c r="H270" s="58"/>
      <c r="I270" s="58"/>
      <c r="J270" s="58"/>
      <c r="K270" s="137"/>
      <c r="L270" s="56" t="s">
        <v>671</v>
      </c>
      <c r="M270" s="292">
        <v>216</v>
      </c>
    </row>
    <row r="271" spans="1:13">
      <c r="A271" s="292">
        <v>216</v>
      </c>
      <c r="B271" s="66" t="s">
        <v>1404</v>
      </c>
      <c r="C271" s="60"/>
      <c r="D271" s="54" t="s">
        <v>168</v>
      </c>
      <c r="E271" s="435" t="str">
        <f>IFERROR(VLOOKUP(D271,Mychart!$A$125:$B$811,2,FALSE),"-")</f>
        <v>UTS Carrier</v>
      </c>
      <c r="F271" s="676" t="s">
        <v>239</v>
      </c>
      <c r="G271" s="58">
        <v>1</v>
      </c>
      <c r="H271" s="58"/>
      <c r="I271" s="58"/>
      <c r="J271" s="58"/>
      <c r="K271" s="137"/>
      <c r="L271" s="56" t="s">
        <v>671</v>
      </c>
      <c r="M271" s="292">
        <v>216</v>
      </c>
    </row>
    <row r="272" spans="1:13">
      <c r="A272" s="292">
        <v>216</v>
      </c>
      <c r="B272" s="66" t="s">
        <v>1404</v>
      </c>
      <c r="C272" s="60"/>
      <c r="D272" s="54" t="s">
        <v>168</v>
      </c>
      <c r="E272" s="435" t="str">
        <f>IFERROR(VLOOKUP(D272,Mychart!$A$125:$B$811,2,FALSE),"-")</f>
        <v>UTS Carrier</v>
      </c>
      <c r="F272" s="676" t="s">
        <v>234</v>
      </c>
      <c r="G272" s="58">
        <v>2</v>
      </c>
      <c r="H272" s="58"/>
      <c r="I272" s="58"/>
      <c r="J272" s="58"/>
      <c r="K272" s="137"/>
      <c r="L272" s="56" t="s">
        <v>671</v>
      </c>
      <c r="M272" s="292">
        <v>216</v>
      </c>
    </row>
    <row r="273" spans="1:13">
      <c r="A273" s="292">
        <v>216</v>
      </c>
      <c r="B273" s="66" t="s">
        <v>1404</v>
      </c>
      <c r="C273" s="60"/>
      <c r="D273" s="54" t="s">
        <v>168</v>
      </c>
      <c r="E273" s="435" t="str">
        <f>IFERROR(VLOOKUP(D273,Mychart!$A$125:$B$811,2,FALSE),"-")</f>
        <v>UTS Carrier</v>
      </c>
      <c r="F273" s="676" t="s">
        <v>235</v>
      </c>
      <c r="G273" s="58">
        <v>2</v>
      </c>
      <c r="H273" s="58"/>
      <c r="I273" s="58"/>
      <c r="J273" s="58"/>
      <c r="K273" s="137"/>
      <c r="L273" s="56" t="s">
        <v>671</v>
      </c>
      <c r="M273" s="292">
        <v>216</v>
      </c>
    </row>
    <row r="274" spans="1:13">
      <c r="A274" s="292">
        <v>216</v>
      </c>
      <c r="B274" s="66" t="s">
        <v>1404</v>
      </c>
      <c r="C274" s="60"/>
      <c r="D274" s="54" t="s">
        <v>168</v>
      </c>
      <c r="E274" s="435" t="str">
        <f>IFERROR(VLOOKUP(D274,Mychart!$A$125:$B$811,2,FALSE),"-")</f>
        <v>UTS Carrier</v>
      </c>
      <c r="F274" s="676" t="s">
        <v>232</v>
      </c>
      <c r="G274" s="58">
        <v>2</v>
      </c>
      <c r="H274" s="58"/>
      <c r="I274" s="58"/>
      <c r="J274" s="58"/>
      <c r="K274" s="137"/>
      <c r="L274" s="56" t="s">
        <v>671</v>
      </c>
      <c r="M274" s="292">
        <v>216</v>
      </c>
    </row>
    <row r="275" spans="1:13">
      <c r="A275" s="292">
        <v>216</v>
      </c>
      <c r="B275" s="66" t="s">
        <v>1404</v>
      </c>
      <c r="C275" s="60"/>
      <c r="D275" s="54" t="s">
        <v>168</v>
      </c>
      <c r="E275" s="435" t="str">
        <f>IFERROR(VLOOKUP(D275,Mychart!$A$125:$B$811,2,FALSE),"-")</f>
        <v>UTS Carrier</v>
      </c>
      <c r="F275" s="676" t="s">
        <v>233</v>
      </c>
      <c r="G275" s="58">
        <v>2</v>
      </c>
      <c r="H275" s="58"/>
      <c r="I275" s="58"/>
      <c r="J275" s="58"/>
      <c r="K275" s="137"/>
      <c r="L275" s="56" t="s">
        <v>671</v>
      </c>
      <c r="M275" s="292">
        <v>216</v>
      </c>
    </row>
    <row r="276" spans="1:13">
      <c r="A276" s="292">
        <v>216</v>
      </c>
      <c r="B276" s="66" t="s">
        <v>1404</v>
      </c>
      <c r="C276" s="60"/>
      <c r="D276" s="54" t="s">
        <v>168</v>
      </c>
      <c r="E276" s="435" t="str">
        <f>IFERROR(VLOOKUP(D276,Mychart!$A$125:$B$811,2,FALSE),"-")</f>
        <v>UTS Carrier</v>
      </c>
      <c r="F276" s="676" t="s">
        <v>1169</v>
      </c>
      <c r="G276" s="58">
        <v>1</v>
      </c>
      <c r="H276" s="58"/>
      <c r="I276" s="58"/>
      <c r="J276" s="58"/>
      <c r="K276" s="137"/>
      <c r="L276" s="56" t="s">
        <v>671</v>
      </c>
      <c r="M276" s="292">
        <v>216</v>
      </c>
    </row>
    <row r="277" spans="1:13">
      <c r="A277" s="292">
        <v>216</v>
      </c>
      <c r="B277" s="66" t="s">
        <v>1404</v>
      </c>
      <c r="C277" s="60"/>
      <c r="D277" s="54" t="s">
        <v>168</v>
      </c>
      <c r="E277" s="435" t="str">
        <f>IFERROR(VLOOKUP(D277,Mychart!$A$125:$B$811,2,FALSE),"-")</f>
        <v>UTS Carrier</v>
      </c>
      <c r="F277" s="676" t="s">
        <v>1170</v>
      </c>
      <c r="G277" s="58">
        <v>1</v>
      </c>
      <c r="H277" s="58"/>
      <c r="I277" s="58"/>
      <c r="J277" s="58"/>
      <c r="K277" s="137"/>
      <c r="L277" s="56" t="s">
        <v>671</v>
      </c>
      <c r="M277" s="292">
        <v>216</v>
      </c>
    </row>
    <row r="278" spans="1:13">
      <c r="A278" s="292">
        <v>216</v>
      </c>
      <c r="B278" s="66" t="s">
        <v>1404</v>
      </c>
      <c r="C278" s="60"/>
      <c r="D278" s="54" t="s">
        <v>168</v>
      </c>
      <c r="E278" s="435" t="str">
        <f>IFERROR(VLOOKUP(D278,Mychart!$A$125:$B$811,2,FALSE),"-")</f>
        <v>UTS Carrier</v>
      </c>
      <c r="F278" s="676" t="s">
        <v>1188</v>
      </c>
      <c r="G278" s="58">
        <v>1</v>
      </c>
      <c r="H278" s="58"/>
      <c r="I278" s="58"/>
      <c r="J278" s="58"/>
      <c r="K278" s="137"/>
      <c r="L278" s="56" t="s">
        <v>671</v>
      </c>
      <c r="M278" s="292">
        <v>216</v>
      </c>
    </row>
    <row r="279" spans="1:13">
      <c r="A279" s="292">
        <v>216</v>
      </c>
      <c r="B279" s="66" t="s">
        <v>1404</v>
      </c>
      <c r="C279" s="60"/>
      <c r="D279" s="54" t="s">
        <v>168</v>
      </c>
      <c r="E279" s="435" t="str">
        <f>IFERROR(VLOOKUP(D279,Mychart!$A$125:$B$811,2,FALSE),"-")</f>
        <v>UTS Carrier</v>
      </c>
      <c r="F279" s="676" t="s">
        <v>1236</v>
      </c>
      <c r="G279" s="58">
        <v>9</v>
      </c>
      <c r="H279" s="58"/>
      <c r="I279" s="58"/>
      <c r="J279" s="58"/>
      <c r="K279" s="137"/>
      <c r="L279" s="56" t="s">
        <v>671</v>
      </c>
      <c r="M279" s="292">
        <v>216</v>
      </c>
    </row>
    <row r="280" spans="1:13">
      <c r="A280" s="292">
        <v>216</v>
      </c>
      <c r="B280" s="66" t="s">
        <v>1404</v>
      </c>
      <c r="C280" s="60"/>
      <c r="D280" s="54" t="s">
        <v>168</v>
      </c>
      <c r="E280" s="435" t="str">
        <f>IFERROR(VLOOKUP(D280,Mychart!$A$125:$B$811,2,FALSE),"-")</f>
        <v>UTS Carrier</v>
      </c>
      <c r="F280" s="676" t="s">
        <v>1271</v>
      </c>
      <c r="G280" s="58">
        <v>1</v>
      </c>
      <c r="H280" s="58"/>
      <c r="I280" s="58"/>
      <c r="J280" s="58"/>
      <c r="K280" s="137"/>
      <c r="L280" s="56" t="s">
        <v>671</v>
      </c>
      <c r="M280" s="292">
        <v>216</v>
      </c>
    </row>
    <row r="281" spans="1:13">
      <c r="A281" s="310">
        <v>216</v>
      </c>
      <c r="B281" s="66" t="s">
        <v>1404</v>
      </c>
      <c r="C281" s="60"/>
      <c r="D281" s="54" t="s">
        <v>168</v>
      </c>
      <c r="E281" s="435" t="str">
        <f>IFERROR(VLOOKUP(D281,Mychart!$A$125:$B$811,2,FALSE),"-")</f>
        <v>UTS Carrier</v>
      </c>
      <c r="F281" s="676"/>
      <c r="G281" s="58"/>
      <c r="H281" s="58"/>
      <c r="I281" s="58"/>
      <c r="J281" s="58"/>
      <c r="K281" s="137"/>
      <c r="L281" s="308" t="s">
        <v>671</v>
      </c>
      <c r="M281" s="310">
        <v>216</v>
      </c>
    </row>
    <row r="282" spans="1:13">
      <c r="A282" s="292">
        <v>233</v>
      </c>
      <c r="B282" s="66" t="s">
        <v>1255</v>
      </c>
      <c r="C282" s="60"/>
      <c r="D282" s="54" t="s">
        <v>168</v>
      </c>
      <c r="E282" s="435" t="str">
        <f>IFERROR(VLOOKUP(D282,Mychart!$A$125:$B$811,2,FALSE),"-")</f>
        <v>UTS Carrier</v>
      </c>
      <c r="F282" s="676" t="s">
        <v>1175</v>
      </c>
      <c r="G282" s="58">
        <v>1</v>
      </c>
      <c r="H282" s="58"/>
      <c r="I282" s="58"/>
      <c r="J282" s="58"/>
      <c r="K282" s="137"/>
      <c r="L282" s="56" t="s">
        <v>1272</v>
      </c>
      <c r="M282" s="292">
        <v>233</v>
      </c>
    </row>
    <row r="283" spans="1:13">
      <c r="A283" s="292">
        <v>233</v>
      </c>
      <c r="B283" s="66" t="s">
        <v>1255</v>
      </c>
      <c r="C283" s="60"/>
      <c r="D283" s="54" t="s">
        <v>168</v>
      </c>
      <c r="E283" s="435" t="str">
        <f>IFERROR(VLOOKUP(D283,Mychart!$A$125:$B$811,2,FALSE),"-")</f>
        <v>UTS Carrier</v>
      </c>
      <c r="F283" s="676" t="s">
        <v>1176</v>
      </c>
      <c r="G283" s="58">
        <v>1</v>
      </c>
      <c r="H283" s="58"/>
      <c r="I283" s="58"/>
      <c r="J283" s="58"/>
      <c r="K283" s="137"/>
      <c r="L283" s="56" t="s">
        <v>1272</v>
      </c>
      <c r="M283" s="292">
        <v>233</v>
      </c>
    </row>
    <row r="284" spans="1:13">
      <c r="A284" s="292">
        <v>233</v>
      </c>
      <c r="B284" s="66" t="s">
        <v>1255</v>
      </c>
      <c r="C284" s="60"/>
      <c r="D284" s="54" t="s">
        <v>168</v>
      </c>
      <c r="E284" s="435" t="str">
        <f>IFERROR(VLOOKUP(D284,Mychart!$A$125:$B$811,2,FALSE),"-")</f>
        <v>UTS Carrier</v>
      </c>
      <c r="F284" s="676" t="s">
        <v>1177</v>
      </c>
      <c r="G284" s="58">
        <v>1</v>
      </c>
      <c r="H284" s="58"/>
      <c r="I284" s="58"/>
      <c r="J284" s="58"/>
      <c r="K284" s="137"/>
      <c r="L284" s="56" t="s">
        <v>1272</v>
      </c>
      <c r="M284" s="292">
        <v>233</v>
      </c>
    </row>
    <row r="285" spans="1:13">
      <c r="A285" s="292">
        <v>233</v>
      </c>
      <c r="B285" s="66" t="s">
        <v>1255</v>
      </c>
      <c r="C285" s="60"/>
      <c r="D285" s="54" t="s">
        <v>168</v>
      </c>
      <c r="E285" s="435" t="str">
        <f>IFERROR(VLOOKUP(D285,Mychart!$A$125:$B$811,2,FALSE),"-")</f>
        <v>UTS Carrier</v>
      </c>
      <c r="F285" s="676" t="s">
        <v>1178</v>
      </c>
      <c r="G285" s="58">
        <v>1</v>
      </c>
      <c r="H285" s="58"/>
      <c r="I285" s="58"/>
      <c r="J285" s="58"/>
      <c r="K285" s="137"/>
      <c r="L285" s="56" t="s">
        <v>1272</v>
      </c>
      <c r="M285" s="292">
        <v>233</v>
      </c>
    </row>
    <row r="286" spans="1:13">
      <c r="A286" s="292">
        <v>233</v>
      </c>
      <c r="B286" s="66" t="s">
        <v>1255</v>
      </c>
      <c r="C286" s="60"/>
      <c r="D286" s="54" t="s">
        <v>168</v>
      </c>
      <c r="E286" s="435" t="str">
        <f>IFERROR(VLOOKUP(D286,Mychart!$A$125:$B$811,2,FALSE),"-")</f>
        <v>UTS Carrier</v>
      </c>
      <c r="F286" s="676" t="s">
        <v>1168</v>
      </c>
      <c r="G286" s="58">
        <v>1</v>
      </c>
      <c r="H286" s="58"/>
      <c r="I286" s="58"/>
      <c r="J286" s="58"/>
      <c r="K286" s="137"/>
      <c r="L286" s="56" t="s">
        <v>1272</v>
      </c>
      <c r="M286" s="292">
        <v>233</v>
      </c>
    </row>
    <row r="287" spans="1:13">
      <c r="A287" s="292">
        <v>233</v>
      </c>
      <c r="B287" s="66" t="s">
        <v>1255</v>
      </c>
      <c r="C287" s="60"/>
      <c r="D287" s="54" t="s">
        <v>168</v>
      </c>
      <c r="E287" s="435" t="str">
        <f>IFERROR(VLOOKUP(D287,Mychart!$A$125:$B$811,2,FALSE),"-")</f>
        <v>UTS Carrier</v>
      </c>
      <c r="F287" s="676" t="s">
        <v>828</v>
      </c>
      <c r="G287" s="58">
        <v>1</v>
      </c>
      <c r="H287" s="58"/>
      <c r="I287" s="58"/>
      <c r="J287" s="58"/>
      <c r="K287" s="137"/>
      <c r="L287" s="56" t="s">
        <v>1272</v>
      </c>
      <c r="M287" s="292">
        <v>233</v>
      </c>
    </row>
    <row r="288" spans="1:13">
      <c r="A288" s="292">
        <v>233</v>
      </c>
      <c r="B288" s="66" t="s">
        <v>1255</v>
      </c>
      <c r="C288" s="60"/>
      <c r="D288" s="54" t="s">
        <v>168</v>
      </c>
      <c r="E288" s="435" t="str">
        <f>IFERROR(VLOOKUP(D288,Mychart!$A$125:$B$811,2,FALSE),"-")</f>
        <v>UTS Carrier</v>
      </c>
      <c r="F288" s="676" t="s">
        <v>1200</v>
      </c>
      <c r="G288" s="58">
        <v>1</v>
      </c>
      <c r="H288" s="58"/>
      <c r="I288" s="58"/>
      <c r="J288" s="58"/>
      <c r="K288" s="137"/>
      <c r="L288" s="56" t="s">
        <v>1272</v>
      </c>
      <c r="M288" s="292">
        <v>233</v>
      </c>
    </row>
    <row r="289" spans="1:13">
      <c r="A289" s="292">
        <v>233</v>
      </c>
      <c r="B289" s="66" t="s">
        <v>1255</v>
      </c>
      <c r="C289" s="60"/>
      <c r="D289" s="54" t="s">
        <v>168</v>
      </c>
      <c r="E289" s="435" t="str">
        <f>IFERROR(VLOOKUP(D289,Mychart!$A$125:$B$811,2,FALSE),"-")</f>
        <v>UTS Carrier</v>
      </c>
      <c r="F289" s="676" t="s">
        <v>1182</v>
      </c>
      <c r="G289" s="58">
        <v>1</v>
      </c>
      <c r="H289" s="58"/>
      <c r="I289" s="58"/>
      <c r="J289" s="58"/>
      <c r="K289" s="137"/>
      <c r="L289" s="56" t="s">
        <v>1272</v>
      </c>
      <c r="M289" s="292">
        <v>233</v>
      </c>
    </row>
    <row r="290" spans="1:13">
      <c r="A290" s="292">
        <v>233</v>
      </c>
      <c r="B290" s="66" t="s">
        <v>1255</v>
      </c>
      <c r="C290" s="60"/>
      <c r="D290" s="54" t="s">
        <v>168</v>
      </c>
      <c r="E290" s="435" t="str">
        <f>IFERROR(VLOOKUP(D290,Mychart!$A$125:$B$811,2,FALSE),"-")</f>
        <v>UTS Carrier</v>
      </c>
      <c r="F290" s="676" t="s">
        <v>1183</v>
      </c>
      <c r="G290" s="58">
        <v>7</v>
      </c>
      <c r="H290" s="58"/>
      <c r="I290" s="58"/>
      <c r="J290" s="58"/>
      <c r="K290" s="137"/>
      <c r="L290" s="56" t="s">
        <v>1272</v>
      </c>
      <c r="M290" s="292">
        <v>233</v>
      </c>
    </row>
    <row r="291" spans="1:13">
      <c r="A291" s="292">
        <v>233</v>
      </c>
      <c r="B291" s="66" t="s">
        <v>1255</v>
      </c>
      <c r="C291" s="60"/>
      <c r="D291" s="54" t="s">
        <v>168</v>
      </c>
      <c r="E291" s="435" t="str">
        <f>IFERROR(VLOOKUP(D291,Mychart!$A$125:$B$811,2,FALSE),"-")</f>
        <v>UTS Carrier</v>
      </c>
      <c r="F291" s="676" t="s">
        <v>1184</v>
      </c>
      <c r="G291" s="58">
        <v>7</v>
      </c>
      <c r="H291" s="58"/>
      <c r="I291" s="58"/>
      <c r="J291" s="58"/>
      <c r="K291" s="137"/>
      <c r="L291" s="56" t="s">
        <v>1272</v>
      </c>
      <c r="M291" s="292">
        <v>233</v>
      </c>
    </row>
    <row r="292" spans="1:13">
      <c r="A292" s="292">
        <v>233</v>
      </c>
      <c r="B292" s="66" t="s">
        <v>1255</v>
      </c>
      <c r="C292" s="60"/>
      <c r="D292" s="54" t="s">
        <v>168</v>
      </c>
      <c r="E292" s="435" t="str">
        <f>IFERROR(VLOOKUP(D292,Mychart!$A$125:$B$811,2,FALSE),"-")</f>
        <v>UTS Carrier</v>
      </c>
      <c r="F292" s="676" t="s">
        <v>1185</v>
      </c>
      <c r="G292" s="58">
        <v>4</v>
      </c>
      <c r="H292" s="58"/>
      <c r="I292" s="58"/>
      <c r="J292" s="58"/>
      <c r="K292" s="137"/>
      <c r="L292" s="56" t="s">
        <v>1272</v>
      </c>
      <c r="M292" s="292">
        <v>233</v>
      </c>
    </row>
    <row r="293" spans="1:13">
      <c r="A293" s="292">
        <v>233</v>
      </c>
      <c r="B293" s="66" t="s">
        <v>1255</v>
      </c>
      <c r="C293" s="60"/>
      <c r="D293" s="54" t="s">
        <v>168</v>
      </c>
      <c r="E293" s="435" t="str">
        <f>IFERROR(VLOOKUP(D293,Mychart!$A$125:$B$811,2,FALSE),"-")</f>
        <v>UTS Carrier</v>
      </c>
      <c r="F293" s="676" t="s">
        <v>1193</v>
      </c>
      <c r="G293" s="58">
        <v>4</v>
      </c>
      <c r="H293" s="58"/>
      <c r="I293" s="58"/>
      <c r="J293" s="58"/>
      <c r="K293" s="137"/>
      <c r="L293" s="56" t="s">
        <v>1272</v>
      </c>
      <c r="M293" s="292">
        <v>233</v>
      </c>
    </row>
    <row r="294" spans="1:13">
      <c r="A294" s="292">
        <v>233</v>
      </c>
      <c r="B294" s="66" t="s">
        <v>1255</v>
      </c>
      <c r="C294" s="60"/>
      <c r="D294" s="54" t="s">
        <v>168</v>
      </c>
      <c r="E294" s="435" t="str">
        <f>IFERROR(VLOOKUP(D294,Mychart!$A$125:$B$811,2,FALSE),"-")</f>
        <v>UTS Carrier</v>
      </c>
      <c r="F294" s="676" t="s">
        <v>1169</v>
      </c>
      <c r="G294" s="58">
        <v>1</v>
      </c>
      <c r="H294" s="58"/>
      <c r="I294" s="58"/>
      <c r="J294" s="58"/>
      <c r="K294" s="137"/>
      <c r="L294" s="56" t="s">
        <v>1272</v>
      </c>
      <c r="M294" s="292">
        <v>233</v>
      </c>
    </row>
    <row r="295" spans="1:13">
      <c r="A295" s="292">
        <v>233</v>
      </c>
      <c r="B295" s="66" t="s">
        <v>1255</v>
      </c>
      <c r="C295" s="60"/>
      <c r="D295" s="54" t="s">
        <v>168</v>
      </c>
      <c r="E295" s="435" t="str">
        <f>IFERROR(VLOOKUP(D295,Mychart!$A$125:$B$811,2,FALSE),"-")</f>
        <v>UTS Carrier</v>
      </c>
      <c r="F295" s="676" t="s">
        <v>1170</v>
      </c>
      <c r="G295" s="58">
        <v>1</v>
      </c>
      <c r="H295" s="58"/>
      <c r="I295" s="58"/>
      <c r="J295" s="58"/>
      <c r="K295" s="137"/>
      <c r="L295" s="56" t="s">
        <v>1272</v>
      </c>
      <c r="M295" s="292">
        <v>233</v>
      </c>
    </row>
    <row r="296" spans="1:13">
      <c r="A296" s="292">
        <v>233</v>
      </c>
      <c r="B296" s="66" t="s">
        <v>1255</v>
      </c>
      <c r="C296" s="60"/>
      <c r="D296" s="54" t="s">
        <v>168</v>
      </c>
      <c r="E296" s="435" t="str">
        <f>IFERROR(VLOOKUP(D296,Mychart!$A$125:$B$811,2,FALSE),"-")</f>
        <v>UTS Carrier</v>
      </c>
      <c r="F296" s="676" t="s">
        <v>1228</v>
      </c>
      <c r="G296" s="58">
        <v>2</v>
      </c>
      <c r="H296" s="58"/>
      <c r="I296" s="58"/>
      <c r="J296" s="58"/>
      <c r="K296" s="137"/>
      <c r="L296" s="56" t="s">
        <v>1272</v>
      </c>
      <c r="M296" s="292">
        <v>233</v>
      </c>
    </row>
    <row r="297" spans="1:13">
      <c r="A297" s="292">
        <v>233</v>
      </c>
      <c r="B297" s="66" t="s">
        <v>1255</v>
      </c>
      <c r="C297" s="60"/>
      <c r="D297" s="54" t="s">
        <v>168</v>
      </c>
      <c r="E297" s="435" t="str">
        <f>IFERROR(VLOOKUP(D297,Mychart!$A$125:$B$811,2,FALSE),"-")</f>
        <v>UTS Carrier</v>
      </c>
      <c r="F297" s="676" t="s">
        <v>1194</v>
      </c>
      <c r="G297" s="58">
        <v>2</v>
      </c>
      <c r="H297" s="58"/>
      <c r="I297" s="58"/>
      <c r="J297" s="58"/>
      <c r="K297" s="137"/>
      <c r="L297" s="56" t="s">
        <v>1272</v>
      </c>
      <c r="M297" s="292">
        <v>233</v>
      </c>
    </row>
    <row r="298" spans="1:13">
      <c r="A298" s="292">
        <v>233</v>
      </c>
      <c r="B298" s="66" t="s">
        <v>1255</v>
      </c>
      <c r="C298" s="60"/>
      <c r="D298" s="54" t="s">
        <v>168</v>
      </c>
      <c r="E298" s="435" t="str">
        <f>IFERROR(VLOOKUP(D298,Mychart!$A$125:$B$811,2,FALSE),"-")</f>
        <v>UTS Carrier</v>
      </c>
      <c r="F298" s="676" t="s">
        <v>1273</v>
      </c>
      <c r="G298" s="58">
        <v>3</v>
      </c>
      <c r="H298" s="58"/>
      <c r="I298" s="58"/>
      <c r="J298" s="58"/>
      <c r="K298" s="137"/>
      <c r="L298" s="56" t="s">
        <v>1272</v>
      </c>
      <c r="M298" s="292">
        <v>233</v>
      </c>
    </row>
    <row r="299" spans="1:13">
      <c r="A299" s="292">
        <v>233</v>
      </c>
      <c r="B299" s="66" t="s">
        <v>1255</v>
      </c>
      <c r="C299" s="60"/>
      <c r="D299" s="54" t="s">
        <v>168</v>
      </c>
      <c r="E299" s="435" t="str">
        <f>IFERROR(VLOOKUP(D299,Mychart!$A$125:$B$811,2,FALSE),"-")</f>
        <v>UTS Carrier</v>
      </c>
      <c r="F299" s="676" t="s">
        <v>1229</v>
      </c>
      <c r="G299" s="58">
        <v>3</v>
      </c>
      <c r="H299" s="58"/>
      <c r="I299" s="58"/>
      <c r="J299" s="58"/>
      <c r="K299" s="137"/>
      <c r="L299" s="56" t="s">
        <v>1272</v>
      </c>
      <c r="M299" s="292">
        <v>233</v>
      </c>
    </row>
    <row r="300" spans="1:13">
      <c r="A300" s="292">
        <v>233</v>
      </c>
      <c r="B300" s="66" t="s">
        <v>1255</v>
      </c>
      <c r="C300" s="60"/>
      <c r="D300" s="54" t="s">
        <v>168</v>
      </c>
      <c r="E300" s="435" t="str">
        <f>IFERROR(VLOOKUP(D300,Mychart!$A$125:$B$811,2,FALSE),"-")</f>
        <v>UTS Carrier</v>
      </c>
      <c r="F300" s="676" t="s">
        <v>834</v>
      </c>
      <c r="G300" s="58">
        <v>1</v>
      </c>
      <c r="H300" s="58"/>
      <c r="I300" s="58"/>
      <c r="J300" s="58"/>
      <c r="K300" s="137"/>
      <c r="L300" s="56" t="s">
        <v>1272</v>
      </c>
      <c r="M300" s="292">
        <v>233</v>
      </c>
    </row>
    <row r="301" spans="1:13">
      <c r="A301" s="292">
        <v>233</v>
      </c>
      <c r="B301" s="66" t="s">
        <v>1255</v>
      </c>
      <c r="C301" s="60"/>
      <c r="D301" s="54" t="s">
        <v>168</v>
      </c>
      <c r="E301" s="435" t="str">
        <f>IFERROR(VLOOKUP(D301,Mychart!$A$125:$B$811,2,FALSE),"-")</f>
        <v>UTS Carrier</v>
      </c>
      <c r="F301" s="676" t="s">
        <v>835</v>
      </c>
      <c r="G301" s="58">
        <v>1</v>
      </c>
      <c r="H301" s="58"/>
      <c r="I301" s="58"/>
      <c r="J301" s="58"/>
      <c r="K301" s="137"/>
      <c r="L301" s="56" t="s">
        <v>1272</v>
      </c>
      <c r="M301" s="292">
        <v>233</v>
      </c>
    </row>
    <row r="302" spans="1:13">
      <c r="A302" s="292">
        <v>233</v>
      </c>
      <c r="B302" s="66" t="s">
        <v>1255</v>
      </c>
      <c r="C302" s="60"/>
      <c r="D302" s="54" t="s">
        <v>168</v>
      </c>
      <c r="E302" s="435" t="str">
        <f>IFERROR(VLOOKUP(D302,Mychart!$A$125:$B$811,2,FALSE),"-")</f>
        <v>UTS Carrier</v>
      </c>
      <c r="F302" s="676" t="s">
        <v>1274</v>
      </c>
      <c r="G302" s="58">
        <v>15</v>
      </c>
      <c r="H302" s="58"/>
      <c r="I302" s="58"/>
      <c r="J302" s="58"/>
      <c r="K302" s="137"/>
      <c r="L302" s="56" t="s">
        <v>1272</v>
      </c>
      <c r="M302" s="292">
        <v>233</v>
      </c>
    </row>
    <row r="303" spans="1:13">
      <c r="A303" s="292">
        <v>233</v>
      </c>
      <c r="B303" s="66" t="s">
        <v>1255</v>
      </c>
      <c r="C303" s="60"/>
      <c r="D303" s="54" t="s">
        <v>168</v>
      </c>
      <c r="E303" s="435" t="str">
        <f>IFERROR(VLOOKUP(D303,Mychart!$A$125:$B$811,2,FALSE),"-")</f>
        <v>UTS Carrier</v>
      </c>
      <c r="F303" s="676"/>
      <c r="G303" s="58"/>
      <c r="H303" s="58"/>
      <c r="I303" s="58"/>
      <c r="J303" s="58"/>
      <c r="K303" s="137"/>
      <c r="L303" s="56" t="s">
        <v>1272</v>
      </c>
      <c r="M303" s="292">
        <v>233</v>
      </c>
    </row>
    <row r="304" spans="1:13">
      <c r="A304" s="292">
        <v>234</v>
      </c>
      <c r="B304" s="66" t="s">
        <v>1256</v>
      </c>
      <c r="C304" s="60"/>
      <c r="D304" s="54" t="s">
        <v>168</v>
      </c>
      <c r="E304" s="435" t="str">
        <f>IFERROR(VLOOKUP(D304,Mychart!$A$125:$B$811,2,FALSE),"-")</f>
        <v>UTS Carrier</v>
      </c>
      <c r="F304" s="676" t="s">
        <v>1175</v>
      </c>
      <c r="G304" s="58">
        <v>1</v>
      </c>
      <c r="H304" s="58"/>
      <c r="I304" s="58"/>
      <c r="J304" s="58"/>
      <c r="K304" s="137"/>
      <c r="L304" s="56" t="s">
        <v>609</v>
      </c>
      <c r="M304" s="292">
        <v>234</v>
      </c>
    </row>
    <row r="305" spans="1:13">
      <c r="A305" s="292">
        <v>234</v>
      </c>
      <c r="B305" s="66" t="s">
        <v>1256</v>
      </c>
      <c r="C305" s="60"/>
      <c r="D305" s="54" t="s">
        <v>168</v>
      </c>
      <c r="E305" s="435" t="str">
        <f>IFERROR(VLOOKUP(D305,Mychart!$A$125:$B$811,2,FALSE),"-")</f>
        <v>UTS Carrier</v>
      </c>
      <c r="F305" s="676" t="s">
        <v>826</v>
      </c>
      <c r="G305" s="58">
        <v>1</v>
      </c>
      <c r="H305" s="58"/>
      <c r="I305" s="58"/>
      <c r="J305" s="58"/>
      <c r="K305" s="137"/>
      <c r="L305" s="56" t="s">
        <v>609</v>
      </c>
      <c r="M305" s="292">
        <v>234</v>
      </c>
    </row>
    <row r="306" spans="1:13">
      <c r="A306" s="292">
        <v>234</v>
      </c>
      <c r="B306" s="66" t="s">
        <v>1256</v>
      </c>
      <c r="C306" s="60"/>
      <c r="D306" s="54" t="s">
        <v>168</v>
      </c>
      <c r="E306" s="435" t="str">
        <f>IFERROR(VLOOKUP(D306,Mychart!$A$125:$B$811,2,FALSE),"-")</f>
        <v>UTS Carrier</v>
      </c>
      <c r="F306" s="676" t="s">
        <v>1168</v>
      </c>
      <c r="G306" s="58">
        <v>4</v>
      </c>
      <c r="H306" s="58"/>
      <c r="I306" s="58"/>
      <c r="J306" s="58"/>
      <c r="K306" s="137"/>
      <c r="L306" s="56" t="s">
        <v>609</v>
      </c>
      <c r="M306" s="292">
        <v>234</v>
      </c>
    </row>
    <row r="307" spans="1:13">
      <c r="A307" s="292">
        <v>234</v>
      </c>
      <c r="B307" s="66" t="s">
        <v>1256</v>
      </c>
      <c r="C307" s="60"/>
      <c r="D307" s="54" t="s">
        <v>168</v>
      </c>
      <c r="E307" s="435" t="str">
        <f>IFERROR(VLOOKUP(D307,Mychart!$A$125:$B$811,2,FALSE),"-")</f>
        <v>UTS Carrier</v>
      </c>
      <c r="F307" s="676" t="s">
        <v>1226</v>
      </c>
      <c r="G307" s="58">
        <v>4</v>
      </c>
      <c r="H307" s="58"/>
      <c r="I307" s="58"/>
      <c r="J307" s="58"/>
      <c r="K307" s="137"/>
      <c r="L307" s="56" t="s">
        <v>609</v>
      </c>
      <c r="M307" s="292">
        <v>234</v>
      </c>
    </row>
    <row r="308" spans="1:13">
      <c r="A308" s="292">
        <v>234</v>
      </c>
      <c r="B308" s="66" t="s">
        <v>1256</v>
      </c>
      <c r="C308" s="60"/>
      <c r="D308" s="54" t="s">
        <v>168</v>
      </c>
      <c r="E308" s="435" t="str">
        <f>IFERROR(VLOOKUP(D308,Mychart!$A$125:$B$811,2,FALSE),"-")</f>
        <v>UTS Carrier</v>
      </c>
      <c r="F308" s="676" t="s">
        <v>1183</v>
      </c>
      <c r="G308" s="58">
        <v>1</v>
      </c>
      <c r="H308" s="58"/>
      <c r="I308" s="58"/>
      <c r="J308" s="58"/>
      <c r="K308" s="137"/>
      <c r="L308" s="56" t="s">
        <v>609</v>
      </c>
      <c r="M308" s="292">
        <v>234</v>
      </c>
    </row>
    <row r="309" spans="1:13">
      <c r="A309" s="292">
        <v>234</v>
      </c>
      <c r="B309" s="66" t="s">
        <v>1256</v>
      </c>
      <c r="C309" s="60"/>
      <c r="D309" s="54" t="s">
        <v>168</v>
      </c>
      <c r="E309" s="435" t="str">
        <f>IFERROR(VLOOKUP(D309,Mychart!$A$125:$B$811,2,FALSE),"-")</f>
        <v>UTS Carrier</v>
      </c>
      <c r="F309" s="676" t="s">
        <v>1184</v>
      </c>
      <c r="G309" s="58">
        <v>1</v>
      </c>
      <c r="H309" s="58"/>
      <c r="I309" s="58"/>
      <c r="J309" s="58"/>
      <c r="K309" s="137"/>
      <c r="L309" s="56" t="s">
        <v>609</v>
      </c>
      <c r="M309" s="292">
        <v>234</v>
      </c>
    </row>
    <row r="310" spans="1:13">
      <c r="A310" s="292">
        <v>234</v>
      </c>
      <c r="B310" s="66" t="s">
        <v>1256</v>
      </c>
      <c r="C310" s="60"/>
      <c r="D310" s="54" t="s">
        <v>168</v>
      </c>
      <c r="E310" s="435" t="str">
        <f>IFERROR(VLOOKUP(D310,Mychart!$A$125:$B$811,2,FALSE),"-")</f>
        <v>UTS Carrier</v>
      </c>
      <c r="F310" s="676" t="s">
        <v>1185</v>
      </c>
      <c r="G310" s="58">
        <v>3</v>
      </c>
      <c r="H310" s="58"/>
      <c r="I310" s="58"/>
      <c r="J310" s="58"/>
      <c r="K310" s="137"/>
      <c r="L310" s="56" t="s">
        <v>609</v>
      </c>
      <c r="M310" s="292">
        <v>234</v>
      </c>
    </row>
    <row r="311" spans="1:13">
      <c r="A311" s="292">
        <v>234</v>
      </c>
      <c r="B311" s="66" t="s">
        <v>1256</v>
      </c>
      <c r="C311" s="60"/>
      <c r="D311" s="54" t="s">
        <v>168</v>
      </c>
      <c r="E311" s="435" t="str">
        <f>IFERROR(VLOOKUP(D311,Mychart!$A$125:$B$811,2,FALSE),"-")</f>
        <v>UTS Carrier</v>
      </c>
      <c r="F311" s="676" t="s">
        <v>1193</v>
      </c>
      <c r="G311" s="58">
        <v>3</v>
      </c>
      <c r="H311" s="58"/>
      <c r="I311" s="58"/>
      <c r="J311" s="58"/>
      <c r="K311" s="137"/>
      <c r="L311" s="56" t="s">
        <v>609</v>
      </c>
      <c r="M311" s="292">
        <v>234</v>
      </c>
    </row>
    <row r="312" spans="1:13">
      <c r="A312" s="292">
        <v>234</v>
      </c>
      <c r="B312" s="66" t="s">
        <v>1256</v>
      </c>
      <c r="C312" s="60"/>
      <c r="D312" s="54" t="s">
        <v>168</v>
      </c>
      <c r="E312" s="435" t="str">
        <f>IFERROR(VLOOKUP(D312,Mychart!$A$125:$B$811,2,FALSE),"-")</f>
        <v>UTS Carrier</v>
      </c>
      <c r="F312" s="676" t="s">
        <v>1169</v>
      </c>
      <c r="G312" s="58">
        <v>1</v>
      </c>
      <c r="H312" s="58"/>
      <c r="I312" s="58"/>
      <c r="J312" s="58"/>
      <c r="K312" s="137"/>
      <c r="L312" s="56" t="s">
        <v>609</v>
      </c>
      <c r="M312" s="292">
        <v>234</v>
      </c>
    </row>
    <row r="313" spans="1:13">
      <c r="A313" s="292">
        <v>234</v>
      </c>
      <c r="B313" s="66" t="s">
        <v>1256</v>
      </c>
      <c r="C313" s="60"/>
      <c r="D313" s="54" t="s">
        <v>168</v>
      </c>
      <c r="E313" s="435" t="str">
        <f>IFERROR(VLOOKUP(D313,Mychart!$A$125:$B$811,2,FALSE),"-")</f>
        <v>UTS Carrier</v>
      </c>
      <c r="F313" s="676" t="s">
        <v>1170</v>
      </c>
      <c r="G313" s="58">
        <v>1</v>
      </c>
      <c r="H313" s="58"/>
      <c r="I313" s="58"/>
      <c r="J313" s="58"/>
      <c r="K313" s="137"/>
      <c r="L313" s="56" t="s">
        <v>609</v>
      </c>
      <c r="M313" s="292">
        <v>234</v>
      </c>
    </row>
    <row r="314" spans="1:13">
      <c r="A314" s="292">
        <v>234</v>
      </c>
      <c r="B314" s="66" t="s">
        <v>1256</v>
      </c>
      <c r="C314" s="60"/>
      <c r="D314" s="54" t="s">
        <v>168</v>
      </c>
      <c r="E314" s="435" t="str">
        <f>IFERROR(VLOOKUP(D314,Mychart!$A$125:$B$811,2,FALSE),"-")</f>
        <v>UTS Carrier</v>
      </c>
      <c r="F314" s="676" t="s">
        <v>832</v>
      </c>
      <c r="G314" s="58">
        <v>2</v>
      </c>
      <c r="H314" s="58"/>
      <c r="I314" s="58"/>
      <c r="J314" s="58"/>
      <c r="K314" s="137"/>
      <c r="L314" s="56" t="s">
        <v>609</v>
      </c>
      <c r="M314" s="292">
        <v>234</v>
      </c>
    </row>
    <row r="315" spans="1:13">
      <c r="A315" s="292">
        <v>234</v>
      </c>
      <c r="B315" s="66" t="s">
        <v>1256</v>
      </c>
      <c r="C315" s="60"/>
      <c r="D315" s="54" t="s">
        <v>168</v>
      </c>
      <c r="E315" s="435" t="str">
        <f>IFERROR(VLOOKUP(D315,Mychart!$A$125:$B$811,2,FALSE),"-")</f>
        <v>UTS Carrier</v>
      </c>
      <c r="F315" s="676" t="s">
        <v>833</v>
      </c>
      <c r="G315" s="58">
        <v>2</v>
      </c>
      <c r="H315" s="58"/>
      <c r="I315" s="58"/>
      <c r="J315" s="58"/>
      <c r="K315" s="137"/>
      <c r="L315" s="56" t="s">
        <v>609</v>
      </c>
      <c r="M315" s="292">
        <v>234</v>
      </c>
    </row>
    <row r="316" spans="1:13">
      <c r="A316" s="292">
        <v>234</v>
      </c>
      <c r="B316" s="66" t="s">
        <v>1256</v>
      </c>
      <c r="C316" s="60"/>
      <c r="D316" s="54" t="s">
        <v>168</v>
      </c>
      <c r="E316" s="435" t="str">
        <f>IFERROR(VLOOKUP(D316,Mychart!$A$125:$B$811,2,FALSE),"-")</f>
        <v>UTS Carrier</v>
      </c>
      <c r="F316" s="676" t="s">
        <v>1274</v>
      </c>
      <c r="G316" s="58">
        <v>9</v>
      </c>
      <c r="H316" s="58"/>
      <c r="I316" s="58"/>
      <c r="J316" s="58"/>
      <c r="K316" s="137"/>
      <c r="L316" s="56" t="s">
        <v>609</v>
      </c>
      <c r="M316" s="292">
        <v>234</v>
      </c>
    </row>
    <row r="317" spans="1:13">
      <c r="A317" s="292">
        <v>234</v>
      </c>
      <c r="B317" s="66" t="s">
        <v>1256</v>
      </c>
      <c r="C317" s="60"/>
      <c r="D317" s="54" t="s">
        <v>168</v>
      </c>
      <c r="E317" s="435" t="str">
        <f>IFERROR(VLOOKUP(D317,Mychart!$A$125:$B$811,2,FALSE),"-")</f>
        <v>UTS Carrier</v>
      </c>
      <c r="F317" s="676"/>
      <c r="G317" s="58"/>
      <c r="H317" s="58"/>
      <c r="I317" s="58"/>
      <c r="J317" s="58"/>
      <c r="K317" s="137"/>
      <c r="L317" s="56" t="s">
        <v>609</v>
      </c>
      <c r="M317" s="292">
        <v>234</v>
      </c>
    </row>
    <row r="318" spans="1:13">
      <c r="A318" s="292">
        <v>253</v>
      </c>
      <c r="B318" s="66" t="s">
        <v>486</v>
      </c>
      <c r="C318" s="60"/>
      <c r="D318" s="54" t="s">
        <v>168</v>
      </c>
      <c r="E318" s="435" t="str">
        <f>IFERROR(VLOOKUP(D318,Mychart!$A$125:$B$811,2,FALSE),"-")</f>
        <v>UTS Carrier</v>
      </c>
      <c r="F318" s="676" t="s">
        <v>1082</v>
      </c>
      <c r="G318" s="58">
        <v>1</v>
      </c>
      <c r="H318" s="58"/>
      <c r="I318" s="58"/>
      <c r="J318" s="58"/>
      <c r="K318" s="137"/>
      <c r="L318" s="56" t="s">
        <v>482</v>
      </c>
      <c r="M318" s="292">
        <v>253</v>
      </c>
    </row>
    <row r="319" spans="1:13">
      <c r="A319" s="292">
        <v>253</v>
      </c>
      <c r="B319" s="66" t="s">
        <v>486</v>
      </c>
      <c r="C319" s="60"/>
      <c r="D319" s="54" t="s">
        <v>168</v>
      </c>
      <c r="E319" s="435" t="str">
        <f>IFERROR(VLOOKUP(D319,Mychart!$A$125:$B$811,2,FALSE),"-")</f>
        <v>UTS Carrier</v>
      </c>
      <c r="F319" s="676" t="s">
        <v>1081</v>
      </c>
      <c r="G319" s="58">
        <v>1</v>
      </c>
      <c r="H319" s="58"/>
      <c r="I319" s="58"/>
      <c r="J319" s="58"/>
      <c r="K319" s="137"/>
      <c r="L319" s="56" t="s">
        <v>482</v>
      </c>
      <c r="M319" s="292">
        <v>253</v>
      </c>
    </row>
    <row r="320" spans="1:13">
      <c r="A320" s="292">
        <v>253</v>
      </c>
      <c r="B320" s="66" t="s">
        <v>486</v>
      </c>
      <c r="C320" s="60"/>
      <c r="D320" s="54" t="s">
        <v>168</v>
      </c>
      <c r="E320" s="435" t="str">
        <f>IFERROR(VLOOKUP(D320,Mychart!$A$125:$B$811,2,FALSE),"-")</f>
        <v>UTS Carrier</v>
      </c>
      <c r="F320" s="676" t="s">
        <v>1275</v>
      </c>
      <c r="G320" s="58">
        <v>2</v>
      </c>
      <c r="H320" s="58"/>
      <c r="I320" s="58"/>
      <c r="J320" s="58"/>
      <c r="K320" s="137"/>
      <c r="L320" s="56" t="s">
        <v>482</v>
      </c>
      <c r="M320" s="292">
        <v>253</v>
      </c>
    </row>
    <row r="321" spans="1:13">
      <c r="A321" s="292">
        <v>253</v>
      </c>
      <c r="B321" s="66" t="s">
        <v>486</v>
      </c>
      <c r="C321" s="60"/>
      <c r="D321" s="54" t="s">
        <v>168</v>
      </c>
      <c r="E321" s="435" t="str">
        <f>IFERROR(VLOOKUP(D321,Mychart!$A$125:$B$811,2,FALSE),"-")</f>
        <v>UTS Carrier</v>
      </c>
      <c r="F321" s="676" t="s">
        <v>1175</v>
      </c>
      <c r="G321" s="58">
        <v>2</v>
      </c>
      <c r="H321" s="58"/>
      <c r="I321" s="58"/>
      <c r="J321" s="58"/>
      <c r="K321" s="137"/>
      <c r="L321" s="56" t="s">
        <v>482</v>
      </c>
      <c r="M321" s="292">
        <v>253</v>
      </c>
    </row>
    <row r="322" spans="1:13">
      <c r="A322" s="292">
        <v>253</v>
      </c>
      <c r="B322" s="66" t="s">
        <v>486</v>
      </c>
      <c r="C322" s="60"/>
      <c r="D322" s="54" t="s">
        <v>168</v>
      </c>
      <c r="E322" s="435" t="str">
        <f>IFERROR(VLOOKUP(D322,Mychart!$A$125:$B$811,2,FALSE),"-")</f>
        <v>UTS Carrier</v>
      </c>
      <c r="F322" s="676" t="s">
        <v>1276</v>
      </c>
      <c r="G322" s="58">
        <v>1</v>
      </c>
      <c r="H322" s="58"/>
      <c r="I322" s="58"/>
      <c r="J322" s="58"/>
      <c r="K322" s="137"/>
      <c r="L322" s="56" t="s">
        <v>482</v>
      </c>
      <c r="M322" s="292">
        <v>253</v>
      </c>
    </row>
    <row r="323" spans="1:13">
      <c r="A323" s="292">
        <v>253</v>
      </c>
      <c r="B323" s="66" t="s">
        <v>486</v>
      </c>
      <c r="C323" s="60"/>
      <c r="D323" s="54" t="s">
        <v>168</v>
      </c>
      <c r="E323" s="435" t="str">
        <f>IFERROR(VLOOKUP(D323,Mychart!$A$125:$B$811,2,FALSE),"-")</f>
        <v>UTS Carrier</v>
      </c>
      <c r="F323" s="676" t="s">
        <v>827</v>
      </c>
      <c r="G323" s="58">
        <v>1</v>
      </c>
      <c r="H323" s="58"/>
      <c r="I323" s="58"/>
      <c r="J323" s="58"/>
      <c r="K323" s="137"/>
      <c r="L323" s="56" t="s">
        <v>482</v>
      </c>
      <c r="M323" s="292">
        <v>253</v>
      </c>
    </row>
    <row r="324" spans="1:13">
      <c r="A324" s="292">
        <v>253</v>
      </c>
      <c r="B324" s="66" t="s">
        <v>486</v>
      </c>
      <c r="C324" s="60"/>
      <c r="D324" s="54" t="s">
        <v>168</v>
      </c>
      <c r="E324" s="435" t="str">
        <f>IFERROR(VLOOKUP(D324,Mychart!$A$125:$B$811,2,FALSE),"-")</f>
        <v>UTS Carrier</v>
      </c>
      <c r="F324" s="676" t="s">
        <v>1277</v>
      </c>
      <c r="G324" s="58">
        <v>1</v>
      </c>
      <c r="H324" s="58"/>
      <c r="I324" s="58"/>
      <c r="J324" s="58"/>
      <c r="K324" s="137"/>
      <c r="L324" s="56" t="s">
        <v>482</v>
      </c>
      <c r="M324" s="292">
        <v>253</v>
      </c>
    </row>
    <row r="325" spans="1:13">
      <c r="A325" s="292">
        <v>253</v>
      </c>
      <c r="B325" s="66" t="s">
        <v>486</v>
      </c>
      <c r="C325" s="60"/>
      <c r="D325" s="54" t="s">
        <v>168</v>
      </c>
      <c r="E325" s="435" t="str">
        <f>IFERROR(VLOOKUP(D325,Mychart!$A$125:$B$811,2,FALSE),"-")</f>
        <v>UTS Carrier</v>
      </c>
      <c r="F325" s="676" t="s">
        <v>1183</v>
      </c>
      <c r="G325" s="58">
        <v>1</v>
      </c>
      <c r="H325" s="58"/>
      <c r="I325" s="58"/>
      <c r="J325" s="58"/>
      <c r="K325" s="137"/>
      <c r="L325" s="56" t="s">
        <v>482</v>
      </c>
      <c r="M325" s="292">
        <v>253</v>
      </c>
    </row>
    <row r="326" spans="1:13">
      <c r="A326" s="292">
        <v>253</v>
      </c>
      <c r="B326" s="66" t="s">
        <v>486</v>
      </c>
      <c r="C326" s="60"/>
      <c r="D326" s="54" t="s">
        <v>168</v>
      </c>
      <c r="E326" s="435" t="str">
        <f>IFERROR(VLOOKUP(D326,Mychart!$A$125:$B$811,2,FALSE),"-")</f>
        <v>UTS Carrier</v>
      </c>
      <c r="F326" s="676"/>
      <c r="G326" s="58"/>
      <c r="H326" s="58"/>
      <c r="I326" s="58"/>
      <c r="J326" s="58"/>
      <c r="K326" s="137"/>
      <c r="L326" s="56" t="s">
        <v>482</v>
      </c>
      <c r="M326" s="292">
        <v>253</v>
      </c>
    </row>
    <row r="327" spans="1:13">
      <c r="A327" s="292">
        <v>215</v>
      </c>
      <c r="B327" s="66" t="s">
        <v>1258</v>
      </c>
      <c r="C327" s="60"/>
      <c r="D327" s="54" t="s">
        <v>168</v>
      </c>
      <c r="E327" s="435" t="str">
        <f>IFERROR(VLOOKUP(D327,Mychart!$A$125:$B$811,2,FALSE),"-")</f>
        <v>UTS Carrier</v>
      </c>
      <c r="F327" s="676" t="s">
        <v>825</v>
      </c>
      <c r="G327" s="58">
        <v>1</v>
      </c>
      <c r="H327" s="58"/>
      <c r="I327" s="58"/>
      <c r="J327" s="58"/>
      <c r="K327" s="137"/>
      <c r="L327" s="56" t="s">
        <v>1278</v>
      </c>
      <c r="M327" s="292">
        <v>215</v>
      </c>
    </row>
    <row r="328" spans="1:13">
      <c r="A328" s="292">
        <v>215</v>
      </c>
      <c r="B328" s="66" t="s">
        <v>1258</v>
      </c>
      <c r="C328" s="60"/>
      <c r="D328" s="54" t="s">
        <v>168</v>
      </c>
      <c r="E328" s="435" t="str">
        <f>IFERROR(VLOOKUP(D328,Mychart!$A$125:$B$811,2,FALSE),"-")</f>
        <v>UTS Carrier</v>
      </c>
      <c r="F328" s="676" t="s">
        <v>236</v>
      </c>
      <c r="G328" s="58">
        <v>5</v>
      </c>
      <c r="H328" s="58"/>
      <c r="I328" s="58"/>
      <c r="J328" s="58"/>
      <c r="K328" s="137"/>
      <c r="L328" s="56" t="s">
        <v>1278</v>
      </c>
      <c r="M328" s="292">
        <v>215</v>
      </c>
    </row>
    <row r="329" spans="1:13">
      <c r="A329" s="292">
        <v>215</v>
      </c>
      <c r="B329" s="66" t="s">
        <v>1258</v>
      </c>
      <c r="C329" s="60"/>
      <c r="D329" s="54" t="s">
        <v>168</v>
      </c>
      <c r="E329" s="435" t="str">
        <f>IFERROR(VLOOKUP(D329,Mychart!$A$125:$B$811,2,FALSE),"-")</f>
        <v>UTS Carrier</v>
      </c>
      <c r="F329" s="676" t="s">
        <v>234</v>
      </c>
      <c r="G329" s="58">
        <v>1</v>
      </c>
      <c r="H329" s="58"/>
      <c r="I329" s="58"/>
      <c r="J329" s="58"/>
      <c r="K329" s="137"/>
      <c r="L329" s="56" t="s">
        <v>1278</v>
      </c>
      <c r="M329" s="292">
        <v>215</v>
      </c>
    </row>
    <row r="330" spans="1:13">
      <c r="A330" s="292">
        <v>215</v>
      </c>
      <c r="B330" s="66" t="s">
        <v>1258</v>
      </c>
      <c r="C330" s="60"/>
      <c r="D330" s="54" t="s">
        <v>168</v>
      </c>
      <c r="E330" s="435" t="str">
        <f>IFERROR(VLOOKUP(D330,Mychart!$A$125:$B$811,2,FALSE),"-")</f>
        <v>UTS Carrier</v>
      </c>
      <c r="F330" s="676" t="s">
        <v>232</v>
      </c>
      <c r="G330" s="58">
        <v>12</v>
      </c>
      <c r="H330" s="58"/>
      <c r="I330" s="58"/>
      <c r="J330" s="58"/>
      <c r="K330" s="137"/>
      <c r="L330" s="56" t="s">
        <v>1278</v>
      </c>
      <c r="M330" s="292">
        <v>215</v>
      </c>
    </row>
    <row r="331" spans="1:13">
      <c r="A331" s="292">
        <v>215</v>
      </c>
      <c r="B331" s="66" t="s">
        <v>1258</v>
      </c>
      <c r="C331" s="60"/>
      <c r="D331" s="54" t="s">
        <v>168</v>
      </c>
      <c r="E331" s="435" t="str">
        <f>IFERROR(VLOOKUP(D331,Mychart!$A$125:$B$811,2,FALSE),"-")</f>
        <v>UTS Carrier</v>
      </c>
      <c r="F331" s="676" t="s">
        <v>832</v>
      </c>
      <c r="G331" s="58">
        <v>5</v>
      </c>
      <c r="H331" s="58"/>
      <c r="I331" s="58"/>
      <c r="J331" s="58"/>
      <c r="K331" s="137"/>
      <c r="L331" s="56" t="s">
        <v>1278</v>
      </c>
      <c r="M331" s="292">
        <v>215</v>
      </c>
    </row>
    <row r="332" spans="1:13">
      <c r="A332" s="292">
        <v>215</v>
      </c>
      <c r="B332" s="66" t="s">
        <v>1258</v>
      </c>
      <c r="C332" s="60"/>
      <c r="D332" s="54" t="s">
        <v>168</v>
      </c>
      <c r="E332" s="435" t="str">
        <f>IFERROR(VLOOKUP(D332,Mychart!$A$125:$B$811,2,FALSE),"-")</f>
        <v>UTS Carrier</v>
      </c>
      <c r="F332" s="676" t="s">
        <v>833</v>
      </c>
      <c r="G332" s="58">
        <v>5</v>
      </c>
      <c r="H332" s="58"/>
      <c r="I332" s="58"/>
      <c r="J332" s="58"/>
      <c r="K332" s="137"/>
      <c r="L332" s="56" t="s">
        <v>1278</v>
      </c>
      <c r="M332" s="292">
        <v>215</v>
      </c>
    </row>
    <row r="333" spans="1:13">
      <c r="A333" s="292">
        <v>215</v>
      </c>
      <c r="B333" s="66" t="s">
        <v>1258</v>
      </c>
      <c r="C333" s="60"/>
      <c r="D333" s="54" t="s">
        <v>168</v>
      </c>
      <c r="E333" s="435" t="str">
        <f>IFERROR(VLOOKUP(D333,Mychart!$A$125:$B$811,2,FALSE),"-")</f>
        <v>UTS Carrier</v>
      </c>
      <c r="F333" s="676" t="s">
        <v>1279</v>
      </c>
      <c r="G333" s="58">
        <v>2</v>
      </c>
      <c r="H333" s="58"/>
      <c r="I333" s="58"/>
      <c r="J333" s="58"/>
      <c r="K333" s="137"/>
      <c r="L333" s="56" t="s">
        <v>1278</v>
      </c>
      <c r="M333" s="292">
        <v>215</v>
      </c>
    </row>
    <row r="334" spans="1:13">
      <c r="A334" s="292">
        <v>215</v>
      </c>
      <c r="B334" s="66" t="s">
        <v>1258</v>
      </c>
      <c r="C334" s="60"/>
      <c r="D334" s="54" t="s">
        <v>168</v>
      </c>
      <c r="E334" s="435" t="str">
        <f>IFERROR(VLOOKUP(D334,Mychart!$A$125:$B$811,2,FALSE),"-")</f>
        <v>UTS Carrier</v>
      </c>
      <c r="F334" s="676" t="s">
        <v>1280</v>
      </c>
      <c r="G334" s="58">
        <v>2</v>
      </c>
      <c r="H334" s="58"/>
      <c r="I334" s="58"/>
      <c r="J334" s="58"/>
      <c r="K334" s="137"/>
      <c r="L334" s="56" t="s">
        <v>1278</v>
      </c>
      <c r="M334" s="292">
        <v>215</v>
      </c>
    </row>
    <row r="335" spans="1:13">
      <c r="A335" s="292">
        <v>215</v>
      </c>
      <c r="B335" s="66" t="s">
        <v>1258</v>
      </c>
      <c r="C335" s="60"/>
      <c r="D335" s="54" t="s">
        <v>168</v>
      </c>
      <c r="E335" s="435" t="str">
        <f>IFERROR(VLOOKUP(D335,Mychart!$A$125:$B$811,2,FALSE),"-")</f>
        <v>UTS Carrier</v>
      </c>
      <c r="F335" s="676" t="s">
        <v>1281</v>
      </c>
      <c r="G335" s="58">
        <v>1</v>
      </c>
      <c r="H335" s="58"/>
      <c r="I335" s="58"/>
      <c r="J335" s="58"/>
      <c r="K335" s="137"/>
      <c r="L335" s="56" t="s">
        <v>1278</v>
      </c>
      <c r="M335" s="292">
        <v>215</v>
      </c>
    </row>
    <row r="336" spans="1:13">
      <c r="A336" s="292">
        <v>215</v>
      </c>
      <c r="B336" s="66" t="s">
        <v>1258</v>
      </c>
      <c r="C336" s="60"/>
      <c r="D336" s="54" t="s">
        <v>168</v>
      </c>
      <c r="E336" s="435" t="str">
        <f>IFERROR(VLOOKUP(D336,Mychart!$A$125:$B$811,2,FALSE),"-")</f>
        <v>UTS Carrier</v>
      </c>
      <c r="F336" s="676"/>
      <c r="G336" s="58"/>
      <c r="H336" s="58"/>
      <c r="I336" s="58"/>
      <c r="J336" s="58"/>
      <c r="K336" s="137"/>
      <c r="L336" s="56" t="s">
        <v>1291</v>
      </c>
      <c r="M336" s="292">
        <v>215</v>
      </c>
    </row>
    <row r="337" spans="1:13">
      <c r="A337" s="292">
        <v>238</v>
      </c>
      <c r="B337" s="66" t="s">
        <v>1282</v>
      </c>
      <c r="C337" s="60"/>
      <c r="D337" s="54" t="s">
        <v>168</v>
      </c>
      <c r="E337" s="435" t="str">
        <f>IFERROR(VLOOKUP(D337,Mychart!$A$125:$B$811,2,FALSE),"-")</f>
        <v>UTS Carrier</v>
      </c>
      <c r="F337" s="676" t="s">
        <v>1175</v>
      </c>
      <c r="G337" s="58">
        <v>1</v>
      </c>
      <c r="H337" s="58"/>
      <c r="I337" s="58"/>
      <c r="J337" s="58"/>
      <c r="K337" s="137"/>
      <c r="L337" s="56" t="s">
        <v>1283</v>
      </c>
      <c r="M337" s="292">
        <v>238</v>
      </c>
    </row>
    <row r="338" spans="1:13">
      <c r="A338" s="292">
        <v>238</v>
      </c>
      <c r="B338" s="66" t="s">
        <v>1282</v>
      </c>
      <c r="C338" s="60"/>
      <c r="D338" s="54" t="s">
        <v>168</v>
      </c>
      <c r="E338" s="435" t="str">
        <f>IFERROR(VLOOKUP(D338,Mychart!$A$125:$B$811,2,FALSE),"-")</f>
        <v>UTS Carrier</v>
      </c>
      <c r="F338" s="676" t="s">
        <v>1284</v>
      </c>
      <c r="G338" s="58">
        <v>1</v>
      </c>
      <c r="H338" s="58"/>
      <c r="I338" s="58"/>
      <c r="J338" s="58"/>
      <c r="K338" s="137"/>
      <c r="L338" s="56" t="s">
        <v>1283</v>
      </c>
      <c r="M338" s="292">
        <v>238</v>
      </c>
    </row>
    <row r="339" spans="1:13">
      <c r="A339" s="292">
        <v>238</v>
      </c>
      <c r="B339" s="66" t="s">
        <v>1282</v>
      </c>
      <c r="C339" s="60"/>
      <c r="D339" s="54" t="s">
        <v>168</v>
      </c>
      <c r="E339" s="435" t="str">
        <f>IFERROR(VLOOKUP(D339,Mychart!$A$125:$B$811,2,FALSE),"-")</f>
        <v>UTS Carrier</v>
      </c>
      <c r="F339" s="676" t="s">
        <v>1168</v>
      </c>
      <c r="G339" s="58">
        <v>1</v>
      </c>
      <c r="H339" s="58"/>
      <c r="I339" s="58"/>
      <c r="J339" s="58"/>
      <c r="K339" s="137"/>
      <c r="L339" s="56" t="s">
        <v>1283</v>
      </c>
      <c r="M339" s="292">
        <v>238</v>
      </c>
    </row>
    <row r="340" spans="1:13">
      <c r="A340" s="292">
        <v>238</v>
      </c>
      <c r="B340" s="66" t="s">
        <v>1282</v>
      </c>
      <c r="C340" s="60"/>
      <c r="D340" s="54" t="s">
        <v>168</v>
      </c>
      <c r="E340" s="435" t="str">
        <f>IFERROR(VLOOKUP(D340,Mychart!$A$125:$B$811,2,FALSE),"-")</f>
        <v>UTS Carrier</v>
      </c>
      <c r="F340" s="676" t="s">
        <v>1285</v>
      </c>
      <c r="G340" s="58">
        <v>1</v>
      </c>
      <c r="H340" s="58"/>
      <c r="I340" s="58"/>
      <c r="J340" s="58"/>
      <c r="K340" s="137"/>
      <c r="L340" s="56" t="s">
        <v>1283</v>
      </c>
      <c r="M340" s="292">
        <v>238</v>
      </c>
    </row>
    <row r="341" spans="1:13">
      <c r="A341" s="292">
        <v>238</v>
      </c>
      <c r="B341" s="66" t="s">
        <v>1282</v>
      </c>
      <c r="C341" s="60"/>
      <c r="D341" s="54" t="s">
        <v>168</v>
      </c>
      <c r="E341" s="435" t="str">
        <f>IFERROR(VLOOKUP(D341,Mychart!$A$125:$B$811,2,FALSE),"-")</f>
        <v>UTS Carrier</v>
      </c>
      <c r="F341" s="676" t="s">
        <v>1183</v>
      </c>
      <c r="G341" s="58">
        <v>7</v>
      </c>
      <c r="H341" s="58"/>
      <c r="I341" s="58"/>
      <c r="J341" s="58"/>
      <c r="K341" s="137"/>
      <c r="L341" s="56" t="s">
        <v>1283</v>
      </c>
      <c r="M341" s="292">
        <v>238</v>
      </c>
    </row>
    <row r="342" spans="1:13">
      <c r="A342" s="292">
        <v>238</v>
      </c>
      <c r="B342" s="66" t="s">
        <v>1282</v>
      </c>
      <c r="C342" s="60"/>
      <c r="D342" s="54" t="s">
        <v>168</v>
      </c>
      <c r="E342" s="435" t="str">
        <f>IFERROR(VLOOKUP(D342,Mychart!$A$125:$B$811,2,FALSE),"-")</f>
        <v>UTS Carrier</v>
      </c>
      <c r="F342" s="676" t="s">
        <v>1286</v>
      </c>
      <c r="G342" s="58">
        <v>7</v>
      </c>
      <c r="H342" s="58"/>
      <c r="I342" s="58"/>
      <c r="J342" s="58"/>
      <c r="K342" s="137"/>
      <c r="L342" s="56" t="s">
        <v>1283</v>
      </c>
      <c r="M342" s="292">
        <v>238</v>
      </c>
    </row>
    <row r="343" spans="1:13">
      <c r="A343" s="292">
        <v>238</v>
      </c>
      <c r="B343" s="66" t="s">
        <v>1282</v>
      </c>
      <c r="C343" s="60"/>
      <c r="D343" s="54" t="s">
        <v>168</v>
      </c>
      <c r="E343" s="435" t="str">
        <f>IFERROR(VLOOKUP(D343,Mychart!$A$125:$B$811,2,FALSE),"-")</f>
        <v>UTS Carrier</v>
      </c>
      <c r="F343" s="676" t="s">
        <v>1185</v>
      </c>
      <c r="G343" s="58">
        <v>2</v>
      </c>
      <c r="H343" s="58"/>
      <c r="I343" s="58"/>
      <c r="J343" s="58"/>
      <c r="K343" s="137"/>
      <c r="L343" s="56" t="s">
        <v>1283</v>
      </c>
      <c r="M343" s="292">
        <v>238</v>
      </c>
    </row>
    <row r="344" spans="1:13">
      <c r="A344" s="292">
        <v>238</v>
      </c>
      <c r="B344" s="66" t="s">
        <v>1282</v>
      </c>
      <c r="C344" s="60"/>
      <c r="D344" s="54" t="s">
        <v>168</v>
      </c>
      <c r="E344" s="435" t="str">
        <f>IFERROR(VLOOKUP(D344,Mychart!$A$125:$B$811,2,FALSE),"-")</f>
        <v>UTS Carrier</v>
      </c>
      <c r="F344" s="676" t="s">
        <v>1287</v>
      </c>
      <c r="G344" s="58">
        <v>2</v>
      </c>
      <c r="H344" s="58"/>
      <c r="I344" s="58"/>
      <c r="J344" s="58"/>
      <c r="K344" s="137"/>
      <c r="L344" s="56" t="s">
        <v>1283</v>
      </c>
      <c r="M344" s="292">
        <v>238</v>
      </c>
    </row>
    <row r="345" spans="1:13">
      <c r="A345" s="292">
        <v>238</v>
      </c>
      <c r="B345" s="66" t="s">
        <v>1282</v>
      </c>
      <c r="C345" s="60"/>
      <c r="D345" s="54" t="s">
        <v>168</v>
      </c>
      <c r="E345" s="435" t="str">
        <f>IFERROR(VLOOKUP(D345,Mychart!$A$125:$B$811,2,FALSE),"-")</f>
        <v>UTS Carrier</v>
      </c>
      <c r="F345" s="676" t="s">
        <v>1288</v>
      </c>
      <c r="G345" s="58">
        <v>1</v>
      </c>
      <c r="H345" s="58"/>
      <c r="I345" s="58"/>
      <c r="J345" s="58"/>
      <c r="K345" s="137"/>
      <c r="L345" s="56" t="s">
        <v>1283</v>
      </c>
      <c r="M345" s="292">
        <v>238</v>
      </c>
    </row>
    <row r="346" spans="1:13">
      <c r="A346" s="292">
        <v>238</v>
      </c>
      <c r="B346" s="66" t="s">
        <v>1282</v>
      </c>
      <c r="C346" s="60"/>
      <c r="D346" s="54" t="s">
        <v>168</v>
      </c>
      <c r="E346" s="435" t="str">
        <f>IFERROR(VLOOKUP(D346,Mychart!$A$125:$B$811,2,FALSE),"-")</f>
        <v>UTS Carrier</v>
      </c>
      <c r="F346" s="676" t="s">
        <v>1289</v>
      </c>
      <c r="G346" s="58">
        <v>1</v>
      </c>
      <c r="H346" s="58"/>
      <c r="I346" s="58"/>
      <c r="J346" s="58"/>
      <c r="K346" s="137"/>
      <c r="L346" s="56" t="s">
        <v>1283</v>
      </c>
      <c r="M346" s="292">
        <v>238</v>
      </c>
    </row>
    <row r="347" spans="1:13">
      <c r="A347" s="292">
        <v>238</v>
      </c>
      <c r="B347" s="66" t="s">
        <v>1282</v>
      </c>
      <c r="C347" s="60"/>
      <c r="D347" s="54" t="s">
        <v>168</v>
      </c>
      <c r="E347" s="435" t="str">
        <f>IFERROR(VLOOKUP(D347,Mychart!$A$125:$B$811,2,FALSE),"-")</f>
        <v>UTS Carrier</v>
      </c>
      <c r="F347" s="676"/>
      <c r="G347" s="58"/>
      <c r="H347" s="58"/>
      <c r="I347" s="58"/>
      <c r="J347" s="58"/>
      <c r="K347" s="137"/>
      <c r="L347" s="56" t="s">
        <v>1283</v>
      </c>
      <c r="M347" s="292">
        <v>238</v>
      </c>
    </row>
    <row r="348" spans="1:13">
      <c r="A348" s="292">
        <v>221</v>
      </c>
      <c r="B348" s="66" t="s">
        <v>1290</v>
      </c>
      <c r="C348" s="60"/>
      <c r="D348" s="54" t="s">
        <v>168</v>
      </c>
      <c r="E348" s="435" t="str">
        <f>IFERROR(VLOOKUP(D348,Mychart!$A$125:$B$811,2,FALSE),"-")</f>
        <v>UTS Carrier</v>
      </c>
      <c r="F348" s="676" t="s">
        <v>1177</v>
      </c>
      <c r="G348" s="58">
        <v>5</v>
      </c>
      <c r="H348" s="58"/>
      <c r="I348" s="58"/>
      <c r="J348" s="58"/>
      <c r="K348" s="137"/>
      <c r="L348" s="56" t="s">
        <v>501</v>
      </c>
      <c r="M348" s="292">
        <v>221</v>
      </c>
    </row>
    <row r="349" spans="1:13">
      <c r="A349" s="292">
        <v>221</v>
      </c>
      <c r="B349" s="66" t="s">
        <v>1290</v>
      </c>
      <c r="C349" s="60"/>
      <c r="D349" s="54" t="s">
        <v>168</v>
      </c>
      <c r="E349" s="435" t="str">
        <f>IFERROR(VLOOKUP(D349,Mychart!$A$125:$B$811,2,FALSE),"-")</f>
        <v>UTS Carrier</v>
      </c>
      <c r="F349" s="676" t="s">
        <v>237</v>
      </c>
      <c r="G349" s="58">
        <v>5</v>
      </c>
      <c r="H349" s="58"/>
      <c r="I349" s="58"/>
      <c r="J349" s="58"/>
      <c r="K349" s="137"/>
      <c r="L349" s="56" t="s">
        <v>501</v>
      </c>
      <c r="M349" s="292">
        <v>221</v>
      </c>
    </row>
    <row r="350" spans="1:13">
      <c r="A350" s="292">
        <v>221</v>
      </c>
      <c r="B350" s="66" t="s">
        <v>1290</v>
      </c>
      <c r="C350" s="60"/>
      <c r="D350" s="54" t="s">
        <v>168</v>
      </c>
      <c r="E350" s="435" t="str">
        <f>IFERROR(VLOOKUP(D350,Mychart!$A$125:$B$811,2,FALSE),"-")</f>
        <v>UTS Carrier</v>
      </c>
      <c r="F350" s="676" t="s">
        <v>1168</v>
      </c>
      <c r="G350" s="58">
        <v>1</v>
      </c>
      <c r="H350" s="58"/>
      <c r="I350" s="58"/>
      <c r="J350" s="58"/>
      <c r="K350" s="137"/>
      <c r="L350" s="56" t="s">
        <v>501</v>
      </c>
      <c r="M350" s="292">
        <v>221</v>
      </c>
    </row>
    <row r="351" spans="1:13">
      <c r="A351" s="292">
        <v>221</v>
      </c>
      <c r="B351" s="66" t="s">
        <v>1290</v>
      </c>
      <c r="C351" s="60"/>
      <c r="D351" s="54" t="s">
        <v>168</v>
      </c>
      <c r="E351" s="435" t="str">
        <f>IFERROR(VLOOKUP(D351,Mychart!$A$125:$B$811,2,FALSE),"-")</f>
        <v>UTS Carrier</v>
      </c>
      <c r="F351" s="676" t="s">
        <v>828</v>
      </c>
      <c r="G351" s="58">
        <v>1</v>
      </c>
      <c r="H351" s="58"/>
      <c r="I351" s="58"/>
      <c r="J351" s="58"/>
      <c r="K351" s="137"/>
      <c r="L351" s="56" t="s">
        <v>501</v>
      </c>
      <c r="M351" s="292">
        <v>221</v>
      </c>
    </row>
    <row r="352" spans="1:13">
      <c r="A352" s="292">
        <v>221</v>
      </c>
      <c r="B352" s="66" t="s">
        <v>1290</v>
      </c>
      <c r="C352" s="60"/>
      <c r="D352" s="54" t="s">
        <v>168</v>
      </c>
      <c r="E352" s="435" t="str">
        <f>IFERROR(VLOOKUP(D352,Mychart!$A$125:$B$811,2,FALSE),"-")</f>
        <v>UTS Carrier</v>
      </c>
      <c r="F352" s="676" t="s">
        <v>1183</v>
      </c>
      <c r="G352" s="58">
        <v>2</v>
      </c>
      <c r="H352" s="58"/>
      <c r="I352" s="58"/>
      <c r="J352" s="58"/>
      <c r="K352" s="137"/>
      <c r="L352" s="56" t="s">
        <v>501</v>
      </c>
      <c r="M352" s="292">
        <v>221</v>
      </c>
    </row>
    <row r="353" spans="1:13">
      <c r="A353" s="292">
        <v>221</v>
      </c>
      <c r="B353" s="66" t="s">
        <v>1290</v>
      </c>
      <c r="C353" s="60"/>
      <c r="D353" s="54" t="s">
        <v>168</v>
      </c>
      <c r="E353" s="435" t="str">
        <f>IFERROR(VLOOKUP(D353,Mychart!$A$125:$B$811,2,FALSE),"-")</f>
        <v>UTS Carrier</v>
      </c>
      <c r="F353" s="676" t="s">
        <v>1184</v>
      </c>
      <c r="G353" s="58">
        <v>2</v>
      </c>
      <c r="H353" s="58"/>
      <c r="I353" s="58"/>
      <c r="J353" s="58"/>
      <c r="K353" s="137"/>
      <c r="L353" s="56" t="s">
        <v>501</v>
      </c>
      <c r="M353" s="292">
        <v>221</v>
      </c>
    </row>
    <row r="354" spans="1:13">
      <c r="A354" s="292">
        <v>221</v>
      </c>
      <c r="B354" s="66" t="s">
        <v>1290</v>
      </c>
      <c r="C354" s="60"/>
      <c r="D354" s="54" t="s">
        <v>168</v>
      </c>
      <c r="E354" s="435" t="str">
        <f>IFERROR(VLOOKUP(D354,Mychart!$A$125:$B$811,2,FALSE),"-")</f>
        <v>UTS Carrier</v>
      </c>
      <c r="F354" s="676" t="s">
        <v>1185</v>
      </c>
      <c r="G354" s="58">
        <v>2</v>
      </c>
      <c r="H354" s="58"/>
      <c r="I354" s="58"/>
      <c r="J354" s="58"/>
      <c r="K354" s="137"/>
      <c r="L354" s="56" t="s">
        <v>501</v>
      </c>
      <c r="M354" s="292">
        <v>221</v>
      </c>
    </row>
    <row r="355" spans="1:13">
      <c r="A355" s="292">
        <v>221</v>
      </c>
      <c r="B355" s="66" t="s">
        <v>1290</v>
      </c>
      <c r="C355" s="60"/>
      <c r="D355" s="54" t="s">
        <v>168</v>
      </c>
      <c r="E355" s="435" t="str">
        <f>IFERROR(VLOOKUP(D355,Mychart!$A$125:$B$811,2,FALSE),"-")</f>
        <v>UTS Carrier</v>
      </c>
      <c r="F355" s="676" t="s">
        <v>1193</v>
      </c>
      <c r="G355" s="58">
        <v>2</v>
      </c>
      <c r="H355" s="58"/>
      <c r="I355" s="58"/>
      <c r="J355" s="58"/>
      <c r="K355" s="137"/>
      <c r="L355" s="56" t="s">
        <v>501</v>
      </c>
      <c r="M355" s="292">
        <v>221</v>
      </c>
    </row>
    <row r="356" spans="1:13">
      <c r="A356" s="292">
        <v>221</v>
      </c>
      <c r="B356" s="66" t="s">
        <v>1290</v>
      </c>
      <c r="C356" s="60"/>
      <c r="D356" s="54" t="s">
        <v>168</v>
      </c>
      <c r="E356" s="435" t="str">
        <f>IFERROR(VLOOKUP(D356,Mychart!$A$125:$B$811,2,FALSE),"-")</f>
        <v>UTS Carrier</v>
      </c>
      <c r="F356" s="676" t="s">
        <v>832</v>
      </c>
      <c r="G356" s="58">
        <v>2</v>
      </c>
      <c r="H356" s="58"/>
      <c r="I356" s="58"/>
      <c r="J356" s="58"/>
      <c r="K356" s="137"/>
      <c r="L356" s="56" t="s">
        <v>501</v>
      </c>
      <c r="M356" s="292">
        <v>221</v>
      </c>
    </row>
    <row r="357" spans="1:13">
      <c r="A357" s="292">
        <v>221</v>
      </c>
      <c r="B357" s="66" t="s">
        <v>1290</v>
      </c>
      <c r="C357" s="60"/>
      <c r="D357" s="54" t="s">
        <v>168</v>
      </c>
      <c r="E357" s="435" t="str">
        <f>IFERROR(VLOOKUP(D357,Mychart!$A$125:$B$811,2,FALSE),"-")</f>
        <v>UTS Carrier</v>
      </c>
      <c r="F357" s="676" t="s">
        <v>1194</v>
      </c>
      <c r="G357" s="58">
        <v>2</v>
      </c>
      <c r="H357" s="58"/>
      <c r="I357" s="58"/>
      <c r="J357" s="58"/>
      <c r="K357" s="137"/>
      <c r="L357" s="56" t="s">
        <v>501</v>
      </c>
      <c r="M357" s="292">
        <v>221</v>
      </c>
    </row>
    <row r="358" spans="1:13">
      <c r="A358" s="292">
        <v>221</v>
      </c>
      <c r="B358" s="66" t="s">
        <v>1290</v>
      </c>
      <c r="C358" s="60"/>
      <c r="D358" s="54" t="s">
        <v>168</v>
      </c>
      <c r="E358" s="435" t="str">
        <f>IFERROR(VLOOKUP(D358,Mychart!$A$125:$B$811,2,FALSE),"-")</f>
        <v>UTS Carrier</v>
      </c>
      <c r="F358" s="676" t="s">
        <v>1195</v>
      </c>
      <c r="G358" s="58">
        <v>1</v>
      </c>
      <c r="H358" s="58"/>
      <c r="I358" s="58"/>
      <c r="J358" s="58"/>
      <c r="K358" s="137"/>
      <c r="L358" s="56" t="s">
        <v>501</v>
      </c>
      <c r="M358" s="292">
        <v>221</v>
      </c>
    </row>
    <row r="359" spans="1:13">
      <c r="A359" s="292">
        <v>221</v>
      </c>
      <c r="B359" s="66" t="s">
        <v>1290</v>
      </c>
      <c r="C359" s="60"/>
      <c r="D359" s="54" t="s">
        <v>168</v>
      </c>
      <c r="E359" s="435" t="str">
        <f>IFERROR(VLOOKUP(D359,Mychart!$A$125:$B$811,2,FALSE),"-")</f>
        <v>UTS Carrier</v>
      </c>
      <c r="F359" s="676" t="s">
        <v>1196</v>
      </c>
      <c r="G359" s="58">
        <v>1</v>
      </c>
      <c r="H359" s="58"/>
      <c r="I359" s="58"/>
      <c r="J359" s="58"/>
      <c r="K359" s="137"/>
      <c r="L359" s="56" t="s">
        <v>501</v>
      </c>
      <c r="M359" s="292">
        <v>221</v>
      </c>
    </row>
    <row r="360" spans="1:13">
      <c r="A360" s="292">
        <v>221</v>
      </c>
      <c r="B360" s="66" t="s">
        <v>1290</v>
      </c>
      <c r="C360" s="60"/>
      <c r="D360" s="54" t="s">
        <v>168</v>
      </c>
      <c r="E360" s="435" t="str">
        <f>IFERROR(VLOOKUP(D360,Mychart!$A$125:$B$811,2,FALSE),"-")</f>
        <v>UTS Carrier</v>
      </c>
      <c r="F360" s="676" t="s">
        <v>1274</v>
      </c>
      <c r="G360" s="58">
        <v>10</v>
      </c>
      <c r="H360" s="58"/>
      <c r="I360" s="58"/>
      <c r="J360" s="58"/>
      <c r="K360" s="137"/>
      <c r="L360" s="56" t="s">
        <v>501</v>
      </c>
      <c r="M360" s="292">
        <v>221</v>
      </c>
    </row>
    <row r="361" spans="1:13">
      <c r="A361" s="292">
        <v>221</v>
      </c>
      <c r="B361" s="66" t="s">
        <v>1290</v>
      </c>
      <c r="C361" s="60"/>
      <c r="D361" s="54" t="s">
        <v>168</v>
      </c>
      <c r="E361" s="435" t="str">
        <f>IFERROR(VLOOKUP(D361,Mychart!$A$125:$B$811,2,FALSE),"-")</f>
        <v>UTS Carrier</v>
      </c>
      <c r="F361" s="676"/>
      <c r="G361" s="58"/>
      <c r="H361" s="58"/>
      <c r="I361" s="58"/>
      <c r="J361" s="58"/>
      <c r="K361" s="137"/>
      <c r="L361" s="56" t="s">
        <v>501</v>
      </c>
      <c r="M361" s="292">
        <v>221</v>
      </c>
    </row>
    <row r="362" spans="1:13">
      <c r="A362" s="292">
        <v>243</v>
      </c>
      <c r="B362" s="66" t="s">
        <v>190</v>
      </c>
      <c r="C362" s="60"/>
      <c r="D362" s="54" t="s">
        <v>168</v>
      </c>
      <c r="E362" s="435" t="str">
        <f>IFERROR(VLOOKUP(D362,Mychart!$A$125:$B$811,2,FALSE),"-")</f>
        <v>UTS Carrier</v>
      </c>
      <c r="F362" s="676" t="s">
        <v>1177</v>
      </c>
      <c r="G362" s="58">
        <v>1</v>
      </c>
      <c r="H362" s="58"/>
      <c r="I362" s="58"/>
      <c r="J362" s="58"/>
      <c r="K362" s="137"/>
      <c r="L362" s="56" t="s">
        <v>1305</v>
      </c>
      <c r="M362" s="292">
        <v>243</v>
      </c>
    </row>
    <row r="363" spans="1:13">
      <c r="A363" s="292">
        <v>243</v>
      </c>
      <c r="B363" s="66" t="s">
        <v>190</v>
      </c>
      <c r="C363" s="60"/>
      <c r="D363" s="54" t="s">
        <v>168</v>
      </c>
      <c r="E363" s="435" t="str">
        <f>IFERROR(VLOOKUP(D363,Mychart!$A$125:$B$811,2,FALSE),"-")</f>
        <v>UTS Carrier</v>
      </c>
      <c r="F363" s="676" t="s">
        <v>237</v>
      </c>
      <c r="G363" s="58">
        <v>1</v>
      </c>
      <c r="H363" s="58"/>
      <c r="I363" s="58"/>
      <c r="J363" s="58"/>
      <c r="K363" s="137"/>
      <c r="L363" s="56" t="s">
        <v>1305</v>
      </c>
      <c r="M363" s="292">
        <v>243</v>
      </c>
    </row>
    <row r="364" spans="1:13">
      <c r="A364" s="292">
        <v>243</v>
      </c>
      <c r="B364" s="66" t="s">
        <v>190</v>
      </c>
      <c r="C364" s="60"/>
      <c r="D364" s="54" t="s">
        <v>168</v>
      </c>
      <c r="E364" s="435" t="str">
        <f>IFERROR(VLOOKUP(D364,Mychart!$A$125:$B$811,2,FALSE),"-")</f>
        <v>UTS Carrier</v>
      </c>
      <c r="F364" s="676" t="s">
        <v>1168</v>
      </c>
      <c r="G364" s="58">
        <v>1</v>
      </c>
      <c r="H364" s="58"/>
      <c r="I364" s="58"/>
      <c r="J364" s="58"/>
      <c r="K364" s="137"/>
      <c r="L364" s="56" t="s">
        <v>1305</v>
      </c>
      <c r="M364" s="292">
        <v>243</v>
      </c>
    </row>
    <row r="365" spans="1:13">
      <c r="A365" s="292">
        <v>243</v>
      </c>
      <c r="B365" s="66" t="s">
        <v>190</v>
      </c>
      <c r="C365" s="60"/>
      <c r="D365" s="54" t="s">
        <v>168</v>
      </c>
      <c r="E365" s="435" t="str">
        <f>IFERROR(VLOOKUP(D365,Mychart!$A$125:$B$811,2,FALSE),"-")</f>
        <v>UTS Carrier</v>
      </c>
      <c r="F365" s="676" t="s">
        <v>828</v>
      </c>
      <c r="G365" s="58">
        <v>1</v>
      </c>
      <c r="H365" s="58"/>
      <c r="I365" s="58"/>
      <c r="J365" s="58"/>
      <c r="K365" s="137"/>
      <c r="L365" s="56" t="s">
        <v>1305</v>
      </c>
      <c r="M365" s="292">
        <v>243</v>
      </c>
    </row>
    <row r="366" spans="1:13">
      <c r="A366" s="292">
        <v>243</v>
      </c>
      <c r="B366" s="66" t="s">
        <v>190</v>
      </c>
      <c r="C366" s="60"/>
      <c r="D366" s="54" t="s">
        <v>168</v>
      </c>
      <c r="E366" s="435" t="str">
        <f>IFERROR(VLOOKUP(D366,Mychart!$A$125:$B$811,2,FALSE),"-")</f>
        <v>UTS Carrier</v>
      </c>
      <c r="F366" s="676" t="s">
        <v>1185</v>
      </c>
      <c r="G366" s="58">
        <v>4</v>
      </c>
      <c r="H366" s="58"/>
      <c r="I366" s="58"/>
      <c r="J366" s="58"/>
      <c r="K366" s="137"/>
      <c r="L366" s="56" t="s">
        <v>1305</v>
      </c>
      <c r="M366" s="292">
        <v>243</v>
      </c>
    </row>
    <row r="367" spans="1:13">
      <c r="A367" s="292">
        <v>243</v>
      </c>
      <c r="B367" s="66" t="s">
        <v>190</v>
      </c>
      <c r="C367" s="60"/>
      <c r="D367" s="54" t="s">
        <v>168</v>
      </c>
      <c r="E367" s="435" t="str">
        <f>IFERROR(VLOOKUP(D367,Mychart!$A$125:$B$811,2,FALSE),"-")</f>
        <v>UTS Carrier</v>
      </c>
      <c r="F367" s="676" t="s">
        <v>1193</v>
      </c>
      <c r="G367" s="58">
        <v>4</v>
      </c>
      <c r="H367" s="58"/>
      <c r="I367" s="58"/>
      <c r="J367" s="58"/>
      <c r="K367" s="137"/>
      <c r="L367" s="56" t="s">
        <v>1305</v>
      </c>
      <c r="M367" s="292">
        <v>243</v>
      </c>
    </row>
    <row r="368" spans="1:13">
      <c r="A368" s="292">
        <v>243</v>
      </c>
      <c r="B368" s="66" t="s">
        <v>190</v>
      </c>
      <c r="C368" s="60"/>
      <c r="D368" s="54" t="s">
        <v>168</v>
      </c>
      <c r="E368" s="435" t="str">
        <f>IFERROR(VLOOKUP(D368,Mychart!$A$125:$B$811,2,FALSE),"-")</f>
        <v>UTS Carrier</v>
      </c>
      <c r="F368" s="676" t="s">
        <v>1304</v>
      </c>
      <c r="G368" s="58">
        <v>3</v>
      </c>
      <c r="H368" s="58"/>
      <c r="I368" s="58"/>
      <c r="J368" s="58"/>
      <c r="K368" s="137"/>
      <c r="L368" s="56" t="s">
        <v>1305</v>
      </c>
      <c r="M368" s="292">
        <v>243</v>
      </c>
    </row>
    <row r="369" spans="1:13">
      <c r="A369" s="292">
        <v>243</v>
      </c>
      <c r="B369" s="66" t="s">
        <v>190</v>
      </c>
      <c r="C369" s="60"/>
      <c r="D369" s="54" t="s">
        <v>168</v>
      </c>
      <c r="E369" s="435" t="str">
        <f>IFERROR(VLOOKUP(D369,Mychart!$A$125:$B$811,2,FALSE),"-")</f>
        <v>UTS Carrier</v>
      </c>
      <c r="F369" s="676" t="s">
        <v>1170</v>
      </c>
      <c r="G369" s="58">
        <v>3</v>
      </c>
      <c r="H369" s="58"/>
      <c r="I369" s="58"/>
      <c r="J369" s="58"/>
      <c r="K369" s="137"/>
      <c r="L369" s="56" t="s">
        <v>1305</v>
      </c>
      <c r="M369" s="292">
        <v>243</v>
      </c>
    </row>
    <row r="370" spans="1:13">
      <c r="A370" s="292">
        <v>243</v>
      </c>
      <c r="B370" s="66" t="s">
        <v>190</v>
      </c>
      <c r="C370" s="60"/>
      <c r="D370" s="54" t="s">
        <v>168</v>
      </c>
      <c r="E370" s="435" t="str">
        <f>IFERROR(VLOOKUP(D370,Mychart!$A$125:$B$811,2,FALSE),"-")</f>
        <v>UTS Carrier</v>
      </c>
      <c r="F370" s="676" t="s">
        <v>832</v>
      </c>
      <c r="G370" s="58">
        <v>4</v>
      </c>
      <c r="H370" s="58"/>
      <c r="I370" s="58"/>
      <c r="J370" s="58"/>
      <c r="K370" s="137"/>
      <c r="L370" s="56" t="s">
        <v>1305</v>
      </c>
      <c r="M370" s="292">
        <v>243</v>
      </c>
    </row>
    <row r="371" spans="1:13">
      <c r="A371" s="292">
        <v>243</v>
      </c>
      <c r="B371" s="66" t="s">
        <v>190</v>
      </c>
      <c r="C371" s="60"/>
      <c r="D371" s="54" t="s">
        <v>168</v>
      </c>
      <c r="E371" s="435" t="str">
        <f>IFERROR(VLOOKUP(D371,Mychart!$A$125:$B$811,2,FALSE),"-")</f>
        <v>UTS Carrier</v>
      </c>
      <c r="F371" s="676" t="s">
        <v>833</v>
      </c>
      <c r="G371" s="58">
        <v>4</v>
      </c>
      <c r="H371" s="58"/>
      <c r="I371" s="58"/>
      <c r="J371" s="58"/>
      <c r="K371" s="137"/>
      <c r="L371" s="56" t="s">
        <v>1305</v>
      </c>
      <c r="M371" s="292">
        <v>243</v>
      </c>
    </row>
    <row r="372" spans="1:13">
      <c r="A372" s="292">
        <v>243</v>
      </c>
      <c r="B372" s="66" t="s">
        <v>190</v>
      </c>
      <c r="C372" s="60"/>
      <c r="D372" s="54" t="s">
        <v>168</v>
      </c>
      <c r="E372" s="435" t="str">
        <f>IFERROR(VLOOKUP(D372,Mychart!$A$125:$B$811,2,FALSE),"-")</f>
        <v>UTS Carrier</v>
      </c>
      <c r="F372" s="676" t="s">
        <v>1081</v>
      </c>
      <c r="G372" s="58">
        <v>3</v>
      </c>
      <c r="H372" s="58"/>
      <c r="I372" s="58"/>
      <c r="J372" s="58"/>
      <c r="K372" s="137"/>
      <c r="L372" s="56" t="s">
        <v>1305</v>
      </c>
      <c r="M372" s="292">
        <v>243</v>
      </c>
    </row>
    <row r="373" spans="1:13">
      <c r="A373" s="292">
        <v>243</v>
      </c>
      <c r="B373" s="66" t="s">
        <v>190</v>
      </c>
      <c r="C373" s="60"/>
      <c r="D373" s="54" t="s">
        <v>168</v>
      </c>
      <c r="E373" s="435" t="str">
        <f>IFERROR(VLOOKUP(D373,Mychart!$A$125:$B$811,2,FALSE),"-")</f>
        <v>UTS Carrier</v>
      </c>
      <c r="F373" s="676" t="s">
        <v>1082</v>
      </c>
      <c r="G373" s="58">
        <v>3</v>
      </c>
      <c r="H373" s="58"/>
      <c r="I373" s="58"/>
      <c r="J373" s="58"/>
      <c r="K373" s="137"/>
      <c r="L373" s="56" t="s">
        <v>1305</v>
      </c>
      <c r="M373" s="292">
        <v>243</v>
      </c>
    </row>
    <row r="374" spans="1:13">
      <c r="A374" s="292">
        <v>243</v>
      </c>
      <c r="B374" s="66" t="s">
        <v>190</v>
      </c>
      <c r="C374" s="60"/>
      <c r="D374" s="54" t="s">
        <v>168</v>
      </c>
      <c r="E374" s="435" t="str">
        <f>IFERROR(VLOOKUP(D374,Mychart!$A$125:$B$811,2,FALSE),"-")</f>
        <v>UTS Carrier</v>
      </c>
      <c r="F374" s="676" t="s">
        <v>1274</v>
      </c>
      <c r="G374" s="58">
        <v>6</v>
      </c>
      <c r="H374" s="58"/>
      <c r="I374" s="58"/>
      <c r="J374" s="58"/>
      <c r="K374" s="137"/>
      <c r="L374" s="56" t="s">
        <v>1305</v>
      </c>
      <c r="M374" s="292">
        <v>243</v>
      </c>
    </row>
    <row r="375" spans="1:13">
      <c r="A375" s="292">
        <v>243</v>
      </c>
      <c r="B375" s="66" t="s">
        <v>190</v>
      </c>
      <c r="C375" s="60"/>
      <c r="D375" s="54" t="s">
        <v>168</v>
      </c>
      <c r="E375" s="435" t="str">
        <f>IFERROR(VLOOKUP(D375,Mychart!$A$125:$B$811,2,FALSE),"-")</f>
        <v>UTS Carrier</v>
      </c>
      <c r="F375" s="676"/>
      <c r="G375" s="58"/>
      <c r="H375" s="58"/>
      <c r="I375" s="58"/>
      <c r="J375" s="58"/>
      <c r="K375" s="137"/>
      <c r="L375" s="56" t="s">
        <v>1305</v>
      </c>
      <c r="M375" s="292">
        <v>243</v>
      </c>
    </row>
    <row r="376" spans="1:13">
      <c r="A376" s="292">
        <v>210</v>
      </c>
      <c r="B376" s="66" t="s">
        <v>1321</v>
      </c>
      <c r="C376" s="60"/>
      <c r="D376" s="54" t="s">
        <v>168</v>
      </c>
      <c r="E376" s="435" t="str">
        <f>IFERROR(VLOOKUP(D376,Mychart!$A$125:$B$811,2,FALSE),"-")</f>
        <v>UTS Carrier</v>
      </c>
      <c r="F376" s="357" t="s">
        <v>825</v>
      </c>
      <c r="G376" s="58">
        <v>1</v>
      </c>
      <c r="H376" s="58"/>
      <c r="I376" s="58"/>
      <c r="J376" s="58"/>
      <c r="K376" s="137"/>
      <c r="L376" s="56" t="s">
        <v>1322</v>
      </c>
      <c r="M376" s="292">
        <v>210</v>
      </c>
    </row>
    <row r="377" spans="1:13">
      <c r="A377" s="292">
        <v>210</v>
      </c>
      <c r="B377" s="66" t="s">
        <v>1321</v>
      </c>
      <c r="C377" s="60"/>
      <c r="D377" s="54" t="s">
        <v>168</v>
      </c>
      <c r="E377" s="435" t="str">
        <f>IFERROR(VLOOKUP(D377,Mychart!$A$125:$B$811,2,FALSE),"-")</f>
        <v>UTS Carrier</v>
      </c>
      <c r="F377" s="357" t="s">
        <v>826</v>
      </c>
      <c r="G377" s="58">
        <v>1</v>
      </c>
      <c r="H377" s="58"/>
      <c r="I377" s="58"/>
      <c r="J377" s="58"/>
      <c r="K377" s="137"/>
      <c r="L377" s="56" t="s">
        <v>1322</v>
      </c>
      <c r="M377" s="292">
        <v>210</v>
      </c>
    </row>
    <row r="378" spans="1:13">
      <c r="A378" s="292">
        <v>210</v>
      </c>
      <c r="B378" s="66" t="s">
        <v>1321</v>
      </c>
      <c r="C378" s="60"/>
      <c r="D378" s="54" t="s">
        <v>168</v>
      </c>
      <c r="E378" s="435" t="str">
        <f>IFERROR(VLOOKUP(D378,Mychart!$A$125:$B$811,2,FALSE),"-")</f>
        <v>UTS Carrier</v>
      </c>
      <c r="F378" s="357" t="s">
        <v>827</v>
      </c>
      <c r="G378" s="58">
        <v>6</v>
      </c>
      <c r="H378" s="58"/>
      <c r="I378" s="58"/>
      <c r="J378" s="58"/>
      <c r="K378" s="137"/>
      <c r="L378" s="56" t="s">
        <v>1322</v>
      </c>
      <c r="M378" s="292">
        <v>210</v>
      </c>
    </row>
    <row r="379" spans="1:13">
      <c r="A379" s="292">
        <v>210</v>
      </c>
      <c r="B379" s="66" t="s">
        <v>1321</v>
      </c>
      <c r="C379" s="60"/>
      <c r="D379" s="54" t="s">
        <v>168</v>
      </c>
      <c r="E379" s="435" t="str">
        <f>IFERROR(VLOOKUP(D379,Mychart!$A$125:$B$811,2,FALSE),"-")</f>
        <v>UTS Carrier</v>
      </c>
      <c r="F379" s="357" t="s">
        <v>828</v>
      </c>
      <c r="G379" s="58">
        <v>6</v>
      </c>
      <c r="H379" s="58"/>
      <c r="I379" s="58"/>
      <c r="J379" s="58"/>
      <c r="K379" s="137"/>
      <c r="L379" s="56" t="s">
        <v>1322</v>
      </c>
      <c r="M379" s="292">
        <v>210</v>
      </c>
    </row>
    <row r="380" spans="1:13">
      <c r="A380" s="292">
        <v>210</v>
      </c>
      <c r="B380" s="66" t="s">
        <v>1321</v>
      </c>
      <c r="C380" s="60"/>
      <c r="D380" s="54" t="s">
        <v>168</v>
      </c>
      <c r="E380" s="435" t="str">
        <f>IFERROR(VLOOKUP(D380,Mychart!$A$125:$B$811,2,FALSE),"-")</f>
        <v>UTS Carrier</v>
      </c>
      <c r="F380" s="357" t="s">
        <v>238</v>
      </c>
      <c r="G380" s="58">
        <v>2</v>
      </c>
      <c r="H380" s="58"/>
      <c r="I380" s="58"/>
      <c r="J380" s="58"/>
      <c r="K380" s="137"/>
      <c r="L380" s="56" t="s">
        <v>1322</v>
      </c>
      <c r="M380" s="292">
        <v>210</v>
      </c>
    </row>
    <row r="381" spans="1:13">
      <c r="A381" s="292">
        <v>210</v>
      </c>
      <c r="B381" s="66" t="s">
        <v>1321</v>
      </c>
      <c r="C381" s="60"/>
      <c r="D381" s="54" t="s">
        <v>168</v>
      </c>
      <c r="E381" s="435" t="str">
        <f>IFERROR(VLOOKUP(D381,Mychart!$A$125:$B$811,2,FALSE),"-")</f>
        <v>UTS Carrier</v>
      </c>
      <c r="F381" s="357" t="s">
        <v>239</v>
      </c>
      <c r="G381" s="58">
        <v>2</v>
      </c>
      <c r="H381" s="58"/>
      <c r="I381" s="58"/>
      <c r="J381" s="58"/>
      <c r="K381" s="137"/>
      <c r="L381" s="56" t="s">
        <v>1322</v>
      </c>
      <c r="M381" s="292">
        <v>210</v>
      </c>
    </row>
    <row r="382" spans="1:13">
      <c r="A382" s="292">
        <v>210</v>
      </c>
      <c r="B382" s="66" t="s">
        <v>1321</v>
      </c>
      <c r="C382" s="60"/>
      <c r="D382" s="54" t="s">
        <v>168</v>
      </c>
      <c r="E382" s="435" t="str">
        <f>IFERROR(VLOOKUP(D382,Mychart!$A$125:$B$811,2,FALSE),"-")</f>
        <v>UTS Carrier</v>
      </c>
      <c r="F382" s="357" t="s">
        <v>234</v>
      </c>
      <c r="G382" s="58">
        <v>2</v>
      </c>
      <c r="H382" s="58"/>
      <c r="I382" s="58"/>
      <c r="J382" s="58"/>
      <c r="K382" s="137"/>
      <c r="L382" s="56" t="s">
        <v>1322</v>
      </c>
      <c r="M382" s="292">
        <v>210</v>
      </c>
    </row>
    <row r="383" spans="1:13">
      <c r="A383" s="292">
        <v>210</v>
      </c>
      <c r="B383" s="66" t="s">
        <v>1321</v>
      </c>
      <c r="C383" s="60"/>
      <c r="D383" s="54" t="s">
        <v>168</v>
      </c>
      <c r="E383" s="435" t="str">
        <f>IFERROR(VLOOKUP(D383,Mychart!$A$125:$B$811,2,FALSE),"-")</f>
        <v>UTS Carrier</v>
      </c>
      <c r="F383" s="357" t="s">
        <v>235</v>
      </c>
      <c r="G383" s="58">
        <v>2</v>
      </c>
      <c r="H383" s="58"/>
      <c r="I383" s="58"/>
      <c r="J383" s="58"/>
      <c r="K383" s="137"/>
      <c r="L383" s="56" t="s">
        <v>1322</v>
      </c>
      <c r="M383" s="292">
        <v>210</v>
      </c>
    </row>
    <row r="384" spans="1:13">
      <c r="A384" s="292">
        <v>210</v>
      </c>
      <c r="B384" s="66" t="s">
        <v>1321</v>
      </c>
      <c r="C384" s="60"/>
      <c r="D384" s="54" t="s">
        <v>168</v>
      </c>
      <c r="E384" s="435" t="str">
        <f>IFERROR(VLOOKUP(D384,Mychart!$A$125:$B$811,2,FALSE),"-")</f>
        <v>UTS Carrier</v>
      </c>
      <c r="F384" s="357" t="s">
        <v>232</v>
      </c>
      <c r="G384" s="58">
        <v>3</v>
      </c>
      <c r="H384" s="58"/>
      <c r="I384" s="58"/>
      <c r="J384" s="58"/>
      <c r="K384" s="137"/>
      <c r="L384" s="56" t="s">
        <v>1322</v>
      </c>
      <c r="M384" s="292">
        <v>210</v>
      </c>
    </row>
    <row r="385" spans="1:13">
      <c r="A385" s="292">
        <v>210</v>
      </c>
      <c r="B385" s="66" t="s">
        <v>1321</v>
      </c>
      <c r="C385" s="60"/>
      <c r="D385" s="54" t="s">
        <v>168</v>
      </c>
      <c r="E385" s="435" t="str">
        <f>IFERROR(VLOOKUP(D385,Mychart!$A$125:$B$811,2,FALSE),"-")</f>
        <v>UTS Carrier</v>
      </c>
      <c r="F385" s="357" t="s">
        <v>233</v>
      </c>
      <c r="G385" s="58">
        <v>3</v>
      </c>
      <c r="H385" s="58"/>
      <c r="I385" s="58"/>
      <c r="J385" s="58"/>
      <c r="K385" s="137"/>
      <c r="L385" s="56" t="s">
        <v>1322</v>
      </c>
      <c r="M385" s="292">
        <v>210</v>
      </c>
    </row>
    <row r="386" spans="1:13">
      <c r="A386" s="292">
        <v>210</v>
      </c>
      <c r="B386" s="66" t="s">
        <v>1321</v>
      </c>
      <c r="C386" s="60"/>
      <c r="D386" s="54" t="s">
        <v>168</v>
      </c>
      <c r="E386" s="435" t="str">
        <f>IFERROR(VLOOKUP(D386,Mychart!$A$125:$B$811,2,FALSE),"-")</f>
        <v>UTS Carrier</v>
      </c>
      <c r="F386" s="357" t="s">
        <v>832</v>
      </c>
      <c r="G386" s="58">
        <v>4</v>
      </c>
      <c r="H386" s="58"/>
      <c r="I386" s="58"/>
      <c r="J386" s="58"/>
      <c r="K386" s="137"/>
      <c r="L386" s="56" t="s">
        <v>1322</v>
      </c>
      <c r="M386" s="292">
        <v>210</v>
      </c>
    </row>
    <row r="387" spans="1:13">
      <c r="A387" s="292">
        <v>210</v>
      </c>
      <c r="B387" s="66" t="s">
        <v>1321</v>
      </c>
      <c r="C387" s="60"/>
      <c r="D387" s="54" t="s">
        <v>168</v>
      </c>
      <c r="E387" s="435" t="str">
        <f>IFERROR(VLOOKUP(D387,Mychart!$A$125:$B$811,2,FALSE),"-")</f>
        <v>UTS Carrier</v>
      </c>
      <c r="F387" s="357" t="s">
        <v>833</v>
      </c>
      <c r="G387" s="58">
        <v>4</v>
      </c>
      <c r="H387" s="58"/>
      <c r="I387" s="58"/>
      <c r="J387" s="58"/>
      <c r="K387" s="137"/>
      <c r="L387" s="56" t="s">
        <v>1322</v>
      </c>
      <c r="M387" s="292">
        <v>210</v>
      </c>
    </row>
    <row r="388" spans="1:13">
      <c r="A388" s="292">
        <v>210</v>
      </c>
      <c r="B388" s="66" t="s">
        <v>1321</v>
      </c>
      <c r="C388" s="60"/>
      <c r="D388" s="54" t="s">
        <v>168</v>
      </c>
      <c r="E388" s="435" t="str">
        <f>IFERROR(VLOOKUP(D388,Mychart!$A$125:$B$811,2,FALSE),"-")</f>
        <v>UTS Carrier</v>
      </c>
      <c r="F388" s="357" t="s">
        <v>1081</v>
      </c>
      <c r="G388" s="58">
        <v>4</v>
      </c>
      <c r="H388" s="58"/>
      <c r="I388" s="58"/>
      <c r="J388" s="58"/>
      <c r="K388" s="137"/>
      <c r="L388" s="56" t="s">
        <v>1322</v>
      </c>
      <c r="M388" s="292">
        <v>210</v>
      </c>
    </row>
    <row r="389" spans="1:13">
      <c r="A389" s="292">
        <v>210</v>
      </c>
      <c r="B389" s="66" t="s">
        <v>1321</v>
      </c>
      <c r="C389" s="60"/>
      <c r="D389" s="54" t="s">
        <v>168</v>
      </c>
      <c r="E389" s="435" t="str">
        <f>IFERROR(VLOOKUP(D389,Mychart!$A$125:$B$811,2,FALSE),"-")</f>
        <v>UTS Carrier</v>
      </c>
      <c r="F389" s="357" t="s">
        <v>1082</v>
      </c>
      <c r="G389" s="58">
        <v>4</v>
      </c>
      <c r="H389" s="58"/>
      <c r="I389" s="58"/>
      <c r="J389" s="58"/>
      <c r="K389" s="137"/>
      <c r="L389" s="56" t="s">
        <v>1322</v>
      </c>
      <c r="M389" s="292">
        <v>210</v>
      </c>
    </row>
    <row r="390" spans="1:13">
      <c r="A390" s="292">
        <v>210</v>
      </c>
      <c r="B390" s="66" t="s">
        <v>1321</v>
      </c>
      <c r="C390" s="60"/>
      <c r="D390" s="54" t="s">
        <v>168</v>
      </c>
      <c r="E390" s="435" t="str">
        <f>IFERROR(VLOOKUP(D390,Mychart!$A$125:$B$811,2,FALSE),"-")</f>
        <v>UTS Carrier</v>
      </c>
      <c r="F390" s="357" t="s">
        <v>1236</v>
      </c>
      <c r="G390" s="58">
        <v>14</v>
      </c>
      <c r="H390" s="58"/>
      <c r="I390" s="58"/>
      <c r="J390" s="58"/>
      <c r="K390" s="137"/>
      <c r="L390" s="56" t="s">
        <v>1322</v>
      </c>
      <c r="M390" s="292">
        <v>210</v>
      </c>
    </row>
    <row r="391" spans="1:13">
      <c r="A391" s="292">
        <v>210</v>
      </c>
      <c r="B391" s="66" t="s">
        <v>1321</v>
      </c>
      <c r="C391" s="60"/>
      <c r="D391" s="54" t="s">
        <v>168</v>
      </c>
      <c r="E391" s="435" t="str">
        <f>IFERROR(VLOOKUP(D391,Mychart!$A$125:$B$811,2,FALSE),"-")</f>
        <v>UTS Carrier</v>
      </c>
      <c r="F391" s="676"/>
      <c r="G391" s="58"/>
      <c r="H391" s="58"/>
      <c r="I391" s="58"/>
      <c r="J391" s="58"/>
      <c r="K391" s="137"/>
      <c r="L391" s="56" t="s">
        <v>1322</v>
      </c>
      <c r="M391" s="292">
        <v>210</v>
      </c>
    </row>
    <row r="392" spans="1:13">
      <c r="A392" s="292">
        <v>255</v>
      </c>
      <c r="B392" s="66" t="s">
        <v>1364</v>
      </c>
      <c r="C392" s="60"/>
      <c r="D392" s="54" t="s">
        <v>168</v>
      </c>
      <c r="E392" s="435" t="str">
        <f>IFERROR(VLOOKUP(D392,Mychart!$A$125:$B$811,2,FALSE),"-")</f>
        <v>UTS Carrier</v>
      </c>
      <c r="F392" s="676" t="s">
        <v>825</v>
      </c>
      <c r="G392" s="58">
        <v>1</v>
      </c>
      <c r="H392" s="58"/>
      <c r="I392" s="58"/>
      <c r="J392" s="58"/>
      <c r="K392" s="137"/>
      <c r="L392" s="56" t="s">
        <v>1365</v>
      </c>
      <c r="M392" s="292">
        <v>255</v>
      </c>
    </row>
    <row r="393" spans="1:13">
      <c r="A393" s="292">
        <v>255</v>
      </c>
      <c r="B393" s="66" t="s">
        <v>1364</v>
      </c>
      <c r="C393" s="60"/>
      <c r="D393" s="54" t="s">
        <v>168</v>
      </c>
      <c r="E393" s="435" t="str">
        <f>IFERROR(VLOOKUP(D393,Mychart!$A$125:$B$811,2,FALSE),"-")</f>
        <v>UTS Carrier</v>
      </c>
      <c r="F393" s="676" t="s">
        <v>826</v>
      </c>
      <c r="G393" s="58">
        <v>1</v>
      </c>
      <c r="H393" s="58"/>
      <c r="I393" s="58"/>
      <c r="J393" s="58"/>
      <c r="K393" s="137"/>
      <c r="L393" s="56" t="s">
        <v>1365</v>
      </c>
      <c r="M393" s="292">
        <v>255</v>
      </c>
    </row>
    <row r="394" spans="1:13">
      <c r="A394" s="292">
        <v>255</v>
      </c>
      <c r="B394" s="66" t="s">
        <v>1364</v>
      </c>
      <c r="C394" s="60"/>
      <c r="D394" s="54" t="s">
        <v>168</v>
      </c>
      <c r="E394" s="435" t="str">
        <f>IFERROR(VLOOKUP(D394,Mychart!$A$125:$B$811,2,FALSE),"-")</f>
        <v>UTS Carrier</v>
      </c>
      <c r="F394" s="676" t="s">
        <v>827</v>
      </c>
      <c r="G394" s="58">
        <v>3</v>
      </c>
      <c r="H394" s="58"/>
      <c r="I394" s="58"/>
      <c r="J394" s="58"/>
      <c r="K394" s="137"/>
      <c r="L394" s="56" t="s">
        <v>1365</v>
      </c>
      <c r="M394" s="292">
        <v>255</v>
      </c>
    </row>
    <row r="395" spans="1:13">
      <c r="A395" s="292">
        <v>255</v>
      </c>
      <c r="B395" s="66" t="s">
        <v>1364</v>
      </c>
      <c r="C395" s="60"/>
      <c r="D395" s="54" t="s">
        <v>168</v>
      </c>
      <c r="E395" s="435" t="str">
        <f>IFERROR(VLOOKUP(D395,Mychart!$A$125:$B$811,2,FALSE),"-")</f>
        <v>UTS Carrier</v>
      </c>
      <c r="F395" s="676" t="s">
        <v>828</v>
      </c>
      <c r="G395" s="58">
        <v>3</v>
      </c>
      <c r="H395" s="58"/>
      <c r="I395" s="58"/>
      <c r="J395" s="58"/>
      <c r="K395" s="137"/>
      <c r="L395" s="56" t="s">
        <v>1365</v>
      </c>
      <c r="M395" s="292">
        <v>255</v>
      </c>
    </row>
    <row r="396" spans="1:13">
      <c r="A396" s="292">
        <v>255</v>
      </c>
      <c r="B396" s="66" t="s">
        <v>1364</v>
      </c>
      <c r="C396" s="60"/>
      <c r="D396" s="54" t="s">
        <v>168</v>
      </c>
      <c r="E396" s="435" t="str">
        <f>IFERROR(VLOOKUP(D396,Mychart!$A$125:$B$811,2,FALSE),"-")</f>
        <v>UTS Carrier</v>
      </c>
      <c r="F396" s="676" t="s">
        <v>238</v>
      </c>
      <c r="G396" s="58">
        <v>2</v>
      </c>
      <c r="H396" s="58"/>
      <c r="I396" s="58"/>
      <c r="J396" s="58"/>
      <c r="K396" s="137"/>
      <c r="L396" s="56" t="s">
        <v>1365</v>
      </c>
      <c r="M396" s="292">
        <v>255</v>
      </c>
    </row>
    <row r="397" spans="1:13">
      <c r="A397" s="292">
        <v>255</v>
      </c>
      <c r="B397" s="66" t="s">
        <v>1364</v>
      </c>
      <c r="C397" s="60"/>
      <c r="D397" s="54" t="s">
        <v>168</v>
      </c>
      <c r="E397" s="435" t="str">
        <f>IFERROR(VLOOKUP(D397,Mychart!$A$125:$B$811,2,FALSE),"-")</f>
        <v>UTS Carrier</v>
      </c>
      <c r="F397" s="676" t="s">
        <v>239</v>
      </c>
      <c r="G397" s="58">
        <v>2</v>
      </c>
      <c r="H397" s="58"/>
      <c r="I397" s="58"/>
      <c r="J397" s="58"/>
      <c r="K397" s="137"/>
      <c r="L397" s="56" t="s">
        <v>1365</v>
      </c>
      <c r="M397" s="292">
        <v>255</v>
      </c>
    </row>
    <row r="398" spans="1:13">
      <c r="A398" s="292">
        <v>255</v>
      </c>
      <c r="B398" s="66" t="s">
        <v>1364</v>
      </c>
      <c r="C398" s="60"/>
      <c r="D398" s="54" t="s">
        <v>168</v>
      </c>
      <c r="E398" s="435" t="str">
        <f>IFERROR(VLOOKUP(D398,Mychart!$A$125:$B$811,2,FALSE),"-")</f>
        <v>UTS Carrier</v>
      </c>
      <c r="F398" s="676" t="s">
        <v>234</v>
      </c>
      <c r="G398" s="58">
        <v>1</v>
      </c>
      <c r="H398" s="58"/>
      <c r="I398" s="58"/>
      <c r="J398" s="58"/>
      <c r="K398" s="137"/>
      <c r="L398" s="56" t="s">
        <v>1365</v>
      </c>
      <c r="M398" s="292">
        <v>255</v>
      </c>
    </row>
    <row r="399" spans="1:13">
      <c r="A399" s="292">
        <v>255</v>
      </c>
      <c r="B399" s="66" t="s">
        <v>1364</v>
      </c>
      <c r="C399" s="60"/>
      <c r="D399" s="54" t="s">
        <v>168</v>
      </c>
      <c r="E399" s="435" t="str">
        <f>IFERROR(VLOOKUP(D399,Mychart!$A$125:$B$811,2,FALSE),"-")</f>
        <v>UTS Carrier</v>
      </c>
      <c r="F399" s="676" t="s">
        <v>235</v>
      </c>
      <c r="G399" s="58">
        <v>1</v>
      </c>
      <c r="H399" s="58"/>
      <c r="I399" s="58"/>
      <c r="J399" s="58"/>
      <c r="K399" s="137"/>
      <c r="L399" s="56" t="s">
        <v>1365</v>
      </c>
      <c r="M399" s="292">
        <v>255</v>
      </c>
    </row>
    <row r="400" spans="1:13">
      <c r="A400" s="292">
        <v>255</v>
      </c>
      <c r="B400" s="66" t="s">
        <v>1364</v>
      </c>
      <c r="C400" s="60"/>
      <c r="D400" s="54" t="s">
        <v>168</v>
      </c>
      <c r="E400" s="435" t="str">
        <f>IFERROR(VLOOKUP(D400,Mychart!$A$125:$B$811,2,FALSE),"-")</f>
        <v>UTS Carrier</v>
      </c>
      <c r="F400" s="676" t="s">
        <v>232</v>
      </c>
      <c r="G400" s="58">
        <v>4</v>
      </c>
      <c r="H400" s="58"/>
      <c r="I400" s="58"/>
      <c r="J400" s="58"/>
      <c r="K400" s="137"/>
      <c r="L400" s="56" t="s">
        <v>1365</v>
      </c>
      <c r="M400" s="292">
        <v>255</v>
      </c>
    </row>
    <row r="401" spans="1:13">
      <c r="A401" s="292">
        <v>255</v>
      </c>
      <c r="B401" s="66" t="s">
        <v>1364</v>
      </c>
      <c r="C401" s="60"/>
      <c r="D401" s="54" t="s">
        <v>168</v>
      </c>
      <c r="E401" s="435" t="str">
        <f>IFERROR(VLOOKUP(D401,Mychart!$A$125:$B$811,2,FALSE),"-")</f>
        <v>UTS Carrier</v>
      </c>
      <c r="F401" s="676" t="s">
        <v>233</v>
      </c>
      <c r="G401" s="58">
        <v>4</v>
      </c>
      <c r="H401" s="58"/>
      <c r="I401" s="58"/>
      <c r="J401" s="58"/>
      <c r="K401" s="137"/>
      <c r="L401" s="56" t="s">
        <v>1365</v>
      </c>
      <c r="M401" s="292">
        <v>255</v>
      </c>
    </row>
    <row r="402" spans="1:13">
      <c r="A402" s="292">
        <v>255</v>
      </c>
      <c r="B402" s="66" t="s">
        <v>1364</v>
      </c>
      <c r="C402" s="60"/>
      <c r="D402" s="54" t="s">
        <v>168</v>
      </c>
      <c r="E402" s="435" t="str">
        <f>IFERROR(VLOOKUP(D402,Mychart!$A$125:$B$811,2,FALSE),"-")</f>
        <v>UTS Carrier</v>
      </c>
      <c r="F402" s="676" t="s">
        <v>1099</v>
      </c>
      <c r="G402" s="58">
        <v>1</v>
      </c>
      <c r="H402" s="58"/>
      <c r="I402" s="58"/>
      <c r="J402" s="58"/>
      <c r="K402" s="137"/>
      <c r="L402" s="56" t="s">
        <v>1365</v>
      </c>
      <c r="M402" s="292">
        <v>255</v>
      </c>
    </row>
    <row r="403" spans="1:13">
      <c r="A403" s="292">
        <v>255</v>
      </c>
      <c r="B403" s="66" t="s">
        <v>1364</v>
      </c>
      <c r="C403" s="60"/>
      <c r="D403" s="54" t="s">
        <v>168</v>
      </c>
      <c r="E403" s="435" t="str">
        <f>IFERROR(VLOOKUP(D403,Mychart!$A$125:$B$811,2,FALSE),"-")</f>
        <v>UTS Carrier</v>
      </c>
      <c r="F403" s="676" t="s">
        <v>1100</v>
      </c>
      <c r="G403" s="58">
        <v>1</v>
      </c>
      <c r="H403" s="58"/>
      <c r="I403" s="58"/>
      <c r="J403" s="58"/>
      <c r="K403" s="137"/>
      <c r="L403" s="56" t="s">
        <v>1365</v>
      </c>
      <c r="M403" s="292">
        <v>255</v>
      </c>
    </row>
    <row r="404" spans="1:13">
      <c r="A404" s="292">
        <v>255</v>
      </c>
      <c r="B404" s="66" t="s">
        <v>1364</v>
      </c>
      <c r="C404" s="60"/>
      <c r="D404" s="54" t="s">
        <v>168</v>
      </c>
      <c r="E404" s="435" t="str">
        <f>IFERROR(VLOOKUP(D404,Mychart!$A$125:$B$811,2,FALSE),"-")</f>
        <v>UTS Carrier</v>
      </c>
      <c r="F404" s="676"/>
      <c r="G404" s="58"/>
      <c r="H404" s="58"/>
      <c r="I404" s="58"/>
      <c r="J404" s="58"/>
      <c r="K404" s="137"/>
      <c r="L404" s="56" t="s">
        <v>1365</v>
      </c>
      <c r="M404" s="292">
        <v>255</v>
      </c>
    </row>
    <row r="405" spans="1:13">
      <c r="A405" s="292">
        <v>256</v>
      </c>
      <c r="B405" s="66" t="s">
        <v>1369</v>
      </c>
      <c r="C405" s="60"/>
      <c r="D405" s="54" t="s">
        <v>168</v>
      </c>
      <c r="E405" s="435" t="str">
        <f>IFERROR(VLOOKUP(D405,Mychart!$A$125:$B$811,2,FALSE),"-")</f>
        <v>UTS Carrier</v>
      </c>
      <c r="F405" s="676" t="s">
        <v>236</v>
      </c>
      <c r="G405" s="58">
        <v>16</v>
      </c>
      <c r="H405" s="58"/>
      <c r="I405" s="58"/>
      <c r="J405" s="58"/>
      <c r="K405" s="137"/>
      <c r="L405" s="56" t="s">
        <v>1370</v>
      </c>
      <c r="M405" s="292">
        <v>256</v>
      </c>
    </row>
    <row r="406" spans="1:13">
      <c r="A406" s="292">
        <v>256</v>
      </c>
      <c r="B406" s="66" t="s">
        <v>1369</v>
      </c>
      <c r="C406" s="60"/>
      <c r="D406" s="54" t="s">
        <v>168</v>
      </c>
      <c r="E406" s="435" t="str">
        <f>IFERROR(VLOOKUP(D406,Mychart!$A$125:$B$811,2,FALSE),"-")</f>
        <v>UTS Carrier</v>
      </c>
      <c r="F406" s="676" t="s">
        <v>1366</v>
      </c>
      <c r="G406" s="58">
        <v>16</v>
      </c>
      <c r="H406" s="58"/>
      <c r="I406" s="58"/>
      <c r="J406" s="58"/>
      <c r="K406" s="137"/>
      <c r="L406" s="56" t="s">
        <v>1370</v>
      </c>
      <c r="M406" s="292">
        <v>256</v>
      </c>
    </row>
    <row r="407" spans="1:13">
      <c r="A407" s="292">
        <v>256</v>
      </c>
      <c r="B407" s="66" t="s">
        <v>1369</v>
      </c>
      <c r="C407" s="60"/>
      <c r="D407" s="54" t="s">
        <v>168</v>
      </c>
      <c r="E407" s="435" t="str">
        <f>IFERROR(VLOOKUP(D407,Mychart!$A$125:$B$811,2,FALSE),"-")</f>
        <v>UTS Carrier</v>
      </c>
      <c r="F407" s="676" t="s">
        <v>238</v>
      </c>
      <c r="G407" s="58">
        <v>4</v>
      </c>
      <c r="H407" s="58"/>
      <c r="I407" s="58"/>
      <c r="J407" s="58"/>
      <c r="K407" s="137"/>
      <c r="L407" s="56" t="s">
        <v>1370</v>
      </c>
      <c r="M407" s="292">
        <v>256</v>
      </c>
    </row>
    <row r="408" spans="1:13">
      <c r="A408" s="292">
        <v>256</v>
      </c>
      <c r="B408" s="66" t="s">
        <v>1369</v>
      </c>
      <c r="C408" s="60"/>
      <c r="D408" s="54" t="s">
        <v>168</v>
      </c>
      <c r="E408" s="435" t="str">
        <f>IFERROR(VLOOKUP(D408,Mychart!$A$125:$B$811,2,FALSE),"-")</f>
        <v>UTS Carrier</v>
      </c>
      <c r="F408" s="676" t="s">
        <v>1367</v>
      </c>
      <c r="G408" s="58">
        <v>4</v>
      </c>
      <c r="H408" s="58"/>
      <c r="I408" s="58"/>
      <c r="J408" s="58"/>
      <c r="K408" s="137"/>
      <c r="L408" s="56" t="s">
        <v>1370</v>
      </c>
      <c r="M408" s="292">
        <v>256</v>
      </c>
    </row>
    <row r="409" spans="1:13">
      <c r="A409" s="292">
        <v>256</v>
      </c>
      <c r="B409" s="66" t="s">
        <v>1369</v>
      </c>
      <c r="C409" s="60"/>
      <c r="D409" s="54" t="s">
        <v>168</v>
      </c>
      <c r="E409" s="435" t="str">
        <f>IFERROR(VLOOKUP(D409,Mychart!$A$125:$B$811,2,FALSE),"-")</f>
        <v>UTS Carrier</v>
      </c>
      <c r="F409" s="676" t="s">
        <v>234</v>
      </c>
      <c r="G409" s="58">
        <v>8</v>
      </c>
      <c r="H409" s="58"/>
      <c r="I409" s="58"/>
      <c r="J409" s="58"/>
      <c r="K409" s="137"/>
      <c r="L409" s="56" t="s">
        <v>1370</v>
      </c>
      <c r="M409" s="292">
        <v>256</v>
      </c>
    </row>
    <row r="410" spans="1:13">
      <c r="A410" s="292">
        <v>256</v>
      </c>
      <c r="B410" s="66" t="s">
        <v>1369</v>
      </c>
      <c r="C410" s="60"/>
      <c r="D410" s="54" t="s">
        <v>168</v>
      </c>
      <c r="E410" s="435" t="str">
        <f>IFERROR(VLOOKUP(D410,Mychart!$A$125:$B$811,2,FALSE),"-")</f>
        <v>UTS Carrier</v>
      </c>
      <c r="F410" s="676" t="s">
        <v>1277</v>
      </c>
      <c r="G410" s="58">
        <v>8</v>
      </c>
      <c r="H410" s="58"/>
      <c r="I410" s="58"/>
      <c r="J410" s="58"/>
      <c r="K410" s="137"/>
      <c r="L410" s="56" t="s">
        <v>1370</v>
      </c>
      <c r="M410" s="292">
        <v>256</v>
      </c>
    </row>
    <row r="411" spans="1:13">
      <c r="A411" s="292">
        <v>256</v>
      </c>
      <c r="B411" s="66" t="s">
        <v>1369</v>
      </c>
      <c r="C411" s="60"/>
      <c r="D411" s="54" t="s">
        <v>168</v>
      </c>
      <c r="E411" s="435" t="str">
        <f>IFERROR(VLOOKUP(D411,Mychart!$A$125:$B$811,2,FALSE),"-")</f>
        <v>UTS Carrier</v>
      </c>
      <c r="F411" s="676" t="s">
        <v>232</v>
      </c>
      <c r="G411" s="58">
        <v>4</v>
      </c>
      <c r="H411" s="58"/>
      <c r="I411" s="58"/>
      <c r="J411" s="58"/>
      <c r="K411" s="137"/>
      <c r="L411" s="56" t="s">
        <v>1370</v>
      </c>
      <c r="M411" s="292">
        <v>256</v>
      </c>
    </row>
    <row r="412" spans="1:13">
      <c r="A412" s="292">
        <v>256</v>
      </c>
      <c r="B412" s="66" t="s">
        <v>1369</v>
      </c>
      <c r="C412" s="60"/>
      <c r="D412" s="54" t="s">
        <v>168</v>
      </c>
      <c r="E412" s="435" t="str">
        <f>IFERROR(VLOOKUP(D412,Mychart!$A$125:$B$811,2,FALSE),"-")</f>
        <v>UTS Carrier</v>
      </c>
      <c r="F412" s="676" t="s">
        <v>1368</v>
      </c>
      <c r="G412" s="58">
        <v>4</v>
      </c>
      <c r="H412" s="58"/>
      <c r="I412" s="58"/>
      <c r="J412" s="58"/>
      <c r="K412" s="137"/>
      <c r="L412" s="56" t="s">
        <v>1370</v>
      </c>
      <c r="M412" s="292">
        <v>256</v>
      </c>
    </row>
    <row r="413" spans="1:13">
      <c r="A413" s="292">
        <v>256</v>
      </c>
      <c r="B413" s="66" t="s">
        <v>1369</v>
      </c>
      <c r="C413" s="60"/>
      <c r="D413" s="54" t="s">
        <v>168</v>
      </c>
      <c r="E413" s="435" t="str">
        <f>IFERROR(VLOOKUP(D413,Mychart!$A$125:$B$811,2,FALSE),"-")</f>
        <v>UTS Carrier</v>
      </c>
      <c r="F413" s="676" t="s">
        <v>1099</v>
      </c>
      <c r="G413" s="58">
        <v>8</v>
      </c>
      <c r="H413" s="58"/>
      <c r="I413" s="58"/>
      <c r="J413" s="58"/>
      <c r="K413" s="137"/>
      <c r="L413" s="56" t="s">
        <v>1370</v>
      </c>
      <c r="M413" s="292">
        <v>256</v>
      </c>
    </row>
    <row r="414" spans="1:13">
      <c r="A414" s="292">
        <v>256</v>
      </c>
      <c r="B414" s="66" t="s">
        <v>1369</v>
      </c>
      <c r="C414" s="60"/>
      <c r="D414" s="54" t="s">
        <v>168</v>
      </c>
      <c r="E414" s="435" t="str">
        <f>IFERROR(VLOOKUP(D414,Mychart!$A$125:$B$811,2,FALSE),"-")</f>
        <v>UTS Carrier</v>
      </c>
      <c r="F414" s="676" t="s">
        <v>1100</v>
      </c>
      <c r="G414" s="58">
        <v>8</v>
      </c>
      <c r="H414" s="58"/>
      <c r="I414" s="58"/>
      <c r="J414" s="58"/>
      <c r="K414" s="137"/>
      <c r="L414" s="56" t="s">
        <v>1370</v>
      </c>
      <c r="M414" s="292">
        <v>256</v>
      </c>
    </row>
    <row r="415" spans="1:13">
      <c r="A415" s="292">
        <v>256</v>
      </c>
      <c r="B415" s="66" t="s">
        <v>1369</v>
      </c>
      <c r="C415" s="60"/>
      <c r="D415" s="54" t="s">
        <v>168</v>
      </c>
      <c r="E415" s="435" t="str">
        <f>IFERROR(VLOOKUP(D415,Mychart!$A$125:$B$811,2,FALSE),"-")</f>
        <v>UTS Carrier</v>
      </c>
      <c r="F415" s="676"/>
      <c r="G415" s="58"/>
      <c r="H415" s="58"/>
      <c r="I415" s="58"/>
      <c r="J415" s="58"/>
      <c r="K415" s="137"/>
      <c r="L415" s="56" t="s">
        <v>1370</v>
      </c>
      <c r="M415" s="292">
        <v>256</v>
      </c>
    </row>
    <row r="416" spans="1:13">
      <c r="A416" s="292">
        <v>276</v>
      </c>
      <c r="B416" s="66" t="s">
        <v>1320</v>
      </c>
      <c r="C416" s="60"/>
      <c r="D416" s="54" t="s">
        <v>168</v>
      </c>
      <c r="E416" s="435" t="str">
        <f>IFERROR(VLOOKUP(D416,Mychart!$A$125:$B$811,2,FALSE),"-")</f>
        <v>UTS Carrier</v>
      </c>
      <c r="F416" s="676"/>
      <c r="G416" s="58"/>
      <c r="H416" s="58"/>
      <c r="I416" s="58"/>
      <c r="J416" s="58"/>
      <c r="K416" s="137"/>
      <c r="L416" s="56" t="s">
        <v>283</v>
      </c>
      <c r="M416" s="292">
        <v>276</v>
      </c>
    </row>
    <row r="417" spans="1:13">
      <c r="A417" s="292">
        <v>277</v>
      </c>
      <c r="B417" s="66" t="s">
        <v>1320</v>
      </c>
      <c r="C417" s="60"/>
      <c r="D417" s="54" t="s">
        <v>168</v>
      </c>
      <c r="E417" s="435" t="str">
        <f>IFERROR(VLOOKUP(D417,Mychart!$A$125:$B$811,2,FALSE),"-")</f>
        <v>UTS Carrier</v>
      </c>
      <c r="F417" s="676"/>
      <c r="G417" s="58"/>
      <c r="H417" s="58"/>
      <c r="I417" s="58"/>
      <c r="J417" s="58"/>
      <c r="K417" s="137"/>
      <c r="L417" s="56" t="s">
        <v>268</v>
      </c>
      <c r="M417" s="292">
        <v>277</v>
      </c>
    </row>
    <row r="418" spans="1:13">
      <c r="A418" s="292">
        <v>278</v>
      </c>
      <c r="B418" s="66" t="s">
        <v>1320</v>
      </c>
      <c r="C418" s="60"/>
      <c r="D418" s="54" t="s">
        <v>168</v>
      </c>
      <c r="E418" s="435" t="str">
        <f>IFERROR(VLOOKUP(D418,Mychart!$A$125:$B$811,2,FALSE),"-")</f>
        <v>UTS Carrier</v>
      </c>
      <c r="F418" s="676"/>
      <c r="G418" s="58"/>
      <c r="H418" s="58"/>
      <c r="I418" s="58"/>
      <c r="J418" s="58"/>
      <c r="K418" s="137"/>
      <c r="L418" s="56" t="s">
        <v>321</v>
      </c>
      <c r="M418" s="292">
        <v>278</v>
      </c>
    </row>
    <row r="419" spans="1:13">
      <c r="A419" s="292">
        <v>280</v>
      </c>
      <c r="B419" s="66" t="s">
        <v>1320</v>
      </c>
      <c r="C419" s="60"/>
      <c r="D419" s="54" t="s">
        <v>168</v>
      </c>
      <c r="E419" s="435" t="str">
        <f>IFERROR(VLOOKUP(D419,Mychart!$A$125:$B$811,2,FALSE),"-")</f>
        <v>UTS Carrier</v>
      </c>
      <c r="F419" s="676"/>
      <c r="G419" s="58"/>
      <c r="H419" s="58"/>
      <c r="I419" s="58"/>
      <c r="J419" s="58"/>
      <c r="K419" s="137"/>
      <c r="L419" s="56" t="s">
        <v>869</v>
      </c>
      <c r="M419" s="292">
        <v>280</v>
      </c>
    </row>
    <row r="420" spans="1:13">
      <c r="A420" s="292">
        <v>281</v>
      </c>
      <c r="B420" s="66" t="s">
        <v>1320</v>
      </c>
      <c r="C420" s="60"/>
      <c r="D420" s="54" t="s">
        <v>168</v>
      </c>
      <c r="E420" s="435" t="str">
        <f>IFERROR(VLOOKUP(D420,Mychart!$A$125:$B$811,2,FALSE),"-")</f>
        <v>UTS Carrier</v>
      </c>
      <c r="F420" s="676"/>
      <c r="G420" s="58"/>
      <c r="H420" s="58"/>
      <c r="I420" s="58"/>
      <c r="J420" s="58"/>
      <c r="K420" s="137"/>
      <c r="L420" s="56" t="s">
        <v>866</v>
      </c>
      <c r="M420" s="292">
        <v>281</v>
      </c>
    </row>
    <row r="421" spans="1:13">
      <c r="A421" s="292">
        <v>282</v>
      </c>
      <c r="B421" s="66" t="s">
        <v>1320</v>
      </c>
      <c r="C421" s="60"/>
      <c r="D421" s="54" t="s">
        <v>168</v>
      </c>
      <c r="E421" s="435" t="str">
        <f>IFERROR(VLOOKUP(D421,Mychart!$A$125:$B$811,2,FALSE),"-")</f>
        <v>UTS Carrier</v>
      </c>
      <c r="F421" s="676"/>
      <c r="G421" s="58"/>
      <c r="H421" s="58"/>
      <c r="I421" s="58"/>
      <c r="J421" s="58"/>
      <c r="K421" s="137"/>
      <c r="L421" s="56" t="s">
        <v>1371</v>
      </c>
      <c r="M421" s="292">
        <v>282</v>
      </c>
    </row>
    <row r="422" spans="1:13">
      <c r="A422" s="292">
        <v>275</v>
      </c>
      <c r="B422" s="66" t="s">
        <v>1320</v>
      </c>
      <c r="C422" s="60"/>
      <c r="D422" s="54" t="s">
        <v>168</v>
      </c>
      <c r="E422" s="435" t="str">
        <f>IFERROR(VLOOKUP(D422,Mychart!$A$125:$B$811,2,FALSE),"-")</f>
        <v>UTS Carrier</v>
      </c>
      <c r="F422" s="676"/>
      <c r="G422" s="58"/>
      <c r="H422" s="58"/>
      <c r="I422" s="58"/>
      <c r="J422" s="58"/>
      <c r="K422" s="137"/>
      <c r="L422" s="56" t="s">
        <v>294</v>
      </c>
      <c r="M422" s="292">
        <v>275</v>
      </c>
    </row>
    <row r="423" spans="1:13">
      <c r="A423" s="292">
        <v>265</v>
      </c>
      <c r="B423" s="66" t="s">
        <v>1320</v>
      </c>
      <c r="C423" s="60"/>
      <c r="D423" s="54" t="s">
        <v>168</v>
      </c>
      <c r="E423" s="435" t="str">
        <f>IFERROR(VLOOKUP(D423,Mychart!$A$125:$B$811,2,FALSE),"-")</f>
        <v>UTS Carrier</v>
      </c>
      <c r="F423" s="676"/>
      <c r="G423" s="58"/>
      <c r="H423" s="58"/>
      <c r="I423" s="58"/>
      <c r="J423" s="58"/>
      <c r="K423" s="137"/>
      <c r="L423" s="56" t="s">
        <v>1372</v>
      </c>
      <c r="M423" s="292">
        <v>265</v>
      </c>
    </row>
    <row r="424" spans="1:13">
      <c r="A424" s="292">
        <v>264</v>
      </c>
      <c r="B424" s="66" t="s">
        <v>1320</v>
      </c>
      <c r="C424" s="60"/>
      <c r="D424" s="54" t="s">
        <v>168</v>
      </c>
      <c r="E424" s="435" t="str">
        <f>IFERROR(VLOOKUP(D424,Mychart!$A$125:$B$811,2,FALSE),"-")</f>
        <v>UTS Carrier</v>
      </c>
      <c r="F424" s="676"/>
      <c r="G424" s="58"/>
      <c r="H424" s="58"/>
      <c r="I424" s="58"/>
      <c r="J424" s="58"/>
      <c r="K424" s="137"/>
      <c r="L424" s="56" t="s">
        <v>303</v>
      </c>
      <c r="M424" s="292">
        <v>264</v>
      </c>
    </row>
    <row r="425" spans="1:13">
      <c r="A425" s="292">
        <v>260</v>
      </c>
      <c r="B425" s="66" t="s">
        <v>1320</v>
      </c>
      <c r="C425" s="60"/>
      <c r="D425" s="54" t="s">
        <v>168</v>
      </c>
      <c r="E425" s="435" t="str">
        <f>IFERROR(VLOOKUP(D425,Mychart!$A$125:$B$811,2,FALSE),"-")</f>
        <v>UTS Carrier</v>
      </c>
      <c r="F425" s="676"/>
      <c r="G425" s="58"/>
      <c r="H425" s="58"/>
      <c r="I425" s="58"/>
      <c r="J425" s="58"/>
      <c r="K425" s="137"/>
      <c r="L425" s="56" t="s">
        <v>1339</v>
      </c>
      <c r="M425" s="292">
        <v>260</v>
      </c>
    </row>
    <row r="426" spans="1:13">
      <c r="A426" s="292">
        <v>261</v>
      </c>
      <c r="B426" s="66" t="s">
        <v>1320</v>
      </c>
      <c r="C426" s="60"/>
      <c r="D426" s="54" t="s">
        <v>168</v>
      </c>
      <c r="E426" s="435" t="str">
        <f>IFERROR(VLOOKUP(D426,Mychart!$A$125:$B$811,2,FALSE),"-")</f>
        <v>UTS Carrier</v>
      </c>
      <c r="F426" s="676"/>
      <c r="G426" s="58"/>
      <c r="H426" s="58"/>
      <c r="I426" s="58"/>
      <c r="J426" s="58"/>
      <c r="K426" s="137"/>
      <c r="L426" s="56" t="s">
        <v>276</v>
      </c>
      <c r="M426" s="292">
        <v>261</v>
      </c>
    </row>
    <row r="427" spans="1:13">
      <c r="A427" s="292">
        <v>259</v>
      </c>
      <c r="B427" s="66" t="s">
        <v>1320</v>
      </c>
      <c r="C427" s="60"/>
      <c r="D427" s="54" t="s">
        <v>168</v>
      </c>
      <c r="E427" s="435" t="str">
        <f>IFERROR(VLOOKUP(D427,Mychart!$A$125:$B$811,2,FALSE),"-")</f>
        <v>UTS Carrier</v>
      </c>
      <c r="F427" s="676"/>
      <c r="G427" s="58"/>
      <c r="H427" s="58"/>
      <c r="I427" s="58"/>
      <c r="J427" s="58"/>
      <c r="K427" s="137"/>
      <c r="L427" s="56" t="s">
        <v>1373</v>
      </c>
      <c r="M427" s="292">
        <v>259</v>
      </c>
    </row>
    <row r="428" spans="1:13">
      <c r="A428" s="292">
        <v>279</v>
      </c>
      <c r="B428" s="48" t="s">
        <v>1098</v>
      </c>
      <c r="C428" s="60">
        <v>45502</v>
      </c>
      <c r="D428" s="54" t="s">
        <v>168</v>
      </c>
      <c r="E428" s="435" t="str">
        <f>IFERROR(VLOOKUP(D428,Mychart!$A$125:$B$811,2,FALSE),"-")</f>
        <v>UTS Carrier</v>
      </c>
      <c r="F428" s="676" t="s">
        <v>236</v>
      </c>
      <c r="G428" s="58">
        <v>2</v>
      </c>
      <c r="H428" s="58"/>
      <c r="I428" s="58">
        <v>48685</v>
      </c>
      <c r="J428" s="58">
        <v>2434.25</v>
      </c>
      <c r="K428" s="56"/>
      <c r="L428" s="56" t="s">
        <v>983</v>
      </c>
      <c r="M428" s="292">
        <v>279</v>
      </c>
    </row>
    <row r="429" spans="1:13">
      <c r="A429" s="292">
        <v>279</v>
      </c>
      <c r="B429" s="48" t="s">
        <v>1098</v>
      </c>
      <c r="C429" s="60">
        <v>45502</v>
      </c>
      <c r="D429" s="54" t="s">
        <v>168</v>
      </c>
      <c r="E429" s="435" t="str">
        <f>IFERROR(VLOOKUP(D429,Mychart!$A$125:$B$811,2,FALSE),"-")</f>
        <v>UTS Carrier</v>
      </c>
      <c r="F429" s="676" t="s">
        <v>237</v>
      </c>
      <c r="G429" s="58">
        <v>2</v>
      </c>
      <c r="H429" s="58"/>
      <c r="I429" s="58">
        <v>48685</v>
      </c>
      <c r="J429" s="58">
        <v>2434.25</v>
      </c>
      <c r="K429" s="56"/>
      <c r="L429" s="56" t="s">
        <v>983</v>
      </c>
      <c r="M429" s="292">
        <v>279</v>
      </c>
    </row>
    <row r="430" spans="1:13">
      <c r="A430" s="292">
        <v>279</v>
      </c>
      <c r="B430" s="48" t="s">
        <v>1098</v>
      </c>
      <c r="C430" s="60">
        <v>45502</v>
      </c>
      <c r="D430" s="54" t="s">
        <v>168</v>
      </c>
      <c r="E430" s="435" t="str">
        <f>IFERROR(VLOOKUP(D430,Mychart!$A$125:$B$811,2,FALSE),"-")</f>
        <v>UTS Carrier</v>
      </c>
      <c r="F430" s="676" t="s">
        <v>827</v>
      </c>
      <c r="G430" s="58">
        <v>1</v>
      </c>
      <c r="H430" s="58"/>
      <c r="I430" s="58">
        <v>48685</v>
      </c>
      <c r="J430" s="58">
        <v>2434.25</v>
      </c>
      <c r="K430" s="56"/>
      <c r="L430" s="56" t="s">
        <v>983</v>
      </c>
      <c r="M430" s="292">
        <v>279</v>
      </c>
    </row>
    <row r="431" spans="1:13">
      <c r="A431" s="292">
        <v>279</v>
      </c>
      <c r="B431" s="48" t="s">
        <v>1098</v>
      </c>
      <c r="C431" s="60">
        <v>45502</v>
      </c>
      <c r="D431" s="54" t="s">
        <v>168</v>
      </c>
      <c r="E431" s="435" t="str">
        <f>IFERROR(VLOOKUP(D431,Mychart!$A$125:$B$811,2,FALSE),"-")</f>
        <v>UTS Carrier</v>
      </c>
      <c r="F431" s="676" t="s">
        <v>828</v>
      </c>
      <c r="G431" s="58">
        <v>1</v>
      </c>
      <c r="H431" s="58"/>
      <c r="I431" s="58">
        <v>48685</v>
      </c>
      <c r="J431" s="58">
        <v>2434.25</v>
      </c>
      <c r="K431" s="56"/>
      <c r="L431" s="56" t="s">
        <v>983</v>
      </c>
      <c r="M431" s="292">
        <v>279</v>
      </c>
    </row>
    <row r="432" spans="1:13">
      <c r="A432" s="292">
        <v>279</v>
      </c>
      <c r="B432" s="48" t="s">
        <v>1098</v>
      </c>
      <c r="C432" s="60">
        <v>45502</v>
      </c>
      <c r="D432" s="54" t="s">
        <v>168</v>
      </c>
      <c r="E432" s="435" t="str">
        <f>IFERROR(VLOOKUP(D432,Mychart!$A$125:$B$811,2,FALSE),"-")</f>
        <v>UTS Carrier</v>
      </c>
      <c r="F432" s="676" t="s">
        <v>234</v>
      </c>
      <c r="G432" s="58">
        <v>4</v>
      </c>
      <c r="H432" s="58"/>
      <c r="I432" s="58">
        <v>48685</v>
      </c>
      <c r="J432" s="58">
        <v>2434.25</v>
      </c>
      <c r="K432" s="56"/>
      <c r="L432" s="56" t="s">
        <v>983</v>
      </c>
      <c r="M432" s="292">
        <v>279</v>
      </c>
    </row>
    <row r="433" spans="1:13">
      <c r="A433" s="292">
        <v>279</v>
      </c>
      <c r="B433" s="48" t="s">
        <v>1098</v>
      </c>
      <c r="C433" s="60">
        <v>45502</v>
      </c>
      <c r="D433" s="54" t="s">
        <v>168</v>
      </c>
      <c r="E433" s="435" t="str">
        <f>IFERROR(VLOOKUP(D433,Mychart!$A$125:$B$811,2,FALSE),"-")</f>
        <v>UTS Carrier</v>
      </c>
      <c r="F433" s="676" t="s">
        <v>235</v>
      </c>
      <c r="G433" s="58">
        <v>4</v>
      </c>
      <c r="H433" s="58"/>
      <c r="I433" s="58">
        <v>48685</v>
      </c>
      <c r="J433" s="58">
        <v>2434.25</v>
      </c>
      <c r="K433" s="56"/>
      <c r="L433" s="56" t="s">
        <v>983</v>
      </c>
      <c r="M433" s="292">
        <v>279</v>
      </c>
    </row>
    <row r="434" spans="1:13">
      <c r="A434" s="292">
        <v>279</v>
      </c>
      <c r="B434" s="48" t="s">
        <v>1098</v>
      </c>
      <c r="C434" s="60">
        <v>45502</v>
      </c>
      <c r="D434" s="54" t="s">
        <v>168</v>
      </c>
      <c r="E434" s="435" t="str">
        <f>IFERROR(VLOOKUP(D434,Mychart!$A$125:$B$811,2,FALSE),"-")</f>
        <v>UTS Carrier</v>
      </c>
      <c r="F434" s="676" t="s">
        <v>1099</v>
      </c>
      <c r="G434" s="58">
        <v>1</v>
      </c>
      <c r="H434" s="58"/>
      <c r="I434" s="58">
        <v>48685</v>
      </c>
      <c r="J434" s="58">
        <v>2434.25</v>
      </c>
      <c r="K434" s="56"/>
      <c r="L434" s="56" t="s">
        <v>983</v>
      </c>
      <c r="M434" s="292">
        <v>279</v>
      </c>
    </row>
    <row r="435" spans="1:13">
      <c r="A435" s="292">
        <v>279</v>
      </c>
      <c r="B435" s="48" t="s">
        <v>1098</v>
      </c>
      <c r="C435" s="60">
        <v>45502</v>
      </c>
      <c r="D435" s="54" t="s">
        <v>168</v>
      </c>
      <c r="E435" s="435" t="str">
        <f>IFERROR(VLOOKUP(D435,Mychart!$A$125:$B$811,2,FALSE),"-")</f>
        <v>UTS Carrier</v>
      </c>
      <c r="F435" s="676" t="s">
        <v>1100</v>
      </c>
      <c r="G435" s="58">
        <v>1</v>
      </c>
      <c r="H435" s="58"/>
      <c r="I435" s="58">
        <v>48685</v>
      </c>
      <c r="J435" s="58">
        <v>2434.25</v>
      </c>
      <c r="K435" s="56"/>
      <c r="L435" s="56" t="s">
        <v>983</v>
      </c>
      <c r="M435" s="292">
        <v>279</v>
      </c>
    </row>
    <row r="436" spans="1:13">
      <c r="A436" s="292">
        <v>279</v>
      </c>
      <c r="B436" s="48" t="s">
        <v>1098</v>
      </c>
      <c r="C436" s="60">
        <v>45502</v>
      </c>
      <c r="D436" s="54" t="s">
        <v>168</v>
      </c>
      <c r="E436" s="435" t="str">
        <f>IFERROR(VLOOKUP(D436,Mychart!$A$125:$B$811,2,FALSE),"-")</f>
        <v>UTS Carrier</v>
      </c>
      <c r="F436" s="676"/>
      <c r="G436" s="58"/>
      <c r="H436" s="58"/>
      <c r="I436" s="58">
        <v>48685</v>
      </c>
      <c r="J436" s="58">
        <v>2434.25</v>
      </c>
      <c r="K436" s="56"/>
      <c r="L436" s="56" t="s">
        <v>983</v>
      </c>
      <c r="M436" s="292">
        <v>279</v>
      </c>
    </row>
    <row r="437" spans="1:13">
      <c r="A437" s="292">
        <v>275</v>
      </c>
      <c r="B437" s="48" t="s">
        <v>1760</v>
      </c>
      <c r="C437" s="60">
        <v>45550</v>
      </c>
      <c r="D437" s="54" t="s">
        <v>168</v>
      </c>
      <c r="E437" s="435" t="str">
        <f>IFERROR(VLOOKUP(D437,Mychart!$A$125:$B$811,2,FALSE),"-")</f>
        <v>UTS Carrier</v>
      </c>
      <c r="F437" s="676" t="s">
        <v>825</v>
      </c>
      <c r="G437" s="58">
        <v>2</v>
      </c>
      <c r="H437" s="58"/>
      <c r="I437" s="58">
        <v>67580</v>
      </c>
      <c r="J437" s="58">
        <v>3379</v>
      </c>
      <c r="K437" s="56" t="s">
        <v>1759</v>
      </c>
      <c r="L437" s="56" t="s">
        <v>320</v>
      </c>
      <c r="M437" s="292">
        <v>275</v>
      </c>
    </row>
    <row r="438" spans="1:13">
      <c r="A438" s="292">
        <v>275</v>
      </c>
      <c r="B438" s="48" t="s">
        <v>1760</v>
      </c>
      <c r="C438" s="60">
        <v>45550</v>
      </c>
      <c r="D438" s="54" t="s">
        <v>168</v>
      </c>
      <c r="E438" s="435" t="str">
        <f>IFERROR(VLOOKUP(D438,Mychart!$A$125:$B$811,2,FALSE),"-")</f>
        <v>UTS Carrier</v>
      </c>
      <c r="F438" s="676" t="s">
        <v>826</v>
      </c>
      <c r="G438" s="58">
        <v>2</v>
      </c>
      <c r="H438" s="58"/>
      <c r="I438" s="58">
        <v>67580</v>
      </c>
      <c r="J438" s="58">
        <v>3379</v>
      </c>
      <c r="K438" s="56" t="s">
        <v>1759</v>
      </c>
      <c r="L438" s="56" t="s">
        <v>320</v>
      </c>
      <c r="M438" s="292">
        <v>275</v>
      </c>
    </row>
    <row r="439" spans="1:13">
      <c r="A439" s="292">
        <v>275</v>
      </c>
      <c r="B439" s="48" t="s">
        <v>1760</v>
      </c>
      <c r="C439" s="60">
        <v>45550</v>
      </c>
      <c r="D439" s="54" t="s">
        <v>168</v>
      </c>
      <c r="E439" s="435" t="str">
        <f>IFERROR(VLOOKUP(D439,Mychart!$A$125:$B$811,2,FALSE),"-")</f>
        <v>UTS Carrier</v>
      </c>
      <c r="F439" s="676" t="s">
        <v>827</v>
      </c>
      <c r="G439" s="58">
        <v>1</v>
      </c>
      <c r="H439" s="58"/>
      <c r="I439" s="58">
        <v>67580</v>
      </c>
      <c r="J439" s="58">
        <v>3379</v>
      </c>
      <c r="K439" s="56" t="s">
        <v>1759</v>
      </c>
      <c r="L439" s="56" t="s">
        <v>320</v>
      </c>
      <c r="M439" s="292">
        <v>275</v>
      </c>
    </row>
    <row r="440" spans="1:13">
      <c r="A440" s="292">
        <v>275</v>
      </c>
      <c r="B440" s="48" t="s">
        <v>1760</v>
      </c>
      <c r="C440" s="60">
        <v>45550</v>
      </c>
      <c r="D440" s="54" t="s">
        <v>168</v>
      </c>
      <c r="E440" s="435" t="str">
        <f>IFERROR(VLOOKUP(D440,Mychart!$A$125:$B$811,2,FALSE),"-")</f>
        <v>UTS Carrier</v>
      </c>
      <c r="F440" s="676" t="s">
        <v>828</v>
      </c>
      <c r="G440" s="58">
        <v>1</v>
      </c>
      <c r="H440" s="58"/>
      <c r="I440" s="58">
        <v>67580</v>
      </c>
      <c r="J440" s="58">
        <v>3379</v>
      </c>
      <c r="K440" s="56" t="s">
        <v>1759</v>
      </c>
      <c r="L440" s="56" t="s">
        <v>320</v>
      </c>
      <c r="M440" s="292">
        <v>275</v>
      </c>
    </row>
    <row r="441" spans="1:13">
      <c r="A441" s="292">
        <v>275</v>
      </c>
      <c r="B441" s="48" t="s">
        <v>1760</v>
      </c>
      <c r="C441" s="60">
        <v>45550</v>
      </c>
      <c r="D441" s="54" t="s">
        <v>168</v>
      </c>
      <c r="E441" s="435" t="str">
        <f>IFERROR(VLOOKUP(D441,Mychart!$A$125:$B$811,2,FALSE),"-")</f>
        <v>UTS Carrier</v>
      </c>
      <c r="F441" s="676" t="s">
        <v>238</v>
      </c>
      <c r="G441" s="58">
        <v>1</v>
      </c>
      <c r="H441" s="58"/>
      <c r="I441" s="58">
        <v>67580</v>
      </c>
      <c r="J441" s="58">
        <v>3379</v>
      </c>
      <c r="K441" s="56" t="s">
        <v>1759</v>
      </c>
      <c r="L441" s="56" t="s">
        <v>320</v>
      </c>
      <c r="M441" s="292">
        <v>275</v>
      </c>
    </row>
    <row r="442" spans="1:13">
      <c r="A442" s="292">
        <v>275</v>
      </c>
      <c r="B442" s="48" t="s">
        <v>1760</v>
      </c>
      <c r="C442" s="60">
        <v>45550</v>
      </c>
      <c r="D442" s="54" t="s">
        <v>168</v>
      </c>
      <c r="E442" s="435" t="str">
        <f>IFERROR(VLOOKUP(D442,Mychart!$A$125:$B$811,2,FALSE),"-")</f>
        <v>UTS Carrier</v>
      </c>
      <c r="F442" s="676" t="s">
        <v>239</v>
      </c>
      <c r="G442" s="58">
        <v>1</v>
      </c>
      <c r="H442" s="58"/>
      <c r="I442" s="58">
        <v>67580</v>
      </c>
      <c r="J442" s="58">
        <v>3379</v>
      </c>
      <c r="K442" s="56" t="s">
        <v>1759</v>
      </c>
      <c r="L442" s="56" t="s">
        <v>320</v>
      </c>
      <c r="M442" s="292">
        <v>275</v>
      </c>
    </row>
    <row r="443" spans="1:13">
      <c r="A443" s="292">
        <v>275</v>
      </c>
      <c r="B443" s="48" t="s">
        <v>1760</v>
      </c>
      <c r="C443" s="60">
        <v>45550</v>
      </c>
      <c r="D443" s="54" t="s">
        <v>168</v>
      </c>
      <c r="E443" s="435" t="str">
        <f>IFERROR(VLOOKUP(D443,Mychart!$A$125:$B$811,2,FALSE),"-")</f>
        <v>UTS Carrier</v>
      </c>
      <c r="F443" s="676" t="s">
        <v>234</v>
      </c>
      <c r="G443" s="58">
        <v>2</v>
      </c>
      <c r="H443" s="58"/>
      <c r="I443" s="58">
        <v>67580</v>
      </c>
      <c r="J443" s="58">
        <v>3379</v>
      </c>
      <c r="K443" s="56" t="s">
        <v>1759</v>
      </c>
      <c r="L443" s="56" t="s">
        <v>320</v>
      </c>
      <c r="M443" s="292">
        <v>275</v>
      </c>
    </row>
    <row r="444" spans="1:13">
      <c r="A444" s="292">
        <v>275</v>
      </c>
      <c r="B444" s="48" t="s">
        <v>1760</v>
      </c>
      <c r="C444" s="60">
        <v>45550</v>
      </c>
      <c r="D444" s="54" t="s">
        <v>168</v>
      </c>
      <c r="E444" s="435" t="str">
        <f>IFERROR(VLOOKUP(D444,Mychart!$A$125:$B$811,2,FALSE),"-")</f>
        <v>UTS Carrier</v>
      </c>
      <c r="F444" s="676" t="s">
        <v>235</v>
      </c>
      <c r="G444" s="58">
        <v>2</v>
      </c>
      <c r="H444" s="58"/>
      <c r="I444" s="58">
        <v>67580</v>
      </c>
      <c r="J444" s="58">
        <v>3379</v>
      </c>
      <c r="K444" s="56" t="s">
        <v>1759</v>
      </c>
      <c r="L444" s="56" t="s">
        <v>320</v>
      </c>
      <c r="M444" s="292">
        <v>275</v>
      </c>
    </row>
    <row r="445" spans="1:13">
      <c r="A445" s="292">
        <v>275</v>
      </c>
      <c r="B445" s="48" t="s">
        <v>1760</v>
      </c>
      <c r="C445" s="60">
        <v>45550</v>
      </c>
      <c r="D445" s="54" t="s">
        <v>168</v>
      </c>
      <c r="E445" s="435" t="str">
        <f>IFERROR(VLOOKUP(D445,Mychart!$A$125:$B$811,2,FALSE),"-")</f>
        <v>UTS Carrier</v>
      </c>
      <c r="F445" s="676" t="s">
        <v>232</v>
      </c>
      <c r="G445" s="58">
        <v>3</v>
      </c>
      <c r="H445" s="58"/>
      <c r="I445" s="58">
        <v>67580</v>
      </c>
      <c r="J445" s="58">
        <v>3379</v>
      </c>
      <c r="K445" s="56" t="s">
        <v>1759</v>
      </c>
      <c r="L445" s="56" t="s">
        <v>320</v>
      </c>
      <c r="M445" s="292">
        <v>275</v>
      </c>
    </row>
    <row r="446" spans="1:13">
      <c r="A446" s="292">
        <v>275</v>
      </c>
      <c r="B446" s="48" t="s">
        <v>1760</v>
      </c>
      <c r="C446" s="60">
        <v>45550</v>
      </c>
      <c r="D446" s="54" t="s">
        <v>168</v>
      </c>
      <c r="E446" s="435" t="str">
        <f>IFERROR(VLOOKUP(D446,Mychart!$A$125:$B$811,2,FALSE),"-")</f>
        <v>UTS Carrier</v>
      </c>
      <c r="F446" s="676" t="s">
        <v>233</v>
      </c>
      <c r="G446" s="58">
        <v>3</v>
      </c>
      <c r="H446" s="58"/>
      <c r="I446" s="58">
        <v>67580</v>
      </c>
      <c r="J446" s="58">
        <v>3379</v>
      </c>
      <c r="K446" s="56" t="s">
        <v>1759</v>
      </c>
      <c r="L446" s="56" t="s">
        <v>320</v>
      </c>
      <c r="M446" s="292">
        <v>275</v>
      </c>
    </row>
    <row r="447" spans="1:13">
      <c r="A447" s="292">
        <v>275</v>
      </c>
      <c r="B447" s="48" t="s">
        <v>1760</v>
      </c>
      <c r="C447" s="60">
        <v>45550</v>
      </c>
      <c r="D447" s="54" t="s">
        <v>168</v>
      </c>
      <c r="E447" s="435" t="str">
        <f>IFERROR(VLOOKUP(D447,Mychart!$A$125:$B$811,2,FALSE),"-")</f>
        <v>UTS Carrier</v>
      </c>
      <c r="F447" s="676" t="s">
        <v>1099</v>
      </c>
      <c r="G447" s="58">
        <v>1</v>
      </c>
      <c r="H447" s="58"/>
      <c r="I447" s="58">
        <v>67580</v>
      </c>
      <c r="J447" s="58">
        <v>3379</v>
      </c>
      <c r="K447" s="56" t="s">
        <v>1759</v>
      </c>
      <c r="L447" s="56" t="s">
        <v>320</v>
      </c>
      <c r="M447" s="292">
        <v>275</v>
      </c>
    </row>
    <row r="448" spans="1:13">
      <c r="A448" s="292">
        <v>275</v>
      </c>
      <c r="B448" s="48" t="s">
        <v>1760</v>
      </c>
      <c r="C448" s="60">
        <v>45550</v>
      </c>
      <c r="D448" s="54" t="s">
        <v>168</v>
      </c>
      <c r="E448" s="435" t="str">
        <f>IFERROR(VLOOKUP(D448,Mychart!$A$125:$B$811,2,FALSE),"-")</f>
        <v>UTS Carrier</v>
      </c>
      <c r="F448" s="676" t="s">
        <v>1100</v>
      </c>
      <c r="G448" s="58">
        <v>1</v>
      </c>
      <c r="H448" s="58"/>
      <c r="I448" s="58">
        <v>67580</v>
      </c>
      <c r="J448" s="58">
        <v>3379</v>
      </c>
      <c r="K448" s="56" t="s">
        <v>1759</v>
      </c>
      <c r="L448" s="56" t="s">
        <v>320</v>
      </c>
      <c r="M448" s="292">
        <v>275</v>
      </c>
    </row>
    <row r="449" spans="1:13">
      <c r="A449" s="292">
        <v>275</v>
      </c>
      <c r="B449" s="48" t="s">
        <v>1760</v>
      </c>
      <c r="C449" s="60">
        <v>45550</v>
      </c>
      <c r="D449" s="54" t="s">
        <v>168</v>
      </c>
      <c r="E449" s="435" t="str">
        <f>IFERROR(VLOOKUP(D449,Mychart!$A$125:$B$811,2,FALSE),"-")</f>
        <v>UTS Carrier</v>
      </c>
      <c r="F449" s="676" t="s">
        <v>832</v>
      </c>
      <c r="G449" s="58">
        <v>1</v>
      </c>
      <c r="H449" s="58"/>
      <c r="I449" s="58">
        <v>67580</v>
      </c>
      <c r="J449" s="58">
        <v>3379</v>
      </c>
      <c r="K449" s="56" t="s">
        <v>1759</v>
      </c>
      <c r="L449" s="56" t="s">
        <v>320</v>
      </c>
      <c r="M449" s="292">
        <v>275</v>
      </c>
    </row>
    <row r="450" spans="1:13">
      <c r="A450" s="292">
        <v>275</v>
      </c>
      <c r="B450" s="48" t="s">
        <v>1760</v>
      </c>
      <c r="C450" s="60">
        <v>45550</v>
      </c>
      <c r="D450" s="54" t="s">
        <v>168</v>
      </c>
      <c r="E450" s="435" t="str">
        <f>IFERROR(VLOOKUP(D450,Mychart!$A$125:$B$811,2,FALSE),"-")</f>
        <v>UTS Carrier</v>
      </c>
      <c r="F450" s="676" t="s">
        <v>833</v>
      </c>
      <c r="G450" s="58">
        <v>1</v>
      </c>
      <c r="H450" s="58">
        <v>67580</v>
      </c>
      <c r="I450" s="58">
        <v>67580</v>
      </c>
      <c r="J450" s="58">
        <v>3379</v>
      </c>
      <c r="K450" s="56" t="s">
        <v>1759</v>
      </c>
      <c r="L450" s="56" t="s">
        <v>320</v>
      </c>
      <c r="M450" s="292">
        <v>275</v>
      </c>
    </row>
    <row r="451" spans="1:13">
      <c r="A451" s="292">
        <v>275</v>
      </c>
      <c r="B451" s="48" t="s">
        <v>1760</v>
      </c>
      <c r="C451" s="60">
        <v>45550</v>
      </c>
      <c r="D451" s="54" t="s">
        <v>168</v>
      </c>
      <c r="E451" s="435" t="str">
        <f>IFERROR(VLOOKUP(D451,Mychart!$A$125:$B$811,2,FALSE),"-")</f>
        <v>UTS Carrier</v>
      </c>
      <c r="F451" s="308"/>
      <c r="G451" s="58"/>
      <c r="H451" s="58"/>
      <c r="I451" s="58">
        <v>67580</v>
      </c>
      <c r="J451" s="58">
        <v>3379</v>
      </c>
      <c r="K451" s="56" t="s">
        <v>1759</v>
      </c>
      <c r="L451" s="56" t="s">
        <v>320</v>
      </c>
      <c r="M451" s="292">
        <v>275</v>
      </c>
    </row>
    <row r="452" spans="1:13">
      <c r="A452" s="292">
        <v>283</v>
      </c>
      <c r="B452" s="48" t="s">
        <v>1827</v>
      </c>
      <c r="C452" s="60">
        <v>45558</v>
      </c>
      <c r="D452" s="54" t="s">
        <v>168</v>
      </c>
      <c r="E452" s="435" t="str">
        <f>IFERROR(VLOOKUP(D452,Mychart!$A$125:$B$811,2,FALSE),"-")</f>
        <v>UTS Carrier</v>
      </c>
      <c r="F452" s="676" t="s">
        <v>1828</v>
      </c>
      <c r="G452" s="58">
        <v>8</v>
      </c>
      <c r="H452" s="58"/>
      <c r="I452" s="58"/>
      <c r="J452" s="58"/>
      <c r="K452" s="56">
        <v>0</v>
      </c>
      <c r="L452" s="56" t="s">
        <v>1831</v>
      </c>
      <c r="M452" s="292">
        <v>283</v>
      </c>
    </row>
    <row r="453" spans="1:13">
      <c r="A453" s="292">
        <v>283</v>
      </c>
      <c r="B453" s="48" t="s">
        <v>1827</v>
      </c>
      <c r="C453" s="60">
        <v>45558</v>
      </c>
      <c r="D453" s="54" t="s">
        <v>168</v>
      </c>
      <c r="E453" s="435" t="str">
        <f>IFERROR(VLOOKUP(D453,Mychart!$A$125:$B$811,2,FALSE),"-")</f>
        <v>UTS Carrier</v>
      </c>
      <c r="F453" s="676" t="s">
        <v>1829</v>
      </c>
      <c r="G453" s="58">
        <v>8</v>
      </c>
      <c r="H453" s="58"/>
      <c r="I453" s="58"/>
      <c r="J453" s="58"/>
      <c r="K453" s="56">
        <v>0</v>
      </c>
      <c r="L453" s="56" t="s">
        <v>1831</v>
      </c>
      <c r="M453" s="292">
        <v>283</v>
      </c>
    </row>
    <row r="454" spans="1:13">
      <c r="A454" s="292">
        <v>283</v>
      </c>
      <c r="B454" s="48" t="s">
        <v>1827</v>
      </c>
      <c r="C454" s="60">
        <v>45558</v>
      </c>
      <c r="D454" s="54" t="s">
        <v>168</v>
      </c>
      <c r="E454" s="435" t="str">
        <f>IFERROR(VLOOKUP(D454,Mychart!$A$125:$B$811,2,FALSE),"-")</f>
        <v>UTS Carrier</v>
      </c>
      <c r="F454" s="676" t="s">
        <v>1830</v>
      </c>
      <c r="G454" s="58">
        <v>8</v>
      </c>
      <c r="H454" s="58">
        <v>6200</v>
      </c>
      <c r="I454" s="58">
        <v>49600</v>
      </c>
      <c r="J454" s="58">
        <v>2480</v>
      </c>
      <c r="K454" s="56">
        <v>0</v>
      </c>
      <c r="L454" s="56" t="s">
        <v>1831</v>
      </c>
      <c r="M454" s="292">
        <v>283</v>
      </c>
    </row>
    <row r="455" spans="1:13">
      <c r="A455" s="292">
        <v>278</v>
      </c>
      <c r="B455" s="48" t="s">
        <v>3010</v>
      </c>
      <c r="C455" s="60">
        <v>45579</v>
      </c>
      <c r="D455" s="54" t="s">
        <v>168</v>
      </c>
      <c r="E455" s="435" t="str">
        <f>IFERROR(VLOOKUP(D455,Mychart!$A$125:$B$811,2,FALSE),"-")</f>
        <v>UTS Carrier</v>
      </c>
      <c r="F455" s="294" t="s">
        <v>236</v>
      </c>
      <c r="G455" s="58">
        <v>1</v>
      </c>
      <c r="H455" s="58"/>
      <c r="I455" s="58">
        <v>118840</v>
      </c>
      <c r="J455" s="58">
        <v>5942</v>
      </c>
      <c r="K455" s="56" t="s">
        <v>198</v>
      </c>
      <c r="L455" s="56" t="s">
        <v>2845</v>
      </c>
      <c r="M455" s="292">
        <v>278</v>
      </c>
    </row>
    <row r="456" spans="1:13">
      <c r="A456" s="292">
        <v>278</v>
      </c>
      <c r="B456" s="48" t="s">
        <v>3010</v>
      </c>
      <c r="C456" s="60">
        <v>45579</v>
      </c>
      <c r="D456" s="54" t="s">
        <v>168</v>
      </c>
      <c r="E456" s="435" t="str">
        <f>IFERROR(VLOOKUP(D456,Mychart!$A$125:$B$811,2,FALSE),"-")</f>
        <v>UTS Carrier</v>
      </c>
      <c r="F456" s="294" t="s">
        <v>237</v>
      </c>
      <c r="G456" s="58">
        <v>1</v>
      </c>
      <c r="H456" s="58"/>
      <c r="I456" s="58">
        <v>118840</v>
      </c>
      <c r="J456" s="58">
        <v>5942</v>
      </c>
      <c r="K456" s="56" t="s">
        <v>198</v>
      </c>
      <c r="L456" s="56" t="s">
        <v>2845</v>
      </c>
      <c r="M456" s="292">
        <v>278</v>
      </c>
    </row>
    <row r="457" spans="1:13">
      <c r="A457" s="292">
        <v>278</v>
      </c>
      <c r="B457" s="48" t="s">
        <v>3010</v>
      </c>
      <c r="C457" s="60">
        <v>45579</v>
      </c>
      <c r="D457" s="54" t="s">
        <v>168</v>
      </c>
      <c r="E457" s="435" t="str">
        <f>IFERROR(VLOOKUP(D457,Mychart!$A$125:$B$811,2,FALSE),"-")</f>
        <v>UTS Carrier</v>
      </c>
      <c r="F457" s="294" t="s">
        <v>827</v>
      </c>
      <c r="G457" s="58">
        <v>7</v>
      </c>
      <c r="H457" s="58"/>
      <c r="I457" s="58">
        <v>118840</v>
      </c>
      <c r="J457" s="58">
        <v>5942</v>
      </c>
      <c r="K457" s="56" t="s">
        <v>198</v>
      </c>
      <c r="L457" s="56" t="s">
        <v>2845</v>
      </c>
      <c r="M457" s="292">
        <v>278</v>
      </c>
    </row>
    <row r="458" spans="1:13">
      <c r="A458" s="292">
        <v>278</v>
      </c>
      <c r="B458" s="48" t="s">
        <v>3010</v>
      </c>
      <c r="C458" s="60">
        <v>45579</v>
      </c>
      <c r="D458" s="54" t="s">
        <v>168</v>
      </c>
      <c r="E458" s="435" t="str">
        <f>IFERROR(VLOOKUP(D458,Mychart!$A$125:$B$811,2,FALSE),"-")</f>
        <v>UTS Carrier</v>
      </c>
      <c r="F458" s="294" t="s">
        <v>828</v>
      </c>
      <c r="G458" s="58">
        <v>7</v>
      </c>
      <c r="H458" s="58"/>
      <c r="I458" s="58">
        <v>118840</v>
      </c>
      <c r="J458" s="58">
        <v>5942</v>
      </c>
      <c r="K458" s="56" t="s">
        <v>198</v>
      </c>
      <c r="L458" s="56" t="s">
        <v>2845</v>
      </c>
      <c r="M458" s="292">
        <v>278</v>
      </c>
    </row>
    <row r="459" spans="1:13">
      <c r="A459" s="292">
        <v>278</v>
      </c>
      <c r="B459" s="48" t="s">
        <v>3010</v>
      </c>
      <c r="C459" s="60">
        <v>45579</v>
      </c>
      <c r="D459" s="54" t="s">
        <v>168</v>
      </c>
      <c r="E459" s="435" t="str">
        <f>IFERROR(VLOOKUP(D459,Mychart!$A$125:$B$811,2,FALSE),"-")</f>
        <v>UTS Carrier</v>
      </c>
      <c r="F459" s="294" t="s">
        <v>238</v>
      </c>
      <c r="G459" s="58">
        <v>4</v>
      </c>
      <c r="H459" s="58"/>
      <c r="I459" s="58">
        <v>118840</v>
      </c>
      <c r="J459" s="58">
        <v>5942</v>
      </c>
      <c r="K459" s="56" t="s">
        <v>198</v>
      </c>
      <c r="L459" s="56" t="s">
        <v>2845</v>
      </c>
      <c r="M459" s="292">
        <v>278</v>
      </c>
    </row>
    <row r="460" spans="1:13">
      <c r="A460" s="292">
        <v>278</v>
      </c>
      <c r="B460" s="48" t="s">
        <v>3010</v>
      </c>
      <c r="C460" s="60">
        <v>45579</v>
      </c>
      <c r="D460" s="54" t="s">
        <v>168</v>
      </c>
      <c r="E460" s="435" t="str">
        <f>IFERROR(VLOOKUP(D460,Mychart!$A$125:$B$811,2,FALSE),"-")</f>
        <v>UTS Carrier</v>
      </c>
      <c r="F460" s="294" t="s">
        <v>239</v>
      </c>
      <c r="G460" s="58">
        <v>4</v>
      </c>
      <c r="H460" s="58"/>
      <c r="I460" s="58">
        <v>118840</v>
      </c>
      <c r="J460" s="58">
        <v>5942</v>
      </c>
      <c r="K460" s="56" t="s">
        <v>198</v>
      </c>
      <c r="L460" s="56" t="s">
        <v>2845</v>
      </c>
      <c r="M460" s="292">
        <v>278</v>
      </c>
    </row>
    <row r="461" spans="1:13">
      <c r="A461" s="292">
        <v>278</v>
      </c>
      <c r="B461" s="48" t="s">
        <v>3010</v>
      </c>
      <c r="C461" s="60">
        <v>45579</v>
      </c>
      <c r="D461" s="54" t="s">
        <v>168</v>
      </c>
      <c r="E461" s="435" t="str">
        <f>IFERROR(VLOOKUP(D461,Mychart!$A$125:$B$811,2,FALSE),"-")</f>
        <v>UTS Carrier</v>
      </c>
      <c r="F461" s="294" t="s">
        <v>232</v>
      </c>
      <c r="G461" s="58">
        <v>4</v>
      </c>
      <c r="H461" s="58"/>
      <c r="I461" s="58">
        <v>118840</v>
      </c>
      <c r="J461" s="58">
        <v>5942</v>
      </c>
      <c r="K461" s="56" t="s">
        <v>198</v>
      </c>
      <c r="L461" s="56" t="s">
        <v>2845</v>
      </c>
      <c r="M461" s="292">
        <v>278</v>
      </c>
    </row>
    <row r="462" spans="1:13">
      <c r="A462" s="292">
        <v>278</v>
      </c>
      <c r="B462" s="48" t="s">
        <v>3010</v>
      </c>
      <c r="C462" s="60">
        <v>45579</v>
      </c>
      <c r="D462" s="54" t="s">
        <v>168</v>
      </c>
      <c r="E462" s="435" t="str">
        <f>IFERROR(VLOOKUP(D462,Mychart!$A$125:$B$811,2,FALSE),"-")</f>
        <v>UTS Carrier</v>
      </c>
      <c r="F462" s="294" t="s">
        <v>233</v>
      </c>
      <c r="G462" s="58">
        <v>4</v>
      </c>
      <c r="H462" s="58"/>
      <c r="I462" s="58">
        <v>118840</v>
      </c>
      <c r="J462" s="58">
        <v>5942</v>
      </c>
      <c r="K462" s="56" t="s">
        <v>198</v>
      </c>
      <c r="L462" s="56" t="s">
        <v>2845</v>
      </c>
      <c r="M462" s="292">
        <v>278</v>
      </c>
    </row>
    <row r="463" spans="1:13">
      <c r="A463" s="292">
        <v>278</v>
      </c>
      <c r="B463" s="48" t="s">
        <v>3010</v>
      </c>
      <c r="C463" s="60">
        <v>45579</v>
      </c>
      <c r="D463" s="54" t="s">
        <v>168</v>
      </c>
      <c r="E463" s="435" t="str">
        <f>IFERROR(VLOOKUP(D463,Mychart!$A$125:$B$811,2,FALSE),"-")</f>
        <v>UTS Carrier</v>
      </c>
      <c r="F463" s="294" t="s">
        <v>1169</v>
      </c>
      <c r="G463" s="58">
        <v>1</v>
      </c>
      <c r="H463" s="58"/>
      <c r="I463" s="58">
        <v>118840</v>
      </c>
      <c r="J463" s="58">
        <v>5942</v>
      </c>
      <c r="K463" s="56" t="s">
        <v>198</v>
      </c>
      <c r="L463" s="56" t="s">
        <v>2845</v>
      </c>
      <c r="M463" s="292">
        <v>278</v>
      </c>
    </row>
    <row r="464" spans="1:13">
      <c r="A464" s="292">
        <v>278</v>
      </c>
      <c r="B464" s="48" t="s">
        <v>3010</v>
      </c>
      <c r="C464" s="60">
        <v>45579</v>
      </c>
      <c r="D464" s="54" t="s">
        <v>168</v>
      </c>
      <c r="E464" s="435" t="str">
        <f>IFERROR(VLOOKUP(D464,Mychart!$A$125:$B$811,2,FALSE),"-")</f>
        <v>UTS Carrier</v>
      </c>
      <c r="F464" s="294" t="s">
        <v>1170</v>
      </c>
      <c r="G464" s="58">
        <v>1</v>
      </c>
      <c r="H464" s="58"/>
      <c r="I464" s="58">
        <v>118840</v>
      </c>
      <c r="J464" s="58">
        <v>5942</v>
      </c>
      <c r="K464" s="56" t="s">
        <v>198</v>
      </c>
      <c r="L464" s="56" t="s">
        <v>2845</v>
      </c>
      <c r="M464" s="292">
        <v>278</v>
      </c>
    </row>
    <row r="465" spans="1:13">
      <c r="A465" s="292">
        <v>278</v>
      </c>
      <c r="B465" s="48" t="s">
        <v>3010</v>
      </c>
      <c r="C465" s="60">
        <v>45579</v>
      </c>
      <c r="D465" s="54" t="s">
        <v>168</v>
      </c>
      <c r="E465" s="435" t="str">
        <f>IFERROR(VLOOKUP(D465,Mychart!$A$125:$B$811,2,FALSE),"-")</f>
        <v>UTS Carrier</v>
      </c>
      <c r="F465" s="294" t="s">
        <v>1099</v>
      </c>
      <c r="G465" s="58">
        <v>3</v>
      </c>
      <c r="H465" s="58"/>
      <c r="I465" s="58">
        <v>118840</v>
      </c>
      <c r="J465" s="58">
        <v>5942</v>
      </c>
      <c r="K465" s="56" t="s">
        <v>198</v>
      </c>
      <c r="L465" s="56" t="s">
        <v>2845</v>
      </c>
      <c r="M465" s="292">
        <v>278</v>
      </c>
    </row>
    <row r="466" spans="1:13">
      <c r="A466" s="292">
        <v>278</v>
      </c>
      <c r="B466" s="48" t="s">
        <v>3010</v>
      </c>
      <c r="C466" s="60">
        <v>45579</v>
      </c>
      <c r="D466" s="54" t="s">
        <v>168</v>
      </c>
      <c r="E466" s="435" t="str">
        <f>IFERROR(VLOOKUP(D466,Mychart!$A$125:$B$811,2,FALSE),"-")</f>
        <v>UTS Carrier</v>
      </c>
      <c r="F466" s="294" t="s">
        <v>1100</v>
      </c>
      <c r="G466" s="58">
        <v>3</v>
      </c>
      <c r="H466" s="58"/>
      <c r="I466" s="58">
        <v>118840</v>
      </c>
      <c r="J466" s="58">
        <v>5942</v>
      </c>
      <c r="K466" s="56" t="s">
        <v>198</v>
      </c>
      <c r="L466" s="56" t="s">
        <v>2845</v>
      </c>
      <c r="M466" s="292">
        <v>278</v>
      </c>
    </row>
    <row r="467" spans="1:13">
      <c r="A467" s="292">
        <v>278</v>
      </c>
      <c r="B467" s="48" t="s">
        <v>3010</v>
      </c>
      <c r="C467" s="60">
        <v>45579</v>
      </c>
      <c r="D467" s="54" t="s">
        <v>168</v>
      </c>
      <c r="E467" s="435" t="str">
        <f>IFERROR(VLOOKUP(D467,Mychart!$A$125:$B$811,2,FALSE),"-")</f>
        <v>UTS Carrier</v>
      </c>
      <c r="F467" s="294" t="s">
        <v>832</v>
      </c>
      <c r="G467" s="58">
        <v>2</v>
      </c>
      <c r="H467" s="58"/>
      <c r="I467" s="58">
        <v>118840</v>
      </c>
      <c r="J467" s="58">
        <v>5942</v>
      </c>
      <c r="K467" s="56" t="s">
        <v>198</v>
      </c>
      <c r="L467" s="56" t="s">
        <v>2845</v>
      </c>
      <c r="M467" s="292">
        <v>278</v>
      </c>
    </row>
    <row r="468" spans="1:13">
      <c r="A468" s="292">
        <v>278</v>
      </c>
      <c r="B468" s="48" t="s">
        <v>3010</v>
      </c>
      <c r="C468" s="60">
        <v>45579</v>
      </c>
      <c r="D468" s="54" t="s">
        <v>168</v>
      </c>
      <c r="E468" s="435" t="str">
        <f>IFERROR(VLOOKUP(D468,Mychart!$A$125:$B$811,2,FALSE),"-")</f>
        <v>UTS Carrier</v>
      </c>
      <c r="F468" s="294" t="s">
        <v>833</v>
      </c>
      <c r="G468" s="58">
        <v>2</v>
      </c>
      <c r="H468" s="58"/>
      <c r="I468" s="58">
        <v>118840</v>
      </c>
      <c r="J468" s="58">
        <v>5942</v>
      </c>
      <c r="K468" s="56" t="s">
        <v>198</v>
      </c>
      <c r="L468" s="56" t="s">
        <v>2845</v>
      </c>
      <c r="M468" s="292">
        <v>278</v>
      </c>
    </row>
    <row r="469" spans="1:13">
      <c r="A469" s="292">
        <v>278</v>
      </c>
      <c r="B469" s="48" t="s">
        <v>3010</v>
      </c>
      <c r="C469" s="60">
        <v>45579</v>
      </c>
      <c r="D469" s="54" t="s">
        <v>168</v>
      </c>
      <c r="E469" s="435" t="str">
        <f>IFERROR(VLOOKUP(D469,Mychart!$A$125:$B$811,2,FALSE),"-")</f>
        <v>UTS Carrier</v>
      </c>
      <c r="F469" s="294" t="s">
        <v>1300</v>
      </c>
      <c r="G469" s="58">
        <v>16</v>
      </c>
      <c r="H469" s="58"/>
      <c r="I469" s="58">
        <v>118840</v>
      </c>
      <c r="J469" s="58">
        <v>5942</v>
      </c>
      <c r="K469" s="56" t="s">
        <v>198</v>
      </c>
      <c r="L469" s="56" t="s">
        <v>2845</v>
      </c>
      <c r="M469" s="292">
        <v>278</v>
      </c>
    </row>
    <row r="470" spans="1:13">
      <c r="A470" s="292">
        <v>278</v>
      </c>
      <c r="B470" s="48" t="s">
        <v>3010</v>
      </c>
      <c r="C470" s="60">
        <v>45579</v>
      </c>
      <c r="D470" s="54" t="s">
        <v>168</v>
      </c>
      <c r="E470" s="435" t="str">
        <f>IFERROR(VLOOKUP(D470,Mychart!$A$125:$B$811,2,FALSE),"-")</f>
        <v>UTS Carrier</v>
      </c>
      <c r="F470" s="294" t="s">
        <v>3011</v>
      </c>
      <c r="G470" s="58">
        <v>1</v>
      </c>
      <c r="H470" s="58">
        <v>118840</v>
      </c>
      <c r="I470" s="58">
        <v>118840</v>
      </c>
      <c r="J470" s="58">
        <v>5942</v>
      </c>
      <c r="K470" s="56" t="s">
        <v>198</v>
      </c>
      <c r="L470" s="56" t="s">
        <v>2845</v>
      </c>
      <c r="M470" s="292">
        <v>278</v>
      </c>
    </row>
    <row r="471" spans="1:13">
      <c r="A471" s="292">
        <v>283</v>
      </c>
      <c r="B471" s="48" t="s">
        <v>3018</v>
      </c>
      <c r="C471" s="60">
        <v>45579</v>
      </c>
      <c r="D471" s="54" t="s">
        <v>168</v>
      </c>
      <c r="E471" s="435" t="str">
        <f>IFERROR(VLOOKUP(D471,Mychart!$A$125:$B$811,2,FALSE),"-")</f>
        <v>UTS Carrier</v>
      </c>
      <c r="F471" s="294" t="s">
        <v>236</v>
      </c>
      <c r="G471" s="58">
        <v>1</v>
      </c>
      <c r="H471" s="58"/>
      <c r="I471" s="58">
        <v>65929.960000000006</v>
      </c>
      <c r="J471" s="58">
        <v>3296.4980000000005</v>
      </c>
      <c r="K471" s="56" t="s">
        <v>3016</v>
      </c>
      <c r="L471" s="56" t="s">
        <v>3017</v>
      </c>
      <c r="M471" s="292">
        <v>283</v>
      </c>
    </row>
    <row r="472" spans="1:13">
      <c r="A472" s="292">
        <v>283</v>
      </c>
      <c r="B472" s="48" t="s">
        <v>3018</v>
      </c>
      <c r="C472" s="60">
        <v>45579</v>
      </c>
      <c r="D472" s="54" t="s">
        <v>168</v>
      </c>
      <c r="E472" s="435" t="str">
        <f>IFERROR(VLOOKUP(D472,Mychart!$A$125:$B$811,2,FALSE),"-")</f>
        <v>UTS Carrier</v>
      </c>
      <c r="F472" s="294" t="s">
        <v>237</v>
      </c>
      <c r="G472" s="58">
        <v>1</v>
      </c>
      <c r="H472" s="58"/>
      <c r="I472" s="58">
        <v>65929.960000000006</v>
      </c>
      <c r="J472" s="58">
        <v>3296.4980000000005</v>
      </c>
      <c r="K472" s="56" t="s">
        <v>3016</v>
      </c>
      <c r="L472" s="56" t="s">
        <v>3017</v>
      </c>
      <c r="M472" s="292">
        <v>283</v>
      </c>
    </row>
    <row r="473" spans="1:13">
      <c r="A473" s="292">
        <v>283</v>
      </c>
      <c r="B473" s="48" t="s">
        <v>3018</v>
      </c>
      <c r="C473" s="60">
        <v>45579</v>
      </c>
      <c r="D473" s="54" t="s">
        <v>168</v>
      </c>
      <c r="E473" s="435" t="str">
        <f>IFERROR(VLOOKUP(D473,Mychart!$A$125:$B$811,2,FALSE),"-")</f>
        <v>UTS Carrier</v>
      </c>
      <c r="F473" s="294" t="s">
        <v>827</v>
      </c>
      <c r="G473" s="58">
        <v>2</v>
      </c>
      <c r="H473" s="58"/>
      <c r="I473" s="58">
        <v>65929.960000000006</v>
      </c>
      <c r="J473" s="58">
        <v>3296.4980000000005</v>
      </c>
      <c r="K473" s="56" t="s">
        <v>3016</v>
      </c>
      <c r="L473" s="56" t="s">
        <v>3017</v>
      </c>
      <c r="M473" s="292">
        <v>283</v>
      </c>
    </row>
    <row r="474" spans="1:13">
      <c r="A474" s="292">
        <v>283</v>
      </c>
      <c r="B474" s="48" t="s">
        <v>3018</v>
      </c>
      <c r="C474" s="60">
        <v>45579</v>
      </c>
      <c r="D474" s="54" t="s">
        <v>168</v>
      </c>
      <c r="E474" s="435" t="str">
        <f>IFERROR(VLOOKUP(D474,Mychart!$A$125:$B$811,2,FALSE),"-")</f>
        <v>UTS Carrier</v>
      </c>
      <c r="F474" s="294" t="s">
        <v>828</v>
      </c>
      <c r="G474" s="58">
        <v>2</v>
      </c>
      <c r="H474" s="58"/>
      <c r="I474" s="58">
        <v>65929.960000000006</v>
      </c>
      <c r="J474" s="58">
        <v>3296.4980000000005</v>
      </c>
      <c r="K474" s="56" t="s">
        <v>3016</v>
      </c>
      <c r="L474" s="56" t="s">
        <v>3017</v>
      </c>
      <c r="M474" s="292">
        <v>283</v>
      </c>
    </row>
    <row r="475" spans="1:13">
      <c r="A475" s="292">
        <v>283</v>
      </c>
      <c r="B475" s="48" t="s">
        <v>3018</v>
      </c>
      <c r="C475" s="60">
        <v>45579</v>
      </c>
      <c r="D475" s="54" t="s">
        <v>168</v>
      </c>
      <c r="E475" s="435" t="str">
        <f>IFERROR(VLOOKUP(D475,Mychart!$A$125:$B$811,2,FALSE),"-")</f>
        <v>UTS Carrier</v>
      </c>
      <c r="F475" s="294" t="s">
        <v>234</v>
      </c>
      <c r="G475" s="58">
        <v>1</v>
      </c>
      <c r="H475" s="58"/>
      <c r="I475" s="58">
        <v>65929.960000000006</v>
      </c>
      <c r="J475" s="58">
        <v>3296.4980000000005</v>
      </c>
      <c r="K475" s="56" t="s">
        <v>3016</v>
      </c>
      <c r="L475" s="56" t="s">
        <v>3017</v>
      </c>
      <c r="M475" s="292">
        <v>283</v>
      </c>
    </row>
    <row r="476" spans="1:13">
      <c r="A476" s="292">
        <v>283</v>
      </c>
      <c r="B476" s="48" t="s">
        <v>3018</v>
      </c>
      <c r="C476" s="60">
        <v>45579</v>
      </c>
      <c r="D476" s="54" t="s">
        <v>168</v>
      </c>
      <c r="E476" s="435" t="str">
        <f>IFERROR(VLOOKUP(D476,Mychart!$A$125:$B$811,2,FALSE),"-")</f>
        <v>UTS Carrier</v>
      </c>
      <c r="F476" s="294" t="s">
        <v>235</v>
      </c>
      <c r="G476" s="58">
        <v>1</v>
      </c>
      <c r="H476" s="58"/>
      <c r="I476" s="58">
        <v>65929.960000000006</v>
      </c>
      <c r="J476" s="58">
        <v>3296.4980000000005</v>
      </c>
      <c r="K476" s="56" t="s">
        <v>3016</v>
      </c>
      <c r="L476" s="56" t="s">
        <v>3017</v>
      </c>
      <c r="M476" s="292">
        <v>283</v>
      </c>
    </row>
    <row r="477" spans="1:13">
      <c r="A477" s="292">
        <v>283</v>
      </c>
      <c r="B477" s="48" t="s">
        <v>3018</v>
      </c>
      <c r="C477" s="60">
        <v>45579</v>
      </c>
      <c r="D477" s="54" t="s">
        <v>168</v>
      </c>
      <c r="E477" s="435" t="str">
        <f>IFERROR(VLOOKUP(D477,Mychart!$A$125:$B$811,2,FALSE),"-")</f>
        <v>UTS Carrier</v>
      </c>
      <c r="F477" s="294" t="s">
        <v>232</v>
      </c>
      <c r="G477" s="58">
        <v>4</v>
      </c>
      <c r="H477" s="58"/>
      <c r="I477" s="58">
        <v>65929.960000000006</v>
      </c>
      <c r="J477" s="58">
        <v>3296.4980000000005</v>
      </c>
      <c r="K477" s="56" t="s">
        <v>3016</v>
      </c>
      <c r="L477" s="56" t="s">
        <v>3017</v>
      </c>
      <c r="M477" s="292">
        <v>283</v>
      </c>
    </row>
    <row r="478" spans="1:13">
      <c r="A478" s="292">
        <v>283</v>
      </c>
      <c r="B478" s="48" t="s">
        <v>3018</v>
      </c>
      <c r="C478" s="60">
        <v>45579</v>
      </c>
      <c r="D478" s="54" t="s">
        <v>168</v>
      </c>
      <c r="E478" s="435" t="str">
        <f>IFERROR(VLOOKUP(D478,Mychart!$A$125:$B$811,2,FALSE),"-")</f>
        <v>UTS Carrier</v>
      </c>
      <c r="F478" s="294" t="s">
        <v>233</v>
      </c>
      <c r="G478" s="58">
        <v>4</v>
      </c>
      <c r="H478" s="58"/>
      <c r="I478" s="58">
        <v>65929.960000000006</v>
      </c>
      <c r="J478" s="58">
        <v>3296.4980000000005</v>
      </c>
      <c r="K478" s="56" t="s">
        <v>3016</v>
      </c>
      <c r="L478" s="56" t="s">
        <v>3017</v>
      </c>
      <c r="M478" s="292">
        <v>283</v>
      </c>
    </row>
    <row r="479" spans="1:13">
      <c r="A479" s="292">
        <v>283</v>
      </c>
      <c r="B479" s="48" t="s">
        <v>3018</v>
      </c>
      <c r="C479" s="60">
        <v>45579</v>
      </c>
      <c r="D479" s="54" t="s">
        <v>168</v>
      </c>
      <c r="E479" s="435" t="str">
        <f>IFERROR(VLOOKUP(D479,Mychart!$A$125:$B$811,2,FALSE),"-")</f>
        <v>UTS Carrier</v>
      </c>
      <c r="F479" s="294" t="s">
        <v>1099</v>
      </c>
      <c r="G479" s="58">
        <v>2</v>
      </c>
      <c r="H479" s="58"/>
      <c r="I479" s="58">
        <v>65929.960000000006</v>
      </c>
      <c r="J479" s="58">
        <v>3296.4980000000005</v>
      </c>
      <c r="K479" s="56" t="s">
        <v>3016</v>
      </c>
      <c r="L479" s="56" t="s">
        <v>3017</v>
      </c>
      <c r="M479" s="292">
        <v>283</v>
      </c>
    </row>
    <row r="480" spans="1:13">
      <c r="A480" s="292">
        <v>283</v>
      </c>
      <c r="B480" s="48" t="s">
        <v>3018</v>
      </c>
      <c r="C480" s="60">
        <v>45579</v>
      </c>
      <c r="D480" s="54" t="s">
        <v>168</v>
      </c>
      <c r="E480" s="435" t="str">
        <f>IFERROR(VLOOKUP(D480,Mychart!$A$125:$B$811,2,FALSE),"-")</f>
        <v>UTS Carrier</v>
      </c>
      <c r="F480" s="294" t="s">
        <v>1100</v>
      </c>
      <c r="G480" s="58">
        <v>2</v>
      </c>
      <c r="H480" s="58"/>
      <c r="I480" s="58">
        <v>65929.960000000006</v>
      </c>
      <c r="J480" s="58">
        <v>3296.4980000000005</v>
      </c>
      <c r="K480" s="56" t="s">
        <v>3016</v>
      </c>
      <c r="L480" s="56" t="s">
        <v>3017</v>
      </c>
      <c r="M480" s="292">
        <v>283</v>
      </c>
    </row>
    <row r="481" spans="1:13">
      <c r="A481" s="292">
        <v>283</v>
      </c>
      <c r="B481" s="48" t="s">
        <v>3018</v>
      </c>
      <c r="C481" s="60">
        <v>45579</v>
      </c>
      <c r="D481" s="54" t="s">
        <v>168</v>
      </c>
      <c r="E481" s="435" t="str">
        <f>IFERROR(VLOOKUP(D481,Mychart!$A$125:$B$811,2,FALSE),"-")</f>
        <v>UTS Carrier</v>
      </c>
      <c r="F481" s="294" t="s">
        <v>832</v>
      </c>
      <c r="G481" s="58">
        <v>1</v>
      </c>
      <c r="H481" s="58"/>
      <c r="I481" s="58">
        <v>65929.960000000006</v>
      </c>
      <c r="J481" s="58">
        <v>3296.4980000000005</v>
      </c>
      <c r="K481" s="56" t="s">
        <v>3016</v>
      </c>
      <c r="L481" s="56" t="s">
        <v>3017</v>
      </c>
      <c r="M481" s="292">
        <v>283</v>
      </c>
    </row>
    <row r="482" spans="1:13">
      <c r="A482" s="292">
        <v>283</v>
      </c>
      <c r="B482" s="48" t="s">
        <v>3018</v>
      </c>
      <c r="C482" s="60">
        <v>45579</v>
      </c>
      <c r="D482" s="54" t="s">
        <v>168</v>
      </c>
      <c r="E482" s="435" t="str">
        <f>IFERROR(VLOOKUP(D482,Mychart!$A$125:$B$811,2,FALSE),"-")</f>
        <v>UTS Carrier</v>
      </c>
      <c r="F482" s="294" t="s">
        <v>833</v>
      </c>
      <c r="G482" s="58">
        <v>1</v>
      </c>
      <c r="H482" s="58"/>
      <c r="I482" s="58">
        <v>65929.960000000006</v>
      </c>
      <c r="J482" s="58">
        <v>3296.4980000000005</v>
      </c>
      <c r="K482" s="56" t="s">
        <v>3016</v>
      </c>
      <c r="L482" s="56" t="s">
        <v>3017</v>
      </c>
      <c r="M482" s="292">
        <v>283</v>
      </c>
    </row>
    <row r="483" spans="1:13">
      <c r="A483" s="292">
        <v>283</v>
      </c>
      <c r="B483" s="48" t="s">
        <v>3018</v>
      </c>
      <c r="C483" s="60">
        <v>45579</v>
      </c>
      <c r="D483" s="54" t="s">
        <v>168</v>
      </c>
      <c r="E483" s="435" t="str">
        <f>IFERROR(VLOOKUP(D483,Mychart!$A$125:$B$811,2,FALSE),"-")</f>
        <v>UTS Carrier</v>
      </c>
      <c r="F483" s="294" t="s">
        <v>3012</v>
      </c>
      <c r="G483" s="58">
        <v>1</v>
      </c>
      <c r="H483" s="58"/>
      <c r="I483" s="58">
        <v>65929.960000000006</v>
      </c>
      <c r="J483" s="58">
        <v>3296.4980000000005</v>
      </c>
      <c r="K483" s="56" t="s">
        <v>3016</v>
      </c>
      <c r="L483" s="56" t="s">
        <v>3017</v>
      </c>
      <c r="M483" s="292">
        <v>283</v>
      </c>
    </row>
    <row r="484" spans="1:13">
      <c r="A484" s="292">
        <v>283</v>
      </c>
      <c r="B484" s="48" t="s">
        <v>3018</v>
      </c>
      <c r="C484" s="60">
        <v>45579</v>
      </c>
      <c r="D484" s="54" t="s">
        <v>168</v>
      </c>
      <c r="E484" s="435" t="str">
        <f>IFERROR(VLOOKUP(D484,Mychart!$A$125:$B$811,2,FALSE),"-")</f>
        <v>UTS Carrier</v>
      </c>
      <c r="F484" s="294" t="s">
        <v>3013</v>
      </c>
      <c r="G484" s="58">
        <v>1</v>
      </c>
      <c r="H484" s="58"/>
      <c r="I484" s="58">
        <v>65929.960000000006</v>
      </c>
      <c r="J484" s="58">
        <v>3296.4980000000005</v>
      </c>
      <c r="K484" s="56" t="s">
        <v>3016</v>
      </c>
      <c r="L484" s="56" t="s">
        <v>3017</v>
      </c>
      <c r="M484" s="292">
        <v>283</v>
      </c>
    </row>
    <row r="485" spans="1:13">
      <c r="A485" s="292">
        <v>283</v>
      </c>
      <c r="B485" s="48" t="s">
        <v>3018</v>
      </c>
      <c r="C485" s="60">
        <v>45579</v>
      </c>
      <c r="D485" s="54" t="s">
        <v>168</v>
      </c>
      <c r="E485" s="435" t="str">
        <f>IFERROR(VLOOKUP(D485,Mychart!$A$125:$B$811,2,FALSE),"-")</f>
        <v>UTS Carrier</v>
      </c>
      <c r="F485" s="294" t="s">
        <v>3015</v>
      </c>
      <c r="G485" s="58">
        <v>1</v>
      </c>
      <c r="H485" s="58">
        <v>65929.960000000006</v>
      </c>
      <c r="I485" s="58">
        <v>65929.960000000006</v>
      </c>
      <c r="J485" s="58">
        <v>3296.4980000000005</v>
      </c>
      <c r="K485" s="56" t="s">
        <v>3016</v>
      </c>
      <c r="L485" s="56" t="s">
        <v>3017</v>
      </c>
      <c r="M485" s="292">
        <v>283</v>
      </c>
    </row>
    <row r="486" spans="1:13">
      <c r="A486" s="292">
        <v>287</v>
      </c>
      <c r="B486" s="48" t="s">
        <v>5298</v>
      </c>
      <c r="C486" s="60">
        <v>45598</v>
      </c>
      <c r="D486" s="54" t="s">
        <v>168</v>
      </c>
      <c r="E486" s="435" t="str">
        <f>IFERROR(VLOOKUP(D486,Mychart!$A$125:$B$811,2,FALSE),"-")</f>
        <v>UTS Carrier</v>
      </c>
      <c r="F486" s="295" t="s">
        <v>5299</v>
      </c>
      <c r="G486" s="58">
        <v>3</v>
      </c>
      <c r="H486" s="58"/>
      <c r="I486" s="58">
        <v>160000</v>
      </c>
      <c r="J486" s="58">
        <v>8000</v>
      </c>
      <c r="K486" s="56">
        <v>3110141200</v>
      </c>
      <c r="L486" s="56" t="s">
        <v>5005</v>
      </c>
      <c r="M486" s="292">
        <v>287</v>
      </c>
    </row>
    <row r="487" spans="1:13">
      <c r="A487" s="292">
        <v>287</v>
      </c>
      <c r="B487" s="48" t="s">
        <v>5298</v>
      </c>
      <c r="C487" s="60">
        <v>45598</v>
      </c>
      <c r="D487" s="54" t="s">
        <v>168</v>
      </c>
      <c r="E487" s="435" t="str">
        <f>IFERROR(VLOOKUP(D487,Mychart!$A$125:$B$811,2,FALSE),"-")</f>
        <v>UTS Carrier</v>
      </c>
      <c r="F487" s="295" t="s">
        <v>5300</v>
      </c>
      <c r="G487" s="58">
        <v>1</v>
      </c>
      <c r="H487" s="58"/>
      <c r="I487" s="58">
        <v>160000</v>
      </c>
      <c r="J487" s="58">
        <v>8000</v>
      </c>
      <c r="K487" s="56">
        <v>3110141200</v>
      </c>
      <c r="L487" s="56" t="s">
        <v>5005</v>
      </c>
      <c r="M487" s="292">
        <v>287</v>
      </c>
    </row>
    <row r="488" spans="1:13">
      <c r="A488" s="292">
        <v>287</v>
      </c>
      <c r="B488" s="48" t="s">
        <v>5298</v>
      </c>
      <c r="C488" s="60">
        <v>45598</v>
      </c>
      <c r="D488" s="54" t="s">
        <v>168</v>
      </c>
      <c r="E488" s="435" t="str">
        <f>IFERROR(VLOOKUP(D488,Mychart!$A$125:$B$811,2,FALSE),"-")</f>
        <v>UTS Carrier</v>
      </c>
      <c r="F488" s="295" t="s">
        <v>5301</v>
      </c>
      <c r="G488" s="58">
        <v>2</v>
      </c>
      <c r="H488" s="58"/>
      <c r="I488" s="58">
        <v>160000</v>
      </c>
      <c r="J488" s="58">
        <v>8000</v>
      </c>
      <c r="K488" s="56">
        <v>3110141200</v>
      </c>
      <c r="L488" s="56" t="s">
        <v>5005</v>
      </c>
      <c r="M488" s="292">
        <v>287</v>
      </c>
    </row>
    <row r="489" spans="1:13">
      <c r="A489" s="292">
        <v>287</v>
      </c>
      <c r="B489" s="48" t="s">
        <v>5298</v>
      </c>
      <c r="C489" s="60">
        <v>45598</v>
      </c>
      <c r="D489" s="54" t="s">
        <v>168</v>
      </c>
      <c r="E489" s="435" t="str">
        <f>IFERROR(VLOOKUP(D489,Mychart!$A$125:$B$811,2,FALSE),"-")</f>
        <v>UTS Carrier</v>
      </c>
      <c r="F489" s="295" t="s">
        <v>5302</v>
      </c>
      <c r="G489" s="58">
        <v>6</v>
      </c>
      <c r="H489" s="58"/>
      <c r="I489" s="58">
        <v>160000</v>
      </c>
      <c r="J489" s="58">
        <v>8000</v>
      </c>
      <c r="K489" s="56">
        <v>3110141200</v>
      </c>
      <c r="L489" s="56" t="s">
        <v>5005</v>
      </c>
      <c r="M489" s="292">
        <v>287</v>
      </c>
    </row>
    <row r="490" spans="1:13">
      <c r="A490" s="292">
        <v>287</v>
      </c>
      <c r="B490" s="48" t="s">
        <v>5298</v>
      </c>
      <c r="C490" s="60">
        <v>45598</v>
      </c>
      <c r="D490" s="54" t="s">
        <v>168</v>
      </c>
      <c r="E490" s="435" t="str">
        <f>IFERROR(VLOOKUP(D490,Mychart!$A$125:$B$811,2,FALSE),"-")</f>
        <v>UTS Carrier</v>
      </c>
      <c r="F490" s="295" t="s">
        <v>5303</v>
      </c>
      <c r="G490" s="58">
        <v>3</v>
      </c>
      <c r="H490" s="58"/>
      <c r="I490" s="58">
        <v>160000</v>
      </c>
      <c r="J490" s="58">
        <v>8000</v>
      </c>
      <c r="K490" s="56">
        <v>3110141200</v>
      </c>
      <c r="L490" s="56" t="s">
        <v>5005</v>
      </c>
      <c r="M490" s="292">
        <v>287</v>
      </c>
    </row>
    <row r="491" spans="1:13">
      <c r="A491" s="292">
        <v>287</v>
      </c>
      <c r="B491" s="48" t="s">
        <v>5298</v>
      </c>
      <c r="C491" s="60">
        <v>45598</v>
      </c>
      <c r="D491" s="54" t="s">
        <v>168</v>
      </c>
      <c r="E491" s="435" t="str">
        <f>IFERROR(VLOOKUP(D491,Mychart!$A$125:$B$811,2,FALSE),"-")</f>
        <v>UTS Carrier</v>
      </c>
      <c r="F491" s="295" t="s">
        <v>5304</v>
      </c>
      <c r="G491" s="58">
        <v>4</v>
      </c>
      <c r="H491" s="58"/>
      <c r="I491" s="58">
        <v>160000</v>
      </c>
      <c r="J491" s="58">
        <v>8000</v>
      </c>
      <c r="K491" s="56">
        <v>3110141200</v>
      </c>
      <c r="L491" s="56" t="s">
        <v>5005</v>
      </c>
      <c r="M491" s="292">
        <v>287</v>
      </c>
    </row>
    <row r="492" spans="1:13">
      <c r="A492" s="292">
        <v>287</v>
      </c>
      <c r="B492" s="48" t="s">
        <v>5298</v>
      </c>
      <c r="C492" s="60">
        <v>45598</v>
      </c>
      <c r="D492" s="54" t="s">
        <v>168</v>
      </c>
      <c r="E492" s="435" t="str">
        <f>IFERROR(VLOOKUP(D492,Mychart!$A$125:$B$811,2,FALSE),"-")</f>
        <v>UTS Carrier</v>
      </c>
      <c r="F492" s="295" t="s">
        <v>5305</v>
      </c>
      <c r="G492" s="58">
        <v>4</v>
      </c>
      <c r="H492" s="58"/>
      <c r="I492" s="58">
        <v>160000</v>
      </c>
      <c r="J492" s="58">
        <v>8000</v>
      </c>
      <c r="K492" s="56">
        <v>3110141200</v>
      </c>
      <c r="L492" s="56" t="s">
        <v>5005</v>
      </c>
      <c r="M492" s="292">
        <v>287</v>
      </c>
    </row>
    <row r="493" spans="1:13">
      <c r="A493" s="292">
        <v>287</v>
      </c>
      <c r="B493" s="48" t="s">
        <v>5298</v>
      </c>
      <c r="C493" s="60">
        <v>45598</v>
      </c>
      <c r="D493" s="54" t="s">
        <v>168</v>
      </c>
      <c r="E493" s="435" t="str">
        <f>IFERROR(VLOOKUP(D493,Mychart!$A$125:$B$811,2,FALSE),"-")</f>
        <v>UTS Carrier</v>
      </c>
      <c r="F493" s="295" t="s">
        <v>5306</v>
      </c>
      <c r="G493" s="58">
        <v>1</v>
      </c>
      <c r="H493" s="58"/>
      <c r="I493" s="58">
        <v>160000</v>
      </c>
      <c r="J493" s="58">
        <v>8000</v>
      </c>
      <c r="K493" s="56">
        <v>3110141200</v>
      </c>
      <c r="L493" s="56" t="s">
        <v>5005</v>
      </c>
      <c r="M493" s="292">
        <v>287</v>
      </c>
    </row>
    <row r="494" spans="1:13">
      <c r="A494" s="292">
        <v>287</v>
      </c>
      <c r="B494" s="48" t="s">
        <v>5298</v>
      </c>
      <c r="C494" s="60">
        <v>45598</v>
      </c>
      <c r="D494" s="54" t="s">
        <v>168</v>
      </c>
      <c r="E494" s="435" t="str">
        <f>IFERROR(VLOOKUP(D494,Mychart!$A$125:$B$811,2,FALSE),"-")</f>
        <v>UTS Carrier</v>
      </c>
      <c r="F494" s="295" t="s">
        <v>5307</v>
      </c>
      <c r="G494" s="58">
        <v>3</v>
      </c>
      <c r="H494" s="58"/>
      <c r="I494" s="58">
        <v>160000</v>
      </c>
      <c r="J494" s="58">
        <v>8000</v>
      </c>
      <c r="K494" s="56">
        <v>3110141200</v>
      </c>
      <c r="L494" s="56" t="s">
        <v>5005</v>
      </c>
      <c r="M494" s="292">
        <v>287</v>
      </c>
    </row>
    <row r="495" spans="1:13">
      <c r="A495" s="292">
        <v>287</v>
      </c>
      <c r="B495" s="48" t="s">
        <v>5298</v>
      </c>
      <c r="C495" s="60">
        <v>45598</v>
      </c>
      <c r="D495" s="54" t="s">
        <v>168</v>
      </c>
      <c r="E495" s="435" t="str">
        <f>IFERROR(VLOOKUP(D495,Mychart!$A$125:$B$811,2,FALSE),"-")</f>
        <v>UTS Carrier</v>
      </c>
      <c r="F495" s="295" t="s">
        <v>5308</v>
      </c>
      <c r="G495" s="58">
        <v>7</v>
      </c>
      <c r="H495" s="58"/>
      <c r="I495" s="58">
        <v>160000</v>
      </c>
      <c r="J495" s="58">
        <v>8000</v>
      </c>
      <c r="K495" s="56">
        <v>3110141200</v>
      </c>
      <c r="L495" s="56" t="s">
        <v>5005</v>
      </c>
      <c r="M495" s="292">
        <v>287</v>
      </c>
    </row>
    <row r="496" spans="1:13">
      <c r="A496" s="292">
        <v>287</v>
      </c>
      <c r="B496" s="48" t="s">
        <v>5298</v>
      </c>
      <c r="C496" s="60">
        <v>45598</v>
      </c>
      <c r="D496" s="54" t="s">
        <v>168</v>
      </c>
      <c r="E496" s="435" t="str">
        <f>IFERROR(VLOOKUP(D496,Mychart!$A$125:$B$811,2,FALSE),"-")</f>
        <v>UTS Carrier</v>
      </c>
      <c r="F496" s="295" t="s">
        <v>5309</v>
      </c>
      <c r="G496" s="58">
        <v>2</v>
      </c>
      <c r="H496" s="58"/>
      <c r="I496" s="58">
        <v>160000</v>
      </c>
      <c r="J496" s="58">
        <v>8000</v>
      </c>
      <c r="K496" s="56">
        <v>3110141200</v>
      </c>
      <c r="L496" s="56" t="s">
        <v>5005</v>
      </c>
      <c r="M496" s="292">
        <v>287</v>
      </c>
    </row>
    <row r="497" spans="1:13">
      <c r="A497" s="292">
        <v>287</v>
      </c>
      <c r="B497" s="48" t="s">
        <v>5298</v>
      </c>
      <c r="C497" s="60">
        <v>45598</v>
      </c>
      <c r="D497" s="54" t="s">
        <v>168</v>
      </c>
      <c r="E497" s="435" t="str">
        <f>IFERROR(VLOOKUP(D497,Mychart!$A$125:$B$811,2,FALSE),"-")</f>
        <v>UTS Carrier</v>
      </c>
      <c r="F497" s="295" t="s">
        <v>5310</v>
      </c>
      <c r="G497" s="58">
        <v>2</v>
      </c>
      <c r="H497" s="58"/>
      <c r="I497" s="58">
        <v>160000</v>
      </c>
      <c r="J497" s="58">
        <v>8000</v>
      </c>
      <c r="K497" s="56">
        <v>3110141200</v>
      </c>
      <c r="L497" s="56" t="s">
        <v>5005</v>
      </c>
      <c r="M497" s="292">
        <v>287</v>
      </c>
    </row>
    <row r="498" spans="1:13">
      <c r="A498" s="292">
        <v>287</v>
      </c>
      <c r="B498" s="48" t="s">
        <v>5298</v>
      </c>
      <c r="C498" s="60">
        <v>45598</v>
      </c>
      <c r="D498" s="54" t="s">
        <v>168</v>
      </c>
      <c r="E498" s="435" t="str">
        <f>IFERROR(VLOOKUP(D498,Mychart!$A$125:$B$811,2,FALSE),"-")</f>
        <v>UTS Carrier</v>
      </c>
      <c r="F498" s="295" t="s">
        <v>5311</v>
      </c>
      <c r="G498" s="58">
        <v>4</v>
      </c>
      <c r="H498" s="58"/>
      <c r="I498" s="58">
        <v>160000</v>
      </c>
      <c r="J498" s="58">
        <v>8000</v>
      </c>
      <c r="K498" s="56">
        <v>3110141200</v>
      </c>
      <c r="L498" s="56" t="s">
        <v>5005</v>
      </c>
      <c r="M498" s="292">
        <v>287</v>
      </c>
    </row>
    <row r="499" spans="1:13">
      <c r="A499" s="292">
        <v>287</v>
      </c>
      <c r="B499" s="48" t="s">
        <v>5298</v>
      </c>
      <c r="C499" s="60">
        <v>45598</v>
      </c>
      <c r="D499" s="54" t="s">
        <v>168</v>
      </c>
      <c r="E499" s="435" t="str">
        <f>IFERROR(VLOOKUP(D499,Mychart!$A$125:$B$811,2,FALSE),"-")</f>
        <v>UTS Carrier</v>
      </c>
      <c r="F499" s="295" t="s">
        <v>5312</v>
      </c>
      <c r="G499" s="58">
        <v>6</v>
      </c>
      <c r="H499" s="58"/>
      <c r="I499" s="58">
        <v>160000</v>
      </c>
      <c r="J499" s="58">
        <v>8000</v>
      </c>
      <c r="K499" s="56">
        <v>3110141200</v>
      </c>
      <c r="L499" s="56" t="s">
        <v>5005</v>
      </c>
      <c r="M499" s="292">
        <v>287</v>
      </c>
    </row>
    <row r="500" spans="1:13">
      <c r="A500" s="292">
        <v>287</v>
      </c>
      <c r="B500" s="48" t="s">
        <v>5298</v>
      </c>
      <c r="C500" s="60">
        <v>45598</v>
      </c>
      <c r="D500" s="54" t="s">
        <v>168</v>
      </c>
      <c r="E500" s="435" t="str">
        <f>IFERROR(VLOOKUP(D500,Mychart!$A$125:$B$811,2,FALSE),"-")</f>
        <v>UTS Carrier</v>
      </c>
      <c r="F500" s="295" t="s">
        <v>5313</v>
      </c>
      <c r="G500" s="58">
        <v>14</v>
      </c>
      <c r="H500" s="58"/>
      <c r="I500" s="58">
        <v>160000</v>
      </c>
      <c r="J500" s="58">
        <v>8000</v>
      </c>
      <c r="K500" s="56">
        <v>3110141200</v>
      </c>
      <c r="L500" s="56" t="s">
        <v>5005</v>
      </c>
      <c r="M500" s="292">
        <v>287</v>
      </c>
    </row>
    <row r="501" spans="1:13">
      <c r="A501" s="292">
        <v>287</v>
      </c>
      <c r="B501" s="48" t="s">
        <v>5298</v>
      </c>
      <c r="C501" s="60">
        <v>45598</v>
      </c>
      <c r="D501" s="54" t="s">
        <v>168</v>
      </c>
      <c r="E501" s="435" t="str">
        <f>IFERROR(VLOOKUP(D501,Mychart!$A$125:$B$811,2,FALSE),"-")</f>
        <v>UTS Carrier</v>
      </c>
      <c r="F501" s="295" t="s">
        <v>5314</v>
      </c>
      <c r="G501" s="58">
        <v>3</v>
      </c>
      <c r="H501" s="58"/>
      <c r="I501" s="58">
        <v>160000</v>
      </c>
      <c r="J501" s="58">
        <v>8000</v>
      </c>
      <c r="K501" s="56">
        <v>3110141200</v>
      </c>
      <c r="L501" s="56" t="s">
        <v>5005</v>
      </c>
      <c r="M501" s="292">
        <v>287</v>
      </c>
    </row>
    <row r="502" spans="1:13">
      <c r="A502" s="292">
        <v>287</v>
      </c>
      <c r="B502" s="48" t="s">
        <v>5298</v>
      </c>
      <c r="C502" s="60">
        <v>45598</v>
      </c>
      <c r="D502" s="54" t="s">
        <v>168</v>
      </c>
      <c r="E502" s="435" t="str">
        <f>IFERROR(VLOOKUP(D502,Mychart!$A$125:$B$811,2,FALSE),"-")</f>
        <v>UTS Carrier</v>
      </c>
      <c r="F502" s="295" t="s">
        <v>5315</v>
      </c>
      <c r="G502" s="58">
        <v>3</v>
      </c>
      <c r="H502" s="58"/>
      <c r="I502" s="58">
        <v>160000</v>
      </c>
      <c r="J502" s="58">
        <v>8000</v>
      </c>
      <c r="K502" s="56">
        <v>3110141200</v>
      </c>
      <c r="L502" s="56" t="s">
        <v>5005</v>
      </c>
      <c r="M502" s="292">
        <v>287</v>
      </c>
    </row>
    <row r="503" spans="1:13">
      <c r="A503" s="292">
        <v>287</v>
      </c>
      <c r="B503" s="48" t="s">
        <v>5298</v>
      </c>
      <c r="C503" s="60">
        <v>45598</v>
      </c>
      <c r="D503" s="54" t="s">
        <v>168</v>
      </c>
      <c r="E503" s="435" t="str">
        <f>IFERROR(VLOOKUP(D503,Mychart!$A$125:$B$811,2,FALSE),"-")</f>
        <v>UTS Carrier</v>
      </c>
      <c r="F503" s="295" t="s">
        <v>5257</v>
      </c>
      <c r="G503" s="58">
        <v>1</v>
      </c>
      <c r="H503" s="58">
        <v>160000</v>
      </c>
      <c r="I503" s="58">
        <v>160000</v>
      </c>
      <c r="J503" s="58">
        <v>8000</v>
      </c>
      <c r="K503" s="56" t="s">
        <v>5347</v>
      </c>
      <c r="L503" s="56" t="s">
        <v>5005</v>
      </c>
      <c r="M503" s="292">
        <v>287</v>
      </c>
    </row>
    <row r="504" spans="1:13">
      <c r="A504" s="292">
        <v>277</v>
      </c>
      <c r="B504" s="48" t="s">
        <v>5316</v>
      </c>
      <c r="C504" s="60">
        <v>45598</v>
      </c>
      <c r="D504" s="54" t="s">
        <v>168</v>
      </c>
      <c r="E504" s="435" t="str">
        <f>IFERROR(VLOOKUP(D504,Mychart!$A$125:$B$811,2,FALSE),"-")</f>
        <v>UTS Carrier</v>
      </c>
      <c r="F504" s="295" t="s">
        <v>236</v>
      </c>
      <c r="G504" s="58">
        <v>6</v>
      </c>
      <c r="H504" s="58"/>
      <c r="I504" s="58">
        <v>71080</v>
      </c>
      <c r="J504" s="58">
        <v>3554</v>
      </c>
      <c r="K504" s="56" t="s">
        <v>4809</v>
      </c>
      <c r="L504" s="56" t="s">
        <v>268</v>
      </c>
      <c r="M504" s="292">
        <v>277</v>
      </c>
    </row>
    <row r="505" spans="1:13">
      <c r="A505" s="292">
        <v>277</v>
      </c>
      <c r="B505" s="48" t="s">
        <v>5316</v>
      </c>
      <c r="C505" s="60">
        <v>45598</v>
      </c>
      <c r="D505" s="54" t="s">
        <v>168</v>
      </c>
      <c r="E505" s="435" t="str">
        <f>IFERROR(VLOOKUP(D505,Mychart!$A$125:$B$811,2,FALSE),"-")</f>
        <v>UTS Carrier</v>
      </c>
      <c r="F505" s="295" t="s">
        <v>237</v>
      </c>
      <c r="G505" s="58">
        <v>6</v>
      </c>
      <c r="H505" s="58"/>
      <c r="I505" s="58">
        <v>71080</v>
      </c>
      <c r="J505" s="58">
        <v>3554</v>
      </c>
      <c r="K505" s="56" t="s">
        <v>4809</v>
      </c>
      <c r="L505" s="56" t="s">
        <v>268</v>
      </c>
      <c r="M505" s="292">
        <v>277</v>
      </c>
    </row>
    <row r="506" spans="1:13">
      <c r="A506" s="292">
        <v>277</v>
      </c>
      <c r="B506" s="48" t="s">
        <v>5316</v>
      </c>
      <c r="C506" s="60">
        <v>45598</v>
      </c>
      <c r="D506" s="54" t="s">
        <v>168</v>
      </c>
      <c r="E506" s="435" t="str">
        <f>IFERROR(VLOOKUP(D506,Mychart!$A$125:$B$811,2,FALSE),"-")</f>
        <v>UTS Carrier</v>
      </c>
      <c r="F506" s="295" t="s">
        <v>827</v>
      </c>
      <c r="G506" s="58">
        <v>2</v>
      </c>
      <c r="H506" s="58"/>
      <c r="I506" s="58">
        <v>71080</v>
      </c>
      <c r="J506" s="58">
        <v>3554</v>
      </c>
      <c r="K506" s="56" t="s">
        <v>4809</v>
      </c>
      <c r="L506" s="56" t="s">
        <v>268</v>
      </c>
      <c r="M506" s="292">
        <v>277</v>
      </c>
    </row>
    <row r="507" spans="1:13">
      <c r="A507" s="292">
        <v>277</v>
      </c>
      <c r="B507" s="48" t="s">
        <v>5316</v>
      </c>
      <c r="C507" s="60">
        <v>45598</v>
      </c>
      <c r="D507" s="54" t="s">
        <v>168</v>
      </c>
      <c r="E507" s="435" t="str">
        <f>IFERROR(VLOOKUP(D507,Mychart!$A$125:$B$811,2,FALSE),"-")</f>
        <v>UTS Carrier</v>
      </c>
      <c r="F507" s="295" t="s">
        <v>828</v>
      </c>
      <c r="G507" s="58">
        <v>2</v>
      </c>
      <c r="H507" s="58"/>
      <c r="I507" s="58">
        <v>71080</v>
      </c>
      <c r="J507" s="58">
        <v>3554</v>
      </c>
      <c r="K507" s="56" t="s">
        <v>4809</v>
      </c>
      <c r="L507" s="56" t="s">
        <v>268</v>
      </c>
      <c r="M507" s="292">
        <v>277</v>
      </c>
    </row>
    <row r="508" spans="1:13">
      <c r="A508" s="292">
        <v>277</v>
      </c>
      <c r="B508" s="48" t="s">
        <v>5316</v>
      </c>
      <c r="C508" s="60">
        <v>45598</v>
      </c>
      <c r="D508" s="54" t="s">
        <v>168</v>
      </c>
      <c r="E508" s="435" t="str">
        <f>IFERROR(VLOOKUP(D508,Mychart!$A$125:$B$811,2,FALSE),"-")</f>
        <v>UTS Carrier</v>
      </c>
      <c r="F508" s="295" t="s">
        <v>238</v>
      </c>
      <c r="G508" s="58">
        <v>4</v>
      </c>
      <c r="H508" s="58"/>
      <c r="I508" s="58">
        <v>71080</v>
      </c>
      <c r="J508" s="58">
        <v>3554</v>
      </c>
      <c r="K508" s="56" t="s">
        <v>4809</v>
      </c>
      <c r="L508" s="56" t="s">
        <v>268</v>
      </c>
      <c r="M508" s="292">
        <v>277</v>
      </c>
    </row>
    <row r="509" spans="1:13">
      <c r="A509" s="292">
        <v>277</v>
      </c>
      <c r="B509" s="48" t="s">
        <v>5316</v>
      </c>
      <c r="C509" s="60">
        <v>45598</v>
      </c>
      <c r="D509" s="54" t="s">
        <v>168</v>
      </c>
      <c r="E509" s="435" t="str">
        <f>IFERROR(VLOOKUP(D509,Mychart!$A$125:$B$811,2,FALSE),"-")</f>
        <v>UTS Carrier</v>
      </c>
      <c r="F509" s="295" t="s">
        <v>239</v>
      </c>
      <c r="G509" s="58">
        <v>4</v>
      </c>
      <c r="H509" s="58"/>
      <c r="I509" s="58">
        <v>71080</v>
      </c>
      <c r="J509" s="58">
        <v>3554</v>
      </c>
      <c r="K509" s="56" t="s">
        <v>4809</v>
      </c>
      <c r="L509" s="56" t="s">
        <v>268</v>
      </c>
      <c r="M509" s="292">
        <v>277</v>
      </c>
    </row>
    <row r="510" spans="1:13">
      <c r="A510" s="292">
        <v>277</v>
      </c>
      <c r="B510" s="48" t="s">
        <v>5316</v>
      </c>
      <c r="C510" s="60">
        <v>45598</v>
      </c>
      <c r="D510" s="54" t="s">
        <v>168</v>
      </c>
      <c r="E510" s="435" t="str">
        <f>IFERROR(VLOOKUP(D510,Mychart!$A$125:$B$811,2,FALSE),"-")</f>
        <v>UTS Carrier</v>
      </c>
      <c r="F510" s="295" t="s">
        <v>1300</v>
      </c>
      <c r="G510" s="58">
        <v>12</v>
      </c>
      <c r="H510" s="58"/>
      <c r="I510" s="58">
        <v>71080</v>
      </c>
      <c r="J510" s="58">
        <v>3554</v>
      </c>
      <c r="K510" s="56" t="s">
        <v>4809</v>
      </c>
      <c r="L510" s="56" t="s">
        <v>268</v>
      </c>
      <c r="M510" s="292">
        <v>277</v>
      </c>
    </row>
    <row r="511" spans="1:13">
      <c r="A511" s="292">
        <v>277</v>
      </c>
      <c r="B511" s="48" t="s">
        <v>5316</v>
      </c>
      <c r="C511" s="60">
        <v>45598</v>
      </c>
      <c r="D511" s="54" t="s">
        <v>168</v>
      </c>
      <c r="E511" s="435" t="str">
        <f>IFERROR(VLOOKUP(D511,Mychart!$A$125:$B$811,2,FALSE),"-")</f>
        <v>UTS Carrier</v>
      </c>
      <c r="F511" s="295" t="s">
        <v>5317</v>
      </c>
      <c r="G511" s="58">
        <v>1</v>
      </c>
      <c r="H511" s="58">
        <v>71080</v>
      </c>
      <c r="I511" s="58">
        <v>71080</v>
      </c>
      <c r="J511" s="58">
        <v>3554</v>
      </c>
      <c r="K511" s="56" t="s">
        <v>5344</v>
      </c>
      <c r="L511" s="56" t="s">
        <v>268</v>
      </c>
      <c r="M511" s="292">
        <v>277</v>
      </c>
    </row>
    <row r="512" spans="1:13">
      <c r="A512" s="292">
        <v>276</v>
      </c>
      <c r="B512" s="48" t="s">
        <v>5318</v>
      </c>
      <c r="C512" s="60">
        <v>45598</v>
      </c>
      <c r="D512" s="54" t="s">
        <v>168</v>
      </c>
      <c r="E512" s="435" t="str">
        <f>IFERROR(VLOOKUP(D512,Mychart!$A$125:$B$811,2,FALSE),"-")</f>
        <v>UTS Carrier</v>
      </c>
      <c r="F512" s="295" t="s">
        <v>236</v>
      </c>
      <c r="G512" s="58">
        <v>2</v>
      </c>
      <c r="H512" s="58"/>
      <c r="I512" s="58">
        <v>49940</v>
      </c>
      <c r="J512" s="58">
        <v>2497</v>
      </c>
      <c r="K512" s="56" t="s">
        <v>4809</v>
      </c>
      <c r="L512" s="56" t="s">
        <v>283</v>
      </c>
      <c r="M512" s="292">
        <v>276</v>
      </c>
    </row>
    <row r="513" spans="1:13">
      <c r="A513" s="292">
        <v>276</v>
      </c>
      <c r="B513" s="48" t="s">
        <v>5318</v>
      </c>
      <c r="C513" s="60">
        <v>45598</v>
      </c>
      <c r="D513" s="54" t="s">
        <v>168</v>
      </c>
      <c r="E513" s="435" t="str">
        <f>IFERROR(VLOOKUP(D513,Mychart!$A$125:$B$811,2,FALSE),"-")</f>
        <v>UTS Carrier</v>
      </c>
      <c r="F513" s="295" t="s">
        <v>237</v>
      </c>
      <c r="G513" s="58">
        <v>2</v>
      </c>
      <c r="H513" s="58"/>
      <c r="I513" s="58">
        <v>49940</v>
      </c>
      <c r="J513" s="58">
        <v>2497</v>
      </c>
      <c r="K513" s="56" t="s">
        <v>4809</v>
      </c>
      <c r="L513" s="56" t="s">
        <v>283</v>
      </c>
      <c r="M513" s="292">
        <v>276</v>
      </c>
    </row>
    <row r="514" spans="1:13">
      <c r="A514" s="292">
        <v>276</v>
      </c>
      <c r="B514" s="48" t="s">
        <v>5318</v>
      </c>
      <c r="C514" s="60">
        <v>45598</v>
      </c>
      <c r="D514" s="54" t="s">
        <v>168</v>
      </c>
      <c r="E514" s="435" t="str">
        <f>IFERROR(VLOOKUP(D514,Mychart!$A$125:$B$811,2,FALSE),"-")</f>
        <v>UTS Carrier</v>
      </c>
      <c r="F514" s="295" t="s">
        <v>827</v>
      </c>
      <c r="G514" s="58">
        <v>2</v>
      </c>
      <c r="H514" s="58"/>
      <c r="I514" s="58">
        <v>49940</v>
      </c>
      <c r="J514" s="58">
        <v>2497</v>
      </c>
      <c r="K514" s="56" t="s">
        <v>4809</v>
      </c>
      <c r="L514" s="56" t="s">
        <v>283</v>
      </c>
      <c r="M514" s="292">
        <v>276</v>
      </c>
    </row>
    <row r="515" spans="1:13">
      <c r="A515" s="292">
        <v>276</v>
      </c>
      <c r="B515" s="48" t="s">
        <v>5318</v>
      </c>
      <c r="C515" s="60">
        <v>45598</v>
      </c>
      <c r="D515" s="54" t="s">
        <v>168</v>
      </c>
      <c r="E515" s="435" t="str">
        <f>IFERROR(VLOOKUP(D515,Mychart!$A$125:$B$811,2,FALSE),"-")</f>
        <v>UTS Carrier</v>
      </c>
      <c r="F515" s="295" t="s">
        <v>828</v>
      </c>
      <c r="G515" s="58">
        <v>2</v>
      </c>
      <c r="H515" s="58"/>
      <c r="I515" s="58">
        <v>49940</v>
      </c>
      <c r="J515" s="58">
        <v>2497</v>
      </c>
      <c r="K515" s="56" t="s">
        <v>4809</v>
      </c>
      <c r="L515" s="56" t="s">
        <v>283</v>
      </c>
      <c r="M515" s="292">
        <v>276</v>
      </c>
    </row>
    <row r="516" spans="1:13">
      <c r="A516" s="292">
        <v>276</v>
      </c>
      <c r="B516" s="48" t="s">
        <v>5318</v>
      </c>
      <c r="C516" s="60">
        <v>45598</v>
      </c>
      <c r="D516" s="54" t="s">
        <v>168</v>
      </c>
      <c r="E516" s="435" t="str">
        <f>IFERROR(VLOOKUP(D516,Mychart!$A$125:$B$811,2,FALSE),"-")</f>
        <v>UTS Carrier</v>
      </c>
      <c r="F516" s="295" t="s">
        <v>238</v>
      </c>
      <c r="G516" s="58">
        <v>3</v>
      </c>
      <c r="H516" s="58"/>
      <c r="I516" s="58">
        <v>49940</v>
      </c>
      <c r="J516" s="58">
        <v>2497</v>
      </c>
      <c r="K516" s="56" t="s">
        <v>4809</v>
      </c>
      <c r="L516" s="56" t="s">
        <v>283</v>
      </c>
      <c r="M516" s="292">
        <v>276</v>
      </c>
    </row>
    <row r="517" spans="1:13">
      <c r="A517" s="292">
        <v>276</v>
      </c>
      <c r="B517" s="48" t="s">
        <v>5318</v>
      </c>
      <c r="C517" s="60">
        <v>45598</v>
      </c>
      <c r="D517" s="54" t="s">
        <v>168</v>
      </c>
      <c r="E517" s="435" t="str">
        <f>IFERROR(VLOOKUP(D517,Mychart!$A$125:$B$811,2,FALSE),"-")</f>
        <v>UTS Carrier</v>
      </c>
      <c r="F517" s="295" t="s">
        <v>239</v>
      </c>
      <c r="G517" s="58">
        <v>3</v>
      </c>
      <c r="H517" s="58"/>
      <c r="I517" s="58">
        <v>49940</v>
      </c>
      <c r="J517" s="58">
        <v>2497</v>
      </c>
      <c r="K517" s="56" t="s">
        <v>4809</v>
      </c>
      <c r="L517" s="56" t="s">
        <v>283</v>
      </c>
      <c r="M517" s="292">
        <v>276</v>
      </c>
    </row>
    <row r="518" spans="1:13">
      <c r="A518" s="292">
        <v>276</v>
      </c>
      <c r="B518" s="48" t="s">
        <v>5318</v>
      </c>
      <c r="C518" s="60">
        <v>45598</v>
      </c>
      <c r="D518" s="54" t="s">
        <v>168</v>
      </c>
      <c r="E518" s="435" t="str">
        <f>IFERROR(VLOOKUP(D518,Mychart!$A$125:$B$811,2,FALSE),"-")</f>
        <v>UTS Carrier</v>
      </c>
      <c r="F518" s="295" t="s">
        <v>234</v>
      </c>
      <c r="G518" s="58">
        <v>1</v>
      </c>
      <c r="H518" s="58"/>
      <c r="I518" s="58">
        <v>49940</v>
      </c>
      <c r="J518" s="58">
        <v>2497</v>
      </c>
      <c r="K518" s="56" t="s">
        <v>4809</v>
      </c>
      <c r="L518" s="56" t="s">
        <v>283</v>
      </c>
      <c r="M518" s="292">
        <v>276</v>
      </c>
    </row>
    <row r="519" spans="1:13">
      <c r="A519" s="292">
        <v>276</v>
      </c>
      <c r="B519" s="48" t="s">
        <v>5318</v>
      </c>
      <c r="C519" s="60">
        <v>45598</v>
      </c>
      <c r="D519" s="54" t="s">
        <v>168</v>
      </c>
      <c r="E519" s="435" t="str">
        <f>IFERROR(VLOOKUP(D519,Mychart!$A$125:$B$811,2,FALSE),"-")</f>
        <v>UTS Carrier</v>
      </c>
      <c r="F519" s="295" t="s">
        <v>235</v>
      </c>
      <c r="G519" s="58">
        <v>1</v>
      </c>
      <c r="H519" s="58"/>
      <c r="I519" s="58">
        <v>49940</v>
      </c>
      <c r="J519" s="58">
        <v>2497</v>
      </c>
      <c r="K519" s="56" t="s">
        <v>4809</v>
      </c>
      <c r="L519" s="56" t="s">
        <v>283</v>
      </c>
      <c r="M519" s="292">
        <v>276</v>
      </c>
    </row>
    <row r="520" spans="1:13">
      <c r="A520" s="292">
        <v>276</v>
      </c>
      <c r="B520" s="48" t="s">
        <v>5318</v>
      </c>
      <c r="C520" s="60">
        <v>45598</v>
      </c>
      <c r="D520" s="54" t="s">
        <v>168</v>
      </c>
      <c r="E520" s="435" t="str">
        <f>IFERROR(VLOOKUP(D520,Mychart!$A$125:$B$811,2,FALSE),"-")</f>
        <v>UTS Carrier</v>
      </c>
      <c r="F520" s="295" t="s">
        <v>1300</v>
      </c>
      <c r="G520" s="58">
        <v>8</v>
      </c>
      <c r="H520" s="58"/>
      <c r="I520" s="58">
        <v>49940</v>
      </c>
      <c r="J520" s="58">
        <v>2497</v>
      </c>
      <c r="K520" s="56" t="s">
        <v>4809</v>
      </c>
      <c r="L520" s="56" t="s">
        <v>283</v>
      </c>
      <c r="M520" s="292">
        <v>276</v>
      </c>
    </row>
    <row r="521" spans="1:13">
      <c r="A521" s="292">
        <v>276</v>
      </c>
      <c r="B521" s="48" t="s">
        <v>5318</v>
      </c>
      <c r="C521" s="60">
        <v>45598</v>
      </c>
      <c r="D521" s="54" t="s">
        <v>168</v>
      </c>
      <c r="E521" s="435" t="str">
        <f>IFERROR(VLOOKUP(D521,Mychart!$A$125:$B$811,2,FALSE),"-")</f>
        <v>UTS Carrier</v>
      </c>
      <c r="F521" s="295" t="s">
        <v>5317</v>
      </c>
      <c r="G521" s="58">
        <v>1</v>
      </c>
      <c r="H521" s="58">
        <v>49940</v>
      </c>
      <c r="I521" s="58">
        <v>49940</v>
      </c>
      <c r="J521" s="58">
        <v>2497</v>
      </c>
      <c r="K521" s="56" t="s">
        <v>5344</v>
      </c>
      <c r="L521" s="56" t="s">
        <v>283</v>
      </c>
      <c r="M521" s="292">
        <v>276</v>
      </c>
    </row>
    <row r="522" spans="1:13">
      <c r="A522" s="292">
        <v>259</v>
      </c>
      <c r="B522" s="48" t="s">
        <v>5319</v>
      </c>
      <c r="C522" s="60">
        <v>45598</v>
      </c>
      <c r="D522" s="54" t="s">
        <v>168</v>
      </c>
      <c r="E522" s="435" t="str">
        <f>IFERROR(VLOOKUP(D522,Mychart!$A$125:$B$811,2,FALSE),"-")</f>
        <v>UTS Carrier</v>
      </c>
      <c r="F522" s="295" t="s">
        <v>236</v>
      </c>
      <c r="G522" s="58">
        <v>4</v>
      </c>
      <c r="H522" s="58"/>
      <c r="I522" s="58">
        <v>106200</v>
      </c>
      <c r="J522" s="58">
        <v>5310</v>
      </c>
      <c r="K522" s="56" t="s">
        <v>4809</v>
      </c>
      <c r="L522" s="56" t="s">
        <v>264</v>
      </c>
      <c r="M522" s="292">
        <v>259</v>
      </c>
    </row>
    <row r="523" spans="1:13">
      <c r="A523" s="292">
        <v>259</v>
      </c>
      <c r="B523" s="48" t="s">
        <v>5319</v>
      </c>
      <c r="C523" s="60">
        <v>45598</v>
      </c>
      <c r="D523" s="54" t="s">
        <v>168</v>
      </c>
      <c r="E523" s="435" t="str">
        <f>IFERROR(VLOOKUP(D523,Mychart!$A$125:$B$811,2,FALSE),"-")</f>
        <v>UTS Carrier</v>
      </c>
      <c r="F523" s="295" t="s">
        <v>237</v>
      </c>
      <c r="G523" s="58">
        <v>4</v>
      </c>
      <c r="H523" s="58"/>
      <c r="I523" s="58">
        <v>106200</v>
      </c>
      <c r="J523" s="58">
        <v>5310</v>
      </c>
      <c r="K523" s="56" t="s">
        <v>4809</v>
      </c>
      <c r="L523" s="56" t="s">
        <v>264</v>
      </c>
      <c r="M523" s="292">
        <v>259</v>
      </c>
    </row>
    <row r="524" spans="1:13">
      <c r="A524" s="292">
        <v>259</v>
      </c>
      <c r="B524" s="48" t="s">
        <v>5319</v>
      </c>
      <c r="C524" s="60">
        <v>45598</v>
      </c>
      <c r="D524" s="54" t="s">
        <v>168</v>
      </c>
      <c r="E524" s="435" t="str">
        <f>IFERROR(VLOOKUP(D524,Mychart!$A$125:$B$811,2,FALSE),"-")</f>
        <v>UTS Carrier</v>
      </c>
      <c r="F524" s="295" t="s">
        <v>827</v>
      </c>
      <c r="G524" s="58">
        <v>2</v>
      </c>
      <c r="H524" s="58"/>
      <c r="I524" s="58">
        <v>106200</v>
      </c>
      <c r="J524" s="58">
        <v>5310</v>
      </c>
      <c r="K524" s="56" t="s">
        <v>4809</v>
      </c>
      <c r="L524" s="56" t="s">
        <v>264</v>
      </c>
      <c r="M524" s="292">
        <v>259</v>
      </c>
    </row>
    <row r="525" spans="1:13">
      <c r="A525" s="292">
        <v>259</v>
      </c>
      <c r="B525" s="48" t="s">
        <v>5319</v>
      </c>
      <c r="C525" s="60">
        <v>45598</v>
      </c>
      <c r="D525" s="54" t="s">
        <v>168</v>
      </c>
      <c r="E525" s="435" t="str">
        <f>IFERROR(VLOOKUP(D525,Mychart!$A$125:$B$811,2,FALSE),"-")</f>
        <v>UTS Carrier</v>
      </c>
      <c r="F525" s="295" t="s">
        <v>828</v>
      </c>
      <c r="G525" s="58">
        <v>2</v>
      </c>
      <c r="H525" s="58"/>
      <c r="I525" s="58">
        <v>106200</v>
      </c>
      <c r="J525" s="58">
        <v>5310</v>
      </c>
      <c r="K525" s="56" t="s">
        <v>4809</v>
      </c>
      <c r="L525" s="56" t="s">
        <v>264</v>
      </c>
      <c r="M525" s="292">
        <v>259</v>
      </c>
    </row>
    <row r="526" spans="1:13">
      <c r="A526" s="292">
        <v>259</v>
      </c>
      <c r="B526" s="48" t="s">
        <v>5319</v>
      </c>
      <c r="C526" s="60">
        <v>45598</v>
      </c>
      <c r="D526" s="54" t="s">
        <v>168</v>
      </c>
      <c r="E526" s="435" t="str">
        <f>IFERROR(VLOOKUP(D526,Mychart!$A$125:$B$811,2,FALSE),"-")</f>
        <v>UTS Carrier</v>
      </c>
      <c r="F526" s="295" t="s">
        <v>234</v>
      </c>
      <c r="G526" s="58">
        <v>2</v>
      </c>
      <c r="H526" s="58"/>
      <c r="I526" s="58">
        <v>106200</v>
      </c>
      <c r="J526" s="58">
        <v>5310</v>
      </c>
      <c r="K526" s="56" t="s">
        <v>4809</v>
      </c>
      <c r="L526" s="56" t="s">
        <v>264</v>
      </c>
      <c r="M526" s="292">
        <v>259</v>
      </c>
    </row>
    <row r="527" spans="1:13">
      <c r="A527" s="292">
        <v>259</v>
      </c>
      <c r="B527" s="48" t="s">
        <v>5319</v>
      </c>
      <c r="C527" s="60">
        <v>45598</v>
      </c>
      <c r="D527" s="54" t="s">
        <v>168</v>
      </c>
      <c r="E527" s="435" t="str">
        <f>IFERROR(VLOOKUP(D527,Mychart!$A$125:$B$811,2,FALSE),"-")</f>
        <v>UTS Carrier</v>
      </c>
      <c r="F527" s="295" t="s">
        <v>235</v>
      </c>
      <c r="G527" s="58">
        <v>2</v>
      </c>
      <c r="H527" s="58"/>
      <c r="I527" s="58">
        <v>106200</v>
      </c>
      <c r="J527" s="58">
        <v>5310</v>
      </c>
      <c r="K527" s="56" t="s">
        <v>4809</v>
      </c>
      <c r="L527" s="56" t="s">
        <v>264</v>
      </c>
      <c r="M527" s="292">
        <v>259</v>
      </c>
    </row>
    <row r="528" spans="1:13">
      <c r="A528" s="292">
        <v>259</v>
      </c>
      <c r="B528" s="48" t="s">
        <v>5319</v>
      </c>
      <c r="C528" s="60">
        <v>45598</v>
      </c>
      <c r="D528" s="54" t="s">
        <v>168</v>
      </c>
      <c r="E528" s="435" t="str">
        <f>IFERROR(VLOOKUP(D528,Mychart!$A$125:$B$811,2,FALSE),"-")</f>
        <v>UTS Carrier</v>
      </c>
      <c r="F528" s="295" t="s">
        <v>232</v>
      </c>
      <c r="G528" s="58">
        <v>6</v>
      </c>
      <c r="H528" s="58"/>
      <c r="I528" s="58">
        <v>106200</v>
      </c>
      <c r="J528" s="58">
        <v>5310</v>
      </c>
      <c r="K528" s="56" t="s">
        <v>4809</v>
      </c>
      <c r="L528" s="56" t="s">
        <v>264</v>
      </c>
      <c r="M528" s="292">
        <v>259</v>
      </c>
    </row>
    <row r="529" spans="1:13">
      <c r="A529" s="292">
        <v>259</v>
      </c>
      <c r="B529" s="48" t="s">
        <v>5319</v>
      </c>
      <c r="C529" s="60">
        <v>45598</v>
      </c>
      <c r="D529" s="54" t="s">
        <v>168</v>
      </c>
      <c r="E529" s="435" t="str">
        <f>IFERROR(VLOOKUP(D529,Mychart!$A$125:$B$811,2,FALSE),"-")</f>
        <v>UTS Carrier</v>
      </c>
      <c r="F529" s="295" t="s">
        <v>233</v>
      </c>
      <c r="G529" s="58">
        <v>6</v>
      </c>
      <c r="H529" s="58"/>
      <c r="I529" s="58">
        <v>106200</v>
      </c>
      <c r="J529" s="58">
        <v>5310</v>
      </c>
      <c r="K529" s="56" t="s">
        <v>4809</v>
      </c>
      <c r="L529" s="56" t="s">
        <v>264</v>
      </c>
      <c r="M529" s="292">
        <v>259</v>
      </c>
    </row>
    <row r="530" spans="1:13">
      <c r="A530" s="292">
        <v>259</v>
      </c>
      <c r="B530" s="48" t="s">
        <v>5319</v>
      </c>
      <c r="C530" s="60">
        <v>45598</v>
      </c>
      <c r="D530" s="54" t="s">
        <v>168</v>
      </c>
      <c r="E530" s="435" t="str">
        <f>IFERROR(VLOOKUP(D530,Mychart!$A$125:$B$811,2,FALSE),"-")</f>
        <v>UTS Carrier</v>
      </c>
      <c r="F530" s="295" t="s">
        <v>1099</v>
      </c>
      <c r="G530" s="58">
        <v>2</v>
      </c>
      <c r="H530" s="58"/>
      <c r="I530" s="58">
        <v>106200</v>
      </c>
      <c r="J530" s="58">
        <v>5310</v>
      </c>
      <c r="K530" s="56" t="s">
        <v>4809</v>
      </c>
      <c r="L530" s="56" t="s">
        <v>264</v>
      </c>
      <c r="M530" s="292">
        <v>259</v>
      </c>
    </row>
    <row r="531" spans="1:13">
      <c r="A531" s="292">
        <v>259</v>
      </c>
      <c r="B531" s="48" t="s">
        <v>5319</v>
      </c>
      <c r="C531" s="60">
        <v>45598</v>
      </c>
      <c r="D531" s="54" t="s">
        <v>168</v>
      </c>
      <c r="E531" s="435" t="str">
        <f>IFERROR(VLOOKUP(D531,Mychart!$A$125:$B$811,2,FALSE),"-")</f>
        <v>UTS Carrier</v>
      </c>
      <c r="F531" s="295" t="s">
        <v>1100</v>
      </c>
      <c r="G531" s="58">
        <v>2</v>
      </c>
      <c r="H531" s="58"/>
      <c r="I531" s="58">
        <v>106200</v>
      </c>
      <c r="J531" s="58">
        <v>5310</v>
      </c>
      <c r="K531" s="56" t="s">
        <v>4809</v>
      </c>
      <c r="L531" s="56" t="s">
        <v>264</v>
      </c>
      <c r="M531" s="292">
        <v>259</v>
      </c>
    </row>
    <row r="532" spans="1:13">
      <c r="A532" s="292">
        <v>259</v>
      </c>
      <c r="B532" s="48" t="s">
        <v>5319</v>
      </c>
      <c r="C532" s="60">
        <v>45598</v>
      </c>
      <c r="D532" s="54" t="s">
        <v>168</v>
      </c>
      <c r="E532" s="435" t="str">
        <f>IFERROR(VLOOKUP(D532,Mychart!$A$125:$B$811,2,FALSE),"-")</f>
        <v>UTS Carrier</v>
      </c>
      <c r="F532" s="295" t="s">
        <v>832</v>
      </c>
      <c r="G532" s="58">
        <v>1</v>
      </c>
      <c r="H532" s="58"/>
      <c r="I532" s="58">
        <v>106200</v>
      </c>
      <c r="J532" s="58">
        <v>5310</v>
      </c>
      <c r="K532" s="56" t="s">
        <v>4809</v>
      </c>
      <c r="L532" s="56" t="s">
        <v>264</v>
      </c>
      <c r="M532" s="292">
        <v>259</v>
      </c>
    </row>
    <row r="533" spans="1:13">
      <c r="A533" s="292">
        <v>259</v>
      </c>
      <c r="B533" s="48" t="s">
        <v>5319</v>
      </c>
      <c r="C533" s="60">
        <v>45598</v>
      </c>
      <c r="D533" s="54" t="s">
        <v>168</v>
      </c>
      <c r="E533" s="435" t="str">
        <f>IFERROR(VLOOKUP(D533,Mychart!$A$125:$B$811,2,FALSE),"-")</f>
        <v>UTS Carrier</v>
      </c>
      <c r="F533" s="295" t="s">
        <v>833</v>
      </c>
      <c r="G533" s="58">
        <v>1</v>
      </c>
      <c r="H533" s="58"/>
      <c r="I533" s="58">
        <v>106200</v>
      </c>
      <c r="J533" s="58">
        <v>5310</v>
      </c>
      <c r="K533" s="56" t="s">
        <v>4809</v>
      </c>
      <c r="L533" s="56" t="s">
        <v>264</v>
      </c>
      <c r="M533" s="292">
        <v>259</v>
      </c>
    </row>
    <row r="534" spans="1:13">
      <c r="A534" s="292">
        <v>259</v>
      </c>
      <c r="B534" s="48" t="s">
        <v>5319</v>
      </c>
      <c r="C534" s="60">
        <v>45598</v>
      </c>
      <c r="D534" s="54" t="s">
        <v>168</v>
      </c>
      <c r="E534" s="435" t="str">
        <f>IFERROR(VLOOKUP(D534,Mychart!$A$125:$B$811,2,FALSE),"-")</f>
        <v>UTS Carrier</v>
      </c>
      <c r="F534" s="295" t="s">
        <v>1081</v>
      </c>
      <c r="G534" s="58">
        <v>1</v>
      </c>
      <c r="H534" s="58"/>
      <c r="I534" s="58">
        <v>106200</v>
      </c>
      <c r="J534" s="58">
        <v>5310</v>
      </c>
      <c r="K534" s="56" t="s">
        <v>4809</v>
      </c>
      <c r="L534" s="56" t="s">
        <v>264</v>
      </c>
      <c r="M534" s="292">
        <v>259</v>
      </c>
    </row>
    <row r="535" spans="1:13">
      <c r="A535" s="292">
        <v>259</v>
      </c>
      <c r="B535" s="48" t="s">
        <v>5319</v>
      </c>
      <c r="C535" s="60">
        <v>45598</v>
      </c>
      <c r="D535" s="54" t="s">
        <v>168</v>
      </c>
      <c r="E535" s="435" t="str">
        <f>IFERROR(VLOOKUP(D535,Mychart!$A$125:$B$811,2,FALSE),"-")</f>
        <v>UTS Carrier</v>
      </c>
      <c r="F535" s="295" t="s">
        <v>1082</v>
      </c>
      <c r="G535" s="58">
        <v>1</v>
      </c>
      <c r="H535" s="58"/>
      <c r="I535" s="58">
        <v>106200</v>
      </c>
      <c r="J535" s="58">
        <v>5310</v>
      </c>
      <c r="K535" s="56" t="s">
        <v>4809</v>
      </c>
      <c r="L535" s="56" t="s">
        <v>264</v>
      </c>
      <c r="M535" s="292">
        <v>259</v>
      </c>
    </row>
    <row r="536" spans="1:13">
      <c r="A536" s="292">
        <v>259</v>
      </c>
      <c r="B536" s="48" t="s">
        <v>5319</v>
      </c>
      <c r="C536" s="60">
        <v>45598</v>
      </c>
      <c r="D536" s="54" t="s">
        <v>168</v>
      </c>
      <c r="E536" s="435" t="str">
        <f>IFERROR(VLOOKUP(D536,Mychart!$A$125:$B$811,2,FALSE),"-")</f>
        <v>UTS Carrier</v>
      </c>
      <c r="F536" s="295" t="s">
        <v>1300</v>
      </c>
      <c r="G536" s="58">
        <v>14</v>
      </c>
      <c r="H536" s="58"/>
      <c r="I536" s="58">
        <v>106200</v>
      </c>
      <c r="J536" s="58">
        <v>5310</v>
      </c>
      <c r="K536" s="56" t="s">
        <v>4809</v>
      </c>
      <c r="L536" s="56" t="s">
        <v>264</v>
      </c>
      <c r="M536" s="292">
        <v>259</v>
      </c>
    </row>
    <row r="537" spans="1:13">
      <c r="A537" s="292">
        <v>259</v>
      </c>
      <c r="B537" s="48" t="s">
        <v>5319</v>
      </c>
      <c r="C537" s="60">
        <v>45598</v>
      </c>
      <c r="D537" s="54" t="s">
        <v>168</v>
      </c>
      <c r="E537" s="435" t="str">
        <f>IFERROR(VLOOKUP(D537,Mychart!$A$125:$B$811,2,FALSE),"-")</f>
        <v>UTS Carrier</v>
      </c>
      <c r="F537" s="295" t="s">
        <v>5317</v>
      </c>
      <c r="G537" s="58">
        <v>1</v>
      </c>
      <c r="H537" s="58">
        <v>106200</v>
      </c>
      <c r="I537" s="58">
        <v>106200</v>
      </c>
      <c r="J537" s="58">
        <v>5310</v>
      </c>
      <c r="K537" s="56" t="s">
        <v>5340</v>
      </c>
      <c r="L537" s="56" t="s">
        <v>264</v>
      </c>
      <c r="M537" s="292">
        <v>259</v>
      </c>
    </row>
    <row r="538" spans="1:13">
      <c r="A538" s="292">
        <v>261</v>
      </c>
      <c r="B538" s="48" t="s">
        <v>5320</v>
      </c>
      <c r="C538" s="60">
        <v>45598</v>
      </c>
      <c r="D538" s="54" t="s">
        <v>168</v>
      </c>
      <c r="E538" s="435" t="str">
        <f>IFERROR(VLOOKUP(D538,Mychart!$A$125:$B$811,2,FALSE),"-")</f>
        <v>UTS Carrier</v>
      </c>
      <c r="F538" s="295" t="s">
        <v>236</v>
      </c>
      <c r="G538" s="58">
        <v>2</v>
      </c>
      <c r="H538" s="58"/>
      <c r="I538" s="58">
        <v>117505</v>
      </c>
      <c r="J538" s="58">
        <v>5875.25</v>
      </c>
      <c r="K538" s="56" t="s">
        <v>4809</v>
      </c>
      <c r="L538" s="56" t="s">
        <v>5321</v>
      </c>
      <c r="M538" s="292">
        <v>261</v>
      </c>
    </row>
    <row r="539" spans="1:13">
      <c r="A539" s="292">
        <v>261</v>
      </c>
      <c r="B539" s="48" t="s">
        <v>5320</v>
      </c>
      <c r="C539" s="60">
        <v>45598</v>
      </c>
      <c r="D539" s="54" t="s">
        <v>168</v>
      </c>
      <c r="E539" s="435" t="str">
        <f>IFERROR(VLOOKUP(D539,Mychart!$A$125:$B$811,2,FALSE),"-")</f>
        <v>UTS Carrier</v>
      </c>
      <c r="F539" s="295" t="s">
        <v>237</v>
      </c>
      <c r="G539" s="58">
        <v>2</v>
      </c>
      <c r="H539" s="58"/>
      <c r="I539" s="58">
        <v>117505</v>
      </c>
      <c r="J539" s="58">
        <v>5875.25</v>
      </c>
      <c r="K539" s="56" t="s">
        <v>4809</v>
      </c>
      <c r="L539" s="56" t="s">
        <v>5321</v>
      </c>
      <c r="M539" s="292">
        <v>261</v>
      </c>
    </row>
    <row r="540" spans="1:13">
      <c r="A540" s="292">
        <v>261</v>
      </c>
      <c r="B540" s="48" t="s">
        <v>5320</v>
      </c>
      <c r="C540" s="60">
        <v>45598</v>
      </c>
      <c r="D540" s="54" t="s">
        <v>168</v>
      </c>
      <c r="E540" s="435" t="str">
        <f>IFERROR(VLOOKUP(D540,Mychart!$A$125:$B$811,2,FALSE),"-")</f>
        <v>UTS Carrier</v>
      </c>
      <c r="F540" s="295" t="s">
        <v>827</v>
      </c>
      <c r="G540" s="58">
        <v>1</v>
      </c>
      <c r="H540" s="58"/>
      <c r="I540" s="58">
        <v>117505</v>
      </c>
      <c r="J540" s="58">
        <v>5875.25</v>
      </c>
      <c r="K540" s="56" t="s">
        <v>4809</v>
      </c>
      <c r="L540" s="56" t="s">
        <v>5321</v>
      </c>
      <c r="M540" s="292">
        <v>261</v>
      </c>
    </row>
    <row r="541" spans="1:13">
      <c r="A541" s="292">
        <v>261</v>
      </c>
      <c r="B541" s="48" t="s">
        <v>5320</v>
      </c>
      <c r="C541" s="60">
        <v>45598</v>
      </c>
      <c r="D541" s="54" t="s">
        <v>168</v>
      </c>
      <c r="E541" s="435" t="str">
        <f>IFERROR(VLOOKUP(D541,Mychart!$A$125:$B$811,2,FALSE),"-")</f>
        <v>UTS Carrier</v>
      </c>
      <c r="F541" s="295" t="s">
        <v>828</v>
      </c>
      <c r="G541" s="58">
        <v>1</v>
      </c>
      <c r="H541" s="58"/>
      <c r="I541" s="58">
        <v>117505</v>
      </c>
      <c r="J541" s="58">
        <v>5875.25</v>
      </c>
      <c r="K541" s="56" t="s">
        <v>4809</v>
      </c>
      <c r="L541" s="56" t="s">
        <v>5321</v>
      </c>
      <c r="M541" s="292">
        <v>261</v>
      </c>
    </row>
    <row r="542" spans="1:13">
      <c r="A542" s="292">
        <v>261</v>
      </c>
      <c r="B542" s="48" t="s">
        <v>5320</v>
      </c>
      <c r="C542" s="60">
        <v>45598</v>
      </c>
      <c r="D542" s="54" t="s">
        <v>168</v>
      </c>
      <c r="E542" s="435" t="str">
        <f>IFERROR(VLOOKUP(D542,Mychart!$A$125:$B$811,2,FALSE),"-")</f>
        <v>UTS Carrier</v>
      </c>
      <c r="F542" s="295" t="s">
        <v>238</v>
      </c>
      <c r="G542" s="58">
        <v>3</v>
      </c>
      <c r="H542" s="58"/>
      <c r="I542" s="58">
        <v>117505</v>
      </c>
      <c r="J542" s="58">
        <v>5875.25</v>
      </c>
      <c r="K542" s="56" t="s">
        <v>4809</v>
      </c>
      <c r="L542" s="56" t="s">
        <v>5321</v>
      </c>
      <c r="M542" s="292">
        <v>261</v>
      </c>
    </row>
    <row r="543" spans="1:13">
      <c r="A543" s="292">
        <v>261</v>
      </c>
      <c r="B543" s="48" t="s">
        <v>5320</v>
      </c>
      <c r="C543" s="60">
        <v>45598</v>
      </c>
      <c r="D543" s="54" t="s">
        <v>168</v>
      </c>
      <c r="E543" s="435" t="str">
        <f>IFERROR(VLOOKUP(D543,Mychart!$A$125:$B$811,2,FALSE),"-")</f>
        <v>UTS Carrier</v>
      </c>
      <c r="F543" s="295" t="s">
        <v>239</v>
      </c>
      <c r="G543" s="58">
        <v>3</v>
      </c>
      <c r="H543" s="58"/>
      <c r="I543" s="58">
        <v>117505</v>
      </c>
      <c r="J543" s="58">
        <v>5875.25</v>
      </c>
      <c r="K543" s="56" t="s">
        <v>4809</v>
      </c>
      <c r="L543" s="56" t="s">
        <v>5321</v>
      </c>
      <c r="M543" s="292">
        <v>261</v>
      </c>
    </row>
    <row r="544" spans="1:13">
      <c r="A544" s="292">
        <v>261</v>
      </c>
      <c r="B544" s="48" t="s">
        <v>5320</v>
      </c>
      <c r="C544" s="60">
        <v>45598</v>
      </c>
      <c r="D544" s="54" t="s">
        <v>168</v>
      </c>
      <c r="E544" s="435" t="str">
        <f>IFERROR(VLOOKUP(D544,Mychart!$A$125:$B$811,2,FALSE),"-")</f>
        <v>UTS Carrier</v>
      </c>
      <c r="F544" s="295" t="s">
        <v>232</v>
      </c>
      <c r="G544" s="58">
        <v>3</v>
      </c>
      <c r="H544" s="58"/>
      <c r="I544" s="58">
        <v>117505</v>
      </c>
      <c r="J544" s="58">
        <v>5875.25</v>
      </c>
      <c r="K544" s="56" t="s">
        <v>4809</v>
      </c>
      <c r="L544" s="56" t="s">
        <v>5321</v>
      </c>
      <c r="M544" s="292">
        <v>261</v>
      </c>
    </row>
    <row r="545" spans="1:13">
      <c r="A545" s="292">
        <v>261</v>
      </c>
      <c r="B545" s="48" t="s">
        <v>5320</v>
      </c>
      <c r="C545" s="60">
        <v>45598</v>
      </c>
      <c r="D545" s="54" t="s">
        <v>168</v>
      </c>
      <c r="E545" s="435" t="str">
        <f>IFERROR(VLOOKUP(D545,Mychart!$A$125:$B$811,2,FALSE),"-")</f>
        <v>UTS Carrier</v>
      </c>
      <c r="F545" s="295" t="s">
        <v>233</v>
      </c>
      <c r="G545" s="58">
        <v>3</v>
      </c>
      <c r="H545" s="58"/>
      <c r="I545" s="58">
        <v>117505</v>
      </c>
      <c r="J545" s="58">
        <v>5875.25</v>
      </c>
      <c r="K545" s="56" t="s">
        <v>4809</v>
      </c>
      <c r="L545" s="56" t="s">
        <v>5321</v>
      </c>
      <c r="M545" s="292">
        <v>261</v>
      </c>
    </row>
    <row r="546" spans="1:13">
      <c r="A546" s="292">
        <v>261</v>
      </c>
      <c r="B546" s="48" t="s">
        <v>5320</v>
      </c>
      <c r="C546" s="60">
        <v>45598</v>
      </c>
      <c r="D546" s="54" t="s">
        <v>168</v>
      </c>
      <c r="E546" s="435" t="str">
        <f>IFERROR(VLOOKUP(D546,Mychart!$A$125:$B$811,2,FALSE),"-")</f>
        <v>UTS Carrier</v>
      </c>
      <c r="F546" s="295" t="s">
        <v>1099</v>
      </c>
      <c r="G546" s="58">
        <v>2</v>
      </c>
      <c r="H546" s="58"/>
      <c r="I546" s="58">
        <v>117505</v>
      </c>
      <c r="J546" s="58">
        <v>5875.25</v>
      </c>
      <c r="K546" s="56" t="s">
        <v>4809</v>
      </c>
      <c r="L546" s="56" t="s">
        <v>5321</v>
      </c>
      <c r="M546" s="292">
        <v>261</v>
      </c>
    </row>
    <row r="547" spans="1:13">
      <c r="A547" s="292">
        <v>261</v>
      </c>
      <c r="B547" s="48" t="s">
        <v>5320</v>
      </c>
      <c r="C547" s="60">
        <v>45598</v>
      </c>
      <c r="D547" s="54" t="s">
        <v>168</v>
      </c>
      <c r="E547" s="435" t="str">
        <f>IFERROR(VLOOKUP(D547,Mychart!$A$125:$B$811,2,FALSE),"-")</f>
        <v>UTS Carrier</v>
      </c>
      <c r="F547" s="295" t="s">
        <v>1100</v>
      </c>
      <c r="G547" s="58">
        <v>2</v>
      </c>
      <c r="H547" s="58"/>
      <c r="I547" s="58">
        <v>117505</v>
      </c>
      <c r="J547" s="58">
        <v>5875.25</v>
      </c>
      <c r="K547" s="56" t="s">
        <v>4809</v>
      </c>
      <c r="L547" s="56" t="s">
        <v>5321</v>
      </c>
      <c r="M547" s="292">
        <v>261</v>
      </c>
    </row>
    <row r="548" spans="1:13">
      <c r="A548" s="292">
        <v>261</v>
      </c>
      <c r="B548" s="48" t="s">
        <v>5320</v>
      </c>
      <c r="C548" s="60">
        <v>45598</v>
      </c>
      <c r="D548" s="54" t="s">
        <v>168</v>
      </c>
      <c r="E548" s="435" t="str">
        <f>IFERROR(VLOOKUP(D548,Mychart!$A$125:$B$811,2,FALSE),"-")</f>
        <v>UTS Carrier</v>
      </c>
      <c r="F548" s="295" t="s">
        <v>832</v>
      </c>
      <c r="G548" s="58">
        <v>1</v>
      </c>
      <c r="H548" s="58"/>
      <c r="I548" s="58">
        <v>117505</v>
      </c>
      <c r="J548" s="58">
        <v>5875.25</v>
      </c>
      <c r="K548" s="56" t="s">
        <v>4809</v>
      </c>
      <c r="L548" s="56" t="s">
        <v>5321</v>
      </c>
      <c r="M548" s="292">
        <v>261</v>
      </c>
    </row>
    <row r="549" spans="1:13">
      <c r="A549" s="292">
        <v>261</v>
      </c>
      <c r="B549" s="48" t="s">
        <v>5320</v>
      </c>
      <c r="C549" s="60">
        <v>45598</v>
      </c>
      <c r="D549" s="54" t="s">
        <v>168</v>
      </c>
      <c r="E549" s="435" t="str">
        <f>IFERROR(VLOOKUP(D549,Mychart!$A$125:$B$811,2,FALSE),"-")</f>
        <v>UTS Carrier</v>
      </c>
      <c r="F549" s="295" t="s">
        <v>833</v>
      </c>
      <c r="G549" s="58">
        <v>1</v>
      </c>
      <c r="H549" s="58"/>
      <c r="I549" s="58">
        <v>117505</v>
      </c>
      <c r="J549" s="58">
        <v>5875.25</v>
      </c>
      <c r="K549" s="56" t="s">
        <v>4809</v>
      </c>
      <c r="L549" s="56" t="s">
        <v>5321</v>
      </c>
      <c r="M549" s="292">
        <v>261</v>
      </c>
    </row>
    <row r="550" spans="1:13">
      <c r="A550" s="292">
        <v>261</v>
      </c>
      <c r="B550" s="48" t="s">
        <v>5320</v>
      </c>
      <c r="C550" s="60">
        <v>45598</v>
      </c>
      <c r="D550" s="54" t="s">
        <v>168</v>
      </c>
      <c r="E550" s="435" t="str">
        <f>IFERROR(VLOOKUP(D550,Mychart!$A$125:$B$811,2,FALSE),"-")</f>
        <v>UTS Carrier</v>
      </c>
      <c r="F550" s="295" t="s">
        <v>1203</v>
      </c>
      <c r="G550" s="58">
        <v>1</v>
      </c>
      <c r="H550" s="58"/>
      <c r="I550" s="58">
        <v>117505</v>
      </c>
      <c r="J550" s="58">
        <v>5875.25</v>
      </c>
      <c r="K550" s="56" t="s">
        <v>4809</v>
      </c>
      <c r="L550" s="56" t="s">
        <v>5321</v>
      </c>
      <c r="M550" s="292">
        <v>261</v>
      </c>
    </row>
    <row r="551" spans="1:13">
      <c r="A551" s="292">
        <v>261</v>
      </c>
      <c r="B551" s="48" t="s">
        <v>5320</v>
      </c>
      <c r="C551" s="60">
        <v>45598</v>
      </c>
      <c r="D551" s="54" t="s">
        <v>168</v>
      </c>
      <c r="E551" s="435" t="str">
        <f>IFERROR(VLOOKUP(D551,Mychart!$A$125:$B$811,2,FALSE),"-")</f>
        <v>UTS Carrier</v>
      </c>
      <c r="F551" s="295" t="s">
        <v>1204</v>
      </c>
      <c r="G551" s="58">
        <v>1</v>
      </c>
      <c r="H551" s="58"/>
      <c r="I551" s="58">
        <v>117505</v>
      </c>
      <c r="J551" s="58">
        <v>5875.25</v>
      </c>
      <c r="K551" s="56" t="s">
        <v>4809</v>
      </c>
      <c r="L551" s="56" t="s">
        <v>5321</v>
      </c>
      <c r="M551" s="292">
        <v>261</v>
      </c>
    </row>
    <row r="552" spans="1:13">
      <c r="A552" s="292">
        <v>261</v>
      </c>
      <c r="B552" s="48" t="s">
        <v>5320</v>
      </c>
      <c r="C552" s="60">
        <v>45598</v>
      </c>
      <c r="D552" s="54" t="s">
        <v>168</v>
      </c>
      <c r="E552" s="435" t="str">
        <f>IFERROR(VLOOKUP(D552,Mychart!$A$125:$B$811,2,FALSE),"-")</f>
        <v>UTS Carrier</v>
      </c>
      <c r="F552" s="295" t="s">
        <v>1281</v>
      </c>
      <c r="G552" s="58">
        <v>2</v>
      </c>
      <c r="H552" s="58"/>
      <c r="I552" s="58">
        <v>117505</v>
      </c>
      <c r="J552" s="58">
        <v>5875.25</v>
      </c>
      <c r="K552" s="56" t="s">
        <v>4809</v>
      </c>
      <c r="L552" s="56" t="s">
        <v>5321</v>
      </c>
      <c r="M552" s="292">
        <v>261</v>
      </c>
    </row>
    <row r="553" spans="1:13">
      <c r="A553" s="292">
        <v>261</v>
      </c>
      <c r="B553" s="48" t="s">
        <v>5320</v>
      </c>
      <c r="C553" s="60">
        <v>45598</v>
      </c>
      <c r="D553" s="54" t="s">
        <v>168</v>
      </c>
      <c r="E553" s="435" t="str">
        <f>IFERROR(VLOOKUP(D553,Mychart!$A$125:$B$811,2,FALSE),"-")</f>
        <v>UTS Carrier</v>
      </c>
      <c r="F553" s="295" t="s">
        <v>1300</v>
      </c>
      <c r="G553" s="58">
        <v>9</v>
      </c>
      <c r="H553" s="58"/>
      <c r="I553" s="58">
        <v>117505</v>
      </c>
      <c r="J553" s="58">
        <v>5875.25</v>
      </c>
      <c r="K553" s="56" t="s">
        <v>4809</v>
      </c>
      <c r="L553" s="56" t="s">
        <v>5321</v>
      </c>
      <c r="M553" s="292">
        <v>261</v>
      </c>
    </row>
    <row r="554" spans="1:13">
      <c r="A554" s="292">
        <v>261</v>
      </c>
      <c r="B554" s="48" t="s">
        <v>5320</v>
      </c>
      <c r="C554" s="60">
        <v>45598</v>
      </c>
      <c r="D554" s="54" t="s">
        <v>168</v>
      </c>
      <c r="E554" s="435" t="str">
        <f>IFERROR(VLOOKUP(D554,Mychart!$A$125:$B$811,2,FALSE),"-")</f>
        <v>UTS Carrier</v>
      </c>
      <c r="F554" s="295" t="s">
        <v>5322</v>
      </c>
      <c r="G554" s="58">
        <v>2</v>
      </c>
      <c r="H554" s="58"/>
      <c r="I554" s="58">
        <v>117505</v>
      </c>
      <c r="J554" s="58">
        <v>5875.25</v>
      </c>
      <c r="K554" s="56" t="s">
        <v>4809</v>
      </c>
      <c r="L554" s="56" t="s">
        <v>5321</v>
      </c>
      <c r="M554" s="292">
        <v>261</v>
      </c>
    </row>
    <row r="555" spans="1:13">
      <c r="A555" s="292">
        <v>261</v>
      </c>
      <c r="B555" s="48" t="s">
        <v>5320</v>
      </c>
      <c r="C555" s="60">
        <v>45598</v>
      </c>
      <c r="D555" s="54" t="s">
        <v>168</v>
      </c>
      <c r="E555" s="435" t="str">
        <f>IFERROR(VLOOKUP(D555,Mychart!$A$125:$B$811,2,FALSE),"-")</f>
        <v>UTS Carrier</v>
      </c>
      <c r="F555" s="295" t="s">
        <v>5317</v>
      </c>
      <c r="G555" s="58">
        <v>1</v>
      </c>
      <c r="H555" s="58">
        <v>117505</v>
      </c>
      <c r="I555" s="58">
        <v>117505</v>
      </c>
      <c r="J555" s="58">
        <v>5875.25</v>
      </c>
      <c r="K555" s="56" t="s">
        <v>5344</v>
      </c>
      <c r="L555" s="56" t="s">
        <v>5321</v>
      </c>
      <c r="M555" s="292">
        <v>261</v>
      </c>
    </row>
    <row r="556" spans="1:13">
      <c r="A556" s="292">
        <v>260</v>
      </c>
      <c r="B556" s="48" t="s">
        <v>5323</v>
      </c>
      <c r="C556" s="60">
        <v>45598</v>
      </c>
      <c r="D556" s="54" t="s">
        <v>168</v>
      </c>
      <c r="E556" s="435" t="str">
        <f>IFERROR(VLOOKUP(D556,Mychart!$A$125:$B$811,2,FALSE),"-")</f>
        <v>UTS Carrier</v>
      </c>
      <c r="F556" s="295" t="s">
        <v>825</v>
      </c>
      <c r="G556" s="58">
        <v>1</v>
      </c>
      <c r="H556" s="58"/>
      <c r="I556" s="58">
        <v>141690</v>
      </c>
      <c r="J556" s="58">
        <v>7084.5</v>
      </c>
      <c r="K556" s="56" t="s">
        <v>4809</v>
      </c>
      <c r="L556" s="56" t="s">
        <v>5324</v>
      </c>
      <c r="M556" s="292">
        <v>260</v>
      </c>
    </row>
    <row r="557" spans="1:13">
      <c r="A557" s="292">
        <v>260</v>
      </c>
      <c r="B557" s="48" t="s">
        <v>5323</v>
      </c>
      <c r="C557" s="60">
        <v>45598</v>
      </c>
      <c r="D557" s="54" t="s">
        <v>168</v>
      </c>
      <c r="E557" s="435" t="str">
        <f>IFERROR(VLOOKUP(D557,Mychart!$A$125:$B$811,2,FALSE),"-")</f>
        <v>UTS Carrier</v>
      </c>
      <c r="F557" s="295" t="s">
        <v>826</v>
      </c>
      <c r="G557" s="58">
        <v>1</v>
      </c>
      <c r="H557" s="58"/>
      <c r="I557" s="58">
        <v>141690</v>
      </c>
      <c r="J557" s="58">
        <v>7084.5</v>
      </c>
      <c r="K557" s="56" t="s">
        <v>4809</v>
      </c>
      <c r="L557" s="56" t="s">
        <v>5324</v>
      </c>
      <c r="M557" s="292">
        <v>260</v>
      </c>
    </row>
    <row r="558" spans="1:13">
      <c r="A558" s="292">
        <v>260</v>
      </c>
      <c r="B558" s="48" t="s">
        <v>5323</v>
      </c>
      <c r="C558" s="60">
        <v>45598</v>
      </c>
      <c r="D558" s="54" t="s">
        <v>168</v>
      </c>
      <c r="E558" s="435" t="str">
        <f>IFERROR(VLOOKUP(D558,Mychart!$A$125:$B$811,2,FALSE),"-")</f>
        <v>UTS Carrier</v>
      </c>
      <c r="F558" s="295" t="s">
        <v>827</v>
      </c>
      <c r="G558" s="58">
        <v>3</v>
      </c>
      <c r="H558" s="58"/>
      <c r="I558" s="58">
        <v>141690</v>
      </c>
      <c r="J558" s="58">
        <v>7084.5</v>
      </c>
      <c r="K558" s="56" t="s">
        <v>4809</v>
      </c>
      <c r="L558" s="56" t="s">
        <v>5324</v>
      </c>
      <c r="M558" s="292">
        <v>260</v>
      </c>
    </row>
    <row r="559" spans="1:13">
      <c r="A559" s="292">
        <v>260</v>
      </c>
      <c r="B559" s="48" t="s">
        <v>5323</v>
      </c>
      <c r="C559" s="60">
        <v>45598</v>
      </c>
      <c r="D559" s="54" t="s">
        <v>168</v>
      </c>
      <c r="E559" s="435" t="str">
        <f>IFERROR(VLOOKUP(D559,Mychart!$A$125:$B$811,2,FALSE),"-")</f>
        <v>UTS Carrier</v>
      </c>
      <c r="F559" s="295" t="s">
        <v>828</v>
      </c>
      <c r="G559" s="58">
        <v>3</v>
      </c>
      <c r="H559" s="58"/>
      <c r="I559" s="58">
        <v>141690</v>
      </c>
      <c r="J559" s="58">
        <v>7084.5</v>
      </c>
      <c r="K559" s="56" t="s">
        <v>4809</v>
      </c>
      <c r="L559" s="56" t="s">
        <v>5324</v>
      </c>
      <c r="M559" s="292">
        <v>260</v>
      </c>
    </row>
    <row r="560" spans="1:13">
      <c r="A560" s="292">
        <v>260</v>
      </c>
      <c r="B560" s="48" t="s">
        <v>5323</v>
      </c>
      <c r="C560" s="60">
        <v>45598</v>
      </c>
      <c r="D560" s="54" t="s">
        <v>168</v>
      </c>
      <c r="E560" s="435" t="str">
        <f>IFERROR(VLOOKUP(D560,Mychart!$A$125:$B$811,2,FALSE),"-")</f>
        <v>UTS Carrier</v>
      </c>
      <c r="F560" s="295" t="s">
        <v>234</v>
      </c>
      <c r="G560" s="58">
        <v>5</v>
      </c>
      <c r="H560" s="58"/>
      <c r="I560" s="58">
        <v>141690</v>
      </c>
      <c r="J560" s="58">
        <v>7084.5</v>
      </c>
      <c r="K560" s="56" t="s">
        <v>4809</v>
      </c>
      <c r="L560" s="56" t="s">
        <v>5324</v>
      </c>
      <c r="M560" s="292">
        <v>260</v>
      </c>
    </row>
    <row r="561" spans="1:13">
      <c r="A561" s="292">
        <v>260</v>
      </c>
      <c r="B561" s="48" t="s">
        <v>5323</v>
      </c>
      <c r="C561" s="60">
        <v>45598</v>
      </c>
      <c r="D561" s="54" t="s">
        <v>168</v>
      </c>
      <c r="E561" s="435" t="str">
        <f>IFERROR(VLOOKUP(D561,Mychart!$A$125:$B$811,2,FALSE),"-")</f>
        <v>UTS Carrier</v>
      </c>
      <c r="F561" s="295" t="s">
        <v>235</v>
      </c>
      <c r="G561" s="58">
        <v>5</v>
      </c>
      <c r="H561" s="58"/>
      <c r="I561" s="58">
        <v>141690</v>
      </c>
      <c r="J561" s="58">
        <v>7084.5</v>
      </c>
      <c r="K561" s="56" t="s">
        <v>4809</v>
      </c>
      <c r="L561" s="56" t="s">
        <v>5324</v>
      </c>
      <c r="M561" s="292">
        <v>260</v>
      </c>
    </row>
    <row r="562" spans="1:13">
      <c r="A562" s="292">
        <v>260</v>
      </c>
      <c r="B562" s="48" t="s">
        <v>5323</v>
      </c>
      <c r="C562" s="60">
        <v>45598</v>
      </c>
      <c r="D562" s="54" t="s">
        <v>168</v>
      </c>
      <c r="E562" s="435" t="str">
        <f>IFERROR(VLOOKUP(D562,Mychart!$A$125:$B$811,2,FALSE),"-")</f>
        <v>UTS Carrier</v>
      </c>
      <c r="F562" s="295" t="s">
        <v>232</v>
      </c>
      <c r="G562" s="58">
        <v>4</v>
      </c>
      <c r="H562" s="58"/>
      <c r="I562" s="58">
        <v>141690</v>
      </c>
      <c r="J562" s="58">
        <v>7084.5</v>
      </c>
      <c r="K562" s="56" t="s">
        <v>4809</v>
      </c>
      <c r="L562" s="56" t="s">
        <v>5324</v>
      </c>
      <c r="M562" s="292">
        <v>260</v>
      </c>
    </row>
    <row r="563" spans="1:13">
      <c r="A563" s="292">
        <v>260</v>
      </c>
      <c r="B563" s="48" t="s">
        <v>5323</v>
      </c>
      <c r="C563" s="60">
        <v>45598</v>
      </c>
      <c r="D563" s="54" t="s">
        <v>168</v>
      </c>
      <c r="E563" s="435" t="str">
        <f>IFERROR(VLOOKUP(D563,Mychart!$A$125:$B$811,2,FALSE),"-")</f>
        <v>UTS Carrier</v>
      </c>
      <c r="F563" s="295" t="s">
        <v>233</v>
      </c>
      <c r="G563" s="58">
        <v>4</v>
      </c>
      <c r="H563" s="58"/>
      <c r="I563" s="58">
        <v>141690</v>
      </c>
      <c r="J563" s="58">
        <v>7084.5</v>
      </c>
      <c r="K563" s="56" t="s">
        <v>4809</v>
      </c>
      <c r="L563" s="56" t="s">
        <v>5324</v>
      </c>
      <c r="M563" s="292">
        <v>260</v>
      </c>
    </row>
    <row r="564" spans="1:13">
      <c r="A564" s="292">
        <v>260</v>
      </c>
      <c r="B564" s="48" t="s">
        <v>5323</v>
      </c>
      <c r="C564" s="60">
        <v>45598</v>
      </c>
      <c r="D564" s="54" t="s">
        <v>168</v>
      </c>
      <c r="E564" s="435" t="str">
        <f>IFERROR(VLOOKUP(D564,Mychart!$A$125:$B$811,2,FALSE),"-")</f>
        <v>UTS Carrier</v>
      </c>
      <c r="F564" s="295" t="s">
        <v>832</v>
      </c>
      <c r="G564" s="58">
        <v>3</v>
      </c>
      <c r="H564" s="58"/>
      <c r="I564" s="58">
        <v>141690</v>
      </c>
      <c r="J564" s="58">
        <v>7084.5</v>
      </c>
      <c r="K564" s="56" t="s">
        <v>4809</v>
      </c>
      <c r="L564" s="56" t="s">
        <v>5324</v>
      </c>
      <c r="M564" s="292">
        <v>260</v>
      </c>
    </row>
    <row r="565" spans="1:13">
      <c r="A565" s="292">
        <v>260</v>
      </c>
      <c r="B565" s="48" t="s">
        <v>5323</v>
      </c>
      <c r="C565" s="60">
        <v>45598</v>
      </c>
      <c r="D565" s="54" t="s">
        <v>168</v>
      </c>
      <c r="E565" s="435" t="str">
        <f>IFERROR(VLOOKUP(D565,Mychart!$A$125:$B$811,2,FALSE),"-")</f>
        <v>UTS Carrier</v>
      </c>
      <c r="F565" s="295" t="s">
        <v>833</v>
      </c>
      <c r="G565" s="58">
        <v>3</v>
      </c>
      <c r="H565" s="58"/>
      <c r="I565" s="58">
        <v>141690</v>
      </c>
      <c r="J565" s="58">
        <v>7084.5</v>
      </c>
      <c r="K565" s="56" t="s">
        <v>4809</v>
      </c>
      <c r="L565" s="56" t="s">
        <v>5324</v>
      </c>
      <c r="M565" s="292">
        <v>260</v>
      </c>
    </row>
    <row r="566" spans="1:13">
      <c r="A566" s="292">
        <v>260</v>
      </c>
      <c r="B566" s="48" t="s">
        <v>5323</v>
      </c>
      <c r="C566" s="60">
        <v>45598</v>
      </c>
      <c r="D566" s="54" t="s">
        <v>168</v>
      </c>
      <c r="E566" s="435" t="str">
        <f>IFERROR(VLOOKUP(D566,Mychart!$A$125:$B$811,2,FALSE),"-")</f>
        <v>UTS Carrier</v>
      </c>
      <c r="F566" s="295" t="s">
        <v>1081</v>
      </c>
      <c r="G566" s="58">
        <v>1</v>
      </c>
      <c r="H566" s="58"/>
      <c r="I566" s="58">
        <v>141690</v>
      </c>
      <c r="J566" s="58">
        <v>7084.5</v>
      </c>
      <c r="K566" s="56" t="s">
        <v>4809</v>
      </c>
      <c r="L566" s="56" t="s">
        <v>5324</v>
      </c>
      <c r="M566" s="292">
        <v>260</v>
      </c>
    </row>
    <row r="567" spans="1:13">
      <c r="A567" s="292">
        <v>260</v>
      </c>
      <c r="B567" s="48" t="s">
        <v>5323</v>
      </c>
      <c r="C567" s="60">
        <v>45598</v>
      </c>
      <c r="D567" s="54" t="s">
        <v>168</v>
      </c>
      <c r="E567" s="435" t="str">
        <f>IFERROR(VLOOKUP(D567,Mychart!$A$125:$B$811,2,FALSE),"-")</f>
        <v>UTS Carrier</v>
      </c>
      <c r="F567" s="295" t="s">
        <v>1082</v>
      </c>
      <c r="G567" s="58">
        <v>1</v>
      </c>
      <c r="H567" s="58"/>
      <c r="I567" s="58">
        <v>141690</v>
      </c>
      <c r="J567" s="58">
        <v>7084.5</v>
      </c>
      <c r="K567" s="56" t="s">
        <v>4809</v>
      </c>
      <c r="L567" s="56" t="s">
        <v>5324</v>
      </c>
      <c r="M567" s="292">
        <v>260</v>
      </c>
    </row>
    <row r="568" spans="1:13">
      <c r="A568" s="292">
        <v>260</v>
      </c>
      <c r="B568" s="48" t="s">
        <v>5323</v>
      </c>
      <c r="C568" s="60">
        <v>45598</v>
      </c>
      <c r="D568" s="54" t="s">
        <v>168</v>
      </c>
      <c r="E568" s="435" t="str">
        <f>IFERROR(VLOOKUP(D568,Mychart!$A$125:$B$811,2,FALSE),"-")</f>
        <v>UTS Carrier</v>
      </c>
      <c r="F568" s="295" t="s">
        <v>834</v>
      </c>
      <c r="G568" s="58">
        <v>1</v>
      </c>
      <c r="H568" s="58"/>
      <c r="I568" s="58">
        <v>141690</v>
      </c>
      <c r="J568" s="58">
        <v>7084.5</v>
      </c>
      <c r="K568" s="56" t="s">
        <v>4809</v>
      </c>
      <c r="L568" s="56" t="s">
        <v>5324</v>
      </c>
      <c r="M568" s="292">
        <v>260</v>
      </c>
    </row>
    <row r="569" spans="1:13">
      <c r="A569" s="292">
        <v>260</v>
      </c>
      <c r="B569" s="48" t="s">
        <v>5323</v>
      </c>
      <c r="C569" s="60">
        <v>45598</v>
      </c>
      <c r="D569" s="54" t="s">
        <v>168</v>
      </c>
      <c r="E569" s="435" t="str">
        <f>IFERROR(VLOOKUP(D569,Mychart!$A$125:$B$811,2,FALSE),"-")</f>
        <v>UTS Carrier</v>
      </c>
      <c r="F569" s="295" t="s">
        <v>835</v>
      </c>
      <c r="G569" s="58">
        <v>1</v>
      </c>
      <c r="H569" s="58"/>
      <c r="I569" s="58">
        <v>141690</v>
      </c>
      <c r="J569" s="58">
        <v>7084.5</v>
      </c>
      <c r="K569" s="56" t="s">
        <v>4809</v>
      </c>
      <c r="L569" s="56" t="s">
        <v>5324</v>
      </c>
      <c r="M569" s="292">
        <v>260</v>
      </c>
    </row>
    <row r="570" spans="1:13">
      <c r="A570" s="292">
        <v>260</v>
      </c>
      <c r="B570" s="48" t="s">
        <v>5323</v>
      </c>
      <c r="C570" s="60">
        <v>45598</v>
      </c>
      <c r="D570" s="54" t="s">
        <v>168</v>
      </c>
      <c r="E570" s="435" t="str">
        <f>IFERROR(VLOOKUP(D570,Mychart!$A$125:$B$811,2,FALSE),"-")</f>
        <v>UTS Carrier</v>
      </c>
      <c r="F570" s="295" t="s">
        <v>5325</v>
      </c>
      <c r="G570" s="58">
        <v>1</v>
      </c>
      <c r="H570" s="58"/>
      <c r="I570" s="58">
        <v>141690</v>
      </c>
      <c r="J570" s="58">
        <v>7084.5</v>
      </c>
      <c r="K570" s="56" t="s">
        <v>4809</v>
      </c>
      <c r="L570" s="56" t="s">
        <v>5324</v>
      </c>
      <c r="M570" s="292">
        <v>260</v>
      </c>
    </row>
    <row r="571" spans="1:13">
      <c r="A571" s="292">
        <v>260</v>
      </c>
      <c r="B571" s="48" t="s">
        <v>5323</v>
      </c>
      <c r="C571" s="60">
        <v>45598</v>
      </c>
      <c r="D571" s="54" t="s">
        <v>168</v>
      </c>
      <c r="E571" s="435" t="str">
        <f>IFERROR(VLOOKUP(D571,Mychart!$A$125:$B$811,2,FALSE),"-")</f>
        <v>UTS Carrier</v>
      </c>
      <c r="F571" s="295" t="s">
        <v>1300</v>
      </c>
      <c r="G571" s="58">
        <v>13</v>
      </c>
      <c r="H571" s="58"/>
      <c r="I571" s="58">
        <v>141690</v>
      </c>
      <c r="J571" s="58">
        <v>7084.5</v>
      </c>
      <c r="K571" s="56" t="s">
        <v>4809</v>
      </c>
      <c r="L571" s="56" t="s">
        <v>5324</v>
      </c>
      <c r="M571" s="292">
        <v>260</v>
      </c>
    </row>
    <row r="572" spans="1:13">
      <c r="A572" s="292">
        <v>260</v>
      </c>
      <c r="B572" s="48" t="s">
        <v>5323</v>
      </c>
      <c r="C572" s="60">
        <v>45598</v>
      </c>
      <c r="D572" s="54" t="s">
        <v>168</v>
      </c>
      <c r="E572" s="435" t="str">
        <f>IFERROR(VLOOKUP(D572,Mychart!$A$125:$B$811,2,FALSE),"-")</f>
        <v>UTS Carrier</v>
      </c>
      <c r="F572" s="295" t="s">
        <v>5322</v>
      </c>
      <c r="G572" s="58">
        <v>1</v>
      </c>
      <c r="H572" s="58"/>
      <c r="I572" s="58">
        <v>141690</v>
      </c>
      <c r="J572" s="58">
        <v>7084.5</v>
      </c>
      <c r="K572" s="56" t="s">
        <v>4809</v>
      </c>
      <c r="L572" s="56" t="s">
        <v>5324</v>
      </c>
      <c r="M572" s="292">
        <v>260</v>
      </c>
    </row>
    <row r="573" spans="1:13">
      <c r="A573" s="292">
        <v>260</v>
      </c>
      <c r="B573" s="48" t="s">
        <v>5323</v>
      </c>
      <c r="C573" s="60">
        <v>45598</v>
      </c>
      <c r="D573" s="54" t="s">
        <v>168</v>
      </c>
      <c r="E573" s="435" t="str">
        <f>IFERROR(VLOOKUP(D573,Mychart!$A$125:$B$811,2,FALSE),"-")</f>
        <v>UTS Carrier</v>
      </c>
      <c r="F573" s="295" t="s">
        <v>5317</v>
      </c>
      <c r="G573" s="58">
        <v>1</v>
      </c>
      <c r="H573" s="58">
        <v>141690</v>
      </c>
      <c r="I573" s="58">
        <v>141690</v>
      </c>
      <c r="J573" s="58">
        <v>7084.5</v>
      </c>
      <c r="K573" s="56" t="s">
        <v>5344</v>
      </c>
      <c r="L573" s="56" t="s">
        <v>5324</v>
      </c>
      <c r="M573" s="292">
        <v>260</v>
      </c>
    </row>
    <row r="574" spans="1:13">
      <c r="A574" s="292">
        <v>265</v>
      </c>
      <c r="B574" s="48" t="s">
        <v>5326</v>
      </c>
      <c r="C574" s="60">
        <v>45598</v>
      </c>
      <c r="D574" s="54" t="s">
        <v>168</v>
      </c>
      <c r="E574" s="435" t="str">
        <f>IFERROR(VLOOKUP(D574,Mychart!$A$125:$B$811,2,FALSE),"-")</f>
        <v>UTS Carrier</v>
      </c>
      <c r="F574" s="295" t="s">
        <v>825</v>
      </c>
      <c r="G574" s="58">
        <v>1</v>
      </c>
      <c r="H574" s="58"/>
      <c r="I574" s="58">
        <v>128105</v>
      </c>
      <c r="J574" s="58">
        <v>6405.25</v>
      </c>
      <c r="K574" s="56" t="s">
        <v>4809</v>
      </c>
      <c r="L574" s="56" t="s">
        <v>5327</v>
      </c>
      <c r="M574" s="292">
        <v>265</v>
      </c>
    </row>
    <row r="575" spans="1:13">
      <c r="A575" s="292">
        <v>265</v>
      </c>
      <c r="B575" s="48" t="s">
        <v>5326</v>
      </c>
      <c r="C575" s="60">
        <v>45598</v>
      </c>
      <c r="D575" s="54" t="s">
        <v>168</v>
      </c>
      <c r="E575" s="435" t="str">
        <f>IFERROR(VLOOKUP(D575,Mychart!$A$125:$B$811,2,FALSE),"-")</f>
        <v>UTS Carrier</v>
      </c>
      <c r="F575" s="295" t="s">
        <v>826</v>
      </c>
      <c r="G575" s="58">
        <v>1</v>
      </c>
      <c r="H575" s="58"/>
      <c r="I575" s="58">
        <v>128105</v>
      </c>
      <c r="J575" s="58">
        <v>6405.25</v>
      </c>
      <c r="K575" s="56" t="s">
        <v>4809</v>
      </c>
      <c r="L575" s="56" t="s">
        <v>5327</v>
      </c>
      <c r="M575" s="292">
        <v>265</v>
      </c>
    </row>
    <row r="576" spans="1:13">
      <c r="A576" s="292">
        <v>265</v>
      </c>
      <c r="B576" s="48" t="s">
        <v>5326</v>
      </c>
      <c r="C576" s="60">
        <v>45598</v>
      </c>
      <c r="D576" s="54" t="s">
        <v>168</v>
      </c>
      <c r="E576" s="435" t="str">
        <f>IFERROR(VLOOKUP(D576,Mychart!$A$125:$B$811,2,FALSE),"-")</f>
        <v>UTS Carrier</v>
      </c>
      <c r="F576" s="295" t="s">
        <v>827</v>
      </c>
      <c r="G576" s="58">
        <v>1</v>
      </c>
      <c r="H576" s="58"/>
      <c r="I576" s="58">
        <v>128105</v>
      </c>
      <c r="J576" s="58">
        <v>6405.25</v>
      </c>
      <c r="K576" s="56" t="s">
        <v>4809</v>
      </c>
      <c r="L576" s="56" t="s">
        <v>5327</v>
      </c>
      <c r="M576" s="292">
        <v>265</v>
      </c>
    </row>
    <row r="577" spans="1:13">
      <c r="A577" s="292">
        <v>265</v>
      </c>
      <c r="B577" s="48" t="s">
        <v>5326</v>
      </c>
      <c r="C577" s="60">
        <v>45598</v>
      </c>
      <c r="D577" s="54" t="s">
        <v>168</v>
      </c>
      <c r="E577" s="435" t="str">
        <f>IFERROR(VLOOKUP(D577,Mychart!$A$125:$B$811,2,FALSE),"-")</f>
        <v>UTS Carrier</v>
      </c>
      <c r="F577" s="295" t="s">
        <v>828</v>
      </c>
      <c r="G577" s="58">
        <v>1</v>
      </c>
      <c r="H577" s="58"/>
      <c r="I577" s="58">
        <v>128105</v>
      </c>
      <c r="J577" s="58">
        <v>6405.25</v>
      </c>
      <c r="K577" s="56" t="s">
        <v>4809</v>
      </c>
      <c r="L577" s="56" t="s">
        <v>5327</v>
      </c>
      <c r="M577" s="292">
        <v>265</v>
      </c>
    </row>
    <row r="578" spans="1:13">
      <c r="A578" s="292">
        <v>265</v>
      </c>
      <c r="B578" s="48" t="s">
        <v>5326</v>
      </c>
      <c r="C578" s="60">
        <v>45598</v>
      </c>
      <c r="D578" s="54" t="s">
        <v>168</v>
      </c>
      <c r="E578" s="435" t="str">
        <f>IFERROR(VLOOKUP(D578,Mychart!$A$125:$B$811,2,FALSE),"-")</f>
        <v>UTS Carrier</v>
      </c>
      <c r="F578" s="295" t="s">
        <v>238</v>
      </c>
      <c r="G578" s="58">
        <v>2</v>
      </c>
      <c r="H578" s="58"/>
      <c r="I578" s="58">
        <v>128105</v>
      </c>
      <c r="J578" s="58">
        <v>6405.25</v>
      </c>
      <c r="K578" s="56" t="s">
        <v>4809</v>
      </c>
      <c r="L578" s="56" t="s">
        <v>5327</v>
      </c>
      <c r="M578" s="292">
        <v>265</v>
      </c>
    </row>
    <row r="579" spans="1:13">
      <c r="A579" s="292">
        <v>265</v>
      </c>
      <c r="B579" s="48" t="s">
        <v>5326</v>
      </c>
      <c r="C579" s="60">
        <v>45598</v>
      </c>
      <c r="D579" s="54" t="s">
        <v>168</v>
      </c>
      <c r="E579" s="435" t="str">
        <f>IFERROR(VLOOKUP(D579,Mychart!$A$125:$B$811,2,FALSE),"-")</f>
        <v>UTS Carrier</v>
      </c>
      <c r="F579" s="295" t="s">
        <v>239</v>
      </c>
      <c r="G579" s="58">
        <v>2</v>
      </c>
      <c r="H579" s="58"/>
      <c r="I579" s="58">
        <v>128105</v>
      </c>
      <c r="J579" s="58">
        <v>6405.25</v>
      </c>
      <c r="K579" s="56" t="s">
        <v>4809</v>
      </c>
      <c r="L579" s="56" t="s">
        <v>5327</v>
      </c>
      <c r="M579" s="292">
        <v>265</v>
      </c>
    </row>
    <row r="580" spans="1:13">
      <c r="A580" s="292">
        <v>265</v>
      </c>
      <c r="B580" s="48" t="s">
        <v>5326</v>
      </c>
      <c r="C580" s="60">
        <v>45598</v>
      </c>
      <c r="D580" s="54" t="s">
        <v>168</v>
      </c>
      <c r="E580" s="435" t="str">
        <f>IFERROR(VLOOKUP(D580,Mychart!$A$125:$B$811,2,FALSE),"-")</f>
        <v>UTS Carrier</v>
      </c>
      <c r="F580" s="295" t="s">
        <v>234</v>
      </c>
      <c r="G580" s="58">
        <v>4</v>
      </c>
      <c r="H580" s="58"/>
      <c r="I580" s="58">
        <v>128105</v>
      </c>
      <c r="J580" s="58">
        <v>6405.25</v>
      </c>
      <c r="K580" s="56" t="s">
        <v>4809</v>
      </c>
      <c r="L580" s="56" t="s">
        <v>5327</v>
      </c>
      <c r="M580" s="292">
        <v>265</v>
      </c>
    </row>
    <row r="581" spans="1:13">
      <c r="A581" s="292">
        <v>265</v>
      </c>
      <c r="B581" s="48" t="s">
        <v>5326</v>
      </c>
      <c r="C581" s="60">
        <v>45598</v>
      </c>
      <c r="D581" s="54" t="s">
        <v>168</v>
      </c>
      <c r="E581" s="435" t="str">
        <f>IFERROR(VLOOKUP(D581,Mychart!$A$125:$B$811,2,FALSE),"-")</f>
        <v>UTS Carrier</v>
      </c>
      <c r="F581" s="295" t="s">
        <v>235</v>
      </c>
      <c r="G581" s="58">
        <v>4</v>
      </c>
      <c r="H581" s="58"/>
      <c r="I581" s="58">
        <v>128105</v>
      </c>
      <c r="J581" s="58">
        <v>6405.25</v>
      </c>
      <c r="K581" s="56" t="s">
        <v>4809</v>
      </c>
      <c r="L581" s="56" t="s">
        <v>5327</v>
      </c>
      <c r="M581" s="292">
        <v>265</v>
      </c>
    </row>
    <row r="582" spans="1:13">
      <c r="A582" s="292">
        <v>265</v>
      </c>
      <c r="B582" s="48" t="s">
        <v>5326</v>
      </c>
      <c r="C582" s="60">
        <v>45598</v>
      </c>
      <c r="D582" s="54" t="s">
        <v>168</v>
      </c>
      <c r="E582" s="435" t="str">
        <f>IFERROR(VLOOKUP(D582,Mychart!$A$125:$B$811,2,FALSE),"-")</f>
        <v>UTS Carrier</v>
      </c>
      <c r="F582" s="295" t="s">
        <v>232</v>
      </c>
      <c r="G582" s="58">
        <v>8</v>
      </c>
      <c r="H582" s="58"/>
      <c r="I582" s="58">
        <v>128105</v>
      </c>
      <c r="J582" s="58">
        <v>6405.25</v>
      </c>
      <c r="K582" s="56" t="s">
        <v>4809</v>
      </c>
      <c r="L582" s="56" t="s">
        <v>5327</v>
      </c>
      <c r="M582" s="292">
        <v>265</v>
      </c>
    </row>
    <row r="583" spans="1:13">
      <c r="A583" s="292">
        <v>265</v>
      </c>
      <c r="B583" s="48" t="s">
        <v>5326</v>
      </c>
      <c r="C583" s="60">
        <v>45598</v>
      </c>
      <c r="D583" s="54" t="s">
        <v>168</v>
      </c>
      <c r="E583" s="435" t="str">
        <f>IFERROR(VLOOKUP(D583,Mychart!$A$125:$B$811,2,FALSE),"-")</f>
        <v>UTS Carrier</v>
      </c>
      <c r="F583" s="295" t="s">
        <v>233</v>
      </c>
      <c r="G583" s="58">
        <v>8</v>
      </c>
      <c r="H583" s="58"/>
      <c r="I583" s="58">
        <v>128105</v>
      </c>
      <c r="J583" s="58">
        <v>6405.25</v>
      </c>
      <c r="K583" s="56" t="s">
        <v>4809</v>
      </c>
      <c r="L583" s="56" t="s">
        <v>5327</v>
      </c>
      <c r="M583" s="292">
        <v>265</v>
      </c>
    </row>
    <row r="584" spans="1:13">
      <c r="A584" s="292">
        <v>265</v>
      </c>
      <c r="B584" s="48" t="s">
        <v>5326</v>
      </c>
      <c r="C584" s="60">
        <v>45598</v>
      </c>
      <c r="D584" s="54" t="s">
        <v>168</v>
      </c>
      <c r="E584" s="435" t="str">
        <f>IFERROR(VLOOKUP(D584,Mychart!$A$125:$B$811,2,FALSE),"-")</f>
        <v>UTS Carrier</v>
      </c>
      <c r="F584" s="295" t="s">
        <v>832</v>
      </c>
      <c r="G584" s="58">
        <v>3</v>
      </c>
      <c r="H584" s="58"/>
      <c r="I584" s="58">
        <v>128105</v>
      </c>
      <c r="J584" s="58">
        <v>6405.25</v>
      </c>
      <c r="K584" s="56" t="s">
        <v>4809</v>
      </c>
      <c r="L584" s="56" t="s">
        <v>5327</v>
      </c>
      <c r="M584" s="292">
        <v>265</v>
      </c>
    </row>
    <row r="585" spans="1:13">
      <c r="A585" s="292">
        <v>265</v>
      </c>
      <c r="B585" s="48" t="s">
        <v>5326</v>
      </c>
      <c r="C585" s="60">
        <v>45598</v>
      </c>
      <c r="D585" s="54" t="s">
        <v>168</v>
      </c>
      <c r="E585" s="435" t="str">
        <f>IFERROR(VLOOKUP(D585,Mychart!$A$125:$B$811,2,FALSE),"-")</f>
        <v>UTS Carrier</v>
      </c>
      <c r="F585" s="295" t="s">
        <v>833</v>
      </c>
      <c r="G585" s="58">
        <v>3</v>
      </c>
      <c r="H585" s="58"/>
      <c r="I585" s="58">
        <v>128105</v>
      </c>
      <c r="J585" s="58">
        <v>6405.25</v>
      </c>
      <c r="K585" s="56" t="s">
        <v>4809</v>
      </c>
      <c r="L585" s="56" t="s">
        <v>5327</v>
      </c>
      <c r="M585" s="292">
        <v>265</v>
      </c>
    </row>
    <row r="586" spans="1:13">
      <c r="A586" s="292">
        <v>265</v>
      </c>
      <c r="B586" s="48" t="s">
        <v>5326</v>
      </c>
      <c r="C586" s="60">
        <v>45598</v>
      </c>
      <c r="D586" s="54" t="s">
        <v>168</v>
      </c>
      <c r="E586" s="435" t="str">
        <f>IFERROR(VLOOKUP(D586,Mychart!$A$125:$B$811,2,FALSE),"-")</f>
        <v>UTS Carrier</v>
      </c>
      <c r="F586" s="295" t="s">
        <v>1300</v>
      </c>
      <c r="G586" s="58">
        <v>16</v>
      </c>
      <c r="H586" s="58"/>
      <c r="I586" s="58">
        <v>128105</v>
      </c>
      <c r="J586" s="58">
        <v>6405.25</v>
      </c>
      <c r="K586" s="56" t="s">
        <v>4809</v>
      </c>
      <c r="L586" s="56" t="s">
        <v>5327</v>
      </c>
      <c r="M586" s="292">
        <v>265</v>
      </c>
    </row>
    <row r="587" spans="1:13">
      <c r="A587" s="292">
        <v>265</v>
      </c>
      <c r="B587" s="48" t="s">
        <v>5326</v>
      </c>
      <c r="C587" s="60">
        <v>45598</v>
      </c>
      <c r="D587" s="54" t="s">
        <v>168</v>
      </c>
      <c r="E587" s="435" t="str">
        <f>IFERROR(VLOOKUP(D587,Mychart!$A$125:$B$811,2,FALSE),"-")</f>
        <v>UTS Carrier</v>
      </c>
      <c r="F587" s="295" t="s">
        <v>5317</v>
      </c>
      <c r="G587" s="58">
        <v>1</v>
      </c>
      <c r="H587" s="58">
        <v>128105</v>
      </c>
      <c r="I587" s="58">
        <v>128105</v>
      </c>
      <c r="J587" s="58">
        <v>6405.25</v>
      </c>
      <c r="K587" s="56" t="s">
        <v>5344</v>
      </c>
      <c r="L587" s="56" t="s">
        <v>5327</v>
      </c>
      <c r="M587" s="292">
        <v>265</v>
      </c>
    </row>
    <row r="588" spans="1:13">
      <c r="A588" s="292">
        <v>280</v>
      </c>
      <c r="B588" s="48" t="s">
        <v>5328</v>
      </c>
      <c r="C588" s="60">
        <v>45598</v>
      </c>
      <c r="D588" s="54" t="s">
        <v>168</v>
      </c>
      <c r="E588" s="435" t="str">
        <f>IFERROR(VLOOKUP(D588,Mychart!$A$125:$B$811,2,FALSE),"-")</f>
        <v>UTS Carrier</v>
      </c>
      <c r="F588" s="295" t="s">
        <v>236</v>
      </c>
      <c r="G588" s="58">
        <v>2</v>
      </c>
      <c r="H588" s="58"/>
      <c r="I588" s="58">
        <v>70815</v>
      </c>
      <c r="J588" s="58">
        <v>3540.75</v>
      </c>
      <c r="K588" s="56" t="s">
        <v>4809</v>
      </c>
      <c r="L588" s="56" t="s">
        <v>869</v>
      </c>
      <c r="M588" s="292">
        <v>280</v>
      </c>
    </row>
    <row r="589" spans="1:13">
      <c r="A589" s="292">
        <v>280</v>
      </c>
      <c r="B589" s="48" t="s">
        <v>5328</v>
      </c>
      <c r="C589" s="60">
        <v>45598</v>
      </c>
      <c r="D589" s="54" t="s">
        <v>168</v>
      </c>
      <c r="E589" s="435" t="str">
        <f>IFERROR(VLOOKUP(D589,Mychart!$A$125:$B$811,2,FALSE),"-")</f>
        <v>UTS Carrier</v>
      </c>
      <c r="F589" s="295" t="s">
        <v>237</v>
      </c>
      <c r="G589" s="58">
        <v>2</v>
      </c>
      <c r="H589" s="58"/>
      <c r="I589" s="58">
        <v>70815</v>
      </c>
      <c r="J589" s="58">
        <v>3540.75</v>
      </c>
      <c r="K589" s="56" t="s">
        <v>4809</v>
      </c>
      <c r="L589" s="56" t="s">
        <v>869</v>
      </c>
      <c r="M589" s="292">
        <v>280</v>
      </c>
    </row>
    <row r="590" spans="1:13">
      <c r="A590" s="292">
        <v>280</v>
      </c>
      <c r="B590" s="48" t="s">
        <v>5328</v>
      </c>
      <c r="C590" s="60">
        <v>45598</v>
      </c>
      <c r="D590" s="54" t="s">
        <v>168</v>
      </c>
      <c r="E590" s="435" t="str">
        <f>IFERROR(VLOOKUP(D590,Mychart!$A$125:$B$811,2,FALSE),"-")</f>
        <v>UTS Carrier</v>
      </c>
      <c r="F590" s="295" t="s">
        <v>827</v>
      </c>
      <c r="G590" s="58">
        <v>3</v>
      </c>
      <c r="H590" s="58"/>
      <c r="I590" s="58">
        <v>70815</v>
      </c>
      <c r="J590" s="58">
        <v>3540.75</v>
      </c>
      <c r="K590" s="56" t="s">
        <v>4809</v>
      </c>
      <c r="L590" s="56" t="s">
        <v>869</v>
      </c>
      <c r="M590" s="292">
        <v>280</v>
      </c>
    </row>
    <row r="591" spans="1:13">
      <c r="A591" s="292">
        <v>280</v>
      </c>
      <c r="B591" s="48" t="s">
        <v>5328</v>
      </c>
      <c r="C591" s="60">
        <v>45598</v>
      </c>
      <c r="D591" s="54" t="s">
        <v>168</v>
      </c>
      <c r="E591" s="435" t="str">
        <f>IFERROR(VLOOKUP(D591,Mychart!$A$125:$B$811,2,FALSE),"-")</f>
        <v>UTS Carrier</v>
      </c>
      <c r="F591" s="295" t="s">
        <v>828</v>
      </c>
      <c r="G591" s="58">
        <v>3</v>
      </c>
      <c r="H591" s="58"/>
      <c r="I591" s="58">
        <v>70815</v>
      </c>
      <c r="J591" s="58">
        <v>3540.75</v>
      </c>
      <c r="K591" s="56" t="s">
        <v>4809</v>
      </c>
      <c r="L591" s="56" t="s">
        <v>869</v>
      </c>
      <c r="M591" s="292">
        <v>280</v>
      </c>
    </row>
    <row r="592" spans="1:13">
      <c r="A592" s="292">
        <v>280</v>
      </c>
      <c r="B592" s="48" t="s">
        <v>5328</v>
      </c>
      <c r="C592" s="60">
        <v>45598</v>
      </c>
      <c r="D592" s="54" t="s">
        <v>168</v>
      </c>
      <c r="E592" s="435" t="str">
        <f>IFERROR(VLOOKUP(D592,Mychart!$A$125:$B$811,2,FALSE),"-")</f>
        <v>UTS Carrier</v>
      </c>
      <c r="F592" s="295" t="s">
        <v>238</v>
      </c>
      <c r="G592" s="58">
        <v>2</v>
      </c>
      <c r="H592" s="58"/>
      <c r="I592" s="58">
        <v>70815</v>
      </c>
      <c r="J592" s="58">
        <v>3540.75</v>
      </c>
      <c r="K592" s="56" t="s">
        <v>4809</v>
      </c>
      <c r="L592" s="56" t="s">
        <v>869</v>
      </c>
      <c r="M592" s="292">
        <v>280</v>
      </c>
    </row>
    <row r="593" spans="1:13">
      <c r="A593" s="292">
        <v>280</v>
      </c>
      <c r="B593" s="48" t="s">
        <v>5328</v>
      </c>
      <c r="C593" s="60">
        <v>45598</v>
      </c>
      <c r="D593" s="54" t="s">
        <v>168</v>
      </c>
      <c r="E593" s="435" t="str">
        <f>IFERROR(VLOOKUP(D593,Mychart!$A$125:$B$811,2,FALSE),"-")</f>
        <v>UTS Carrier</v>
      </c>
      <c r="F593" s="295" t="s">
        <v>239</v>
      </c>
      <c r="G593" s="58">
        <v>2</v>
      </c>
      <c r="H593" s="58"/>
      <c r="I593" s="58">
        <v>70815</v>
      </c>
      <c r="J593" s="58">
        <v>3540.75</v>
      </c>
      <c r="K593" s="56" t="s">
        <v>4809</v>
      </c>
      <c r="L593" s="56" t="s">
        <v>869</v>
      </c>
      <c r="M593" s="292">
        <v>280</v>
      </c>
    </row>
    <row r="594" spans="1:13">
      <c r="A594" s="292">
        <v>280</v>
      </c>
      <c r="B594" s="48" t="s">
        <v>5328</v>
      </c>
      <c r="C594" s="60">
        <v>45598</v>
      </c>
      <c r="D594" s="54" t="s">
        <v>168</v>
      </c>
      <c r="E594" s="435" t="str">
        <f>IFERROR(VLOOKUP(D594,Mychart!$A$125:$B$811,2,FALSE),"-")</f>
        <v>UTS Carrier</v>
      </c>
      <c r="F594" s="295" t="s">
        <v>234</v>
      </c>
      <c r="G594" s="58">
        <v>2</v>
      </c>
      <c r="H594" s="58"/>
      <c r="I594" s="58">
        <v>70815</v>
      </c>
      <c r="J594" s="58">
        <v>3540.75</v>
      </c>
      <c r="K594" s="56" t="s">
        <v>4809</v>
      </c>
      <c r="L594" s="56" t="s">
        <v>869</v>
      </c>
      <c r="M594" s="292">
        <v>280</v>
      </c>
    </row>
    <row r="595" spans="1:13">
      <c r="A595" s="292">
        <v>280</v>
      </c>
      <c r="B595" s="48" t="s">
        <v>5328</v>
      </c>
      <c r="C595" s="60">
        <v>45598</v>
      </c>
      <c r="D595" s="54" t="s">
        <v>168</v>
      </c>
      <c r="E595" s="435" t="str">
        <f>IFERROR(VLOOKUP(D595,Mychart!$A$125:$B$811,2,FALSE),"-")</f>
        <v>UTS Carrier</v>
      </c>
      <c r="F595" s="295" t="s">
        <v>235</v>
      </c>
      <c r="G595" s="58">
        <v>2</v>
      </c>
      <c r="H595" s="58"/>
      <c r="I595" s="58">
        <v>70815</v>
      </c>
      <c r="J595" s="58">
        <v>3540.75</v>
      </c>
      <c r="K595" s="56" t="s">
        <v>4809</v>
      </c>
      <c r="L595" s="56" t="s">
        <v>869</v>
      </c>
      <c r="M595" s="292">
        <v>280</v>
      </c>
    </row>
    <row r="596" spans="1:13">
      <c r="A596" s="292">
        <v>280</v>
      </c>
      <c r="B596" s="48" t="s">
        <v>5328</v>
      </c>
      <c r="C596" s="60">
        <v>45598</v>
      </c>
      <c r="D596" s="54" t="s">
        <v>168</v>
      </c>
      <c r="E596" s="435" t="str">
        <f>IFERROR(VLOOKUP(D596,Mychart!$A$125:$B$811,2,FALSE),"-")</f>
        <v>UTS Carrier</v>
      </c>
      <c r="F596" s="295" t="s">
        <v>1099</v>
      </c>
      <c r="G596" s="58">
        <v>4</v>
      </c>
      <c r="H596" s="58"/>
      <c r="I596" s="58">
        <v>70815</v>
      </c>
      <c r="J596" s="58">
        <v>3540.75</v>
      </c>
      <c r="K596" s="56" t="s">
        <v>4809</v>
      </c>
      <c r="L596" s="56" t="s">
        <v>869</v>
      </c>
      <c r="M596" s="292">
        <v>280</v>
      </c>
    </row>
    <row r="597" spans="1:13">
      <c r="A597" s="292">
        <v>280</v>
      </c>
      <c r="B597" s="48" t="s">
        <v>5328</v>
      </c>
      <c r="C597" s="60">
        <v>45598</v>
      </c>
      <c r="D597" s="54" t="s">
        <v>168</v>
      </c>
      <c r="E597" s="435" t="str">
        <f>IFERROR(VLOOKUP(D597,Mychart!$A$125:$B$811,2,FALSE),"-")</f>
        <v>UTS Carrier</v>
      </c>
      <c r="F597" s="295" t="s">
        <v>1100</v>
      </c>
      <c r="G597" s="58">
        <v>4</v>
      </c>
      <c r="H597" s="58"/>
      <c r="I597" s="58">
        <v>70815</v>
      </c>
      <c r="J597" s="58">
        <v>3540.75</v>
      </c>
      <c r="K597" s="56" t="s">
        <v>4809</v>
      </c>
      <c r="L597" s="56" t="s">
        <v>869</v>
      </c>
      <c r="M597" s="292">
        <v>280</v>
      </c>
    </row>
    <row r="598" spans="1:13">
      <c r="A598" s="292">
        <v>280</v>
      </c>
      <c r="B598" s="48" t="s">
        <v>5328</v>
      </c>
      <c r="C598" s="60">
        <v>45598</v>
      </c>
      <c r="D598" s="54" t="s">
        <v>168</v>
      </c>
      <c r="E598" s="435" t="str">
        <f>IFERROR(VLOOKUP(D598,Mychart!$A$125:$B$811,2,FALSE),"-")</f>
        <v>UTS Carrier</v>
      </c>
      <c r="F598" s="295" t="s">
        <v>832</v>
      </c>
      <c r="G598" s="58">
        <v>2</v>
      </c>
      <c r="H598" s="58"/>
      <c r="I598" s="58">
        <v>70815</v>
      </c>
      <c r="J598" s="58">
        <v>3540.75</v>
      </c>
      <c r="K598" s="56" t="s">
        <v>4809</v>
      </c>
      <c r="L598" s="56" t="s">
        <v>869</v>
      </c>
      <c r="M598" s="292">
        <v>280</v>
      </c>
    </row>
    <row r="599" spans="1:13">
      <c r="A599" s="292">
        <v>280</v>
      </c>
      <c r="B599" s="48" t="s">
        <v>5328</v>
      </c>
      <c r="C599" s="60">
        <v>45598</v>
      </c>
      <c r="D599" s="54" t="s">
        <v>168</v>
      </c>
      <c r="E599" s="435" t="str">
        <f>IFERROR(VLOOKUP(D599,Mychart!$A$125:$B$811,2,FALSE),"-")</f>
        <v>UTS Carrier</v>
      </c>
      <c r="F599" s="295" t="s">
        <v>833</v>
      </c>
      <c r="G599" s="58">
        <v>2</v>
      </c>
      <c r="H599" s="58"/>
      <c r="I599" s="58">
        <v>70815</v>
      </c>
      <c r="J599" s="58">
        <v>3540.75</v>
      </c>
      <c r="K599" s="56" t="s">
        <v>4809</v>
      </c>
      <c r="L599" s="56" t="s">
        <v>869</v>
      </c>
      <c r="M599" s="292">
        <v>280</v>
      </c>
    </row>
    <row r="600" spans="1:13">
      <c r="A600" s="292">
        <v>280</v>
      </c>
      <c r="B600" s="48" t="s">
        <v>5328</v>
      </c>
      <c r="C600" s="60">
        <v>45598</v>
      </c>
      <c r="D600" s="54" t="s">
        <v>168</v>
      </c>
      <c r="E600" s="435" t="str">
        <f>IFERROR(VLOOKUP(D600,Mychart!$A$125:$B$811,2,FALSE),"-")</f>
        <v>UTS Carrier</v>
      </c>
      <c r="F600" s="295" t="s">
        <v>3012</v>
      </c>
      <c r="G600" s="58">
        <v>1</v>
      </c>
      <c r="H600" s="58"/>
      <c r="I600" s="58">
        <v>70815</v>
      </c>
      <c r="J600" s="58">
        <v>3540.75</v>
      </c>
      <c r="K600" s="56" t="s">
        <v>4809</v>
      </c>
      <c r="L600" s="56" t="s">
        <v>869</v>
      </c>
      <c r="M600" s="292">
        <v>280</v>
      </c>
    </row>
    <row r="601" spans="1:13">
      <c r="A601" s="292">
        <v>280</v>
      </c>
      <c r="B601" s="48" t="s">
        <v>5328</v>
      </c>
      <c r="C601" s="60">
        <v>45598</v>
      </c>
      <c r="D601" s="54" t="s">
        <v>168</v>
      </c>
      <c r="E601" s="435" t="str">
        <f>IFERROR(VLOOKUP(D601,Mychart!$A$125:$B$811,2,FALSE),"-")</f>
        <v>UTS Carrier</v>
      </c>
      <c r="F601" s="295" t="s">
        <v>3013</v>
      </c>
      <c r="G601" s="58">
        <v>1</v>
      </c>
      <c r="H601" s="58"/>
      <c r="I601" s="58">
        <v>70815</v>
      </c>
      <c r="J601" s="58">
        <v>3540.75</v>
      </c>
      <c r="K601" s="56" t="s">
        <v>4809</v>
      </c>
      <c r="L601" s="56" t="s">
        <v>869</v>
      </c>
      <c r="M601" s="292">
        <v>280</v>
      </c>
    </row>
    <row r="602" spans="1:13">
      <c r="A602" s="292">
        <v>280</v>
      </c>
      <c r="B602" s="48" t="s">
        <v>5328</v>
      </c>
      <c r="C602" s="60">
        <v>45598</v>
      </c>
      <c r="D602" s="54" t="s">
        <v>168</v>
      </c>
      <c r="E602" s="435" t="str">
        <f>IFERROR(VLOOKUP(D602,Mychart!$A$125:$B$811,2,FALSE),"-")</f>
        <v>UTS Carrier</v>
      </c>
      <c r="F602" s="295" t="s">
        <v>5317</v>
      </c>
      <c r="G602" s="58">
        <v>1</v>
      </c>
      <c r="H602" s="58">
        <v>70815</v>
      </c>
      <c r="I602" s="58">
        <v>70815</v>
      </c>
      <c r="J602" s="58">
        <v>3540.75</v>
      </c>
      <c r="K602" s="56" t="s">
        <v>5346</v>
      </c>
      <c r="L602" s="56" t="s">
        <v>869</v>
      </c>
      <c r="M602" s="292">
        <v>280</v>
      </c>
    </row>
    <row r="603" spans="1:13">
      <c r="A603" s="292">
        <v>281</v>
      </c>
      <c r="B603" s="48" t="s">
        <v>5329</v>
      </c>
      <c r="C603" s="60">
        <v>45598</v>
      </c>
      <c r="D603" s="54" t="s">
        <v>168</v>
      </c>
      <c r="E603" s="435" t="str">
        <f>IFERROR(VLOOKUP(D603,Mychart!$A$125:$B$811,2,FALSE),"-")</f>
        <v>UTS Carrier</v>
      </c>
      <c r="F603" s="295" t="s">
        <v>825</v>
      </c>
      <c r="G603" s="58">
        <v>4</v>
      </c>
      <c r="H603" s="58"/>
      <c r="I603" s="58">
        <v>53570</v>
      </c>
      <c r="J603" s="58">
        <v>2678.5</v>
      </c>
      <c r="K603" s="56" t="s">
        <v>4809</v>
      </c>
      <c r="L603" s="56" t="s">
        <v>866</v>
      </c>
      <c r="M603" s="292">
        <v>281</v>
      </c>
    </row>
    <row r="604" spans="1:13">
      <c r="A604" s="292">
        <v>281</v>
      </c>
      <c r="B604" s="48" t="s">
        <v>5329</v>
      </c>
      <c r="C604" s="60">
        <v>45598</v>
      </c>
      <c r="D604" s="54" t="s">
        <v>168</v>
      </c>
      <c r="E604" s="435" t="str">
        <f>IFERROR(VLOOKUP(D604,Mychart!$A$125:$B$811,2,FALSE),"-")</f>
        <v>UTS Carrier</v>
      </c>
      <c r="F604" s="295" t="s">
        <v>826</v>
      </c>
      <c r="G604" s="58">
        <v>4</v>
      </c>
      <c r="H604" s="58"/>
      <c r="I604" s="58">
        <v>53570</v>
      </c>
      <c r="J604" s="58">
        <v>2678.5</v>
      </c>
      <c r="K604" s="56" t="s">
        <v>4809</v>
      </c>
      <c r="L604" s="56" t="s">
        <v>866</v>
      </c>
      <c r="M604" s="292">
        <v>281</v>
      </c>
    </row>
    <row r="605" spans="1:13">
      <c r="A605" s="292">
        <v>281</v>
      </c>
      <c r="B605" s="48" t="s">
        <v>5329</v>
      </c>
      <c r="C605" s="60">
        <v>45598</v>
      </c>
      <c r="D605" s="54" t="s">
        <v>168</v>
      </c>
      <c r="E605" s="435" t="str">
        <f>IFERROR(VLOOKUP(D605,Mychart!$A$125:$B$811,2,FALSE),"-")</f>
        <v>UTS Carrier</v>
      </c>
      <c r="F605" s="295" t="s">
        <v>236</v>
      </c>
      <c r="G605" s="58">
        <v>2</v>
      </c>
      <c r="H605" s="58"/>
      <c r="I605" s="58">
        <v>53570</v>
      </c>
      <c r="J605" s="58">
        <v>2678.5</v>
      </c>
      <c r="K605" s="56" t="s">
        <v>4809</v>
      </c>
      <c r="L605" s="56" t="s">
        <v>866</v>
      </c>
      <c r="M605" s="292">
        <v>281</v>
      </c>
    </row>
    <row r="606" spans="1:13">
      <c r="A606" s="292">
        <v>281</v>
      </c>
      <c r="B606" s="48" t="s">
        <v>5329</v>
      </c>
      <c r="C606" s="60">
        <v>45598</v>
      </c>
      <c r="D606" s="54" t="s">
        <v>168</v>
      </c>
      <c r="E606" s="435" t="str">
        <f>IFERROR(VLOOKUP(D606,Mychart!$A$125:$B$811,2,FALSE),"-")</f>
        <v>UTS Carrier</v>
      </c>
      <c r="F606" s="295" t="s">
        <v>237</v>
      </c>
      <c r="G606" s="58">
        <v>2</v>
      </c>
      <c r="H606" s="58"/>
      <c r="I606" s="58">
        <v>53570</v>
      </c>
      <c r="J606" s="58">
        <v>2678.5</v>
      </c>
      <c r="K606" s="56" t="s">
        <v>4809</v>
      </c>
      <c r="L606" s="56" t="s">
        <v>866</v>
      </c>
      <c r="M606" s="292">
        <v>281</v>
      </c>
    </row>
    <row r="607" spans="1:13">
      <c r="A607" s="292">
        <v>281</v>
      </c>
      <c r="B607" s="48" t="s">
        <v>5329</v>
      </c>
      <c r="C607" s="60">
        <v>45598</v>
      </c>
      <c r="D607" s="54" t="s">
        <v>168</v>
      </c>
      <c r="E607" s="435" t="str">
        <f>IFERROR(VLOOKUP(D607,Mychart!$A$125:$B$811,2,FALSE),"-")</f>
        <v>UTS Carrier</v>
      </c>
      <c r="F607" s="295" t="s">
        <v>827</v>
      </c>
      <c r="G607" s="58">
        <v>1</v>
      </c>
      <c r="H607" s="58"/>
      <c r="I607" s="58">
        <v>53570</v>
      </c>
      <c r="J607" s="58">
        <v>2678.5</v>
      </c>
      <c r="K607" s="56" t="s">
        <v>4809</v>
      </c>
      <c r="L607" s="56" t="s">
        <v>866</v>
      </c>
      <c r="M607" s="292">
        <v>281</v>
      </c>
    </row>
    <row r="608" spans="1:13">
      <c r="A608" s="292">
        <v>281</v>
      </c>
      <c r="B608" s="48" t="s">
        <v>5329</v>
      </c>
      <c r="C608" s="60">
        <v>45598</v>
      </c>
      <c r="D608" s="54" t="s">
        <v>168</v>
      </c>
      <c r="E608" s="435" t="str">
        <f>IFERROR(VLOOKUP(D608,Mychart!$A$125:$B$811,2,FALSE),"-")</f>
        <v>UTS Carrier</v>
      </c>
      <c r="F608" s="295" t="s">
        <v>828</v>
      </c>
      <c r="G608" s="58">
        <v>1</v>
      </c>
      <c r="H608" s="58"/>
      <c r="I608" s="58">
        <v>53570</v>
      </c>
      <c r="J608" s="58">
        <v>2678.5</v>
      </c>
      <c r="K608" s="56" t="s">
        <v>4809</v>
      </c>
      <c r="L608" s="56" t="s">
        <v>866</v>
      </c>
      <c r="M608" s="292">
        <v>281</v>
      </c>
    </row>
    <row r="609" spans="1:13">
      <c r="A609" s="292">
        <v>281</v>
      </c>
      <c r="B609" s="48" t="s">
        <v>5329</v>
      </c>
      <c r="C609" s="60">
        <v>45598</v>
      </c>
      <c r="D609" s="54" t="s">
        <v>168</v>
      </c>
      <c r="E609" s="435" t="str">
        <f>IFERROR(VLOOKUP(D609,Mychart!$A$125:$B$811,2,FALSE),"-")</f>
        <v>UTS Carrier</v>
      </c>
      <c r="F609" s="295" t="s">
        <v>232</v>
      </c>
      <c r="G609" s="58">
        <v>2</v>
      </c>
      <c r="H609" s="58"/>
      <c r="I609" s="58">
        <v>53570</v>
      </c>
      <c r="J609" s="58">
        <v>2678.5</v>
      </c>
      <c r="K609" s="56" t="s">
        <v>4809</v>
      </c>
      <c r="L609" s="56" t="s">
        <v>866</v>
      </c>
      <c r="M609" s="292">
        <v>281</v>
      </c>
    </row>
    <row r="610" spans="1:13">
      <c r="A610" s="292">
        <v>281</v>
      </c>
      <c r="B610" s="48" t="s">
        <v>5329</v>
      </c>
      <c r="C610" s="60">
        <v>45598</v>
      </c>
      <c r="D610" s="54" t="s">
        <v>168</v>
      </c>
      <c r="E610" s="435" t="str">
        <f>IFERROR(VLOOKUP(D610,Mychart!$A$125:$B$811,2,FALSE),"-")</f>
        <v>UTS Carrier</v>
      </c>
      <c r="F610" s="295" t="s">
        <v>233</v>
      </c>
      <c r="G610" s="58">
        <v>2</v>
      </c>
      <c r="H610" s="58"/>
      <c r="I610" s="58">
        <v>53570</v>
      </c>
      <c r="J610" s="58">
        <v>2678.5</v>
      </c>
      <c r="K610" s="56" t="s">
        <v>4809</v>
      </c>
      <c r="L610" s="56" t="s">
        <v>866</v>
      </c>
      <c r="M610" s="292">
        <v>281</v>
      </c>
    </row>
    <row r="611" spans="1:13">
      <c r="A611" s="292">
        <v>281</v>
      </c>
      <c r="B611" s="48" t="s">
        <v>5329</v>
      </c>
      <c r="C611" s="60">
        <v>45598</v>
      </c>
      <c r="D611" s="54" t="s">
        <v>168</v>
      </c>
      <c r="E611" s="435" t="str">
        <f>IFERROR(VLOOKUP(D611,Mychart!$A$125:$B$811,2,FALSE),"-")</f>
        <v>UTS Carrier</v>
      </c>
      <c r="F611" s="295" t="s">
        <v>5317</v>
      </c>
      <c r="G611" s="58">
        <v>1</v>
      </c>
      <c r="H611" s="58">
        <v>53570</v>
      </c>
      <c r="I611" s="58">
        <v>53570</v>
      </c>
      <c r="J611" s="58">
        <v>2678.5</v>
      </c>
      <c r="K611" s="56" t="s">
        <v>5345</v>
      </c>
      <c r="L611" s="56" t="s">
        <v>866</v>
      </c>
      <c r="M611" s="292">
        <v>281</v>
      </c>
    </row>
    <row r="612" spans="1:13">
      <c r="A612" s="292">
        <v>282</v>
      </c>
      <c r="B612" s="48" t="s">
        <v>5330</v>
      </c>
      <c r="C612" s="60">
        <v>45598</v>
      </c>
      <c r="D612" s="54" t="s">
        <v>168</v>
      </c>
      <c r="E612" s="435" t="str">
        <f>IFERROR(VLOOKUP(D612,Mychart!$A$125:$B$811,2,FALSE),"-")</f>
        <v>UTS Carrier</v>
      </c>
      <c r="F612" s="295" t="s">
        <v>825</v>
      </c>
      <c r="G612" s="58">
        <v>1</v>
      </c>
      <c r="H612" s="58"/>
      <c r="I612" s="58">
        <v>130190</v>
      </c>
      <c r="J612" s="58">
        <v>6509.5</v>
      </c>
      <c r="K612" s="56" t="s">
        <v>4809</v>
      </c>
      <c r="L612" s="56" t="s">
        <v>1213</v>
      </c>
      <c r="M612" s="292">
        <v>282</v>
      </c>
    </row>
    <row r="613" spans="1:13">
      <c r="A613" s="292">
        <v>282</v>
      </c>
      <c r="B613" s="48" t="s">
        <v>5330</v>
      </c>
      <c r="C613" s="60">
        <v>45598</v>
      </c>
      <c r="D613" s="54" t="s">
        <v>168</v>
      </c>
      <c r="E613" s="435" t="str">
        <f>IFERROR(VLOOKUP(D613,Mychart!$A$125:$B$811,2,FALSE),"-")</f>
        <v>UTS Carrier</v>
      </c>
      <c r="F613" s="295" t="s">
        <v>826</v>
      </c>
      <c r="G613" s="58">
        <v>1</v>
      </c>
      <c r="H613" s="58"/>
      <c r="I613" s="58">
        <v>130190</v>
      </c>
      <c r="J613" s="58">
        <v>6509.5</v>
      </c>
      <c r="K613" s="56" t="s">
        <v>4809</v>
      </c>
      <c r="L613" s="56" t="s">
        <v>1213</v>
      </c>
      <c r="M613" s="292">
        <v>282</v>
      </c>
    </row>
    <row r="614" spans="1:13">
      <c r="A614" s="292">
        <v>282</v>
      </c>
      <c r="B614" s="48" t="s">
        <v>5330</v>
      </c>
      <c r="C614" s="60">
        <v>45598</v>
      </c>
      <c r="D614" s="54" t="s">
        <v>168</v>
      </c>
      <c r="E614" s="435" t="str">
        <f>IFERROR(VLOOKUP(D614,Mychart!$A$125:$B$811,2,FALSE),"-")</f>
        <v>UTS Carrier</v>
      </c>
      <c r="F614" s="295" t="s">
        <v>236</v>
      </c>
      <c r="G614" s="58">
        <v>1</v>
      </c>
      <c r="H614" s="58"/>
      <c r="I614" s="58">
        <v>130190</v>
      </c>
      <c r="J614" s="58">
        <v>6509.5</v>
      </c>
      <c r="K614" s="56" t="s">
        <v>4809</v>
      </c>
      <c r="L614" s="56" t="s">
        <v>1213</v>
      </c>
      <c r="M614" s="292">
        <v>282</v>
      </c>
    </row>
    <row r="615" spans="1:13">
      <c r="A615" s="292">
        <v>282</v>
      </c>
      <c r="B615" s="48" t="s">
        <v>5330</v>
      </c>
      <c r="C615" s="60">
        <v>45598</v>
      </c>
      <c r="D615" s="54" t="s">
        <v>168</v>
      </c>
      <c r="E615" s="435" t="str">
        <f>IFERROR(VLOOKUP(D615,Mychart!$A$125:$B$811,2,FALSE),"-")</f>
        <v>UTS Carrier</v>
      </c>
      <c r="F615" s="295" t="s">
        <v>237</v>
      </c>
      <c r="G615" s="58">
        <v>1</v>
      </c>
      <c r="H615" s="58"/>
      <c r="I615" s="58">
        <v>130190</v>
      </c>
      <c r="J615" s="58">
        <v>6509.5</v>
      </c>
      <c r="K615" s="56" t="s">
        <v>4809</v>
      </c>
      <c r="L615" s="56" t="s">
        <v>1213</v>
      </c>
      <c r="M615" s="292">
        <v>282</v>
      </c>
    </row>
    <row r="616" spans="1:13">
      <c r="A616" s="292">
        <v>282</v>
      </c>
      <c r="B616" s="48" t="s">
        <v>5330</v>
      </c>
      <c r="C616" s="60">
        <v>45598</v>
      </c>
      <c r="D616" s="54" t="s">
        <v>168</v>
      </c>
      <c r="E616" s="435" t="str">
        <f>IFERROR(VLOOKUP(D616,Mychart!$A$125:$B$811,2,FALSE),"-")</f>
        <v>UTS Carrier</v>
      </c>
      <c r="F616" s="295" t="s">
        <v>827</v>
      </c>
      <c r="G616" s="58">
        <v>4</v>
      </c>
      <c r="H616" s="58"/>
      <c r="I616" s="58">
        <v>130190</v>
      </c>
      <c r="J616" s="58">
        <v>6509.5</v>
      </c>
      <c r="K616" s="56" t="s">
        <v>4809</v>
      </c>
      <c r="L616" s="56" t="s">
        <v>1213</v>
      </c>
      <c r="M616" s="292">
        <v>282</v>
      </c>
    </row>
    <row r="617" spans="1:13">
      <c r="A617" s="292">
        <v>282</v>
      </c>
      <c r="B617" s="48" t="s">
        <v>5330</v>
      </c>
      <c r="C617" s="60">
        <v>45598</v>
      </c>
      <c r="D617" s="54" t="s">
        <v>168</v>
      </c>
      <c r="E617" s="435" t="str">
        <f>IFERROR(VLOOKUP(D617,Mychart!$A$125:$B$811,2,FALSE),"-")</f>
        <v>UTS Carrier</v>
      </c>
      <c r="F617" s="295" t="s">
        <v>828</v>
      </c>
      <c r="G617" s="58">
        <v>4</v>
      </c>
      <c r="H617" s="58"/>
      <c r="I617" s="58">
        <v>130190</v>
      </c>
      <c r="J617" s="58">
        <v>6509.5</v>
      </c>
      <c r="K617" s="56" t="s">
        <v>4809</v>
      </c>
      <c r="L617" s="56" t="s">
        <v>1213</v>
      </c>
      <c r="M617" s="292">
        <v>282</v>
      </c>
    </row>
    <row r="618" spans="1:13">
      <c r="A618" s="292">
        <v>282</v>
      </c>
      <c r="B618" s="48" t="s">
        <v>5330</v>
      </c>
      <c r="C618" s="60">
        <v>45598</v>
      </c>
      <c r="D618" s="54" t="s">
        <v>168</v>
      </c>
      <c r="E618" s="435" t="str">
        <f>IFERROR(VLOOKUP(D618,Mychart!$A$125:$B$811,2,FALSE),"-")</f>
        <v>UTS Carrier</v>
      </c>
      <c r="F618" s="295" t="s">
        <v>238</v>
      </c>
      <c r="G618" s="58">
        <v>1</v>
      </c>
      <c r="H618" s="58"/>
      <c r="I618" s="58">
        <v>130190</v>
      </c>
      <c r="J618" s="58">
        <v>6509.5</v>
      </c>
      <c r="K618" s="56" t="s">
        <v>4809</v>
      </c>
      <c r="L618" s="56" t="s">
        <v>1213</v>
      </c>
      <c r="M618" s="292">
        <v>282</v>
      </c>
    </row>
    <row r="619" spans="1:13">
      <c r="A619" s="292">
        <v>282</v>
      </c>
      <c r="B619" s="48" t="s">
        <v>5330</v>
      </c>
      <c r="C619" s="60">
        <v>45598</v>
      </c>
      <c r="D619" s="54" t="s">
        <v>168</v>
      </c>
      <c r="E619" s="435" t="str">
        <f>IFERROR(VLOOKUP(D619,Mychart!$A$125:$B$811,2,FALSE),"-")</f>
        <v>UTS Carrier</v>
      </c>
      <c r="F619" s="295" t="s">
        <v>239</v>
      </c>
      <c r="G619" s="58">
        <v>1</v>
      </c>
      <c r="H619" s="58"/>
      <c r="I619" s="58">
        <v>130190</v>
      </c>
      <c r="J619" s="58">
        <v>6509.5</v>
      </c>
      <c r="K619" s="56" t="s">
        <v>4809</v>
      </c>
      <c r="L619" s="56" t="s">
        <v>1213</v>
      </c>
      <c r="M619" s="292">
        <v>282</v>
      </c>
    </row>
    <row r="620" spans="1:13">
      <c r="A620" s="292">
        <v>282</v>
      </c>
      <c r="B620" s="48" t="s">
        <v>5330</v>
      </c>
      <c r="C620" s="60">
        <v>45598</v>
      </c>
      <c r="D620" s="54" t="s">
        <v>168</v>
      </c>
      <c r="E620" s="435" t="str">
        <f>IFERROR(VLOOKUP(D620,Mychart!$A$125:$B$811,2,FALSE),"-")</f>
        <v>UTS Carrier</v>
      </c>
      <c r="F620" s="295" t="s">
        <v>234</v>
      </c>
      <c r="G620" s="58">
        <v>1</v>
      </c>
      <c r="H620" s="58"/>
      <c r="I620" s="58">
        <v>130190</v>
      </c>
      <c r="J620" s="58">
        <v>6509.5</v>
      </c>
      <c r="K620" s="56" t="s">
        <v>4809</v>
      </c>
      <c r="L620" s="56" t="s">
        <v>1213</v>
      </c>
      <c r="M620" s="292">
        <v>282</v>
      </c>
    </row>
    <row r="621" spans="1:13">
      <c r="A621" s="292">
        <v>282</v>
      </c>
      <c r="B621" s="48" t="s">
        <v>5330</v>
      </c>
      <c r="C621" s="60">
        <v>45598</v>
      </c>
      <c r="D621" s="54" t="s">
        <v>168</v>
      </c>
      <c r="E621" s="435" t="str">
        <f>IFERROR(VLOOKUP(D621,Mychart!$A$125:$B$811,2,FALSE),"-")</f>
        <v>UTS Carrier</v>
      </c>
      <c r="F621" s="295" t="s">
        <v>235</v>
      </c>
      <c r="G621" s="58">
        <v>1</v>
      </c>
      <c r="H621" s="58"/>
      <c r="I621" s="58">
        <v>130190</v>
      </c>
      <c r="J621" s="58">
        <v>6509.5</v>
      </c>
      <c r="K621" s="56" t="s">
        <v>4809</v>
      </c>
      <c r="L621" s="56" t="s">
        <v>1213</v>
      </c>
      <c r="M621" s="292">
        <v>282</v>
      </c>
    </row>
    <row r="622" spans="1:13">
      <c r="A622" s="292">
        <v>282</v>
      </c>
      <c r="B622" s="48" t="s">
        <v>5330</v>
      </c>
      <c r="C622" s="60">
        <v>45598</v>
      </c>
      <c r="D622" s="54" t="s">
        <v>168</v>
      </c>
      <c r="E622" s="435" t="str">
        <f>IFERROR(VLOOKUP(D622,Mychart!$A$125:$B$811,2,FALSE),"-")</f>
        <v>UTS Carrier</v>
      </c>
      <c r="F622" s="295" t="s">
        <v>232</v>
      </c>
      <c r="G622" s="58">
        <v>3</v>
      </c>
      <c r="H622" s="58"/>
      <c r="I622" s="58">
        <v>130190</v>
      </c>
      <c r="J622" s="58">
        <v>6509.5</v>
      </c>
      <c r="K622" s="56" t="s">
        <v>4809</v>
      </c>
      <c r="L622" s="56" t="s">
        <v>1213</v>
      </c>
      <c r="M622" s="292">
        <v>282</v>
      </c>
    </row>
    <row r="623" spans="1:13">
      <c r="A623" s="292">
        <v>282</v>
      </c>
      <c r="B623" s="48" t="s">
        <v>5330</v>
      </c>
      <c r="C623" s="60">
        <v>45598</v>
      </c>
      <c r="D623" s="54" t="s">
        <v>168</v>
      </c>
      <c r="E623" s="435" t="str">
        <f>IFERROR(VLOOKUP(D623,Mychart!$A$125:$B$811,2,FALSE),"-")</f>
        <v>UTS Carrier</v>
      </c>
      <c r="F623" s="295" t="s">
        <v>233</v>
      </c>
      <c r="G623" s="58">
        <v>3</v>
      </c>
      <c r="H623" s="58"/>
      <c r="I623" s="58">
        <v>130190</v>
      </c>
      <c r="J623" s="58">
        <v>6509.5</v>
      </c>
      <c r="K623" s="56" t="s">
        <v>4809</v>
      </c>
      <c r="L623" s="56" t="s">
        <v>1213</v>
      </c>
      <c r="M623" s="292">
        <v>282</v>
      </c>
    </row>
    <row r="624" spans="1:13">
      <c r="A624" s="292">
        <v>282</v>
      </c>
      <c r="B624" s="48" t="s">
        <v>5330</v>
      </c>
      <c r="C624" s="60">
        <v>45598</v>
      </c>
      <c r="D624" s="54" t="s">
        <v>168</v>
      </c>
      <c r="E624" s="435" t="str">
        <f>IFERROR(VLOOKUP(D624,Mychart!$A$125:$B$811,2,FALSE),"-")</f>
        <v>UTS Carrier</v>
      </c>
      <c r="F624" s="295" t="s">
        <v>832</v>
      </c>
      <c r="G624" s="58">
        <v>5</v>
      </c>
      <c r="H624" s="58"/>
      <c r="I624" s="58">
        <v>130190</v>
      </c>
      <c r="J624" s="58">
        <v>6509.5</v>
      </c>
      <c r="K624" s="56" t="s">
        <v>4809</v>
      </c>
      <c r="L624" s="56" t="s">
        <v>1213</v>
      </c>
      <c r="M624" s="292">
        <v>282</v>
      </c>
    </row>
    <row r="625" spans="1:13">
      <c r="A625" s="292">
        <v>282</v>
      </c>
      <c r="B625" s="48" t="s">
        <v>5330</v>
      </c>
      <c r="C625" s="60">
        <v>45598</v>
      </c>
      <c r="D625" s="54" t="s">
        <v>168</v>
      </c>
      <c r="E625" s="435" t="str">
        <f>IFERROR(VLOOKUP(D625,Mychart!$A$125:$B$811,2,FALSE),"-")</f>
        <v>UTS Carrier</v>
      </c>
      <c r="F625" s="295" t="s">
        <v>833</v>
      </c>
      <c r="G625" s="58">
        <v>5</v>
      </c>
      <c r="H625" s="58"/>
      <c r="I625" s="58">
        <v>130190</v>
      </c>
      <c r="J625" s="58">
        <v>6509.5</v>
      </c>
      <c r="K625" s="56" t="s">
        <v>4809</v>
      </c>
      <c r="L625" s="56" t="s">
        <v>1213</v>
      </c>
      <c r="M625" s="292">
        <v>282</v>
      </c>
    </row>
    <row r="626" spans="1:13">
      <c r="A626" s="292">
        <v>282</v>
      </c>
      <c r="B626" s="48" t="s">
        <v>5330</v>
      </c>
      <c r="C626" s="60">
        <v>45598</v>
      </c>
      <c r="D626" s="54" t="s">
        <v>168</v>
      </c>
      <c r="E626" s="435" t="str">
        <f>IFERROR(VLOOKUP(D626,Mychart!$A$125:$B$811,2,FALSE),"-")</f>
        <v>UTS Carrier</v>
      </c>
      <c r="F626" s="295" t="s">
        <v>3012</v>
      </c>
      <c r="G626" s="58">
        <v>1</v>
      </c>
      <c r="H626" s="58"/>
      <c r="I626" s="58">
        <v>130190</v>
      </c>
      <c r="J626" s="58">
        <v>6509.5</v>
      </c>
      <c r="K626" s="56" t="s">
        <v>4809</v>
      </c>
      <c r="L626" s="56" t="s">
        <v>1213</v>
      </c>
      <c r="M626" s="292">
        <v>282</v>
      </c>
    </row>
    <row r="627" spans="1:13">
      <c r="A627" s="292">
        <v>282</v>
      </c>
      <c r="B627" s="48" t="s">
        <v>5330</v>
      </c>
      <c r="C627" s="60">
        <v>45598</v>
      </c>
      <c r="D627" s="54" t="s">
        <v>168</v>
      </c>
      <c r="E627" s="435" t="str">
        <f>IFERROR(VLOOKUP(D627,Mychart!$A$125:$B$811,2,FALSE),"-")</f>
        <v>UTS Carrier</v>
      </c>
      <c r="F627" s="295" t="s">
        <v>3013</v>
      </c>
      <c r="G627" s="58">
        <v>1</v>
      </c>
      <c r="H627" s="58"/>
      <c r="I627" s="58">
        <v>130190</v>
      </c>
      <c r="J627" s="58">
        <v>6509.5</v>
      </c>
      <c r="K627" s="56" t="s">
        <v>4809</v>
      </c>
      <c r="L627" s="56" t="s">
        <v>1213</v>
      </c>
      <c r="M627" s="292">
        <v>282</v>
      </c>
    </row>
    <row r="628" spans="1:13">
      <c r="A628" s="292">
        <v>282</v>
      </c>
      <c r="B628" s="48" t="s">
        <v>5330</v>
      </c>
      <c r="C628" s="60">
        <v>45598</v>
      </c>
      <c r="D628" s="54" t="s">
        <v>168</v>
      </c>
      <c r="E628" s="435" t="str">
        <f>IFERROR(VLOOKUP(D628,Mychart!$A$125:$B$811,2,FALSE),"-")</f>
        <v>UTS Carrier</v>
      </c>
      <c r="F628" s="295" t="s">
        <v>5331</v>
      </c>
      <c r="G628" s="58">
        <v>1</v>
      </c>
      <c r="H628" s="58"/>
      <c r="I628" s="58">
        <v>130190</v>
      </c>
      <c r="J628" s="58">
        <v>6509.5</v>
      </c>
      <c r="K628" s="56" t="s">
        <v>4809</v>
      </c>
      <c r="L628" s="56" t="s">
        <v>1213</v>
      </c>
      <c r="M628" s="292">
        <v>282</v>
      </c>
    </row>
    <row r="629" spans="1:13">
      <c r="A629" s="292">
        <v>282</v>
      </c>
      <c r="B629" s="48" t="s">
        <v>5330</v>
      </c>
      <c r="C629" s="60">
        <v>45598</v>
      </c>
      <c r="D629" s="54" t="s">
        <v>168</v>
      </c>
      <c r="E629" s="435" t="str">
        <f>IFERROR(VLOOKUP(D629,Mychart!$A$125:$B$811,2,FALSE),"-")</f>
        <v>UTS Carrier</v>
      </c>
      <c r="F629" s="295" t="s">
        <v>1236</v>
      </c>
      <c r="G629" s="58">
        <v>1</v>
      </c>
      <c r="H629" s="58"/>
      <c r="I629" s="58">
        <v>130190</v>
      </c>
      <c r="J629" s="58">
        <v>6509.5</v>
      </c>
      <c r="K629" s="56" t="s">
        <v>4809</v>
      </c>
      <c r="L629" s="56" t="s">
        <v>1213</v>
      </c>
      <c r="M629" s="292">
        <v>282</v>
      </c>
    </row>
    <row r="630" spans="1:13">
      <c r="A630" s="292">
        <v>282</v>
      </c>
      <c r="B630" s="48" t="s">
        <v>5330</v>
      </c>
      <c r="C630" s="60">
        <v>45598</v>
      </c>
      <c r="D630" s="54" t="s">
        <v>168</v>
      </c>
      <c r="E630" s="435" t="str">
        <f>IFERROR(VLOOKUP(D630,Mychart!$A$125:$B$811,2,FALSE),"-")</f>
        <v>UTS Carrier</v>
      </c>
      <c r="F630" s="295" t="s">
        <v>1271</v>
      </c>
      <c r="G630" s="58">
        <v>11</v>
      </c>
      <c r="H630" s="58"/>
      <c r="I630" s="58">
        <v>130190</v>
      </c>
      <c r="J630" s="58">
        <v>6509.5</v>
      </c>
      <c r="K630" s="56" t="s">
        <v>4809</v>
      </c>
      <c r="L630" s="56" t="s">
        <v>1213</v>
      </c>
      <c r="M630" s="292">
        <v>282</v>
      </c>
    </row>
    <row r="631" spans="1:13">
      <c r="A631" s="292">
        <v>282</v>
      </c>
      <c r="B631" s="48" t="s">
        <v>5330</v>
      </c>
      <c r="C631" s="60">
        <v>45598</v>
      </c>
      <c r="D631" s="54" t="s">
        <v>168</v>
      </c>
      <c r="E631" s="435" t="str">
        <f>IFERROR(VLOOKUP(D631,Mychart!$A$125:$B$811,2,FALSE),"-")</f>
        <v>UTS Carrier</v>
      </c>
      <c r="F631" s="295" t="s">
        <v>5317</v>
      </c>
      <c r="G631" s="58">
        <v>1</v>
      </c>
      <c r="H631" s="58">
        <v>130190</v>
      </c>
      <c r="I631" s="58">
        <v>130190</v>
      </c>
      <c r="J631" s="58">
        <v>6509.5</v>
      </c>
      <c r="K631" s="56" t="s">
        <v>5344</v>
      </c>
      <c r="L631" s="56" t="s">
        <v>1213</v>
      </c>
      <c r="M631" s="292">
        <v>282</v>
      </c>
    </row>
    <row r="632" spans="1:13">
      <c r="A632" s="292">
        <v>289</v>
      </c>
      <c r="B632" s="48" t="s">
        <v>5332</v>
      </c>
      <c r="C632" s="60">
        <v>45598</v>
      </c>
      <c r="D632" s="54" t="s">
        <v>168</v>
      </c>
      <c r="E632" s="435" t="str">
        <f>IFERROR(VLOOKUP(D632,Mychart!$A$125:$B$811,2,FALSE),"-")</f>
        <v>UTS Carrier</v>
      </c>
      <c r="F632" s="295" t="s">
        <v>825</v>
      </c>
      <c r="G632" s="58">
        <v>1</v>
      </c>
      <c r="H632" s="58"/>
      <c r="I632" s="58">
        <v>72335</v>
      </c>
      <c r="J632" s="58">
        <v>3616.75</v>
      </c>
      <c r="K632" s="56" t="s">
        <v>4809</v>
      </c>
      <c r="L632" s="56" t="s">
        <v>5260</v>
      </c>
      <c r="M632" s="292">
        <v>289</v>
      </c>
    </row>
    <row r="633" spans="1:13">
      <c r="A633" s="292">
        <v>289</v>
      </c>
      <c r="B633" s="48" t="s">
        <v>5332</v>
      </c>
      <c r="C633" s="60">
        <v>45598</v>
      </c>
      <c r="D633" s="54" t="s">
        <v>168</v>
      </c>
      <c r="E633" s="435" t="str">
        <f>IFERROR(VLOOKUP(D633,Mychart!$A$125:$B$811,2,FALSE),"-")</f>
        <v>UTS Carrier</v>
      </c>
      <c r="F633" s="295" t="s">
        <v>826</v>
      </c>
      <c r="G633" s="58">
        <v>1</v>
      </c>
      <c r="H633" s="58"/>
      <c r="I633" s="58">
        <v>72335</v>
      </c>
      <c r="J633" s="58">
        <v>3616.75</v>
      </c>
      <c r="K633" s="56" t="s">
        <v>4809</v>
      </c>
      <c r="L633" s="56" t="s">
        <v>5260</v>
      </c>
      <c r="M633" s="292">
        <v>289</v>
      </c>
    </row>
    <row r="634" spans="1:13">
      <c r="A634" s="292">
        <v>289</v>
      </c>
      <c r="B634" s="48" t="s">
        <v>5332</v>
      </c>
      <c r="C634" s="60">
        <v>45598</v>
      </c>
      <c r="D634" s="54" t="s">
        <v>168</v>
      </c>
      <c r="E634" s="435" t="str">
        <f>IFERROR(VLOOKUP(D634,Mychart!$A$125:$B$811,2,FALSE),"-")</f>
        <v>UTS Carrier</v>
      </c>
      <c r="F634" s="295" t="s">
        <v>827</v>
      </c>
      <c r="G634" s="58">
        <v>3</v>
      </c>
      <c r="H634" s="58"/>
      <c r="I634" s="58">
        <v>72335</v>
      </c>
      <c r="J634" s="58">
        <v>3616.75</v>
      </c>
      <c r="K634" s="56" t="s">
        <v>4809</v>
      </c>
      <c r="L634" s="56" t="s">
        <v>5260</v>
      </c>
      <c r="M634" s="292">
        <v>289</v>
      </c>
    </row>
    <row r="635" spans="1:13">
      <c r="A635" s="292">
        <v>289</v>
      </c>
      <c r="B635" s="48" t="s">
        <v>5332</v>
      </c>
      <c r="C635" s="60">
        <v>45598</v>
      </c>
      <c r="D635" s="54" t="s">
        <v>168</v>
      </c>
      <c r="E635" s="435" t="str">
        <f>IFERROR(VLOOKUP(D635,Mychart!$A$125:$B$811,2,FALSE),"-")</f>
        <v>UTS Carrier</v>
      </c>
      <c r="F635" s="295" t="s">
        <v>828</v>
      </c>
      <c r="G635" s="58">
        <v>3</v>
      </c>
      <c r="H635" s="58"/>
      <c r="I635" s="58">
        <v>72335</v>
      </c>
      <c r="J635" s="58">
        <v>3616.75</v>
      </c>
      <c r="K635" s="56" t="s">
        <v>4809</v>
      </c>
      <c r="L635" s="56" t="s">
        <v>5260</v>
      </c>
      <c r="M635" s="292">
        <v>289</v>
      </c>
    </row>
    <row r="636" spans="1:13">
      <c r="A636" s="292">
        <v>289</v>
      </c>
      <c r="B636" s="48" t="s">
        <v>5332</v>
      </c>
      <c r="C636" s="60">
        <v>45598</v>
      </c>
      <c r="D636" s="54" t="s">
        <v>168</v>
      </c>
      <c r="E636" s="435" t="str">
        <f>IFERROR(VLOOKUP(D636,Mychart!$A$125:$B$811,2,FALSE),"-")</f>
        <v>UTS Carrier</v>
      </c>
      <c r="F636" s="295" t="s">
        <v>238</v>
      </c>
      <c r="G636" s="58">
        <v>1</v>
      </c>
      <c r="H636" s="58"/>
      <c r="I636" s="58">
        <v>72335</v>
      </c>
      <c r="J636" s="58">
        <v>3616.75</v>
      </c>
      <c r="K636" s="56" t="s">
        <v>4809</v>
      </c>
      <c r="L636" s="56" t="s">
        <v>5260</v>
      </c>
      <c r="M636" s="292">
        <v>289</v>
      </c>
    </row>
    <row r="637" spans="1:13">
      <c r="A637" s="292">
        <v>289</v>
      </c>
      <c r="B637" s="48" t="s">
        <v>5332</v>
      </c>
      <c r="C637" s="60">
        <v>45598</v>
      </c>
      <c r="D637" s="54" t="s">
        <v>168</v>
      </c>
      <c r="E637" s="435" t="str">
        <f>IFERROR(VLOOKUP(D637,Mychart!$A$125:$B$811,2,FALSE),"-")</f>
        <v>UTS Carrier</v>
      </c>
      <c r="F637" s="295" t="s">
        <v>239</v>
      </c>
      <c r="G637" s="58">
        <v>1</v>
      </c>
      <c r="H637" s="58"/>
      <c r="I637" s="58">
        <v>72335</v>
      </c>
      <c r="J637" s="58">
        <v>3616.75</v>
      </c>
      <c r="K637" s="56" t="s">
        <v>4809</v>
      </c>
      <c r="L637" s="56" t="s">
        <v>5260</v>
      </c>
      <c r="M637" s="292">
        <v>289</v>
      </c>
    </row>
    <row r="638" spans="1:13">
      <c r="A638" s="292">
        <v>289</v>
      </c>
      <c r="B638" s="48" t="s">
        <v>5332</v>
      </c>
      <c r="C638" s="60">
        <v>45598</v>
      </c>
      <c r="D638" s="54" t="s">
        <v>168</v>
      </c>
      <c r="E638" s="435" t="str">
        <f>IFERROR(VLOOKUP(D638,Mychart!$A$125:$B$811,2,FALSE),"-")</f>
        <v>UTS Carrier</v>
      </c>
      <c r="F638" s="295" t="s">
        <v>234</v>
      </c>
      <c r="G638" s="58">
        <v>2</v>
      </c>
      <c r="H638" s="58"/>
      <c r="I638" s="58">
        <v>72335</v>
      </c>
      <c r="J638" s="58">
        <v>3616.75</v>
      </c>
      <c r="K638" s="56" t="s">
        <v>4809</v>
      </c>
      <c r="L638" s="56" t="s">
        <v>5260</v>
      </c>
      <c r="M638" s="292">
        <v>289</v>
      </c>
    </row>
    <row r="639" spans="1:13">
      <c r="A639" s="292">
        <v>289</v>
      </c>
      <c r="B639" s="48" t="s">
        <v>5332</v>
      </c>
      <c r="C639" s="60">
        <v>45598</v>
      </c>
      <c r="D639" s="54" t="s">
        <v>168</v>
      </c>
      <c r="E639" s="435" t="str">
        <f>IFERROR(VLOOKUP(D639,Mychart!$A$125:$B$811,2,FALSE),"-")</f>
        <v>UTS Carrier</v>
      </c>
      <c r="F639" s="295" t="s">
        <v>235</v>
      </c>
      <c r="G639" s="58">
        <v>2</v>
      </c>
      <c r="H639" s="58"/>
      <c r="I639" s="58">
        <v>72335</v>
      </c>
      <c r="J639" s="58">
        <v>3616.75</v>
      </c>
      <c r="K639" s="56" t="s">
        <v>4809</v>
      </c>
      <c r="L639" s="56" t="s">
        <v>5260</v>
      </c>
      <c r="M639" s="292">
        <v>289</v>
      </c>
    </row>
    <row r="640" spans="1:13">
      <c r="A640" s="292">
        <v>289</v>
      </c>
      <c r="B640" s="48" t="s">
        <v>5332</v>
      </c>
      <c r="C640" s="60">
        <v>45598</v>
      </c>
      <c r="D640" s="54" t="s">
        <v>168</v>
      </c>
      <c r="E640" s="435" t="str">
        <f>IFERROR(VLOOKUP(D640,Mychart!$A$125:$B$811,2,FALSE),"-")</f>
        <v>UTS Carrier</v>
      </c>
      <c r="F640" s="295" t="s">
        <v>232</v>
      </c>
      <c r="G640" s="58">
        <v>3</v>
      </c>
      <c r="H640" s="58"/>
      <c r="I640" s="58">
        <v>72335</v>
      </c>
      <c r="J640" s="58">
        <v>3616.75</v>
      </c>
      <c r="K640" s="56" t="s">
        <v>4809</v>
      </c>
      <c r="L640" s="56" t="s">
        <v>5260</v>
      </c>
      <c r="M640" s="292">
        <v>289</v>
      </c>
    </row>
    <row r="641" spans="1:13">
      <c r="A641" s="292">
        <v>289</v>
      </c>
      <c r="B641" s="48" t="s">
        <v>5332</v>
      </c>
      <c r="C641" s="60">
        <v>45598</v>
      </c>
      <c r="D641" s="54" t="s">
        <v>168</v>
      </c>
      <c r="E641" s="435" t="str">
        <f>IFERROR(VLOOKUP(D641,Mychart!$A$125:$B$811,2,FALSE),"-")</f>
        <v>UTS Carrier</v>
      </c>
      <c r="F641" s="295" t="s">
        <v>233</v>
      </c>
      <c r="G641" s="58">
        <v>3</v>
      </c>
      <c r="H641" s="58"/>
      <c r="I641" s="58">
        <v>72335</v>
      </c>
      <c r="J641" s="58">
        <v>3616.75</v>
      </c>
      <c r="K641" s="56" t="s">
        <v>4809</v>
      </c>
      <c r="L641" s="56" t="s">
        <v>5260</v>
      </c>
      <c r="M641" s="292">
        <v>289</v>
      </c>
    </row>
    <row r="642" spans="1:13">
      <c r="A642" s="292">
        <v>289</v>
      </c>
      <c r="B642" s="48" t="s">
        <v>5332</v>
      </c>
      <c r="C642" s="60">
        <v>45598</v>
      </c>
      <c r="D642" s="54" t="s">
        <v>168</v>
      </c>
      <c r="E642" s="435" t="str">
        <f>IFERROR(VLOOKUP(D642,Mychart!$A$125:$B$811,2,FALSE),"-")</f>
        <v>UTS Carrier</v>
      </c>
      <c r="F642" s="295" t="s">
        <v>832</v>
      </c>
      <c r="G642" s="58">
        <v>1</v>
      </c>
      <c r="H642" s="58"/>
      <c r="I642" s="58">
        <v>72335</v>
      </c>
      <c r="J642" s="58">
        <v>3616.75</v>
      </c>
      <c r="K642" s="56" t="s">
        <v>4809</v>
      </c>
      <c r="L642" s="56" t="s">
        <v>5260</v>
      </c>
      <c r="M642" s="292">
        <v>289</v>
      </c>
    </row>
    <row r="643" spans="1:13">
      <c r="A643" s="292">
        <v>289</v>
      </c>
      <c r="B643" s="48" t="s">
        <v>5332</v>
      </c>
      <c r="C643" s="60">
        <v>45598</v>
      </c>
      <c r="D643" s="54" t="s">
        <v>168</v>
      </c>
      <c r="E643" s="435" t="str">
        <f>IFERROR(VLOOKUP(D643,Mychart!$A$125:$B$811,2,FALSE),"-")</f>
        <v>UTS Carrier</v>
      </c>
      <c r="F643" s="295" t="s">
        <v>833</v>
      </c>
      <c r="G643" s="58">
        <v>1</v>
      </c>
      <c r="H643" s="58"/>
      <c r="I643" s="58">
        <v>72335</v>
      </c>
      <c r="J643" s="58">
        <v>3616.75</v>
      </c>
      <c r="K643" s="56" t="s">
        <v>4809</v>
      </c>
      <c r="L643" s="56" t="s">
        <v>5260</v>
      </c>
      <c r="M643" s="292">
        <v>289</v>
      </c>
    </row>
    <row r="644" spans="1:13">
      <c r="A644" s="292">
        <v>289</v>
      </c>
      <c r="B644" s="48" t="s">
        <v>5332</v>
      </c>
      <c r="C644" s="60">
        <v>45598</v>
      </c>
      <c r="D644" s="54" t="s">
        <v>168</v>
      </c>
      <c r="E644" s="435" t="str">
        <f>IFERROR(VLOOKUP(D644,Mychart!$A$125:$B$811,2,FALSE),"-")</f>
        <v>UTS Carrier</v>
      </c>
      <c r="F644" s="295" t="s">
        <v>1300</v>
      </c>
      <c r="G644" s="58">
        <v>10</v>
      </c>
      <c r="H644" s="58"/>
      <c r="I644" s="58">
        <v>72335</v>
      </c>
      <c r="J644" s="58">
        <v>3616.75</v>
      </c>
      <c r="K644" s="56" t="s">
        <v>4809</v>
      </c>
      <c r="L644" s="56" t="s">
        <v>5260</v>
      </c>
      <c r="M644" s="292">
        <v>289</v>
      </c>
    </row>
    <row r="645" spans="1:13">
      <c r="A645" s="292">
        <v>289</v>
      </c>
      <c r="B645" s="48" t="s">
        <v>5332</v>
      </c>
      <c r="C645" s="60">
        <v>45598</v>
      </c>
      <c r="D645" s="54" t="s">
        <v>168</v>
      </c>
      <c r="E645" s="435" t="str">
        <f>IFERROR(VLOOKUP(D645,Mychart!$A$125:$B$811,2,FALSE),"-")</f>
        <v>UTS Carrier</v>
      </c>
      <c r="F645" s="295" t="s">
        <v>5317</v>
      </c>
      <c r="G645" s="58">
        <v>1</v>
      </c>
      <c r="H645" s="58">
        <v>72335</v>
      </c>
      <c r="I645" s="58">
        <v>72335</v>
      </c>
      <c r="J645" s="58">
        <v>3616.75</v>
      </c>
      <c r="K645" s="56" t="s">
        <v>5343</v>
      </c>
      <c r="L645" s="56" t="s">
        <v>5260</v>
      </c>
      <c r="M645" s="292">
        <v>289</v>
      </c>
    </row>
    <row r="646" spans="1:13">
      <c r="A646" s="292">
        <v>264</v>
      </c>
      <c r="B646" s="48" t="s">
        <v>5333</v>
      </c>
      <c r="C646" s="60">
        <v>45598</v>
      </c>
      <c r="D646" s="54" t="s">
        <v>168</v>
      </c>
      <c r="E646" s="435" t="str">
        <f>IFERROR(VLOOKUP(D646,Mychart!$A$125:$B$811,2,FALSE),"-")</f>
        <v>UTS Carrier</v>
      </c>
      <c r="F646" s="295" t="s">
        <v>5335</v>
      </c>
      <c r="G646" s="58">
        <v>1</v>
      </c>
      <c r="H646" s="58"/>
      <c r="I646" s="58">
        <v>101100</v>
      </c>
      <c r="J646" s="58">
        <v>5055</v>
      </c>
      <c r="K646" s="56" t="s">
        <v>4809</v>
      </c>
      <c r="L646" s="56" t="s">
        <v>5334</v>
      </c>
      <c r="M646" s="292">
        <v>264</v>
      </c>
    </row>
    <row r="647" spans="1:13">
      <c r="A647" s="292">
        <v>264</v>
      </c>
      <c r="B647" s="48" t="s">
        <v>5333</v>
      </c>
      <c r="C647" s="60">
        <v>45598</v>
      </c>
      <c r="D647" s="54" t="s">
        <v>168</v>
      </c>
      <c r="E647" s="435" t="str">
        <f>IFERROR(VLOOKUP(D647,Mychart!$A$125:$B$811,2,FALSE),"-")</f>
        <v>UTS Carrier</v>
      </c>
      <c r="F647" s="295" t="s">
        <v>5336</v>
      </c>
      <c r="G647" s="58">
        <v>1</v>
      </c>
      <c r="H647" s="58"/>
      <c r="I647" s="58">
        <v>101100</v>
      </c>
      <c r="J647" s="58">
        <v>5055</v>
      </c>
      <c r="K647" s="56" t="s">
        <v>4809</v>
      </c>
      <c r="L647" s="56" t="s">
        <v>5334</v>
      </c>
      <c r="M647" s="292">
        <v>264</v>
      </c>
    </row>
    <row r="648" spans="1:13">
      <c r="A648" s="292">
        <v>264</v>
      </c>
      <c r="B648" s="48" t="s">
        <v>5333</v>
      </c>
      <c r="C648" s="60">
        <v>45598</v>
      </c>
      <c r="D648" s="54" t="s">
        <v>168</v>
      </c>
      <c r="E648" s="435" t="str">
        <f>IFERROR(VLOOKUP(D648,Mychart!$A$125:$B$811,2,FALSE),"-")</f>
        <v>UTS Carrier</v>
      </c>
      <c r="F648" s="295" t="s">
        <v>827</v>
      </c>
      <c r="G648" s="58">
        <v>3</v>
      </c>
      <c r="H648" s="58"/>
      <c r="I648" s="58">
        <v>101100</v>
      </c>
      <c r="J648" s="58">
        <v>5055</v>
      </c>
      <c r="K648" s="56" t="s">
        <v>4809</v>
      </c>
      <c r="L648" s="56" t="s">
        <v>5334</v>
      </c>
      <c r="M648" s="292">
        <v>264</v>
      </c>
    </row>
    <row r="649" spans="1:13">
      <c r="A649" s="292">
        <v>264</v>
      </c>
      <c r="B649" s="48" t="s">
        <v>5333</v>
      </c>
      <c r="C649" s="60">
        <v>45598</v>
      </c>
      <c r="D649" s="54" t="s">
        <v>168</v>
      </c>
      <c r="E649" s="435" t="str">
        <f>IFERROR(VLOOKUP(D649,Mychart!$A$125:$B$811,2,FALSE),"-")</f>
        <v>UTS Carrier</v>
      </c>
      <c r="F649" s="295" t="s">
        <v>828</v>
      </c>
      <c r="G649" s="58">
        <v>3</v>
      </c>
      <c r="H649" s="58"/>
      <c r="I649" s="58">
        <v>101100</v>
      </c>
      <c r="J649" s="58">
        <v>5055</v>
      </c>
      <c r="K649" s="56" t="s">
        <v>4809</v>
      </c>
      <c r="L649" s="56" t="s">
        <v>5334</v>
      </c>
      <c r="M649" s="292">
        <v>264</v>
      </c>
    </row>
    <row r="650" spans="1:13">
      <c r="A650" s="292">
        <v>264</v>
      </c>
      <c r="B650" s="48" t="s">
        <v>5333</v>
      </c>
      <c r="C650" s="60">
        <v>45598</v>
      </c>
      <c r="D650" s="54" t="s">
        <v>168</v>
      </c>
      <c r="E650" s="435" t="str">
        <f>IFERROR(VLOOKUP(D650,Mychart!$A$125:$B$811,2,FALSE),"-")</f>
        <v>UTS Carrier</v>
      </c>
      <c r="F650" s="295" t="s">
        <v>238</v>
      </c>
      <c r="G650" s="58">
        <v>3</v>
      </c>
      <c r="H650" s="58"/>
      <c r="I650" s="58">
        <v>101100</v>
      </c>
      <c r="J650" s="58">
        <v>5055</v>
      </c>
      <c r="K650" s="56" t="s">
        <v>4809</v>
      </c>
      <c r="L650" s="56" t="s">
        <v>5334</v>
      </c>
      <c r="M650" s="292">
        <v>264</v>
      </c>
    </row>
    <row r="651" spans="1:13">
      <c r="A651" s="292">
        <v>264</v>
      </c>
      <c r="B651" s="48" t="s">
        <v>5333</v>
      </c>
      <c r="C651" s="60">
        <v>45598</v>
      </c>
      <c r="D651" s="54" t="s">
        <v>168</v>
      </c>
      <c r="E651" s="435" t="str">
        <f>IFERROR(VLOOKUP(D651,Mychart!$A$125:$B$811,2,FALSE),"-")</f>
        <v>UTS Carrier</v>
      </c>
      <c r="F651" s="295" t="s">
        <v>239</v>
      </c>
      <c r="G651" s="58">
        <v>3</v>
      </c>
      <c r="H651" s="58"/>
      <c r="I651" s="58">
        <v>101100</v>
      </c>
      <c r="J651" s="58">
        <v>5055</v>
      </c>
      <c r="K651" s="56" t="s">
        <v>4809</v>
      </c>
      <c r="L651" s="56" t="s">
        <v>5334</v>
      </c>
      <c r="M651" s="292">
        <v>264</v>
      </c>
    </row>
    <row r="652" spans="1:13">
      <c r="A652" s="292">
        <v>264</v>
      </c>
      <c r="B652" s="48" t="s">
        <v>5333</v>
      </c>
      <c r="C652" s="60">
        <v>45598</v>
      </c>
      <c r="D652" s="54" t="s">
        <v>168</v>
      </c>
      <c r="E652" s="435" t="str">
        <f>IFERROR(VLOOKUP(D652,Mychart!$A$125:$B$811,2,FALSE),"-")</f>
        <v>UTS Carrier</v>
      </c>
      <c r="F652" s="295" t="s">
        <v>234</v>
      </c>
      <c r="G652" s="58">
        <v>4</v>
      </c>
      <c r="H652" s="58"/>
      <c r="I652" s="58">
        <v>101100</v>
      </c>
      <c r="J652" s="58">
        <v>5055</v>
      </c>
      <c r="K652" s="56" t="s">
        <v>4809</v>
      </c>
      <c r="L652" s="56" t="s">
        <v>5334</v>
      </c>
      <c r="M652" s="292">
        <v>264</v>
      </c>
    </row>
    <row r="653" spans="1:13">
      <c r="A653" s="292">
        <v>264</v>
      </c>
      <c r="B653" s="48" t="s">
        <v>5333</v>
      </c>
      <c r="C653" s="60">
        <v>45598</v>
      </c>
      <c r="D653" s="54" t="s">
        <v>168</v>
      </c>
      <c r="E653" s="435" t="str">
        <f>IFERROR(VLOOKUP(D653,Mychart!$A$125:$B$811,2,FALSE),"-")</f>
        <v>UTS Carrier</v>
      </c>
      <c r="F653" s="295" t="s">
        <v>235</v>
      </c>
      <c r="G653" s="58">
        <v>4</v>
      </c>
      <c r="H653" s="58"/>
      <c r="I653" s="58">
        <v>101100</v>
      </c>
      <c r="J653" s="58">
        <v>5055</v>
      </c>
      <c r="K653" s="56" t="s">
        <v>4809</v>
      </c>
      <c r="L653" s="56" t="s">
        <v>5334</v>
      </c>
      <c r="M653" s="292">
        <v>264</v>
      </c>
    </row>
    <row r="654" spans="1:13">
      <c r="A654" s="292">
        <v>264</v>
      </c>
      <c r="B654" s="48" t="s">
        <v>5333</v>
      </c>
      <c r="C654" s="60">
        <v>45598</v>
      </c>
      <c r="D654" s="54" t="s">
        <v>168</v>
      </c>
      <c r="E654" s="435" t="str">
        <f>IFERROR(VLOOKUP(D654,Mychart!$A$125:$B$811,2,FALSE),"-")</f>
        <v>UTS Carrier</v>
      </c>
      <c r="F654" s="295" t="s">
        <v>232</v>
      </c>
      <c r="G654" s="58">
        <v>2</v>
      </c>
      <c r="H654" s="58"/>
      <c r="I654" s="58">
        <v>101100</v>
      </c>
      <c r="J654" s="58">
        <v>5055</v>
      </c>
      <c r="K654" s="56" t="s">
        <v>4809</v>
      </c>
      <c r="L654" s="56" t="s">
        <v>5334</v>
      </c>
      <c r="M654" s="292">
        <v>264</v>
      </c>
    </row>
    <row r="655" spans="1:13">
      <c r="A655" s="292">
        <v>264</v>
      </c>
      <c r="B655" s="48" t="s">
        <v>5333</v>
      </c>
      <c r="C655" s="60">
        <v>45598</v>
      </c>
      <c r="D655" s="54" t="s">
        <v>168</v>
      </c>
      <c r="E655" s="435" t="str">
        <f>IFERROR(VLOOKUP(D655,Mychart!$A$125:$B$811,2,FALSE),"-")</f>
        <v>UTS Carrier</v>
      </c>
      <c r="F655" s="295" t="s">
        <v>233</v>
      </c>
      <c r="G655" s="58">
        <v>2</v>
      </c>
      <c r="H655" s="58"/>
      <c r="I655" s="58">
        <v>101100</v>
      </c>
      <c r="J655" s="58">
        <v>5055</v>
      </c>
      <c r="K655" s="56" t="s">
        <v>4809</v>
      </c>
      <c r="L655" s="56" t="s">
        <v>5334</v>
      </c>
      <c r="M655" s="292">
        <v>264</v>
      </c>
    </row>
    <row r="656" spans="1:13">
      <c r="A656" s="292">
        <v>264</v>
      </c>
      <c r="B656" s="48" t="s">
        <v>5333</v>
      </c>
      <c r="C656" s="60">
        <v>45598</v>
      </c>
      <c r="D656" s="54" t="s">
        <v>168</v>
      </c>
      <c r="E656" s="435" t="str">
        <f>IFERROR(VLOOKUP(D656,Mychart!$A$125:$B$811,2,FALSE),"-")</f>
        <v>UTS Carrier</v>
      </c>
      <c r="F656" s="295" t="s">
        <v>1099</v>
      </c>
      <c r="G656" s="58">
        <v>2</v>
      </c>
      <c r="H656" s="58"/>
      <c r="I656" s="58">
        <v>101100</v>
      </c>
      <c r="J656" s="58">
        <v>5055</v>
      </c>
      <c r="K656" s="56" t="s">
        <v>4809</v>
      </c>
      <c r="L656" s="56" t="s">
        <v>5334</v>
      </c>
      <c r="M656" s="292">
        <v>264</v>
      </c>
    </row>
    <row r="657" spans="1:13">
      <c r="A657" s="292">
        <v>264</v>
      </c>
      <c r="B657" s="48" t="s">
        <v>5333</v>
      </c>
      <c r="C657" s="60">
        <v>45598</v>
      </c>
      <c r="D657" s="54" t="s">
        <v>168</v>
      </c>
      <c r="E657" s="435" t="str">
        <f>IFERROR(VLOOKUP(D657,Mychart!$A$125:$B$811,2,FALSE),"-")</f>
        <v>UTS Carrier</v>
      </c>
      <c r="F657" s="295" t="s">
        <v>1100</v>
      </c>
      <c r="G657" s="58">
        <v>2</v>
      </c>
      <c r="H657" s="58"/>
      <c r="I657" s="58">
        <v>101100</v>
      </c>
      <c r="J657" s="58">
        <v>5055</v>
      </c>
      <c r="K657" s="56" t="s">
        <v>4809</v>
      </c>
      <c r="L657" s="56" t="s">
        <v>5334</v>
      </c>
      <c r="M657" s="292">
        <v>264</v>
      </c>
    </row>
    <row r="658" spans="1:13">
      <c r="A658" s="292">
        <v>264</v>
      </c>
      <c r="B658" s="48" t="s">
        <v>5333</v>
      </c>
      <c r="C658" s="60">
        <v>45598</v>
      </c>
      <c r="D658" s="54" t="s">
        <v>168</v>
      </c>
      <c r="E658" s="435" t="str">
        <f>IFERROR(VLOOKUP(D658,Mychart!$A$125:$B$811,2,FALSE),"-")</f>
        <v>UTS Carrier</v>
      </c>
      <c r="F658" s="295" t="s">
        <v>832</v>
      </c>
      <c r="G658" s="58">
        <v>1</v>
      </c>
      <c r="H658" s="58"/>
      <c r="I658" s="58">
        <v>101100</v>
      </c>
      <c r="J658" s="58">
        <v>5055</v>
      </c>
      <c r="K658" s="56" t="s">
        <v>4809</v>
      </c>
      <c r="L658" s="56" t="s">
        <v>5334</v>
      </c>
      <c r="M658" s="292">
        <v>264</v>
      </c>
    </row>
    <row r="659" spans="1:13">
      <c r="A659" s="292">
        <v>264</v>
      </c>
      <c r="B659" s="48" t="s">
        <v>5333</v>
      </c>
      <c r="C659" s="60">
        <v>45598</v>
      </c>
      <c r="D659" s="54" t="s">
        <v>168</v>
      </c>
      <c r="E659" s="435" t="str">
        <f>IFERROR(VLOOKUP(D659,Mychart!$A$125:$B$811,2,FALSE),"-")</f>
        <v>UTS Carrier</v>
      </c>
      <c r="F659" s="295" t="s">
        <v>833</v>
      </c>
      <c r="G659" s="58">
        <v>1</v>
      </c>
      <c r="H659" s="58"/>
      <c r="I659" s="58">
        <v>101100</v>
      </c>
      <c r="J659" s="58">
        <v>5055</v>
      </c>
      <c r="K659" s="56" t="s">
        <v>4809</v>
      </c>
      <c r="L659" s="56" t="s">
        <v>5334</v>
      </c>
      <c r="M659" s="292">
        <v>264</v>
      </c>
    </row>
    <row r="660" spans="1:13">
      <c r="A660" s="292">
        <v>264</v>
      </c>
      <c r="B660" s="48" t="s">
        <v>5333</v>
      </c>
      <c r="C660" s="60">
        <v>45598</v>
      </c>
      <c r="D660" s="54" t="s">
        <v>168</v>
      </c>
      <c r="E660" s="435" t="str">
        <f>IFERROR(VLOOKUP(D660,Mychart!$A$125:$B$811,2,FALSE),"-")</f>
        <v>UTS Carrier</v>
      </c>
      <c r="F660" s="295" t="s">
        <v>5337</v>
      </c>
      <c r="G660" s="58">
        <v>1</v>
      </c>
      <c r="H660" s="58"/>
      <c r="I660" s="58">
        <v>101100</v>
      </c>
      <c r="J660" s="58">
        <v>5055</v>
      </c>
      <c r="K660" s="56" t="s">
        <v>4809</v>
      </c>
      <c r="L660" s="56" t="s">
        <v>5334</v>
      </c>
      <c r="M660" s="292">
        <v>264</v>
      </c>
    </row>
    <row r="661" spans="1:13">
      <c r="A661" s="292">
        <v>264</v>
      </c>
      <c r="B661" s="48" t="s">
        <v>5333</v>
      </c>
      <c r="C661" s="60">
        <v>45598</v>
      </c>
      <c r="D661" s="54" t="s">
        <v>168</v>
      </c>
      <c r="E661" s="435" t="str">
        <f>IFERROR(VLOOKUP(D661,Mychart!$A$125:$B$811,2,FALSE),"-")</f>
        <v>UTS Carrier</v>
      </c>
      <c r="F661" s="295" t="s">
        <v>5338</v>
      </c>
      <c r="G661" s="58">
        <v>1</v>
      </c>
      <c r="H661" s="58"/>
      <c r="I661" s="58">
        <v>101100</v>
      </c>
      <c r="J661" s="58">
        <v>5055</v>
      </c>
      <c r="K661" s="56" t="s">
        <v>4809</v>
      </c>
      <c r="L661" s="56" t="s">
        <v>5334</v>
      </c>
      <c r="M661" s="292">
        <v>264</v>
      </c>
    </row>
    <row r="662" spans="1:13">
      <c r="A662" s="292">
        <v>264</v>
      </c>
      <c r="B662" s="48" t="s">
        <v>5333</v>
      </c>
      <c r="C662" s="60">
        <v>45598</v>
      </c>
      <c r="D662" s="54" t="s">
        <v>168</v>
      </c>
      <c r="E662" s="435" t="str">
        <f>IFERROR(VLOOKUP(D662,Mychart!$A$125:$B$811,2,FALSE),"-")</f>
        <v>UTS Carrier</v>
      </c>
      <c r="F662" s="295" t="s">
        <v>1300</v>
      </c>
      <c r="G662" s="58">
        <v>13</v>
      </c>
      <c r="H662" s="58"/>
      <c r="I662" s="58">
        <v>101100</v>
      </c>
      <c r="J662" s="58">
        <v>5055</v>
      </c>
      <c r="K662" s="56" t="s">
        <v>4809</v>
      </c>
      <c r="L662" s="56" t="s">
        <v>5334</v>
      </c>
      <c r="M662" s="292">
        <v>264</v>
      </c>
    </row>
    <row r="663" spans="1:13">
      <c r="A663" s="292">
        <v>264</v>
      </c>
      <c r="B663" s="48" t="s">
        <v>5333</v>
      </c>
      <c r="C663" s="60">
        <v>45598</v>
      </c>
      <c r="D663" s="54" t="s">
        <v>168</v>
      </c>
      <c r="E663" s="435" t="str">
        <f>IFERROR(VLOOKUP(D663,Mychart!$A$125:$B$811,2,FALSE),"-")</f>
        <v>UTS Carrier</v>
      </c>
      <c r="F663" s="295" t="s">
        <v>5317</v>
      </c>
      <c r="G663" s="58">
        <v>1</v>
      </c>
      <c r="H663" s="58">
        <v>101100</v>
      </c>
      <c r="I663" s="58">
        <v>101100</v>
      </c>
      <c r="J663" s="58">
        <v>5055</v>
      </c>
      <c r="K663" s="56" t="s">
        <v>5342</v>
      </c>
      <c r="L663" s="56" t="s">
        <v>5334</v>
      </c>
      <c r="M663" s="292">
        <v>264</v>
      </c>
    </row>
    <row r="664" spans="1:13">
      <c r="A664" s="292">
        <v>285</v>
      </c>
      <c r="B664" s="48" t="s">
        <v>5339</v>
      </c>
      <c r="C664" s="60">
        <v>45598</v>
      </c>
      <c r="D664" s="54" t="s">
        <v>168</v>
      </c>
      <c r="E664" s="435" t="str">
        <f>IFERROR(VLOOKUP(D664,Mychart!$A$125:$B$811,2,FALSE),"-")</f>
        <v>UTS Carrier</v>
      </c>
      <c r="F664" s="295" t="s">
        <v>5335</v>
      </c>
      <c r="G664" s="58">
        <v>3</v>
      </c>
      <c r="H664" s="58"/>
      <c r="I664" s="58">
        <v>47925</v>
      </c>
      <c r="J664" s="58">
        <v>2396.25</v>
      </c>
      <c r="K664" s="56"/>
      <c r="L664" s="56" t="s">
        <v>1356</v>
      </c>
      <c r="M664" s="292">
        <v>285</v>
      </c>
    </row>
    <row r="665" spans="1:13">
      <c r="A665" s="292">
        <v>285</v>
      </c>
      <c r="B665" s="48" t="s">
        <v>5339</v>
      </c>
      <c r="C665" s="60">
        <v>45598</v>
      </c>
      <c r="D665" s="54" t="s">
        <v>168</v>
      </c>
      <c r="E665" s="435" t="str">
        <f>IFERROR(VLOOKUP(D665,Mychart!$A$125:$B$811,2,FALSE),"-")</f>
        <v>UTS Carrier</v>
      </c>
      <c r="F665" s="295" t="s">
        <v>5336</v>
      </c>
      <c r="G665" s="58">
        <v>3</v>
      </c>
      <c r="H665" s="58"/>
      <c r="I665" s="58">
        <v>47925</v>
      </c>
      <c r="J665" s="58">
        <v>2396.25</v>
      </c>
      <c r="K665" s="56" t="s">
        <v>4809</v>
      </c>
      <c r="L665" s="56" t="s">
        <v>1356</v>
      </c>
      <c r="M665" s="292">
        <v>285</v>
      </c>
    </row>
    <row r="666" spans="1:13">
      <c r="A666" s="292">
        <v>285</v>
      </c>
      <c r="B666" s="48" t="s">
        <v>5339</v>
      </c>
      <c r="C666" s="60">
        <v>45598</v>
      </c>
      <c r="D666" s="54" t="s">
        <v>168</v>
      </c>
      <c r="E666" s="435" t="str">
        <f>IFERROR(VLOOKUP(D666,Mychart!$A$125:$B$811,2,FALSE),"-")</f>
        <v>UTS Carrier</v>
      </c>
      <c r="F666" s="295" t="s">
        <v>236</v>
      </c>
      <c r="G666" s="58">
        <v>1</v>
      </c>
      <c r="H666" s="58"/>
      <c r="I666" s="58">
        <v>47925</v>
      </c>
      <c r="J666" s="58">
        <v>2396.25</v>
      </c>
      <c r="K666" s="56" t="s">
        <v>4809</v>
      </c>
      <c r="L666" s="56" t="s">
        <v>1356</v>
      </c>
      <c r="M666" s="292">
        <v>285</v>
      </c>
    </row>
    <row r="667" spans="1:13">
      <c r="A667" s="292">
        <v>285</v>
      </c>
      <c r="B667" s="48" t="s">
        <v>5339</v>
      </c>
      <c r="C667" s="60">
        <v>45598</v>
      </c>
      <c r="D667" s="54" t="s">
        <v>168</v>
      </c>
      <c r="E667" s="435" t="str">
        <f>IFERROR(VLOOKUP(D667,Mychart!$A$125:$B$811,2,FALSE),"-")</f>
        <v>UTS Carrier</v>
      </c>
      <c r="F667" s="295" t="s">
        <v>237</v>
      </c>
      <c r="G667" s="58">
        <v>1</v>
      </c>
      <c r="H667" s="58"/>
      <c r="I667" s="58">
        <v>47925</v>
      </c>
      <c r="J667" s="58">
        <v>2396.25</v>
      </c>
      <c r="K667" s="56" t="s">
        <v>4809</v>
      </c>
      <c r="L667" s="56" t="s">
        <v>1356</v>
      </c>
      <c r="M667" s="292">
        <v>285</v>
      </c>
    </row>
    <row r="668" spans="1:13">
      <c r="A668" s="292">
        <v>285</v>
      </c>
      <c r="B668" s="48" t="s">
        <v>5339</v>
      </c>
      <c r="C668" s="60">
        <v>45598</v>
      </c>
      <c r="D668" s="54" t="s">
        <v>168</v>
      </c>
      <c r="E668" s="435" t="str">
        <f>IFERROR(VLOOKUP(D668,Mychart!$A$125:$B$811,2,FALSE),"-")</f>
        <v>UTS Carrier</v>
      </c>
      <c r="F668" s="295" t="s">
        <v>238</v>
      </c>
      <c r="G668" s="58">
        <v>2</v>
      </c>
      <c r="H668" s="58"/>
      <c r="I668" s="58">
        <v>47925</v>
      </c>
      <c r="J668" s="58">
        <v>2396.25</v>
      </c>
      <c r="K668" s="56" t="s">
        <v>4809</v>
      </c>
      <c r="L668" s="56" t="s">
        <v>1356</v>
      </c>
      <c r="M668" s="292">
        <v>285</v>
      </c>
    </row>
    <row r="669" spans="1:13">
      <c r="A669" s="292">
        <v>285</v>
      </c>
      <c r="B669" s="48" t="s">
        <v>5339</v>
      </c>
      <c r="C669" s="60">
        <v>45598</v>
      </c>
      <c r="D669" s="54" t="s">
        <v>168</v>
      </c>
      <c r="E669" s="435" t="str">
        <f>IFERROR(VLOOKUP(D669,Mychart!$A$125:$B$811,2,FALSE),"-")</f>
        <v>UTS Carrier</v>
      </c>
      <c r="F669" s="295" t="s">
        <v>239</v>
      </c>
      <c r="G669" s="58">
        <v>2</v>
      </c>
      <c r="H669" s="58"/>
      <c r="I669" s="58">
        <v>47925</v>
      </c>
      <c r="J669" s="58">
        <v>2396.25</v>
      </c>
      <c r="K669" s="56" t="s">
        <v>4809</v>
      </c>
      <c r="L669" s="56" t="s">
        <v>1356</v>
      </c>
      <c r="M669" s="292">
        <v>285</v>
      </c>
    </row>
    <row r="670" spans="1:13">
      <c r="A670" s="292">
        <v>285</v>
      </c>
      <c r="B670" s="48" t="s">
        <v>5339</v>
      </c>
      <c r="C670" s="60">
        <v>45598</v>
      </c>
      <c r="D670" s="54" t="s">
        <v>168</v>
      </c>
      <c r="E670" s="435" t="str">
        <f>IFERROR(VLOOKUP(D670,Mychart!$A$125:$B$811,2,FALSE),"-")</f>
        <v>UTS Carrier</v>
      </c>
      <c r="F670" s="295" t="s">
        <v>232</v>
      </c>
      <c r="G670" s="58">
        <v>1</v>
      </c>
      <c r="H670" s="58"/>
      <c r="I670" s="58">
        <v>47925</v>
      </c>
      <c r="J670" s="58">
        <v>2396.25</v>
      </c>
      <c r="K670" s="56" t="s">
        <v>4809</v>
      </c>
      <c r="L670" s="56" t="s">
        <v>1356</v>
      </c>
      <c r="M670" s="292">
        <v>285</v>
      </c>
    </row>
    <row r="671" spans="1:13">
      <c r="A671" s="292">
        <v>285</v>
      </c>
      <c r="B671" s="48" t="s">
        <v>5339</v>
      </c>
      <c r="C671" s="60">
        <v>45598</v>
      </c>
      <c r="D671" s="54" t="s">
        <v>168</v>
      </c>
      <c r="E671" s="435" t="str">
        <f>IFERROR(VLOOKUP(D671,Mychart!$A$125:$B$811,2,FALSE),"-")</f>
        <v>UTS Carrier</v>
      </c>
      <c r="F671" s="295" t="s">
        <v>233</v>
      </c>
      <c r="G671" s="58">
        <v>1</v>
      </c>
      <c r="H671" s="58"/>
      <c r="I671" s="58">
        <v>47925</v>
      </c>
      <c r="J671" s="58">
        <v>2396.25</v>
      </c>
      <c r="K671" s="56" t="s">
        <v>4809</v>
      </c>
      <c r="L671" s="56" t="s">
        <v>1356</v>
      </c>
      <c r="M671" s="292">
        <v>285</v>
      </c>
    </row>
    <row r="672" spans="1:13">
      <c r="A672" s="292">
        <v>285</v>
      </c>
      <c r="B672" s="48" t="s">
        <v>5339</v>
      </c>
      <c r="C672" s="60">
        <v>45598</v>
      </c>
      <c r="D672" s="54" t="s">
        <v>168</v>
      </c>
      <c r="E672" s="435" t="str">
        <f>IFERROR(VLOOKUP(D672,Mychart!$A$125:$B$811,2,FALSE),"-")</f>
        <v>UTS Carrier</v>
      </c>
      <c r="F672" s="295" t="s">
        <v>1169</v>
      </c>
      <c r="G672" s="58">
        <v>1</v>
      </c>
      <c r="H672" s="58"/>
      <c r="I672" s="58">
        <v>47925</v>
      </c>
      <c r="J672" s="58">
        <v>2396.25</v>
      </c>
      <c r="K672" s="56" t="s">
        <v>4809</v>
      </c>
      <c r="L672" s="56" t="s">
        <v>1356</v>
      </c>
      <c r="M672" s="292">
        <v>285</v>
      </c>
    </row>
    <row r="673" spans="1:13">
      <c r="A673" s="292">
        <v>285</v>
      </c>
      <c r="B673" s="48" t="s">
        <v>5339</v>
      </c>
      <c r="C673" s="60">
        <v>45598</v>
      </c>
      <c r="D673" s="54" t="s">
        <v>168</v>
      </c>
      <c r="E673" s="435" t="str">
        <f>IFERROR(VLOOKUP(D673,Mychart!$A$125:$B$811,2,FALSE),"-")</f>
        <v>UTS Carrier</v>
      </c>
      <c r="F673" s="295" t="s">
        <v>1170</v>
      </c>
      <c r="G673" s="58">
        <v>1</v>
      </c>
      <c r="H673" s="58"/>
      <c r="I673" s="58">
        <v>47925</v>
      </c>
      <c r="J673" s="58">
        <v>2396.25</v>
      </c>
      <c r="K673" s="56" t="s">
        <v>4809</v>
      </c>
      <c r="L673" s="56" t="s">
        <v>1356</v>
      </c>
      <c r="M673" s="292">
        <v>285</v>
      </c>
    </row>
    <row r="674" spans="1:13">
      <c r="A674" s="292">
        <v>285</v>
      </c>
      <c r="B674" s="48" t="s">
        <v>5339</v>
      </c>
      <c r="C674" s="60">
        <v>45598</v>
      </c>
      <c r="D674" s="54" t="s">
        <v>168</v>
      </c>
      <c r="E674" s="435" t="str">
        <f>IFERROR(VLOOKUP(D674,Mychart!$A$125:$B$811,2,FALSE),"-")</f>
        <v>UTS Carrier</v>
      </c>
      <c r="F674" s="295" t="s">
        <v>1099</v>
      </c>
      <c r="G674" s="58">
        <v>1</v>
      </c>
      <c r="H674" s="58"/>
      <c r="I674" s="58">
        <v>47925</v>
      </c>
      <c r="J674" s="58">
        <v>2396.25</v>
      </c>
      <c r="K674" s="56" t="s">
        <v>4809</v>
      </c>
      <c r="L674" s="56" t="s">
        <v>1356</v>
      </c>
      <c r="M674" s="292">
        <v>285</v>
      </c>
    </row>
    <row r="675" spans="1:13">
      <c r="A675" s="292">
        <v>285</v>
      </c>
      <c r="B675" s="48" t="s">
        <v>5339</v>
      </c>
      <c r="C675" s="60">
        <v>45598</v>
      </c>
      <c r="D675" s="54" t="s">
        <v>168</v>
      </c>
      <c r="E675" s="435" t="str">
        <f>IFERROR(VLOOKUP(D675,Mychart!$A$125:$B$811,2,FALSE),"-")</f>
        <v>UTS Carrier</v>
      </c>
      <c r="F675" s="295" t="s">
        <v>1100</v>
      </c>
      <c r="G675" s="58">
        <v>1</v>
      </c>
      <c r="H675" s="58"/>
      <c r="I675" s="58">
        <v>47925</v>
      </c>
      <c r="J675" s="58">
        <v>2396.25</v>
      </c>
      <c r="K675" s="56" t="s">
        <v>4809</v>
      </c>
      <c r="L675" s="56" t="s">
        <v>1356</v>
      </c>
      <c r="M675" s="292">
        <v>285</v>
      </c>
    </row>
    <row r="676" spans="1:13">
      <c r="A676" s="292">
        <v>285</v>
      </c>
      <c r="B676" s="48" t="s">
        <v>5339</v>
      </c>
      <c r="C676" s="60">
        <v>45598</v>
      </c>
      <c r="D676" s="54" t="s">
        <v>168</v>
      </c>
      <c r="E676" s="435" t="str">
        <f>IFERROR(VLOOKUP(D676,Mychart!$A$125:$B$811,2,FALSE),"-")</f>
        <v>UTS Carrier</v>
      </c>
      <c r="F676" s="295" t="s">
        <v>832</v>
      </c>
      <c r="G676" s="58">
        <v>1</v>
      </c>
      <c r="H676" s="58"/>
      <c r="I676" s="58">
        <v>47925</v>
      </c>
      <c r="J676" s="58">
        <v>2396.25</v>
      </c>
      <c r="K676" s="56" t="s">
        <v>4809</v>
      </c>
      <c r="L676" s="56" t="s">
        <v>1356</v>
      </c>
      <c r="M676" s="292">
        <v>285</v>
      </c>
    </row>
    <row r="677" spans="1:13">
      <c r="A677" s="292">
        <v>285</v>
      </c>
      <c r="B677" s="48" t="s">
        <v>5339</v>
      </c>
      <c r="C677" s="60">
        <v>45598</v>
      </c>
      <c r="D677" s="54" t="s">
        <v>168</v>
      </c>
      <c r="E677" s="435" t="str">
        <f>IFERROR(VLOOKUP(D677,Mychart!$A$125:$B$811,2,FALSE),"-")</f>
        <v>UTS Carrier</v>
      </c>
      <c r="F677" s="295" t="s">
        <v>833</v>
      </c>
      <c r="G677" s="58">
        <v>1</v>
      </c>
      <c r="H677" s="58"/>
      <c r="I677" s="58">
        <v>47925</v>
      </c>
      <c r="J677" s="58">
        <v>2396.25</v>
      </c>
      <c r="K677" s="56" t="s">
        <v>4809</v>
      </c>
      <c r="L677" s="56" t="s">
        <v>1356</v>
      </c>
      <c r="M677" s="292">
        <v>285</v>
      </c>
    </row>
    <row r="678" spans="1:13">
      <c r="A678" s="292">
        <v>285</v>
      </c>
      <c r="B678" s="48" t="s">
        <v>5339</v>
      </c>
      <c r="C678" s="60">
        <v>45598</v>
      </c>
      <c r="D678" s="54" t="s">
        <v>168</v>
      </c>
      <c r="E678" s="435" t="str">
        <f>IFERROR(VLOOKUP(D678,Mychart!$A$125:$B$811,2,FALSE),"-")</f>
        <v>UTS Carrier</v>
      </c>
      <c r="F678" s="295" t="s">
        <v>1300</v>
      </c>
      <c r="G678" s="58">
        <v>7</v>
      </c>
      <c r="H678" s="58"/>
      <c r="I678" s="58">
        <v>47925</v>
      </c>
      <c r="J678" s="58">
        <v>2396.25</v>
      </c>
      <c r="K678" s="56" t="s">
        <v>4809</v>
      </c>
      <c r="L678" s="56" t="s">
        <v>1356</v>
      </c>
      <c r="M678" s="292">
        <v>285</v>
      </c>
    </row>
    <row r="679" spans="1:13">
      <c r="A679" s="292">
        <v>285</v>
      </c>
      <c r="B679" s="48" t="s">
        <v>5339</v>
      </c>
      <c r="C679" s="60">
        <v>45598</v>
      </c>
      <c r="D679" s="54" t="s">
        <v>168</v>
      </c>
      <c r="E679" s="435" t="str">
        <f>IFERROR(VLOOKUP(D679,Mychart!$A$125:$B$811,2,FALSE),"-")</f>
        <v>UTS Carrier</v>
      </c>
      <c r="F679" s="295" t="s">
        <v>5317</v>
      </c>
      <c r="G679" s="58">
        <v>1</v>
      </c>
      <c r="H679" s="58">
        <v>47925</v>
      </c>
      <c r="I679" s="58">
        <v>47925</v>
      </c>
      <c r="J679" s="58">
        <v>2396.25</v>
      </c>
      <c r="K679" s="56" t="s">
        <v>5340</v>
      </c>
      <c r="L679" s="56" t="s">
        <v>1356</v>
      </c>
      <c r="M679" s="292">
        <v>285</v>
      </c>
    </row>
  </sheetData>
  <autoFilter ref="B1:M679" xr:uid="{692F32E1-A616-4408-9413-0A0F66E57939}"/>
  <mergeCells count="7">
    <mergeCell ref="U28:U36"/>
    <mergeCell ref="T28:T36"/>
    <mergeCell ref="T1:Y2"/>
    <mergeCell ref="U4:U13"/>
    <mergeCell ref="T4:T13"/>
    <mergeCell ref="U14:U27"/>
    <mergeCell ref="T14:T27"/>
  </mergeCells>
  <pageMargins left="0.7" right="0.7" top="0.75" bottom="0.75" header="0.3" footer="0.3"/>
  <customProperties>
    <customPr name="LastActiv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9704-3C10-4F1B-A1A0-72ACB438D033}">
  <sheetPr codeName="Sheet3"/>
  <dimension ref="A4:I356"/>
  <sheetViews>
    <sheetView workbookViewId="0">
      <selection activeCell="G38" sqref="G38"/>
    </sheetView>
  </sheetViews>
  <sheetFormatPr defaultRowHeight="11.25"/>
  <cols>
    <col min="1" max="1" width="21.42578125" style="163" customWidth="1"/>
    <col min="2" max="3" width="9.140625" style="163"/>
    <col min="4" max="5" width="9.140625" style="1427"/>
    <col min="6" max="16384" width="9.140625" style="163"/>
  </cols>
  <sheetData>
    <row r="4" spans="1:9">
      <c r="A4" s="1429" t="s">
        <v>5154</v>
      </c>
      <c r="B4" s="1429">
        <v>6</v>
      </c>
      <c r="D4" s="1429" t="s">
        <v>5154</v>
      </c>
      <c r="E4" s="1429">
        <v>6</v>
      </c>
      <c r="H4" s="1429" t="s">
        <v>5153</v>
      </c>
      <c r="I4" s="1429">
        <v>6</v>
      </c>
    </row>
    <row r="5" spans="1:9" ht="15" customHeight="1">
      <c r="A5" s="1429" t="s">
        <v>5154</v>
      </c>
      <c r="B5" s="1429">
        <v>82</v>
      </c>
      <c r="D5" s="1429" t="s">
        <v>5154</v>
      </c>
      <c r="E5" s="1429">
        <v>117</v>
      </c>
      <c r="H5" s="1429" t="s">
        <v>5153</v>
      </c>
      <c r="I5" s="1429">
        <v>320</v>
      </c>
    </row>
    <row r="6" spans="1:9">
      <c r="A6" s="163" t="s">
        <v>289</v>
      </c>
      <c r="B6" s="163">
        <v>142</v>
      </c>
      <c r="D6" s="1426">
        <v>1010</v>
      </c>
      <c r="E6" s="1427" t="s">
        <v>33</v>
      </c>
      <c r="H6" s="163" t="s">
        <v>2162</v>
      </c>
      <c r="I6" s="163" t="s">
        <v>2163</v>
      </c>
    </row>
    <row r="7" spans="1:9">
      <c r="A7" s="163" t="s">
        <v>279</v>
      </c>
      <c r="B7" s="163">
        <v>182</v>
      </c>
      <c r="D7" s="1426">
        <v>1011</v>
      </c>
      <c r="E7" s="1427" t="s">
        <v>34</v>
      </c>
      <c r="H7" s="163" t="s">
        <v>2164</v>
      </c>
      <c r="I7" s="163" t="s">
        <v>2165</v>
      </c>
    </row>
    <row r="8" spans="1:9">
      <c r="A8" s="163" t="s">
        <v>314</v>
      </c>
      <c r="B8" s="163">
        <v>194</v>
      </c>
      <c r="D8" s="1426">
        <v>1012</v>
      </c>
      <c r="E8" s="1427" t="s">
        <v>35</v>
      </c>
      <c r="H8" s="163" t="s">
        <v>2166</v>
      </c>
      <c r="I8" s="163" t="s">
        <v>2167</v>
      </c>
    </row>
    <row r="9" spans="1:9">
      <c r="A9" s="163" t="s">
        <v>151</v>
      </c>
      <c r="B9" s="163">
        <v>197</v>
      </c>
      <c r="D9" s="1426">
        <v>1015</v>
      </c>
      <c r="E9" s="1427" t="s">
        <v>36</v>
      </c>
      <c r="H9" s="163" t="s">
        <v>2168</v>
      </c>
      <c r="I9" s="163" t="s">
        <v>2169</v>
      </c>
    </row>
    <row r="10" spans="1:9">
      <c r="A10" s="163" t="s">
        <v>313</v>
      </c>
      <c r="B10" s="163">
        <v>200</v>
      </c>
      <c r="D10" s="1426">
        <v>1016</v>
      </c>
      <c r="E10" s="1427" t="s">
        <v>37</v>
      </c>
      <c r="H10" s="163" t="s">
        <v>168</v>
      </c>
      <c r="I10" s="163" t="s">
        <v>162</v>
      </c>
    </row>
    <row r="11" spans="1:9">
      <c r="A11" s="163" t="s">
        <v>277</v>
      </c>
      <c r="B11" s="163">
        <v>202</v>
      </c>
      <c r="D11" s="1426">
        <v>1017</v>
      </c>
      <c r="E11" s="1427" t="s">
        <v>38</v>
      </c>
      <c r="H11" s="163" t="s">
        <v>2170</v>
      </c>
      <c r="I11" s="163" t="s">
        <v>2171</v>
      </c>
    </row>
    <row r="12" spans="1:9">
      <c r="A12" s="163" t="s">
        <v>266</v>
      </c>
      <c r="B12" s="163">
        <v>204</v>
      </c>
      <c r="D12" s="1426">
        <v>1018</v>
      </c>
      <c r="E12" s="1427" t="s">
        <v>39</v>
      </c>
      <c r="H12" s="163" t="s">
        <v>2172</v>
      </c>
      <c r="I12" s="163" t="s">
        <v>2173</v>
      </c>
    </row>
    <row r="13" spans="1:9">
      <c r="A13" s="163" t="s">
        <v>187</v>
      </c>
      <c r="B13" s="163">
        <v>206</v>
      </c>
      <c r="D13" s="1426">
        <v>1019</v>
      </c>
      <c r="E13" s="1427" t="s">
        <v>40</v>
      </c>
      <c r="H13" s="163" t="s">
        <v>2174</v>
      </c>
      <c r="I13" s="163" t="s">
        <v>2175</v>
      </c>
    </row>
    <row r="14" spans="1:9">
      <c r="A14" s="163" t="s">
        <v>1349</v>
      </c>
      <c r="B14" s="163">
        <v>207</v>
      </c>
      <c r="D14" s="1426">
        <v>1020</v>
      </c>
      <c r="E14" s="1427" t="s">
        <v>41</v>
      </c>
      <c r="H14" s="163" t="s">
        <v>2176</v>
      </c>
      <c r="I14" s="163" t="s">
        <v>2177</v>
      </c>
    </row>
    <row r="15" spans="1:9">
      <c r="A15" s="163" t="s">
        <v>310</v>
      </c>
      <c r="B15" s="163">
        <v>210</v>
      </c>
      <c r="D15" s="1426">
        <v>1021</v>
      </c>
      <c r="E15" s="1427" t="s">
        <v>42</v>
      </c>
      <c r="H15" s="163" t="s">
        <v>2178</v>
      </c>
      <c r="I15" s="163" t="s">
        <v>2179</v>
      </c>
    </row>
    <row r="16" spans="1:9">
      <c r="A16" s="163" t="s">
        <v>311</v>
      </c>
      <c r="B16" s="163">
        <v>210</v>
      </c>
      <c r="D16" s="1426">
        <v>1022</v>
      </c>
      <c r="E16" s="1427" t="s">
        <v>43</v>
      </c>
      <c r="H16" s="163" t="s">
        <v>2180</v>
      </c>
      <c r="I16" s="163" t="s">
        <v>2181</v>
      </c>
    </row>
    <row r="17" spans="1:9">
      <c r="A17" s="163" t="s">
        <v>270</v>
      </c>
      <c r="B17" s="163">
        <v>211</v>
      </c>
      <c r="D17" s="1426">
        <v>1025</v>
      </c>
      <c r="E17" s="1427" t="s">
        <v>44</v>
      </c>
      <c r="H17" s="163" t="s">
        <v>2182</v>
      </c>
      <c r="I17" s="163" t="s">
        <v>2183</v>
      </c>
    </row>
    <row r="18" spans="1:9">
      <c r="A18" s="163" t="s">
        <v>312</v>
      </c>
      <c r="B18" s="163">
        <v>212</v>
      </c>
      <c r="D18" s="1426">
        <v>1030</v>
      </c>
      <c r="E18" s="1427" t="s">
        <v>45</v>
      </c>
      <c r="H18" s="163" t="s">
        <v>2184</v>
      </c>
      <c r="I18" s="163" t="s">
        <v>2185</v>
      </c>
    </row>
    <row r="19" spans="1:9">
      <c r="A19" s="163" t="s">
        <v>298</v>
      </c>
      <c r="B19" s="163">
        <v>213</v>
      </c>
      <c r="D19" s="1426">
        <v>1100</v>
      </c>
      <c r="E19" s="1427" t="s">
        <v>46</v>
      </c>
      <c r="H19" s="163" t="s">
        <v>2186</v>
      </c>
      <c r="I19" s="163" t="s">
        <v>2187</v>
      </c>
    </row>
    <row r="20" spans="1:9">
      <c r="A20" s="163" t="s">
        <v>273</v>
      </c>
      <c r="B20" s="163">
        <v>214</v>
      </c>
      <c r="D20" s="1426">
        <v>1150</v>
      </c>
      <c r="E20" s="1427" t="s">
        <v>47</v>
      </c>
      <c r="H20" s="163" t="s">
        <v>2188</v>
      </c>
      <c r="I20" s="163" t="s">
        <v>2189</v>
      </c>
    </row>
    <row r="21" spans="1:9">
      <c r="A21" s="163" t="s">
        <v>850</v>
      </c>
      <c r="B21" s="163">
        <v>215</v>
      </c>
      <c r="D21" s="1426">
        <v>1200</v>
      </c>
      <c r="E21" s="1427" t="s">
        <v>48</v>
      </c>
      <c r="H21" s="163" t="s">
        <v>2190</v>
      </c>
      <c r="I21" s="163" t="s">
        <v>2191</v>
      </c>
    </row>
    <row r="22" spans="1:9">
      <c r="A22" s="163" t="s">
        <v>300</v>
      </c>
      <c r="B22" s="163">
        <v>216</v>
      </c>
      <c r="D22" s="1426">
        <v>1400</v>
      </c>
      <c r="E22" s="1427" t="s">
        <v>49</v>
      </c>
      <c r="H22" s="163" t="s">
        <v>2192</v>
      </c>
      <c r="I22" s="163" t="s">
        <v>2193</v>
      </c>
    </row>
    <row r="23" spans="1:9">
      <c r="A23" s="163" t="s">
        <v>296</v>
      </c>
      <c r="B23" s="163">
        <v>217</v>
      </c>
      <c r="D23" s="1426">
        <v>1430</v>
      </c>
      <c r="E23" s="1427" t="s">
        <v>50</v>
      </c>
      <c r="H23" s="163" t="s">
        <v>2194</v>
      </c>
      <c r="I23" s="163" t="s">
        <v>2195</v>
      </c>
    </row>
    <row r="24" spans="1:9">
      <c r="A24" s="163" t="s">
        <v>153</v>
      </c>
      <c r="B24" s="163">
        <v>218</v>
      </c>
      <c r="D24" s="1426">
        <v>1440</v>
      </c>
      <c r="E24" s="1427" t="s">
        <v>51</v>
      </c>
      <c r="H24" s="163" t="s">
        <v>2196</v>
      </c>
      <c r="I24" s="163" t="s">
        <v>2197</v>
      </c>
    </row>
    <row r="25" spans="1:9">
      <c r="A25" s="163" t="s">
        <v>265</v>
      </c>
      <c r="B25" s="163">
        <v>219</v>
      </c>
      <c r="D25" s="1426">
        <v>1450</v>
      </c>
      <c r="E25" s="1427" t="s">
        <v>52</v>
      </c>
      <c r="H25" s="163" t="s">
        <v>169</v>
      </c>
      <c r="I25" s="163" t="s">
        <v>163</v>
      </c>
    </row>
    <row r="26" spans="1:9">
      <c r="A26" s="163" t="s">
        <v>290</v>
      </c>
      <c r="B26" s="163">
        <v>220</v>
      </c>
      <c r="D26" s="1426">
        <v>1500</v>
      </c>
      <c r="E26" s="1427" t="s">
        <v>53</v>
      </c>
      <c r="H26" s="163" t="s">
        <v>2198</v>
      </c>
      <c r="I26" s="163" t="s">
        <v>2199</v>
      </c>
    </row>
    <row r="27" spans="1:9">
      <c r="A27" s="163" t="s">
        <v>305</v>
      </c>
      <c r="B27" s="163">
        <v>221</v>
      </c>
      <c r="D27" s="1426">
        <v>1550</v>
      </c>
      <c r="E27" s="1427" t="s">
        <v>54</v>
      </c>
      <c r="H27" s="163" t="s">
        <v>2200</v>
      </c>
      <c r="I27" s="163" t="s">
        <v>2201</v>
      </c>
    </row>
    <row r="28" spans="1:9">
      <c r="A28" s="163" t="s">
        <v>306</v>
      </c>
      <c r="B28" s="163">
        <v>222</v>
      </c>
      <c r="D28" s="1426">
        <v>1600</v>
      </c>
      <c r="E28" s="1427" t="s">
        <v>55</v>
      </c>
      <c r="H28" s="163" t="s">
        <v>2202</v>
      </c>
      <c r="I28" s="163" t="s">
        <v>2203</v>
      </c>
    </row>
    <row r="29" spans="1:9">
      <c r="A29" s="163" t="s">
        <v>292</v>
      </c>
      <c r="B29" s="163">
        <v>223</v>
      </c>
      <c r="D29" s="1426">
        <v>1900</v>
      </c>
      <c r="E29" s="1427" t="s">
        <v>56</v>
      </c>
      <c r="H29" s="163" t="s">
        <v>2204</v>
      </c>
      <c r="I29" s="163" t="s">
        <v>2205</v>
      </c>
    </row>
    <row r="30" spans="1:9">
      <c r="A30" s="163" t="s">
        <v>288</v>
      </c>
      <c r="B30" s="163">
        <v>225</v>
      </c>
      <c r="D30" s="1426">
        <v>2000</v>
      </c>
      <c r="E30" s="1427" t="s">
        <v>57</v>
      </c>
      <c r="H30" s="163" t="s">
        <v>170</v>
      </c>
      <c r="I30" s="163" t="s">
        <v>164</v>
      </c>
    </row>
    <row r="31" spans="1:9">
      <c r="A31" s="163" t="s">
        <v>809</v>
      </c>
      <c r="B31" s="163">
        <v>226</v>
      </c>
      <c r="D31" s="1426">
        <v>2018</v>
      </c>
      <c r="E31" s="1427" t="s">
        <v>58</v>
      </c>
      <c r="H31" s="163" t="s">
        <v>2206</v>
      </c>
      <c r="I31" s="163" t="s">
        <v>2207</v>
      </c>
    </row>
    <row r="32" spans="1:9">
      <c r="A32" s="163" t="s">
        <v>272</v>
      </c>
      <c r="B32" s="163">
        <v>227</v>
      </c>
      <c r="D32" s="1426">
        <v>2310</v>
      </c>
      <c r="E32" s="1427" t="s">
        <v>59</v>
      </c>
      <c r="H32" s="163" t="s">
        <v>2208</v>
      </c>
      <c r="I32" s="163" t="s">
        <v>2209</v>
      </c>
    </row>
    <row r="33" spans="1:9">
      <c r="A33" s="163" t="s">
        <v>297</v>
      </c>
      <c r="B33" s="163">
        <v>228</v>
      </c>
      <c r="D33" s="1426">
        <v>2320</v>
      </c>
      <c r="E33" s="1427" t="s">
        <v>60</v>
      </c>
      <c r="H33" s="163" t="s">
        <v>2210</v>
      </c>
      <c r="I33" s="163" t="s">
        <v>2211</v>
      </c>
    </row>
    <row r="34" spans="1:9">
      <c r="A34" s="163" t="s">
        <v>1022</v>
      </c>
      <c r="B34" s="163">
        <v>229</v>
      </c>
      <c r="D34" s="1426">
        <v>2330</v>
      </c>
      <c r="E34" s="1427" t="s">
        <v>61</v>
      </c>
      <c r="H34" s="163" t="s">
        <v>2212</v>
      </c>
      <c r="I34" s="163" t="s">
        <v>2213</v>
      </c>
    </row>
    <row r="35" spans="1:9">
      <c r="A35" s="163" t="s">
        <v>281</v>
      </c>
      <c r="B35" s="163">
        <v>230</v>
      </c>
      <c r="D35" s="1426">
        <v>2340</v>
      </c>
      <c r="E35" s="1427" t="s">
        <v>62</v>
      </c>
      <c r="H35" s="163" t="s">
        <v>2214</v>
      </c>
      <c r="I35" s="163" t="s">
        <v>2215</v>
      </c>
    </row>
    <row r="36" spans="1:9">
      <c r="A36" s="163" t="s">
        <v>186</v>
      </c>
      <c r="B36" s="163">
        <v>231</v>
      </c>
      <c r="D36" s="1426">
        <v>2350</v>
      </c>
      <c r="E36" s="1427" t="s">
        <v>63</v>
      </c>
      <c r="H36" s="163" t="s">
        <v>2216</v>
      </c>
      <c r="I36" s="163" t="s">
        <v>2217</v>
      </c>
    </row>
    <row r="37" spans="1:9">
      <c r="A37" s="163" t="s">
        <v>299</v>
      </c>
      <c r="B37" s="163">
        <v>233</v>
      </c>
      <c r="D37" s="1426">
        <v>2360</v>
      </c>
      <c r="E37" s="1427" t="s">
        <v>64</v>
      </c>
      <c r="H37" s="163" t="s">
        <v>2218</v>
      </c>
      <c r="I37" s="163" t="s">
        <v>2219</v>
      </c>
    </row>
    <row r="38" spans="1:9">
      <c r="A38" s="163" t="s">
        <v>286</v>
      </c>
      <c r="B38" s="163">
        <v>234</v>
      </c>
      <c r="D38" s="1426">
        <v>2370</v>
      </c>
      <c r="E38" s="1427" t="s">
        <v>5833</v>
      </c>
      <c r="H38" s="163" t="s">
        <v>2220</v>
      </c>
      <c r="I38" s="163" t="s">
        <v>2221</v>
      </c>
    </row>
    <row r="39" spans="1:9">
      <c r="A39" s="163" t="s">
        <v>271</v>
      </c>
      <c r="B39" s="163">
        <v>235</v>
      </c>
      <c r="D39" s="1426">
        <v>2380</v>
      </c>
      <c r="E39" s="1427" t="s">
        <v>66</v>
      </c>
      <c r="H39" s="163" t="s">
        <v>2222</v>
      </c>
      <c r="I39" s="163" t="s">
        <v>2223</v>
      </c>
    </row>
    <row r="40" spans="1:9">
      <c r="A40" s="163" t="s">
        <v>157</v>
      </c>
      <c r="B40" s="163">
        <v>236</v>
      </c>
      <c r="D40" s="1426">
        <v>2400</v>
      </c>
      <c r="E40" s="1427" t="s">
        <v>67</v>
      </c>
      <c r="H40" s="163" t="s">
        <v>2224</v>
      </c>
      <c r="I40" s="163" t="s">
        <v>2225</v>
      </c>
    </row>
    <row r="41" spans="1:9">
      <c r="A41" s="163" t="s">
        <v>284</v>
      </c>
      <c r="B41" s="163">
        <v>237</v>
      </c>
      <c r="D41" s="1426">
        <v>2500</v>
      </c>
      <c r="E41" s="1427" t="s">
        <v>68</v>
      </c>
      <c r="H41" s="163" t="s">
        <v>2226</v>
      </c>
      <c r="I41" s="163" t="s">
        <v>2227</v>
      </c>
    </row>
    <row r="42" spans="1:9">
      <c r="A42" s="163" t="s">
        <v>285</v>
      </c>
      <c r="B42" s="163">
        <v>238</v>
      </c>
      <c r="D42" s="1426">
        <v>2700</v>
      </c>
      <c r="E42" s="1427" t="s">
        <v>69</v>
      </c>
      <c r="H42" s="163" t="s">
        <v>2228</v>
      </c>
      <c r="I42" s="163" t="s">
        <v>2229</v>
      </c>
    </row>
    <row r="43" spans="1:9">
      <c r="A43" s="163" t="s">
        <v>280</v>
      </c>
      <c r="B43" s="163">
        <v>239</v>
      </c>
      <c r="D43" s="1426">
        <v>3910</v>
      </c>
      <c r="E43" s="1427" t="s">
        <v>70</v>
      </c>
      <c r="H43" s="163" t="s">
        <v>171</v>
      </c>
      <c r="I43" s="163" t="s">
        <v>1379</v>
      </c>
    </row>
    <row r="44" spans="1:9">
      <c r="A44" s="163" t="s">
        <v>158</v>
      </c>
      <c r="B44" s="163">
        <v>241</v>
      </c>
      <c r="D44" s="1426">
        <v>3920</v>
      </c>
      <c r="E44" s="1427" t="s">
        <v>71</v>
      </c>
      <c r="H44" s="163" t="s">
        <v>2230</v>
      </c>
      <c r="I44" s="163" t="s">
        <v>2231</v>
      </c>
    </row>
    <row r="45" spans="1:9">
      <c r="A45" s="163" t="s">
        <v>274</v>
      </c>
      <c r="B45" s="163">
        <v>242</v>
      </c>
      <c r="D45" s="1426">
        <v>3930</v>
      </c>
      <c r="E45" s="1427" t="s">
        <v>72</v>
      </c>
      <c r="H45" s="163" t="s">
        <v>2232</v>
      </c>
      <c r="I45" s="163" t="s">
        <v>2233</v>
      </c>
    </row>
    <row r="46" spans="1:9">
      <c r="A46" s="163" t="s">
        <v>308</v>
      </c>
      <c r="B46" s="163">
        <v>243</v>
      </c>
      <c r="D46" s="1426">
        <v>3940</v>
      </c>
      <c r="E46" s="1427" t="s">
        <v>73</v>
      </c>
      <c r="H46" s="163" t="s">
        <v>2234</v>
      </c>
      <c r="I46" s="163" t="s">
        <v>2235</v>
      </c>
    </row>
    <row r="47" spans="1:9">
      <c r="A47" s="163" t="s">
        <v>192</v>
      </c>
      <c r="B47" s="163">
        <v>245</v>
      </c>
      <c r="D47" s="1426">
        <v>4000</v>
      </c>
      <c r="E47" s="1427" t="s">
        <v>74</v>
      </c>
      <c r="H47" s="163" t="s">
        <v>2236</v>
      </c>
      <c r="I47" s="163" t="s">
        <v>2237</v>
      </c>
    </row>
    <row r="48" spans="1:9">
      <c r="A48" s="163" t="s">
        <v>293</v>
      </c>
      <c r="B48" s="163">
        <v>246</v>
      </c>
      <c r="D48" s="1426">
        <v>4010</v>
      </c>
      <c r="E48" s="1427" t="s">
        <v>75</v>
      </c>
      <c r="H48" s="163" t="s">
        <v>2238</v>
      </c>
      <c r="I48" s="163" t="s">
        <v>2239</v>
      </c>
    </row>
    <row r="49" spans="1:9">
      <c r="A49" s="163" t="s">
        <v>267</v>
      </c>
      <c r="B49" s="163">
        <v>247</v>
      </c>
      <c r="D49" s="1426">
        <v>4100</v>
      </c>
      <c r="E49" s="1427" t="s">
        <v>76</v>
      </c>
      <c r="H49" s="163" t="s">
        <v>2240</v>
      </c>
      <c r="I49" s="163" t="s">
        <v>2241</v>
      </c>
    </row>
    <row r="50" spans="1:9">
      <c r="A50" s="163" t="s">
        <v>282</v>
      </c>
      <c r="B50" s="163">
        <v>249</v>
      </c>
      <c r="D50" s="1426">
        <v>4200</v>
      </c>
      <c r="E50" s="1427" t="s">
        <v>77</v>
      </c>
      <c r="H50" s="163" t="s">
        <v>2242</v>
      </c>
      <c r="I50" s="163" t="s">
        <v>2243</v>
      </c>
    </row>
    <row r="51" spans="1:9">
      <c r="A51" s="163" t="s">
        <v>295</v>
      </c>
      <c r="B51" s="163">
        <v>250</v>
      </c>
      <c r="D51" s="1426">
        <v>4900</v>
      </c>
      <c r="E51" s="1427" t="s">
        <v>78</v>
      </c>
      <c r="H51" s="163" t="s">
        <v>2244</v>
      </c>
      <c r="I51" s="163" t="s">
        <v>2245</v>
      </c>
    </row>
    <row r="52" spans="1:9">
      <c r="A52" s="163" t="s">
        <v>304</v>
      </c>
      <c r="B52" s="163">
        <v>251</v>
      </c>
      <c r="D52" s="1426">
        <v>5000</v>
      </c>
      <c r="E52" s="1427" t="s">
        <v>79</v>
      </c>
      <c r="H52" s="163" t="s">
        <v>2246</v>
      </c>
      <c r="I52" s="163" t="s">
        <v>2247</v>
      </c>
    </row>
    <row r="53" spans="1:9">
      <c r="A53" s="163" t="s">
        <v>287</v>
      </c>
      <c r="B53" s="163">
        <v>252</v>
      </c>
      <c r="D53" s="1426">
        <v>5050</v>
      </c>
      <c r="E53" s="1427" t="s">
        <v>80</v>
      </c>
      <c r="H53" s="163" t="s">
        <v>2248</v>
      </c>
      <c r="I53" s="163" t="s">
        <v>2249</v>
      </c>
    </row>
    <row r="54" spans="1:9">
      <c r="A54" s="163" t="s">
        <v>309</v>
      </c>
      <c r="B54" s="163">
        <v>253</v>
      </c>
      <c r="D54" s="1426">
        <v>5100</v>
      </c>
      <c r="E54" s="1427" t="s">
        <v>81</v>
      </c>
      <c r="H54" s="163" t="s">
        <v>2250</v>
      </c>
      <c r="I54" s="163" t="s">
        <v>2251</v>
      </c>
    </row>
    <row r="55" spans="1:9">
      <c r="A55" s="163" t="s">
        <v>1338</v>
      </c>
      <c r="B55" s="163">
        <v>254</v>
      </c>
      <c r="D55" s="1426">
        <v>5150</v>
      </c>
      <c r="E55" s="1427" t="s">
        <v>82</v>
      </c>
      <c r="H55" s="163" t="s">
        <v>2252</v>
      </c>
      <c r="I55" s="163" t="s">
        <v>2253</v>
      </c>
    </row>
    <row r="56" spans="1:9">
      <c r="A56" s="163" t="s">
        <v>278</v>
      </c>
      <c r="B56" s="163">
        <v>255</v>
      </c>
      <c r="D56" s="1426">
        <v>5200</v>
      </c>
      <c r="E56" s="1427" t="s">
        <v>83</v>
      </c>
      <c r="H56" s="163" t="s">
        <v>2254</v>
      </c>
      <c r="I56" s="163" t="s">
        <v>2255</v>
      </c>
    </row>
    <row r="57" spans="1:9">
      <c r="A57" s="163" t="s">
        <v>269</v>
      </c>
      <c r="B57" s="163">
        <v>256</v>
      </c>
      <c r="D57" s="1426">
        <v>5220</v>
      </c>
      <c r="E57" s="1427" t="s">
        <v>84</v>
      </c>
      <c r="H57" s="163" t="s">
        <v>2256</v>
      </c>
      <c r="I57" s="163" t="s">
        <v>2257</v>
      </c>
    </row>
    <row r="58" spans="1:9">
      <c r="A58" s="163" t="s">
        <v>301</v>
      </c>
      <c r="B58" s="163">
        <v>257</v>
      </c>
      <c r="D58" s="1426">
        <v>5250</v>
      </c>
      <c r="E58" s="1427" t="s">
        <v>85</v>
      </c>
      <c r="H58" s="163" t="s">
        <v>2258</v>
      </c>
      <c r="I58" s="163" t="s">
        <v>2259</v>
      </c>
    </row>
    <row r="59" spans="1:9">
      <c r="A59" s="163" t="s">
        <v>1851</v>
      </c>
      <c r="B59" s="163">
        <v>258</v>
      </c>
      <c r="D59" s="1426">
        <v>5300</v>
      </c>
      <c r="E59" s="1427" t="s">
        <v>86</v>
      </c>
      <c r="H59" s="163" t="s">
        <v>2260</v>
      </c>
      <c r="I59" s="163" t="s">
        <v>2261</v>
      </c>
    </row>
    <row r="60" spans="1:9">
      <c r="A60" s="163" t="s">
        <v>264</v>
      </c>
      <c r="B60" s="163">
        <v>259</v>
      </c>
      <c r="D60" s="1426">
        <v>5350</v>
      </c>
      <c r="E60" s="1427" t="s">
        <v>87</v>
      </c>
      <c r="H60" s="163" t="s">
        <v>2262</v>
      </c>
      <c r="I60" s="163" t="s">
        <v>2263</v>
      </c>
    </row>
    <row r="61" spans="1:9">
      <c r="A61" s="163" t="s">
        <v>1339</v>
      </c>
      <c r="B61" s="163">
        <v>260</v>
      </c>
      <c r="D61" s="1426">
        <v>5400</v>
      </c>
      <c r="E61" s="1427" t="s">
        <v>88</v>
      </c>
      <c r="H61" s="163" t="s">
        <v>2264</v>
      </c>
      <c r="I61" s="163" t="s">
        <v>2265</v>
      </c>
    </row>
    <row r="62" spans="1:9">
      <c r="A62" s="163" t="s">
        <v>276</v>
      </c>
      <c r="B62" s="163">
        <v>261</v>
      </c>
      <c r="D62" s="1426">
        <v>5900</v>
      </c>
      <c r="E62" s="1427" t="s">
        <v>1880</v>
      </c>
      <c r="H62" s="163" t="s">
        <v>2266</v>
      </c>
      <c r="I62" s="163" t="s">
        <v>2267</v>
      </c>
    </row>
    <row r="63" spans="1:9">
      <c r="A63" s="163" t="s">
        <v>275</v>
      </c>
      <c r="B63" s="163">
        <v>262</v>
      </c>
      <c r="D63" s="1426">
        <v>5950</v>
      </c>
      <c r="E63" s="1427" t="s">
        <v>90</v>
      </c>
      <c r="H63" s="163" t="s">
        <v>2268</v>
      </c>
      <c r="I63" s="163" t="s">
        <v>2269</v>
      </c>
    </row>
    <row r="64" spans="1:9">
      <c r="A64" s="163" t="s">
        <v>303</v>
      </c>
      <c r="B64" s="163">
        <v>264</v>
      </c>
      <c r="D64" s="1426">
        <v>6000</v>
      </c>
      <c r="E64" s="1427" t="s">
        <v>91</v>
      </c>
      <c r="H64" s="163" t="s">
        <v>2270</v>
      </c>
      <c r="I64" s="163" t="s">
        <v>2271</v>
      </c>
    </row>
    <row r="65" spans="1:9">
      <c r="A65" s="163" t="s">
        <v>193</v>
      </c>
      <c r="B65" s="163">
        <v>265</v>
      </c>
      <c r="D65" s="1426">
        <v>6001</v>
      </c>
      <c r="E65" s="1427" t="s">
        <v>92</v>
      </c>
      <c r="H65" s="163" t="s">
        <v>2272</v>
      </c>
      <c r="I65" s="163" t="s">
        <v>2273</v>
      </c>
    </row>
    <row r="66" spans="1:9">
      <c r="A66" s="163" t="s">
        <v>320</v>
      </c>
      <c r="B66" s="163">
        <v>275</v>
      </c>
      <c r="D66" s="1426">
        <v>6002</v>
      </c>
      <c r="E66" s="1427" t="s">
        <v>93</v>
      </c>
      <c r="H66" s="163" t="s">
        <v>2274</v>
      </c>
      <c r="I66" s="163" t="s">
        <v>2275</v>
      </c>
    </row>
    <row r="67" spans="1:9">
      <c r="A67" s="163" t="s">
        <v>283</v>
      </c>
      <c r="B67" s="163">
        <v>276</v>
      </c>
      <c r="D67" s="1426">
        <v>6003</v>
      </c>
      <c r="E67" s="1427" t="s">
        <v>94</v>
      </c>
      <c r="H67" s="163" t="s">
        <v>2276</v>
      </c>
      <c r="I67" s="163" t="s">
        <v>2277</v>
      </c>
    </row>
    <row r="68" spans="1:9">
      <c r="A68" s="163" t="s">
        <v>268</v>
      </c>
      <c r="B68" s="163">
        <v>277</v>
      </c>
      <c r="D68" s="1426">
        <v>6004</v>
      </c>
      <c r="E68" s="1427" t="s">
        <v>95</v>
      </c>
      <c r="H68" s="163" t="s">
        <v>2278</v>
      </c>
      <c r="I68" s="163" t="s">
        <v>2279</v>
      </c>
    </row>
    <row r="69" spans="1:9">
      <c r="A69" s="163" t="s">
        <v>302</v>
      </c>
      <c r="B69" s="163">
        <v>278</v>
      </c>
      <c r="D69" s="1426">
        <v>6005</v>
      </c>
      <c r="E69" s="1427" t="s">
        <v>96</v>
      </c>
      <c r="H69" s="163" t="s">
        <v>2280</v>
      </c>
      <c r="I69" s="163" t="s">
        <v>2281</v>
      </c>
    </row>
    <row r="70" spans="1:9">
      <c r="A70" s="163" t="s">
        <v>307</v>
      </c>
      <c r="B70" s="163">
        <v>279</v>
      </c>
      <c r="D70" s="1426">
        <v>6006</v>
      </c>
      <c r="E70" s="1427" t="s">
        <v>97</v>
      </c>
      <c r="H70" s="163" t="s">
        <v>2282</v>
      </c>
      <c r="I70" s="163" t="s">
        <v>2283</v>
      </c>
    </row>
    <row r="71" spans="1:9">
      <c r="A71" s="163" t="s">
        <v>869</v>
      </c>
      <c r="B71" s="163">
        <v>280</v>
      </c>
      <c r="D71" s="1426">
        <v>6007</v>
      </c>
      <c r="E71" s="1427" t="s">
        <v>98</v>
      </c>
      <c r="H71" s="163" t="s">
        <v>2284</v>
      </c>
      <c r="I71" s="163" t="s">
        <v>2285</v>
      </c>
    </row>
    <row r="72" spans="1:9">
      <c r="A72" s="163" t="s">
        <v>866</v>
      </c>
      <c r="B72" s="163">
        <v>281</v>
      </c>
      <c r="D72" s="1426">
        <v>6008</v>
      </c>
      <c r="E72" s="1427" t="s">
        <v>99</v>
      </c>
      <c r="H72" s="163" t="s">
        <v>2286</v>
      </c>
      <c r="I72" s="163" t="s">
        <v>2287</v>
      </c>
    </row>
    <row r="73" spans="1:9">
      <c r="A73" s="163" t="s">
        <v>1213</v>
      </c>
      <c r="B73" s="163">
        <v>282</v>
      </c>
      <c r="D73" s="1426">
        <v>6009</v>
      </c>
      <c r="E73" s="1427" t="s">
        <v>100</v>
      </c>
      <c r="H73" s="163" t="s">
        <v>2288</v>
      </c>
      <c r="I73" s="163" t="s">
        <v>2289</v>
      </c>
    </row>
    <row r="74" spans="1:9">
      <c r="A74" s="163" t="s">
        <v>1262</v>
      </c>
      <c r="B74" s="163">
        <v>283</v>
      </c>
      <c r="D74" s="1426">
        <v>6010</v>
      </c>
      <c r="E74" s="1427" t="s">
        <v>101</v>
      </c>
      <c r="H74" s="163" t="s">
        <v>2290</v>
      </c>
      <c r="I74" s="163" t="s">
        <v>2291</v>
      </c>
    </row>
    <row r="75" spans="1:9">
      <c r="A75" s="163" t="s">
        <v>1834</v>
      </c>
      <c r="B75" s="163">
        <v>284</v>
      </c>
      <c r="D75" s="1426">
        <v>6011</v>
      </c>
      <c r="E75" s="1427" t="s">
        <v>102</v>
      </c>
      <c r="H75" s="163" t="s">
        <v>2292</v>
      </c>
      <c r="I75" s="163" t="s">
        <v>2293</v>
      </c>
    </row>
    <row r="76" spans="1:9">
      <c r="A76" s="163" t="s">
        <v>1356</v>
      </c>
      <c r="B76" s="163">
        <v>285</v>
      </c>
      <c r="D76" s="1426">
        <v>6012</v>
      </c>
      <c r="E76" s="1427" t="s">
        <v>103</v>
      </c>
      <c r="H76" s="163" t="s">
        <v>2294</v>
      </c>
      <c r="I76" s="163" t="s">
        <v>2295</v>
      </c>
    </row>
    <row r="77" spans="1:9">
      <c r="A77" s="163" t="s">
        <v>1356</v>
      </c>
      <c r="B77" s="163">
        <v>285</v>
      </c>
      <c r="D77" s="1426">
        <v>6013</v>
      </c>
      <c r="E77" s="1427" t="s">
        <v>104</v>
      </c>
      <c r="H77" s="163" t="s">
        <v>2296</v>
      </c>
      <c r="I77" s="163" t="s">
        <v>2297</v>
      </c>
    </row>
    <row r="78" spans="1:9">
      <c r="A78" s="163" t="s">
        <v>978</v>
      </c>
      <c r="B78" s="163">
        <v>286</v>
      </c>
      <c r="D78" s="1426">
        <v>6014</v>
      </c>
      <c r="E78" s="1427" t="s">
        <v>105</v>
      </c>
      <c r="H78" s="163" t="s">
        <v>2298</v>
      </c>
      <c r="I78" s="163" t="s">
        <v>2299</v>
      </c>
    </row>
    <row r="79" spans="1:9">
      <c r="A79" s="163" t="s">
        <v>5005</v>
      </c>
      <c r="B79" s="163">
        <v>287</v>
      </c>
      <c r="D79" s="1426">
        <v>6015</v>
      </c>
      <c r="E79" s="1427" t="s">
        <v>106</v>
      </c>
      <c r="H79" s="163" t="s">
        <v>2300</v>
      </c>
      <c r="I79" s="163" t="s">
        <v>2301</v>
      </c>
    </row>
    <row r="80" spans="1:9">
      <c r="A80" s="163" t="s">
        <v>5045</v>
      </c>
      <c r="B80" s="163">
        <v>288</v>
      </c>
      <c r="D80" s="1426">
        <v>6016</v>
      </c>
      <c r="E80" s="1427" t="s">
        <v>107</v>
      </c>
      <c r="H80" s="163" t="s">
        <v>2302</v>
      </c>
      <c r="I80" s="163" t="s">
        <v>2303</v>
      </c>
    </row>
    <row r="81" spans="1:9">
      <c r="A81" s="163" t="str">
        <f>ProHeader!D84</f>
        <v>Mohamed Khamis Saad Mubarak Al Abdla</v>
      </c>
      <c r="B81" s="163">
        <f>ProHeader!C84</f>
        <v>289</v>
      </c>
      <c r="D81" s="1426">
        <v>6017</v>
      </c>
      <c r="E81" s="1427" t="s">
        <v>108</v>
      </c>
      <c r="H81" s="163" t="s">
        <v>2304</v>
      </c>
      <c r="I81" s="163" t="s">
        <v>2305</v>
      </c>
    </row>
    <row r="82" spans="1:9">
      <c r="A82" s="163" t="str">
        <f>IF(ProHeader!D85="","",ProHeader!D85)</f>
        <v>Ali Hassan Mohammed Ali AlShammar</v>
      </c>
      <c r="B82" s="163">
        <f>IF(ProHeader!C85="","",ProHeader!C85)</f>
        <v>290</v>
      </c>
      <c r="D82" s="1426">
        <v>6018</v>
      </c>
      <c r="E82" s="1427" t="s">
        <v>109</v>
      </c>
      <c r="H82" s="163" t="s">
        <v>2306</v>
      </c>
      <c r="I82" s="163" t="s">
        <v>2307</v>
      </c>
    </row>
    <row r="83" spans="1:9">
      <c r="A83" s="163" t="str">
        <f>IF(ProHeader!D86="","",ProHeader!D86)</f>
        <v>OBAID NASSER OBAID MAHMOOD ASHOOR</v>
      </c>
      <c r="B83" s="163">
        <f>IF(ProHeader!C86="","",ProHeader!C86)</f>
        <v>291</v>
      </c>
      <c r="D83" s="1426">
        <v>6019</v>
      </c>
      <c r="E83" s="1427" t="s">
        <v>110</v>
      </c>
      <c r="H83" s="163" t="s">
        <v>2308</v>
      </c>
      <c r="I83" s="163" t="s">
        <v>2309</v>
      </c>
    </row>
    <row r="84" spans="1:9">
      <c r="A84" s="163" t="str">
        <f>IF(ProHeader!D87="","",ProHeader!D87)</f>
        <v>ISMAIL MOHAMMAD ISMAIL ABDULGHAFOOR ALTAMIMI</v>
      </c>
      <c r="B84" s="163">
        <f>IF(ProHeader!C87="","",ProHeader!C87)</f>
        <v>292</v>
      </c>
      <c r="D84" s="1426">
        <v>6020</v>
      </c>
      <c r="E84" s="1427" t="s">
        <v>111</v>
      </c>
      <c r="H84" s="163" t="s">
        <v>2310</v>
      </c>
      <c r="I84" s="163" t="s">
        <v>2311</v>
      </c>
    </row>
    <row r="85" spans="1:9">
      <c r="A85" s="163" t="str">
        <f>IF(ProHeader!D88="","",ProHeader!D88)</f>
        <v>Federal  Youth  Authority  - Sharjah</v>
      </c>
      <c r="B85" s="163">
        <f>IF(ProHeader!C88="","",ProHeader!C88)</f>
        <v>293</v>
      </c>
      <c r="D85" s="1426">
        <v>6021</v>
      </c>
      <c r="E85" s="1427" t="s">
        <v>112</v>
      </c>
      <c r="H85" s="163" t="s">
        <v>2312</v>
      </c>
      <c r="I85" s="163" t="s">
        <v>2313</v>
      </c>
    </row>
    <row r="86" spans="1:9">
      <c r="A86" s="163" t="str">
        <f>IF(ProHeader!D89="","",ProHeader!D89)</f>
        <v xml:space="preserve">Maintenance - General </v>
      </c>
      <c r="B86" s="163">
        <f>IF(ProHeader!C89="","",ProHeader!C89)</f>
        <v>294</v>
      </c>
      <c r="D86" s="1426">
        <v>6022</v>
      </c>
      <c r="E86" s="1427" t="s">
        <v>113</v>
      </c>
      <c r="H86" s="163" t="s">
        <v>2314</v>
      </c>
      <c r="I86" s="163" t="s">
        <v>2315</v>
      </c>
    </row>
    <row r="87" spans="1:9">
      <c r="A87" s="163" t="str">
        <f>IF(ProHeader!D90="","",ProHeader!D90)</f>
        <v>Rashid Ateeq Salim Balabd Al Ketbi - dynamic</v>
      </c>
      <c r="B87" s="163">
        <f>IF(ProHeader!C90="","",ProHeader!C90)</f>
        <v>295</v>
      </c>
      <c r="D87" s="1426">
        <v>6023</v>
      </c>
      <c r="E87" s="1427" t="s">
        <v>114</v>
      </c>
      <c r="H87" s="163" t="s">
        <v>2316</v>
      </c>
      <c r="I87" s="163" t="s">
        <v>2317</v>
      </c>
    </row>
    <row r="88" spans="1:9">
      <c r="A88" s="163" t="str">
        <f>IF(ProHeader!D91="","",ProHeader!D91)</f>
        <v>Golden Horse Technical Service LLC        // Khalid Juma Mubarak Al Suwaidi</v>
      </c>
      <c r="B88" s="163">
        <f>IF(ProHeader!C91="","",ProHeader!C91)</f>
        <v>296</v>
      </c>
      <c r="D88" s="1426">
        <v>6024</v>
      </c>
      <c r="E88" s="1427" t="s">
        <v>115</v>
      </c>
      <c r="H88" s="163" t="s">
        <v>2318</v>
      </c>
      <c r="I88" s="163" t="s">
        <v>2319</v>
      </c>
    </row>
    <row r="89" spans="1:9">
      <c r="A89" s="163" t="str">
        <f>IF(ProHeader!D92="","",ProHeader!D92)</f>
        <v>RASHID AL MARZOUQI</v>
      </c>
      <c r="B89" s="163">
        <f>IF(ProHeader!C92="","",ProHeader!C92)</f>
        <v>297</v>
      </c>
      <c r="D89" s="1426">
        <v>6025</v>
      </c>
      <c r="E89" s="1427" t="s">
        <v>116</v>
      </c>
      <c r="H89" s="163" t="s">
        <v>2320</v>
      </c>
      <c r="I89" s="163" t="s">
        <v>2321</v>
      </c>
    </row>
    <row r="90" spans="1:9">
      <c r="A90" s="163" t="str">
        <f>IF(ProHeader!D93="","",ProHeader!D93)</f>
        <v>Federal Youth Authority  - Fujairah   GIRLS HUB</v>
      </c>
      <c r="B90" s="163">
        <f>IF(ProHeader!C93="","",ProHeader!C93)</f>
        <v>298</v>
      </c>
      <c r="D90" s="1426">
        <v>6026</v>
      </c>
      <c r="E90" s="1427" t="s">
        <v>117</v>
      </c>
      <c r="H90" s="163" t="s">
        <v>2322</v>
      </c>
      <c r="I90" s="163" t="s">
        <v>2323</v>
      </c>
    </row>
    <row r="91" spans="1:9">
      <c r="A91" s="163" t="str">
        <f>IF(ProHeader!D94="","",ProHeader!D94)</f>
        <v/>
      </c>
      <c r="B91" s="163" t="str">
        <f>IF(ProHeader!C94="","",ProHeader!C94)</f>
        <v/>
      </c>
      <c r="D91" s="1426">
        <v>6027</v>
      </c>
      <c r="E91" s="1427" t="s">
        <v>118</v>
      </c>
      <c r="H91" s="163" t="s">
        <v>2324</v>
      </c>
      <c r="I91" s="163" t="s">
        <v>2325</v>
      </c>
    </row>
    <row r="92" spans="1:9">
      <c r="A92" s="163" t="str">
        <f>IF(ProHeader!D95="","",ProHeader!D95)</f>
        <v/>
      </c>
      <c r="B92" s="163" t="str">
        <f>IF(ProHeader!C95="","",ProHeader!C95)</f>
        <v/>
      </c>
      <c r="D92" s="1426">
        <v>6028</v>
      </c>
      <c r="E92" s="1427" t="s">
        <v>119</v>
      </c>
      <c r="H92" s="163" t="s">
        <v>2326</v>
      </c>
      <c r="I92" s="163" t="s">
        <v>2327</v>
      </c>
    </row>
    <row r="93" spans="1:9">
      <c r="A93" s="163" t="str">
        <f>IF(ProHeader!D96="","",ProHeader!D96)</f>
        <v/>
      </c>
      <c r="B93" s="163" t="str">
        <f>IF(ProHeader!C96="","",ProHeader!C96)</f>
        <v/>
      </c>
      <c r="D93" s="1426">
        <v>6030</v>
      </c>
      <c r="E93" s="1427" t="s">
        <v>120</v>
      </c>
      <c r="H93" s="163" t="s">
        <v>2328</v>
      </c>
      <c r="I93" s="163" t="s">
        <v>2329</v>
      </c>
    </row>
    <row r="94" spans="1:9">
      <c r="D94" s="1426">
        <v>6031</v>
      </c>
      <c r="E94" s="1427" t="s">
        <v>121</v>
      </c>
      <c r="H94" s="163" t="s">
        <v>2330</v>
      </c>
      <c r="I94" s="163" t="s">
        <v>2331</v>
      </c>
    </row>
    <row r="95" spans="1:9">
      <c r="D95" s="1426">
        <v>6032</v>
      </c>
      <c r="E95" s="1427" t="s">
        <v>122</v>
      </c>
      <c r="H95" s="163" t="s">
        <v>2332</v>
      </c>
      <c r="I95" s="163" t="s">
        <v>2333</v>
      </c>
    </row>
    <row r="96" spans="1:9">
      <c r="D96" s="1426">
        <v>6033</v>
      </c>
      <c r="E96" s="1427" t="s">
        <v>123</v>
      </c>
      <c r="H96" s="163" t="s">
        <v>2334</v>
      </c>
      <c r="I96" s="163" t="s">
        <v>2335</v>
      </c>
    </row>
    <row r="97" spans="4:9">
      <c r="D97" s="1426">
        <v>6040</v>
      </c>
      <c r="E97" s="1427" t="s">
        <v>124</v>
      </c>
      <c r="H97" s="163" t="s">
        <v>2336</v>
      </c>
      <c r="I97" s="163" t="s">
        <v>2337</v>
      </c>
    </row>
    <row r="98" spans="4:9">
      <c r="D98" s="1426">
        <v>6050</v>
      </c>
      <c r="E98" s="1427" t="s">
        <v>125</v>
      </c>
      <c r="H98" s="163" t="s">
        <v>2338</v>
      </c>
      <c r="I98" s="163" t="s">
        <v>2339</v>
      </c>
    </row>
    <row r="99" spans="4:9">
      <c r="D99" s="1426">
        <v>6100</v>
      </c>
      <c r="E99" s="1427" t="s">
        <v>126</v>
      </c>
      <c r="H99" s="163" t="s">
        <v>2340</v>
      </c>
      <c r="I99" s="163" t="s">
        <v>2341</v>
      </c>
    </row>
    <row r="100" spans="4:9">
      <c r="D100" s="1426">
        <v>6150</v>
      </c>
      <c r="E100" s="1427" t="s">
        <v>127</v>
      </c>
      <c r="H100" s="163" t="s">
        <v>2342</v>
      </c>
      <c r="I100" s="163" t="s">
        <v>2343</v>
      </c>
    </row>
    <row r="101" spans="4:9">
      <c r="D101" s="1426">
        <v>6200</v>
      </c>
      <c r="E101" s="1427" t="s">
        <v>128</v>
      </c>
      <c r="H101" s="163" t="s">
        <v>2344</v>
      </c>
      <c r="I101" s="163" t="s">
        <v>2345</v>
      </c>
    </row>
    <row r="102" spans="4:9">
      <c r="D102" s="1426">
        <v>6250</v>
      </c>
      <c r="E102" s="1427" t="s">
        <v>129</v>
      </c>
      <c r="H102" s="163" t="s">
        <v>2346</v>
      </c>
      <c r="I102" s="163" t="s">
        <v>2347</v>
      </c>
    </row>
    <row r="103" spans="4:9">
      <c r="D103" s="1426">
        <v>6300</v>
      </c>
      <c r="E103" s="1427" t="s">
        <v>130</v>
      </c>
      <c r="H103" s="163" t="s">
        <v>2348</v>
      </c>
      <c r="I103" s="163" t="s">
        <v>2349</v>
      </c>
    </row>
    <row r="104" spans="4:9">
      <c r="D104" s="1426">
        <v>6350</v>
      </c>
      <c r="E104" s="1427" t="s">
        <v>131</v>
      </c>
      <c r="H104" s="163" t="s">
        <v>2350</v>
      </c>
      <c r="I104" s="163" t="s">
        <v>2351</v>
      </c>
    </row>
    <row r="105" spans="4:9">
      <c r="D105" s="1426">
        <v>6400</v>
      </c>
      <c r="E105" s="1427" t="s">
        <v>132</v>
      </c>
      <c r="H105" s="163" t="s">
        <v>2352</v>
      </c>
      <c r="I105" s="163" t="s">
        <v>2353</v>
      </c>
    </row>
    <row r="106" spans="4:9">
      <c r="D106" s="1426">
        <v>6450</v>
      </c>
      <c r="E106" s="1427" t="s">
        <v>133</v>
      </c>
      <c r="H106" s="163" t="s">
        <v>2354</v>
      </c>
      <c r="I106" s="163" t="s">
        <v>2355</v>
      </c>
    </row>
    <row r="107" spans="4:9">
      <c r="D107" s="1426">
        <v>6750</v>
      </c>
      <c r="E107" s="1427" t="s">
        <v>134</v>
      </c>
      <c r="H107" s="163" t="s">
        <v>2356</v>
      </c>
      <c r="I107" s="163" t="s">
        <v>2357</v>
      </c>
    </row>
    <row r="108" spans="4:9">
      <c r="D108" s="1426">
        <v>6950</v>
      </c>
      <c r="E108" s="1427" t="s">
        <v>135</v>
      </c>
      <c r="H108" s="163" t="s">
        <v>2358</v>
      </c>
      <c r="I108" s="163" t="s">
        <v>2359</v>
      </c>
    </row>
    <row r="109" spans="4:9">
      <c r="D109" s="1426">
        <v>7000</v>
      </c>
      <c r="E109" s="1427" t="s">
        <v>136</v>
      </c>
      <c r="H109" s="163" t="s">
        <v>2360</v>
      </c>
      <c r="I109" s="163" t="s">
        <v>2361</v>
      </c>
    </row>
    <row r="110" spans="4:9">
      <c r="D110" s="1426">
        <v>7050</v>
      </c>
      <c r="E110" s="1427" t="s">
        <v>137</v>
      </c>
      <c r="H110" s="163" t="s">
        <v>2362</v>
      </c>
      <c r="I110" s="163" t="s">
        <v>2363</v>
      </c>
    </row>
    <row r="111" spans="4:9">
      <c r="D111" s="1426">
        <v>7100</v>
      </c>
      <c r="E111" s="1427" t="s">
        <v>138</v>
      </c>
      <c r="H111" s="163" t="s">
        <v>2364</v>
      </c>
      <c r="I111" s="163" t="s">
        <v>2365</v>
      </c>
    </row>
    <row r="112" spans="4:9">
      <c r="D112" s="1426">
        <v>7150</v>
      </c>
      <c r="E112" s="1427" t="s">
        <v>139</v>
      </c>
      <c r="H112" s="163" t="s">
        <v>2366</v>
      </c>
      <c r="I112" s="163" t="s">
        <v>2367</v>
      </c>
    </row>
    <row r="113" spans="4:9">
      <c r="D113" s="1426">
        <v>7200</v>
      </c>
      <c r="E113" s="1427" t="s">
        <v>140</v>
      </c>
      <c r="H113" s="163" t="s">
        <v>2368</v>
      </c>
      <c r="I113" s="163" t="s">
        <v>2369</v>
      </c>
    </row>
    <row r="114" spans="4:9">
      <c r="D114" s="1426">
        <v>7250</v>
      </c>
      <c r="E114" s="1427" t="s">
        <v>141</v>
      </c>
      <c r="H114" s="163" t="s">
        <v>2370</v>
      </c>
      <c r="I114" s="163" t="s">
        <v>2371</v>
      </c>
    </row>
    <row r="115" spans="4:9">
      <c r="D115" s="1426">
        <v>7300</v>
      </c>
      <c r="E115" s="1427" t="s">
        <v>142</v>
      </c>
      <c r="H115" s="163" t="s">
        <v>2372</v>
      </c>
      <c r="I115" s="163" t="s">
        <v>2373</v>
      </c>
    </row>
    <row r="116" spans="4:9">
      <c r="D116" s="1426">
        <v>7350</v>
      </c>
      <c r="E116" s="1427" t="s">
        <v>143</v>
      </c>
      <c r="H116" s="163" t="s">
        <v>2374</v>
      </c>
      <c r="I116" s="163" t="s">
        <v>2375</v>
      </c>
    </row>
    <row r="117" spans="4:9">
      <c r="D117" s="1426">
        <v>7400</v>
      </c>
      <c r="E117" s="1427" t="s">
        <v>144</v>
      </c>
      <c r="H117" s="163" t="s">
        <v>2376</v>
      </c>
      <c r="I117" s="163" t="s">
        <v>2377</v>
      </c>
    </row>
    <row r="118" spans="4:9">
      <c r="D118" s="1428"/>
      <c r="E118" s="1428"/>
      <c r="H118" s="163" t="s">
        <v>2378</v>
      </c>
      <c r="I118" s="163" t="s">
        <v>2379</v>
      </c>
    </row>
    <row r="119" spans="4:9">
      <c r="D119" s="1428"/>
      <c r="E119" s="1428"/>
      <c r="H119" s="163" t="s">
        <v>2380</v>
      </c>
      <c r="I119" s="163" t="s">
        <v>2381</v>
      </c>
    </row>
    <row r="120" spans="4:9">
      <c r="D120" s="1428"/>
      <c r="E120" s="1428"/>
      <c r="H120" s="163" t="s">
        <v>2382</v>
      </c>
      <c r="I120" s="163" t="s">
        <v>2383</v>
      </c>
    </row>
    <row r="121" spans="4:9">
      <c r="D121" s="1428"/>
      <c r="E121" s="1428"/>
      <c r="H121" s="163" t="s">
        <v>2384</v>
      </c>
      <c r="I121" s="163" t="s">
        <v>2385</v>
      </c>
    </row>
    <row r="122" spans="4:9">
      <c r="D122" s="1428"/>
      <c r="E122" s="1428"/>
      <c r="H122" s="163" t="s">
        <v>2386</v>
      </c>
      <c r="I122" s="163" t="s">
        <v>2387</v>
      </c>
    </row>
    <row r="123" spans="4:9">
      <c r="H123" s="163" t="s">
        <v>2388</v>
      </c>
      <c r="I123" s="163" t="s">
        <v>2389</v>
      </c>
    </row>
    <row r="124" spans="4:9">
      <c r="H124" s="163" t="s">
        <v>2390</v>
      </c>
      <c r="I124" s="163" t="s">
        <v>2391</v>
      </c>
    </row>
    <row r="125" spans="4:9">
      <c r="H125" s="163" t="s">
        <v>2392</v>
      </c>
      <c r="I125" s="163" t="s">
        <v>2393</v>
      </c>
    </row>
    <row r="126" spans="4:9">
      <c r="H126" s="163" t="s">
        <v>2394</v>
      </c>
      <c r="I126" s="163" t="s">
        <v>2395</v>
      </c>
    </row>
    <row r="127" spans="4:9">
      <c r="H127" s="163" t="s">
        <v>2396</v>
      </c>
      <c r="I127" s="163" t="s">
        <v>2397</v>
      </c>
    </row>
    <row r="128" spans="4:9">
      <c r="H128" s="163" t="s">
        <v>2398</v>
      </c>
      <c r="I128" s="163" t="s">
        <v>2399</v>
      </c>
    </row>
    <row r="129" spans="8:9">
      <c r="H129" s="163" t="s">
        <v>2400</v>
      </c>
      <c r="I129" s="163" t="s">
        <v>2401</v>
      </c>
    </row>
    <row r="130" spans="8:9">
      <c r="H130" s="163" t="s">
        <v>2402</v>
      </c>
      <c r="I130" s="163" t="s">
        <v>2403</v>
      </c>
    </row>
    <row r="131" spans="8:9">
      <c r="H131" s="163" t="s">
        <v>2404</v>
      </c>
      <c r="I131" s="163" t="s">
        <v>2405</v>
      </c>
    </row>
    <row r="132" spans="8:9">
      <c r="H132" s="163" t="s">
        <v>2406</v>
      </c>
      <c r="I132" s="163" t="s">
        <v>2407</v>
      </c>
    </row>
    <row r="133" spans="8:9">
      <c r="H133" s="163" t="s">
        <v>2408</v>
      </c>
      <c r="I133" s="163" t="s">
        <v>2409</v>
      </c>
    </row>
    <row r="134" spans="8:9">
      <c r="H134" s="163" t="s">
        <v>2410</v>
      </c>
      <c r="I134" s="163" t="s">
        <v>2411</v>
      </c>
    </row>
    <row r="135" spans="8:9">
      <c r="H135" s="163" t="s">
        <v>2412</v>
      </c>
      <c r="I135" s="163" t="s">
        <v>2413</v>
      </c>
    </row>
    <row r="136" spans="8:9">
      <c r="H136" s="163" t="s">
        <v>2414</v>
      </c>
      <c r="I136" s="163" t="s">
        <v>2415</v>
      </c>
    </row>
    <row r="137" spans="8:9">
      <c r="H137" s="163" t="s">
        <v>2416</v>
      </c>
      <c r="I137" s="163" t="s">
        <v>2417</v>
      </c>
    </row>
    <row r="138" spans="8:9">
      <c r="H138" s="163" t="s">
        <v>2418</v>
      </c>
      <c r="I138" s="163" t="s">
        <v>2343</v>
      </c>
    </row>
    <row r="139" spans="8:9">
      <c r="H139" s="163" t="s">
        <v>2419</v>
      </c>
      <c r="I139" s="163" t="s">
        <v>2420</v>
      </c>
    </row>
    <row r="140" spans="8:9">
      <c r="H140" s="163" t="s">
        <v>2421</v>
      </c>
      <c r="I140" s="163" t="s">
        <v>2422</v>
      </c>
    </row>
    <row r="141" spans="8:9">
      <c r="H141" s="163" t="s">
        <v>2423</v>
      </c>
      <c r="I141" s="163" t="s">
        <v>2424</v>
      </c>
    </row>
    <row r="142" spans="8:9">
      <c r="H142" s="163" t="s">
        <v>2425</v>
      </c>
      <c r="I142" s="163" t="s">
        <v>2426</v>
      </c>
    </row>
    <row r="143" spans="8:9">
      <c r="H143" s="163" t="s">
        <v>2427</v>
      </c>
      <c r="I143" s="163" t="s">
        <v>2428</v>
      </c>
    </row>
    <row r="144" spans="8:9">
      <c r="H144" s="163" t="s">
        <v>2429</v>
      </c>
      <c r="I144" s="163" t="s">
        <v>2430</v>
      </c>
    </row>
    <row r="145" spans="8:9">
      <c r="H145" s="163" t="s">
        <v>2431</v>
      </c>
      <c r="I145" s="163" t="s">
        <v>2432</v>
      </c>
    </row>
    <row r="146" spans="8:9">
      <c r="H146" s="163" t="s">
        <v>2433</v>
      </c>
      <c r="I146" s="163" t="s">
        <v>2434</v>
      </c>
    </row>
    <row r="147" spans="8:9">
      <c r="H147" s="163" t="s">
        <v>2435</v>
      </c>
      <c r="I147" s="163" t="s">
        <v>2436</v>
      </c>
    </row>
    <row r="148" spans="8:9">
      <c r="H148" s="163" t="s">
        <v>2437</v>
      </c>
      <c r="I148" s="163" t="s">
        <v>2438</v>
      </c>
    </row>
    <row r="149" spans="8:9">
      <c r="H149" s="163" t="s">
        <v>2439</v>
      </c>
      <c r="I149" s="163" t="s">
        <v>2440</v>
      </c>
    </row>
    <row r="150" spans="8:9">
      <c r="H150" s="163" t="s">
        <v>2441</v>
      </c>
      <c r="I150" s="163" t="s">
        <v>2442</v>
      </c>
    </row>
    <row r="151" spans="8:9">
      <c r="H151" s="163" t="s">
        <v>2443</v>
      </c>
      <c r="I151" s="163" t="s">
        <v>2444</v>
      </c>
    </row>
    <row r="152" spans="8:9">
      <c r="H152" s="163" t="s">
        <v>2445</v>
      </c>
      <c r="I152" s="163" t="s">
        <v>2446</v>
      </c>
    </row>
    <row r="153" spans="8:9">
      <c r="H153" s="163" t="s">
        <v>2447</v>
      </c>
      <c r="I153" s="163" t="s">
        <v>2448</v>
      </c>
    </row>
    <row r="154" spans="8:9">
      <c r="H154" s="163" t="s">
        <v>2449</v>
      </c>
      <c r="I154" s="163" t="s">
        <v>2450</v>
      </c>
    </row>
    <row r="155" spans="8:9">
      <c r="H155" s="163" t="s">
        <v>2451</v>
      </c>
      <c r="I155" s="163" t="s">
        <v>2452</v>
      </c>
    </row>
    <row r="156" spans="8:9">
      <c r="H156" s="163" t="s">
        <v>2453</v>
      </c>
      <c r="I156" s="163" t="s">
        <v>2454</v>
      </c>
    </row>
    <row r="157" spans="8:9">
      <c r="H157" s="163" t="s">
        <v>2455</v>
      </c>
      <c r="I157" s="163" t="s">
        <v>2456</v>
      </c>
    </row>
    <row r="158" spans="8:9">
      <c r="H158" s="163" t="s">
        <v>2457</v>
      </c>
      <c r="I158" s="163" t="s">
        <v>2458</v>
      </c>
    </row>
    <row r="159" spans="8:9">
      <c r="H159" s="163" t="s">
        <v>2459</v>
      </c>
      <c r="I159" s="163" t="s">
        <v>2460</v>
      </c>
    </row>
    <row r="160" spans="8:9">
      <c r="H160" s="163" t="s">
        <v>2461</v>
      </c>
      <c r="I160" s="163" t="s">
        <v>2462</v>
      </c>
    </row>
    <row r="161" spans="8:9">
      <c r="H161" s="163" t="s">
        <v>2463</v>
      </c>
      <c r="I161" s="163" t="s">
        <v>2464</v>
      </c>
    </row>
    <row r="162" spans="8:9">
      <c r="H162" s="163" t="s">
        <v>2465</v>
      </c>
      <c r="I162" s="163" t="s">
        <v>2466</v>
      </c>
    </row>
    <row r="163" spans="8:9">
      <c r="H163" s="163" t="s">
        <v>2467</v>
      </c>
      <c r="I163" s="163" t="s">
        <v>2468</v>
      </c>
    </row>
    <row r="164" spans="8:9">
      <c r="H164" s="163" t="s">
        <v>2469</v>
      </c>
      <c r="I164" s="163" t="s">
        <v>2470</v>
      </c>
    </row>
    <row r="165" spans="8:9">
      <c r="H165" s="163" t="s">
        <v>2471</v>
      </c>
      <c r="I165" s="163" t="s">
        <v>2472</v>
      </c>
    </row>
    <row r="166" spans="8:9">
      <c r="H166" s="163" t="s">
        <v>2473</v>
      </c>
      <c r="I166" s="163" t="s">
        <v>2474</v>
      </c>
    </row>
    <row r="167" spans="8:9">
      <c r="H167" s="163" t="s">
        <v>2475</v>
      </c>
      <c r="I167" s="163" t="s">
        <v>2476</v>
      </c>
    </row>
    <row r="168" spans="8:9">
      <c r="H168" s="163" t="s">
        <v>2477</v>
      </c>
      <c r="I168" s="163" t="s">
        <v>2478</v>
      </c>
    </row>
    <row r="169" spans="8:9">
      <c r="H169" s="163" t="s">
        <v>2479</v>
      </c>
      <c r="I169" s="163" t="s">
        <v>2480</v>
      </c>
    </row>
    <row r="170" spans="8:9">
      <c r="H170" s="163" t="s">
        <v>2481</v>
      </c>
      <c r="I170" s="163" t="s">
        <v>2482</v>
      </c>
    </row>
    <row r="171" spans="8:9">
      <c r="H171" s="163" t="s">
        <v>2483</v>
      </c>
      <c r="I171" s="163" t="s">
        <v>2484</v>
      </c>
    </row>
    <row r="172" spans="8:9">
      <c r="H172" s="163" t="s">
        <v>2485</v>
      </c>
      <c r="I172" s="163" t="s">
        <v>2486</v>
      </c>
    </row>
    <row r="173" spans="8:9">
      <c r="H173" s="163" t="s">
        <v>2487</v>
      </c>
      <c r="I173" s="163" t="s">
        <v>2488</v>
      </c>
    </row>
    <row r="174" spans="8:9">
      <c r="H174" s="163" t="s">
        <v>2489</v>
      </c>
      <c r="I174" s="163" t="s">
        <v>2490</v>
      </c>
    </row>
    <row r="175" spans="8:9">
      <c r="H175" s="163" t="s">
        <v>2491</v>
      </c>
      <c r="I175" s="163" t="s">
        <v>2492</v>
      </c>
    </row>
    <row r="176" spans="8:9">
      <c r="H176" s="163" t="s">
        <v>2493</v>
      </c>
      <c r="I176" s="163" t="s">
        <v>2494</v>
      </c>
    </row>
    <row r="177" spans="8:9">
      <c r="H177" s="163" t="s">
        <v>2495</v>
      </c>
      <c r="I177" s="163" t="s">
        <v>2496</v>
      </c>
    </row>
    <row r="178" spans="8:9">
      <c r="H178" s="163" t="s">
        <v>2497</v>
      </c>
      <c r="I178" s="163" t="s">
        <v>2498</v>
      </c>
    </row>
    <row r="179" spans="8:9">
      <c r="H179" s="163" t="s">
        <v>2499</v>
      </c>
      <c r="I179" s="163" t="s">
        <v>2500</v>
      </c>
    </row>
    <row r="180" spans="8:9">
      <c r="H180" s="163" t="s">
        <v>2501</v>
      </c>
      <c r="I180" s="163" t="s">
        <v>2502</v>
      </c>
    </row>
    <row r="181" spans="8:9">
      <c r="H181" s="163" t="s">
        <v>2503</v>
      </c>
      <c r="I181" s="163" t="s">
        <v>2504</v>
      </c>
    </row>
    <row r="182" spans="8:9">
      <c r="H182" s="163" t="s">
        <v>2505</v>
      </c>
      <c r="I182" s="163" t="s">
        <v>2506</v>
      </c>
    </row>
    <row r="183" spans="8:9">
      <c r="H183" s="163" t="s">
        <v>2507</v>
      </c>
      <c r="I183" s="163" t="s">
        <v>2508</v>
      </c>
    </row>
    <row r="184" spans="8:9">
      <c r="H184" s="163" t="s">
        <v>2509</v>
      </c>
      <c r="I184" s="163" t="s">
        <v>2510</v>
      </c>
    </row>
    <row r="185" spans="8:9">
      <c r="H185" s="163" t="s">
        <v>2511</v>
      </c>
      <c r="I185" s="163" t="s">
        <v>2512</v>
      </c>
    </row>
    <row r="186" spans="8:9">
      <c r="H186" s="163" t="s">
        <v>2513</v>
      </c>
      <c r="I186" s="163" t="s">
        <v>2514</v>
      </c>
    </row>
    <row r="187" spans="8:9">
      <c r="H187" s="163" t="s">
        <v>2515</v>
      </c>
      <c r="I187" s="163" t="s">
        <v>2516</v>
      </c>
    </row>
    <row r="188" spans="8:9">
      <c r="H188" s="163" t="s">
        <v>2517</v>
      </c>
      <c r="I188" s="163" t="s">
        <v>2518</v>
      </c>
    </row>
    <row r="189" spans="8:9">
      <c r="H189" s="163" t="s">
        <v>2519</v>
      </c>
      <c r="I189" s="163" t="s">
        <v>2520</v>
      </c>
    </row>
    <row r="190" spans="8:9">
      <c r="H190" s="163" t="s">
        <v>2521</v>
      </c>
      <c r="I190" s="163" t="s">
        <v>2522</v>
      </c>
    </row>
    <row r="191" spans="8:9">
      <c r="H191" s="163" t="s">
        <v>2523</v>
      </c>
      <c r="I191" s="163" t="s">
        <v>2524</v>
      </c>
    </row>
    <row r="192" spans="8:9">
      <c r="H192" s="163" t="s">
        <v>2525</v>
      </c>
      <c r="I192" s="163" t="s">
        <v>2261</v>
      </c>
    </row>
    <row r="193" spans="8:9">
      <c r="H193" s="163" t="s">
        <v>2526</v>
      </c>
      <c r="I193" s="163" t="s">
        <v>2508</v>
      </c>
    </row>
    <row r="194" spans="8:9">
      <c r="H194" s="163" t="s">
        <v>2527</v>
      </c>
      <c r="I194" s="163" t="s">
        <v>2528</v>
      </c>
    </row>
    <row r="195" spans="8:9">
      <c r="H195" s="163" t="s">
        <v>2529</v>
      </c>
      <c r="I195" s="163" t="s">
        <v>2530</v>
      </c>
    </row>
    <row r="196" spans="8:9">
      <c r="H196" s="163" t="s">
        <v>2531</v>
      </c>
      <c r="I196" s="163" t="s">
        <v>2532</v>
      </c>
    </row>
    <row r="197" spans="8:9">
      <c r="H197" s="163" t="s">
        <v>2533</v>
      </c>
      <c r="I197" s="163" t="s">
        <v>2534</v>
      </c>
    </row>
    <row r="198" spans="8:9">
      <c r="H198" s="163" t="s">
        <v>2535</v>
      </c>
      <c r="I198" s="163" t="s">
        <v>2536</v>
      </c>
    </row>
    <row r="199" spans="8:9">
      <c r="H199" s="163" t="s">
        <v>2537</v>
      </c>
      <c r="I199" s="163" t="s">
        <v>2538</v>
      </c>
    </row>
    <row r="200" spans="8:9">
      <c r="H200" s="163" t="s">
        <v>2539</v>
      </c>
      <c r="I200" s="163" t="s">
        <v>2540</v>
      </c>
    </row>
    <row r="201" spans="8:9">
      <c r="H201" s="163" t="s">
        <v>2541</v>
      </c>
      <c r="I201" s="163" t="s">
        <v>2542</v>
      </c>
    </row>
    <row r="202" spans="8:9">
      <c r="H202" s="163" t="s">
        <v>2543</v>
      </c>
      <c r="I202" s="163" t="s">
        <v>2544</v>
      </c>
    </row>
    <row r="203" spans="8:9">
      <c r="H203" s="163" t="s">
        <v>2545</v>
      </c>
      <c r="I203" s="163" t="s">
        <v>2546</v>
      </c>
    </row>
    <row r="204" spans="8:9">
      <c r="H204" s="163" t="s">
        <v>2547</v>
      </c>
      <c r="I204" s="163" t="s">
        <v>2548</v>
      </c>
    </row>
    <row r="205" spans="8:9">
      <c r="H205" s="163" t="s">
        <v>2549</v>
      </c>
      <c r="I205" s="163" t="s">
        <v>2550</v>
      </c>
    </row>
    <row r="206" spans="8:9">
      <c r="H206" s="163" t="s">
        <v>2551</v>
      </c>
      <c r="I206" s="163" t="s">
        <v>2552</v>
      </c>
    </row>
    <row r="207" spans="8:9">
      <c r="H207" s="163" t="s">
        <v>2553</v>
      </c>
      <c r="I207" s="163" t="s">
        <v>2554</v>
      </c>
    </row>
    <row r="208" spans="8:9">
      <c r="H208" s="163" t="s">
        <v>2555</v>
      </c>
      <c r="I208" s="163" t="s">
        <v>2556</v>
      </c>
    </row>
    <row r="209" spans="8:9">
      <c r="H209" s="163" t="s">
        <v>2557</v>
      </c>
      <c r="I209" s="163" t="s">
        <v>2558</v>
      </c>
    </row>
    <row r="210" spans="8:9">
      <c r="H210" s="163" t="s">
        <v>2559</v>
      </c>
      <c r="I210" s="163" t="s">
        <v>2560</v>
      </c>
    </row>
    <row r="211" spans="8:9">
      <c r="H211" s="163" t="s">
        <v>2561</v>
      </c>
      <c r="I211" s="163" t="s">
        <v>2562</v>
      </c>
    </row>
    <row r="212" spans="8:9">
      <c r="H212" s="163" t="s">
        <v>2563</v>
      </c>
      <c r="I212" s="163" t="s">
        <v>2564</v>
      </c>
    </row>
    <row r="213" spans="8:9">
      <c r="H213" s="163" t="s">
        <v>2565</v>
      </c>
      <c r="I213" s="163" t="s">
        <v>2566</v>
      </c>
    </row>
    <row r="214" spans="8:9">
      <c r="H214" s="163" t="s">
        <v>2567</v>
      </c>
      <c r="I214" s="163" t="s">
        <v>2568</v>
      </c>
    </row>
    <row r="215" spans="8:9">
      <c r="H215" s="163" t="s">
        <v>2569</v>
      </c>
      <c r="I215" s="163" t="s">
        <v>2570</v>
      </c>
    </row>
    <row r="216" spans="8:9">
      <c r="H216" s="163" t="s">
        <v>2571</v>
      </c>
      <c r="I216" s="163" t="s">
        <v>2572</v>
      </c>
    </row>
    <row r="217" spans="8:9">
      <c r="H217" s="163" t="s">
        <v>2573</v>
      </c>
      <c r="I217" s="163" t="s">
        <v>2574</v>
      </c>
    </row>
    <row r="218" spans="8:9">
      <c r="H218" s="163" t="s">
        <v>2575</v>
      </c>
      <c r="I218" s="163" t="s">
        <v>2576</v>
      </c>
    </row>
    <row r="219" spans="8:9">
      <c r="H219" s="163" t="s">
        <v>2577</v>
      </c>
      <c r="I219" s="163" t="s">
        <v>2578</v>
      </c>
    </row>
    <row r="220" spans="8:9">
      <c r="H220" s="163" t="s">
        <v>2579</v>
      </c>
      <c r="I220" s="163" t="s">
        <v>2580</v>
      </c>
    </row>
    <row r="221" spans="8:9">
      <c r="H221" s="163" t="s">
        <v>2581</v>
      </c>
      <c r="I221" s="163" t="s">
        <v>2582</v>
      </c>
    </row>
    <row r="222" spans="8:9">
      <c r="H222" s="163" t="s">
        <v>2583</v>
      </c>
      <c r="I222" s="163" t="s">
        <v>2532</v>
      </c>
    </row>
    <row r="223" spans="8:9">
      <c r="H223" s="163" t="s">
        <v>2584</v>
      </c>
      <c r="I223" s="163" t="s">
        <v>2585</v>
      </c>
    </row>
    <row r="224" spans="8:9">
      <c r="H224" s="163" t="s">
        <v>2586</v>
      </c>
      <c r="I224" s="163" t="s">
        <v>2587</v>
      </c>
    </row>
    <row r="225" spans="8:9">
      <c r="H225" s="163" t="s">
        <v>2588</v>
      </c>
      <c r="I225" s="163" t="s">
        <v>2589</v>
      </c>
    </row>
    <row r="226" spans="8:9">
      <c r="H226" s="163" t="s">
        <v>2590</v>
      </c>
      <c r="I226" s="163" t="s">
        <v>2591</v>
      </c>
    </row>
    <row r="227" spans="8:9">
      <c r="H227" s="163" t="s">
        <v>2592</v>
      </c>
      <c r="I227" s="163" t="s">
        <v>2593</v>
      </c>
    </row>
    <row r="228" spans="8:9">
      <c r="H228" s="163" t="s">
        <v>2594</v>
      </c>
      <c r="I228" s="163" t="s">
        <v>2595</v>
      </c>
    </row>
    <row r="229" spans="8:9">
      <c r="H229" s="163" t="s">
        <v>2596</v>
      </c>
      <c r="I229" s="163" t="s">
        <v>2597</v>
      </c>
    </row>
    <row r="230" spans="8:9">
      <c r="H230" s="163" t="s">
        <v>2598</v>
      </c>
      <c r="I230" s="163" t="s">
        <v>2599</v>
      </c>
    </row>
    <row r="231" spans="8:9">
      <c r="H231" s="163" t="s">
        <v>2600</v>
      </c>
      <c r="I231" s="163" t="s">
        <v>2601</v>
      </c>
    </row>
    <row r="232" spans="8:9">
      <c r="H232" s="163" t="s">
        <v>2602</v>
      </c>
      <c r="I232" s="163" t="s">
        <v>2603</v>
      </c>
    </row>
    <row r="233" spans="8:9">
      <c r="H233" s="163" t="s">
        <v>2604</v>
      </c>
      <c r="I233" s="163" t="s">
        <v>2605</v>
      </c>
    </row>
    <row r="234" spans="8:9">
      <c r="H234" s="163" t="s">
        <v>2606</v>
      </c>
      <c r="I234" s="163" t="s">
        <v>2607</v>
      </c>
    </row>
    <row r="235" spans="8:9">
      <c r="H235" s="163" t="s">
        <v>2608</v>
      </c>
      <c r="I235" s="163" t="s">
        <v>2609</v>
      </c>
    </row>
    <row r="236" spans="8:9">
      <c r="H236" s="163" t="s">
        <v>2610</v>
      </c>
      <c r="I236" s="163" t="s">
        <v>2611</v>
      </c>
    </row>
    <row r="237" spans="8:9">
      <c r="H237" s="163" t="s">
        <v>2612</v>
      </c>
      <c r="I237" s="163" t="s">
        <v>2613</v>
      </c>
    </row>
    <row r="238" spans="8:9">
      <c r="H238" s="163" t="s">
        <v>2614</v>
      </c>
      <c r="I238" s="163" t="s">
        <v>2615</v>
      </c>
    </row>
    <row r="239" spans="8:9">
      <c r="H239" s="163" t="s">
        <v>2616</v>
      </c>
      <c r="I239" s="163" t="s">
        <v>2617</v>
      </c>
    </row>
    <row r="240" spans="8:9">
      <c r="H240" s="163" t="s">
        <v>2618</v>
      </c>
      <c r="I240" s="163" t="s">
        <v>2619</v>
      </c>
    </row>
    <row r="241" spans="8:9">
      <c r="H241" s="163" t="s">
        <v>2620</v>
      </c>
      <c r="I241" s="163" t="s">
        <v>2621</v>
      </c>
    </row>
    <row r="242" spans="8:9">
      <c r="H242" s="163" t="s">
        <v>2622</v>
      </c>
      <c r="I242" s="163" t="s">
        <v>2623</v>
      </c>
    </row>
    <row r="243" spans="8:9">
      <c r="H243" s="163" t="s">
        <v>2624</v>
      </c>
      <c r="I243" s="163" t="s">
        <v>2625</v>
      </c>
    </row>
    <row r="244" spans="8:9">
      <c r="H244" s="163" t="s">
        <v>2626</v>
      </c>
      <c r="I244" s="163" t="s">
        <v>2627</v>
      </c>
    </row>
    <row r="245" spans="8:9">
      <c r="H245" s="163" t="s">
        <v>2628</v>
      </c>
      <c r="I245" s="163" t="s">
        <v>2629</v>
      </c>
    </row>
    <row r="246" spans="8:9">
      <c r="H246" s="163" t="s">
        <v>2630</v>
      </c>
      <c r="I246" s="163" t="s">
        <v>2631</v>
      </c>
    </row>
    <row r="247" spans="8:9">
      <c r="H247" s="163" t="s">
        <v>2632</v>
      </c>
      <c r="I247" s="163" t="s">
        <v>2633</v>
      </c>
    </row>
    <row r="248" spans="8:9">
      <c r="H248" s="163" t="s">
        <v>2634</v>
      </c>
      <c r="I248" s="163" t="s">
        <v>2635</v>
      </c>
    </row>
    <row r="249" spans="8:9">
      <c r="H249" s="163" t="s">
        <v>2636</v>
      </c>
      <c r="I249" s="163" t="s">
        <v>2637</v>
      </c>
    </row>
    <row r="250" spans="8:9">
      <c r="H250" s="163" t="s">
        <v>2638</v>
      </c>
      <c r="I250" s="163" t="s">
        <v>2639</v>
      </c>
    </row>
    <row r="251" spans="8:9">
      <c r="H251" s="163" t="s">
        <v>2640</v>
      </c>
      <c r="I251" s="163" t="s">
        <v>2641</v>
      </c>
    </row>
    <row r="252" spans="8:9">
      <c r="H252" s="163" t="s">
        <v>2642</v>
      </c>
      <c r="I252" s="163" t="s">
        <v>2643</v>
      </c>
    </row>
    <row r="253" spans="8:9">
      <c r="H253" s="163" t="s">
        <v>172</v>
      </c>
      <c r="I253" s="163" t="s">
        <v>166</v>
      </c>
    </row>
    <row r="254" spans="8:9">
      <c r="H254" s="163" t="s">
        <v>2644</v>
      </c>
      <c r="I254" s="163" t="s">
        <v>2645</v>
      </c>
    </row>
    <row r="255" spans="8:9">
      <c r="H255" s="163" t="s">
        <v>2646</v>
      </c>
      <c r="I255" s="163" t="s">
        <v>2647</v>
      </c>
    </row>
    <row r="256" spans="8:9">
      <c r="H256" s="163" t="s">
        <v>2648</v>
      </c>
      <c r="I256" s="163" t="s">
        <v>2649</v>
      </c>
    </row>
    <row r="257" spans="8:9">
      <c r="H257" s="163" t="s">
        <v>2650</v>
      </c>
      <c r="I257" s="163" t="s">
        <v>2651</v>
      </c>
    </row>
    <row r="258" spans="8:9">
      <c r="H258" s="163" t="s">
        <v>2652</v>
      </c>
      <c r="I258" s="163" t="s">
        <v>2653</v>
      </c>
    </row>
    <row r="259" spans="8:9">
      <c r="H259" s="163" t="s">
        <v>2654</v>
      </c>
      <c r="I259" s="163" t="s">
        <v>2655</v>
      </c>
    </row>
    <row r="260" spans="8:9">
      <c r="H260" s="163" t="s">
        <v>2656</v>
      </c>
      <c r="I260" s="163" t="s">
        <v>2657</v>
      </c>
    </row>
    <row r="261" spans="8:9">
      <c r="H261" s="163" t="s">
        <v>2658</v>
      </c>
      <c r="I261" s="163" t="s">
        <v>2659</v>
      </c>
    </row>
    <row r="262" spans="8:9">
      <c r="H262" s="163" t="s">
        <v>2660</v>
      </c>
      <c r="I262" s="163" t="s">
        <v>2661</v>
      </c>
    </row>
    <row r="263" spans="8:9">
      <c r="H263" s="163" t="s">
        <v>2662</v>
      </c>
      <c r="I263" s="163" t="s">
        <v>2663</v>
      </c>
    </row>
    <row r="264" spans="8:9">
      <c r="H264" s="163" t="s">
        <v>2664</v>
      </c>
      <c r="I264" s="163" t="s">
        <v>2665</v>
      </c>
    </row>
    <row r="265" spans="8:9">
      <c r="H265" s="163" t="s">
        <v>2666</v>
      </c>
      <c r="I265" s="163" t="s">
        <v>2667</v>
      </c>
    </row>
    <row r="266" spans="8:9">
      <c r="H266" s="163" t="s">
        <v>2668</v>
      </c>
      <c r="I266" s="163" t="s">
        <v>2669</v>
      </c>
    </row>
    <row r="267" spans="8:9">
      <c r="H267" s="163" t="s">
        <v>2670</v>
      </c>
      <c r="I267" s="163" t="s">
        <v>2671</v>
      </c>
    </row>
    <row r="268" spans="8:9">
      <c r="H268" s="163" t="s">
        <v>2672</v>
      </c>
      <c r="I268" s="163" t="s">
        <v>2673</v>
      </c>
    </row>
    <row r="269" spans="8:9">
      <c r="H269" s="163" t="s">
        <v>2674</v>
      </c>
      <c r="I269" s="163" t="s">
        <v>2675</v>
      </c>
    </row>
    <row r="270" spans="8:9">
      <c r="H270" s="163" t="s">
        <v>2676</v>
      </c>
      <c r="I270" s="163" t="s">
        <v>2677</v>
      </c>
    </row>
    <row r="271" spans="8:9">
      <c r="H271" s="163" t="s">
        <v>2678</v>
      </c>
      <c r="I271" s="163" t="s">
        <v>2679</v>
      </c>
    </row>
    <row r="272" spans="8:9">
      <c r="H272" s="163" t="s">
        <v>2680</v>
      </c>
      <c r="I272" s="163" t="s">
        <v>2681</v>
      </c>
    </row>
    <row r="273" spans="8:9">
      <c r="H273" s="163" t="s">
        <v>2682</v>
      </c>
      <c r="I273" s="163" t="s">
        <v>2683</v>
      </c>
    </row>
    <row r="274" spans="8:9">
      <c r="H274" s="163" t="s">
        <v>2684</v>
      </c>
      <c r="I274" s="163" t="s">
        <v>2685</v>
      </c>
    </row>
    <row r="275" spans="8:9">
      <c r="H275" s="163" t="s">
        <v>2686</v>
      </c>
      <c r="I275" s="163" t="s">
        <v>2687</v>
      </c>
    </row>
    <row r="276" spans="8:9">
      <c r="H276" s="163" t="s">
        <v>2688</v>
      </c>
      <c r="I276" s="163" t="s">
        <v>2689</v>
      </c>
    </row>
    <row r="277" spans="8:9">
      <c r="H277" s="163" t="s">
        <v>2690</v>
      </c>
      <c r="I277" s="163" t="s">
        <v>2691</v>
      </c>
    </row>
    <row r="278" spans="8:9">
      <c r="H278" s="163" t="s">
        <v>2692</v>
      </c>
      <c r="I278" s="163" t="s">
        <v>2693</v>
      </c>
    </row>
    <row r="279" spans="8:9">
      <c r="H279" s="163" t="s">
        <v>2694</v>
      </c>
      <c r="I279" s="163" t="s">
        <v>2695</v>
      </c>
    </row>
    <row r="280" spans="8:9">
      <c r="H280" s="163" t="s">
        <v>2696</v>
      </c>
      <c r="I280" s="163" t="s">
        <v>2697</v>
      </c>
    </row>
    <row r="281" spans="8:9">
      <c r="H281" s="163" t="s">
        <v>2698</v>
      </c>
      <c r="I281" s="163" t="s">
        <v>2699</v>
      </c>
    </row>
    <row r="282" spans="8:9">
      <c r="H282" s="163" t="s">
        <v>2700</v>
      </c>
      <c r="I282" s="163" t="s">
        <v>2701</v>
      </c>
    </row>
    <row r="283" spans="8:9">
      <c r="H283" s="163" t="s">
        <v>2702</v>
      </c>
      <c r="I283" s="163" t="s">
        <v>2703</v>
      </c>
    </row>
    <row r="284" spans="8:9">
      <c r="H284" s="163" t="s">
        <v>2704</v>
      </c>
      <c r="I284" s="163" t="s">
        <v>2705</v>
      </c>
    </row>
    <row r="285" spans="8:9">
      <c r="H285" s="163" t="s">
        <v>2706</v>
      </c>
      <c r="I285" s="163" t="s">
        <v>2707</v>
      </c>
    </row>
    <row r="286" spans="8:9">
      <c r="H286" s="163" t="s">
        <v>2708</v>
      </c>
      <c r="I286" s="163" t="s">
        <v>2709</v>
      </c>
    </row>
    <row r="287" spans="8:9">
      <c r="H287" s="163" t="s">
        <v>2710</v>
      </c>
      <c r="I287" s="163" t="s">
        <v>2711</v>
      </c>
    </row>
    <row r="288" spans="8:9">
      <c r="H288" s="163" t="s">
        <v>173</v>
      </c>
      <c r="I288" s="163" t="s">
        <v>167</v>
      </c>
    </row>
    <row r="289" spans="8:9">
      <c r="H289" s="163" t="s">
        <v>2712</v>
      </c>
      <c r="I289" s="163" t="s">
        <v>2713</v>
      </c>
    </row>
    <row r="290" spans="8:9">
      <c r="H290" s="163" t="s">
        <v>2714</v>
      </c>
      <c r="I290" s="163" t="s">
        <v>2715</v>
      </c>
    </row>
    <row r="291" spans="8:9">
      <c r="H291" s="163" t="s">
        <v>2716</v>
      </c>
      <c r="I291" s="163" t="s">
        <v>2717</v>
      </c>
    </row>
    <row r="292" spans="8:9">
      <c r="H292" s="163" t="s">
        <v>2718</v>
      </c>
      <c r="I292" s="163" t="s">
        <v>2719</v>
      </c>
    </row>
    <row r="293" spans="8:9">
      <c r="H293" s="163" t="s">
        <v>2720</v>
      </c>
      <c r="I293" s="163" t="s">
        <v>2721</v>
      </c>
    </row>
    <row r="294" spans="8:9">
      <c r="H294" s="163" t="s">
        <v>2722</v>
      </c>
      <c r="I294" s="163" t="s">
        <v>2723</v>
      </c>
    </row>
    <row r="295" spans="8:9">
      <c r="H295" s="163" t="s">
        <v>2724</v>
      </c>
      <c r="I295" s="163" t="s">
        <v>2725</v>
      </c>
    </row>
    <row r="296" spans="8:9">
      <c r="H296" s="163" t="s">
        <v>2726</v>
      </c>
      <c r="I296" s="163" t="s">
        <v>2727</v>
      </c>
    </row>
    <row r="297" spans="8:9">
      <c r="H297" s="163" t="s">
        <v>174</v>
      </c>
      <c r="I297" s="163" t="s">
        <v>2728</v>
      </c>
    </row>
    <row r="298" spans="8:9">
      <c r="H298" s="163" t="s">
        <v>2729</v>
      </c>
      <c r="I298" s="163" t="s">
        <v>2730</v>
      </c>
    </row>
    <row r="299" spans="8:9">
      <c r="H299" s="163" t="s">
        <v>2731</v>
      </c>
      <c r="I299" s="163" t="s">
        <v>2732</v>
      </c>
    </row>
    <row r="300" spans="8:9">
      <c r="H300" s="163" t="s">
        <v>2733</v>
      </c>
      <c r="I300" s="163" t="s">
        <v>2734</v>
      </c>
    </row>
    <row r="301" spans="8:9">
      <c r="H301" s="163" t="s">
        <v>2735</v>
      </c>
      <c r="I301" s="163" t="s">
        <v>2736</v>
      </c>
    </row>
    <row r="302" spans="8:9">
      <c r="H302" s="163" t="s">
        <v>2737</v>
      </c>
      <c r="I302" s="163" t="s">
        <v>2738</v>
      </c>
    </row>
    <row r="303" spans="8:9">
      <c r="H303" s="163" t="s">
        <v>2739</v>
      </c>
      <c r="I303" s="163" t="s">
        <v>2740</v>
      </c>
    </row>
    <row r="304" spans="8:9">
      <c r="H304" s="163" t="s">
        <v>2741</v>
      </c>
      <c r="I304" s="163" t="s">
        <v>2742</v>
      </c>
    </row>
    <row r="305" spans="8:9">
      <c r="H305" s="163" t="s">
        <v>2743</v>
      </c>
      <c r="I305" s="163" t="s">
        <v>2744</v>
      </c>
    </row>
    <row r="306" spans="8:9">
      <c r="H306" s="163" t="s">
        <v>2745</v>
      </c>
      <c r="I306" s="163" t="s">
        <v>2746</v>
      </c>
    </row>
    <row r="307" spans="8:9">
      <c r="H307" s="163" t="s">
        <v>2747</v>
      </c>
      <c r="I307" s="163" t="s">
        <v>2748</v>
      </c>
    </row>
    <row r="308" spans="8:9">
      <c r="H308" s="163" t="s">
        <v>2749</v>
      </c>
      <c r="I308" s="163" t="s">
        <v>2750</v>
      </c>
    </row>
    <row r="309" spans="8:9">
      <c r="H309" s="163" t="s">
        <v>2751</v>
      </c>
      <c r="I309" s="163" t="s">
        <v>2752</v>
      </c>
    </row>
    <row r="310" spans="8:9">
      <c r="H310" s="163" t="s">
        <v>2753</v>
      </c>
      <c r="I310" s="163" t="s">
        <v>2754</v>
      </c>
    </row>
    <row r="311" spans="8:9">
      <c r="H311" s="163" t="s">
        <v>2755</v>
      </c>
      <c r="I311" s="163" t="s">
        <v>2756</v>
      </c>
    </row>
    <row r="312" spans="8:9">
      <c r="H312" s="163" t="s">
        <v>2757</v>
      </c>
      <c r="I312" s="163" t="s">
        <v>2758</v>
      </c>
    </row>
    <row r="313" spans="8:9">
      <c r="H313" s="163" t="s">
        <v>2759</v>
      </c>
      <c r="I313" s="163" t="s">
        <v>2760</v>
      </c>
    </row>
    <row r="314" spans="8:9">
      <c r="H314" s="163" t="s">
        <v>2761</v>
      </c>
      <c r="I314" s="163" t="s">
        <v>2762</v>
      </c>
    </row>
    <row r="315" spans="8:9">
      <c r="H315" s="163" t="s">
        <v>2763</v>
      </c>
      <c r="I315" s="163" t="s">
        <v>2764</v>
      </c>
    </row>
    <row r="316" spans="8:9">
      <c r="H316" s="163" t="s">
        <v>2765</v>
      </c>
      <c r="I316" s="163" t="s">
        <v>2766</v>
      </c>
    </row>
    <row r="317" spans="8:9">
      <c r="H317" s="163" t="s">
        <v>2767</v>
      </c>
      <c r="I317" s="163" t="s">
        <v>2768</v>
      </c>
    </row>
    <row r="318" spans="8:9">
      <c r="H318" s="163" t="s">
        <v>2769</v>
      </c>
      <c r="I318" s="163" t="s">
        <v>2770</v>
      </c>
    </row>
    <row r="319" spans="8:9">
      <c r="H319" s="163" t="s">
        <v>2771</v>
      </c>
      <c r="I319" s="163" t="s">
        <v>2772</v>
      </c>
    </row>
    <row r="320" spans="8:9">
      <c r="H320" s="163" t="s">
        <v>4892</v>
      </c>
      <c r="I320" s="163" t="s">
        <v>4893</v>
      </c>
    </row>
    <row r="351" spans="3:6">
      <c r="C351" s="163" t="s">
        <v>5825</v>
      </c>
      <c r="D351" s="1427">
        <v>8167</v>
      </c>
      <c r="E351" s="1427">
        <v>896</v>
      </c>
      <c r="F351" s="1656">
        <v>45524</v>
      </c>
    </row>
    <row r="352" spans="3:6">
      <c r="C352" s="163" t="s">
        <v>5826</v>
      </c>
      <c r="D352" s="1427">
        <v>8167</v>
      </c>
      <c r="E352" s="1427">
        <v>886</v>
      </c>
      <c r="F352" s="1656">
        <v>45585</v>
      </c>
    </row>
    <row r="353" spans="3:6">
      <c r="C353" s="163" t="s">
        <v>5831</v>
      </c>
      <c r="D353" s="1427">
        <v>1575</v>
      </c>
      <c r="E353" s="1427">
        <v>889</v>
      </c>
      <c r="F353" s="1656">
        <v>45585</v>
      </c>
    </row>
    <row r="354" spans="3:6">
      <c r="C354" s="163" t="s">
        <v>5832</v>
      </c>
      <c r="D354" s="1427">
        <v>1575</v>
      </c>
      <c r="E354" s="1427">
        <v>894</v>
      </c>
      <c r="F354" s="1656">
        <v>45555</v>
      </c>
    </row>
    <row r="355" spans="3:6">
      <c r="C355" s="163" t="s">
        <v>5824</v>
      </c>
      <c r="D355" s="1427">
        <v>26480</v>
      </c>
      <c r="E355" s="1427">
        <v>943</v>
      </c>
      <c r="F355" s="1656">
        <v>45575</v>
      </c>
    </row>
    <row r="356" spans="3:6">
      <c r="C356" s="163" t="s">
        <v>5627</v>
      </c>
      <c r="D356" s="1427">
        <v>8000</v>
      </c>
      <c r="E356" s="1427">
        <v>966</v>
      </c>
      <c r="F356" s="1656">
        <v>45621</v>
      </c>
    </row>
  </sheetData>
  <sortState xmlns:xlrd2="http://schemas.microsoft.com/office/spreadsheetml/2017/richdata2" ref="A6:B93">
    <sortCondition ref="B7"/>
  </sortState>
  <customSheetViews>
    <customSheetView guid="{CE7484BD-F9E2-4C03-AA0F-F7057FD8E6EF}">
      <selection activeCell="L24" sqref="L24"/>
      <pageMargins left="0.7" right="0.7" top="0.75" bottom="0.75" header="0.3" footer="0.3"/>
    </customSheetView>
  </customSheetViews>
  <pageMargins left="0.7" right="0.7" top="0.75" bottom="0.75" header="0.3" footer="0.3"/>
  <customProperties>
    <customPr name="LastActive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D46C6-13E3-402D-8B19-390958D45434}">
  <sheetPr codeName="Sheet17">
    <tabColor rgb="FF0070C0"/>
  </sheetPr>
  <dimension ref="A1:CO136"/>
  <sheetViews>
    <sheetView zoomScale="85" zoomScaleNormal="85" workbookViewId="0">
      <selection activeCell="U33" sqref="U33"/>
    </sheetView>
  </sheetViews>
  <sheetFormatPr defaultRowHeight="15"/>
  <cols>
    <col min="1" max="12" width="6.28515625" customWidth="1"/>
    <col min="13" max="13" width="7.140625" customWidth="1"/>
    <col min="14" max="14" width="10.5703125" bestFit="1" customWidth="1"/>
    <col min="15" max="19" width="3.5703125" customWidth="1"/>
    <col min="21" max="21" width="6.5703125" customWidth="1"/>
    <col min="22" max="22" width="11.28515625" bestFit="1" customWidth="1"/>
    <col min="23" max="23" width="10.42578125" customWidth="1"/>
    <col min="24" max="24" width="15.140625" customWidth="1"/>
    <col min="25" max="25" width="14.85546875" customWidth="1"/>
    <col min="26" max="26" width="11.28515625" customWidth="1"/>
    <col min="27" max="27" width="10.85546875" bestFit="1" customWidth="1"/>
    <col min="29" max="29" width="28" customWidth="1"/>
    <col min="31" max="31" width="11.85546875" customWidth="1"/>
    <col min="32" max="32" width="11.140625" customWidth="1"/>
    <col min="35" max="35" width="6" customWidth="1"/>
    <col min="36" max="36" width="10.7109375" bestFit="1" customWidth="1"/>
    <col min="37" max="37" width="11.7109375" bestFit="1" customWidth="1"/>
    <col min="38" max="38" width="17.5703125" customWidth="1"/>
    <col min="39" max="39" width="4.28515625" customWidth="1"/>
    <col min="41" max="41" width="10.42578125" customWidth="1"/>
    <col min="42" max="42" width="12.85546875" bestFit="1" customWidth="1"/>
    <col min="50" max="50" width="14.28515625" bestFit="1" customWidth="1"/>
    <col min="57" max="57" width="10.28515625" bestFit="1" customWidth="1"/>
    <col min="58" max="58" width="9.140625" customWidth="1"/>
    <col min="59" max="59" width="11.42578125" customWidth="1"/>
    <col min="60" max="60" width="10.140625" bestFit="1" customWidth="1"/>
    <col min="61" max="61" width="4.85546875" customWidth="1"/>
    <col min="64" max="64" width="10.42578125" bestFit="1" customWidth="1"/>
    <col min="70" max="70" width="4.140625" customWidth="1"/>
    <col min="71" max="71" width="2.5703125" customWidth="1"/>
  </cols>
  <sheetData>
    <row r="1" spans="1:93" s="69" customFormat="1">
      <c r="AA1" s="558"/>
      <c r="AB1" s="558"/>
      <c r="AK1" s="936"/>
      <c r="AP1" s="936"/>
      <c r="AX1" s="941" t="s">
        <v>2905</v>
      </c>
      <c r="AY1" s="941" t="s">
        <v>2900</v>
      </c>
    </row>
    <row r="2" spans="1:93" s="69" customFormat="1" ht="15" customHeight="1">
      <c r="A2" s="679"/>
      <c r="B2" s="679"/>
      <c r="C2" s="679"/>
      <c r="D2" s="679"/>
      <c r="E2" s="679"/>
      <c r="F2" s="679"/>
      <c r="G2" s="679"/>
      <c r="H2" s="679"/>
      <c r="I2" s="679"/>
      <c r="J2" s="679"/>
      <c r="K2" s="679"/>
      <c r="L2" s="679"/>
      <c r="M2" s="942"/>
      <c r="N2" s="943"/>
      <c r="O2" s="942"/>
      <c r="P2" s="942"/>
      <c r="Q2" s="942"/>
      <c r="R2" s="944"/>
      <c r="S2" s="944"/>
      <c r="T2" s="945" t="s">
        <v>2954</v>
      </c>
      <c r="U2" s="944"/>
      <c r="V2" s="945" t="s">
        <v>2955</v>
      </c>
      <c r="W2" s="944"/>
      <c r="X2" s="558"/>
      <c r="Y2" s="558"/>
      <c r="AA2" s="634"/>
      <c r="AC2" s="554"/>
      <c r="AD2" s="555" t="s">
        <v>1843</v>
      </c>
      <c r="AE2" s="634"/>
      <c r="AF2" s="558"/>
      <c r="AH2" s="373"/>
      <c r="AI2" s="555" t="s">
        <v>1547</v>
      </c>
      <c r="AJ2" s="634"/>
      <c r="AK2" s="940" t="e">
        <f>SumByColor(AK4:AK170)</f>
        <v>#VALUE!</v>
      </c>
      <c r="AN2" s="555" t="s">
        <v>1548</v>
      </c>
      <c r="AO2" s="367"/>
      <c r="AP2" s="940" t="e">
        <f>SumByColor(AP4:AP170)</f>
        <v>#VALUE!</v>
      </c>
      <c r="AX2" s="941" t="s">
        <v>2906</v>
      </c>
      <c r="AY2" s="941" t="s">
        <v>2909</v>
      </c>
      <c r="BK2" s="1758"/>
      <c r="BL2" s="1758"/>
      <c r="BM2" s="1758"/>
    </row>
    <row r="3" spans="1:93" s="69" customFormat="1" ht="15" customHeight="1" thickBot="1">
      <c r="A3" s="679"/>
      <c r="B3" s="679"/>
      <c r="C3" s="679"/>
      <c r="D3" s="679"/>
      <c r="E3" s="679"/>
      <c r="F3" s="679"/>
      <c r="G3" s="679"/>
      <c r="H3" s="679"/>
      <c r="I3" s="679"/>
      <c r="J3" s="679"/>
      <c r="K3" s="679"/>
      <c r="L3" s="679"/>
      <c r="M3" s="942"/>
      <c r="N3" s="943"/>
      <c r="O3" s="942"/>
      <c r="P3" s="942"/>
      <c r="Q3" s="942"/>
      <c r="R3" s="944"/>
      <c r="S3" s="944"/>
      <c r="T3" s="944"/>
      <c r="U3" s="944"/>
      <c r="V3" s="944"/>
      <c r="W3" s="944"/>
      <c r="AA3" s="634"/>
      <c r="AC3" s="1446"/>
      <c r="AD3" s="369" t="s">
        <v>1424</v>
      </c>
      <c r="AE3" s="369" t="s">
        <v>1844</v>
      </c>
      <c r="AF3" s="369"/>
      <c r="AG3" s="370"/>
      <c r="AH3" s="370"/>
      <c r="AI3" s="369" t="s">
        <v>1424</v>
      </c>
      <c r="AJ3" s="635" t="s">
        <v>4</v>
      </c>
      <c r="AK3" s="937" t="s">
        <v>222</v>
      </c>
      <c r="AL3" s="369" t="s">
        <v>2913</v>
      </c>
      <c r="AN3" s="369" t="s">
        <v>1424</v>
      </c>
      <c r="AO3" s="369" t="s">
        <v>4</v>
      </c>
      <c r="AP3" s="937" t="s">
        <v>222</v>
      </c>
      <c r="AQ3" s="369" t="s">
        <v>2913</v>
      </c>
      <c r="AX3" s="941" t="s">
        <v>2904</v>
      </c>
      <c r="AY3" s="941" t="s">
        <v>2910</v>
      </c>
      <c r="BK3" s="1758"/>
      <c r="BL3" s="1758"/>
      <c r="BM3" s="1758"/>
    </row>
    <row r="4" spans="1:93" s="69" customFormat="1" ht="15" customHeight="1" thickTop="1" thickBot="1">
      <c r="A4" s="679"/>
      <c r="B4" s="679"/>
      <c r="C4" s="679"/>
      <c r="D4" s="679"/>
      <c r="E4" s="679"/>
      <c r="F4" s="679"/>
      <c r="G4" s="679"/>
      <c r="H4" s="679"/>
      <c r="I4" s="679"/>
      <c r="J4" s="679"/>
      <c r="K4" s="679"/>
      <c r="L4" s="679"/>
      <c r="M4" s="942"/>
      <c r="N4" s="943"/>
      <c r="O4" s="942"/>
      <c r="P4" s="942"/>
      <c r="Q4" s="942"/>
      <c r="R4" s="946"/>
      <c r="S4" s="946"/>
      <c r="T4" s="946"/>
      <c r="U4" s="681"/>
      <c r="V4" s="944"/>
      <c r="W4" s="944"/>
      <c r="Z4" s="604"/>
      <c r="AA4" s="932"/>
      <c r="AB4" s="605"/>
      <c r="AC4" s="1447"/>
      <c r="AD4" s="558">
        <v>923</v>
      </c>
      <c r="AE4" s="558">
        <v>942</v>
      </c>
      <c r="AF4" s="558"/>
      <c r="AG4" s="558"/>
      <c r="AH4" s="556"/>
      <c r="AI4" s="934">
        <v>905</v>
      </c>
      <c r="AJ4" s="935">
        <v>45502</v>
      </c>
      <c r="AK4" s="938">
        <v>23678</v>
      </c>
      <c r="AL4" s="368" t="s">
        <v>2916</v>
      </c>
      <c r="AM4" s="372"/>
      <c r="AN4" s="934">
        <v>4007</v>
      </c>
      <c r="AO4" s="935">
        <v>45549</v>
      </c>
      <c r="AP4" s="938">
        <v>18585</v>
      </c>
      <c r="AQ4" s="368" t="s">
        <v>2914</v>
      </c>
      <c r="AR4" s="933"/>
      <c r="AS4" s="935"/>
      <c r="AX4" s="941" t="s">
        <v>2907</v>
      </c>
      <c r="AY4" s="941" t="s">
        <v>5450</v>
      </c>
      <c r="BK4" s="1758"/>
      <c r="BL4" s="1758"/>
      <c r="BM4" s="1758"/>
    </row>
    <row r="5" spans="1:93" s="69" customFormat="1" ht="15" customHeight="1" thickTop="1" thickBot="1">
      <c r="A5" s="679"/>
      <c r="B5" s="679"/>
      <c r="C5" s="679"/>
      <c r="D5" s="679"/>
      <c r="E5" s="679"/>
      <c r="F5" s="679"/>
      <c r="G5" s="679"/>
      <c r="H5" s="679"/>
      <c r="I5" s="679"/>
      <c r="J5" s="679"/>
      <c r="K5" s="679"/>
      <c r="L5" s="679"/>
      <c r="M5" s="942"/>
      <c r="N5" s="943"/>
      <c r="O5" s="942"/>
      <c r="P5" s="942"/>
      <c r="Q5" s="942"/>
      <c r="R5" s="947" t="s">
        <v>1527</v>
      </c>
      <c r="S5" s="947"/>
      <c r="T5" s="947"/>
      <c r="U5" s="681"/>
      <c r="V5" s="944"/>
      <c r="W5" s="944"/>
      <c r="Z5" s="604"/>
      <c r="AA5" s="932"/>
      <c r="AB5" s="605"/>
      <c r="AC5" s="1447"/>
      <c r="AD5" s="558">
        <v>887</v>
      </c>
      <c r="AE5" s="558">
        <v>896</v>
      </c>
      <c r="AF5" s="558"/>
      <c r="AG5" s="558"/>
      <c r="AH5" s="556"/>
      <c r="AI5" s="934">
        <v>904</v>
      </c>
      <c r="AJ5" s="935">
        <v>45506</v>
      </c>
      <c r="AK5" s="938">
        <v>15000</v>
      </c>
      <c r="AL5" s="368" t="s">
        <v>1149</v>
      </c>
      <c r="AM5" s="372"/>
      <c r="AN5" s="934">
        <v>4023</v>
      </c>
      <c r="AO5" s="935">
        <v>45562</v>
      </c>
      <c r="AP5" s="938">
        <v>68047</v>
      </c>
      <c r="AQ5" s="368" t="s">
        <v>2915</v>
      </c>
      <c r="AR5" s="933"/>
      <c r="AS5" s="935"/>
      <c r="AX5" s="941" t="s">
        <v>2908</v>
      </c>
      <c r="AY5" s="941" t="s">
        <v>5461</v>
      </c>
      <c r="BK5" s="1758"/>
      <c r="BL5" s="1758"/>
      <c r="BM5" s="1758"/>
    </row>
    <row r="6" spans="1:93" s="69" customFormat="1" ht="16.5" thickTop="1" thickBot="1">
      <c r="A6" s="679"/>
      <c r="B6" s="679"/>
      <c r="C6" s="679"/>
      <c r="D6" s="679"/>
      <c r="E6" s="679"/>
      <c r="F6" s="679"/>
      <c r="G6" s="679"/>
      <c r="H6" s="679"/>
      <c r="I6" s="679"/>
      <c r="J6" s="679"/>
      <c r="K6" s="679"/>
      <c r="L6" s="679"/>
      <c r="M6" s="942"/>
      <c r="N6" s="943"/>
      <c r="O6" s="942"/>
      <c r="P6" s="942"/>
      <c r="Q6" s="942"/>
      <c r="R6" s="946"/>
      <c r="S6" s="946"/>
      <c r="T6" s="946"/>
      <c r="U6" s="681"/>
      <c r="V6" s="944"/>
      <c r="W6" s="944"/>
      <c r="Z6" s="604"/>
      <c r="AA6" s="932"/>
      <c r="AB6" s="605"/>
      <c r="AC6" s="1448"/>
      <c r="AD6" s="558">
        <v>888</v>
      </c>
      <c r="AE6" s="558">
        <v>894</v>
      </c>
      <c r="AF6" s="558"/>
      <c r="AG6" s="558"/>
      <c r="AH6" s="556"/>
      <c r="AI6" s="934">
        <v>906</v>
      </c>
      <c r="AJ6" s="935">
        <v>45550</v>
      </c>
      <c r="AK6" s="938">
        <v>11015</v>
      </c>
      <c r="AL6" s="368" t="s">
        <v>1239</v>
      </c>
      <c r="AM6" s="372"/>
      <c r="AN6" s="933">
        <v>4107</v>
      </c>
      <c r="AO6" s="935">
        <v>45604</v>
      </c>
      <c r="AP6" s="939">
        <v>10500</v>
      </c>
      <c r="AQ6" s="368" t="s">
        <v>2925</v>
      </c>
      <c r="AR6" s="933"/>
      <c r="AS6" s="935"/>
      <c r="AX6" s="941" t="s">
        <v>2911</v>
      </c>
      <c r="AY6" s="941" t="s">
        <v>2912</v>
      </c>
    </row>
    <row r="7" spans="1:93" s="69" customFormat="1" ht="16.5" thickTop="1" thickBot="1">
      <c r="A7" s="679"/>
      <c r="B7" s="679"/>
      <c r="C7" s="679"/>
      <c r="D7" s="679"/>
      <c r="E7" s="679"/>
      <c r="F7" s="679"/>
      <c r="G7" s="679"/>
      <c r="H7" s="679"/>
      <c r="I7" s="679"/>
      <c r="J7" s="679"/>
      <c r="K7" s="679"/>
      <c r="L7" s="679"/>
      <c r="M7" s="1759" t="s">
        <v>2905</v>
      </c>
      <c r="N7" s="1759"/>
      <c r="O7" s="1759"/>
      <c r="P7" s="1759"/>
      <c r="Q7" s="942"/>
      <c r="R7" s="947" t="s">
        <v>1528</v>
      </c>
      <c r="S7" s="947"/>
      <c r="T7" s="947"/>
      <c r="U7" s="681"/>
      <c r="V7" s="944"/>
      <c r="W7" s="944"/>
      <c r="Z7" s="604"/>
      <c r="AA7" s="932"/>
      <c r="AB7" s="605"/>
      <c r="AC7" s="1448"/>
      <c r="AD7" s="558" t="s">
        <v>2854</v>
      </c>
      <c r="AE7" s="558"/>
      <c r="AF7" s="558" t="s">
        <v>2857</v>
      </c>
      <c r="AG7" s="558"/>
      <c r="AH7" s="556"/>
      <c r="AI7" s="934">
        <v>907</v>
      </c>
      <c r="AJ7" s="935">
        <v>45550</v>
      </c>
      <c r="AK7" s="938">
        <v>25615</v>
      </c>
      <c r="AL7" s="368" t="s">
        <v>1242</v>
      </c>
      <c r="AM7" s="372"/>
      <c r="AN7" s="933">
        <v>4106</v>
      </c>
      <c r="AO7" s="935">
        <v>45593</v>
      </c>
      <c r="AP7" s="939">
        <v>29622.5</v>
      </c>
      <c r="AQ7" s="368" t="s">
        <v>2926</v>
      </c>
      <c r="AR7" s="933"/>
      <c r="AS7" s="935"/>
    </row>
    <row r="8" spans="1:93" s="69" customFormat="1" ht="16.5" thickTop="1" thickBot="1">
      <c r="A8" s="679"/>
      <c r="B8" s="679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1760"/>
      <c r="N8" s="1760"/>
      <c r="O8" s="1760"/>
      <c r="P8" s="1760"/>
      <c r="Q8" s="942"/>
      <c r="R8" s="946"/>
      <c r="S8" s="946"/>
      <c r="T8" s="946"/>
      <c r="U8" s="681"/>
      <c r="V8" s="944"/>
      <c r="W8" s="944"/>
      <c r="Z8" s="604"/>
      <c r="AA8" s="932"/>
      <c r="AB8" s="605"/>
      <c r="AC8" s="1448"/>
      <c r="AD8" s="558" t="s">
        <v>2855</v>
      </c>
      <c r="AE8" s="558"/>
      <c r="AF8" s="558"/>
      <c r="AG8" s="558"/>
      <c r="AH8" s="556"/>
      <c r="AI8" s="934">
        <v>909</v>
      </c>
      <c r="AJ8" s="935">
        <v>45509</v>
      </c>
      <c r="AK8" s="938">
        <v>11004</v>
      </c>
      <c r="AL8" s="368" t="s">
        <v>1243</v>
      </c>
      <c r="AM8" s="372"/>
      <c r="AN8" s="934">
        <v>4108</v>
      </c>
      <c r="AO8" s="935">
        <v>45581</v>
      </c>
      <c r="AP8" s="939">
        <v>49560</v>
      </c>
      <c r="AQ8" s="368" t="s">
        <v>2927</v>
      </c>
      <c r="AR8" s="933"/>
      <c r="AS8" s="935"/>
    </row>
    <row r="9" spans="1:93" s="69" customFormat="1" ht="16.5" thickTop="1" thickBot="1">
      <c r="A9" s="679"/>
      <c r="B9" s="679"/>
      <c r="C9" s="679"/>
      <c r="D9" s="679"/>
      <c r="E9" s="679"/>
      <c r="F9" s="679"/>
      <c r="G9" s="679"/>
      <c r="H9" s="679"/>
      <c r="I9" s="679"/>
      <c r="J9" s="679"/>
      <c r="K9" s="679"/>
      <c r="L9" s="679"/>
      <c r="M9" s="679"/>
      <c r="N9" s="679"/>
      <c r="O9" s="679"/>
      <c r="P9" s="679"/>
      <c r="Q9" s="942"/>
      <c r="R9" s="947" t="s">
        <v>1480</v>
      </c>
      <c r="S9" s="947"/>
      <c r="T9" s="947"/>
      <c r="U9" s="681"/>
      <c r="V9" s="944"/>
      <c r="W9" s="944"/>
      <c r="Z9" s="604"/>
      <c r="AA9" s="932"/>
      <c r="AB9" s="605"/>
      <c r="AC9" s="1447"/>
      <c r="AD9" s="558" t="s">
        <v>2856</v>
      </c>
      <c r="AE9" s="558"/>
      <c r="AF9" s="558"/>
      <c r="AG9" s="558"/>
      <c r="AH9" s="556"/>
      <c r="AI9" s="934">
        <v>911</v>
      </c>
      <c r="AJ9" s="935">
        <v>45550</v>
      </c>
      <c r="AK9" s="938">
        <v>11078</v>
      </c>
      <c r="AL9" s="368" t="s">
        <v>1244</v>
      </c>
      <c r="AM9" s="372"/>
      <c r="AN9" s="934">
        <v>12223</v>
      </c>
      <c r="AO9" s="935">
        <v>45559</v>
      </c>
      <c r="AP9" s="938">
        <v>160906</v>
      </c>
      <c r="AQ9" s="368" t="s">
        <v>2945</v>
      </c>
      <c r="AR9" s="933"/>
      <c r="AS9" s="935"/>
    </row>
    <row r="10" spans="1:93" s="69" customFormat="1" ht="16.5" thickTop="1" thickBot="1">
      <c r="A10" s="679"/>
      <c r="B10" s="679"/>
      <c r="C10" s="679"/>
      <c r="D10" s="679"/>
      <c r="E10" s="679"/>
      <c r="F10" s="679"/>
      <c r="G10" s="679"/>
      <c r="H10" s="679"/>
      <c r="I10" s="679"/>
      <c r="J10" s="679"/>
      <c r="K10" s="679"/>
      <c r="L10" s="679"/>
      <c r="M10" s="679"/>
      <c r="N10" s="679"/>
      <c r="O10" s="679"/>
      <c r="P10" s="679"/>
      <c r="Q10" s="942"/>
      <c r="R10" s="946"/>
      <c r="S10" s="946"/>
      <c r="T10" s="946"/>
      <c r="U10" s="681"/>
      <c r="V10" s="944"/>
      <c r="W10" s="944"/>
      <c r="Z10" s="604"/>
      <c r="AA10" s="932"/>
      <c r="AB10" s="605"/>
      <c r="AC10" s="1448" t="s">
        <v>2973</v>
      </c>
      <c r="AD10" s="558" t="s">
        <v>2969</v>
      </c>
      <c r="AE10" s="558"/>
      <c r="AF10" s="558"/>
      <c r="AG10" s="558"/>
      <c r="AH10" s="556"/>
      <c r="AI10" s="934">
        <v>912</v>
      </c>
      <c r="AJ10" s="935">
        <v>45555</v>
      </c>
      <c r="AK10" s="938">
        <v>12050</v>
      </c>
      <c r="AL10" s="368" t="s">
        <v>1550</v>
      </c>
      <c r="AM10" s="372"/>
      <c r="AN10" s="934">
        <v>3648</v>
      </c>
      <c r="AO10" s="935">
        <v>45570</v>
      </c>
      <c r="AP10" s="938">
        <v>13833.75</v>
      </c>
      <c r="AQ10" s="368" t="s">
        <v>2952</v>
      </c>
      <c r="AR10" s="933"/>
      <c r="AS10" s="935"/>
    </row>
    <row r="11" spans="1:93" s="69" customFormat="1" ht="16.5" thickTop="1" thickBot="1">
      <c r="A11" s="679"/>
      <c r="B11" s="679"/>
      <c r="C11" s="679"/>
      <c r="D11" s="679"/>
      <c r="E11" s="679"/>
      <c r="F11" s="679"/>
      <c r="G11" s="679"/>
      <c r="H11" s="679"/>
      <c r="I11" s="679"/>
      <c r="J11" s="679"/>
      <c r="K11" s="679"/>
      <c r="L11" s="679"/>
      <c r="M11" s="679"/>
      <c r="N11" s="679"/>
      <c r="O11" s="679"/>
      <c r="P11" s="679"/>
      <c r="Q11" s="942"/>
      <c r="R11" s="947" t="s">
        <v>2953</v>
      </c>
      <c r="S11" s="947"/>
      <c r="T11" s="947"/>
      <c r="U11" s="681"/>
      <c r="V11" s="944"/>
      <c r="W11" s="944"/>
      <c r="Z11" s="604"/>
      <c r="AA11" s="932"/>
      <c r="AB11" s="605"/>
      <c r="AC11" s="1448"/>
      <c r="AD11" s="558" t="s">
        <v>2968</v>
      </c>
      <c r="AE11" s="558"/>
      <c r="AF11" s="558"/>
      <c r="AG11" s="558"/>
      <c r="AH11" s="556"/>
      <c r="AI11" s="934">
        <v>914</v>
      </c>
      <c r="AJ11" s="935">
        <v>45555</v>
      </c>
      <c r="AK11" s="938">
        <v>10982</v>
      </c>
      <c r="AL11" s="368" t="s">
        <v>2917</v>
      </c>
      <c r="AM11" s="372"/>
      <c r="AN11" s="934">
        <v>22</v>
      </c>
      <c r="AO11" s="935">
        <v>45579</v>
      </c>
      <c r="AP11" s="938">
        <v>86184</v>
      </c>
      <c r="AQ11" s="368" t="s">
        <v>3049</v>
      </c>
      <c r="AR11" s="933"/>
      <c r="AS11" s="935"/>
      <c r="CO11" s="195" t="s">
        <v>837</v>
      </c>
    </row>
    <row r="12" spans="1:93" s="69" customFormat="1" ht="15.75" thickTop="1">
      <c r="A12" s="679"/>
      <c r="B12" s="679"/>
      <c r="C12" s="679"/>
      <c r="D12" s="679"/>
      <c r="E12" s="679"/>
      <c r="F12" s="679"/>
      <c r="G12" s="679"/>
      <c r="H12" s="679"/>
      <c r="I12" s="679"/>
      <c r="J12" s="679"/>
      <c r="K12" s="679"/>
      <c r="L12" s="679"/>
      <c r="M12" s="679"/>
      <c r="N12" s="679"/>
      <c r="O12" s="679"/>
      <c r="P12" s="679"/>
      <c r="Q12" s="942"/>
      <c r="R12" s="948"/>
      <c r="S12" s="948"/>
      <c r="T12" s="948"/>
      <c r="U12" s="681"/>
      <c r="V12" s="944"/>
      <c r="W12" s="944"/>
      <c r="Z12" s="604"/>
      <c r="AA12" s="932"/>
      <c r="AB12" s="605"/>
      <c r="AC12" s="1448" t="s">
        <v>3009</v>
      </c>
      <c r="AD12" s="558" t="s">
        <v>2858</v>
      </c>
      <c r="AE12" s="558"/>
      <c r="AF12" s="558"/>
      <c r="AG12" s="558"/>
      <c r="AH12" s="556"/>
      <c r="AI12" s="934">
        <v>913</v>
      </c>
      <c r="AJ12" s="935">
        <v>45555</v>
      </c>
      <c r="AK12" s="938">
        <v>13050</v>
      </c>
      <c r="AL12" s="368" t="s">
        <v>2918</v>
      </c>
      <c r="AM12" s="372"/>
      <c r="AN12" s="933"/>
      <c r="AO12" s="935"/>
      <c r="AP12" s="939"/>
      <c r="AQ12" s="368"/>
      <c r="AR12" s="933"/>
      <c r="AS12" s="935"/>
      <c r="CO12" s="195" t="s">
        <v>838</v>
      </c>
    </row>
    <row r="13" spans="1:93" s="69" customFormat="1">
      <c r="A13" s="679"/>
      <c r="B13" s="679"/>
      <c r="C13" s="679"/>
      <c r="D13" s="679"/>
      <c r="E13" s="679"/>
      <c r="F13" s="679"/>
      <c r="G13" s="679"/>
      <c r="H13" s="679"/>
      <c r="I13" s="679"/>
      <c r="J13" s="679"/>
      <c r="K13" s="679"/>
      <c r="L13" s="679"/>
      <c r="M13" s="679"/>
      <c r="N13" s="679"/>
      <c r="O13" s="679"/>
      <c r="P13" s="679"/>
      <c r="Q13" s="942"/>
      <c r="R13" s="946"/>
      <c r="S13" s="946"/>
      <c r="T13" s="946"/>
      <c r="U13" s="681"/>
      <c r="V13" s="944"/>
      <c r="W13" s="944"/>
      <c r="Z13" s="604"/>
      <c r="AA13" s="932"/>
      <c r="AB13" s="605"/>
      <c r="AC13" s="1448"/>
      <c r="AD13" s="1164" t="s">
        <v>3022</v>
      </c>
      <c r="AE13" s="557"/>
      <c r="AF13" s="558"/>
      <c r="AG13" s="558"/>
      <c r="AH13" s="556"/>
      <c r="AI13" s="934">
        <v>915</v>
      </c>
      <c r="AJ13" s="935">
        <v>45512</v>
      </c>
      <c r="AK13" s="938">
        <v>15000</v>
      </c>
      <c r="AL13" s="368" t="s">
        <v>1318</v>
      </c>
      <c r="AM13" s="372"/>
      <c r="AN13" s="933"/>
      <c r="AO13" s="935"/>
      <c r="AP13" s="939"/>
      <c r="AQ13" s="368"/>
      <c r="AR13" s="933"/>
      <c r="AS13" s="935"/>
      <c r="CO13" s="195" t="s">
        <v>839</v>
      </c>
    </row>
    <row r="14" spans="1:93" s="69" customFormat="1">
      <c r="A14" s="679"/>
      <c r="B14" s="679"/>
      <c r="C14" s="679"/>
      <c r="D14" s="679"/>
      <c r="E14" s="679"/>
      <c r="F14" s="679"/>
      <c r="G14" s="679"/>
      <c r="H14" s="679"/>
      <c r="I14" s="679"/>
      <c r="J14" s="679"/>
      <c r="K14" s="679"/>
      <c r="L14" s="679"/>
      <c r="M14" s="679"/>
      <c r="N14" s="679"/>
      <c r="O14" s="679"/>
      <c r="P14" s="679"/>
      <c r="Q14" s="942"/>
      <c r="R14" s="944"/>
      <c r="S14" s="944"/>
      <c r="T14" s="944"/>
      <c r="U14" s="944"/>
      <c r="V14" s="944"/>
      <c r="W14" s="944"/>
      <c r="X14" s="558"/>
      <c r="Y14" s="558"/>
      <c r="Z14" s="604"/>
      <c r="AA14" s="932"/>
      <c r="AB14" s="605"/>
      <c r="AC14" s="1448"/>
      <c r="AD14" s="556"/>
      <c r="AE14" s="557"/>
      <c r="AF14" s="558"/>
      <c r="AG14" s="558"/>
      <c r="AH14" s="556"/>
      <c r="AI14" s="934">
        <v>908</v>
      </c>
      <c r="AJ14" s="935">
        <v>45550</v>
      </c>
      <c r="AK14" s="938">
        <v>26964</v>
      </c>
      <c r="AL14" s="368" t="s">
        <v>2919</v>
      </c>
      <c r="AM14" s="372"/>
      <c r="AN14" s="933"/>
      <c r="AO14" s="935"/>
      <c r="AP14" s="939"/>
      <c r="AQ14" s="368"/>
      <c r="AR14" s="933"/>
      <c r="AS14" s="935"/>
      <c r="CO14" s="195" t="s">
        <v>840</v>
      </c>
    </row>
    <row r="15" spans="1:93" s="69" customFormat="1">
      <c r="A15" s="679"/>
      <c r="B15" s="679"/>
      <c r="C15" s="679"/>
      <c r="D15" s="679"/>
      <c r="E15" s="679"/>
      <c r="F15" s="679"/>
      <c r="G15" s="679"/>
      <c r="H15" s="679"/>
      <c r="I15" s="679"/>
      <c r="J15" s="679"/>
      <c r="K15" s="679"/>
      <c r="L15" s="679"/>
      <c r="M15" s="679"/>
      <c r="N15" s="679"/>
      <c r="O15" s="679"/>
      <c r="P15" s="679"/>
      <c r="Q15" s="942"/>
      <c r="R15" s="944"/>
      <c r="S15" s="944"/>
      <c r="T15" s="944"/>
      <c r="U15" s="944"/>
      <c r="V15" s="944"/>
      <c r="W15" s="944"/>
      <c r="X15" s="558"/>
      <c r="Y15" s="558"/>
      <c r="Z15" s="604"/>
      <c r="AA15" s="932"/>
      <c r="AB15" s="605"/>
      <c r="AC15" s="1448"/>
      <c r="AD15" s="1164" t="s">
        <v>5051</v>
      </c>
      <c r="AE15" s="557"/>
      <c r="AF15" s="558"/>
      <c r="AG15" s="558"/>
      <c r="AH15" s="556"/>
      <c r="AI15" s="934">
        <v>920</v>
      </c>
      <c r="AJ15" s="935">
        <v>45517</v>
      </c>
      <c r="AK15" s="938">
        <v>20000</v>
      </c>
      <c r="AL15" s="368" t="s">
        <v>2920</v>
      </c>
      <c r="AM15" s="372"/>
      <c r="AN15" s="933"/>
      <c r="AO15" s="935"/>
      <c r="AP15" s="939"/>
      <c r="AQ15" s="368"/>
      <c r="AR15" s="933"/>
      <c r="AS15" s="935"/>
    </row>
    <row r="16" spans="1:93" s="69" customFormat="1">
      <c r="A16" s="679"/>
      <c r="B16" s="679"/>
      <c r="C16" s="679"/>
      <c r="D16" s="679"/>
      <c r="E16" s="679"/>
      <c r="F16" s="679"/>
      <c r="G16" s="679"/>
      <c r="H16" s="679"/>
      <c r="I16" s="679"/>
      <c r="J16" s="679"/>
      <c r="K16" s="679"/>
      <c r="L16" s="679"/>
      <c r="M16" s="679"/>
      <c r="N16" s="679"/>
      <c r="O16" s="679"/>
      <c r="P16" s="679"/>
      <c r="Q16" s="942"/>
      <c r="R16" s="944"/>
      <c r="S16" s="944"/>
      <c r="T16" s="944"/>
      <c r="U16" s="944"/>
      <c r="V16" s="944"/>
      <c r="W16" s="944"/>
      <c r="X16" s="558"/>
      <c r="Y16" s="558"/>
      <c r="Z16" s="604"/>
      <c r="AA16" s="932"/>
      <c r="AB16" s="605"/>
      <c r="AC16" s="1448"/>
      <c r="AD16" s="1164" t="s">
        <v>5052</v>
      </c>
      <c r="AE16" s="557"/>
      <c r="AF16" s="558"/>
      <c r="AG16" s="558"/>
      <c r="AH16" s="556"/>
      <c r="AI16" s="934">
        <v>918</v>
      </c>
      <c r="AJ16" s="935">
        <v>45515</v>
      </c>
      <c r="AK16" s="938">
        <v>15000</v>
      </c>
      <c r="AL16" s="368" t="s">
        <v>2920</v>
      </c>
      <c r="AM16" s="372"/>
      <c r="AN16" s="933"/>
      <c r="AO16" s="935"/>
      <c r="AP16" s="939"/>
      <c r="AQ16" s="368"/>
      <c r="AR16" s="933"/>
      <c r="AS16" s="935"/>
    </row>
    <row r="17" spans="1:78" s="69" customFormat="1">
      <c r="A17" s="679"/>
      <c r="B17" s="679"/>
      <c r="C17" s="679"/>
      <c r="D17" s="679"/>
      <c r="E17" s="679"/>
      <c r="F17" s="679"/>
      <c r="G17" s="679"/>
      <c r="H17" s="679"/>
      <c r="I17" s="679"/>
      <c r="J17" s="679"/>
      <c r="K17" s="679"/>
      <c r="L17" s="679"/>
      <c r="M17" s="679"/>
      <c r="N17" s="679"/>
      <c r="O17" s="679"/>
      <c r="P17" s="679"/>
      <c r="Q17" s="942"/>
      <c r="R17" s="944"/>
      <c r="S17" s="944"/>
      <c r="T17" s="944"/>
      <c r="U17" s="944"/>
      <c r="V17" s="944"/>
      <c r="W17" s="944"/>
      <c r="X17" s="558"/>
      <c r="Y17" s="558"/>
      <c r="Z17" s="556"/>
      <c r="AA17" s="636"/>
      <c r="AB17" s="558"/>
      <c r="AC17" s="1449">
        <v>45593</v>
      </c>
      <c r="AD17" s="1164" t="s">
        <v>5237</v>
      </c>
      <c r="AE17" s="557"/>
      <c r="AF17" s="558"/>
      <c r="AG17" s="558"/>
      <c r="AH17" s="556"/>
      <c r="AI17" s="934">
        <v>919</v>
      </c>
      <c r="AJ17" s="935">
        <v>45575</v>
      </c>
      <c r="AK17" s="938">
        <v>30062</v>
      </c>
      <c r="AL17" s="368" t="s">
        <v>2921</v>
      </c>
      <c r="AM17" s="553"/>
      <c r="AN17" s="933"/>
      <c r="AO17" s="935"/>
      <c r="AP17" s="939"/>
      <c r="AQ17" s="368"/>
      <c r="AR17" s="933"/>
      <c r="AS17" s="935"/>
      <c r="AT17" s="372"/>
      <c r="AU17" s="372"/>
      <c r="AV17" s="372"/>
      <c r="AW17" s="372"/>
      <c r="AX17" s="372"/>
      <c r="AY17" s="372"/>
      <c r="AZ17" s="372"/>
      <c r="BA17" s="372"/>
      <c r="BB17" s="372"/>
      <c r="BC17" s="372"/>
      <c r="BD17" s="372"/>
    </row>
    <row r="18" spans="1:78" s="69" customFormat="1">
      <c r="A18" s="679"/>
      <c r="B18" s="679"/>
      <c r="C18" s="679"/>
      <c r="D18" s="679"/>
      <c r="E18" s="679"/>
      <c r="F18" s="679"/>
      <c r="G18" s="679"/>
      <c r="H18" s="679"/>
      <c r="I18" s="679"/>
      <c r="J18" s="679"/>
      <c r="K18" s="679"/>
      <c r="L18" s="679"/>
      <c r="M18" s="679"/>
      <c r="N18" s="679"/>
      <c r="O18" s="679"/>
      <c r="P18" s="679"/>
      <c r="Q18" s="942"/>
      <c r="R18" s="944"/>
      <c r="S18" s="944"/>
      <c r="T18" s="944"/>
      <c r="U18" s="944"/>
      <c r="V18" s="944"/>
      <c r="W18" s="944"/>
      <c r="X18" s="558"/>
      <c r="Y18" s="558"/>
      <c r="Z18" s="556"/>
      <c r="AA18" s="636"/>
      <c r="AB18" s="558"/>
      <c r="AC18" s="1449">
        <v>45605</v>
      </c>
      <c r="AD18" s="1164" t="s">
        <v>5511</v>
      </c>
      <c r="AE18" s="557"/>
      <c r="AF18" s="558"/>
      <c r="AG18" s="558"/>
      <c r="AH18" s="556"/>
      <c r="AI18" s="934">
        <v>924</v>
      </c>
      <c r="AJ18" s="935">
        <v>45580</v>
      </c>
      <c r="AK18" s="938">
        <v>22329</v>
      </c>
      <c r="AL18" s="368" t="s">
        <v>2922</v>
      </c>
      <c r="AM18" s="553"/>
      <c r="AN18" s="933"/>
      <c r="AO18" s="935"/>
      <c r="AP18" s="939"/>
      <c r="AQ18" s="368"/>
      <c r="AR18" s="933"/>
      <c r="AS18" s="935"/>
      <c r="AT18" s="372"/>
      <c r="AU18" s="372"/>
      <c r="AV18" s="372"/>
      <c r="AW18" s="372"/>
      <c r="AX18" s="372"/>
      <c r="AY18" s="372"/>
      <c r="AZ18" s="372"/>
      <c r="BA18" s="372"/>
      <c r="BB18" s="372"/>
      <c r="BC18" s="372"/>
      <c r="BD18" s="372"/>
    </row>
    <row r="19" spans="1:78" s="69" customFormat="1">
      <c r="A19" s="679"/>
      <c r="B19" s="679"/>
      <c r="C19" s="679"/>
      <c r="D19" s="679"/>
      <c r="E19" s="679"/>
      <c r="F19" s="679"/>
      <c r="G19" s="679"/>
      <c r="H19" s="679"/>
      <c r="I19" s="679"/>
      <c r="J19" s="679"/>
      <c r="K19" s="679"/>
      <c r="L19" s="679"/>
      <c r="M19" s="679"/>
      <c r="N19" s="679"/>
      <c r="O19" s="679"/>
      <c r="P19" s="679"/>
      <c r="Q19" s="942"/>
      <c r="R19" s="944"/>
      <c r="S19" s="944"/>
      <c r="T19" s="944"/>
      <c r="U19" s="944"/>
      <c r="V19" s="944"/>
      <c r="W19" s="944"/>
      <c r="X19" s="558"/>
      <c r="Y19" s="558"/>
      <c r="Z19" s="604"/>
      <c r="AA19" s="932"/>
      <c r="AB19" s="605"/>
      <c r="AC19" s="558"/>
      <c r="AD19" s="556"/>
      <c r="AE19" s="557"/>
      <c r="AF19" s="558"/>
      <c r="AG19" s="558"/>
      <c r="AH19" s="556"/>
      <c r="AI19" s="934">
        <v>926</v>
      </c>
      <c r="AJ19" s="935">
        <v>45535</v>
      </c>
      <c r="AK19" s="938">
        <v>69097.75</v>
      </c>
      <c r="AL19" s="368" t="s">
        <v>2923</v>
      </c>
      <c r="AM19" s="553"/>
      <c r="AN19" s="933"/>
      <c r="AO19" s="935"/>
      <c r="AP19" s="939"/>
      <c r="AQ19" s="368"/>
      <c r="AR19" s="933"/>
      <c r="AS19" s="935"/>
      <c r="AT19" s="372"/>
      <c r="AU19" s="372"/>
      <c r="AV19" s="372"/>
      <c r="AW19" s="372"/>
      <c r="AX19" s="372"/>
      <c r="AY19" s="372"/>
      <c r="AZ19" s="372"/>
      <c r="BA19" s="372"/>
      <c r="BB19" s="372"/>
      <c r="BC19" s="372"/>
      <c r="BD19" s="372"/>
    </row>
    <row r="20" spans="1:78" s="69" customFormat="1">
      <c r="A20" s="679"/>
      <c r="B20" s="679"/>
      <c r="C20" s="679"/>
      <c r="D20" s="679"/>
      <c r="E20" s="679"/>
      <c r="F20" s="679"/>
      <c r="G20" s="679"/>
      <c r="H20" s="679"/>
      <c r="I20" s="679"/>
      <c r="J20" s="679"/>
      <c r="K20" s="679"/>
      <c r="L20" s="679"/>
      <c r="M20" s="679"/>
      <c r="N20" s="679"/>
      <c r="O20" s="679"/>
      <c r="P20" s="679"/>
      <c r="Q20" s="942"/>
      <c r="R20" s="944"/>
      <c r="S20" s="944"/>
      <c r="T20" s="944"/>
      <c r="U20" s="944"/>
      <c r="V20" s="944"/>
      <c r="W20" s="944"/>
      <c r="X20" s="558"/>
      <c r="Y20" s="558"/>
      <c r="Z20" s="604"/>
      <c r="AA20" s="932"/>
      <c r="AB20" s="605"/>
      <c r="AC20" s="558"/>
      <c r="AD20" s="556"/>
      <c r="AE20" s="557"/>
      <c r="AF20" s="558"/>
      <c r="AG20" s="558"/>
      <c r="AH20" s="556"/>
      <c r="AI20" s="934">
        <v>882</v>
      </c>
      <c r="AJ20" s="935">
        <v>45486</v>
      </c>
      <c r="AK20" s="938">
        <v>15000</v>
      </c>
      <c r="AL20" s="368" t="s">
        <v>2924</v>
      </c>
      <c r="AM20" s="553"/>
      <c r="AN20" s="933"/>
      <c r="AO20" s="935"/>
      <c r="AP20" s="939"/>
      <c r="AQ20" s="368"/>
      <c r="AR20" s="933"/>
      <c r="AS20" s="935"/>
      <c r="AT20" s="372"/>
      <c r="AU20" s="372"/>
      <c r="AV20" s="372"/>
      <c r="AW20" s="372"/>
      <c r="AX20" s="372"/>
      <c r="AY20" s="372"/>
      <c r="AZ20" s="372"/>
      <c r="BA20" s="372"/>
      <c r="BB20" s="372"/>
      <c r="BC20" s="372"/>
      <c r="BD20" s="372"/>
    </row>
    <row r="21" spans="1:78" s="69" customFormat="1" ht="15.75">
      <c r="A21" s="679"/>
      <c r="B21" s="679"/>
      <c r="C21" s="679"/>
      <c r="D21" s="679"/>
      <c r="E21" s="679"/>
      <c r="F21" s="679"/>
      <c r="G21" s="679"/>
      <c r="H21" s="679"/>
      <c r="I21" s="679"/>
      <c r="J21" s="679"/>
      <c r="K21" s="679"/>
      <c r="L21" s="679"/>
      <c r="M21" s="679"/>
      <c r="N21" s="679"/>
      <c r="O21" s="679"/>
      <c r="P21" s="679"/>
      <c r="Q21" s="942"/>
      <c r="R21" s="944"/>
      <c r="S21" s="944"/>
      <c r="T21" s="944"/>
      <c r="U21" s="944"/>
      <c r="V21" s="944"/>
      <c r="W21" s="944"/>
      <c r="X21" s="558"/>
      <c r="Y21" s="558"/>
      <c r="Z21" s="604"/>
      <c r="AA21" s="932"/>
      <c r="AB21" s="605"/>
      <c r="AC21" s="558"/>
      <c r="AD21" s="556"/>
      <c r="AE21" s="557"/>
      <c r="AF21" s="558"/>
      <c r="AG21" s="558"/>
      <c r="AH21" s="556"/>
      <c r="AI21" s="934">
        <v>883</v>
      </c>
      <c r="AJ21" s="935">
        <v>45486</v>
      </c>
      <c r="AK21" s="938">
        <v>15000</v>
      </c>
      <c r="AL21" s="368" t="s">
        <v>2928</v>
      </c>
      <c r="AM21" s="553"/>
      <c r="AN21" s="933"/>
      <c r="AO21" s="935"/>
      <c r="AP21" s="939"/>
      <c r="AQ21" s="368"/>
      <c r="AR21" s="933"/>
      <c r="AS21" s="935"/>
      <c r="AT21" s="372"/>
      <c r="AU21" s="372"/>
      <c r="AV21" s="372"/>
      <c r="AW21" s="372"/>
      <c r="AX21" s="372"/>
      <c r="AY21" s="372"/>
      <c r="AZ21" s="372"/>
      <c r="BA21" s="372"/>
      <c r="BB21" s="372"/>
      <c r="BC21" s="372"/>
      <c r="BD21" s="372"/>
      <c r="BS21" s="1761"/>
      <c r="BT21" s="1761"/>
      <c r="BU21" s="1761"/>
      <c r="BV21" s="1544"/>
      <c r="BW21" s="197"/>
      <c r="BX21" s="1761"/>
      <c r="BY21" s="1761"/>
      <c r="BZ21" s="1761"/>
    </row>
    <row r="22" spans="1:78" s="69" customFormat="1">
      <c r="A22" s="679"/>
      <c r="B22" s="679"/>
      <c r="C22" s="679"/>
      <c r="D22" s="679"/>
      <c r="E22" s="679"/>
      <c r="F22" s="679"/>
      <c r="G22" s="679"/>
      <c r="H22" s="679"/>
      <c r="I22" s="679"/>
      <c r="J22" s="679"/>
      <c r="K22" s="679"/>
      <c r="L22" s="679"/>
      <c r="M22" s="679"/>
      <c r="N22" s="679"/>
      <c r="O22" s="679"/>
      <c r="P22" s="679"/>
      <c r="Q22" s="942"/>
      <c r="R22" s="944"/>
      <c r="S22" s="944"/>
      <c r="T22" s="944"/>
      <c r="U22" s="944"/>
      <c r="V22" s="944"/>
      <c r="W22" s="944"/>
      <c r="X22" s="558"/>
      <c r="Y22" s="558"/>
      <c r="Z22" s="556"/>
      <c r="AA22" s="636"/>
      <c r="AB22" s="558"/>
      <c r="AC22" s="558"/>
      <c r="AD22" s="556"/>
      <c r="AE22" s="557"/>
      <c r="AF22" s="558"/>
      <c r="AG22" s="558"/>
      <c r="AH22" s="556"/>
      <c r="AI22" s="933">
        <v>927</v>
      </c>
      <c r="AJ22" s="935">
        <v>45606</v>
      </c>
      <c r="AK22" s="939">
        <v>24707</v>
      </c>
      <c r="AL22" s="368" t="s">
        <v>2929</v>
      </c>
      <c r="AM22" s="553"/>
      <c r="AN22" s="933"/>
      <c r="AO22" s="935"/>
      <c r="AP22" s="939"/>
      <c r="AQ22" s="368"/>
      <c r="AR22" s="933"/>
      <c r="AS22" s="935"/>
      <c r="AT22" s="372"/>
      <c r="AU22" s="372"/>
      <c r="AV22" s="372"/>
      <c r="AW22" s="372"/>
      <c r="AX22" s="372"/>
      <c r="AY22" s="372"/>
      <c r="AZ22" s="372"/>
      <c r="BA22" s="372"/>
      <c r="BB22" s="372"/>
      <c r="BC22" s="372"/>
      <c r="BD22" s="372"/>
      <c r="BS22" s="198"/>
      <c r="BT22" s="199"/>
      <c r="BU22" s="200"/>
      <c r="BV22" s="201"/>
      <c r="BX22" s="202"/>
      <c r="BY22" s="202"/>
      <c r="BZ22" s="201"/>
    </row>
    <row r="23" spans="1:78" s="69" customFormat="1">
      <c r="A23" s="679"/>
      <c r="B23" s="679"/>
      <c r="C23" s="679"/>
      <c r="D23" s="679"/>
      <c r="E23" s="679"/>
      <c r="F23" s="679"/>
      <c r="G23" s="679"/>
      <c r="H23" s="679"/>
      <c r="I23" s="679"/>
      <c r="J23" s="679"/>
      <c r="K23" s="679"/>
      <c r="L23" s="679"/>
      <c r="M23" s="679"/>
      <c r="N23" s="679"/>
      <c r="O23" s="679"/>
      <c r="P23" s="679"/>
      <c r="Q23" s="942"/>
      <c r="R23" s="944"/>
      <c r="S23" s="944"/>
      <c r="T23" s="944"/>
      <c r="U23" s="944"/>
      <c r="V23" s="944"/>
      <c r="W23" s="944"/>
      <c r="X23" s="558"/>
      <c r="Y23" s="558"/>
      <c r="Z23" s="556"/>
      <c r="AA23" s="636"/>
      <c r="AB23" s="558"/>
      <c r="AC23" s="558"/>
      <c r="AD23" s="556"/>
      <c r="AE23" s="557"/>
      <c r="AF23" s="558"/>
      <c r="AG23" s="558"/>
      <c r="AH23" s="556"/>
      <c r="AI23" s="933">
        <v>931</v>
      </c>
      <c r="AJ23" s="935">
        <v>45580</v>
      </c>
      <c r="AK23" s="939">
        <v>1050</v>
      </c>
      <c r="AL23" s="368" t="s">
        <v>2930</v>
      </c>
      <c r="AM23" s="553"/>
      <c r="AN23" s="933"/>
      <c r="AO23" s="935"/>
      <c r="AP23" s="939"/>
      <c r="AQ23" s="368"/>
      <c r="AR23" s="933"/>
      <c r="AS23" s="935"/>
      <c r="AT23" s="372"/>
      <c r="AU23" s="372"/>
      <c r="AV23" s="372"/>
      <c r="AW23" s="372"/>
      <c r="AX23" s="372"/>
      <c r="AY23" s="372"/>
      <c r="AZ23" s="372"/>
      <c r="BA23" s="372"/>
      <c r="BB23" s="372"/>
      <c r="BC23" s="372"/>
      <c r="BD23" s="372"/>
      <c r="BS23" s="198"/>
      <c r="BT23" s="199"/>
      <c r="BU23" s="200"/>
      <c r="BV23" s="201"/>
      <c r="BX23" s="202"/>
      <c r="BY23" s="202"/>
      <c r="BZ23" s="201"/>
    </row>
    <row r="24" spans="1:78" s="69" customFormat="1">
      <c r="A24" s="951"/>
      <c r="B24" s="951"/>
      <c r="C24" s="951"/>
      <c r="D24" s="951"/>
      <c r="E24" s="951"/>
      <c r="F24" s="951"/>
      <c r="G24" s="951"/>
      <c r="H24" s="951"/>
      <c r="I24" s="951"/>
      <c r="J24" s="951"/>
      <c r="K24" s="951"/>
      <c r="L24" s="951"/>
      <c r="M24" s="951"/>
      <c r="N24" s="951"/>
      <c r="O24" s="951"/>
      <c r="P24" s="951"/>
      <c r="Q24" s="951"/>
      <c r="R24" s="951"/>
      <c r="S24" s="951"/>
      <c r="T24" s="951"/>
      <c r="U24" s="951"/>
      <c r="V24" s="951"/>
      <c r="W24" s="951"/>
      <c r="X24" s="558"/>
      <c r="Y24" s="558"/>
      <c r="Z24" s="556"/>
      <c r="AA24" s="636"/>
      <c r="AB24" s="558"/>
      <c r="AC24" s="558"/>
      <c r="AD24" s="556"/>
      <c r="AE24" s="557"/>
      <c r="AF24" s="558"/>
      <c r="AG24" s="558"/>
      <c r="AH24" s="556"/>
      <c r="AI24" s="934">
        <v>929</v>
      </c>
      <c r="AJ24" s="935">
        <v>45585</v>
      </c>
      <c r="AK24" s="939">
        <v>8690</v>
      </c>
      <c r="AL24" s="368" t="s">
        <v>2931</v>
      </c>
      <c r="AM24" s="553"/>
      <c r="AN24" s="933"/>
      <c r="AO24" s="935"/>
      <c r="AP24" s="939"/>
      <c r="AQ24" s="368"/>
      <c r="AR24" s="933"/>
      <c r="AS24" s="935"/>
      <c r="AT24" s="372"/>
      <c r="AU24" s="372"/>
      <c r="AV24" s="372"/>
      <c r="AW24" s="372"/>
      <c r="AX24" s="372"/>
      <c r="AY24" s="372"/>
      <c r="AZ24" s="372"/>
      <c r="BA24" s="372"/>
      <c r="BB24" s="372"/>
      <c r="BC24" s="372"/>
      <c r="BD24" s="372"/>
      <c r="BS24" s="198"/>
      <c r="BT24" s="199"/>
      <c r="BU24" s="200"/>
      <c r="BV24" s="201"/>
      <c r="BX24" s="202"/>
      <c r="BY24" s="202"/>
      <c r="BZ24" s="201"/>
    </row>
    <row r="25" spans="1:78" s="69" customFormat="1">
      <c r="A25" s="951"/>
      <c r="B25" s="951"/>
      <c r="C25" s="951"/>
      <c r="D25" s="951"/>
      <c r="E25" s="951"/>
      <c r="F25" s="951"/>
      <c r="G25" s="951"/>
      <c r="H25" s="951"/>
      <c r="I25" s="951"/>
      <c r="J25" s="951"/>
      <c r="K25" s="951"/>
      <c r="L25" s="951"/>
      <c r="M25" s="951"/>
      <c r="N25" s="951"/>
      <c r="O25" s="951"/>
      <c r="P25" s="951"/>
      <c r="Q25" s="951"/>
      <c r="R25" s="951"/>
      <c r="S25" s="951"/>
      <c r="T25" s="951"/>
      <c r="U25" s="951"/>
      <c r="V25" s="951"/>
      <c r="W25" s="951"/>
      <c r="X25" s="558"/>
      <c r="Y25" s="558"/>
      <c r="Z25" s="556"/>
      <c r="AA25" s="636"/>
      <c r="AB25" s="558"/>
      <c r="AC25" s="558"/>
      <c r="AD25" s="556"/>
      <c r="AE25" s="557"/>
      <c r="AF25" s="558"/>
      <c r="AG25" s="558"/>
      <c r="AH25" s="556"/>
      <c r="AI25" s="933">
        <v>934</v>
      </c>
      <c r="AJ25" s="935">
        <v>45606</v>
      </c>
      <c r="AK25" s="939">
        <v>15648</v>
      </c>
      <c r="AL25" s="368" t="s">
        <v>2932</v>
      </c>
      <c r="AM25" s="553"/>
      <c r="AN25" s="933"/>
      <c r="AO25" s="935"/>
      <c r="AP25" s="939"/>
      <c r="AQ25" s="368"/>
      <c r="AR25" s="933"/>
      <c r="AS25" s="935"/>
      <c r="AT25" s="372"/>
      <c r="AU25" s="372"/>
      <c r="AV25" s="372"/>
      <c r="AW25" s="372"/>
      <c r="AX25" s="372"/>
      <c r="AY25" s="372"/>
      <c r="AZ25" s="372"/>
      <c r="BA25" s="372"/>
      <c r="BB25" s="372"/>
      <c r="BC25" s="372"/>
      <c r="BD25" s="372"/>
      <c r="BS25" s="198"/>
      <c r="BT25" s="199"/>
      <c r="BU25" s="202"/>
      <c r="BV25" s="201"/>
      <c r="BX25" s="202"/>
      <c r="BY25" s="202"/>
      <c r="BZ25" s="201"/>
    </row>
    <row r="26" spans="1:78" s="69" customFormat="1">
      <c r="A26" s="951"/>
      <c r="B26" s="951"/>
      <c r="C26" s="951"/>
      <c r="D26" s="951"/>
      <c r="E26" s="951"/>
      <c r="F26" s="951"/>
      <c r="G26" s="951"/>
      <c r="H26" s="951"/>
      <c r="I26" s="951"/>
      <c r="J26" s="951"/>
      <c r="K26" s="951"/>
      <c r="L26" s="951"/>
      <c r="M26" s="951"/>
      <c r="N26" s="951"/>
      <c r="O26" s="951"/>
      <c r="P26" s="951"/>
      <c r="Q26" s="951"/>
      <c r="R26" s="951"/>
      <c r="S26" s="951"/>
      <c r="T26" s="951"/>
      <c r="U26" s="951"/>
      <c r="V26" s="951"/>
      <c r="W26" s="951"/>
      <c r="X26" s="558"/>
      <c r="Y26" s="558"/>
      <c r="Z26" s="556"/>
      <c r="AA26" s="636"/>
      <c r="AB26" s="558"/>
      <c r="AC26" s="558"/>
      <c r="AD26" s="556"/>
      <c r="AE26" s="557"/>
      <c r="AF26" s="558"/>
      <c r="AG26" s="558"/>
      <c r="AH26" s="556"/>
      <c r="AI26" s="934">
        <v>930</v>
      </c>
      <c r="AJ26" s="935">
        <v>45585</v>
      </c>
      <c r="AK26" s="939">
        <v>13751</v>
      </c>
      <c r="AL26" s="368" t="s">
        <v>2933</v>
      </c>
      <c r="AM26" s="372"/>
      <c r="AN26" s="933"/>
      <c r="AO26" s="935"/>
      <c r="AP26" s="939"/>
      <c r="AQ26" s="368"/>
      <c r="AR26" s="933"/>
      <c r="AS26" s="935"/>
      <c r="BE26" s="198"/>
      <c r="BF26" s="199"/>
      <c r="BG26" s="202"/>
      <c r="BH26" s="201"/>
      <c r="BJ26" s="202"/>
      <c r="BK26" s="202"/>
      <c r="BL26" s="201"/>
    </row>
    <row r="27" spans="1:78" s="69" customFormat="1">
      <c r="A27" s="951"/>
      <c r="B27" s="951"/>
      <c r="C27" s="951"/>
      <c r="D27" s="951"/>
      <c r="E27" s="951"/>
      <c r="F27" s="951"/>
      <c r="G27" s="951"/>
      <c r="H27" s="951"/>
      <c r="I27" s="951"/>
      <c r="J27" s="951"/>
      <c r="K27" s="951"/>
      <c r="L27" s="951"/>
      <c r="M27" s="951"/>
      <c r="N27" s="951"/>
      <c r="O27" s="951"/>
      <c r="P27" s="951"/>
      <c r="Q27" s="951"/>
      <c r="R27" s="951"/>
      <c r="S27" s="951"/>
      <c r="T27" s="951"/>
      <c r="U27" s="951"/>
      <c r="V27" s="951"/>
      <c r="W27" s="951"/>
      <c r="X27" s="558"/>
      <c r="Y27" s="558"/>
      <c r="Z27" s="604"/>
      <c r="AA27" s="932"/>
      <c r="AB27" s="605"/>
      <c r="AC27" s="558"/>
      <c r="AD27" s="556"/>
      <c r="AE27" s="557"/>
      <c r="AF27" s="558"/>
      <c r="AG27" s="558"/>
      <c r="AH27" s="556"/>
      <c r="AI27" s="934">
        <v>933</v>
      </c>
      <c r="AJ27" s="935">
        <v>45551</v>
      </c>
      <c r="AK27" s="938">
        <v>2005</v>
      </c>
      <c r="AL27" s="368" t="s">
        <v>2934</v>
      </c>
      <c r="AM27" s="372"/>
      <c r="AN27" s="933"/>
      <c r="AO27" s="935"/>
      <c r="AP27" s="939"/>
      <c r="AQ27" s="368"/>
      <c r="AR27" s="933"/>
      <c r="AS27" s="935"/>
      <c r="BE27" s="198"/>
      <c r="BF27" s="199"/>
      <c r="BG27" s="202"/>
      <c r="BH27" s="201"/>
      <c r="BJ27" s="202"/>
      <c r="BK27" s="202"/>
      <c r="BL27" s="201"/>
    </row>
    <row r="28" spans="1:78" s="69" customFormat="1">
      <c r="A28" s="951"/>
      <c r="B28" s="951"/>
      <c r="C28" s="951"/>
      <c r="D28" s="951"/>
      <c r="E28" s="951"/>
      <c r="F28" s="951"/>
      <c r="G28" s="951"/>
      <c r="H28" s="951"/>
      <c r="I28" s="951"/>
      <c r="J28" s="951"/>
      <c r="K28" s="951"/>
      <c r="L28" s="951"/>
      <c r="M28" s="951"/>
      <c r="N28" s="951"/>
      <c r="O28" s="951"/>
      <c r="P28" s="951"/>
      <c r="Q28" s="951"/>
      <c r="R28" s="951"/>
      <c r="S28" s="951"/>
      <c r="T28" s="951"/>
      <c r="U28" s="951"/>
      <c r="V28" s="951"/>
      <c r="W28" s="951"/>
      <c r="X28" s="558"/>
      <c r="Y28" s="558"/>
      <c r="Z28" s="604"/>
      <c r="AA28" s="932"/>
      <c r="AB28" s="605"/>
      <c r="AC28" s="558"/>
      <c r="AD28" s="556"/>
      <c r="AE28" s="557"/>
      <c r="AF28" s="558"/>
      <c r="AG28" s="558"/>
      <c r="AH28" s="556"/>
      <c r="AI28" s="934">
        <v>938</v>
      </c>
      <c r="AJ28" s="935">
        <v>45557</v>
      </c>
      <c r="AK28" s="938">
        <v>15000</v>
      </c>
      <c r="AL28" s="368" t="s">
        <v>2935</v>
      </c>
      <c r="AM28" s="372"/>
      <c r="AN28" s="933"/>
      <c r="AO28" s="935"/>
      <c r="AP28" s="939"/>
      <c r="AQ28" s="368"/>
      <c r="AR28" s="933"/>
      <c r="AS28" s="935"/>
      <c r="BE28" s="198"/>
      <c r="BF28" s="199"/>
      <c r="BG28" s="202"/>
      <c r="BH28" s="201"/>
      <c r="BJ28" s="202"/>
      <c r="BK28" s="202"/>
      <c r="BL28" s="201"/>
    </row>
    <row r="29" spans="1:78" s="69" customFormat="1">
      <c r="A29" s="951"/>
      <c r="B29" s="951"/>
      <c r="C29" s="951"/>
      <c r="D29" s="951"/>
      <c r="E29" s="951"/>
      <c r="F29" s="951"/>
      <c r="G29" s="951"/>
      <c r="H29" s="951"/>
      <c r="I29" s="951"/>
      <c r="J29" s="951"/>
      <c r="K29" s="951"/>
      <c r="L29" s="951"/>
      <c r="M29" s="951"/>
      <c r="N29" s="951"/>
      <c r="O29" s="951"/>
      <c r="P29" s="951"/>
      <c r="Q29" s="951"/>
      <c r="R29" s="951"/>
      <c r="S29" s="951"/>
      <c r="T29" s="951"/>
      <c r="U29" s="951"/>
      <c r="V29" s="951"/>
      <c r="W29" s="951"/>
      <c r="X29" s="558"/>
      <c r="Y29" s="558"/>
      <c r="Z29" s="556"/>
      <c r="AA29" s="636"/>
      <c r="AB29" s="558"/>
      <c r="AC29" s="558"/>
      <c r="AD29" s="556"/>
      <c r="AE29" s="557"/>
      <c r="AF29" s="558"/>
      <c r="AG29" s="558"/>
      <c r="AH29" s="556"/>
      <c r="AI29" s="933">
        <v>741</v>
      </c>
      <c r="AJ29" s="935" t="s">
        <v>1825</v>
      </c>
      <c r="AK29" s="939">
        <v>57750</v>
      </c>
      <c r="AL29" s="368" t="s">
        <v>2936</v>
      </c>
      <c r="AN29" s="933"/>
      <c r="AO29" s="935"/>
      <c r="AP29" s="939"/>
      <c r="AQ29" s="368"/>
      <c r="AR29" s="933"/>
      <c r="AS29" s="935"/>
      <c r="BE29" s="198"/>
      <c r="BF29" s="199"/>
      <c r="BG29" s="202"/>
      <c r="BH29" s="201"/>
      <c r="BJ29" s="202"/>
      <c r="BK29" s="202"/>
      <c r="BL29" s="201"/>
    </row>
    <row r="30" spans="1:78" s="69" customFormat="1">
      <c r="A30" s="951"/>
      <c r="B30" s="951"/>
      <c r="C30" s="951"/>
      <c r="D30" s="951"/>
      <c r="E30" s="951"/>
      <c r="F30" s="951"/>
      <c r="G30" s="951"/>
      <c r="H30" s="951"/>
      <c r="I30" s="951"/>
      <c r="J30" s="951"/>
      <c r="K30" s="951"/>
      <c r="L30" s="951"/>
      <c r="M30" s="951"/>
      <c r="N30" s="951"/>
      <c r="O30" s="951"/>
      <c r="P30" s="951"/>
      <c r="Q30" s="951"/>
      <c r="R30" s="951"/>
      <c r="S30" s="951"/>
      <c r="T30" s="951"/>
      <c r="U30" s="951"/>
      <c r="V30" s="951"/>
      <c r="W30" s="951"/>
      <c r="X30" s="1187">
        <v>9</v>
      </c>
      <c r="Y30" s="1186">
        <v>45538</v>
      </c>
      <c r="Z30" s="556"/>
      <c r="AA30" s="636"/>
      <c r="AB30" s="558"/>
      <c r="AC30" s="558"/>
      <c r="AD30" s="556"/>
      <c r="AE30" s="557"/>
      <c r="AF30" s="558"/>
      <c r="AG30" s="558"/>
      <c r="AH30" s="556"/>
      <c r="AI30" s="934">
        <v>941</v>
      </c>
      <c r="AJ30" s="935">
        <v>45575</v>
      </c>
      <c r="AK30" s="938">
        <v>11585</v>
      </c>
      <c r="AL30" s="368" t="s">
        <v>2937</v>
      </c>
      <c r="AN30" s="933"/>
      <c r="AO30" s="935"/>
      <c r="AP30" s="939"/>
      <c r="AQ30" s="368"/>
      <c r="AR30" s="933"/>
      <c r="AS30" s="935"/>
      <c r="BE30" s="198"/>
      <c r="BF30" s="199"/>
      <c r="BG30" s="202"/>
      <c r="BH30" s="201"/>
      <c r="BJ30" s="202"/>
      <c r="BK30" s="202"/>
      <c r="BL30" s="201"/>
    </row>
    <row r="31" spans="1:78" s="69" customFormat="1">
      <c r="A31" s="951"/>
      <c r="B31" s="951"/>
      <c r="C31" s="951"/>
      <c r="D31" s="951"/>
      <c r="E31" s="951"/>
      <c r="F31" s="951"/>
      <c r="G31" s="951"/>
      <c r="H31" s="951"/>
      <c r="I31" s="951"/>
      <c r="J31" s="951"/>
      <c r="K31" s="951"/>
      <c r="L31" s="951"/>
      <c r="M31" s="951"/>
      <c r="N31" s="951"/>
      <c r="O31" s="951"/>
      <c r="P31" s="951"/>
      <c r="Q31" s="951"/>
      <c r="R31" s="951"/>
      <c r="S31" s="951"/>
      <c r="T31" s="951"/>
      <c r="U31" s="951"/>
      <c r="V31" s="951"/>
      <c r="W31" s="951">
        <v>1</v>
      </c>
      <c r="X31" s="1187">
        <v>10</v>
      </c>
      <c r="Y31" s="1186">
        <v>45539</v>
      </c>
      <c r="Z31" s="556"/>
      <c r="AA31" s="636"/>
      <c r="AB31" s="558"/>
      <c r="AC31" s="558"/>
      <c r="AD31" s="602"/>
      <c r="AE31" s="371"/>
      <c r="AF31" s="371"/>
      <c r="AI31" s="934">
        <v>943</v>
      </c>
      <c r="AJ31" s="935">
        <v>45575</v>
      </c>
      <c r="AK31" s="938">
        <v>26480</v>
      </c>
      <c r="AL31" s="368" t="s">
        <v>2938</v>
      </c>
      <c r="AN31" s="933"/>
      <c r="AO31" s="935"/>
      <c r="AP31" s="939"/>
      <c r="AQ31" s="368"/>
      <c r="AR31" s="933"/>
      <c r="AS31" s="935"/>
      <c r="BE31" s="198"/>
      <c r="BF31" s="199"/>
      <c r="BG31" s="202"/>
      <c r="BH31" s="201"/>
      <c r="BJ31" s="202"/>
      <c r="BK31" s="202"/>
      <c r="BL31" s="201"/>
    </row>
    <row r="32" spans="1:78" s="69" customFormat="1" ht="15.75">
      <c r="A32" s="951"/>
      <c r="B32" s="951"/>
      <c r="C32" s="951"/>
      <c r="D32" s="951"/>
      <c r="E32" s="951"/>
      <c r="F32" s="951"/>
      <c r="G32" s="951"/>
      <c r="H32" s="951"/>
      <c r="I32" s="951"/>
      <c r="J32" s="951"/>
      <c r="K32" s="951"/>
      <c r="L32" s="951"/>
      <c r="M32" s="951"/>
      <c r="N32" s="951"/>
      <c r="O32" s="951"/>
      <c r="P32" s="951"/>
      <c r="Q32" s="951"/>
      <c r="R32" s="951"/>
      <c r="S32" s="951"/>
      <c r="T32" s="951"/>
      <c r="U32" s="951"/>
      <c r="V32" s="951"/>
      <c r="W32" s="951"/>
      <c r="X32" s="1187">
        <v>8.5</v>
      </c>
      <c r="Y32" s="1186">
        <v>45540</v>
      </c>
      <c r="Z32" s="556"/>
      <c r="AA32" s="636"/>
      <c r="AB32" s="558"/>
      <c r="AC32" s="558"/>
      <c r="AD32" s="602"/>
      <c r="AE32" s="371"/>
      <c r="AF32" s="371"/>
      <c r="AI32" s="933">
        <v>944</v>
      </c>
      <c r="AJ32" s="935">
        <v>45641</v>
      </c>
      <c r="AK32" s="939">
        <v>26480</v>
      </c>
      <c r="AL32" s="368" t="s">
        <v>2939</v>
      </c>
      <c r="AN32" s="933"/>
      <c r="AO32" s="935"/>
      <c r="AP32" s="939"/>
      <c r="AQ32" s="368"/>
      <c r="AR32" s="933"/>
      <c r="AS32" s="935"/>
      <c r="BE32" s="198"/>
      <c r="BF32" s="199"/>
      <c r="BG32" s="202"/>
      <c r="BH32" s="201"/>
      <c r="BJ32" s="202"/>
      <c r="BK32" s="202"/>
      <c r="BL32" s="201"/>
      <c r="BO32" s="1761"/>
      <c r="BP32" s="1761"/>
      <c r="BQ32" s="1761"/>
      <c r="BT32" s="1761"/>
      <c r="BU32" s="1761"/>
      <c r="BV32" s="1761"/>
    </row>
    <row r="33" spans="1:74" s="69" customFormat="1" ht="15.75">
      <c r="A33" s="951"/>
      <c r="B33" s="951"/>
      <c r="C33" s="951"/>
      <c r="D33" s="951"/>
      <c r="E33" s="951"/>
      <c r="F33" s="951"/>
      <c r="G33" s="951"/>
      <c r="H33" s="951"/>
      <c r="I33" s="951"/>
      <c r="J33" s="951"/>
      <c r="K33" s="951"/>
      <c r="L33" s="951"/>
      <c r="M33" s="951"/>
      <c r="N33" s="951"/>
      <c r="O33" s="951"/>
      <c r="P33" s="951"/>
      <c r="Q33" s="951"/>
      <c r="R33" s="951"/>
      <c r="S33" s="951"/>
      <c r="T33" s="951"/>
      <c r="U33" s="951"/>
      <c r="V33" s="951"/>
      <c r="W33" s="951"/>
      <c r="X33" s="951"/>
      <c r="Y33" s="1189">
        <v>45541</v>
      </c>
      <c r="Z33" s="556"/>
      <c r="AA33" s="636"/>
      <c r="AB33" s="558"/>
      <c r="AC33" s="558"/>
      <c r="AD33" s="602"/>
      <c r="AI33" s="933">
        <v>945</v>
      </c>
      <c r="AJ33" s="935">
        <v>45703</v>
      </c>
      <c r="AK33" s="939">
        <v>26480</v>
      </c>
      <c r="AL33" s="368" t="s">
        <v>2940</v>
      </c>
      <c r="AN33" s="933"/>
      <c r="AO33" s="935"/>
      <c r="AP33" s="939"/>
      <c r="AQ33" s="368"/>
      <c r="AR33" s="933"/>
      <c r="AS33" s="935"/>
      <c r="BE33" s="198"/>
      <c r="BF33" s="199"/>
      <c r="BG33" s="202"/>
      <c r="BH33" s="201"/>
      <c r="BJ33" s="202"/>
      <c r="BK33" s="202"/>
      <c r="BL33" s="201"/>
      <c r="BO33" s="1762"/>
      <c r="BP33" s="1762"/>
      <c r="BQ33" s="1762"/>
      <c r="BT33" s="1762"/>
      <c r="BU33" s="1762"/>
      <c r="BV33" s="1762"/>
    </row>
    <row r="34" spans="1:74" s="69" customFormat="1" ht="15.75">
      <c r="A34" s="951"/>
      <c r="B34" s="951"/>
      <c r="C34" s="951"/>
      <c r="D34" s="951"/>
      <c r="E34" s="951"/>
      <c r="F34" s="951"/>
      <c r="G34" s="951"/>
      <c r="H34" s="951"/>
      <c r="I34" s="951"/>
      <c r="J34" s="951"/>
      <c r="K34" s="951"/>
      <c r="L34" s="951"/>
      <c r="M34" s="951"/>
      <c r="N34" s="951"/>
      <c r="O34" s="951"/>
      <c r="P34" s="951"/>
      <c r="Q34" s="951"/>
      <c r="R34" s="951"/>
      <c r="S34" s="951"/>
      <c r="T34" s="951"/>
      <c r="U34" s="951"/>
      <c r="V34" s="951"/>
      <c r="W34" s="951"/>
      <c r="X34" s="1187">
        <v>9.1</v>
      </c>
      <c r="Y34" s="1186">
        <v>45542</v>
      </c>
      <c r="Z34" s="556"/>
      <c r="AA34" s="636"/>
      <c r="AB34" s="558"/>
      <c r="AC34" s="558"/>
      <c r="AD34" s="602"/>
      <c r="AI34" s="933">
        <v>946</v>
      </c>
      <c r="AJ34" s="935">
        <v>45762</v>
      </c>
      <c r="AK34" s="939">
        <v>26480</v>
      </c>
      <c r="AL34" s="368" t="s">
        <v>2941</v>
      </c>
      <c r="AN34" s="933"/>
      <c r="AO34" s="935"/>
      <c r="AP34" s="939"/>
      <c r="AQ34" s="368"/>
      <c r="AR34" s="933"/>
      <c r="AS34" s="935"/>
      <c r="BE34" s="198"/>
      <c r="BF34" s="199"/>
      <c r="BG34" s="202"/>
      <c r="BH34" s="201"/>
      <c r="BJ34" s="202"/>
      <c r="BK34" s="202"/>
      <c r="BL34" s="201"/>
      <c r="BO34" s="1762"/>
      <c r="BP34" s="1762"/>
      <c r="BQ34" s="1762"/>
      <c r="BT34" s="1762"/>
      <c r="BU34" s="1762"/>
      <c r="BV34" s="1762"/>
    </row>
    <row r="35" spans="1:74" s="69" customFormat="1" ht="18">
      <c r="A35" s="951"/>
      <c r="B35" s="951"/>
      <c r="C35" s="951"/>
      <c r="D35" s="951"/>
      <c r="E35" s="951"/>
      <c r="F35" s="951"/>
      <c r="G35" s="951"/>
      <c r="H35" s="951"/>
      <c r="I35" s="951"/>
      <c r="J35" s="951"/>
      <c r="K35" s="951"/>
      <c r="L35" s="951"/>
      <c r="M35" s="951"/>
      <c r="N35" s="951"/>
      <c r="O35" s="951"/>
      <c r="P35" s="951"/>
      <c r="Q35" s="951"/>
      <c r="R35" s="951"/>
      <c r="S35" s="951"/>
      <c r="T35" s="951"/>
      <c r="U35" s="951"/>
      <c r="V35" s="951"/>
      <c r="W35" s="951">
        <v>0.5</v>
      </c>
      <c r="X35" s="1187">
        <v>9.4499999999999993</v>
      </c>
      <c r="Y35" s="1186">
        <v>45543</v>
      </c>
      <c r="Z35" s="556"/>
      <c r="AA35" s="636"/>
      <c r="AB35" s="558"/>
      <c r="AC35" s="558"/>
      <c r="AD35" s="602"/>
      <c r="AI35" s="933">
        <v>935</v>
      </c>
      <c r="AJ35" s="935">
        <v>45621</v>
      </c>
      <c r="AK35" s="939">
        <v>41448</v>
      </c>
      <c r="AL35" s="368" t="s">
        <v>2942</v>
      </c>
      <c r="AN35" s="933"/>
      <c r="AO35" s="935"/>
      <c r="AP35" s="939"/>
      <c r="AQ35" s="368"/>
      <c r="AR35" s="933"/>
      <c r="AS35" s="935"/>
      <c r="BE35" s="203"/>
      <c r="BO35" s="1762"/>
      <c r="BP35" s="1762"/>
      <c r="BQ35" s="1762"/>
      <c r="BT35" s="1762"/>
      <c r="BU35" s="1762"/>
      <c r="BV35" s="1762"/>
    </row>
    <row r="36" spans="1:74" s="69" customFormat="1" ht="15.75">
      <c r="A36" s="951"/>
      <c r="B36" s="951"/>
      <c r="C36" s="951"/>
      <c r="D36" s="951"/>
      <c r="E36" s="951"/>
      <c r="F36" s="951"/>
      <c r="G36" s="951"/>
      <c r="H36" s="951"/>
      <c r="I36" s="951"/>
      <c r="J36" s="951"/>
      <c r="K36" s="951"/>
      <c r="L36" s="951"/>
      <c r="M36" s="951"/>
      <c r="N36" s="951"/>
      <c r="O36" s="951"/>
      <c r="P36" s="951"/>
      <c r="Q36" s="951"/>
      <c r="R36" s="951"/>
      <c r="S36" s="951"/>
      <c r="T36" s="951"/>
      <c r="U36" s="951"/>
      <c r="V36" s="951"/>
      <c r="W36" s="951"/>
      <c r="X36" s="1188">
        <v>7.3</v>
      </c>
      <c r="Y36" s="1186">
        <v>45544</v>
      </c>
      <c r="Z36" s="556"/>
      <c r="AA36" s="636"/>
      <c r="AB36" s="558"/>
      <c r="AC36" s="558"/>
      <c r="AD36" s="602"/>
      <c r="AI36" s="933">
        <v>936</v>
      </c>
      <c r="AJ36" s="935">
        <v>45621</v>
      </c>
      <c r="AK36" s="939">
        <v>20244</v>
      </c>
      <c r="AL36" s="368" t="s">
        <v>2943</v>
      </c>
      <c r="AN36" s="933"/>
      <c r="AO36" s="935"/>
      <c r="AP36" s="939"/>
      <c r="AQ36" s="368"/>
      <c r="AR36" s="933"/>
      <c r="AS36" s="935"/>
      <c r="BO36" s="1762"/>
      <c r="BP36" s="1762"/>
      <c r="BQ36" s="1762"/>
      <c r="BT36" s="1762"/>
      <c r="BU36" s="1762"/>
      <c r="BV36" s="1762"/>
    </row>
    <row r="37" spans="1:74" s="69" customFormat="1" ht="15.75">
      <c r="A37" s="951"/>
      <c r="B37" s="951"/>
      <c r="C37" s="951"/>
      <c r="D37" s="951"/>
      <c r="E37" s="951"/>
      <c r="F37" s="951"/>
      <c r="G37" s="951"/>
      <c r="H37" s="951"/>
      <c r="I37" s="951"/>
      <c r="J37" s="951"/>
      <c r="K37" s="951"/>
      <c r="L37" s="951"/>
      <c r="M37" s="951"/>
      <c r="N37" s="951"/>
      <c r="O37" s="951"/>
      <c r="P37" s="951"/>
      <c r="Q37" s="951"/>
      <c r="R37" s="951"/>
      <c r="S37" s="951"/>
      <c r="T37" s="951"/>
      <c r="U37" s="951"/>
      <c r="V37" s="951"/>
      <c r="W37" s="951"/>
      <c r="X37" s="1188">
        <v>8.4</v>
      </c>
      <c r="Y37" s="1186">
        <v>45545</v>
      </c>
      <c r="Z37" s="604"/>
      <c r="AA37" s="932"/>
      <c r="AB37" s="605"/>
      <c r="AC37" s="558"/>
      <c r="AD37" s="602"/>
      <c r="AI37" s="934">
        <v>942</v>
      </c>
      <c r="AJ37" s="935">
        <v>45560</v>
      </c>
      <c r="AK37" s="938">
        <v>60369</v>
      </c>
      <c r="AL37" s="368" t="s">
        <v>2944</v>
      </c>
      <c r="AN37" s="933"/>
      <c r="AO37" s="935"/>
      <c r="AP37" s="939"/>
      <c r="AQ37" s="368"/>
      <c r="AR37" s="933"/>
      <c r="AS37" s="935"/>
      <c r="BO37" s="1762"/>
      <c r="BP37" s="1762"/>
      <c r="BQ37" s="1762"/>
      <c r="BT37" s="1762"/>
      <c r="BU37" s="1762"/>
      <c r="BV37" s="1762"/>
    </row>
    <row r="38" spans="1:74" s="69" customFormat="1" ht="15.75">
      <c r="A38" s="951"/>
      <c r="B38" s="951"/>
      <c r="C38" s="951"/>
      <c r="D38" s="951"/>
      <c r="E38" s="951"/>
      <c r="F38" s="951"/>
      <c r="G38" s="951"/>
      <c r="H38" s="951"/>
      <c r="I38" s="951"/>
      <c r="J38" s="951"/>
      <c r="K38" s="951"/>
      <c r="L38" s="951"/>
      <c r="M38" s="951"/>
      <c r="N38" s="951"/>
      <c r="O38" s="951"/>
      <c r="P38" s="951"/>
      <c r="Q38" s="951"/>
      <c r="R38" s="951"/>
      <c r="S38" s="951"/>
      <c r="T38" s="951"/>
      <c r="U38" s="951"/>
      <c r="V38" s="951"/>
      <c r="W38" s="951"/>
      <c r="X38" s="1188">
        <v>8.3000000000000007</v>
      </c>
      <c r="Y38" s="1186">
        <v>45546</v>
      </c>
      <c r="Z38" s="556"/>
      <c r="AA38" s="636"/>
      <c r="AB38" s="558"/>
      <c r="AC38" s="558"/>
      <c r="AD38" s="602"/>
      <c r="AI38" s="934">
        <v>932</v>
      </c>
      <c r="AJ38" s="935">
        <v>45585</v>
      </c>
      <c r="AK38" s="939">
        <v>15293</v>
      </c>
      <c r="AL38" s="368" t="s">
        <v>2946</v>
      </c>
      <c r="AN38" s="933"/>
      <c r="AO38" s="935"/>
      <c r="AP38" s="939"/>
      <c r="AQ38" s="368"/>
      <c r="AR38" s="933"/>
      <c r="AS38" s="935"/>
      <c r="BO38" s="1762"/>
      <c r="BP38" s="1762"/>
      <c r="BQ38" s="1762"/>
      <c r="BT38" s="1762"/>
      <c r="BU38" s="1762"/>
      <c r="BV38" s="1762"/>
    </row>
    <row r="39" spans="1:74" s="69" customFormat="1" ht="15.75">
      <c r="A39" s="951"/>
      <c r="B39" s="951"/>
      <c r="C39" s="951"/>
      <c r="D39" s="951"/>
      <c r="E39" s="951"/>
      <c r="F39" s="951"/>
      <c r="G39" s="951"/>
      <c r="H39" s="951"/>
      <c r="I39" s="951"/>
      <c r="J39" s="951"/>
      <c r="K39" s="951"/>
      <c r="L39" s="951"/>
      <c r="M39" s="951"/>
      <c r="N39" s="951"/>
      <c r="O39" s="951"/>
      <c r="P39" s="951"/>
      <c r="Q39" s="951"/>
      <c r="R39" s="951"/>
      <c r="S39" s="951"/>
      <c r="T39" s="951"/>
      <c r="U39" s="951"/>
      <c r="V39" s="951"/>
      <c r="W39" s="951"/>
      <c r="X39" s="1188">
        <v>8.3000000000000007</v>
      </c>
      <c r="Y39" s="1186">
        <v>45547</v>
      </c>
      <c r="Z39" s="604"/>
      <c r="AA39" s="932"/>
      <c r="AB39" s="605"/>
      <c r="AC39" s="558"/>
      <c r="AD39" s="602"/>
      <c r="AI39" s="934">
        <v>896</v>
      </c>
      <c r="AJ39" s="935">
        <v>45524</v>
      </c>
      <c r="AK39" s="938">
        <v>8165</v>
      </c>
      <c r="AL39" s="368" t="s">
        <v>2947</v>
      </c>
      <c r="AN39" s="933"/>
      <c r="AO39" s="935"/>
      <c r="AP39" s="939"/>
      <c r="AQ39" s="368"/>
      <c r="AR39" s="933"/>
      <c r="AS39" s="935"/>
      <c r="BO39" s="1762"/>
      <c r="BP39" s="1762"/>
      <c r="BQ39" s="1762"/>
      <c r="BT39" s="1762"/>
      <c r="BU39" s="1762"/>
      <c r="BV39" s="1762"/>
    </row>
    <row r="40" spans="1:74" s="69" customFormat="1" ht="15.75">
      <c r="A40" s="951"/>
      <c r="B40" s="951"/>
      <c r="C40" s="951"/>
      <c r="D40" s="951"/>
      <c r="E40" s="951"/>
      <c r="F40" s="951"/>
      <c r="G40" s="951"/>
      <c r="H40" s="951"/>
      <c r="I40" s="951"/>
      <c r="J40" s="951"/>
      <c r="K40" s="951"/>
      <c r="L40" s="951"/>
      <c r="M40" s="951"/>
      <c r="N40" s="951"/>
      <c r="O40" s="951"/>
      <c r="P40" s="951"/>
      <c r="Q40" s="951"/>
      <c r="R40" s="951"/>
      <c r="S40" s="951"/>
      <c r="T40" s="951"/>
      <c r="U40" s="951"/>
      <c r="V40" s="951"/>
      <c r="W40" s="951"/>
      <c r="X40" s="1188"/>
      <c r="Y40" s="1189">
        <v>45548</v>
      </c>
      <c r="Z40" s="556"/>
      <c r="AA40" s="636"/>
      <c r="AB40" s="558"/>
      <c r="AC40" s="558"/>
      <c r="AD40" s="602"/>
      <c r="AI40" s="934">
        <v>886</v>
      </c>
      <c r="AJ40" s="935">
        <v>45585</v>
      </c>
      <c r="AK40" s="939">
        <v>8167</v>
      </c>
      <c r="AL40" s="368" t="s">
        <v>2947</v>
      </c>
      <c r="AN40" s="933"/>
      <c r="AO40" s="935"/>
      <c r="AP40" s="939"/>
      <c r="AQ40" s="368"/>
      <c r="AR40" s="933"/>
      <c r="AS40" s="935"/>
      <c r="BO40" s="1762"/>
      <c r="BP40" s="1762"/>
      <c r="BQ40" s="1762"/>
      <c r="BT40" s="1762"/>
      <c r="BU40" s="1762"/>
      <c r="BV40" s="1762"/>
    </row>
    <row r="41" spans="1:74" s="69" customFormat="1" ht="15.75">
      <c r="A41" s="951"/>
      <c r="B41" s="951"/>
      <c r="C41" s="951"/>
      <c r="D41" s="951"/>
      <c r="E41" s="951"/>
      <c r="F41" s="951"/>
      <c r="G41" s="951"/>
      <c r="H41" s="951"/>
      <c r="I41" s="951"/>
      <c r="J41" s="951"/>
      <c r="K41" s="951"/>
      <c r="L41" s="951"/>
      <c r="M41" s="951"/>
      <c r="N41" s="951"/>
      <c r="O41" s="951"/>
      <c r="P41" s="951"/>
      <c r="Q41" s="951"/>
      <c r="R41" s="951"/>
      <c r="S41" s="951"/>
      <c r="T41" s="951"/>
      <c r="U41" s="951"/>
      <c r="V41" s="951"/>
      <c r="W41" s="951"/>
      <c r="X41" s="1188">
        <v>9.1999999999999993</v>
      </c>
      <c r="Y41" s="1186">
        <v>45549</v>
      </c>
      <c r="Z41" s="556"/>
      <c r="AA41" s="636"/>
      <c r="AB41" s="558"/>
      <c r="AC41" s="558"/>
      <c r="AD41" s="602"/>
      <c r="AI41" s="933">
        <v>885</v>
      </c>
      <c r="AJ41" s="935">
        <v>45646</v>
      </c>
      <c r="AK41" s="939">
        <v>8167</v>
      </c>
      <c r="AL41" s="368" t="s">
        <v>2947</v>
      </c>
      <c r="AN41" s="933"/>
      <c r="AO41" s="935"/>
      <c r="AP41" s="939"/>
      <c r="AQ41" s="368"/>
      <c r="AR41" s="933"/>
      <c r="AS41" s="935"/>
      <c r="BO41" s="1762"/>
      <c r="BP41" s="1762"/>
      <c r="BQ41" s="1762"/>
      <c r="BT41" s="1762"/>
      <c r="BU41" s="1762"/>
      <c r="BV41" s="1762"/>
    </row>
    <row r="42" spans="1:74" s="69" customFormat="1">
      <c r="A42" s="951"/>
      <c r="B42" s="951"/>
      <c r="C42" s="951"/>
      <c r="D42" s="951"/>
      <c r="E42" s="951"/>
      <c r="F42" s="951"/>
      <c r="G42" s="951"/>
      <c r="H42" s="951"/>
      <c r="I42" s="951"/>
      <c r="J42" s="951"/>
      <c r="K42" s="951"/>
      <c r="L42" s="951"/>
      <c r="M42" s="951"/>
      <c r="N42" s="951"/>
      <c r="O42" s="951"/>
      <c r="P42" s="951"/>
      <c r="Q42" s="951"/>
      <c r="R42" s="951"/>
      <c r="S42" s="951"/>
      <c r="T42" s="951"/>
      <c r="U42" s="951"/>
      <c r="V42" s="951"/>
      <c r="W42" s="951"/>
      <c r="X42" s="1188">
        <v>9</v>
      </c>
      <c r="Y42" s="1186">
        <v>45550</v>
      </c>
      <c r="Z42" s="556"/>
      <c r="AA42" s="636"/>
      <c r="AB42" s="558"/>
      <c r="AC42" s="558"/>
      <c r="AD42" s="602"/>
      <c r="AI42" s="933">
        <v>890</v>
      </c>
      <c r="AJ42" s="935">
        <v>45828</v>
      </c>
      <c r="AK42" s="939">
        <v>8167</v>
      </c>
      <c r="AL42" s="368" t="s">
        <v>2947</v>
      </c>
      <c r="AN42" s="933"/>
      <c r="AO42" s="935"/>
      <c r="AP42" s="939"/>
      <c r="AQ42" s="368"/>
      <c r="AR42" s="933"/>
      <c r="AS42" s="935"/>
    </row>
    <row r="43" spans="1:74" s="69" customFormat="1">
      <c r="W43" s="368"/>
      <c r="X43" s="1187">
        <v>8.4</v>
      </c>
      <c r="Y43" s="1186">
        <v>45551</v>
      </c>
      <c r="Z43" s="556"/>
      <c r="AA43" s="636"/>
      <c r="AB43" s="558"/>
      <c r="AC43" s="558"/>
      <c r="AD43" s="602"/>
      <c r="AI43" s="933">
        <v>891</v>
      </c>
      <c r="AJ43" s="935">
        <v>45767</v>
      </c>
      <c r="AK43" s="939">
        <v>8167</v>
      </c>
      <c r="AL43" s="368" t="s">
        <v>2947</v>
      </c>
      <c r="AN43" s="933"/>
      <c r="AO43" s="935"/>
      <c r="AP43" s="939"/>
      <c r="AQ43" s="368"/>
      <c r="AR43" s="933"/>
      <c r="AS43" s="935"/>
    </row>
    <row r="44" spans="1:74" s="69" customFormat="1">
      <c r="T44" s="367"/>
      <c r="U44" s="367"/>
      <c r="X44" s="1187">
        <v>8.3000000000000007</v>
      </c>
      <c r="Y44" s="1186">
        <v>45552</v>
      </c>
      <c r="Z44" s="556"/>
      <c r="AA44" s="636"/>
      <c r="AB44" s="558"/>
      <c r="AC44" s="558"/>
      <c r="AD44" s="602"/>
      <c r="AI44" s="933">
        <v>884</v>
      </c>
      <c r="AJ44" s="935">
        <v>45708</v>
      </c>
      <c r="AK44" s="939">
        <v>8167</v>
      </c>
      <c r="AL44" s="368" t="s">
        <v>2947</v>
      </c>
      <c r="AN44" s="933"/>
      <c r="AO44" s="935"/>
      <c r="AP44" s="939"/>
      <c r="AQ44" s="368"/>
      <c r="AR44" s="933"/>
      <c r="AS44" s="935"/>
    </row>
    <row r="45" spans="1:74" s="69" customFormat="1">
      <c r="X45" s="1187">
        <v>9.1999999999999993</v>
      </c>
      <c r="Y45" s="1186">
        <v>45553</v>
      </c>
      <c r="Z45" s="556"/>
      <c r="AA45" s="636"/>
      <c r="AB45" s="558"/>
      <c r="AC45" s="558"/>
      <c r="AD45" s="602"/>
      <c r="AI45" s="934">
        <v>889</v>
      </c>
      <c r="AJ45" s="935">
        <v>45585</v>
      </c>
      <c r="AK45" s="939">
        <v>1575</v>
      </c>
      <c r="AL45" s="368" t="s">
        <v>2947</v>
      </c>
      <c r="AN45" s="933"/>
      <c r="AO45" s="935"/>
      <c r="AP45" s="939"/>
      <c r="AQ45" s="368"/>
      <c r="AR45" s="933"/>
      <c r="AS45" s="935"/>
    </row>
    <row r="46" spans="1:74" s="69" customFormat="1">
      <c r="T46" s="367"/>
      <c r="U46" s="367"/>
      <c r="X46" s="1187">
        <v>9.1999999999999993</v>
      </c>
      <c r="Y46" s="1186">
        <v>45554</v>
      </c>
      <c r="Z46" s="604"/>
      <c r="AA46" s="932"/>
      <c r="AB46" s="605"/>
      <c r="AC46" s="558"/>
      <c r="AD46" s="602"/>
      <c r="AI46" s="934">
        <v>894</v>
      </c>
      <c r="AJ46" s="935">
        <v>45555</v>
      </c>
      <c r="AK46" s="938">
        <v>1575</v>
      </c>
      <c r="AL46" s="368" t="s">
        <v>2947</v>
      </c>
      <c r="AN46" s="933"/>
      <c r="AO46" s="935"/>
      <c r="AP46" s="939"/>
      <c r="AQ46" s="368"/>
      <c r="AR46" s="933"/>
      <c r="AS46" s="935"/>
    </row>
    <row r="47" spans="1:74" s="69" customFormat="1">
      <c r="X47" s="1187"/>
      <c r="Y47" s="1189">
        <v>45555</v>
      </c>
      <c r="Z47" s="556"/>
      <c r="AA47" s="636"/>
      <c r="AB47" s="558"/>
      <c r="AC47" s="558"/>
      <c r="AD47" s="602"/>
      <c r="AI47" s="933">
        <v>743</v>
      </c>
      <c r="AJ47" s="935" t="s">
        <v>1847</v>
      </c>
      <c r="AK47" s="939">
        <v>11500</v>
      </c>
      <c r="AL47" s="368" t="s">
        <v>2948</v>
      </c>
      <c r="AN47" s="933"/>
      <c r="AO47" s="935"/>
      <c r="AP47" s="939"/>
      <c r="AQ47" s="368"/>
      <c r="AR47" s="933"/>
      <c r="AS47" s="935"/>
    </row>
    <row r="48" spans="1:74" s="69" customFormat="1">
      <c r="X48" s="1187">
        <v>9.1999999999999993</v>
      </c>
      <c r="Y48" s="1186">
        <v>45556</v>
      </c>
      <c r="Z48" s="556"/>
      <c r="AA48" s="636"/>
      <c r="AB48" s="558"/>
      <c r="AC48" s="558"/>
      <c r="AD48" s="602"/>
      <c r="AI48" s="933">
        <v>949</v>
      </c>
      <c r="AJ48" s="935">
        <v>45621</v>
      </c>
      <c r="AK48" s="939">
        <v>26418</v>
      </c>
      <c r="AL48" s="368" t="s">
        <v>2949</v>
      </c>
      <c r="AN48" s="933"/>
      <c r="AO48" s="935"/>
      <c r="AP48" s="939"/>
      <c r="AQ48" s="368"/>
      <c r="AR48" s="933"/>
      <c r="AS48" s="935"/>
    </row>
    <row r="49" spans="23:45" s="69" customFormat="1">
      <c r="W49" s="69">
        <v>1.2</v>
      </c>
      <c r="X49" s="1188">
        <v>10.199999999999999</v>
      </c>
      <c r="Y49" s="1186">
        <v>45557</v>
      </c>
      <c r="Z49" s="604"/>
      <c r="AA49" s="932"/>
      <c r="AB49" s="605"/>
      <c r="AC49" s="558"/>
      <c r="AI49" s="934">
        <v>948</v>
      </c>
      <c r="AJ49" s="935">
        <v>45565</v>
      </c>
      <c r="AK49" s="938">
        <v>74942</v>
      </c>
      <c r="AL49" s="368" t="s">
        <v>2950</v>
      </c>
      <c r="AN49" s="933"/>
      <c r="AO49" s="935"/>
      <c r="AP49" s="939"/>
      <c r="AQ49" s="368"/>
      <c r="AR49" s="933"/>
      <c r="AS49" s="935"/>
    </row>
    <row r="50" spans="23:45" s="69" customFormat="1">
      <c r="W50" s="69">
        <v>1.5</v>
      </c>
      <c r="X50" s="1188">
        <v>10.3</v>
      </c>
      <c r="Y50" s="1186">
        <v>45558</v>
      </c>
      <c r="Z50" s="604"/>
      <c r="AA50" s="932"/>
      <c r="AB50" s="605"/>
      <c r="AC50" s="558"/>
      <c r="AI50" s="934">
        <v>950</v>
      </c>
      <c r="AJ50" s="935">
        <v>45565</v>
      </c>
      <c r="AK50" s="938">
        <v>15000</v>
      </c>
      <c r="AL50" s="368" t="s">
        <v>2951</v>
      </c>
      <c r="AN50" s="933"/>
      <c r="AO50" s="935"/>
      <c r="AP50" s="939"/>
      <c r="AQ50" s="368"/>
      <c r="AR50" s="933"/>
      <c r="AS50" s="935"/>
    </row>
    <row r="51" spans="23:45" s="69" customFormat="1">
      <c r="X51" s="1188">
        <v>9</v>
      </c>
      <c r="Y51" s="1186">
        <v>45559</v>
      </c>
      <c r="Z51" s="604"/>
      <c r="AA51" s="932"/>
      <c r="AB51" s="605"/>
      <c r="AC51" s="558"/>
      <c r="AI51" s="934">
        <v>937</v>
      </c>
      <c r="AJ51" s="935">
        <v>45537</v>
      </c>
      <c r="AK51" s="938">
        <v>15000</v>
      </c>
      <c r="AL51" s="368" t="s">
        <v>2995</v>
      </c>
      <c r="AN51" s="933"/>
      <c r="AO51" s="935"/>
      <c r="AP51" s="939"/>
      <c r="AQ51" s="368"/>
      <c r="AR51" s="933"/>
      <c r="AS51" s="935"/>
    </row>
    <row r="52" spans="23:45" s="69" customFormat="1">
      <c r="X52" s="1188">
        <v>8</v>
      </c>
      <c r="Y52" s="1186">
        <v>45560</v>
      </c>
      <c r="Z52" s="556"/>
      <c r="AA52" s="636"/>
      <c r="AB52" s="558"/>
      <c r="AC52" s="558"/>
      <c r="AI52" s="933">
        <v>952</v>
      </c>
      <c r="AJ52" s="935">
        <v>45641</v>
      </c>
      <c r="AK52" s="939">
        <v>86446</v>
      </c>
      <c r="AL52" s="368" t="s">
        <v>3046</v>
      </c>
      <c r="AN52" s="933"/>
      <c r="AO52" s="935"/>
      <c r="AP52" s="939"/>
      <c r="AQ52" s="368"/>
      <c r="AR52" s="933"/>
      <c r="AS52" s="935"/>
    </row>
    <row r="53" spans="23:45" s="69" customFormat="1">
      <c r="W53" s="69">
        <v>0.4</v>
      </c>
      <c r="X53" s="1188">
        <v>9.4</v>
      </c>
      <c r="Y53" s="1186">
        <v>45561</v>
      </c>
      <c r="Z53" s="556"/>
      <c r="AA53" s="636"/>
      <c r="AB53" s="558"/>
      <c r="AC53" s="558"/>
      <c r="AI53" s="933"/>
      <c r="AJ53" s="935"/>
      <c r="AK53" s="939"/>
      <c r="AL53" s="368"/>
      <c r="AN53" s="933"/>
      <c r="AO53" s="935"/>
      <c r="AP53" s="939"/>
      <c r="AQ53" s="368"/>
      <c r="AR53" s="933"/>
      <c r="AS53" s="935"/>
    </row>
    <row r="54" spans="23:45" s="69" customFormat="1">
      <c r="X54" s="1188"/>
      <c r="Y54" s="1189">
        <v>45562</v>
      </c>
      <c r="Z54" s="556"/>
      <c r="AA54" s="636"/>
      <c r="AB54" s="558"/>
      <c r="AC54" s="558"/>
      <c r="AI54" s="933"/>
      <c r="AJ54" s="935"/>
      <c r="AK54" s="939"/>
      <c r="AL54" s="368"/>
      <c r="AN54" s="933"/>
      <c r="AO54" s="935"/>
      <c r="AP54" s="939"/>
      <c r="AQ54" s="368"/>
      <c r="AR54" s="933"/>
      <c r="AS54" s="935"/>
    </row>
    <row r="55" spans="23:45" s="69" customFormat="1">
      <c r="X55" s="69">
        <v>8.3000000000000007</v>
      </c>
      <c r="Y55" s="1186">
        <v>45563</v>
      </c>
      <c r="Z55" s="556"/>
      <c r="AA55" s="636"/>
      <c r="AB55" s="558"/>
      <c r="AC55" s="558"/>
      <c r="AI55" s="933"/>
      <c r="AJ55" s="935"/>
      <c r="AK55" s="939"/>
      <c r="AL55" s="368"/>
      <c r="AN55" s="933"/>
      <c r="AO55" s="935"/>
      <c r="AP55" s="939"/>
      <c r="AQ55" s="368"/>
      <c r="AR55" s="933"/>
      <c r="AS55" s="935"/>
    </row>
    <row r="56" spans="23:45" s="69" customFormat="1">
      <c r="X56" s="69">
        <v>9</v>
      </c>
      <c r="Y56" s="1186">
        <v>45564</v>
      </c>
      <c r="Z56" s="556"/>
      <c r="AA56" s="636"/>
      <c r="AB56" s="558"/>
      <c r="AC56" s="558"/>
      <c r="AI56" s="933"/>
      <c r="AJ56" s="935"/>
      <c r="AK56" s="939"/>
      <c r="AL56" s="368"/>
      <c r="AN56" s="933"/>
      <c r="AO56" s="935"/>
      <c r="AP56" s="939"/>
      <c r="AQ56" s="368"/>
      <c r="AR56" s="933"/>
      <c r="AS56" s="935"/>
    </row>
    <row r="57" spans="23:45" s="69" customFormat="1">
      <c r="X57" s="69">
        <v>9.1</v>
      </c>
      <c r="Y57" s="1186">
        <v>45565</v>
      </c>
      <c r="Z57" s="556"/>
      <c r="AA57" s="636"/>
      <c r="AB57" s="558"/>
      <c r="AC57" s="558"/>
      <c r="AI57" s="933"/>
      <c r="AJ57" s="935"/>
      <c r="AK57" s="939"/>
      <c r="AL57" s="368"/>
      <c r="AN57" s="933"/>
      <c r="AO57" s="935"/>
      <c r="AP57" s="939"/>
      <c r="AQ57" s="368"/>
      <c r="AR57" s="933"/>
      <c r="AS57" s="935"/>
    </row>
    <row r="58" spans="23:45" s="69" customFormat="1">
      <c r="X58" s="69">
        <v>8</v>
      </c>
      <c r="Y58" s="1186">
        <v>45566</v>
      </c>
      <c r="Z58" s="556"/>
      <c r="AA58" s="636"/>
      <c r="AB58" s="558"/>
      <c r="AC58" s="558"/>
      <c r="AI58" s="933"/>
      <c r="AJ58" s="935"/>
      <c r="AK58" s="939"/>
      <c r="AL58" s="368"/>
      <c r="AN58" s="933"/>
      <c r="AO58" s="935"/>
      <c r="AP58" s="939"/>
      <c r="AQ58" s="368"/>
      <c r="AR58" s="933"/>
      <c r="AS58" s="935"/>
    </row>
    <row r="59" spans="23:45" s="69" customFormat="1">
      <c r="X59" s="69">
        <v>9.1999999999999993</v>
      </c>
      <c r="Y59" s="1186">
        <v>45567</v>
      </c>
      <c r="Z59" s="556"/>
      <c r="AA59" s="636"/>
      <c r="AB59" s="558"/>
      <c r="AC59" s="558"/>
      <c r="AI59" s="933"/>
      <c r="AJ59" s="935"/>
      <c r="AK59" s="939"/>
      <c r="AL59" s="368"/>
      <c r="AN59" s="933"/>
      <c r="AO59" s="935"/>
      <c r="AP59" s="939"/>
      <c r="AQ59" s="368"/>
      <c r="AR59" s="933"/>
      <c r="AS59" s="935"/>
    </row>
    <row r="60" spans="23:45" s="69" customFormat="1">
      <c r="X60" s="69">
        <v>8.5</v>
      </c>
      <c r="Y60" s="1186">
        <v>45568</v>
      </c>
      <c r="Z60" s="556"/>
      <c r="AA60" s="636"/>
      <c r="AB60" s="558"/>
      <c r="AC60" s="558"/>
      <c r="AI60" s="933"/>
      <c r="AJ60" s="935"/>
      <c r="AK60" s="939"/>
      <c r="AL60" s="368"/>
      <c r="AN60" s="933"/>
      <c r="AO60" s="935"/>
      <c r="AP60" s="939"/>
      <c r="AQ60" s="368"/>
      <c r="AR60" s="933"/>
      <c r="AS60" s="935"/>
    </row>
    <row r="61" spans="23:45" s="69" customFormat="1">
      <c r="Y61" s="1189">
        <v>45569</v>
      </c>
      <c r="Z61" s="556"/>
      <c r="AA61" s="636"/>
      <c r="AB61" s="558"/>
      <c r="AC61" s="558"/>
      <c r="AI61" s="933"/>
      <c r="AJ61" s="935"/>
      <c r="AK61" s="939"/>
      <c r="AL61" s="368"/>
      <c r="AN61" s="933"/>
      <c r="AO61" s="935"/>
      <c r="AP61" s="939"/>
      <c r="AQ61" s="368"/>
      <c r="AR61" s="933"/>
      <c r="AS61" s="935"/>
    </row>
    <row r="62" spans="23:45" s="69" customFormat="1">
      <c r="X62" s="69">
        <v>9</v>
      </c>
      <c r="Y62" s="1186">
        <v>45570</v>
      </c>
      <c r="Z62" s="556"/>
      <c r="AA62" s="636"/>
      <c r="AB62" s="558"/>
      <c r="AC62" s="558"/>
      <c r="AI62" s="933"/>
      <c r="AJ62" s="935"/>
      <c r="AK62" s="939"/>
      <c r="AL62" s="368"/>
      <c r="AN62" s="933"/>
      <c r="AO62" s="935"/>
      <c r="AP62" s="939"/>
      <c r="AQ62" s="368"/>
      <c r="AR62" s="933"/>
      <c r="AS62" s="935"/>
    </row>
    <row r="63" spans="23:45" s="69" customFormat="1">
      <c r="X63" s="69">
        <v>9</v>
      </c>
      <c r="Y63" s="1186">
        <v>45571</v>
      </c>
      <c r="Z63" s="556"/>
      <c r="AA63" s="636"/>
      <c r="AB63" s="558"/>
      <c r="AC63" s="558"/>
      <c r="AI63" s="933"/>
      <c r="AJ63" s="935"/>
      <c r="AK63" s="939"/>
      <c r="AL63" s="368"/>
      <c r="AN63" s="933"/>
      <c r="AO63" s="935"/>
      <c r="AP63" s="939"/>
      <c r="AQ63" s="368"/>
      <c r="AR63" s="933"/>
      <c r="AS63" s="935"/>
    </row>
    <row r="64" spans="23:45" s="69" customFormat="1">
      <c r="X64" s="69">
        <v>8.4</v>
      </c>
      <c r="Y64" s="1186">
        <v>45572</v>
      </c>
      <c r="Z64" s="556"/>
      <c r="AA64" s="636"/>
      <c r="AB64" s="558"/>
      <c r="AC64" s="558"/>
      <c r="AI64" s="933"/>
      <c r="AJ64" s="935"/>
      <c r="AK64" s="939"/>
      <c r="AL64" s="368"/>
      <c r="AN64" s="933"/>
      <c r="AO64" s="935"/>
      <c r="AP64" s="939"/>
      <c r="AQ64" s="368"/>
      <c r="AR64" s="933"/>
      <c r="AS64" s="935"/>
    </row>
    <row r="65" spans="23:45" s="69" customFormat="1">
      <c r="X65" s="69">
        <v>8.4</v>
      </c>
      <c r="Y65" s="1186">
        <v>45573</v>
      </c>
      <c r="Z65" s="556"/>
      <c r="AA65" s="636"/>
      <c r="AB65" s="558"/>
      <c r="AC65" s="558"/>
      <c r="AI65" s="933"/>
      <c r="AJ65" s="935"/>
      <c r="AK65" s="939"/>
      <c r="AL65" s="368"/>
      <c r="AN65" s="933"/>
      <c r="AO65" s="935"/>
      <c r="AP65" s="939"/>
      <c r="AQ65" s="368"/>
      <c r="AR65" s="933"/>
      <c r="AS65" s="935"/>
    </row>
    <row r="66" spans="23:45" s="69" customFormat="1">
      <c r="X66" s="69">
        <v>9</v>
      </c>
      <c r="Y66" s="1186">
        <v>45574</v>
      </c>
      <c r="Z66" s="556"/>
      <c r="AA66" s="636"/>
      <c r="AB66" s="558"/>
      <c r="AC66" s="558"/>
      <c r="AI66" s="933"/>
      <c r="AJ66" s="935"/>
      <c r="AK66" s="939"/>
      <c r="AL66" s="368"/>
      <c r="AN66" s="933"/>
      <c r="AO66" s="935"/>
      <c r="AP66" s="939"/>
      <c r="AQ66" s="368"/>
      <c r="AR66" s="933"/>
      <c r="AS66" s="935"/>
    </row>
    <row r="67" spans="23:45" s="69" customFormat="1">
      <c r="X67" s="69">
        <v>9</v>
      </c>
      <c r="Y67" s="1186">
        <v>45575</v>
      </c>
      <c r="Z67" s="556"/>
      <c r="AA67" s="636"/>
      <c r="AB67" s="558"/>
      <c r="AC67" s="558"/>
      <c r="AI67" s="933"/>
      <c r="AJ67" s="935"/>
      <c r="AK67" s="939"/>
      <c r="AL67" s="368"/>
      <c r="AN67" s="933"/>
      <c r="AO67" s="935"/>
      <c r="AP67" s="939"/>
      <c r="AQ67" s="368"/>
      <c r="AR67" s="933"/>
      <c r="AS67" s="935"/>
    </row>
    <row r="68" spans="23:45" s="69" customFormat="1">
      <c r="Y68" s="1189">
        <v>45576</v>
      </c>
      <c r="Z68" s="556"/>
      <c r="AA68" s="636"/>
      <c r="AB68" s="558"/>
      <c r="AC68" s="558"/>
      <c r="AI68" s="933"/>
      <c r="AJ68" s="935"/>
      <c r="AK68" s="939"/>
      <c r="AL68" s="368"/>
      <c r="AN68" s="933"/>
      <c r="AO68" s="935"/>
      <c r="AP68" s="939"/>
      <c r="AQ68" s="368"/>
      <c r="AR68" s="933"/>
      <c r="AS68" s="935"/>
    </row>
    <row r="69" spans="23:45" s="69" customFormat="1">
      <c r="W69" s="69">
        <v>2</v>
      </c>
      <c r="X69" s="69">
        <v>11</v>
      </c>
      <c r="Y69" s="1186">
        <v>45577</v>
      </c>
      <c r="Z69" s="556"/>
      <c r="AA69" s="636"/>
      <c r="AB69" s="558"/>
      <c r="AC69" s="558"/>
      <c r="AI69" s="933"/>
      <c r="AJ69" s="935"/>
      <c r="AK69" s="939"/>
      <c r="AL69" s="368"/>
      <c r="AN69" s="933"/>
      <c r="AO69" s="935"/>
      <c r="AP69" s="939"/>
      <c r="AQ69" s="368"/>
      <c r="AR69" s="933"/>
      <c r="AS69" s="935"/>
    </row>
    <row r="70" spans="23:45" s="69" customFormat="1">
      <c r="X70" s="69">
        <v>9.15</v>
      </c>
      <c r="Y70" s="1186">
        <v>45578</v>
      </c>
      <c r="Z70" s="556"/>
      <c r="AA70" s="636"/>
      <c r="AB70" s="558"/>
      <c r="AC70" s="558"/>
      <c r="AI70" s="933"/>
      <c r="AJ70" s="935"/>
      <c r="AK70" s="939"/>
      <c r="AL70" s="368"/>
      <c r="AN70" s="933"/>
      <c r="AO70" s="935"/>
      <c r="AP70" s="939"/>
      <c r="AQ70" s="368"/>
      <c r="AR70" s="933"/>
      <c r="AS70" s="935"/>
    </row>
    <row r="71" spans="23:45" s="69" customFormat="1">
      <c r="X71" s="69">
        <v>9</v>
      </c>
      <c r="Y71" s="1186">
        <v>45579</v>
      </c>
      <c r="Z71" s="556"/>
      <c r="AA71" s="636"/>
      <c r="AB71" s="558"/>
      <c r="AC71" s="558"/>
      <c r="AI71" s="933"/>
      <c r="AJ71" s="935"/>
      <c r="AK71" s="939"/>
      <c r="AL71" s="368"/>
      <c r="AN71" s="933"/>
      <c r="AO71" s="935"/>
      <c r="AP71" s="939"/>
      <c r="AQ71" s="368"/>
      <c r="AR71" s="933"/>
      <c r="AS71" s="935"/>
    </row>
    <row r="72" spans="23:45" s="69" customFormat="1">
      <c r="X72" s="69">
        <v>9</v>
      </c>
      <c r="Y72" s="1186">
        <v>45580</v>
      </c>
      <c r="Z72" s="556"/>
      <c r="AA72" s="636"/>
      <c r="AB72" s="558"/>
      <c r="AC72" s="558"/>
      <c r="AI72" s="933"/>
      <c r="AJ72" s="935"/>
      <c r="AK72" s="939"/>
      <c r="AL72" s="368"/>
      <c r="AN72" s="933"/>
      <c r="AO72" s="935"/>
      <c r="AP72" s="939"/>
      <c r="AQ72" s="368"/>
      <c r="AR72" s="933"/>
      <c r="AS72" s="935"/>
    </row>
    <row r="73" spans="23:45" s="69" customFormat="1">
      <c r="X73" s="69">
        <v>9</v>
      </c>
      <c r="Y73" s="1186">
        <v>45581</v>
      </c>
      <c r="Z73" s="556"/>
      <c r="AA73" s="636"/>
      <c r="AB73" s="558"/>
      <c r="AC73" s="558"/>
      <c r="AI73" s="933"/>
      <c r="AJ73" s="935"/>
      <c r="AK73" s="939"/>
      <c r="AL73" s="368"/>
      <c r="AN73" s="933"/>
      <c r="AO73" s="935"/>
      <c r="AP73" s="939"/>
      <c r="AQ73" s="368"/>
      <c r="AR73" s="933"/>
      <c r="AS73" s="935"/>
    </row>
    <row r="74" spans="23:45" s="69" customFormat="1">
      <c r="W74" s="69">
        <v>2.2000000000000002</v>
      </c>
      <c r="X74" s="69">
        <v>11.2</v>
      </c>
      <c r="Y74" s="1186">
        <v>45582</v>
      </c>
      <c r="Z74" s="556"/>
      <c r="AA74" s="636"/>
      <c r="AB74" s="558"/>
      <c r="AC74" s="558"/>
      <c r="AI74" s="933"/>
      <c r="AJ74" s="935"/>
      <c r="AK74" s="939"/>
      <c r="AL74" s="368"/>
      <c r="AN74" s="933"/>
      <c r="AO74" s="935"/>
      <c r="AP74" s="939"/>
      <c r="AQ74" s="368"/>
      <c r="AR74" s="933"/>
      <c r="AS74" s="935"/>
    </row>
    <row r="75" spans="23:45" s="69" customFormat="1">
      <c r="Y75" s="1189">
        <v>45583</v>
      </c>
      <c r="Z75" s="556"/>
      <c r="AA75" s="636"/>
      <c r="AB75" s="558"/>
      <c r="AC75" s="558"/>
      <c r="AI75" s="933"/>
      <c r="AJ75" s="935"/>
      <c r="AK75" s="939"/>
      <c r="AL75" s="368"/>
      <c r="AN75" s="933"/>
      <c r="AO75" s="935"/>
      <c r="AP75" s="939"/>
      <c r="AQ75" s="368"/>
      <c r="AR75" s="933"/>
      <c r="AS75" s="935"/>
    </row>
    <row r="76" spans="23:45" s="69" customFormat="1">
      <c r="X76" s="69">
        <v>9.1999999999999993</v>
      </c>
      <c r="Y76" s="1186">
        <v>45584</v>
      </c>
      <c r="Z76" s="556"/>
      <c r="AA76" s="636"/>
      <c r="AB76" s="558"/>
      <c r="AC76" s="558"/>
      <c r="AI76" s="933"/>
      <c r="AJ76" s="935"/>
      <c r="AK76" s="939"/>
      <c r="AL76" s="368"/>
      <c r="AN76" s="933"/>
      <c r="AO76" s="935"/>
      <c r="AP76" s="939"/>
      <c r="AQ76" s="368"/>
      <c r="AR76" s="933"/>
      <c r="AS76" s="935"/>
    </row>
    <row r="77" spans="23:45" s="69" customFormat="1">
      <c r="W77" s="69">
        <v>1</v>
      </c>
      <c r="X77" s="69">
        <v>10</v>
      </c>
      <c r="Y77" s="1186">
        <v>45585</v>
      </c>
      <c r="Z77" s="556"/>
      <c r="AA77" s="636"/>
      <c r="AB77" s="558"/>
      <c r="AC77" s="558"/>
      <c r="AI77" s="933"/>
      <c r="AJ77" s="935"/>
      <c r="AK77" s="939"/>
      <c r="AL77" s="368"/>
      <c r="AN77" s="933"/>
      <c r="AO77" s="935"/>
      <c r="AP77" s="939"/>
      <c r="AQ77" s="368"/>
      <c r="AR77" s="933"/>
      <c r="AS77" s="935"/>
    </row>
    <row r="78" spans="23:45" s="69" customFormat="1">
      <c r="W78" s="69">
        <v>1.2</v>
      </c>
      <c r="X78" s="69">
        <v>10.199999999999999</v>
      </c>
      <c r="Y78" s="1186">
        <v>45586</v>
      </c>
      <c r="Z78" s="556"/>
      <c r="AA78" s="636"/>
      <c r="AB78" s="558"/>
      <c r="AC78" s="558"/>
      <c r="AI78" s="933"/>
      <c r="AJ78" s="935"/>
      <c r="AK78" s="939"/>
      <c r="AL78" s="368"/>
      <c r="AN78" s="933"/>
      <c r="AO78" s="935"/>
      <c r="AP78" s="939"/>
      <c r="AQ78" s="368"/>
      <c r="AR78" s="933"/>
      <c r="AS78" s="935"/>
    </row>
    <row r="79" spans="23:45" s="69" customFormat="1">
      <c r="X79" s="69">
        <v>9.1999999999999993</v>
      </c>
      <c r="Y79" s="1186">
        <v>45587</v>
      </c>
      <c r="Z79" s="556"/>
      <c r="AA79" s="636"/>
      <c r="AB79" s="558"/>
      <c r="AC79" s="558"/>
      <c r="AI79" s="933"/>
      <c r="AJ79" s="935"/>
      <c r="AK79" s="939"/>
      <c r="AL79" s="368"/>
      <c r="AN79" s="933"/>
      <c r="AO79" s="935"/>
      <c r="AP79" s="939"/>
      <c r="AQ79" s="368"/>
      <c r="AR79" s="933"/>
      <c r="AS79" s="935"/>
    </row>
    <row r="80" spans="23:45" s="69" customFormat="1">
      <c r="W80" s="69">
        <v>2</v>
      </c>
      <c r="X80" s="69">
        <v>11</v>
      </c>
      <c r="Y80" s="1186">
        <v>45588</v>
      </c>
      <c r="Z80" s="556"/>
      <c r="AA80" s="636"/>
      <c r="AB80" s="558"/>
      <c r="AC80" s="558"/>
      <c r="AI80" s="933"/>
      <c r="AJ80" s="935"/>
      <c r="AK80" s="939"/>
      <c r="AL80" s="368"/>
      <c r="AN80" s="933"/>
      <c r="AO80" s="935"/>
      <c r="AP80" s="939"/>
      <c r="AQ80" s="368"/>
      <c r="AR80" s="933"/>
      <c r="AS80" s="935"/>
    </row>
    <row r="81" spans="23:45" s="69" customFormat="1">
      <c r="W81" s="69">
        <v>1</v>
      </c>
      <c r="X81" s="69">
        <v>10</v>
      </c>
      <c r="Y81" s="1186">
        <v>45589</v>
      </c>
      <c r="Z81" s="556"/>
      <c r="AA81" s="636"/>
      <c r="AB81" s="558"/>
      <c r="AC81" s="558"/>
      <c r="AI81" s="933"/>
      <c r="AJ81" s="935"/>
      <c r="AK81" s="939"/>
      <c r="AL81" s="368"/>
      <c r="AN81" s="933"/>
      <c r="AO81" s="935"/>
      <c r="AP81" s="939"/>
      <c r="AQ81" s="368"/>
      <c r="AR81" s="933"/>
      <c r="AS81" s="935"/>
    </row>
    <row r="82" spans="23:45" s="69" customFormat="1">
      <c r="Y82" s="1189">
        <v>45590</v>
      </c>
      <c r="Z82" s="556"/>
      <c r="AA82" s="636"/>
      <c r="AB82" s="558"/>
      <c r="AC82" s="558"/>
      <c r="AI82" s="933"/>
      <c r="AJ82" s="935"/>
      <c r="AK82" s="939"/>
      <c r="AL82" s="368"/>
      <c r="AN82" s="933"/>
      <c r="AO82" s="935"/>
      <c r="AP82" s="939"/>
      <c r="AQ82" s="368"/>
      <c r="AR82" s="933"/>
      <c r="AS82" s="935"/>
    </row>
    <row r="83" spans="23:45" s="69" customFormat="1">
      <c r="Y83" s="1186">
        <v>45591</v>
      </c>
      <c r="Z83" s="556"/>
      <c r="AA83" s="636"/>
      <c r="AB83" s="558"/>
      <c r="AC83" s="558"/>
      <c r="AI83" s="933"/>
      <c r="AJ83" s="935"/>
      <c r="AK83" s="939"/>
      <c r="AL83" s="368"/>
      <c r="AN83" s="933"/>
      <c r="AO83" s="935"/>
      <c r="AP83" s="939"/>
      <c r="AQ83" s="368"/>
      <c r="AR83" s="933"/>
      <c r="AS83" s="935"/>
    </row>
    <row r="84" spans="23:45" s="69" customFormat="1">
      <c r="Y84" s="1186">
        <v>45592</v>
      </c>
      <c r="Z84" s="556"/>
      <c r="AA84" s="636"/>
      <c r="AB84" s="558"/>
      <c r="AC84" s="558"/>
      <c r="AI84" s="933"/>
      <c r="AJ84" s="935"/>
      <c r="AK84" s="939"/>
      <c r="AL84" s="368"/>
      <c r="AN84" s="933"/>
      <c r="AO84" s="935"/>
      <c r="AP84" s="939"/>
      <c r="AQ84" s="368"/>
      <c r="AR84" s="933"/>
      <c r="AS84" s="935"/>
    </row>
    <row r="85" spans="23:45" s="69" customFormat="1">
      <c r="Y85" s="1186">
        <v>45593</v>
      </c>
      <c r="Z85" s="556"/>
      <c r="AA85" s="636"/>
      <c r="AB85" s="558"/>
      <c r="AC85" s="558"/>
      <c r="AI85" s="933"/>
      <c r="AJ85" s="935"/>
      <c r="AK85" s="939"/>
      <c r="AL85" s="368"/>
      <c r="AN85" s="933"/>
      <c r="AO85" s="935"/>
      <c r="AP85" s="939"/>
      <c r="AQ85" s="368"/>
      <c r="AR85" s="933"/>
      <c r="AS85" s="935"/>
    </row>
    <row r="86" spans="23:45" s="69" customFormat="1">
      <c r="Y86" s="1186">
        <v>45594</v>
      </c>
      <c r="Z86" s="556"/>
      <c r="AA86" s="636"/>
      <c r="AB86" s="558"/>
      <c r="AC86" s="558"/>
      <c r="AI86" s="933"/>
      <c r="AJ86" s="935"/>
      <c r="AK86" s="939"/>
      <c r="AL86" s="368"/>
      <c r="AN86" s="933"/>
      <c r="AO86" s="935"/>
      <c r="AP86" s="939"/>
      <c r="AQ86" s="368"/>
      <c r="AR86" s="933"/>
      <c r="AS86" s="935"/>
    </row>
    <row r="87" spans="23:45" s="69" customFormat="1">
      <c r="Y87" s="1186">
        <v>45595</v>
      </c>
      <c r="Z87" s="556"/>
      <c r="AA87" s="636"/>
      <c r="AB87" s="558"/>
      <c r="AC87" s="558"/>
      <c r="AI87" s="933"/>
      <c r="AJ87" s="935"/>
      <c r="AK87" s="939"/>
      <c r="AL87" s="368"/>
      <c r="AN87" s="933"/>
      <c r="AO87" s="935"/>
      <c r="AP87" s="939"/>
      <c r="AQ87" s="368"/>
      <c r="AR87" s="933"/>
      <c r="AS87" s="935"/>
    </row>
    <row r="88" spans="23:45" s="69" customFormat="1">
      <c r="Y88" s="1186">
        <v>45596</v>
      </c>
      <c r="Z88" s="556"/>
      <c r="AA88" s="636"/>
      <c r="AB88" s="558"/>
      <c r="AC88" s="558"/>
      <c r="AI88" s="933"/>
      <c r="AJ88" s="935"/>
      <c r="AK88" s="939"/>
      <c r="AL88" s="368"/>
      <c r="AN88" s="933"/>
      <c r="AO88" s="935"/>
      <c r="AP88" s="939"/>
      <c r="AQ88" s="368"/>
      <c r="AR88" s="933"/>
      <c r="AS88" s="935"/>
    </row>
    <row r="89" spans="23:45" s="69" customFormat="1">
      <c r="Y89" s="1186">
        <v>45597</v>
      </c>
      <c r="Z89" s="556"/>
      <c r="AA89" s="636"/>
      <c r="AB89" s="558"/>
      <c r="AC89" s="558"/>
      <c r="AI89" s="933"/>
      <c r="AJ89" s="935"/>
      <c r="AK89" s="939"/>
      <c r="AL89" s="368"/>
      <c r="AN89" s="933"/>
      <c r="AO89" s="935"/>
      <c r="AP89" s="939"/>
      <c r="AQ89" s="368"/>
      <c r="AR89" s="933"/>
      <c r="AS89" s="935"/>
    </row>
    <row r="90" spans="23:45" s="69" customFormat="1">
      <c r="Z90" s="556"/>
      <c r="AA90" s="636"/>
      <c r="AB90" s="558"/>
      <c r="AC90" s="558"/>
      <c r="AI90" s="933"/>
      <c r="AJ90" s="935"/>
      <c r="AK90" s="939"/>
      <c r="AL90" s="368"/>
      <c r="AN90" s="933"/>
      <c r="AO90" s="935"/>
      <c r="AP90" s="939"/>
      <c r="AQ90" s="368"/>
      <c r="AR90" s="933"/>
      <c r="AS90" s="935"/>
    </row>
    <row r="91" spans="23:45" s="69" customFormat="1">
      <c r="Z91" s="556"/>
      <c r="AA91" s="636"/>
      <c r="AB91" s="558"/>
      <c r="AC91" s="558"/>
      <c r="AI91" s="933"/>
      <c r="AJ91" s="935"/>
      <c r="AK91" s="939"/>
      <c r="AL91" s="368"/>
      <c r="AN91" s="933"/>
      <c r="AO91" s="935"/>
      <c r="AP91" s="939"/>
      <c r="AQ91" s="368"/>
      <c r="AR91" s="933"/>
      <c r="AS91" s="935"/>
    </row>
    <row r="92" spans="23:45" s="69" customFormat="1">
      <c r="Z92" s="556"/>
      <c r="AA92" s="636"/>
      <c r="AB92" s="558"/>
      <c r="AC92" s="558"/>
      <c r="AI92" s="933"/>
      <c r="AJ92" s="935"/>
      <c r="AK92" s="939"/>
      <c r="AL92" s="368"/>
      <c r="AN92" s="933"/>
      <c r="AO92" s="935"/>
      <c r="AP92" s="939"/>
      <c r="AQ92" s="368"/>
      <c r="AR92" s="933"/>
      <c r="AS92" s="935"/>
    </row>
    <row r="93" spans="23:45" s="69" customFormat="1">
      <c r="Z93" s="556"/>
      <c r="AA93" s="636"/>
      <c r="AB93" s="558"/>
      <c r="AC93" s="558"/>
      <c r="AI93" s="933"/>
      <c r="AJ93" s="935"/>
      <c r="AK93" s="939"/>
      <c r="AL93" s="368"/>
      <c r="AN93" s="933"/>
      <c r="AO93" s="935"/>
      <c r="AP93" s="939"/>
      <c r="AQ93" s="368"/>
      <c r="AR93" s="933"/>
      <c r="AS93" s="935"/>
    </row>
    <row r="94" spans="23:45" s="69" customFormat="1">
      <c r="Z94" s="556"/>
      <c r="AA94" s="636"/>
      <c r="AB94" s="558"/>
      <c r="AC94" s="558"/>
      <c r="AI94" s="933"/>
      <c r="AJ94" s="935"/>
      <c r="AK94" s="939"/>
      <c r="AL94" s="368"/>
      <c r="AN94" s="933"/>
      <c r="AO94" s="935"/>
      <c r="AP94" s="939"/>
      <c r="AQ94" s="368"/>
      <c r="AR94" s="933"/>
      <c r="AS94" s="935"/>
    </row>
    <row r="95" spans="23:45" s="69" customFormat="1">
      <c r="Z95" s="556"/>
      <c r="AA95" s="636"/>
      <c r="AB95" s="558"/>
      <c r="AC95" s="558"/>
      <c r="AI95" s="933"/>
      <c r="AJ95" s="935"/>
      <c r="AK95" s="939"/>
      <c r="AL95" s="368"/>
      <c r="AN95" s="933"/>
      <c r="AO95" s="935"/>
      <c r="AP95" s="939"/>
      <c r="AQ95" s="368"/>
      <c r="AR95" s="933"/>
      <c r="AS95" s="935"/>
    </row>
    <row r="96" spans="23:45" s="69" customFormat="1">
      <c r="Z96" s="556"/>
      <c r="AA96" s="636"/>
      <c r="AB96" s="558"/>
      <c r="AC96" s="558"/>
      <c r="AI96" s="933"/>
      <c r="AJ96" s="935"/>
      <c r="AK96" s="939"/>
      <c r="AL96" s="368"/>
      <c r="AN96" s="933"/>
      <c r="AO96" s="935"/>
      <c r="AP96" s="939"/>
      <c r="AQ96" s="368"/>
      <c r="AR96" s="933"/>
      <c r="AS96" s="935"/>
    </row>
    <row r="97" spans="1:45" s="69" customFormat="1">
      <c r="Z97" s="556"/>
      <c r="AA97" s="636"/>
      <c r="AB97" s="558"/>
      <c r="AC97" s="558"/>
      <c r="AI97" s="933"/>
      <c r="AJ97" s="935"/>
      <c r="AK97" s="939"/>
      <c r="AL97" s="368"/>
      <c r="AN97" s="933"/>
      <c r="AO97" s="935"/>
      <c r="AP97" s="939"/>
      <c r="AQ97" s="368"/>
      <c r="AR97" s="933"/>
      <c r="AS97" s="935"/>
    </row>
    <row r="98" spans="1:45" s="69" customFormat="1">
      <c r="Z98" s="556"/>
      <c r="AA98" s="636"/>
      <c r="AB98" s="558"/>
      <c r="AC98" s="558"/>
      <c r="AI98" s="933"/>
      <c r="AJ98" s="935"/>
      <c r="AK98" s="939"/>
      <c r="AL98" s="368"/>
      <c r="AN98" s="933"/>
      <c r="AO98" s="935"/>
      <c r="AP98" s="939"/>
      <c r="AQ98" s="368"/>
      <c r="AR98" s="933"/>
      <c r="AS98" s="935"/>
    </row>
    <row r="99" spans="1:45" s="69" customFormat="1">
      <c r="Z99" s="556"/>
      <c r="AA99" s="636"/>
      <c r="AB99" s="558"/>
      <c r="AC99" s="558"/>
      <c r="AI99" s="933"/>
      <c r="AJ99" s="935"/>
      <c r="AK99" s="939"/>
      <c r="AL99" s="368"/>
      <c r="AN99" s="933"/>
      <c r="AO99" s="935"/>
      <c r="AP99" s="939"/>
      <c r="AQ99" s="368"/>
      <c r="AR99" s="933"/>
      <c r="AS99" s="935"/>
    </row>
    <row r="100" spans="1:45" s="69" customFormat="1">
      <c r="Z100" s="556"/>
      <c r="AA100" s="636"/>
      <c r="AB100" s="558"/>
      <c r="AC100" s="558"/>
      <c r="AI100" s="933"/>
      <c r="AJ100" s="935"/>
      <c r="AK100" s="939"/>
      <c r="AL100" s="368"/>
      <c r="AN100" s="933"/>
      <c r="AO100" s="935"/>
      <c r="AP100" s="939"/>
      <c r="AQ100" s="368"/>
      <c r="AR100" s="933"/>
      <c r="AS100" s="935"/>
    </row>
    <row r="101" spans="1:45" s="69" customFormat="1">
      <c r="Z101" s="556"/>
      <c r="AA101" s="636"/>
      <c r="AB101" s="558"/>
      <c r="AC101" s="558"/>
      <c r="AI101" s="933"/>
      <c r="AJ101" s="935"/>
      <c r="AK101" s="939"/>
      <c r="AL101" s="368"/>
      <c r="AN101" s="933"/>
      <c r="AO101" s="935"/>
      <c r="AP101" s="939"/>
      <c r="AQ101" s="368"/>
      <c r="AR101" s="933"/>
      <c r="AS101" s="935"/>
    </row>
    <row r="102" spans="1:45" s="69" customFormat="1">
      <c r="Z102" s="556"/>
      <c r="AA102" s="636"/>
      <c r="AB102" s="558"/>
      <c r="AC102" s="558"/>
      <c r="AK102" s="936"/>
      <c r="AN102" s="933"/>
      <c r="AO102" s="935"/>
      <c r="AP102" s="939"/>
      <c r="AQ102" s="368"/>
      <c r="AR102" s="933"/>
      <c r="AS102" s="935"/>
    </row>
    <row r="103" spans="1:45" s="69" customFormat="1">
      <c r="Z103" s="556"/>
      <c r="AA103" s="636"/>
      <c r="AB103" s="558"/>
      <c r="AC103" s="558"/>
      <c r="AK103" s="936"/>
      <c r="AN103" s="933"/>
      <c r="AO103" s="935"/>
      <c r="AP103" s="939"/>
      <c r="AQ103" s="368"/>
      <c r="AR103" s="933"/>
      <c r="AS103" s="935"/>
    </row>
    <row r="104" spans="1:4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</row>
    <row r="105" spans="1:4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</row>
    <row r="106" spans="1:4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</row>
    <row r="107" spans="1:4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</row>
    <row r="108" spans="1:4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</row>
    <row r="109" spans="1:4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</row>
    <row r="110" spans="1:4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</row>
    <row r="111" spans="1:4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</row>
    <row r="112" spans="1:4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</row>
    <row r="113" spans="1:28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</row>
    <row r="114" spans="1:28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</row>
    <row r="115" spans="1:28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</row>
    <row r="116" spans="1:28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</row>
    <row r="117" spans="1:28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</row>
    <row r="118" spans="1:28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</row>
    <row r="119" spans="1:28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</row>
    <row r="120" spans="1:28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</row>
    <row r="121" spans="1:28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</row>
    <row r="122" spans="1:28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</row>
    <row r="123" spans="1:28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</row>
    <row r="124" spans="1:28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</row>
    <row r="125" spans="1:28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</row>
    <row r="126" spans="1:28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</row>
    <row r="127" spans="1:28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</row>
    <row r="128" spans="1:28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</row>
    <row r="129" spans="1:28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</row>
    <row r="130" spans="1:28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</row>
    <row r="131" spans="1:28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</row>
    <row r="132" spans="1:28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</row>
    <row r="133" spans="1:28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</row>
    <row r="134" spans="1:28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</row>
    <row r="135" spans="1:28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</row>
    <row r="136" spans="1:28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</row>
  </sheetData>
  <mergeCells count="24">
    <mergeCell ref="BO39:BQ39"/>
    <mergeCell ref="BT39:BV39"/>
    <mergeCell ref="BO40:BQ40"/>
    <mergeCell ref="BT40:BV40"/>
    <mergeCell ref="BO41:BQ41"/>
    <mergeCell ref="BT41:BV41"/>
    <mergeCell ref="BO36:BQ36"/>
    <mergeCell ref="BT36:BV36"/>
    <mergeCell ref="BO37:BQ37"/>
    <mergeCell ref="BT37:BV37"/>
    <mergeCell ref="BO38:BQ38"/>
    <mergeCell ref="BT38:BV38"/>
    <mergeCell ref="BO33:BQ33"/>
    <mergeCell ref="BT33:BV33"/>
    <mergeCell ref="BO34:BQ34"/>
    <mergeCell ref="BT34:BV34"/>
    <mergeCell ref="BO35:BQ35"/>
    <mergeCell ref="BT35:BV35"/>
    <mergeCell ref="BK2:BM5"/>
    <mergeCell ref="M7:P8"/>
    <mergeCell ref="BS21:BU21"/>
    <mergeCell ref="BX21:BZ21"/>
    <mergeCell ref="BO32:BQ32"/>
    <mergeCell ref="BT32:BV32"/>
  </mergeCells>
  <conditionalFormatting sqref="Z4:Z38 AI2:AI3 Z1">
    <cfRule type="duplicateValues" dxfId="101" priority="3"/>
  </conditionalFormatting>
  <conditionalFormatting sqref="Z39:Z103">
    <cfRule type="duplicateValues" dxfId="100" priority="2"/>
  </conditionalFormatting>
  <conditionalFormatting sqref="AD2:AD3">
    <cfRule type="duplicateValues" dxfId="99" priority="1"/>
  </conditionalFormatting>
  <dataValidations count="1">
    <dataValidation type="list" allowBlank="1" showInputMessage="1" showErrorMessage="1" sqref="M7:P8" xr:uid="{AC38D946-282A-4892-8C15-7DB2C2D09171}">
      <formula1>$AX$1:$AX$8</formula1>
    </dataValidation>
  </dataValidations>
  <hyperlinks>
    <hyperlink ref="R5" location="salesInv!A1" display="Sales &amp; Invoices" xr:uid="{915C8544-9F19-4BA6-A911-353407B6CDDC}"/>
    <hyperlink ref="R7" location="Purchases!A1" display="Purchases &amp; Lpos" xr:uid="{723FB182-80C6-4F12-9874-DB8DFE5A2521}"/>
    <hyperlink ref="R9" location="'ProjectsX (2)'!A1" display="Projects Analysize" xr:uid="{B2A8D8E9-8777-46F5-A339-4C60AE1E9539}"/>
    <hyperlink ref="R11" location="FinView!A1" display="Cash Flow Analysize" xr:uid="{5F2DEA4D-D101-43AE-B89C-23CE006B9A41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5266" r:id="rId4" name="CommandButton1">
          <controlPr defaultSize="0" autoLine="0" r:id="rId5">
            <anchor moveWithCells="1">
              <from>
                <xdr:col>4</xdr:col>
                <xdr:colOff>371475</xdr:colOff>
                <xdr:row>26</xdr:row>
                <xdr:rowOff>38100</xdr:rowOff>
              </from>
              <to>
                <xdr:col>10</xdr:col>
                <xdr:colOff>333375</xdr:colOff>
                <xdr:row>33</xdr:row>
                <xdr:rowOff>38100</xdr:rowOff>
              </to>
            </anchor>
          </controlPr>
        </control>
      </mc:Choice>
      <mc:Fallback>
        <control shapeId="395266" r:id="rId4" name="CommandButton1"/>
      </mc:Fallback>
    </mc:AlternateContent>
    <mc:AlternateContent xmlns:mc="http://schemas.openxmlformats.org/markup-compatibility/2006">
      <mc:Choice Requires="x14">
        <control shapeId="395265" r:id="rId6" name="CommandButton2">
          <controlPr defaultSize="0" autoLine="0" r:id="rId7">
            <anchor moveWithCells="1">
              <from>
                <xdr:col>32</xdr:col>
                <xdr:colOff>371475</xdr:colOff>
                <xdr:row>1</xdr:row>
                <xdr:rowOff>57150</xdr:rowOff>
              </from>
              <to>
                <xdr:col>33</xdr:col>
                <xdr:colOff>590550</xdr:colOff>
                <xdr:row>3</xdr:row>
                <xdr:rowOff>19050</xdr:rowOff>
              </to>
            </anchor>
          </controlPr>
        </control>
      </mc:Choice>
      <mc:Fallback>
        <control shapeId="395265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70C0"/>
  </sheetPr>
  <dimension ref="A1:CO136"/>
  <sheetViews>
    <sheetView zoomScale="85" zoomScaleNormal="85" workbookViewId="0">
      <selection activeCell="N28" sqref="N28"/>
    </sheetView>
  </sheetViews>
  <sheetFormatPr defaultRowHeight="15"/>
  <cols>
    <col min="1" max="12" width="6.28515625" customWidth="1"/>
    <col min="13" max="13" width="7.140625" customWidth="1"/>
    <col min="14" max="14" width="10.5703125" bestFit="1" customWidth="1"/>
    <col min="15" max="19" width="3.5703125" customWidth="1"/>
    <col min="21" max="21" width="6.5703125" customWidth="1"/>
    <col min="22" max="22" width="11.28515625" bestFit="1" customWidth="1"/>
    <col min="23" max="23" width="10.42578125" customWidth="1"/>
    <col min="24" max="24" width="15.140625" customWidth="1"/>
    <col min="25" max="25" width="14.85546875" customWidth="1"/>
    <col min="26" max="26" width="11.28515625" customWidth="1"/>
    <col min="27" max="27" width="10.85546875" bestFit="1" customWidth="1"/>
    <col min="29" max="29" width="28" customWidth="1"/>
    <col min="31" max="31" width="11.85546875" customWidth="1"/>
    <col min="32" max="32" width="11.140625" customWidth="1"/>
    <col min="35" max="35" width="6" customWidth="1"/>
    <col min="36" max="36" width="10.7109375" bestFit="1" customWidth="1"/>
    <col min="37" max="37" width="11.7109375" bestFit="1" customWidth="1"/>
    <col min="38" max="38" width="17.5703125" customWidth="1"/>
    <col min="39" max="39" width="4.28515625" customWidth="1"/>
    <col min="41" max="41" width="10.42578125" customWidth="1"/>
    <col min="42" max="42" width="12.85546875" bestFit="1" customWidth="1"/>
    <col min="50" max="50" width="14.28515625" bestFit="1" customWidth="1"/>
    <col min="57" max="57" width="10.28515625" bestFit="1" customWidth="1"/>
    <col min="58" max="58" width="9.140625" customWidth="1"/>
    <col min="59" max="59" width="11.42578125" customWidth="1"/>
    <col min="60" max="60" width="10.140625" bestFit="1" customWidth="1"/>
    <col min="61" max="61" width="4.85546875" customWidth="1"/>
    <col min="64" max="64" width="10.42578125" bestFit="1" customWidth="1"/>
    <col min="70" max="70" width="4.140625" customWidth="1"/>
    <col min="71" max="71" width="2.5703125" customWidth="1"/>
  </cols>
  <sheetData>
    <row r="1" spans="1:93" s="69" customFormat="1">
      <c r="AA1" s="558"/>
      <c r="AB1" s="558"/>
      <c r="AK1" s="936"/>
      <c r="AP1" s="936"/>
      <c r="AX1" s="941" t="s">
        <v>2905</v>
      </c>
      <c r="AY1" s="941" t="s">
        <v>2900</v>
      </c>
    </row>
    <row r="2" spans="1:93" s="69" customFormat="1" ht="15" customHeight="1">
      <c r="A2" s="679"/>
      <c r="B2" s="679"/>
      <c r="C2" s="679"/>
      <c r="D2" s="679"/>
      <c r="E2" s="679"/>
      <c r="F2" s="679"/>
      <c r="G2" s="679"/>
      <c r="H2" s="679"/>
      <c r="I2" s="679"/>
      <c r="J2" s="679"/>
      <c r="K2" s="679"/>
      <c r="L2" s="679"/>
      <c r="M2" s="942"/>
      <c r="N2" s="943"/>
      <c r="O2" s="942"/>
      <c r="P2" s="942"/>
      <c r="Q2" s="942"/>
      <c r="R2" s="944"/>
      <c r="S2" s="944"/>
      <c r="T2" s="945" t="s">
        <v>2954</v>
      </c>
      <c r="U2" s="944"/>
      <c r="V2" s="945" t="s">
        <v>2955</v>
      </c>
      <c r="W2" s="944"/>
      <c r="X2" s="558"/>
      <c r="Y2" s="1644" t="s">
        <v>5583</v>
      </c>
      <c r="AA2" s="634"/>
      <c r="AC2" s="554"/>
      <c r="AD2" s="555" t="s">
        <v>1843</v>
      </c>
      <c r="AE2" s="634"/>
      <c r="AF2" s="558"/>
      <c r="AH2" s="373"/>
      <c r="AI2" s="555" t="s">
        <v>1547</v>
      </c>
      <c r="AJ2" s="634"/>
      <c r="AK2" s="940" t="e">
        <f>SumByColor(AK4:AK170)</f>
        <v>#VALUE!</v>
      </c>
      <c r="AN2" s="555" t="s">
        <v>1548</v>
      </c>
      <c r="AO2" s="367"/>
      <c r="AP2" s="940" t="e">
        <f>SumByColor(AP4:AP170)</f>
        <v>#VALUE!</v>
      </c>
      <c r="AX2" s="941" t="s">
        <v>2906</v>
      </c>
      <c r="AY2" s="941" t="s">
        <v>2909</v>
      </c>
      <c r="BK2" s="1758"/>
      <c r="BL2" s="1758"/>
      <c r="BM2" s="1758"/>
    </row>
    <row r="3" spans="1:93" s="69" customFormat="1" ht="15" customHeight="1" thickBot="1">
      <c r="A3" s="679"/>
      <c r="B3" s="679"/>
      <c r="C3" s="679"/>
      <c r="D3" s="679"/>
      <c r="E3" s="679"/>
      <c r="F3" s="679"/>
      <c r="G3" s="679"/>
      <c r="H3" s="679"/>
      <c r="I3" s="679"/>
      <c r="J3" s="679"/>
      <c r="K3" s="679"/>
      <c r="L3" s="679"/>
      <c r="M3" s="942"/>
      <c r="N3" s="943"/>
      <c r="O3" s="942"/>
      <c r="P3" s="942"/>
      <c r="Q3" s="942"/>
      <c r="R3" s="944"/>
      <c r="S3" s="944"/>
      <c r="T3" s="1561"/>
      <c r="U3" s="944"/>
      <c r="V3" s="944"/>
      <c r="W3" s="944"/>
      <c r="Y3" s="1657" t="s">
        <v>5842</v>
      </c>
      <c r="AA3" s="634"/>
      <c r="AC3" s="1446"/>
      <c r="AD3" s="369" t="s">
        <v>1424</v>
      </c>
      <c r="AE3" s="369" t="s">
        <v>1844</v>
      </c>
      <c r="AF3" s="369"/>
      <c r="AG3" s="370"/>
      <c r="AH3" s="370"/>
      <c r="AI3" s="369" t="s">
        <v>1424</v>
      </c>
      <c r="AJ3" s="635" t="s">
        <v>4</v>
      </c>
      <c r="AK3" s="937" t="s">
        <v>222</v>
      </c>
      <c r="AL3" s="369" t="s">
        <v>2913</v>
      </c>
      <c r="AN3" s="369" t="s">
        <v>1424</v>
      </c>
      <c r="AO3" s="369" t="s">
        <v>4</v>
      </c>
      <c r="AP3" s="937" t="s">
        <v>222</v>
      </c>
      <c r="AQ3" s="369" t="s">
        <v>2913</v>
      </c>
      <c r="AX3" s="941" t="s">
        <v>2904</v>
      </c>
      <c r="AY3" s="941" t="s">
        <v>2910</v>
      </c>
      <c r="BK3" s="1758"/>
      <c r="BL3" s="1758"/>
      <c r="BM3" s="1758"/>
    </row>
    <row r="4" spans="1:93" s="69" customFormat="1" ht="15" customHeight="1" thickTop="1" thickBot="1">
      <c r="A4" s="679"/>
      <c r="B4" s="679"/>
      <c r="C4" s="679"/>
      <c r="D4" s="679"/>
      <c r="E4" s="679"/>
      <c r="F4" s="679"/>
      <c r="G4" s="679"/>
      <c r="H4" s="679"/>
      <c r="I4" s="679"/>
      <c r="J4" s="679"/>
      <c r="K4" s="679"/>
      <c r="L4" s="679"/>
      <c r="M4" s="942"/>
      <c r="N4" s="943"/>
      <c r="O4" s="942"/>
      <c r="P4" s="942"/>
      <c r="Q4" s="942"/>
      <c r="R4" s="946"/>
      <c r="S4" s="946"/>
      <c r="T4" s="1562"/>
      <c r="U4" s="681"/>
      <c r="V4" s="944"/>
      <c r="W4" s="944"/>
      <c r="Z4" s="604"/>
      <c r="AA4" s="932"/>
      <c r="AB4" s="605"/>
      <c r="AC4" s="1447"/>
      <c r="AD4" s="558">
        <v>923</v>
      </c>
      <c r="AE4" s="558">
        <v>942</v>
      </c>
      <c r="AF4" s="558"/>
      <c r="AG4" s="558"/>
      <c r="AH4" s="556"/>
      <c r="AI4" s="934">
        <v>905</v>
      </c>
      <c r="AJ4" s="935">
        <v>45502</v>
      </c>
      <c r="AK4" s="938">
        <v>23678</v>
      </c>
      <c r="AL4" s="368" t="s">
        <v>2916</v>
      </c>
      <c r="AM4" s="372"/>
      <c r="AN4" s="934">
        <v>4007</v>
      </c>
      <c r="AO4" s="935">
        <v>45549</v>
      </c>
      <c r="AP4" s="938">
        <v>18585</v>
      </c>
      <c r="AQ4" s="368" t="s">
        <v>2914</v>
      </c>
      <c r="AR4" s="933"/>
      <c r="AS4" s="935"/>
      <c r="AX4" s="941" t="s">
        <v>2907</v>
      </c>
      <c r="AY4" s="941" t="s">
        <v>5450</v>
      </c>
      <c r="BK4" s="1758"/>
      <c r="BL4" s="1758"/>
      <c r="BM4" s="1758"/>
    </row>
    <row r="5" spans="1:93" s="69" customFormat="1" ht="15" customHeight="1" thickTop="1" thickBot="1">
      <c r="A5" s="679"/>
      <c r="B5" s="679"/>
      <c r="C5" s="679"/>
      <c r="D5" s="679"/>
      <c r="E5" s="679"/>
      <c r="F5" s="679"/>
      <c r="G5" s="679"/>
      <c r="H5" s="679"/>
      <c r="I5" s="679"/>
      <c r="J5" s="679"/>
      <c r="K5" s="679"/>
      <c r="L5" s="679"/>
      <c r="M5" s="942"/>
      <c r="N5" s="943"/>
      <c r="O5" s="942"/>
      <c r="P5" s="942"/>
      <c r="Q5" s="942"/>
      <c r="R5" s="947" t="s">
        <v>1527</v>
      </c>
      <c r="S5" s="947"/>
      <c r="T5" s="947"/>
      <c r="U5" s="681"/>
      <c r="V5" s="944"/>
      <c r="W5" s="944"/>
      <c r="Z5" s="604"/>
      <c r="AA5" s="932"/>
      <c r="AB5" s="605"/>
      <c r="AC5" s="1447"/>
      <c r="AD5" s="558">
        <v>887</v>
      </c>
      <c r="AE5" s="558">
        <v>896</v>
      </c>
      <c r="AF5" s="558"/>
      <c r="AG5" s="558"/>
      <c r="AH5" s="556"/>
      <c r="AI5" s="934">
        <v>904</v>
      </c>
      <c r="AJ5" s="935">
        <v>45506</v>
      </c>
      <c r="AK5" s="938">
        <v>15000</v>
      </c>
      <c r="AL5" s="368" t="s">
        <v>1149</v>
      </c>
      <c r="AM5" s="372"/>
      <c r="AN5" s="934">
        <v>4023</v>
      </c>
      <c r="AO5" s="935">
        <v>45562</v>
      </c>
      <c r="AP5" s="938">
        <v>68047</v>
      </c>
      <c r="AQ5" s="368" t="s">
        <v>2915</v>
      </c>
      <c r="AR5" s="933"/>
      <c r="AS5" s="935"/>
      <c r="AX5" s="941" t="s">
        <v>2908</v>
      </c>
      <c r="AY5" s="941" t="s">
        <v>5461</v>
      </c>
      <c r="BK5" s="1758"/>
      <c r="BL5" s="1758"/>
      <c r="BM5" s="1758"/>
    </row>
    <row r="6" spans="1:93" s="69" customFormat="1" ht="16.5" thickTop="1" thickBot="1">
      <c r="A6" s="679"/>
      <c r="B6" s="679"/>
      <c r="C6" s="679"/>
      <c r="D6" s="679"/>
      <c r="E6" s="679"/>
      <c r="F6" s="679"/>
      <c r="G6" s="679"/>
      <c r="H6" s="679"/>
      <c r="I6" s="679"/>
      <c r="J6" s="679"/>
      <c r="K6" s="679"/>
      <c r="L6" s="679"/>
      <c r="M6" s="942"/>
      <c r="N6" s="943"/>
      <c r="O6" s="942"/>
      <c r="P6" s="942"/>
      <c r="Q6" s="942"/>
      <c r="R6" s="946"/>
      <c r="S6" s="946"/>
      <c r="T6" s="946"/>
      <c r="U6" s="681"/>
      <c r="V6" s="944"/>
      <c r="W6" s="944"/>
      <c r="Z6" s="604"/>
      <c r="AA6" s="932"/>
      <c r="AB6" s="605"/>
      <c r="AC6" s="1448"/>
      <c r="AD6" s="558">
        <v>888</v>
      </c>
      <c r="AE6" s="558">
        <v>894</v>
      </c>
      <c r="AF6" s="558"/>
      <c r="AG6" s="558"/>
      <c r="AH6" s="556"/>
      <c r="AI6" s="934">
        <v>906</v>
      </c>
      <c r="AJ6" s="935">
        <v>45550</v>
      </c>
      <c r="AK6" s="938">
        <v>11015</v>
      </c>
      <c r="AL6" s="368" t="s">
        <v>1239</v>
      </c>
      <c r="AM6" s="372"/>
      <c r="AN6" s="933">
        <v>4107</v>
      </c>
      <c r="AO6" s="935">
        <v>45604</v>
      </c>
      <c r="AP6" s="939">
        <v>10500</v>
      </c>
      <c r="AQ6" s="368" t="s">
        <v>2925</v>
      </c>
      <c r="AR6" s="933"/>
      <c r="AS6" s="935"/>
      <c r="AX6" s="941" t="s">
        <v>2911</v>
      </c>
      <c r="AY6" s="941" t="s">
        <v>2912</v>
      </c>
    </row>
    <row r="7" spans="1:93" s="69" customFormat="1" ht="16.5" thickTop="1" thickBot="1">
      <c r="A7" s="679"/>
      <c r="B7" s="679"/>
      <c r="C7" s="679"/>
      <c r="D7" s="679"/>
      <c r="E7" s="679"/>
      <c r="F7" s="679"/>
      <c r="G7" s="679"/>
      <c r="H7" s="679"/>
      <c r="I7" s="679"/>
      <c r="J7" s="679"/>
      <c r="K7" s="679"/>
      <c r="L7" s="679"/>
      <c r="M7" s="1759" t="s">
        <v>2905</v>
      </c>
      <c r="N7" s="1759"/>
      <c r="O7" s="1759"/>
      <c r="P7" s="1759"/>
      <c r="Q7" s="942"/>
      <c r="R7" s="947" t="s">
        <v>1528</v>
      </c>
      <c r="S7" s="947"/>
      <c r="T7" s="947"/>
      <c r="U7" s="681"/>
      <c r="V7" s="944"/>
      <c r="W7" s="944"/>
      <c r="Z7" s="604"/>
      <c r="AA7" s="932"/>
      <c r="AB7" s="605"/>
      <c r="AC7" s="1636" t="s">
        <v>2857</v>
      </c>
      <c r="AD7" s="558" t="s">
        <v>2854</v>
      </c>
      <c r="AE7" s="558"/>
      <c r="AF7" s="1644" t="s">
        <v>2857</v>
      </c>
      <c r="AG7" s="558"/>
      <c r="AH7" s="556"/>
      <c r="AI7" s="934">
        <v>907</v>
      </c>
      <c r="AJ7" s="935">
        <v>45550</v>
      </c>
      <c r="AK7" s="938">
        <v>25615</v>
      </c>
      <c r="AL7" s="368" t="s">
        <v>1242</v>
      </c>
      <c r="AM7" s="372"/>
      <c r="AN7" s="933">
        <v>4106</v>
      </c>
      <c r="AO7" s="935">
        <v>45593</v>
      </c>
      <c r="AP7" s="939">
        <v>29622.5</v>
      </c>
      <c r="AQ7" s="368" t="s">
        <v>2926</v>
      </c>
      <c r="AR7" s="933"/>
      <c r="AS7" s="935"/>
    </row>
    <row r="8" spans="1:93" s="69" customFormat="1" ht="16.5" thickTop="1" thickBot="1">
      <c r="A8" s="679"/>
      <c r="B8" s="679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1760"/>
      <c r="N8" s="1760"/>
      <c r="O8" s="1760"/>
      <c r="P8" s="1760"/>
      <c r="Q8" s="942"/>
      <c r="R8" s="946"/>
      <c r="S8" s="946"/>
      <c r="T8" s="946"/>
      <c r="U8" s="681"/>
      <c r="V8" s="944"/>
      <c r="W8" s="944"/>
      <c r="Z8" s="604"/>
      <c r="AA8" s="932"/>
      <c r="AB8" s="605"/>
      <c r="AC8" s="1448"/>
      <c r="AD8" s="1660" t="s">
        <v>2855</v>
      </c>
      <c r="AE8" s="558"/>
      <c r="AF8" s="558"/>
      <c r="AG8" s="558"/>
      <c r="AH8" s="556"/>
      <c r="AI8" s="934">
        <v>909</v>
      </c>
      <c r="AJ8" s="935">
        <v>45509</v>
      </c>
      <c r="AK8" s="938">
        <v>11004</v>
      </c>
      <c r="AL8" s="368" t="s">
        <v>1243</v>
      </c>
      <c r="AM8" s="372"/>
      <c r="AN8" s="934">
        <v>4108</v>
      </c>
      <c r="AO8" s="935">
        <v>45581</v>
      </c>
      <c r="AP8" s="939">
        <v>49560</v>
      </c>
      <c r="AQ8" s="368" t="s">
        <v>2927</v>
      </c>
      <c r="AR8" s="933"/>
      <c r="AS8" s="935"/>
    </row>
    <row r="9" spans="1:93" s="69" customFormat="1" ht="16.5" thickTop="1" thickBot="1">
      <c r="A9" s="679"/>
      <c r="B9" s="679"/>
      <c r="C9" s="679"/>
      <c r="D9" s="679"/>
      <c r="E9" s="679"/>
      <c r="F9" s="679"/>
      <c r="G9" s="679"/>
      <c r="H9" s="679"/>
      <c r="I9" s="679"/>
      <c r="J9" s="679"/>
      <c r="K9" s="679"/>
      <c r="L9" s="679"/>
      <c r="M9" s="679"/>
      <c r="N9" s="679"/>
      <c r="O9" s="679"/>
      <c r="P9" s="679"/>
      <c r="Q9" s="942"/>
      <c r="R9" s="947" t="s">
        <v>1480</v>
      </c>
      <c r="S9" s="947"/>
      <c r="T9" s="947"/>
      <c r="U9" s="681"/>
      <c r="V9" s="944"/>
      <c r="W9" s="944"/>
      <c r="Z9" s="604"/>
      <c r="AA9" s="932"/>
      <c r="AB9" s="605"/>
      <c r="AC9" s="1447"/>
      <c r="AD9" s="1660" t="s">
        <v>2856</v>
      </c>
      <c r="AE9" s="558"/>
      <c r="AF9" s="558"/>
      <c r="AG9" s="558"/>
      <c r="AH9" s="556"/>
      <c r="AI9" s="934">
        <v>911</v>
      </c>
      <c r="AJ9" s="935">
        <v>45550</v>
      </c>
      <c r="AK9" s="938">
        <v>11078</v>
      </c>
      <c r="AL9" s="368" t="s">
        <v>1244</v>
      </c>
      <c r="AM9" s="372"/>
      <c r="AN9" s="934">
        <v>12223</v>
      </c>
      <c r="AO9" s="935">
        <v>45559</v>
      </c>
      <c r="AP9" s="938">
        <v>160906</v>
      </c>
      <c r="AQ9" s="368" t="s">
        <v>2945</v>
      </c>
      <c r="AR9" s="933"/>
      <c r="AS9" s="935"/>
    </row>
    <row r="10" spans="1:93" s="69" customFormat="1" ht="16.5" thickTop="1" thickBot="1">
      <c r="A10" s="679"/>
      <c r="B10" s="679"/>
      <c r="C10" s="679"/>
      <c r="D10" s="679"/>
      <c r="E10" s="679"/>
      <c r="F10" s="679"/>
      <c r="G10" s="679"/>
      <c r="H10" s="679"/>
      <c r="I10" s="679"/>
      <c r="J10" s="679"/>
      <c r="K10" s="679"/>
      <c r="L10" s="679"/>
      <c r="M10" s="679"/>
      <c r="N10" s="679"/>
      <c r="O10" s="679"/>
      <c r="P10" s="679"/>
      <c r="Q10" s="942"/>
      <c r="R10" s="946"/>
      <c r="S10" s="946"/>
      <c r="T10" s="946"/>
      <c r="U10" s="681"/>
      <c r="V10" s="944"/>
      <c r="W10" s="944"/>
      <c r="Z10" s="604"/>
      <c r="AA10" s="932"/>
      <c r="AB10" s="605"/>
      <c r="AC10" s="1448" t="s">
        <v>2973</v>
      </c>
      <c r="AD10" s="1660" t="s">
        <v>2969</v>
      </c>
      <c r="AE10" s="558"/>
      <c r="AF10" s="558"/>
      <c r="AG10" s="558"/>
      <c r="AH10" s="556"/>
      <c r="AI10" s="934">
        <v>912</v>
      </c>
      <c r="AJ10" s="935">
        <v>45555</v>
      </c>
      <c r="AK10" s="938">
        <v>12050</v>
      </c>
      <c r="AL10" s="368" t="s">
        <v>1550</v>
      </c>
      <c r="AM10" s="372"/>
      <c r="AN10" s="934">
        <v>3648</v>
      </c>
      <c r="AO10" s="935">
        <v>45570</v>
      </c>
      <c r="AP10" s="938">
        <v>13833.75</v>
      </c>
      <c r="AQ10" s="368" t="s">
        <v>2952</v>
      </c>
      <c r="AR10" s="933"/>
      <c r="AS10" s="935"/>
    </row>
    <row r="11" spans="1:93" s="69" customFormat="1" ht="16.5" thickTop="1" thickBot="1">
      <c r="A11" s="679"/>
      <c r="B11" s="679"/>
      <c r="C11" s="679"/>
      <c r="D11" s="679"/>
      <c r="E11" s="679"/>
      <c r="F11" s="679"/>
      <c r="G11" s="679"/>
      <c r="H11" s="679"/>
      <c r="I11" s="679"/>
      <c r="J11" s="679"/>
      <c r="K11" s="679"/>
      <c r="L11" s="679"/>
      <c r="M11" s="679"/>
      <c r="N11" s="679"/>
      <c r="O11" s="679"/>
      <c r="P11" s="679"/>
      <c r="Q11" s="942"/>
      <c r="R11" s="947" t="s">
        <v>2953</v>
      </c>
      <c r="S11" s="947"/>
      <c r="T11" s="947"/>
      <c r="U11" s="681"/>
      <c r="V11" s="944"/>
      <c r="W11" s="944"/>
      <c r="Z11" s="604"/>
      <c r="AA11" s="932"/>
      <c r="AB11" s="605"/>
      <c r="AC11" s="1448"/>
      <c r="AD11" s="1660" t="s">
        <v>2968</v>
      </c>
      <c r="AE11" s="558"/>
      <c r="AF11" s="558"/>
      <c r="AG11" s="558"/>
      <c r="AH11" s="556"/>
      <c r="AI11" s="934">
        <v>914</v>
      </c>
      <c r="AJ11" s="935">
        <v>45555</v>
      </c>
      <c r="AK11" s="938">
        <v>10982</v>
      </c>
      <c r="AL11" s="368" t="s">
        <v>2917</v>
      </c>
      <c r="AM11" s="372"/>
      <c r="AN11" s="934">
        <v>22</v>
      </c>
      <c r="AO11" s="935">
        <v>45579</v>
      </c>
      <c r="AP11" s="938">
        <v>86184</v>
      </c>
      <c r="AQ11" s="368" t="s">
        <v>3049</v>
      </c>
      <c r="AR11" s="933"/>
      <c r="AS11" s="935"/>
      <c r="CO11" s="195" t="s">
        <v>837</v>
      </c>
    </row>
    <row r="12" spans="1:93" s="69" customFormat="1" ht="15.75" thickTop="1">
      <c r="A12" s="679"/>
      <c r="B12" s="679"/>
      <c r="C12" s="679"/>
      <c r="D12" s="679"/>
      <c r="E12" s="679"/>
      <c r="F12" s="679"/>
      <c r="G12" s="679"/>
      <c r="H12" s="679"/>
      <c r="I12" s="679"/>
      <c r="J12" s="679"/>
      <c r="K12" s="679"/>
      <c r="L12" s="679"/>
      <c r="M12" s="679"/>
      <c r="N12" s="679"/>
      <c r="O12" s="679"/>
      <c r="P12" s="679"/>
      <c r="Q12" s="942"/>
      <c r="R12" s="948"/>
      <c r="S12" s="948"/>
      <c r="T12" s="948"/>
      <c r="U12" s="681"/>
      <c r="V12" s="944"/>
      <c r="W12" s="944"/>
      <c r="Z12" s="604"/>
      <c r="AA12" s="932"/>
      <c r="AB12" s="605"/>
      <c r="AC12" s="1448" t="s">
        <v>3009</v>
      </c>
      <c r="AD12" s="1660" t="s">
        <v>2858</v>
      </c>
      <c r="AE12" s="558"/>
      <c r="AF12" s="558"/>
      <c r="AG12" s="558"/>
      <c r="AH12" s="556"/>
      <c r="AI12" s="934">
        <v>913</v>
      </c>
      <c r="AJ12" s="935">
        <v>45555</v>
      </c>
      <c r="AK12" s="938">
        <v>13050</v>
      </c>
      <c r="AL12" s="368" t="s">
        <v>2918</v>
      </c>
      <c r="AM12" s="372"/>
      <c r="AN12" s="933"/>
      <c r="AO12" s="935"/>
      <c r="AP12" s="939"/>
      <c r="AQ12" s="368"/>
      <c r="AR12" s="933"/>
      <c r="AS12" s="935"/>
      <c r="CO12" s="195" t="s">
        <v>838</v>
      </c>
    </row>
    <row r="13" spans="1:93" s="69" customFormat="1">
      <c r="A13" s="679"/>
      <c r="B13" s="679"/>
      <c r="C13" s="679"/>
      <c r="D13" s="679"/>
      <c r="E13" s="679"/>
      <c r="F13" s="679"/>
      <c r="G13" s="679"/>
      <c r="H13" s="679"/>
      <c r="I13" s="679"/>
      <c r="J13" s="679"/>
      <c r="K13" s="679"/>
      <c r="L13" s="679"/>
      <c r="M13" s="679"/>
      <c r="N13" s="679"/>
      <c r="O13" s="679"/>
      <c r="P13" s="679"/>
      <c r="Q13" s="942"/>
      <c r="R13" s="946"/>
      <c r="S13" s="946"/>
      <c r="T13" s="946"/>
      <c r="U13" s="681"/>
      <c r="V13" s="944"/>
      <c r="W13" s="944"/>
      <c r="Z13" s="604"/>
      <c r="AA13" s="932"/>
      <c r="AB13" s="605"/>
      <c r="AC13" s="1636" t="s">
        <v>5690</v>
      </c>
      <c r="AD13" s="1164" t="s">
        <v>3022</v>
      </c>
      <c r="AE13" s="557"/>
      <c r="AF13" s="558"/>
      <c r="AG13" s="558"/>
      <c r="AH13" s="556"/>
      <c r="AI13" s="934">
        <v>915</v>
      </c>
      <c r="AJ13" s="935">
        <v>45512</v>
      </c>
      <c r="AK13" s="938">
        <v>15000</v>
      </c>
      <c r="AL13" s="368" t="s">
        <v>1318</v>
      </c>
      <c r="AM13" s="372"/>
      <c r="AN13" s="933"/>
      <c r="AO13" s="935"/>
      <c r="AP13" s="939"/>
      <c r="AQ13" s="368"/>
      <c r="AR13" s="933"/>
      <c r="AS13" s="935"/>
      <c r="CO13" s="195" t="s">
        <v>839</v>
      </c>
    </row>
    <row r="14" spans="1:93" s="69" customFormat="1">
      <c r="A14" s="679"/>
      <c r="B14" s="679"/>
      <c r="C14" s="679"/>
      <c r="D14" s="679"/>
      <c r="E14" s="679"/>
      <c r="F14" s="679"/>
      <c r="G14" s="679"/>
      <c r="H14" s="679"/>
      <c r="I14" s="679"/>
      <c r="J14" s="679"/>
      <c r="K14" s="679"/>
      <c r="L14" s="679"/>
      <c r="M14" s="679"/>
      <c r="N14" s="679"/>
      <c r="O14" s="679"/>
      <c r="P14" s="679"/>
      <c r="Q14" s="942"/>
      <c r="R14" s="944"/>
      <c r="S14" s="944"/>
      <c r="T14" s="944"/>
      <c r="U14" s="944"/>
      <c r="V14" s="944"/>
      <c r="W14" s="944"/>
      <c r="X14" s="558"/>
      <c r="Y14" s="558"/>
      <c r="Z14" s="604"/>
      <c r="AA14" s="932"/>
      <c r="AB14" s="605"/>
      <c r="AC14" s="1448"/>
      <c r="AD14" s="1164"/>
      <c r="AE14" s="557"/>
      <c r="AF14" s="558"/>
      <c r="AG14" s="558"/>
      <c r="AH14" s="556"/>
      <c r="AI14" s="934">
        <v>908</v>
      </c>
      <c r="AJ14" s="935">
        <v>45550</v>
      </c>
      <c r="AK14" s="938">
        <v>26964</v>
      </c>
      <c r="AL14" s="368" t="s">
        <v>2919</v>
      </c>
      <c r="AM14" s="372"/>
      <c r="AN14" s="933"/>
      <c r="AO14" s="935"/>
      <c r="AP14" s="939"/>
      <c r="AQ14" s="368"/>
      <c r="AR14" s="933"/>
      <c r="AS14" s="935"/>
      <c r="CO14" s="195" t="s">
        <v>840</v>
      </c>
    </row>
    <row r="15" spans="1:93" s="69" customFormat="1">
      <c r="A15" s="679"/>
      <c r="B15" s="679"/>
      <c r="C15" s="679"/>
      <c r="D15" s="679"/>
      <c r="E15" s="679"/>
      <c r="F15" s="679"/>
      <c r="G15" s="679"/>
      <c r="H15" s="679"/>
      <c r="I15" s="679"/>
      <c r="J15" s="679"/>
      <c r="K15" s="679"/>
      <c r="L15" s="679"/>
      <c r="M15" s="679"/>
      <c r="N15" s="679"/>
      <c r="O15" s="679"/>
      <c r="P15" s="679"/>
      <c r="Q15" s="942"/>
      <c r="R15" s="944"/>
      <c r="S15" s="944"/>
      <c r="T15" s="944"/>
      <c r="U15" s="944"/>
      <c r="V15" s="944"/>
      <c r="W15" s="944"/>
      <c r="X15" s="558"/>
      <c r="Y15" s="558"/>
      <c r="Z15" s="604"/>
      <c r="AA15" s="932"/>
      <c r="AB15" s="605"/>
      <c r="AC15" s="1448"/>
      <c r="AD15" s="1164" t="s">
        <v>5051</v>
      </c>
      <c r="AE15" s="557"/>
      <c r="AF15" s="558"/>
      <c r="AG15" s="558"/>
      <c r="AH15" s="556"/>
      <c r="AI15" s="934">
        <v>920</v>
      </c>
      <c r="AJ15" s="935">
        <v>45517</v>
      </c>
      <c r="AK15" s="938">
        <v>20000</v>
      </c>
      <c r="AL15" s="368" t="s">
        <v>2920</v>
      </c>
      <c r="AM15" s="372"/>
      <c r="AN15" s="933"/>
      <c r="AO15" s="935"/>
      <c r="AP15" s="939"/>
      <c r="AQ15" s="368"/>
      <c r="AR15" s="933"/>
      <c r="AS15" s="935"/>
    </row>
    <row r="16" spans="1:93" s="69" customFormat="1">
      <c r="A16" s="679"/>
      <c r="B16" s="679"/>
      <c r="C16" s="679"/>
      <c r="D16" s="679"/>
      <c r="E16" s="679"/>
      <c r="F16" s="679"/>
      <c r="G16" s="679"/>
      <c r="H16" s="679"/>
      <c r="I16" s="679"/>
      <c r="J16" s="679"/>
      <c r="K16" s="679"/>
      <c r="L16" s="679"/>
      <c r="M16" s="679"/>
      <c r="N16" s="679"/>
      <c r="O16" s="679"/>
      <c r="P16" s="679"/>
      <c r="Q16" s="942"/>
      <c r="R16" s="944"/>
      <c r="S16" s="944"/>
      <c r="T16" s="944"/>
      <c r="U16" s="944"/>
      <c r="V16" s="944"/>
      <c r="W16" s="944"/>
      <c r="X16" s="558"/>
      <c r="Y16" s="558"/>
      <c r="Z16" s="604"/>
      <c r="AA16" s="932"/>
      <c r="AB16" s="605"/>
      <c r="AC16" s="1448"/>
      <c r="AD16" s="1164" t="s">
        <v>5052</v>
      </c>
      <c r="AE16" s="557"/>
      <c r="AF16" s="558"/>
      <c r="AG16" s="558"/>
      <c r="AH16" s="556"/>
      <c r="AI16" s="934">
        <v>918</v>
      </c>
      <c r="AJ16" s="935">
        <v>45515</v>
      </c>
      <c r="AK16" s="938">
        <v>15000</v>
      </c>
      <c r="AL16" s="368" t="s">
        <v>2920</v>
      </c>
      <c r="AM16" s="372"/>
      <c r="AN16" s="933"/>
      <c r="AO16" s="935"/>
      <c r="AP16" s="939"/>
      <c r="AQ16" s="368"/>
      <c r="AR16" s="933"/>
      <c r="AS16" s="935"/>
    </row>
    <row r="17" spans="1:78" s="69" customFormat="1">
      <c r="A17" s="679"/>
      <c r="B17" s="679"/>
      <c r="C17" s="679"/>
      <c r="D17" s="679"/>
      <c r="E17" s="679"/>
      <c r="F17" s="679"/>
      <c r="G17" s="679"/>
      <c r="H17" s="679"/>
      <c r="I17" s="679"/>
      <c r="J17" s="679"/>
      <c r="K17" s="679"/>
      <c r="L17" s="679"/>
      <c r="M17" s="679"/>
      <c r="N17" s="679"/>
      <c r="O17" s="679"/>
      <c r="P17" s="679"/>
      <c r="Q17" s="942"/>
      <c r="R17" s="944"/>
      <c r="S17" s="944"/>
      <c r="T17" s="944"/>
      <c r="U17" s="944"/>
      <c r="V17" s="944"/>
      <c r="W17" s="944"/>
      <c r="X17" s="558"/>
      <c r="Y17" s="558"/>
      <c r="Z17" s="556"/>
      <c r="AA17" s="636"/>
      <c r="AB17" s="558"/>
      <c r="AC17" s="1449">
        <v>45593</v>
      </c>
      <c r="AD17" s="1164" t="s">
        <v>5237</v>
      </c>
      <c r="AE17" s="557"/>
      <c r="AF17" s="558"/>
      <c r="AG17" s="558"/>
      <c r="AH17" s="556"/>
      <c r="AI17" s="934">
        <v>919</v>
      </c>
      <c r="AJ17" s="935">
        <v>45575</v>
      </c>
      <c r="AK17" s="938">
        <v>30062</v>
      </c>
      <c r="AL17" s="368" t="s">
        <v>2921</v>
      </c>
      <c r="AM17" s="553"/>
      <c r="AN17" s="933"/>
      <c r="AO17" s="935"/>
      <c r="AP17" s="939"/>
      <c r="AQ17" s="368"/>
      <c r="AR17" s="933"/>
      <c r="AS17" s="935"/>
      <c r="AT17" s="372"/>
      <c r="AU17" s="372"/>
      <c r="AV17" s="372"/>
      <c r="AW17" s="372"/>
      <c r="AX17" s="372"/>
      <c r="AY17" s="372"/>
      <c r="AZ17" s="372"/>
      <c r="BA17" s="372"/>
      <c r="BB17" s="372"/>
      <c r="BC17" s="372"/>
      <c r="BD17" s="372"/>
    </row>
    <row r="18" spans="1:78" s="69" customFormat="1">
      <c r="A18" s="679"/>
      <c r="B18" s="679"/>
      <c r="C18" s="679"/>
      <c r="D18" s="679"/>
      <c r="E18" s="679"/>
      <c r="F18" s="679"/>
      <c r="G18" s="679"/>
      <c r="H18" s="679"/>
      <c r="I18" s="679"/>
      <c r="J18" s="679"/>
      <c r="K18" s="679"/>
      <c r="L18" s="679"/>
      <c r="M18" s="679"/>
      <c r="N18" s="679"/>
      <c r="O18" s="679"/>
      <c r="P18" s="679"/>
      <c r="Q18" s="942"/>
      <c r="R18" s="944"/>
      <c r="S18" s="944"/>
      <c r="T18" s="944"/>
      <c r="U18" s="944"/>
      <c r="V18" s="944"/>
      <c r="W18" s="944"/>
      <c r="X18" s="558"/>
      <c r="Y18" s="558"/>
      <c r="Z18" s="556"/>
      <c r="AA18" s="636"/>
      <c r="AB18" s="558"/>
      <c r="AC18" s="1449">
        <v>45605</v>
      </c>
      <c r="AD18" s="1164" t="s">
        <v>5511</v>
      </c>
      <c r="AE18" s="557"/>
      <c r="AF18" s="558"/>
      <c r="AG18" s="558"/>
      <c r="AH18" s="556"/>
      <c r="AI18" s="934">
        <v>924</v>
      </c>
      <c r="AJ18" s="935">
        <v>45580</v>
      </c>
      <c r="AK18" s="938">
        <v>22329</v>
      </c>
      <c r="AL18" s="368" t="s">
        <v>2922</v>
      </c>
      <c r="AM18" s="553"/>
      <c r="AN18" s="933"/>
      <c r="AO18" s="935"/>
      <c r="AP18" s="939"/>
      <c r="AQ18" s="368"/>
      <c r="AR18" s="933"/>
      <c r="AS18" s="935"/>
      <c r="AT18" s="372"/>
      <c r="AU18" s="372"/>
      <c r="AV18" s="372"/>
      <c r="AW18" s="372"/>
      <c r="AX18" s="372"/>
      <c r="AY18" s="372"/>
      <c r="AZ18" s="372"/>
      <c r="BA18" s="372"/>
      <c r="BB18" s="372"/>
      <c r="BC18" s="372"/>
      <c r="BD18" s="372"/>
    </row>
    <row r="19" spans="1:78" s="69" customFormat="1">
      <c r="A19" s="679"/>
      <c r="B19" s="679"/>
      <c r="C19" s="679"/>
      <c r="D19" s="679"/>
      <c r="E19" s="679"/>
      <c r="F19" s="679"/>
      <c r="G19" s="679"/>
      <c r="H19" s="679"/>
      <c r="I19" s="679"/>
      <c r="J19" s="679"/>
      <c r="K19" s="679"/>
      <c r="L19" s="679"/>
      <c r="M19" s="679"/>
      <c r="N19" s="679"/>
      <c r="O19" s="679"/>
      <c r="P19" s="679"/>
      <c r="Q19" s="942"/>
      <c r="R19" s="944"/>
      <c r="S19" s="944"/>
      <c r="T19" s="944"/>
      <c r="U19" s="944"/>
      <c r="V19" s="944"/>
      <c r="W19" s="944"/>
      <c r="X19" s="558"/>
      <c r="Y19" s="558"/>
      <c r="Z19" s="604"/>
      <c r="AA19" s="932"/>
      <c r="AB19" s="605"/>
      <c r="AC19" s="1636" t="s">
        <v>5690</v>
      </c>
      <c r="AD19" s="1164" t="s">
        <v>5578</v>
      </c>
      <c r="AE19" s="557"/>
      <c r="AF19" s="558"/>
      <c r="AG19" s="558"/>
      <c r="AH19" s="556"/>
      <c r="AI19" s="934">
        <v>926</v>
      </c>
      <c r="AJ19" s="935">
        <v>45535</v>
      </c>
      <c r="AK19" s="938">
        <v>69097.75</v>
      </c>
      <c r="AL19" s="368" t="s">
        <v>2923</v>
      </c>
      <c r="AM19" s="553"/>
      <c r="AN19" s="933"/>
      <c r="AO19" s="935"/>
      <c r="AP19" s="939"/>
      <c r="AQ19" s="368"/>
      <c r="AR19" s="933"/>
      <c r="AS19" s="935"/>
      <c r="AT19" s="372"/>
      <c r="AU19" s="372"/>
      <c r="AV19" s="372"/>
      <c r="AW19" s="372"/>
      <c r="AX19" s="372"/>
      <c r="AY19" s="372"/>
      <c r="AZ19" s="372"/>
      <c r="BA19" s="372"/>
      <c r="BB19" s="372"/>
      <c r="BC19" s="372"/>
      <c r="BD19" s="372"/>
    </row>
    <row r="20" spans="1:78" s="69" customFormat="1">
      <c r="A20" s="679"/>
      <c r="B20" s="679"/>
      <c r="C20" s="679"/>
      <c r="D20" s="679"/>
      <c r="E20" s="679"/>
      <c r="F20" s="679"/>
      <c r="G20" s="679"/>
      <c r="H20" s="679"/>
      <c r="I20" s="679"/>
      <c r="J20" s="679"/>
      <c r="K20" s="679"/>
      <c r="L20" s="679"/>
      <c r="M20" s="679"/>
      <c r="N20" s="679"/>
      <c r="O20" s="679"/>
      <c r="P20" s="679"/>
      <c r="Q20" s="942"/>
      <c r="R20" s="944"/>
      <c r="S20" s="944"/>
      <c r="T20" s="944"/>
      <c r="U20" s="944"/>
      <c r="V20" s="944"/>
      <c r="W20" s="944"/>
      <c r="X20" s="558"/>
      <c r="Y20" s="558"/>
      <c r="Z20" s="604"/>
      <c r="AA20" s="932"/>
      <c r="AB20" s="605"/>
      <c r="AC20" s="1449">
        <v>45611</v>
      </c>
      <c r="AD20" s="1164" t="s">
        <v>5649</v>
      </c>
      <c r="AE20" s="557"/>
      <c r="AF20" s="558"/>
      <c r="AG20" s="558"/>
      <c r="AH20" s="556"/>
      <c r="AI20" s="934">
        <v>882</v>
      </c>
      <c r="AJ20" s="935">
        <v>45486</v>
      </c>
      <c r="AK20" s="938">
        <v>15000</v>
      </c>
      <c r="AL20" s="368" t="s">
        <v>2924</v>
      </c>
      <c r="AM20" s="553"/>
      <c r="AN20" s="933"/>
      <c r="AO20" s="935"/>
      <c r="AP20" s="939"/>
      <c r="AQ20" s="368"/>
      <c r="AR20" s="933"/>
      <c r="AS20" s="935"/>
      <c r="AT20" s="372"/>
      <c r="AU20" s="372"/>
      <c r="AV20" s="372"/>
      <c r="AW20" s="372"/>
      <c r="AX20" s="372"/>
      <c r="AY20" s="372"/>
      <c r="AZ20" s="372"/>
      <c r="BA20" s="372"/>
      <c r="BB20" s="372"/>
      <c r="BC20" s="372"/>
      <c r="BD20" s="372"/>
    </row>
    <row r="21" spans="1:78" s="69" customFormat="1" ht="15.75">
      <c r="A21" s="679"/>
      <c r="B21" s="679"/>
      <c r="C21" s="679"/>
      <c r="D21" s="679"/>
      <c r="E21" s="679"/>
      <c r="F21" s="679"/>
      <c r="G21" s="679"/>
      <c r="H21" s="679"/>
      <c r="I21" s="679"/>
      <c r="J21" s="679"/>
      <c r="K21" s="679"/>
      <c r="L21" s="679"/>
      <c r="M21" s="679"/>
      <c r="N21" s="679"/>
      <c r="O21" s="679"/>
      <c r="P21" s="679"/>
      <c r="Q21" s="942"/>
      <c r="R21" s="944"/>
      <c r="S21" s="944"/>
      <c r="T21" s="944"/>
      <c r="U21" s="944"/>
      <c r="V21" s="944"/>
      <c r="W21" s="944"/>
      <c r="X21" s="558"/>
      <c r="Y21" s="558"/>
      <c r="Z21" s="604"/>
      <c r="AA21" s="932"/>
      <c r="AB21" s="605"/>
      <c r="AC21" s="1643">
        <v>45617</v>
      </c>
      <c r="AD21" s="1164" t="s">
        <v>5727</v>
      </c>
      <c r="AE21" s="557"/>
      <c r="AF21" s="558"/>
      <c r="AG21" s="558"/>
      <c r="AH21" s="556"/>
      <c r="AI21" s="934">
        <v>883</v>
      </c>
      <c r="AJ21" s="935">
        <v>45486</v>
      </c>
      <c r="AK21" s="938">
        <v>15000</v>
      </c>
      <c r="AL21" s="368" t="s">
        <v>2928</v>
      </c>
      <c r="AM21" s="553"/>
      <c r="AN21" s="933"/>
      <c r="AO21" s="935"/>
      <c r="AP21" s="939"/>
      <c r="AQ21" s="368"/>
      <c r="AR21" s="933"/>
      <c r="AS21" s="935"/>
      <c r="AT21" s="372"/>
      <c r="AU21" s="372"/>
      <c r="AV21" s="372"/>
      <c r="AW21" s="372"/>
      <c r="AX21" s="372"/>
      <c r="AY21" s="372"/>
      <c r="AZ21" s="372"/>
      <c r="BA21" s="372"/>
      <c r="BB21" s="372"/>
      <c r="BC21" s="372"/>
      <c r="BD21" s="372"/>
      <c r="BS21" s="1761"/>
      <c r="BT21" s="1761"/>
      <c r="BU21" s="1761"/>
      <c r="BV21" s="196"/>
      <c r="BW21" s="197"/>
      <c r="BX21" s="1761"/>
      <c r="BY21" s="1761"/>
      <c r="BZ21" s="1761"/>
    </row>
    <row r="22" spans="1:78" s="69" customFormat="1">
      <c r="A22" s="679"/>
      <c r="B22" s="679"/>
      <c r="C22" s="679"/>
      <c r="D22" s="679"/>
      <c r="E22" s="679"/>
      <c r="F22" s="679"/>
      <c r="G22" s="679"/>
      <c r="H22" s="679"/>
      <c r="I22" s="679"/>
      <c r="J22" s="679"/>
      <c r="K22" s="679"/>
      <c r="L22" s="679"/>
      <c r="M22" s="679"/>
      <c r="N22" s="679"/>
      <c r="O22" s="679"/>
      <c r="P22" s="679"/>
      <c r="Q22" s="942"/>
      <c r="R22" s="944"/>
      <c r="S22" s="944"/>
      <c r="T22" s="944"/>
      <c r="U22" s="944"/>
      <c r="V22" s="944"/>
      <c r="W22" s="944"/>
      <c r="X22" s="558"/>
      <c r="Y22" s="558"/>
      <c r="Z22" s="556"/>
      <c r="AA22" s="636"/>
      <c r="AB22" s="558"/>
      <c r="AC22" s="1643"/>
      <c r="AD22" s="1164" t="s">
        <v>5734</v>
      </c>
      <c r="AE22" s="557"/>
      <c r="AF22" s="558"/>
      <c r="AG22" s="558"/>
      <c r="AH22" s="556"/>
      <c r="AI22" s="933">
        <v>927</v>
      </c>
      <c r="AJ22" s="935">
        <v>45606</v>
      </c>
      <c r="AK22" s="939">
        <v>24707</v>
      </c>
      <c r="AL22" s="368" t="s">
        <v>2929</v>
      </c>
      <c r="AM22" s="553"/>
      <c r="AN22" s="933"/>
      <c r="AO22" s="935"/>
      <c r="AP22" s="939"/>
      <c r="AQ22" s="368"/>
      <c r="AR22" s="933"/>
      <c r="AS22" s="935"/>
      <c r="AT22" s="372"/>
      <c r="AU22" s="372"/>
      <c r="AV22" s="372"/>
      <c r="AW22" s="372"/>
      <c r="AX22" s="372"/>
      <c r="AY22" s="372"/>
      <c r="AZ22" s="372"/>
      <c r="BA22" s="372"/>
      <c r="BB22" s="372"/>
      <c r="BC22" s="372"/>
      <c r="BD22" s="372"/>
      <c r="BS22" s="198"/>
      <c r="BT22" s="199"/>
      <c r="BU22" s="200"/>
      <c r="BV22" s="201"/>
      <c r="BX22" s="202"/>
      <c r="BY22" s="202"/>
      <c r="BZ22" s="201"/>
    </row>
    <row r="23" spans="1:78" s="69" customFormat="1">
      <c r="A23" s="679"/>
      <c r="B23" s="679"/>
      <c r="C23" s="679"/>
      <c r="D23" s="679"/>
      <c r="E23" s="679"/>
      <c r="F23" s="679"/>
      <c r="G23" s="679"/>
      <c r="H23" s="679"/>
      <c r="I23" s="679"/>
      <c r="J23" s="679"/>
      <c r="K23" s="679"/>
      <c r="L23" s="679"/>
      <c r="M23" s="679"/>
      <c r="N23" s="679"/>
      <c r="O23" s="679"/>
      <c r="P23" s="679"/>
      <c r="Q23" s="942"/>
      <c r="R23" s="944"/>
      <c r="S23" s="944"/>
      <c r="T23" s="944"/>
      <c r="U23" s="944"/>
      <c r="V23" s="944"/>
      <c r="W23" s="944"/>
      <c r="X23" s="558"/>
      <c r="Y23" s="558"/>
      <c r="Z23" s="556"/>
      <c r="AA23" s="636"/>
      <c r="AB23" s="558"/>
      <c r="AC23" s="1636" t="s">
        <v>5690</v>
      </c>
      <c r="AD23" s="1164" t="s">
        <v>5788</v>
      </c>
      <c r="AE23" s="557"/>
      <c r="AF23" s="558"/>
      <c r="AG23" s="558"/>
      <c r="AH23" s="556"/>
      <c r="AI23" s="933">
        <v>931</v>
      </c>
      <c r="AJ23" s="935">
        <v>45580</v>
      </c>
      <c r="AK23" s="939">
        <v>1050</v>
      </c>
      <c r="AL23" s="368" t="s">
        <v>2930</v>
      </c>
      <c r="AM23" s="553"/>
      <c r="AN23" s="933"/>
      <c r="AO23" s="935"/>
      <c r="AP23" s="939"/>
      <c r="AQ23" s="368"/>
      <c r="AR23" s="933"/>
      <c r="AS23" s="935"/>
      <c r="AT23" s="372"/>
      <c r="AU23" s="372"/>
      <c r="AV23" s="372"/>
      <c r="AW23" s="372"/>
      <c r="AX23" s="372"/>
      <c r="AY23" s="372"/>
      <c r="AZ23" s="372"/>
      <c r="BA23" s="372"/>
      <c r="BB23" s="372"/>
      <c r="BC23" s="372"/>
      <c r="BD23" s="372"/>
      <c r="BS23" s="198"/>
      <c r="BT23" s="199"/>
      <c r="BU23" s="200"/>
      <c r="BV23" s="201"/>
      <c r="BX23" s="202"/>
      <c r="BY23" s="202"/>
      <c r="BZ23" s="201"/>
    </row>
    <row r="24" spans="1:78" s="69" customFormat="1">
      <c r="A24" s="951"/>
      <c r="B24" s="951"/>
      <c r="C24" s="951"/>
      <c r="D24" s="951"/>
      <c r="E24" s="951"/>
      <c r="F24" s="951"/>
      <c r="G24" s="951"/>
      <c r="H24" s="951"/>
      <c r="I24" s="951"/>
      <c r="J24" s="951"/>
      <c r="K24" s="951"/>
      <c r="L24" s="951"/>
      <c r="M24" s="951"/>
      <c r="N24" s="951"/>
      <c r="O24" s="951"/>
      <c r="P24" s="951"/>
      <c r="Q24" s="951"/>
      <c r="R24" s="951"/>
      <c r="S24" s="951"/>
      <c r="T24" s="951"/>
      <c r="U24" s="951"/>
      <c r="V24" s="951"/>
      <c r="W24" s="951"/>
      <c r="X24" s="558"/>
      <c r="Y24" s="558"/>
      <c r="Z24" s="556"/>
      <c r="AA24" s="636"/>
      <c r="AB24" s="558"/>
      <c r="AC24" s="1643" t="s">
        <v>5790</v>
      </c>
      <c r="AD24" s="1661" t="s">
        <v>5789</v>
      </c>
      <c r="AE24" s="557"/>
      <c r="AF24" s="558"/>
      <c r="AG24" s="558"/>
      <c r="AH24" s="556"/>
      <c r="AI24" s="934">
        <v>929</v>
      </c>
      <c r="AJ24" s="935">
        <v>45585</v>
      </c>
      <c r="AK24" s="939">
        <v>8690</v>
      </c>
      <c r="AL24" s="368" t="s">
        <v>2931</v>
      </c>
      <c r="AM24" s="553"/>
      <c r="AN24" s="933"/>
      <c r="AO24" s="935"/>
      <c r="AP24" s="939"/>
      <c r="AQ24" s="368"/>
      <c r="AR24" s="933"/>
      <c r="AS24" s="935"/>
      <c r="AT24" s="372"/>
      <c r="AU24" s="372"/>
      <c r="AV24" s="372"/>
      <c r="AW24" s="372"/>
      <c r="AX24" s="372"/>
      <c r="AY24" s="372"/>
      <c r="AZ24" s="372"/>
      <c r="BA24" s="372"/>
      <c r="BB24" s="372"/>
      <c r="BC24" s="372"/>
      <c r="BD24" s="372"/>
      <c r="BS24" s="198"/>
      <c r="BT24" s="199"/>
      <c r="BU24" s="200"/>
      <c r="BV24" s="201"/>
      <c r="BX24" s="202"/>
      <c r="BY24" s="202"/>
      <c r="BZ24" s="201"/>
    </row>
    <row r="25" spans="1:78" s="69" customFormat="1">
      <c r="A25" s="951"/>
      <c r="B25" s="951"/>
      <c r="C25" s="951"/>
      <c r="D25" s="951"/>
      <c r="E25" s="951"/>
      <c r="F25" s="951"/>
      <c r="G25" s="951"/>
      <c r="H25" s="951"/>
      <c r="I25" s="951"/>
      <c r="J25" s="951"/>
      <c r="K25" s="951"/>
      <c r="L25" s="951"/>
      <c r="M25" s="951"/>
      <c r="N25" s="951"/>
      <c r="O25" s="951"/>
      <c r="P25" s="951"/>
      <c r="Q25" s="951"/>
      <c r="R25" s="951"/>
      <c r="S25" s="951"/>
      <c r="T25" s="951"/>
      <c r="U25" s="951"/>
      <c r="V25" s="951"/>
      <c r="W25" s="951"/>
      <c r="X25" s="558"/>
      <c r="Y25" s="558"/>
      <c r="Z25" s="556"/>
      <c r="AA25" s="636"/>
      <c r="AB25" s="558" t="s">
        <v>5939</v>
      </c>
      <c r="AC25" s="1643">
        <v>45626</v>
      </c>
      <c r="AD25" s="556">
        <v>296</v>
      </c>
      <c r="AE25" s="557" t="s">
        <v>5940</v>
      </c>
      <c r="AF25" s="558"/>
      <c r="AG25" s="558"/>
      <c r="AH25" s="556"/>
      <c r="AI25" s="933">
        <v>934</v>
      </c>
      <c r="AJ25" s="935">
        <v>45606</v>
      </c>
      <c r="AK25" s="939">
        <v>15648</v>
      </c>
      <c r="AL25" s="368" t="s">
        <v>2932</v>
      </c>
      <c r="AM25" s="553"/>
      <c r="AN25" s="933"/>
      <c r="AO25" s="935"/>
      <c r="AP25" s="939"/>
      <c r="AQ25" s="368"/>
      <c r="AR25" s="933"/>
      <c r="AS25" s="935"/>
      <c r="AT25" s="372"/>
      <c r="AU25" s="372"/>
      <c r="AV25" s="372"/>
      <c r="AW25" s="372"/>
      <c r="AX25" s="372"/>
      <c r="AY25" s="372"/>
      <c r="AZ25" s="372"/>
      <c r="BA25" s="372"/>
      <c r="BB25" s="372"/>
      <c r="BC25" s="372"/>
      <c r="BD25" s="372"/>
      <c r="BS25" s="198"/>
      <c r="BT25" s="199"/>
      <c r="BU25" s="202"/>
      <c r="BV25" s="201"/>
      <c r="BX25" s="202"/>
      <c r="BY25" s="202"/>
      <c r="BZ25" s="201"/>
    </row>
    <row r="26" spans="1:78" s="69" customFormat="1">
      <c r="A26" s="951"/>
      <c r="B26" s="951"/>
      <c r="C26" s="951"/>
      <c r="D26" s="951"/>
      <c r="E26" s="951"/>
      <c r="F26" s="951"/>
      <c r="G26" s="951"/>
      <c r="H26" s="951"/>
      <c r="I26" s="951"/>
      <c r="J26" s="951"/>
      <c r="K26" s="951"/>
      <c r="L26" s="951"/>
      <c r="M26" s="951"/>
      <c r="N26" s="951"/>
      <c r="O26" s="951"/>
      <c r="P26" s="951"/>
      <c r="Q26" s="951"/>
      <c r="R26" s="951"/>
      <c r="S26" s="951"/>
      <c r="T26" s="951"/>
      <c r="U26" s="951"/>
      <c r="V26" s="951"/>
      <c r="W26" s="951"/>
      <c r="X26" s="558"/>
      <c r="Y26" s="558"/>
      <c r="Z26" s="556"/>
      <c r="AA26" s="636"/>
      <c r="AB26" s="558"/>
      <c r="AC26" s="1643">
        <v>45631</v>
      </c>
      <c r="AD26" s="556"/>
      <c r="AE26" s="557" t="s">
        <v>6072</v>
      </c>
      <c r="AF26" s="558"/>
      <c r="AG26" s="558"/>
      <c r="AH26" s="556"/>
      <c r="AI26" s="934">
        <v>930</v>
      </c>
      <c r="AJ26" s="935">
        <v>45585</v>
      </c>
      <c r="AK26" s="939">
        <v>13751</v>
      </c>
      <c r="AL26" s="368" t="s">
        <v>2933</v>
      </c>
      <c r="AM26" s="372"/>
      <c r="AN26" s="933"/>
      <c r="AO26" s="935"/>
      <c r="AP26" s="939"/>
      <c r="AQ26" s="368"/>
      <c r="AR26" s="933"/>
      <c r="AS26" s="935"/>
      <c r="BE26" s="198"/>
      <c r="BF26" s="199"/>
      <c r="BG26" s="202"/>
      <c r="BH26" s="201"/>
      <c r="BJ26" s="202"/>
      <c r="BK26" s="202"/>
      <c r="BL26" s="201"/>
    </row>
    <row r="27" spans="1:78" s="69" customFormat="1">
      <c r="A27" s="951"/>
      <c r="B27" s="951"/>
      <c r="C27" s="951"/>
      <c r="D27" s="951"/>
      <c r="E27" s="951"/>
      <c r="F27" s="951"/>
      <c r="G27" s="951"/>
      <c r="H27" s="951"/>
      <c r="I27" s="951"/>
      <c r="J27" s="951"/>
      <c r="K27" s="951"/>
      <c r="L27" s="951"/>
      <c r="M27" s="951"/>
      <c r="N27" s="951"/>
      <c r="O27" s="951"/>
      <c r="P27" s="951"/>
      <c r="Q27" s="951"/>
      <c r="R27" s="951"/>
      <c r="S27" s="951"/>
      <c r="T27" s="951"/>
      <c r="U27" s="951"/>
      <c r="V27" s="951"/>
      <c r="W27" s="951"/>
      <c r="X27" s="558"/>
      <c r="Y27" s="558"/>
      <c r="Z27" s="604"/>
      <c r="AA27" s="932"/>
      <c r="AB27" s="605"/>
      <c r="AC27" s="1643"/>
      <c r="AD27" s="556"/>
      <c r="AE27" s="557" t="s">
        <v>6153</v>
      </c>
      <c r="AF27" s="558"/>
      <c r="AG27" s="558"/>
      <c r="AH27" s="556"/>
      <c r="AI27" s="934">
        <v>933</v>
      </c>
      <c r="AJ27" s="935">
        <v>45551</v>
      </c>
      <c r="AK27" s="938">
        <v>2005</v>
      </c>
      <c r="AL27" s="368" t="s">
        <v>2934</v>
      </c>
      <c r="AM27" s="372"/>
      <c r="AN27" s="933"/>
      <c r="AO27" s="935"/>
      <c r="AP27" s="939"/>
      <c r="AQ27" s="368"/>
      <c r="AR27" s="933"/>
      <c r="AS27" s="935"/>
      <c r="BE27" s="198"/>
      <c r="BF27" s="199"/>
      <c r="BG27" s="202"/>
      <c r="BH27" s="201"/>
      <c r="BJ27" s="202"/>
      <c r="BK27" s="202"/>
      <c r="BL27" s="201"/>
    </row>
    <row r="28" spans="1:78" s="69" customFormat="1">
      <c r="A28" s="951"/>
      <c r="B28" s="951"/>
      <c r="C28" s="951"/>
      <c r="D28" s="951"/>
      <c r="E28" s="951"/>
      <c r="F28" s="951"/>
      <c r="G28" s="951"/>
      <c r="H28" s="951"/>
      <c r="I28" s="951"/>
      <c r="J28" s="951"/>
      <c r="K28" s="951"/>
      <c r="L28" s="951"/>
      <c r="M28" s="951"/>
      <c r="N28" s="951"/>
      <c r="O28" s="951"/>
      <c r="P28" s="951"/>
      <c r="Q28" s="951"/>
      <c r="R28" s="951"/>
      <c r="S28" s="951"/>
      <c r="T28" s="951"/>
      <c r="U28" s="951"/>
      <c r="V28" s="951"/>
      <c r="W28" s="951"/>
      <c r="X28" s="558"/>
      <c r="Y28" s="558"/>
      <c r="Z28" s="604"/>
      <c r="AA28" s="932"/>
      <c r="AB28" s="605"/>
      <c r="AC28" s="1643"/>
      <c r="AD28" s="556"/>
      <c r="AE28" s="557"/>
      <c r="AF28" s="558"/>
      <c r="AG28" s="558"/>
      <c r="AH28" s="556"/>
      <c r="AI28" s="934">
        <v>938</v>
      </c>
      <c r="AJ28" s="935">
        <v>45557</v>
      </c>
      <c r="AK28" s="938">
        <v>15000</v>
      </c>
      <c r="AL28" s="368" t="s">
        <v>2935</v>
      </c>
      <c r="AM28" s="372"/>
      <c r="AN28" s="933"/>
      <c r="AO28" s="935"/>
      <c r="AP28" s="939"/>
      <c r="AQ28" s="368"/>
      <c r="AR28" s="933"/>
      <c r="AS28" s="935"/>
      <c r="BE28" s="198"/>
      <c r="BF28" s="199"/>
      <c r="BG28" s="202"/>
      <c r="BH28" s="201"/>
      <c r="BJ28" s="202"/>
      <c r="BK28" s="202"/>
      <c r="BL28" s="201"/>
    </row>
    <row r="29" spans="1:78" s="69" customFormat="1">
      <c r="A29" s="951"/>
      <c r="B29" s="951"/>
      <c r="C29" s="951"/>
      <c r="D29" s="951"/>
      <c r="E29" s="951"/>
      <c r="F29" s="951"/>
      <c r="G29" s="951"/>
      <c r="H29" s="951"/>
      <c r="I29" s="951"/>
      <c r="J29" s="951"/>
      <c r="K29" s="951"/>
      <c r="L29" s="951"/>
      <c r="M29" s="951"/>
      <c r="N29" s="951"/>
      <c r="O29" s="951"/>
      <c r="P29" s="951"/>
      <c r="Q29" s="951"/>
      <c r="R29" s="951"/>
      <c r="S29" s="951"/>
      <c r="T29" s="951"/>
      <c r="U29" s="951"/>
      <c r="V29" s="951"/>
      <c r="W29" s="951"/>
      <c r="X29" s="558"/>
      <c r="Y29" s="558"/>
      <c r="Z29" s="556"/>
      <c r="AA29" s="636"/>
      <c r="AB29" s="558"/>
      <c r="AC29" s="1643"/>
      <c r="AD29" s="556"/>
      <c r="AE29" s="557"/>
      <c r="AF29" s="558"/>
      <c r="AG29" s="558"/>
      <c r="AH29" s="556"/>
      <c r="AI29" s="933">
        <v>741</v>
      </c>
      <c r="AJ29" s="935" t="s">
        <v>1825</v>
      </c>
      <c r="AK29" s="939">
        <v>57750</v>
      </c>
      <c r="AL29" s="368" t="s">
        <v>2936</v>
      </c>
      <c r="AN29" s="933"/>
      <c r="AO29" s="935"/>
      <c r="AP29" s="939"/>
      <c r="AQ29" s="368"/>
      <c r="AR29" s="933"/>
      <c r="AS29" s="935"/>
      <c r="BE29" s="198"/>
      <c r="BF29" s="199"/>
      <c r="BG29" s="202"/>
      <c r="BH29" s="201"/>
      <c r="BJ29" s="202"/>
      <c r="BK29" s="202"/>
      <c r="BL29" s="201"/>
    </row>
    <row r="30" spans="1:78" s="69" customFormat="1">
      <c r="A30" s="951"/>
      <c r="B30" s="951"/>
      <c r="C30" s="951"/>
      <c r="D30" s="951"/>
      <c r="E30" s="951"/>
      <c r="F30" s="951"/>
      <c r="G30" s="951"/>
      <c r="H30" s="951"/>
      <c r="I30" s="951"/>
      <c r="J30" s="951"/>
      <c r="K30" s="951"/>
      <c r="L30" s="951"/>
      <c r="M30" s="951"/>
      <c r="N30" s="951"/>
      <c r="O30" s="951"/>
      <c r="P30" s="951"/>
      <c r="Q30" s="951"/>
      <c r="R30" s="951"/>
      <c r="S30" s="951"/>
      <c r="T30" s="951"/>
      <c r="U30" s="951"/>
      <c r="V30" s="951"/>
      <c r="W30" s="951"/>
      <c r="X30" s="1187"/>
      <c r="Y30" s="1186"/>
      <c r="Z30" s="556"/>
      <c r="AA30" s="636"/>
      <c r="AB30" s="558"/>
      <c r="AC30" s="1643"/>
      <c r="AD30" s="556"/>
      <c r="AE30" s="557"/>
      <c r="AF30" s="558"/>
      <c r="AG30" s="558"/>
      <c r="AH30" s="556"/>
      <c r="AI30" s="934">
        <v>941</v>
      </c>
      <c r="AJ30" s="935">
        <v>45575</v>
      </c>
      <c r="AK30" s="938">
        <v>11585</v>
      </c>
      <c r="AL30" s="368" t="s">
        <v>2937</v>
      </c>
      <c r="AN30" s="933"/>
      <c r="AO30" s="935"/>
      <c r="AP30" s="939"/>
      <c r="AQ30" s="368"/>
      <c r="AR30" s="933"/>
      <c r="AS30" s="935"/>
      <c r="BE30" s="198"/>
      <c r="BF30" s="199"/>
      <c r="BG30" s="202"/>
      <c r="BH30" s="201"/>
      <c r="BJ30" s="202"/>
      <c r="BK30" s="202"/>
      <c r="BL30" s="201"/>
    </row>
    <row r="31" spans="1:78" s="69" customFormat="1">
      <c r="A31" s="951"/>
      <c r="B31" s="951"/>
      <c r="C31" s="951"/>
      <c r="D31" s="951"/>
      <c r="E31" s="951"/>
      <c r="F31" s="951"/>
      <c r="G31" s="951"/>
      <c r="H31" s="951"/>
      <c r="I31" s="951"/>
      <c r="J31" s="951"/>
      <c r="K31" s="951"/>
      <c r="L31" s="951"/>
      <c r="M31" s="951"/>
      <c r="N31" s="951"/>
      <c r="O31" s="951"/>
      <c r="P31" s="951"/>
      <c r="Q31" s="951"/>
      <c r="R31" s="951"/>
      <c r="S31" s="951"/>
      <c r="T31" s="951"/>
      <c r="U31" s="951"/>
      <c r="V31" s="951"/>
      <c r="W31" s="951"/>
      <c r="X31" s="1187"/>
      <c r="Y31" s="1186"/>
      <c r="Z31" s="556"/>
      <c r="AA31" s="636"/>
      <c r="AB31" s="558"/>
      <c r="AC31" s="1643"/>
      <c r="AD31" s="602"/>
      <c r="AE31" s="371"/>
      <c r="AF31" s="371"/>
      <c r="AI31" s="934">
        <v>943</v>
      </c>
      <c r="AJ31" s="935">
        <v>45575</v>
      </c>
      <c r="AK31" s="938">
        <v>26480</v>
      </c>
      <c r="AL31" s="368" t="s">
        <v>2938</v>
      </c>
      <c r="AN31" s="933"/>
      <c r="AO31" s="935"/>
      <c r="AP31" s="939"/>
      <c r="AQ31" s="368"/>
      <c r="AR31" s="933"/>
      <c r="AS31" s="935"/>
      <c r="BE31" s="198"/>
      <c r="BF31" s="199"/>
      <c r="BG31" s="202"/>
      <c r="BH31" s="201"/>
      <c r="BJ31" s="202"/>
      <c r="BK31" s="202"/>
      <c r="BL31" s="201"/>
    </row>
    <row r="32" spans="1:78" s="69" customFormat="1" ht="15.75">
      <c r="A32" s="951"/>
      <c r="B32" s="951"/>
      <c r="C32" s="951"/>
      <c r="D32" s="951"/>
      <c r="E32" s="951"/>
      <c r="F32" s="951"/>
      <c r="G32" s="951"/>
      <c r="H32" s="951"/>
      <c r="I32" s="951"/>
      <c r="J32" s="951"/>
      <c r="K32" s="951"/>
      <c r="L32" s="951"/>
      <c r="M32" s="951"/>
      <c r="N32" s="951"/>
      <c r="O32" s="951"/>
      <c r="P32" s="951"/>
      <c r="Q32" s="951"/>
      <c r="R32" s="951"/>
      <c r="S32" s="951"/>
      <c r="T32" s="951"/>
      <c r="U32" s="951"/>
      <c r="V32" s="951"/>
      <c r="W32" s="951"/>
      <c r="X32" s="1187"/>
      <c r="Y32" s="1186"/>
      <c r="Z32" s="556"/>
      <c r="AA32" s="636"/>
      <c r="AB32" s="558"/>
      <c r="AC32" s="1643"/>
      <c r="AD32" s="602"/>
      <c r="AE32" s="371"/>
      <c r="AF32" s="371"/>
      <c r="AI32" s="933">
        <v>944</v>
      </c>
      <c r="AJ32" s="935">
        <v>45641</v>
      </c>
      <c r="AK32" s="939">
        <v>26480</v>
      </c>
      <c r="AL32" s="368" t="s">
        <v>2939</v>
      </c>
      <c r="AN32" s="933"/>
      <c r="AO32" s="935"/>
      <c r="AP32" s="939"/>
      <c r="AQ32" s="368"/>
      <c r="AR32" s="933"/>
      <c r="AS32" s="935"/>
      <c r="BE32" s="198"/>
      <c r="BF32" s="199"/>
      <c r="BG32" s="202"/>
      <c r="BH32" s="201"/>
      <c r="BJ32" s="202"/>
      <c r="BK32" s="202"/>
      <c r="BL32" s="201"/>
      <c r="BO32" s="1761"/>
      <c r="BP32" s="1761"/>
      <c r="BQ32" s="1761"/>
      <c r="BT32" s="1761"/>
      <c r="BU32" s="1761"/>
      <c r="BV32" s="1761"/>
    </row>
    <row r="33" spans="1:74" s="69" customFormat="1" ht="15.75">
      <c r="A33" s="951"/>
      <c r="B33" s="951"/>
      <c r="C33" s="951"/>
      <c r="D33" s="951"/>
      <c r="E33" s="951"/>
      <c r="F33" s="951"/>
      <c r="G33" s="951"/>
      <c r="H33" s="951"/>
      <c r="I33" s="951"/>
      <c r="J33" s="951"/>
      <c r="K33" s="951"/>
      <c r="L33" s="951"/>
      <c r="M33" s="951"/>
      <c r="N33" s="951"/>
      <c r="O33" s="951"/>
      <c r="P33" s="951"/>
      <c r="Q33" s="951"/>
      <c r="R33" s="951"/>
      <c r="S33" s="951"/>
      <c r="T33" s="951"/>
      <c r="U33" s="951"/>
      <c r="V33" s="951"/>
      <c r="W33" s="951"/>
      <c r="X33" s="951"/>
      <c r="Y33" s="1186"/>
      <c r="Z33" s="556"/>
      <c r="AA33" s="636"/>
      <c r="AB33" s="558"/>
      <c r="AC33" s="1643"/>
      <c r="AD33" s="602"/>
      <c r="AI33" s="933">
        <v>945</v>
      </c>
      <c r="AJ33" s="935">
        <v>45703</v>
      </c>
      <c r="AK33" s="939">
        <v>26480</v>
      </c>
      <c r="AL33" s="368" t="s">
        <v>2940</v>
      </c>
      <c r="AN33" s="933"/>
      <c r="AO33" s="935"/>
      <c r="AP33" s="939"/>
      <c r="AQ33" s="368"/>
      <c r="AR33" s="933"/>
      <c r="AS33" s="935"/>
      <c r="BE33" s="198"/>
      <c r="BF33" s="199"/>
      <c r="BG33" s="202"/>
      <c r="BH33" s="201"/>
      <c r="BJ33" s="202"/>
      <c r="BK33" s="202"/>
      <c r="BL33" s="201"/>
      <c r="BO33" s="1762"/>
      <c r="BP33" s="1762"/>
      <c r="BQ33" s="1762"/>
      <c r="BT33" s="1762"/>
      <c r="BU33" s="1762"/>
      <c r="BV33" s="1762"/>
    </row>
    <row r="34" spans="1:74" s="69" customFormat="1" ht="15.75">
      <c r="A34" s="951"/>
      <c r="B34" s="951"/>
      <c r="C34" s="951"/>
      <c r="D34" s="951"/>
      <c r="E34" s="951"/>
      <c r="F34" s="951"/>
      <c r="G34" s="951"/>
      <c r="H34" s="951"/>
      <c r="I34" s="951"/>
      <c r="J34" s="951"/>
      <c r="K34" s="951"/>
      <c r="L34" s="951"/>
      <c r="M34" s="951"/>
      <c r="N34" s="951"/>
      <c r="O34" s="951"/>
      <c r="P34" s="951"/>
      <c r="Q34" s="951"/>
      <c r="R34" s="951"/>
      <c r="S34" s="951"/>
      <c r="T34" s="951"/>
      <c r="U34" s="951"/>
      <c r="V34" s="951"/>
      <c r="W34" s="951"/>
      <c r="X34" s="1187"/>
      <c r="Y34" s="1186"/>
      <c r="Z34" s="556"/>
      <c r="AA34" s="636"/>
      <c r="AB34" s="558"/>
      <c r="AC34" s="558"/>
      <c r="AD34" s="602"/>
      <c r="AI34" s="933">
        <v>946</v>
      </c>
      <c r="AJ34" s="935">
        <v>45762</v>
      </c>
      <c r="AK34" s="939">
        <v>26480</v>
      </c>
      <c r="AL34" s="368" t="s">
        <v>2941</v>
      </c>
      <c r="AN34" s="933"/>
      <c r="AO34" s="935"/>
      <c r="AP34" s="939"/>
      <c r="AQ34" s="368"/>
      <c r="AR34" s="933"/>
      <c r="AS34" s="935"/>
      <c r="BE34" s="198"/>
      <c r="BF34" s="199"/>
      <c r="BG34" s="202"/>
      <c r="BH34" s="201"/>
      <c r="BJ34" s="202"/>
      <c r="BK34" s="202"/>
      <c r="BL34" s="201"/>
      <c r="BO34" s="1762"/>
      <c r="BP34" s="1762"/>
      <c r="BQ34" s="1762"/>
      <c r="BT34" s="1762"/>
      <c r="BU34" s="1762"/>
      <c r="BV34" s="1762"/>
    </row>
    <row r="35" spans="1:74" s="69" customFormat="1" ht="18">
      <c r="A35" s="951"/>
      <c r="B35" s="951"/>
      <c r="C35" s="951"/>
      <c r="D35" s="951"/>
      <c r="E35" s="951"/>
      <c r="F35" s="951"/>
      <c r="G35" s="951"/>
      <c r="H35" s="951"/>
      <c r="I35" s="951"/>
      <c r="J35" s="951"/>
      <c r="K35" s="951"/>
      <c r="L35" s="951"/>
      <c r="M35" s="951"/>
      <c r="N35" s="951"/>
      <c r="O35" s="951"/>
      <c r="P35" s="951"/>
      <c r="Q35" s="951"/>
      <c r="R35" s="951"/>
      <c r="S35" s="951"/>
      <c r="T35" s="951"/>
      <c r="U35" s="951"/>
      <c r="V35" s="951"/>
      <c r="W35" s="951"/>
      <c r="X35" s="1187"/>
      <c r="Y35" s="1186"/>
      <c r="Z35" s="556"/>
      <c r="AA35" s="636"/>
      <c r="AB35" s="558"/>
      <c r="AC35" s="558"/>
      <c r="AD35" s="602"/>
      <c r="AI35" s="933">
        <v>935</v>
      </c>
      <c r="AJ35" s="935">
        <v>45621</v>
      </c>
      <c r="AK35" s="939">
        <v>41448</v>
      </c>
      <c r="AL35" s="368" t="s">
        <v>2942</v>
      </c>
      <c r="AN35" s="933"/>
      <c r="AO35" s="935"/>
      <c r="AP35" s="939"/>
      <c r="AQ35" s="368"/>
      <c r="AR35" s="933"/>
      <c r="AS35" s="935"/>
      <c r="BE35" s="203"/>
      <c r="BO35" s="1762"/>
      <c r="BP35" s="1762"/>
      <c r="BQ35" s="1762"/>
      <c r="BT35" s="1762"/>
      <c r="BU35" s="1762"/>
      <c r="BV35" s="1762"/>
    </row>
    <row r="36" spans="1:74" s="69" customFormat="1" ht="15.75">
      <c r="A36" s="951"/>
      <c r="B36" s="951"/>
      <c r="C36" s="951"/>
      <c r="D36" s="951"/>
      <c r="E36" s="951"/>
      <c r="F36" s="951"/>
      <c r="G36" s="951"/>
      <c r="H36" s="951"/>
      <c r="I36" s="951"/>
      <c r="J36" s="951"/>
      <c r="K36" s="951"/>
      <c r="L36" s="951"/>
      <c r="M36" s="951"/>
      <c r="N36" s="951"/>
      <c r="O36" s="951"/>
      <c r="P36" s="951"/>
      <c r="Q36" s="951"/>
      <c r="R36" s="951"/>
      <c r="S36" s="951"/>
      <c r="T36" s="951"/>
      <c r="U36" s="951"/>
      <c r="V36" s="951"/>
      <c r="W36" s="951"/>
      <c r="X36" s="1188"/>
      <c r="Y36" s="1186"/>
      <c r="Z36" s="556"/>
      <c r="AA36" s="636"/>
      <c r="AB36" s="558"/>
      <c r="AC36" s="558"/>
      <c r="AD36" s="602"/>
      <c r="AI36" s="933">
        <v>936</v>
      </c>
      <c r="AJ36" s="935">
        <v>45621</v>
      </c>
      <c r="AK36" s="939">
        <v>20244</v>
      </c>
      <c r="AL36" s="368" t="s">
        <v>2943</v>
      </c>
      <c r="AN36" s="933"/>
      <c r="AO36" s="935"/>
      <c r="AP36" s="939"/>
      <c r="AQ36" s="368"/>
      <c r="AR36" s="933"/>
      <c r="AS36" s="935"/>
      <c r="BO36" s="1762"/>
      <c r="BP36" s="1762"/>
      <c r="BQ36" s="1762"/>
      <c r="BT36" s="1762"/>
      <c r="BU36" s="1762"/>
      <c r="BV36" s="1762"/>
    </row>
    <row r="37" spans="1:74" s="69" customFormat="1" ht="15.75">
      <c r="A37" s="951"/>
      <c r="B37" s="951"/>
      <c r="C37" s="951"/>
      <c r="D37" s="951"/>
      <c r="E37" s="951"/>
      <c r="F37" s="951"/>
      <c r="G37" s="951"/>
      <c r="H37" s="951"/>
      <c r="I37" s="951"/>
      <c r="J37" s="951"/>
      <c r="K37" s="951"/>
      <c r="L37" s="951"/>
      <c r="M37" s="951"/>
      <c r="N37" s="951"/>
      <c r="O37" s="951"/>
      <c r="P37" s="951"/>
      <c r="Q37" s="951"/>
      <c r="R37" s="951"/>
      <c r="S37" s="951"/>
      <c r="T37" s="951"/>
      <c r="U37" s="951"/>
      <c r="V37" s="951"/>
      <c r="W37" s="951"/>
      <c r="X37" s="1188"/>
      <c r="Y37" s="1186"/>
      <c r="Z37" s="604"/>
      <c r="AA37" s="932"/>
      <c r="AB37" s="605"/>
      <c r="AC37" s="558"/>
      <c r="AD37" s="602"/>
      <c r="AI37" s="934">
        <v>942</v>
      </c>
      <c r="AJ37" s="935">
        <v>45560</v>
      </c>
      <c r="AK37" s="938">
        <v>60369</v>
      </c>
      <c r="AL37" s="368" t="s">
        <v>2944</v>
      </c>
      <c r="AN37" s="933"/>
      <c r="AO37" s="935"/>
      <c r="AP37" s="939"/>
      <c r="AQ37" s="368"/>
      <c r="AR37" s="933"/>
      <c r="AS37" s="935"/>
      <c r="BO37" s="1762"/>
      <c r="BP37" s="1762"/>
      <c r="BQ37" s="1762"/>
      <c r="BT37" s="1762"/>
      <c r="BU37" s="1762"/>
      <c r="BV37" s="1762"/>
    </row>
    <row r="38" spans="1:74" s="69" customFormat="1" ht="15.75">
      <c r="A38" s="951"/>
      <c r="B38" s="951"/>
      <c r="C38" s="951"/>
      <c r="D38" s="951"/>
      <c r="E38" s="951"/>
      <c r="F38" s="951"/>
      <c r="G38" s="951"/>
      <c r="H38" s="951"/>
      <c r="I38" s="951"/>
      <c r="J38" s="951"/>
      <c r="K38" s="951"/>
      <c r="L38" s="951"/>
      <c r="M38" s="951"/>
      <c r="N38" s="951"/>
      <c r="O38" s="951"/>
      <c r="P38" s="951"/>
      <c r="Q38" s="951"/>
      <c r="R38" s="951"/>
      <c r="S38" s="951"/>
      <c r="T38" s="951"/>
      <c r="U38" s="951"/>
      <c r="V38" s="951"/>
      <c r="W38" s="951"/>
      <c r="X38" s="1188"/>
      <c r="Y38" s="1186"/>
      <c r="Z38" s="556"/>
      <c r="AA38" s="636"/>
      <c r="AB38" s="558"/>
      <c r="AC38" s="558"/>
      <c r="AD38" s="602"/>
      <c r="AI38" s="934">
        <v>932</v>
      </c>
      <c r="AJ38" s="935">
        <v>45585</v>
      </c>
      <c r="AK38" s="939">
        <v>15293</v>
      </c>
      <c r="AL38" s="368" t="s">
        <v>2946</v>
      </c>
      <c r="AN38" s="933"/>
      <c r="AO38" s="935"/>
      <c r="AP38" s="939"/>
      <c r="AQ38" s="368"/>
      <c r="AR38" s="933"/>
      <c r="AS38" s="935"/>
      <c r="BO38" s="1762"/>
      <c r="BP38" s="1762"/>
      <c r="BQ38" s="1762"/>
      <c r="BT38" s="1762"/>
      <c r="BU38" s="1762"/>
      <c r="BV38" s="1762"/>
    </row>
    <row r="39" spans="1:74" s="69" customFormat="1" ht="15.75">
      <c r="A39" s="951"/>
      <c r="B39" s="951"/>
      <c r="C39" s="951"/>
      <c r="D39" s="951"/>
      <c r="E39" s="951"/>
      <c r="F39" s="951"/>
      <c r="G39" s="951"/>
      <c r="H39" s="951"/>
      <c r="I39" s="951"/>
      <c r="J39" s="951"/>
      <c r="K39" s="951"/>
      <c r="L39" s="951"/>
      <c r="M39" s="951"/>
      <c r="N39" s="951"/>
      <c r="O39" s="951"/>
      <c r="P39" s="951"/>
      <c r="Q39" s="951"/>
      <c r="R39" s="951"/>
      <c r="S39" s="951"/>
      <c r="T39" s="951"/>
      <c r="U39" s="951"/>
      <c r="V39" s="951"/>
      <c r="W39" s="951"/>
      <c r="X39" s="1188"/>
      <c r="Y39" s="1186"/>
      <c r="Z39" s="604"/>
      <c r="AA39" s="932"/>
      <c r="AB39" s="605"/>
      <c r="AC39" s="558"/>
      <c r="AD39" s="602"/>
      <c r="AI39" s="934">
        <v>896</v>
      </c>
      <c r="AJ39" s="935">
        <v>45524</v>
      </c>
      <c r="AK39" s="938">
        <v>8165</v>
      </c>
      <c r="AL39" s="368" t="s">
        <v>2947</v>
      </c>
      <c r="AN39" s="933"/>
      <c r="AO39" s="935"/>
      <c r="AP39" s="939"/>
      <c r="AQ39" s="368"/>
      <c r="AR39" s="933"/>
      <c r="AS39" s="935"/>
      <c r="BO39" s="1762"/>
      <c r="BP39" s="1762"/>
      <c r="BQ39" s="1762"/>
      <c r="BT39" s="1762"/>
      <c r="BU39" s="1762"/>
      <c r="BV39" s="1762"/>
    </row>
    <row r="40" spans="1:74" s="69" customFormat="1" ht="15.75">
      <c r="A40" s="951"/>
      <c r="B40" s="951"/>
      <c r="C40" s="951"/>
      <c r="D40" s="951"/>
      <c r="E40" s="951"/>
      <c r="F40" s="951"/>
      <c r="G40" s="951"/>
      <c r="H40" s="951"/>
      <c r="I40" s="951"/>
      <c r="J40" s="951"/>
      <c r="K40" s="951"/>
      <c r="L40" s="951"/>
      <c r="M40" s="951"/>
      <c r="N40" s="951"/>
      <c r="O40" s="951"/>
      <c r="P40" s="951"/>
      <c r="Q40" s="951"/>
      <c r="R40" s="951"/>
      <c r="S40" s="951"/>
      <c r="T40" s="951"/>
      <c r="U40" s="951"/>
      <c r="V40" s="951"/>
      <c r="W40" s="951"/>
      <c r="X40" s="1188"/>
      <c r="Y40" s="1186"/>
      <c r="Z40" s="556"/>
      <c r="AA40" s="636"/>
      <c r="AB40" s="558"/>
      <c r="AC40" s="558"/>
      <c r="AD40" s="602"/>
      <c r="AI40" s="934">
        <v>886</v>
      </c>
      <c r="AJ40" s="935">
        <v>45585</v>
      </c>
      <c r="AK40" s="939">
        <v>8167</v>
      </c>
      <c r="AL40" s="368" t="s">
        <v>2947</v>
      </c>
      <c r="AN40" s="933"/>
      <c r="AO40" s="935"/>
      <c r="AP40" s="939"/>
      <c r="AQ40" s="368"/>
      <c r="AR40" s="933"/>
      <c r="AS40" s="935"/>
      <c r="BO40" s="1762"/>
      <c r="BP40" s="1762"/>
      <c r="BQ40" s="1762"/>
      <c r="BT40" s="1762"/>
      <c r="BU40" s="1762"/>
      <c r="BV40" s="1762"/>
    </row>
    <row r="41" spans="1:74" s="69" customFormat="1" ht="15.75">
      <c r="A41" s="951"/>
      <c r="B41" s="951"/>
      <c r="C41" s="951"/>
      <c r="D41" s="951"/>
      <c r="E41" s="951"/>
      <c r="F41" s="951"/>
      <c r="G41" s="951"/>
      <c r="H41" s="951"/>
      <c r="I41" s="951"/>
      <c r="J41" s="951"/>
      <c r="K41" s="951"/>
      <c r="L41" s="951"/>
      <c r="M41" s="951"/>
      <c r="N41" s="951"/>
      <c r="O41" s="951"/>
      <c r="P41" s="951"/>
      <c r="Q41" s="951"/>
      <c r="R41" s="951"/>
      <c r="S41" s="951"/>
      <c r="T41" s="951"/>
      <c r="U41" s="951"/>
      <c r="V41" s="951"/>
      <c r="W41" s="951"/>
      <c r="X41" s="1188"/>
      <c r="Y41" s="1186"/>
      <c r="Z41" s="556"/>
      <c r="AA41" s="636"/>
      <c r="AB41" s="558"/>
      <c r="AC41" s="558"/>
      <c r="AD41" s="602"/>
      <c r="AI41" s="933">
        <v>885</v>
      </c>
      <c r="AJ41" s="935">
        <v>45646</v>
      </c>
      <c r="AK41" s="939">
        <v>8167</v>
      </c>
      <c r="AL41" s="368" t="s">
        <v>2947</v>
      </c>
      <c r="AN41" s="933"/>
      <c r="AO41" s="935"/>
      <c r="AP41" s="939"/>
      <c r="AQ41" s="368"/>
      <c r="AR41" s="933"/>
      <c r="AS41" s="935"/>
      <c r="BO41" s="1762"/>
      <c r="BP41" s="1762"/>
      <c r="BQ41" s="1762"/>
      <c r="BT41" s="1762"/>
      <c r="BU41" s="1762"/>
      <c r="BV41" s="1762"/>
    </row>
    <row r="42" spans="1:74" s="69" customFormat="1">
      <c r="A42" s="951"/>
      <c r="B42" s="951"/>
      <c r="C42" s="951"/>
      <c r="D42" s="951"/>
      <c r="E42" s="951"/>
      <c r="F42" s="951"/>
      <c r="G42" s="951"/>
      <c r="H42" s="951"/>
      <c r="I42" s="951"/>
      <c r="J42" s="951"/>
      <c r="K42" s="951"/>
      <c r="L42" s="951"/>
      <c r="M42" s="951"/>
      <c r="N42" s="951"/>
      <c r="O42" s="951"/>
      <c r="P42" s="951"/>
      <c r="Q42" s="951"/>
      <c r="R42" s="951"/>
      <c r="S42" s="951"/>
      <c r="T42" s="951"/>
      <c r="U42" s="951"/>
      <c r="V42" s="951"/>
      <c r="W42" s="951"/>
      <c r="X42" s="1188"/>
      <c r="Y42" s="1186"/>
      <c r="Z42" s="556"/>
      <c r="AA42" s="636"/>
      <c r="AB42" s="558"/>
      <c r="AC42" s="558"/>
      <c r="AD42" s="602"/>
      <c r="AI42" s="933">
        <v>890</v>
      </c>
      <c r="AJ42" s="935">
        <v>45828</v>
      </c>
      <c r="AK42" s="939">
        <v>8167</v>
      </c>
      <c r="AL42" s="368" t="s">
        <v>2947</v>
      </c>
      <c r="AN42" s="933"/>
      <c r="AO42" s="935"/>
      <c r="AP42" s="939"/>
      <c r="AQ42" s="368"/>
      <c r="AR42" s="933"/>
      <c r="AS42" s="935"/>
    </row>
    <row r="43" spans="1:74" s="69" customFormat="1">
      <c r="W43" s="368"/>
      <c r="X43" s="1187"/>
      <c r="Y43" s="1186"/>
      <c r="Z43" s="556"/>
      <c r="AA43" s="636"/>
      <c r="AB43" s="558"/>
      <c r="AC43" s="558"/>
      <c r="AD43" s="602"/>
      <c r="AI43" s="933">
        <v>891</v>
      </c>
      <c r="AJ43" s="935">
        <v>45767</v>
      </c>
      <c r="AK43" s="939">
        <v>8167</v>
      </c>
      <c r="AL43" s="368" t="s">
        <v>2947</v>
      </c>
      <c r="AN43" s="933"/>
      <c r="AO43" s="935"/>
      <c r="AP43" s="939"/>
      <c r="AQ43" s="368"/>
      <c r="AR43" s="933"/>
      <c r="AS43" s="935"/>
    </row>
    <row r="44" spans="1:74" s="69" customFormat="1">
      <c r="T44" s="367"/>
      <c r="U44" s="367"/>
      <c r="X44" s="1187"/>
      <c r="Y44" s="1186"/>
      <c r="Z44" s="556"/>
      <c r="AA44" s="636"/>
      <c r="AB44" s="558"/>
      <c r="AC44" s="558"/>
      <c r="AD44" s="602"/>
      <c r="AI44" s="933">
        <v>884</v>
      </c>
      <c r="AJ44" s="935">
        <v>45708</v>
      </c>
      <c r="AK44" s="939">
        <v>8167</v>
      </c>
      <c r="AL44" s="368" t="s">
        <v>2947</v>
      </c>
      <c r="AN44" s="933"/>
      <c r="AO44" s="935"/>
      <c r="AP44" s="939"/>
      <c r="AQ44" s="368"/>
      <c r="AR44" s="933"/>
      <c r="AS44" s="935"/>
    </row>
    <row r="45" spans="1:74" s="69" customFormat="1">
      <c r="X45" s="1187"/>
      <c r="Y45" s="1186"/>
      <c r="Z45" s="556"/>
      <c r="AA45" s="636"/>
      <c r="AB45" s="558"/>
      <c r="AC45" s="558"/>
      <c r="AD45" s="602"/>
      <c r="AI45" s="934">
        <v>889</v>
      </c>
      <c r="AJ45" s="935">
        <v>45585</v>
      </c>
      <c r="AK45" s="939">
        <v>1575</v>
      </c>
      <c r="AL45" s="368" t="s">
        <v>2947</v>
      </c>
      <c r="AN45" s="933"/>
      <c r="AO45" s="935"/>
      <c r="AP45" s="939"/>
      <c r="AQ45" s="368"/>
      <c r="AR45" s="933"/>
      <c r="AS45" s="935"/>
    </row>
    <row r="46" spans="1:74" s="69" customFormat="1">
      <c r="T46" s="367"/>
      <c r="U46" s="367"/>
      <c r="X46" s="1187"/>
      <c r="Y46" s="1186"/>
      <c r="Z46" s="604"/>
      <c r="AA46" s="932"/>
      <c r="AB46" s="605"/>
      <c r="AC46" s="558"/>
      <c r="AD46" s="602"/>
      <c r="AI46" s="934">
        <v>894</v>
      </c>
      <c r="AJ46" s="935">
        <v>45555</v>
      </c>
      <c r="AK46" s="938">
        <v>1575</v>
      </c>
      <c r="AL46" s="368" t="s">
        <v>2947</v>
      </c>
      <c r="AN46" s="933"/>
      <c r="AO46" s="935"/>
      <c r="AP46" s="939"/>
      <c r="AQ46" s="368"/>
      <c r="AR46" s="933"/>
      <c r="AS46" s="935"/>
    </row>
    <row r="47" spans="1:74" s="69" customFormat="1">
      <c r="X47" s="1187"/>
      <c r="Y47" s="1186"/>
      <c r="Z47" s="556"/>
      <c r="AA47" s="636"/>
      <c r="AB47" s="558"/>
      <c r="AC47" s="558"/>
      <c r="AD47" s="602"/>
      <c r="AI47" s="933">
        <v>743</v>
      </c>
      <c r="AJ47" s="935" t="s">
        <v>1847</v>
      </c>
      <c r="AK47" s="939">
        <v>11500</v>
      </c>
      <c r="AL47" s="368" t="s">
        <v>2948</v>
      </c>
      <c r="AN47" s="933"/>
      <c r="AO47" s="935"/>
      <c r="AP47" s="939"/>
      <c r="AQ47" s="368"/>
      <c r="AR47" s="933"/>
      <c r="AS47" s="935"/>
    </row>
    <row r="48" spans="1:74" s="69" customFormat="1">
      <c r="X48" s="1187"/>
      <c r="Y48" s="1186"/>
      <c r="Z48" s="556"/>
      <c r="AA48" s="636"/>
      <c r="AB48" s="558"/>
      <c r="AC48" s="558"/>
      <c r="AD48" s="602"/>
      <c r="AI48" s="933">
        <v>949</v>
      </c>
      <c r="AJ48" s="935">
        <v>45621</v>
      </c>
      <c r="AK48" s="939">
        <v>26418</v>
      </c>
      <c r="AL48" s="368" t="s">
        <v>2949</v>
      </c>
      <c r="AN48" s="933"/>
      <c r="AO48" s="935"/>
      <c r="AP48" s="939"/>
      <c r="AQ48" s="368"/>
      <c r="AR48" s="933"/>
      <c r="AS48" s="935"/>
    </row>
    <row r="49" spans="24:45" s="69" customFormat="1">
      <c r="X49" s="1188"/>
      <c r="Y49" s="1186"/>
      <c r="Z49" s="604"/>
      <c r="AA49" s="932"/>
      <c r="AB49" s="605"/>
      <c r="AC49" s="558"/>
      <c r="AI49" s="934">
        <v>948</v>
      </c>
      <c r="AJ49" s="935">
        <v>45565</v>
      </c>
      <c r="AK49" s="938">
        <v>74942</v>
      </c>
      <c r="AL49" s="368" t="s">
        <v>2950</v>
      </c>
      <c r="AN49" s="933"/>
      <c r="AO49" s="935"/>
      <c r="AP49" s="939"/>
      <c r="AQ49" s="368"/>
      <c r="AR49" s="933"/>
      <c r="AS49" s="935"/>
    </row>
    <row r="50" spans="24:45" s="69" customFormat="1">
      <c r="X50" s="1188"/>
      <c r="Y50" s="1186"/>
      <c r="Z50" s="604"/>
      <c r="AA50" s="932"/>
      <c r="AB50" s="605"/>
      <c r="AC50" s="558"/>
      <c r="AI50" s="934">
        <v>950</v>
      </c>
      <c r="AJ50" s="935">
        <v>45565</v>
      </c>
      <c r="AK50" s="938">
        <v>15000</v>
      </c>
      <c r="AL50" s="368" t="s">
        <v>2951</v>
      </c>
      <c r="AN50" s="933"/>
      <c r="AO50" s="935"/>
      <c r="AP50" s="939"/>
      <c r="AQ50" s="368"/>
      <c r="AR50" s="933"/>
      <c r="AS50" s="935"/>
    </row>
    <row r="51" spans="24:45" s="69" customFormat="1">
      <c r="X51" s="1188"/>
      <c r="Y51" s="1186"/>
      <c r="Z51" s="604"/>
      <c r="AA51" s="932"/>
      <c r="AB51" s="605"/>
      <c r="AC51" s="558"/>
      <c r="AI51" s="934">
        <v>937</v>
      </c>
      <c r="AJ51" s="935">
        <v>45537</v>
      </c>
      <c r="AK51" s="938">
        <v>15000</v>
      </c>
      <c r="AL51" s="368" t="s">
        <v>2995</v>
      </c>
      <c r="AN51" s="933"/>
      <c r="AO51" s="935"/>
      <c r="AP51" s="939"/>
      <c r="AQ51" s="368"/>
      <c r="AR51" s="933"/>
      <c r="AS51" s="935"/>
    </row>
    <row r="52" spans="24:45" s="69" customFormat="1">
      <c r="X52" s="1188"/>
      <c r="Y52" s="1186"/>
      <c r="Z52" s="556"/>
      <c r="AA52" s="636"/>
      <c r="AB52" s="558"/>
      <c r="AC52" s="558"/>
      <c r="AI52" s="933">
        <v>952</v>
      </c>
      <c r="AJ52" s="935">
        <v>45641</v>
      </c>
      <c r="AK52" s="939">
        <v>86446</v>
      </c>
      <c r="AL52" s="368" t="s">
        <v>3046</v>
      </c>
      <c r="AN52" s="933"/>
      <c r="AO52" s="935"/>
      <c r="AP52" s="939"/>
      <c r="AQ52" s="368"/>
      <c r="AR52" s="933"/>
      <c r="AS52" s="935"/>
    </row>
    <row r="53" spans="24:45" s="69" customFormat="1">
      <c r="X53" s="1188"/>
      <c r="Y53" s="1186"/>
      <c r="Z53" s="556"/>
      <c r="AA53" s="636"/>
      <c r="AB53" s="558"/>
      <c r="AC53" s="558"/>
      <c r="AI53" s="933"/>
      <c r="AJ53" s="935"/>
      <c r="AK53" s="939"/>
      <c r="AL53" s="368"/>
      <c r="AN53" s="933"/>
      <c r="AO53" s="935"/>
      <c r="AP53" s="939"/>
      <c r="AQ53" s="368"/>
      <c r="AR53" s="933"/>
      <c r="AS53" s="935"/>
    </row>
    <row r="54" spans="24:45" s="69" customFormat="1">
      <c r="X54" s="1188"/>
      <c r="Y54" s="1186"/>
      <c r="Z54" s="556"/>
      <c r="AA54" s="636"/>
      <c r="AB54" s="558"/>
      <c r="AC54" s="558"/>
      <c r="AI54" s="933"/>
      <c r="AJ54" s="935"/>
      <c r="AK54" s="939"/>
      <c r="AL54" s="368"/>
      <c r="AN54" s="933"/>
      <c r="AO54" s="935"/>
      <c r="AP54" s="939"/>
      <c r="AQ54" s="368"/>
      <c r="AR54" s="933"/>
      <c r="AS54" s="935"/>
    </row>
    <row r="55" spans="24:45" s="69" customFormat="1">
      <c r="Y55" s="1186"/>
      <c r="Z55" s="556"/>
      <c r="AA55" s="636"/>
      <c r="AB55" s="558"/>
      <c r="AC55" s="558"/>
      <c r="AI55" s="933"/>
      <c r="AJ55" s="935"/>
      <c r="AK55" s="939"/>
      <c r="AL55" s="368"/>
      <c r="AN55" s="933"/>
      <c r="AO55" s="935"/>
      <c r="AP55" s="939"/>
      <c r="AQ55" s="368"/>
      <c r="AR55" s="933"/>
      <c r="AS55" s="935"/>
    </row>
    <row r="56" spans="24:45" s="69" customFormat="1">
      <c r="Y56" s="1186"/>
      <c r="Z56" s="556"/>
      <c r="AA56" s="636"/>
      <c r="AB56" s="558"/>
      <c r="AC56" s="558"/>
      <c r="AI56" s="933"/>
      <c r="AJ56" s="935"/>
      <c r="AK56" s="939"/>
      <c r="AL56" s="368"/>
      <c r="AN56" s="933"/>
      <c r="AO56" s="935"/>
      <c r="AP56" s="939"/>
      <c r="AQ56" s="368"/>
      <c r="AR56" s="933"/>
      <c r="AS56" s="935"/>
    </row>
    <row r="57" spans="24:45" s="69" customFormat="1">
      <c r="Y57" s="1186"/>
      <c r="Z57" s="556"/>
      <c r="AA57" s="636"/>
      <c r="AB57" s="558"/>
      <c r="AC57" s="558"/>
      <c r="AI57" s="933"/>
      <c r="AJ57" s="935"/>
      <c r="AK57" s="939"/>
      <c r="AL57" s="368"/>
      <c r="AN57" s="933"/>
      <c r="AO57" s="935"/>
      <c r="AP57" s="939"/>
      <c r="AQ57" s="368"/>
      <c r="AR57" s="933"/>
      <c r="AS57" s="935"/>
    </row>
    <row r="58" spans="24:45" s="69" customFormat="1">
      <c r="Y58" s="1186"/>
      <c r="Z58" s="556"/>
      <c r="AA58" s="636"/>
      <c r="AB58" s="558"/>
      <c r="AC58" s="558"/>
      <c r="AI58" s="933"/>
      <c r="AJ58" s="935"/>
      <c r="AK58" s="939"/>
      <c r="AL58" s="368"/>
      <c r="AN58" s="933"/>
      <c r="AO58" s="935"/>
      <c r="AP58" s="939"/>
      <c r="AQ58" s="368"/>
      <c r="AR58" s="933"/>
      <c r="AS58" s="935"/>
    </row>
    <row r="59" spans="24:45" s="69" customFormat="1">
      <c r="Y59" s="1186"/>
      <c r="Z59" s="556"/>
      <c r="AA59" s="636"/>
      <c r="AB59" s="558"/>
      <c r="AC59" s="558"/>
      <c r="AI59" s="933"/>
      <c r="AJ59" s="935"/>
      <c r="AK59" s="939"/>
      <c r="AL59" s="368"/>
      <c r="AN59" s="933"/>
      <c r="AO59" s="935"/>
      <c r="AP59" s="939"/>
      <c r="AQ59" s="368"/>
      <c r="AR59" s="933"/>
      <c r="AS59" s="935"/>
    </row>
    <row r="60" spans="24:45" s="69" customFormat="1">
      <c r="Y60" s="1186"/>
      <c r="Z60" s="556"/>
      <c r="AA60" s="636"/>
      <c r="AB60" s="558"/>
      <c r="AC60" s="558"/>
      <c r="AI60" s="933"/>
      <c r="AJ60" s="935"/>
      <c r="AK60" s="939"/>
      <c r="AL60" s="368"/>
      <c r="AN60" s="933"/>
      <c r="AO60" s="935"/>
      <c r="AP60" s="939"/>
      <c r="AQ60" s="368"/>
      <c r="AR60" s="933"/>
      <c r="AS60" s="935"/>
    </row>
    <row r="61" spans="24:45" s="69" customFormat="1">
      <c r="Y61" s="1186"/>
      <c r="Z61" s="556"/>
      <c r="AA61" s="636"/>
      <c r="AB61" s="558"/>
      <c r="AC61" s="558"/>
      <c r="AI61" s="933"/>
      <c r="AJ61" s="935"/>
      <c r="AK61" s="939"/>
      <c r="AL61" s="368"/>
      <c r="AN61" s="933"/>
      <c r="AO61" s="935"/>
      <c r="AP61" s="939"/>
      <c r="AQ61" s="368"/>
      <c r="AR61" s="933"/>
      <c r="AS61" s="935"/>
    </row>
    <row r="62" spans="24:45" s="69" customFormat="1">
      <c r="Y62" s="1186"/>
      <c r="Z62" s="556"/>
      <c r="AA62" s="636"/>
      <c r="AB62" s="558"/>
      <c r="AC62" s="558"/>
      <c r="AI62" s="933"/>
      <c r="AJ62" s="935"/>
      <c r="AK62" s="939"/>
      <c r="AL62" s="368"/>
      <c r="AN62" s="933"/>
      <c r="AO62" s="935"/>
      <c r="AP62" s="939"/>
      <c r="AQ62" s="368"/>
      <c r="AR62" s="933"/>
      <c r="AS62" s="935"/>
    </row>
    <row r="63" spans="24:45" s="69" customFormat="1">
      <c r="Y63" s="1186"/>
      <c r="Z63" s="556"/>
      <c r="AA63" s="636"/>
      <c r="AB63" s="558"/>
      <c r="AC63" s="558"/>
      <c r="AI63" s="933"/>
      <c r="AJ63" s="935"/>
      <c r="AK63" s="939"/>
      <c r="AL63" s="368"/>
      <c r="AN63" s="933"/>
      <c r="AO63" s="935"/>
      <c r="AP63" s="939"/>
      <c r="AQ63" s="368"/>
      <c r="AR63" s="933"/>
      <c r="AS63" s="935"/>
    </row>
    <row r="64" spans="24:45" s="69" customFormat="1">
      <c r="Y64" s="1186"/>
      <c r="Z64" s="556"/>
      <c r="AA64" s="636"/>
      <c r="AB64" s="558"/>
      <c r="AC64" s="558"/>
      <c r="AI64" s="933"/>
      <c r="AJ64" s="935"/>
      <c r="AK64" s="939"/>
      <c r="AL64" s="368"/>
      <c r="AN64" s="933"/>
      <c r="AO64" s="935"/>
      <c r="AP64" s="939"/>
      <c r="AQ64" s="368"/>
      <c r="AR64" s="933"/>
      <c r="AS64" s="935"/>
    </row>
    <row r="65" spans="25:45" s="69" customFormat="1">
      <c r="Y65" s="1186"/>
      <c r="Z65" s="556"/>
      <c r="AA65" s="636"/>
      <c r="AB65" s="558"/>
      <c r="AC65" s="558"/>
      <c r="AI65" s="933"/>
      <c r="AJ65" s="935"/>
      <c r="AK65" s="939"/>
      <c r="AL65" s="368"/>
      <c r="AN65" s="933"/>
      <c r="AO65" s="935"/>
      <c r="AP65" s="939"/>
      <c r="AQ65" s="368"/>
      <c r="AR65" s="933"/>
      <c r="AS65" s="935"/>
    </row>
    <row r="66" spans="25:45" s="69" customFormat="1">
      <c r="Y66" s="1186"/>
      <c r="Z66" s="556"/>
      <c r="AA66" s="636"/>
      <c r="AB66" s="558"/>
      <c r="AC66" s="558"/>
      <c r="AI66" s="933"/>
      <c r="AJ66" s="935"/>
      <c r="AK66" s="939"/>
      <c r="AL66" s="368"/>
      <c r="AN66" s="933"/>
      <c r="AO66" s="935"/>
      <c r="AP66" s="939"/>
      <c r="AQ66" s="368"/>
      <c r="AR66" s="933"/>
      <c r="AS66" s="935"/>
    </row>
    <row r="67" spans="25:45" s="69" customFormat="1">
      <c r="Y67" s="1186"/>
      <c r="Z67" s="556"/>
      <c r="AA67" s="636"/>
      <c r="AB67" s="558"/>
      <c r="AC67" s="558"/>
      <c r="AI67" s="933"/>
      <c r="AJ67" s="935"/>
      <c r="AK67" s="939"/>
      <c r="AL67" s="368"/>
      <c r="AN67" s="933"/>
      <c r="AO67" s="935"/>
      <c r="AP67" s="939"/>
      <c r="AQ67" s="368"/>
      <c r="AR67" s="933"/>
      <c r="AS67" s="935"/>
    </row>
    <row r="68" spans="25:45" s="69" customFormat="1">
      <c r="Y68" s="1186"/>
      <c r="Z68" s="556"/>
      <c r="AA68" s="636"/>
      <c r="AB68" s="558"/>
      <c r="AC68" s="558"/>
      <c r="AI68" s="933"/>
      <c r="AJ68" s="935"/>
      <c r="AK68" s="939"/>
      <c r="AL68" s="368"/>
      <c r="AN68" s="933"/>
      <c r="AO68" s="935"/>
      <c r="AP68" s="939"/>
      <c r="AQ68" s="368"/>
      <c r="AR68" s="933"/>
      <c r="AS68" s="935"/>
    </row>
    <row r="69" spans="25:45" s="69" customFormat="1">
      <c r="Y69" s="1186"/>
      <c r="Z69" s="556"/>
      <c r="AA69" s="636"/>
      <c r="AB69" s="558"/>
      <c r="AC69" s="558"/>
      <c r="AI69" s="933"/>
      <c r="AJ69" s="935"/>
      <c r="AK69" s="939"/>
      <c r="AL69" s="368"/>
      <c r="AN69" s="933"/>
      <c r="AO69" s="935"/>
      <c r="AP69" s="939"/>
      <c r="AQ69" s="368"/>
      <c r="AR69" s="933"/>
      <c r="AS69" s="935"/>
    </row>
    <row r="70" spans="25:45" s="69" customFormat="1">
      <c r="Y70" s="1186"/>
      <c r="Z70" s="556"/>
      <c r="AA70" s="636"/>
      <c r="AB70" s="558"/>
      <c r="AC70" s="558"/>
      <c r="AI70" s="933"/>
      <c r="AJ70" s="935"/>
      <c r="AK70" s="939"/>
      <c r="AL70" s="368"/>
      <c r="AN70" s="933"/>
      <c r="AO70" s="935"/>
      <c r="AP70" s="939"/>
      <c r="AQ70" s="368"/>
      <c r="AR70" s="933"/>
      <c r="AS70" s="935"/>
    </row>
    <row r="71" spans="25:45" s="69" customFormat="1">
      <c r="Y71" s="1186"/>
      <c r="Z71" s="556"/>
      <c r="AA71" s="636"/>
      <c r="AB71" s="558"/>
      <c r="AC71" s="558"/>
      <c r="AI71" s="933"/>
      <c r="AJ71" s="935"/>
      <c r="AK71" s="939"/>
      <c r="AL71" s="368"/>
      <c r="AN71" s="933"/>
      <c r="AO71" s="935"/>
      <c r="AP71" s="939"/>
      <c r="AQ71" s="368"/>
      <c r="AR71" s="933"/>
      <c r="AS71" s="935"/>
    </row>
    <row r="72" spans="25:45" s="69" customFormat="1">
      <c r="Y72" s="1186"/>
      <c r="Z72" s="556"/>
      <c r="AA72" s="636"/>
      <c r="AB72" s="558"/>
      <c r="AC72" s="558"/>
      <c r="AI72" s="933"/>
      <c r="AJ72" s="935"/>
      <c r="AK72" s="939"/>
      <c r="AL72" s="368"/>
      <c r="AN72" s="933"/>
      <c r="AO72" s="935"/>
      <c r="AP72" s="939"/>
      <c r="AQ72" s="368"/>
      <c r="AR72" s="933"/>
      <c r="AS72" s="935"/>
    </row>
    <row r="73" spans="25:45" s="69" customFormat="1">
      <c r="Y73" s="1186"/>
      <c r="Z73" s="556"/>
      <c r="AA73" s="636"/>
      <c r="AB73" s="558"/>
      <c r="AC73" s="558"/>
      <c r="AI73" s="933"/>
      <c r="AJ73" s="935"/>
      <c r="AK73" s="939"/>
      <c r="AL73" s="368"/>
      <c r="AN73" s="933"/>
      <c r="AO73" s="935"/>
      <c r="AP73" s="939"/>
      <c r="AQ73" s="368"/>
      <c r="AR73" s="933"/>
      <c r="AS73" s="935"/>
    </row>
    <row r="74" spans="25:45" s="69" customFormat="1">
      <c r="Y74" s="1186"/>
      <c r="Z74" s="556"/>
      <c r="AA74" s="636"/>
      <c r="AB74" s="558"/>
      <c r="AC74" s="558"/>
      <c r="AI74" s="933"/>
      <c r="AJ74" s="935"/>
      <c r="AK74" s="939"/>
      <c r="AL74" s="368"/>
      <c r="AN74" s="933"/>
      <c r="AO74" s="935"/>
      <c r="AP74" s="939"/>
      <c r="AQ74" s="368"/>
      <c r="AR74" s="933"/>
      <c r="AS74" s="935"/>
    </row>
    <row r="75" spans="25:45" s="69" customFormat="1">
      <c r="Y75" s="1186"/>
      <c r="Z75" s="556"/>
      <c r="AA75" s="636"/>
      <c r="AB75" s="558"/>
      <c r="AC75" s="558"/>
      <c r="AI75" s="933"/>
      <c r="AJ75" s="935"/>
      <c r="AK75" s="939"/>
      <c r="AL75" s="368"/>
      <c r="AN75" s="933"/>
      <c r="AO75" s="935"/>
      <c r="AP75" s="939"/>
      <c r="AQ75" s="368"/>
      <c r="AR75" s="933"/>
      <c r="AS75" s="935"/>
    </row>
    <row r="76" spans="25:45" s="69" customFormat="1">
      <c r="Y76" s="1186"/>
      <c r="Z76" s="556"/>
      <c r="AA76" s="636"/>
      <c r="AB76" s="558"/>
      <c r="AC76" s="558"/>
      <c r="AI76" s="933"/>
      <c r="AJ76" s="935"/>
      <c r="AK76" s="939"/>
      <c r="AL76" s="368"/>
      <c r="AN76" s="933"/>
      <c r="AO76" s="935"/>
      <c r="AP76" s="939"/>
      <c r="AQ76" s="368"/>
      <c r="AR76" s="933"/>
      <c r="AS76" s="935"/>
    </row>
    <row r="77" spans="25:45" s="69" customFormat="1">
      <c r="Y77" s="1186"/>
      <c r="Z77" s="556"/>
      <c r="AA77" s="636"/>
      <c r="AB77" s="558"/>
      <c r="AC77" s="558"/>
      <c r="AI77" s="933"/>
      <c r="AJ77" s="935"/>
      <c r="AK77" s="939"/>
      <c r="AL77" s="368"/>
      <c r="AN77" s="933"/>
      <c r="AO77" s="935"/>
      <c r="AP77" s="939"/>
      <c r="AQ77" s="368"/>
      <c r="AR77" s="933"/>
      <c r="AS77" s="935"/>
    </row>
    <row r="78" spans="25:45" s="69" customFormat="1">
      <c r="Y78" s="1186"/>
      <c r="Z78" s="556"/>
      <c r="AA78" s="636"/>
      <c r="AB78" s="558"/>
      <c r="AC78" s="558"/>
      <c r="AI78" s="933"/>
      <c r="AJ78" s="935"/>
      <c r="AK78" s="939"/>
      <c r="AL78" s="368"/>
      <c r="AN78" s="933"/>
      <c r="AO78" s="935"/>
      <c r="AP78" s="939"/>
      <c r="AQ78" s="368"/>
      <c r="AR78" s="933"/>
      <c r="AS78" s="935"/>
    </row>
    <row r="79" spans="25:45" s="69" customFormat="1">
      <c r="Y79" s="1186"/>
      <c r="Z79" s="556"/>
      <c r="AA79" s="636"/>
      <c r="AB79" s="558"/>
      <c r="AC79" s="558"/>
      <c r="AI79" s="933"/>
      <c r="AJ79" s="935"/>
      <c r="AK79" s="939"/>
      <c r="AL79" s="368"/>
      <c r="AN79" s="933"/>
      <c r="AO79" s="935"/>
      <c r="AP79" s="939"/>
      <c r="AQ79" s="368"/>
      <c r="AR79" s="933"/>
      <c r="AS79" s="935"/>
    </row>
    <row r="80" spans="25:45" s="69" customFormat="1">
      <c r="Y80" s="1186"/>
      <c r="Z80" s="556"/>
      <c r="AA80" s="636"/>
      <c r="AB80" s="558"/>
      <c r="AC80" s="558"/>
      <c r="AI80" s="933"/>
      <c r="AJ80" s="935"/>
      <c r="AK80" s="939"/>
      <c r="AL80" s="368"/>
      <c r="AN80" s="933"/>
      <c r="AO80" s="935"/>
      <c r="AP80" s="939"/>
      <c r="AQ80" s="368"/>
      <c r="AR80" s="933"/>
      <c r="AS80" s="935"/>
    </row>
    <row r="81" spans="25:45" s="69" customFormat="1">
      <c r="Y81" s="1186"/>
      <c r="Z81" s="556"/>
      <c r="AA81" s="636"/>
      <c r="AB81" s="558"/>
      <c r="AC81" s="558"/>
      <c r="AI81" s="933"/>
      <c r="AJ81" s="935"/>
      <c r="AK81" s="939"/>
      <c r="AL81" s="368"/>
      <c r="AN81" s="933"/>
      <c r="AO81" s="935"/>
      <c r="AP81" s="939"/>
      <c r="AQ81" s="368"/>
      <c r="AR81" s="933"/>
      <c r="AS81" s="935"/>
    </row>
    <row r="82" spans="25:45" s="69" customFormat="1">
      <c r="Y82" s="1186"/>
      <c r="Z82" s="556"/>
      <c r="AA82" s="636"/>
      <c r="AB82" s="558"/>
      <c r="AC82" s="558"/>
      <c r="AI82" s="933"/>
      <c r="AJ82" s="935"/>
      <c r="AK82" s="939"/>
      <c r="AL82" s="368"/>
      <c r="AN82" s="933"/>
      <c r="AO82" s="935"/>
      <c r="AP82" s="939"/>
      <c r="AQ82" s="368"/>
      <c r="AR82" s="933"/>
      <c r="AS82" s="935"/>
    </row>
    <row r="83" spans="25:45" s="69" customFormat="1">
      <c r="Y83" s="1186"/>
      <c r="Z83" s="556"/>
      <c r="AA83" s="636"/>
      <c r="AB83" s="558"/>
      <c r="AC83" s="558"/>
      <c r="AI83" s="933"/>
      <c r="AJ83" s="935"/>
      <c r="AK83" s="939"/>
      <c r="AL83" s="368"/>
      <c r="AN83" s="933"/>
      <c r="AO83" s="935"/>
      <c r="AP83" s="939"/>
      <c r="AQ83" s="368"/>
      <c r="AR83" s="933"/>
      <c r="AS83" s="935"/>
    </row>
    <row r="84" spans="25:45" s="69" customFormat="1">
      <c r="Y84" s="1186"/>
      <c r="Z84" s="556"/>
      <c r="AA84" s="636"/>
      <c r="AB84" s="558"/>
      <c r="AC84" s="558"/>
      <c r="AI84" s="933"/>
      <c r="AJ84" s="935"/>
      <c r="AK84" s="939"/>
      <c r="AL84" s="368"/>
      <c r="AN84" s="933"/>
      <c r="AO84" s="935"/>
      <c r="AP84" s="939"/>
      <c r="AQ84" s="368"/>
      <c r="AR84" s="933"/>
      <c r="AS84" s="935"/>
    </row>
    <row r="85" spans="25:45" s="69" customFormat="1">
      <c r="Y85" s="1186"/>
      <c r="Z85" s="556"/>
      <c r="AA85" s="636"/>
      <c r="AB85" s="558"/>
      <c r="AC85" s="558"/>
      <c r="AI85" s="933"/>
      <c r="AJ85" s="935"/>
      <c r="AK85" s="939"/>
      <c r="AL85" s="368"/>
      <c r="AN85" s="933"/>
      <c r="AO85" s="935"/>
      <c r="AP85" s="939"/>
      <c r="AQ85" s="368"/>
      <c r="AR85" s="933"/>
      <c r="AS85" s="935"/>
    </row>
    <row r="86" spans="25:45" s="69" customFormat="1">
      <c r="Y86" s="1186"/>
      <c r="Z86" s="556"/>
      <c r="AA86" s="636"/>
      <c r="AB86" s="558"/>
      <c r="AC86" s="558"/>
      <c r="AI86" s="933"/>
      <c r="AJ86" s="935"/>
      <c r="AK86" s="939"/>
      <c r="AL86" s="368"/>
      <c r="AN86" s="933"/>
      <c r="AO86" s="935"/>
      <c r="AP86" s="939"/>
      <c r="AQ86" s="368"/>
      <c r="AR86" s="933"/>
      <c r="AS86" s="935"/>
    </row>
    <row r="87" spans="25:45" s="69" customFormat="1">
      <c r="Y87" s="1186"/>
      <c r="Z87" s="556"/>
      <c r="AA87" s="636"/>
      <c r="AB87" s="558"/>
      <c r="AC87" s="558"/>
      <c r="AI87" s="933"/>
      <c r="AJ87" s="935"/>
      <c r="AK87" s="939"/>
      <c r="AL87" s="368"/>
      <c r="AN87" s="933"/>
      <c r="AO87" s="935"/>
      <c r="AP87" s="939"/>
      <c r="AQ87" s="368"/>
      <c r="AR87" s="933"/>
      <c r="AS87" s="935"/>
    </row>
    <row r="88" spans="25:45" s="69" customFormat="1">
      <c r="Y88" s="1186"/>
      <c r="Z88" s="556"/>
      <c r="AA88" s="636"/>
      <c r="AB88" s="558"/>
      <c r="AC88" s="558"/>
      <c r="AI88" s="933"/>
      <c r="AJ88" s="935"/>
      <c r="AK88" s="939"/>
      <c r="AL88" s="368"/>
      <c r="AN88" s="933"/>
      <c r="AO88" s="935"/>
      <c r="AP88" s="939"/>
      <c r="AQ88" s="368"/>
      <c r="AR88" s="933"/>
      <c r="AS88" s="935"/>
    </row>
    <row r="89" spans="25:45" s="69" customFormat="1">
      <c r="Y89" s="1186"/>
      <c r="Z89" s="556"/>
      <c r="AA89" s="636"/>
      <c r="AB89" s="558"/>
      <c r="AC89" s="558"/>
      <c r="AI89" s="933"/>
      <c r="AJ89" s="935"/>
      <c r="AK89" s="939"/>
      <c r="AL89" s="368"/>
      <c r="AN89" s="933"/>
      <c r="AO89" s="935"/>
      <c r="AP89" s="939"/>
      <c r="AQ89" s="368"/>
      <c r="AR89" s="933"/>
      <c r="AS89" s="935"/>
    </row>
    <row r="90" spans="25:45" s="69" customFormat="1">
      <c r="Y90" s="1186"/>
      <c r="Z90" s="556"/>
      <c r="AA90" s="636"/>
      <c r="AB90" s="558"/>
      <c r="AC90" s="558"/>
      <c r="AI90" s="933"/>
      <c r="AJ90" s="935"/>
      <c r="AK90" s="939"/>
      <c r="AL90" s="368"/>
      <c r="AN90" s="933"/>
      <c r="AO90" s="935"/>
      <c r="AP90" s="939"/>
      <c r="AQ90" s="368"/>
      <c r="AR90" s="933"/>
      <c r="AS90" s="935"/>
    </row>
    <row r="91" spans="25:45" s="69" customFormat="1">
      <c r="Y91" s="1186"/>
      <c r="Z91" s="556"/>
      <c r="AA91" s="636"/>
      <c r="AB91" s="558"/>
      <c r="AC91" s="558"/>
      <c r="AI91" s="933"/>
      <c r="AJ91" s="935"/>
      <c r="AK91" s="939"/>
      <c r="AL91" s="368"/>
      <c r="AN91" s="933"/>
      <c r="AO91" s="935"/>
      <c r="AP91" s="939"/>
      <c r="AQ91" s="368"/>
      <c r="AR91" s="933"/>
      <c r="AS91" s="935"/>
    </row>
    <row r="92" spans="25:45" s="69" customFormat="1">
      <c r="Y92" s="1186"/>
      <c r="Z92" s="556"/>
      <c r="AA92" s="636"/>
      <c r="AB92" s="558"/>
      <c r="AC92" s="558"/>
      <c r="AI92" s="933"/>
      <c r="AJ92" s="935"/>
      <c r="AK92" s="939"/>
      <c r="AL92" s="368"/>
      <c r="AN92" s="933"/>
      <c r="AO92" s="935"/>
      <c r="AP92" s="939"/>
      <c r="AQ92" s="368"/>
      <c r="AR92" s="933"/>
      <c r="AS92" s="935"/>
    </row>
    <row r="93" spans="25:45" s="69" customFormat="1">
      <c r="Y93" s="1186"/>
      <c r="Z93" s="556"/>
      <c r="AA93" s="636"/>
      <c r="AB93" s="558"/>
      <c r="AC93" s="558"/>
      <c r="AI93" s="933"/>
      <c r="AJ93" s="935"/>
      <c r="AK93" s="939"/>
      <c r="AL93" s="368"/>
      <c r="AN93" s="933"/>
      <c r="AO93" s="935"/>
      <c r="AP93" s="939"/>
      <c r="AQ93" s="368"/>
      <c r="AR93" s="933"/>
      <c r="AS93" s="935"/>
    </row>
    <row r="94" spans="25:45" s="69" customFormat="1">
      <c r="Y94" s="1186"/>
      <c r="Z94" s="556"/>
      <c r="AA94" s="636"/>
      <c r="AB94" s="558"/>
      <c r="AC94" s="558"/>
      <c r="AI94" s="933"/>
      <c r="AJ94" s="935"/>
      <c r="AK94" s="939"/>
      <c r="AL94" s="368"/>
      <c r="AN94" s="933"/>
      <c r="AO94" s="935"/>
      <c r="AP94" s="939"/>
      <c r="AQ94" s="368"/>
      <c r="AR94" s="933"/>
      <c r="AS94" s="935"/>
    </row>
    <row r="95" spans="25:45" s="69" customFormat="1">
      <c r="Y95" s="1186"/>
      <c r="Z95" s="556"/>
      <c r="AA95" s="636"/>
      <c r="AB95" s="558"/>
      <c r="AC95" s="558"/>
      <c r="AI95" s="933"/>
      <c r="AJ95" s="935"/>
      <c r="AK95" s="939"/>
      <c r="AL95" s="368"/>
      <c r="AN95" s="933"/>
      <c r="AO95" s="935"/>
      <c r="AP95" s="939"/>
      <c r="AQ95" s="368"/>
      <c r="AR95" s="933"/>
      <c r="AS95" s="935"/>
    </row>
    <row r="96" spans="25:45" s="69" customFormat="1">
      <c r="Y96" s="1186"/>
      <c r="Z96" s="556"/>
      <c r="AA96" s="636"/>
      <c r="AB96" s="558"/>
      <c r="AC96" s="558"/>
      <c r="AI96" s="933"/>
      <c r="AJ96" s="935"/>
      <c r="AK96" s="939"/>
      <c r="AL96" s="368"/>
      <c r="AN96" s="933"/>
      <c r="AO96" s="935"/>
      <c r="AP96" s="939"/>
      <c r="AQ96" s="368"/>
      <c r="AR96" s="933"/>
      <c r="AS96" s="935"/>
    </row>
    <row r="97" spans="1:45" s="69" customFormat="1">
      <c r="Y97" s="1186"/>
      <c r="Z97" s="556"/>
      <c r="AA97" s="636"/>
      <c r="AB97" s="558"/>
      <c r="AC97" s="558"/>
      <c r="AI97" s="933"/>
      <c r="AJ97" s="935"/>
      <c r="AK97" s="939"/>
      <c r="AL97" s="368"/>
      <c r="AN97" s="933"/>
      <c r="AO97" s="935"/>
      <c r="AP97" s="939"/>
      <c r="AQ97" s="368"/>
      <c r="AR97" s="933"/>
      <c r="AS97" s="935"/>
    </row>
    <row r="98" spans="1:45" s="69" customFormat="1">
      <c r="Y98" s="1186"/>
      <c r="Z98" s="556"/>
      <c r="AA98" s="636"/>
      <c r="AB98" s="558"/>
      <c r="AC98" s="558"/>
      <c r="AI98" s="933"/>
      <c r="AJ98" s="935"/>
      <c r="AK98" s="939"/>
      <c r="AL98" s="368"/>
      <c r="AN98" s="933"/>
      <c r="AO98" s="935"/>
      <c r="AP98" s="939"/>
      <c r="AQ98" s="368"/>
      <c r="AR98" s="933"/>
      <c r="AS98" s="935"/>
    </row>
    <row r="99" spans="1:45" s="69" customFormat="1">
      <c r="Y99" s="1186"/>
      <c r="Z99" s="556"/>
      <c r="AA99" s="636"/>
      <c r="AB99" s="558"/>
      <c r="AC99" s="558"/>
      <c r="AI99" s="933"/>
      <c r="AJ99" s="935"/>
      <c r="AK99" s="939"/>
      <c r="AL99" s="368"/>
      <c r="AN99" s="933"/>
      <c r="AO99" s="935"/>
      <c r="AP99" s="939"/>
      <c r="AQ99" s="368"/>
      <c r="AR99" s="933"/>
      <c r="AS99" s="935"/>
    </row>
    <row r="100" spans="1:45" s="69" customFormat="1">
      <c r="Y100" s="1186"/>
      <c r="Z100" s="556"/>
      <c r="AA100" s="636"/>
      <c r="AB100" s="558"/>
      <c r="AC100" s="558"/>
      <c r="AI100" s="933"/>
      <c r="AJ100" s="935"/>
      <c r="AK100" s="939"/>
      <c r="AL100" s="368"/>
      <c r="AN100" s="933"/>
      <c r="AO100" s="935"/>
      <c r="AP100" s="939"/>
      <c r="AQ100" s="368"/>
      <c r="AR100" s="933"/>
      <c r="AS100" s="935"/>
    </row>
    <row r="101" spans="1:45" s="69" customFormat="1">
      <c r="Y101" s="1186"/>
      <c r="Z101" s="556"/>
      <c r="AA101" s="636"/>
      <c r="AB101" s="558"/>
      <c r="AC101" s="558"/>
      <c r="AI101" s="933"/>
      <c r="AJ101" s="935"/>
      <c r="AK101" s="939"/>
      <c r="AL101" s="368"/>
      <c r="AN101" s="933"/>
      <c r="AO101" s="935"/>
      <c r="AP101" s="939"/>
      <c r="AQ101" s="368"/>
      <c r="AR101" s="933"/>
      <c r="AS101" s="935"/>
    </row>
    <row r="102" spans="1:45" s="69" customFormat="1">
      <c r="Y102" s="1186"/>
      <c r="Z102" s="556"/>
      <c r="AA102" s="636"/>
      <c r="AB102" s="558"/>
      <c r="AC102" s="558"/>
      <c r="AK102" s="936"/>
      <c r="AN102" s="933"/>
      <c r="AO102" s="935"/>
      <c r="AP102" s="939"/>
      <c r="AQ102" s="368"/>
      <c r="AR102" s="933"/>
      <c r="AS102" s="935"/>
    </row>
    <row r="103" spans="1:45" s="69" customFormat="1">
      <c r="Y103" s="1186"/>
      <c r="Z103" s="556"/>
      <c r="AA103" s="636"/>
      <c r="AB103" s="558"/>
      <c r="AC103" s="558"/>
      <c r="AK103" s="936"/>
      <c r="AN103" s="933"/>
      <c r="AO103" s="935"/>
      <c r="AP103" s="939"/>
      <c r="AQ103" s="368"/>
      <c r="AR103" s="933"/>
      <c r="AS103" s="935"/>
    </row>
    <row r="104" spans="1:4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1186"/>
      <c r="Z104" s="69"/>
      <c r="AA104" s="69"/>
      <c r="AB104" s="69"/>
    </row>
    <row r="105" spans="1:4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1186"/>
      <c r="Z105" s="69"/>
      <c r="AA105" s="69"/>
      <c r="AB105" s="69"/>
    </row>
    <row r="106" spans="1:4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1186"/>
      <c r="Z106" s="69"/>
      <c r="AA106" s="69"/>
      <c r="AB106" s="69"/>
    </row>
    <row r="107" spans="1:4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1186"/>
      <c r="Z107" s="69"/>
      <c r="AA107" s="69"/>
      <c r="AB107" s="69"/>
    </row>
    <row r="108" spans="1:4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1186"/>
      <c r="Z108" s="69"/>
      <c r="AA108" s="69"/>
      <c r="AB108" s="69"/>
    </row>
    <row r="109" spans="1:4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1186"/>
      <c r="Z109" s="69"/>
      <c r="AA109" s="69"/>
      <c r="AB109" s="69"/>
    </row>
    <row r="110" spans="1:4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1186"/>
      <c r="Z110" s="69"/>
      <c r="AA110" s="69"/>
      <c r="AB110" s="69"/>
    </row>
    <row r="111" spans="1:4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1186"/>
      <c r="Z111" s="69"/>
      <c r="AA111" s="69"/>
      <c r="AB111" s="69"/>
    </row>
    <row r="112" spans="1:4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1186"/>
      <c r="Z112" s="69"/>
      <c r="AA112" s="69"/>
      <c r="AB112" s="69"/>
    </row>
    <row r="113" spans="1:28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1186"/>
      <c r="Z113" s="69"/>
      <c r="AA113" s="69"/>
      <c r="AB113" s="69"/>
    </row>
    <row r="114" spans="1:28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1186"/>
      <c r="Z114" s="69"/>
      <c r="AA114" s="69"/>
      <c r="AB114" s="69"/>
    </row>
    <row r="115" spans="1:28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1186"/>
      <c r="Z115" s="69"/>
      <c r="AA115" s="69"/>
      <c r="AB115" s="69"/>
    </row>
    <row r="116" spans="1:28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1186"/>
      <c r="Z116" s="69"/>
      <c r="AA116" s="69"/>
      <c r="AB116" s="69"/>
    </row>
    <row r="117" spans="1:28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1186"/>
      <c r="Z117" s="69"/>
      <c r="AA117" s="69"/>
      <c r="AB117" s="69"/>
    </row>
    <row r="118" spans="1:28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1186"/>
      <c r="Z118" s="69"/>
      <c r="AA118" s="69"/>
      <c r="AB118" s="69"/>
    </row>
    <row r="119" spans="1:28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1186"/>
      <c r="Z119" s="69"/>
      <c r="AA119" s="69"/>
      <c r="AB119" s="69"/>
    </row>
    <row r="120" spans="1:28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1186"/>
      <c r="Z120" s="69"/>
      <c r="AA120" s="69"/>
      <c r="AB120" s="69"/>
    </row>
    <row r="121" spans="1:28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1186"/>
      <c r="Z121" s="69"/>
      <c r="AA121" s="69"/>
      <c r="AB121" s="69"/>
    </row>
    <row r="122" spans="1:28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1186"/>
      <c r="Z122" s="69"/>
      <c r="AA122" s="69"/>
      <c r="AB122" s="69"/>
    </row>
    <row r="123" spans="1:28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1186"/>
      <c r="Z123" s="69"/>
      <c r="AA123" s="69"/>
      <c r="AB123" s="69"/>
    </row>
    <row r="124" spans="1:28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1186"/>
      <c r="Z124" s="69"/>
      <c r="AA124" s="69"/>
      <c r="AB124" s="69"/>
    </row>
    <row r="125" spans="1:28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1186"/>
      <c r="Z125" s="69"/>
      <c r="AA125" s="69"/>
      <c r="AB125" s="69"/>
    </row>
    <row r="126" spans="1:28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1186"/>
      <c r="Z126" s="69"/>
      <c r="AA126" s="69"/>
      <c r="AB126" s="69"/>
    </row>
    <row r="127" spans="1:28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1186"/>
      <c r="Z127" s="69"/>
      <c r="AA127" s="69"/>
      <c r="AB127" s="69"/>
    </row>
    <row r="128" spans="1:28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1186"/>
      <c r="Z128" s="69"/>
      <c r="AA128" s="69"/>
      <c r="AB128" s="69"/>
    </row>
    <row r="129" spans="1:28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1186"/>
      <c r="Z129" s="69"/>
      <c r="AA129" s="69"/>
      <c r="AB129" s="69"/>
    </row>
    <row r="130" spans="1:28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1186"/>
      <c r="Z130" s="69"/>
      <c r="AA130" s="69"/>
      <c r="AB130" s="69"/>
    </row>
    <row r="131" spans="1:28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1186"/>
      <c r="Z131" s="69"/>
      <c r="AA131" s="69"/>
      <c r="AB131" s="69"/>
    </row>
    <row r="132" spans="1:28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1186"/>
      <c r="Z132" s="69"/>
      <c r="AA132" s="69"/>
      <c r="AB132" s="69"/>
    </row>
    <row r="133" spans="1:28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</row>
    <row r="134" spans="1:28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</row>
    <row r="135" spans="1:28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</row>
    <row r="136" spans="1:28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</row>
  </sheetData>
  <sortState xmlns:xlrd2="http://schemas.microsoft.com/office/spreadsheetml/2017/richdata2" ref="AI4:AL51">
    <sortCondition ref="AJ4:AJ51"/>
  </sortState>
  <customSheetViews>
    <customSheetView guid="{CE7484BD-F9E2-4C03-AA0F-F7057FD8E6EF}" scale="85">
      <pageMargins left="0.7" right="0.7" top="0.75" bottom="0.75" header="0.3" footer="0.3"/>
      <pageSetup orientation="portrait" r:id="rId1"/>
    </customSheetView>
  </customSheetViews>
  <mergeCells count="24">
    <mergeCell ref="BO37:BQ37"/>
    <mergeCell ref="BO36:BQ36"/>
    <mergeCell ref="BK2:BM5"/>
    <mergeCell ref="BX21:BZ21"/>
    <mergeCell ref="BO38:BQ38"/>
    <mergeCell ref="BS21:BU21"/>
    <mergeCell ref="BO32:BQ32"/>
    <mergeCell ref="BO35:BQ35"/>
    <mergeCell ref="M7:P8"/>
    <mergeCell ref="BO39:BQ39"/>
    <mergeCell ref="BO40:BQ40"/>
    <mergeCell ref="BO41:BQ41"/>
    <mergeCell ref="BT32:BV32"/>
    <mergeCell ref="BT33:BV33"/>
    <mergeCell ref="BT34:BV34"/>
    <mergeCell ref="BT35:BV35"/>
    <mergeCell ref="BT36:BV36"/>
    <mergeCell ref="BT37:BV37"/>
    <mergeCell ref="BT38:BV38"/>
    <mergeCell ref="BT39:BV39"/>
    <mergeCell ref="BT40:BV40"/>
    <mergeCell ref="BT41:BV41"/>
    <mergeCell ref="BO33:BQ33"/>
    <mergeCell ref="BO34:BQ34"/>
  </mergeCells>
  <conditionalFormatting sqref="Z4:Z38 AI2:AI3 Z1">
    <cfRule type="duplicateValues" dxfId="98" priority="3"/>
  </conditionalFormatting>
  <conditionalFormatting sqref="Z39:Z103">
    <cfRule type="duplicateValues" dxfId="97" priority="2"/>
  </conditionalFormatting>
  <conditionalFormatting sqref="AD2:AD3">
    <cfRule type="duplicateValues" dxfId="96" priority="1"/>
  </conditionalFormatting>
  <dataValidations disablePrompts="1" count="1">
    <dataValidation type="list" allowBlank="1" showInputMessage="1" showErrorMessage="1" sqref="M7:P8" xr:uid="{38B41973-3C49-458A-B6F8-27C120BF0003}">
      <formula1>$AX$1:$AX$8</formula1>
    </dataValidation>
  </dataValidations>
  <hyperlinks>
    <hyperlink ref="R5" location="salesInv!A1" display="Sales &amp; Invoices" xr:uid="{25D0033D-B46A-462D-9DD1-C248D1C74089}"/>
    <hyperlink ref="R7" location="Purchases!A1" display="Purchases &amp; Lpos" xr:uid="{5B709F79-040E-4162-A228-721E768A9375}"/>
    <hyperlink ref="R9" location="'ProjectsX (2)'!A1" display="Projects Analysize" xr:uid="{D42B2B4F-A0C2-4545-8485-4A4BDB438093}"/>
    <hyperlink ref="R11" location="FinView!A1" display="Cash Flow Analysize" xr:uid="{68AC2F9F-96D7-4BAD-BE3E-9A568A555582}"/>
  </hyperlinks>
  <pageMargins left="0.7" right="0.7" top="0.75" bottom="0.75" header="0.3" footer="0.3"/>
  <pageSetup orientation="portrait" r:id="rId2"/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2072" r:id="rId6" name="CommandButton5">
          <controlPr defaultSize="0" autoLine="0" r:id="rId7">
            <anchor moveWithCells="1">
              <from>
                <xdr:col>1</xdr:col>
                <xdr:colOff>409575</xdr:colOff>
                <xdr:row>28</xdr:row>
                <xdr:rowOff>0</xdr:rowOff>
              </from>
              <to>
                <xdr:col>5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2072" r:id="rId6" name="CommandButton5"/>
      </mc:Fallback>
    </mc:AlternateContent>
    <mc:AlternateContent xmlns:mc="http://schemas.openxmlformats.org/markup-compatibility/2006">
      <mc:Choice Requires="x14">
        <control shapeId="2065" r:id="rId8" name="CommandButton3">
          <controlPr defaultSize="0" autoLine="0" r:id="rId9">
            <anchor moveWithCells="1">
              <from>
                <xdr:col>2</xdr:col>
                <xdr:colOff>19050</xdr:colOff>
                <xdr:row>30</xdr:row>
                <xdr:rowOff>19050</xdr:rowOff>
              </from>
              <to>
                <xdr:col>5</xdr:col>
                <xdr:colOff>257175</xdr:colOff>
                <xdr:row>32</xdr:row>
                <xdr:rowOff>19050</xdr:rowOff>
              </to>
            </anchor>
          </controlPr>
        </control>
      </mc:Choice>
      <mc:Fallback>
        <control shapeId="2065" r:id="rId8" name="CommandButton3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32</xdr:col>
                <xdr:colOff>371475</xdr:colOff>
                <xdr:row>1</xdr:row>
                <xdr:rowOff>57150</xdr:rowOff>
              </from>
              <to>
                <xdr:col>33</xdr:col>
                <xdr:colOff>590550</xdr:colOff>
                <xdr:row>3</xdr:row>
                <xdr:rowOff>19050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57" r:id="rId12" name="CommandButton1">
          <controlPr defaultSize="0" autoLine="0" autoPict="0" r:id="rId13">
            <anchor moveWithCells="1">
              <from>
                <xdr:col>1</xdr:col>
                <xdr:colOff>409575</xdr:colOff>
                <xdr:row>23</xdr:row>
                <xdr:rowOff>180975</xdr:rowOff>
              </from>
              <to>
                <xdr:col>5</xdr:col>
                <xdr:colOff>295275</xdr:colOff>
                <xdr:row>25</xdr:row>
                <xdr:rowOff>180975</xdr:rowOff>
              </to>
            </anchor>
          </controlPr>
        </control>
      </mc:Choice>
      <mc:Fallback>
        <control shapeId="2057" r:id="rId12" name="CommandButton1"/>
      </mc:Fallback>
    </mc:AlternateContent>
    <mc:AlternateContent xmlns:mc="http://schemas.openxmlformats.org/markup-compatibility/2006">
      <mc:Choice Requires="x14">
        <control shapeId="2067" r:id="rId14" name="CommandButton4">
          <controlPr defaultSize="0" autoLine="0" r:id="rId15">
            <anchor moveWithCells="1">
              <from>
                <xdr:col>1</xdr:col>
                <xdr:colOff>409575</xdr:colOff>
                <xdr:row>25</xdr:row>
                <xdr:rowOff>180975</xdr:rowOff>
              </from>
              <to>
                <xdr:col>5</xdr:col>
                <xdr:colOff>295275</xdr:colOff>
                <xdr:row>27</xdr:row>
                <xdr:rowOff>180975</xdr:rowOff>
              </to>
            </anchor>
          </controlPr>
        </control>
      </mc:Choice>
      <mc:Fallback>
        <control shapeId="2067" r:id="rId14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6603-137F-4D90-9EC7-7FF568E44A63}">
  <sheetPr codeName="Sheet1">
    <tabColor theme="0" tint="-0.499984740745262"/>
  </sheetPr>
  <dimension ref="A1:AA733"/>
  <sheetViews>
    <sheetView zoomScaleNormal="100" workbookViewId="0">
      <pane ySplit="4" topLeftCell="A5" activePane="bottomLeft" state="frozen"/>
      <selection activeCell="J61" sqref="J61"/>
      <selection pane="bottomLeft" activeCell="B6" sqref="B6"/>
    </sheetView>
  </sheetViews>
  <sheetFormatPr defaultRowHeight="15"/>
  <cols>
    <col min="1" max="1" width="6" customWidth="1"/>
    <col min="2" max="2" width="33.42578125" customWidth="1"/>
    <col min="3" max="3" width="16.42578125" customWidth="1"/>
    <col min="4" max="4" width="14.42578125" customWidth="1"/>
    <col min="5" max="5" width="15.5703125" customWidth="1"/>
    <col min="6" max="6" width="6.5703125" customWidth="1"/>
    <col min="7" max="7" width="12.7109375" customWidth="1"/>
    <col min="8" max="8" width="13" customWidth="1"/>
    <col min="9" max="9" width="13.5703125" style="1361" customWidth="1"/>
    <col min="10" max="10" width="15.28515625" style="1361" customWidth="1"/>
    <col min="11" max="14" width="9.140625" style="1361"/>
    <col min="15" max="27" width="12" style="1361" customWidth="1"/>
  </cols>
  <sheetData>
    <row r="1" spans="1:27" ht="25.5" customHeight="1">
      <c r="A1" s="1347" t="s">
        <v>201</v>
      </c>
      <c r="B1" s="1347"/>
      <c r="C1" s="1343"/>
      <c r="D1" s="1343"/>
      <c r="E1" s="1343"/>
      <c r="F1" s="1343"/>
      <c r="G1" s="1296"/>
      <c r="H1" s="1296"/>
      <c r="I1" s="1296"/>
      <c r="J1" s="1296"/>
      <c r="K1" s="1296"/>
      <c r="L1" s="1296"/>
      <c r="M1" s="1296"/>
      <c r="N1" s="1296"/>
      <c r="O1" s="1296"/>
      <c r="P1" s="1296"/>
      <c r="Q1" s="1296"/>
      <c r="R1" s="1296"/>
      <c r="S1" s="1315"/>
      <c r="T1" s="1315" t="s">
        <v>201</v>
      </c>
      <c r="U1" s="1312"/>
      <c r="V1" s="1296"/>
      <c r="W1" s="1296"/>
      <c r="X1" s="1296"/>
      <c r="Y1" s="1296"/>
      <c r="Z1" s="1296"/>
      <c r="AA1" s="1296"/>
    </row>
    <row r="2" spans="1:27" ht="16.5" customHeight="1">
      <c r="A2" s="430"/>
      <c r="B2" s="1296"/>
      <c r="C2" s="1343"/>
      <c r="D2" s="1343"/>
      <c r="E2" s="1343"/>
      <c r="F2" s="1343"/>
      <c r="G2" s="1296"/>
      <c r="H2" s="1296"/>
      <c r="I2" s="1296"/>
      <c r="J2" s="1296"/>
      <c r="K2" s="1296"/>
      <c r="L2" s="1296"/>
      <c r="M2" s="1296"/>
      <c r="N2" s="1296"/>
      <c r="O2" s="1296"/>
      <c r="P2" s="1296"/>
      <c r="Q2" s="1296"/>
      <c r="R2" s="1296"/>
      <c r="S2" s="1315"/>
      <c r="T2" s="1315"/>
      <c r="U2" s="1312"/>
      <c r="V2" s="1296"/>
      <c r="W2" s="1296"/>
      <c r="X2" s="1296"/>
      <c r="Y2" s="1296"/>
      <c r="Z2" s="1296"/>
      <c r="AA2" s="1296"/>
    </row>
    <row r="3" spans="1:27" ht="18.75" customHeight="1">
      <c r="A3" s="430"/>
      <c r="B3" s="1296"/>
      <c r="C3" s="1297"/>
      <c r="D3" s="1297"/>
      <c r="E3" s="1298"/>
      <c r="F3" s="430"/>
      <c r="G3" s="1296"/>
      <c r="H3" s="1296"/>
      <c r="I3" s="1296"/>
      <c r="J3" s="1296"/>
      <c r="K3" s="1296"/>
      <c r="L3" s="1296"/>
      <c r="M3" s="1296"/>
      <c r="N3" s="1296"/>
      <c r="O3" s="1296"/>
      <c r="P3" s="1296"/>
      <c r="Q3" s="1296"/>
      <c r="R3" s="1296"/>
      <c r="S3" s="1315"/>
      <c r="T3" s="1315"/>
      <c r="U3" s="1312"/>
      <c r="V3" s="1296"/>
      <c r="W3" s="1296"/>
      <c r="X3" s="1296"/>
      <c r="Y3" s="1296"/>
      <c r="Z3" s="1296"/>
      <c r="AA3" s="1296"/>
    </row>
    <row r="4" spans="1:27" ht="23.25" customHeight="1" thickBot="1">
      <c r="A4" s="430"/>
      <c r="B4" s="1296"/>
      <c r="C4" s="1297"/>
      <c r="D4" s="1297"/>
      <c r="E4" s="1298"/>
      <c r="F4" s="430"/>
      <c r="G4" s="1296"/>
      <c r="H4" s="1296"/>
      <c r="I4" s="1296"/>
      <c r="J4" s="1296"/>
      <c r="K4" s="1296"/>
      <c r="L4" s="1296"/>
      <c r="M4" s="1296"/>
      <c r="N4" s="1296"/>
      <c r="O4" s="1296"/>
      <c r="P4" s="1296"/>
      <c r="Q4" s="1296"/>
      <c r="R4" s="1296"/>
      <c r="S4" s="1315" t="s">
        <v>1</v>
      </c>
      <c r="T4" s="1315" t="s">
        <v>0</v>
      </c>
      <c r="U4" s="1312"/>
      <c r="V4" s="1296"/>
      <c r="W4" s="1296"/>
      <c r="X4" s="1296"/>
      <c r="Y4" s="1296"/>
      <c r="Z4" s="1296"/>
      <c r="AA4" s="1296"/>
    </row>
    <row r="5" spans="1:27" ht="30" customHeight="1" thickTop="1" thickBot="1">
      <c r="A5" s="1328"/>
      <c r="B5" s="1329" t="s">
        <v>6</v>
      </c>
      <c r="C5" s="1330" t="s">
        <v>1536</v>
      </c>
      <c r="D5" s="1330" t="s">
        <v>1537</v>
      </c>
      <c r="E5" s="1330" t="s">
        <v>2</v>
      </c>
      <c r="F5" s="1331"/>
      <c r="G5" s="1330" t="s">
        <v>5122</v>
      </c>
      <c r="H5" s="1330" t="s">
        <v>200</v>
      </c>
      <c r="I5" s="1330" t="s">
        <v>195</v>
      </c>
      <c r="J5" s="1330" t="s">
        <v>196</v>
      </c>
      <c r="K5" s="1330" t="s">
        <v>197</v>
      </c>
      <c r="L5" s="1330" t="s">
        <v>198</v>
      </c>
      <c r="M5" s="1330" t="s">
        <v>199</v>
      </c>
      <c r="N5" s="1330" t="s">
        <v>198</v>
      </c>
      <c r="O5" s="1332" t="s">
        <v>208</v>
      </c>
      <c r="P5" s="1304"/>
      <c r="Q5" s="1304"/>
      <c r="R5" s="1304"/>
      <c r="S5" s="1316"/>
      <c r="T5" s="1316" t="s">
        <v>6</v>
      </c>
      <c r="U5" s="1313"/>
      <c r="V5" s="1304"/>
      <c r="W5" s="1304"/>
      <c r="X5" s="1304"/>
      <c r="Y5" s="1304"/>
      <c r="Z5" s="1304"/>
      <c r="AA5" s="1304"/>
    </row>
    <row r="6" spans="1:27" ht="18" customHeight="1" thickTop="1" thickBot="1">
      <c r="A6" s="1290">
        <v>1010</v>
      </c>
      <c r="B6" s="1291" t="s">
        <v>33</v>
      </c>
      <c r="C6" s="1295">
        <f>SUMIFS('collpy (2)'!$F$11:$F$12047,'collpy (2)'!$C$11:$C$12047,Mychart!A6)</f>
        <v>0</v>
      </c>
      <c r="D6" s="1295">
        <f>SUMIFS('collpy (2)'!$G$11:$G$12047,'collpy (2)'!$C$11:$C$12047,Mychart!A6)</f>
        <v>0</v>
      </c>
      <c r="E6" s="1387">
        <f>C6-D6</f>
        <v>0</v>
      </c>
      <c r="F6" s="1299"/>
      <c r="G6" s="1305"/>
      <c r="H6" s="1306"/>
      <c r="I6" s="1307"/>
      <c r="J6" s="1307"/>
      <c r="K6" s="1307"/>
      <c r="L6" s="1307"/>
      <c r="M6" s="1307"/>
      <c r="N6" s="1307"/>
      <c r="O6" s="1318"/>
      <c r="P6" s="1308"/>
      <c r="Q6" s="1308"/>
      <c r="R6" s="1308"/>
      <c r="S6" s="1317" t="s">
        <v>33</v>
      </c>
      <c r="T6" s="1317">
        <v>1010</v>
      </c>
      <c r="U6" s="1308"/>
      <c r="V6" s="1308"/>
      <c r="W6" s="1308"/>
      <c r="X6" s="1308"/>
      <c r="Y6" s="1308"/>
      <c r="Z6" s="1308"/>
      <c r="AA6" s="1308"/>
    </row>
    <row r="7" spans="1:27" ht="18" customHeight="1" thickTop="1" thickBot="1">
      <c r="A7" s="1290">
        <v>1011</v>
      </c>
      <c r="B7" s="1291" t="s">
        <v>34</v>
      </c>
      <c r="C7" s="1292">
        <f>SUMIFS('collpy (2)'!$F$11:$F$12047,'collpy (2)'!$C$11:$C$12047,Mychart!A7)</f>
        <v>70000</v>
      </c>
      <c r="D7" s="1292">
        <f>SUMIFS('collpy (2)'!$G$11:$G$12047,'collpy (2)'!$C$11:$C$12047,Mychart!A7)</f>
        <v>59109.500000000007</v>
      </c>
      <c r="E7" s="1387">
        <f t="shared" ref="E7:E29" si="0">C7-D7</f>
        <v>10890.499999999993</v>
      </c>
      <c r="F7" s="1299"/>
      <c r="G7" s="1305"/>
      <c r="H7" s="1306"/>
      <c r="I7" s="1307"/>
      <c r="J7" s="1307"/>
      <c r="K7" s="1307"/>
      <c r="L7" s="1307"/>
      <c r="M7" s="1307"/>
      <c r="N7" s="1307"/>
      <c r="O7" s="1318"/>
      <c r="P7" s="1308"/>
      <c r="Q7" s="1308"/>
      <c r="R7" s="1308"/>
      <c r="S7" s="1317" t="s">
        <v>34</v>
      </c>
      <c r="T7" s="1317">
        <v>1011</v>
      </c>
      <c r="U7" s="1308"/>
      <c r="V7" s="1308"/>
      <c r="W7" s="1308"/>
      <c r="X7" s="1308"/>
      <c r="Y7" s="1308"/>
      <c r="Z7" s="1308"/>
      <c r="AA7" s="1308"/>
    </row>
    <row r="8" spans="1:27" ht="18" customHeight="1" thickTop="1" thickBot="1">
      <c r="A8" s="1290">
        <v>1012</v>
      </c>
      <c r="B8" s="1291" t="s">
        <v>35</v>
      </c>
      <c r="C8" s="1292">
        <f>SUMIFS('collpy (2)'!$F$11:$F$12047,'collpy (2)'!$C$11:$C$12047,Mychart!A8)</f>
        <v>2000</v>
      </c>
      <c r="D8" s="1292">
        <f>SUMIFS('collpy (2)'!$G$11:$G$12047,'collpy (2)'!$C$11:$C$12047,Mychart!A8)</f>
        <v>0</v>
      </c>
      <c r="E8" s="1387">
        <f t="shared" si="0"/>
        <v>2000</v>
      </c>
      <c r="F8" s="1299"/>
      <c r="G8" s="1305"/>
      <c r="H8" s="1306"/>
      <c r="I8" s="1307"/>
      <c r="J8" s="1307"/>
      <c r="K8" s="1307"/>
      <c r="L8" s="1307"/>
      <c r="M8" s="1307"/>
      <c r="N8" s="1307"/>
      <c r="O8" s="1318"/>
      <c r="P8" s="1308"/>
      <c r="Q8" s="1308"/>
      <c r="R8" s="1308"/>
      <c r="S8" s="1317" t="s">
        <v>35</v>
      </c>
      <c r="T8" s="1317">
        <v>1012</v>
      </c>
      <c r="U8" s="1308"/>
      <c r="V8" s="1308"/>
      <c r="W8" s="1308"/>
      <c r="X8" s="1308"/>
      <c r="Y8" s="1308"/>
      <c r="Z8" s="1308"/>
      <c r="AA8" s="1308"/>
    </row>
    <row r="9" spans="1:27" ht="18" customHeight="1" thickTop="1" thickBot="1">
      <c r="A9" s="1290">
        <v>1015</v>
      </c>
      <c r="B9" s="1291" t="s">
        <v>36</v>
      </c>
      <c r="C9" s="1292">
        <f>SUMIFS('collpy (2)'!$F$11:$F$12047,'collpy (2)'!$C$11:$C$12047,Mychart!A9)</f>
        <v>0</v>
      </c>
      <c r="D9" s="1292">
        <f>SUMIFS('collpy (2)'!$G$11:$G$12047,'collpy (2)'!$C$11:$C$12047,Mychart!A9)</f>
        <v>0</v>
      </c>
      <c r="E9" s="1387">
        <f t="shared" si="0"/>
        <v>0</v>
      </c>
      <c r="F9" s="1299"/>
      <c r="G9" s="1305"/>
      <c r="H9" s="1306"/>
      <c r="I9" s="1307"/>
      <c r="J9" s="1307"/>
      <c r="K9" s="1307"/>
      <c r="L9" s="1307"/>
      <c r="M9" s="1307"/>
      <c r="N9" s="1307"/>
      <c r="O9" s="1318"/>
      <c r="P9" s="1308"/>
      <c r="Q9" s="1308"/>
      <c r="R9" s="1308"/>
      <c r="S9" s="1317" t="s">
        <v>36</v>
      </c>
      <c r="T9" s="1317">
        <v>1015</v>
      </c>
      <c r="U9" s="1308"/>
      <c r="V9" s="1308"/>
      <c r="W9" s="1308"/>
      <c r="X9" s="1308"/>
      <c r="Y9" s="1308"/>
      <c r="Z9" s="1308"/>
      <c r="AA9" s="1308"/>
    </row>
    <row r="10" spans="1:27" ht="18" customHeight="1" thickTop="1" thickBot="1">
      <c r="A10" s="1290">
        <v>1016</v>
      </c>
      <c r="B10" s="1291" t="s">
        <v>37</v>
      </c>
      <c r="C10" s="1292">
        <f>SUMIFS('collpy (2)'!$F$11:$F$12047,'collpy (2)'!$C$11:$C$12047,Mychart!A10)</f>
        <v>0</v>
      </c>
      <c r="D10" s="1292">
        <f>SUMIFS('collpy (2)'!$G$11:$G$12047,'collpy (2)'!$C$11:$C$12047,Mychart!A10)</f>
        <v>0</v>
      </c>
      <c r="E10" s="1387">
        <f t="shared" si="0"/>
        <v>0</v>
      </c>
      <c r="F10" s="1299"/>
      <c r="G10" s="1305"/>
      <c r="H10" s="1306"/>
      <c r="I10" s="1307"/>
      <c r="J10" s="1307"/>
      <c r="K10" s="1307"/>
      <c r="L10" s="1307"/>
      <c r="M10" s="1307"/>
      <c r="N10" s="1307"/>
      <c r="O10" s="1318"/>
      <c r="P10" s="1308"/>
      <c r="Q10" s="1308"/>
      <c r="R10" s="1308"/>
      <c r="S10" s="1317" t="s">
        <v>37</v>
      </c>
      <c r="T10" s="1317">
        <v>1016</v>
      </c>
      <c r="U10" s="1308"/>
      <c r="V10" s="1308"/>
      <c r="W10" s="1308"/>
      <c r="X10" s="1308"/>
      <c r="Y10" s="1308"/>
      <c r="Z10" s="1308"/>
      <c r="AA10" s="1308"/>
    </row>
    <row r="11" spans="1:27" ht="18" customHeight="1" thickTop="1" thickBot="1">
      <c r="A11" s="1290">
        <v>1017</v>
      </c>
      <c r="B11" s="1291" t="s">
        <v>5118</v>
      </c>
      <c r="C11" s="1292">
        <f>SUMIFS('collpy (2)'!$F$11:$F$12047,'collpy (2)'!$C$11:$C$12047,Mychart!A11)</f>
        <v>679430.11</v>
      </c>
      <c r="D11" s="1292">
        <f>SUMIFS('collpy (2)'!$G$11:$G$12047,'collpy (2)'!$C$11:$C$12047,Mychart!A11)</f>
        <v>605928.52000000048</v>
      </c>
      <c r="E11" s="1387">
        <f t="shared" si="0"/>
        <v>73501.589999999502</v>
      </c>
      <c r="F11" s="1299"/>
      <c r="G11" s="1305"/>
      <c r="H11" s="1306"/>
      <c r="I11" s="1307"/>
      <c r="J11" s="1307"/>
      <c r="K11" s="1307"/>
      <c r="L11" s="1307"/>
      <c r="M11" s="1307"/>
      <c r="N11" s="1307"/>
      <c r="O11" s="1318"/>
      <c r="P11" s="1308"/>
      <c r="Q11" s="1308"/>
      <c r="R11" s="1308"/>
      <c r="S11" s="1317" t="s">
        <v>38</v>
      </c>
      <c r="T11" s="1317">
        <v>1017</v>
      </c>
      <c r="U11" s="1308"/>
      <c r="V11" s="1308"/>
      <c r="W11" s="1308"/>
      <c r="X11" s="1308"/>
      <c r="Y11" s="1308"/>
      <c r="Z11" s="1308"/>
      <c r="AA11" s="1308"/>
    </row>
    <row r="12" spans="1:27" ht="18" customHeight="1" thickTop="1" thickBot="1">
      <c r="A12" s="1290">
        <v>1018</v>
      </c>
      <c r="B12" s="1291" t="s">
        <v>5113</v>
      </c>
      <c r="C12" s="1292">
        <f>SUMIFS('collpy (2)'!$F$11:$F$12047,'collpy (2)'!$C$11:$C$12047,Mychart!A12)</f>
        <v>12449.1</v>
      </c>
      <c r="D12" s="1292">
        <f>SUMIFS('collpy (2)'!$G$11:$G$12047,'collpy (2)'!$C$11:$C$12047,Mychart!A12)</f>
        <v>11431.149999999998</v>
      </c>
      <c r="E12" s="1387">
        <f t="shared" si="0"/>
        <v>1017.9500000000025</v>
      </c>
      <c r="F12" s="1299"/>
      <c r="G12" s="1305"/>
      <c r="H12" s="1306"/>
      <c r="I12" s="1307"/>
      <c r="J12" s="1307"/>
      <c r="K12" s="1307"/>
      <c r="L12" s="1307"/>
      <c r="M12" s="1307"/>
      <c r="N12" s="1307"/>
      <c r="O12" s="1318"/>
      <c r="P12" s="1308"/>
      <c r="Q12" s="1308"/>
      <c r="R12" s="1308"/>
      <c r="S12" s="1317" t="s">
        <v>39</v>
      </c>
      <c r="T12" s="1317">
        <v>1018</v>
      </c>
      <c r="U12" s="1308"/>
      <c r="V12" s="1308"/>
      <c r="W12" s="1308"/>
      <c r="X12" s="1308"/>
      <c r="Y12" s="1308"/>
      <c r="Z12" s="1308"/>
      <c r="AA12" s="1308"/>
    </row>
    <row r="13" spans="1:27" ht="18" customHeight="1" thickTop="1" thickBot="1">
      <c r="A13" s="1290">
        <v>1019</v>
      </c>
      <c r="B13" s="1655" t="s">
        <v>5778</v>
      </c>
      <c r="C13" s="1292">
        <f>SUMIFS('collpy (2)'!$F$11:$F$12047,'collpy (2)'!$C$11:$C$12047,Mychart!A13)</f>
        <v>99616</v>
      </c>
      <c r="D13" s="1292">
        <f>SUMIFS('collpy (2)'!$G$11:$G$12047,'collpy (2)'!$C$11:$C$12047,Mychart!A13)</f>
        <v>1000</v>
      </c>
      <c r="E13" s="1387">
        <f t="shared" si="0"/>
        <v>98616</v>
      </c>
      <c r="F13" s="1299"/>
      <c r="G13" s="1305"/>
      <c r="H13" s="1306"/>
      <c r="I13" s="1307"/>
      <c r="J13" s="1307"/>
      <c r="K13" s="1307"/>
      <c r="L13" s="1307"/>
      <c r="M13" s="1307"/>
      <c r="N13" s="1307"/>
      <c r="O13" s="1318"/>
      <c r="P13" s="1308"/>
      <c r="Q13" s="1308"/>
      <c r="R13" s="1308"/>
      <c r="S13" s="1317" t="s">
        <v>40</v>
      </c>
      <c r="T13" s="1317">
        <v>1019</v>
      </c>
      <c r="U13" s="1308"/>
      <c r="V13" s="1308"/>
      <c r="W13" s="1308"/>
      <c r="X13" s="1308"/>
      <c r="Y13" s="1308"/>
      <c r="Z13" s="1308"/>
      <c r="AA13" s="1308"/>
    </row>
    <row r="14" spans="1:27" ht="18" customHeight="1" thickTop="1" thickBot="1">
      <c r="A14" s="1290">
        <v>1020</v>
      </c>
      <c r="B14" s="1291" t="s">
        <v>41</v>
      </c>
      <c r="C14" s="1292">
        <f>SUMIFS('collpy (2)'!$F$11:$F$12047,'collpy (2)'!$C$11:$C$12047,Mychart!A14)</f>
        <v>7393.15</v>
      </c>
      <c r="D14" s="1292">
        <f>SUMIFS('collpy (2)'!$G$11:$G$12047,'collpy (2)'!$C$11:$C$12047,Mychart!A14)</f>
        <v>0</v>
      </c>
      <c r="E14" s="1387">
        <f t="shared" si="0"/>
        <v>7393.15</v>
      </c>
      <c r="F14" s="1299"/>
      <c r="G14" s="1305"/>
      <c r="H14" s="1306"/>
      <c r="I14" s="1307"/>
      <c r="J14" s="1307"/>
      <c r="K14" s="1307"/>
      <c r="L14" s="1307"/>
      <c r="M14" s="1307"/>
      <c r="N14" s="1307"/>
      <c r="O14" s="1318"/>
      <c r="P14" s="1308"/>
      <c r="Q14" s="1308"/>
      <c r="R14" s="1308"/>
      <c r="S14" s="1317" t="s">
        <v>41</v>
      </c>
      <c r="T14" s="1317">
        <v>1020</v>
      </c>
      <c r="U14" s="1308"/>
      <c r="V14" s="1308"/>
      <c r="W14" s="1308"/>
      <c r="X14" s="1308"/>
      <c r="Y14" s="1308"/>
      <c r="Z14" s="1308"/>
      <c r="AA14" s="1308"/>
    </row>
    <row r="15" spans="1:27" ht="18" customHeight="1" thickTop="1" thickBot="1">
      <c r="A15" s="1290">
        <v>1021</v>
      </c>
      <c r="B15" s="1291" t="s">
        <v>42</v>
      </c>
      <c r="C15" s="1292">
        <f>SUMIFS('collpy (2)'!$F$11:$F$12047,'collpy (2)'!$C$11:$C$12047,Mychart!A15)</f>
        <v>46010.75</v>
      </c>
      <c r="D15" s="1292">
        <f>SUMIFS('collpy (2)'!$G$11:$G$12047,'collpy (2)'!$C$11:$C$12047,Mychart!A15)</f>
        <v>0</v>
      </c>
      <c r="E15" s="1387">
        <f t="shared" si="0"/>
        <v>46010.75</v>
      </c>
      <c r="F15" s="1299"/>
      <c r="G15" s="1305"/>
      <c r="H15" s="1306"/>
      <c r="I15" s="1307"/>
      <c r="J15" s="1307"/>
      <c r="K15" s="1307"/>
      <c r="L15" s="1307"/>
      <c r="M15" s="1307"/>
      <c r="N15" s="1307"/>
      <c r="O15" s="1318"/>
      <c r="P15" s="1308"/>
      <c r="Q15" s="1308"/>
      <c r="R15" s="1308"/>
      <c r="S15" s="1317" t="s">
        <v>42</v>
      </c>
      <c r="T15" s="1317">
        <v>1021</v>
      </c>
      <c r="U15" s="1308"/>
      <c r="V15" s="1308"/>
      <c r="W15" s="1308"/>
      <c r="X15" s="1308"/>
      <c r="Y15" s="1308"/>
      <c r="Z15" s="1308"/>
      <c r="AA15" s="1308"/>
    </row>
    <row r="16" spans="1:27" ht="18" customHeight="1" thickTop="1" thickBot="1">
      <c r="A16" s="1290">
        <v>1022</v>
      </c>
      <c r="B16" s="1291" t="s">
        <v>5119</v>
      </c>
      <c r="C16" s="1292">
        <f>SUMIFS('collpy (2)'!$F$11:$F$12047,'collpy (2)'!$C$11:$C$12047,Mychart!A16)</f>
        <v>5675032.8700000001</v>
      </c>
      <c r="D16" s="1292">
        <f>SUMIFS('collpy (2)'!$G$11:$G$12047,'collpy (2)'!$C$11:$C$12047,Mychart!A16)</f>
        <v>4965856.0299999993</v>
      </c>
      <c r="E16" s="1387">
        <f t="shared" si="0"/>
        <v>709176.84000000078</v>
      </c>
      <c r="F16" s="1299"/>
      <c r="G16" s="1305"/>
      <c r="H16" s="1306"/>
      <c r="I16" s="1307"/>
      <c r="J16" s="1307"/>
      <c r="K16" s="1307"/>
      <c r="L16" s="1307"/>
      <c r="M16" s="1307"/>
      <c r="N16" s="1307"/>
      <c r="O16" s="1318"/>
      <c r="P16" s="1308"/>
      <c r="Q16" s="1308"/>
      <c r="R16" s="1308"/>
      <c r="S16" s="1317" t="s">
        <v>43</v>
      </c>
      <c r="T16" s="1317">
        <v>1022</v>
      </c>
      <c r="U16" s="1308"/>
      <c r="V16" s="1308"/>
      <c r="W16" s="1308"/>
      <c r="X16" s="1308"/>
      <c r="Y16" s="1308"/>
      <c r="Z16" s="1308"/>
      <c r="AA16" s="1308"/>
    </row>
    <row r="17" spans="1:27" ht="18" customHeight="1" thickTop="1" thickBot="1">
      <c r="A17" s="1290">
        <v>1025</v>
      </c>
      <c r="B17" s="1291" t="s">
        <v>5120</v>
      </c>
      <c r="C17" s="1292">
        <f>SUMIFS('collpy (2)'!$F$11:$F$12047,'collpy (2)'!$C$11:$C$12047,Mychart!A17)</f>
        <v>1010407.7</v>
      </c>
      <c r="D17" s="1292">
        <f>SUMIFS('collpy (2)'!$G$11:$G$12047,'collpy (2)'!$C$11:$C$12047,Mychart!A17)</f>
        <v>1042165.5999999997</v>
      </c>
      <c r="E17" s="1387">
        <f t="shared" si="0"/>
        <v>-31757.89999999979</v>
      </c>
      <c r="F17" s="1299"/>
      <c r="G17" s="1305"/>
      <c r="H17" s="1306"/>
      <c r="I17" s="1307"/>
      <c r="J17" s="1307"/>
      <c r="K17" s="1307"/>
      <c r="L17" s="1307"/>
      <c r="M17" s="1307"/>
      <c r="N17" s="1307"/>
      <c r="O17" s="1318"/>
      <c r="P17" s="1308"/>
      <c r="Q17" s="1308"/>
      <c r="R17" s="1308"/>
      <c r="S17" s="1317" t="s">
        <v>44</v>
      </c>
      <c r="T17" s="1317">
        <v>1025</v>
      </c>
      <c r="U17" s="1308"/>
      <c r="V17" s="1308"/>
      <c r="W17" s="1308"/>
      <c r="X17" s="1308"/>
      <c r="Y17" s="1308"/>
      <c r="Z17" s="1308"/>
      <c r="AA17" s="1308"/>
    </row>
    <row r="18" spans="1:27" ht="18" customHeight="1" thickTop="1" thickBot="1">
      <c r="A18" s="1290">
        <v>1030</v>
      </c>
      <c r="B18" s="1291" t="s">
        <v>45</v>
      </c>
      <c r="C18" s="1292">
        <f>SUMIFS('collpy (2)'!$F$11:$F$12047,'collpy (2)'!$C$11:$C$12047,Mychart!A18)</f>
        <v>0</v>
      </c>
      <c r="D18" s="1292">
        <f>SUMIFS('collpy (2)'!$G$11:$G$12047,'collpy (2)'!$C$11:$C$12047,Mychart!A18)</f>
        <v>0</v>
      </c>
      <c r="E18" s="1387">
        <f t="shared" si="0"/>
        <v>0</v>
      </c>
      <c r="F18" s="1299"/>
      <c r="G18" s="1305"/>
      <c r="H18" s="1306"/>
      <c r="I18" s="1307"/>
      <c r="J18" s="1307"/>
      <c r="K18" s="1307"/>
      <c r="L18" s="1307"/>
      <c r="M18" s="1307"/>
      <c r="N18" s="1307"/>
      <c r="O18" s="1318"/>
      <c r="P18" s="1308"/>
      <c r="Q18" s="1308"/>
      <c r="R18" s="1308"/>
      <c r="S18" s="1317" t="s">
        <v>45</v>
      </c>
      <c r="T18" s="1317">
        <v>1030</v>
      </c>
      <c r="U18" s="1308"/>
      <c r="V18" s="1308"/>
      <c r="W18" s="1308"/>
      <c r="X18" s="1308"/>
      <c r="Y18" s="1308"/>
      <c r="Z18" s="1308"/>
      <c r="AA18" s="1308"/>
    </row>
    <row r="19" spans="1:27" ht="18" customHeight="1" thickTop="1" thickBot="1">
      <c r="A19" s="1290">
        <v>1100</v>
      </c>
      <c r="B19" s="1291" t="s">
        <v>46</v>
      </c>
      <c r="C19" s="1292">
        <f>SUMIFS('collpy (2)'!$F$11:$F$12047,'collpy (2)'!$C$11:$C$12047,Mychart!A19)</f>
        <v>5363765.72</v>
      </c>
      <c r="D19" s="1292">
        <f>SUMIFS('collpy (2)'!$G$11:$G$12047,'collpy (2)'!$C$11:$C$12047,Mychart!A19)</f>
        <v>5069222.38</v>
      </c>
      <c r="E19" s="1387">
        <f t="shared" si="0"/>
        <v>294543.33999999985</v>
      </c>
      <c r="F19" s="1299"/>
      <c r="G19" s="1309"/>
      <c r="H19" s="1306"/>
      <c r="I19" s="1307"/>
      <c r="J19" s="1307"/>
      <c r="K19" s="1307"/>
      <c r="L19" s="1307"/>
      <c r="M19" s="1307"/>
      <c r="N19" s="1307"/>
      <c r="O19" s="1318"/>
      <c r="P19" s="1308"/>
      <c r="Q19" s="1308"/>
      <c r="R19" s="1308"/>
      <c r="S19" s="1317" t="s">
        <v>46</v>
      </c>
      <c r="T19" s="1317">
        <v>1100</v>
      </c>
      <c r="U19" s="1308"/>
      <c r="V19" s="1308"/>
      <c r="W19" s="1308"/>
      <c r="X19" s="1308"/>
      <c r="Y19" s="1308"/>
      <c r="Z19" s="1308"/>
      <c r="AA19" s="1308"/>
    </row>
    <row r="20" spans="1:27" ht="16.5" thickTop="1" thickBot="1">
      <c r="A20" s="1290">
        <v>1150</v>
      </c>
      <c r="B20" s="1291" t="s">
        <v>47</v>
      </c>
      <c r="C20" s="1292">
        <f>SUMIFS('collpy (2)'!$F$11:$F$12047,'collpy (2)'!$C$11:$C$12047,Mychart!A20)</f>
        <v>0</v>
      </c>
      <c r="D20" s="1292">
        <f>SUMIFS('collpy (2)'!$G$11:$G$12047,'collpy (2)'!$C$11:$C$12047,Mychart!A20)</f>
        <v>0</v>
      </c>
      <c r="E20" s="1387">
        <f t="shared" si="0"/>
        <v>0</v>
      </c>
      <c r="F20" s="1299"/>
      <c r="G20" s="1305"/>
      <c r="H20" s="1310"/>
      <c r="I20" s="1307"/>
      <c r="J20" s="1307"/>
      <c r="K20" s="1307"/>
      <c r="L20" s="1307"/>
      <c r="M20" s="1307"/>
      <c r="N20" s="1307"/>
      <c r="O20" s="1318"/>
      <c r="P20" s="1308"/>
      <c r="Q20" s="1308"/>
      <c r="R20" s="1308"/>
      <c r="S20" s="1317" t="s">
        <v>47</v>
      </c>
      <c r="T20" s="1317">
        <v>1150</v>
      </c>
      <c r="U20" s="1308"/>
      <c r="V20" s="1308"/>
      <c r="W20" s="1308"/>
      <c r="X20" s="1308"/>
      <c r="Y20" s="1308"/>
      <c r="Z20" s="1308"/>
      <c r="AA20" s="1308"/>
    </row>
    <row r="21" spans="1:27" ht="18" customHeight="1" thickTop="1" thickBot="1">
      <c r="A21" s="1290">
        <v>1200</v>
      </c>
      <c r="B21" s="1291" t="s">
        <v>48</v>
      </c>
      <c r="C21" s="1292">
        <f>SUMIFS('collpy (2)'!$F$11:$F$12047,'collpy (2)'!$C$11:$C$12047,Mychart!A21)</f>
        <v>0</v>
      </c>
      <c r="D21" s="1292">
        <f>SUMIFS('collpy (2)'!$G$11:$G$12047,'collpy (2)'!$C$11:$C$12047,Mychart!A21)</f>
        <v>0</v>
      </c>
      <c r="E21" s="1387">
        <f t="shared" si="0"/>
        <v>0</v>
      </c>
      <c r="F21" s="1299"/>
      <c r="G21" s="1311"/>
      <c r="H21" s="1306"/>
      <c r="I21" s="1307"/>
      <c r="J21" s="1307"/>
      <c r="K21" s="1307"/>
      <c r="L21" s="1307"/>
      <c r="M21" s="1307"/>
      <c r="N21" s="1307"/>
      <c r="O21" s="1318"/>
      <c r="P21" s="1308"/>
      <c r="Q21" s="1308"/>
      <c r="R21" s="1308"/>
      <c r="S21" s="1317" t="s">
        <v>48</v>
      </c>
      <c r="T21" s="1317">
        <v>1200</v>
      </c>
      <c r="U21" s="1308"/>
      <c r="V21" s="1308"/>
      <c r="W21" s="1308"/>
      <c r="X21" s="1308"/>
      <c r="Y21" s="1308"/>
      <c r="Z21" s="1308"/>
      <c r="AA21" s="1308"/>
    </row>
    <row r="22" spans="1:27" ht="18" customHeight="1" thickTop="1" thickBot="1">
      <c r="A22" s="1290">
        <v>1400</v>
      </c>
      <c r="B22" s="1291" t="s">
        <v>49</v>
      </c>
      <c r="C22" s="1292">
        <f>SUMIFS('collpy (2)'!$F$11:$F$12047,'collpy (2)'!$C$11:$C$12047,Mychart!A22)</f>
        <v>245725.94</v>
      </c>
      <c r="D22" s="1292">
        <f>SUMIFS('collpy (2)'!$G$11:$G$12047,'collpy (2)'!$C$11:$C$12047,Mychart!A22)</f>
        <v>82142.94</v>
      </c>
      <c r="E22" s="1387">
        <f t="shared" si="0"/>
        <v>163583</v>
      </c>
      <c r="F22" s="1299"/>
      <c r="G22" s="1309"/>
      <c r="H22" s="1306"/>
      <c r="I22" s="1307"/>
      <c r="J22" s="1307"/>
      <c r="K22" s="1307"/>
      <c r="L22" s="1307"/>
      <c r="M22" s="1307"/>
      <c r="N22" s="1307"/>
      <c r="O22" s="1318"/>
      <c r="P22" s="1308"/>
      <c r="Q22" s="1308"/>
      <c r="R22" s="1308"/>
      <c r="S22" s="1317" t="s">
        <v>49</v>
      </c>
      <c r="T22" s="1317">
        <v>1400</v>
      </c>
      <c r="U22" s="1308"/>
      <c r="V22" s="1308"/>
      <c r="W22" s="1308"/>
      <c r="X22" s="1308"/>
      <c r="Y22" s="1308"/>
      <c r="Z22" s="1308"/>
      <c r="AA22" s="1308"/>
    </row>
    <row r="23" spans="1:27" ht="18" customHeight="1" thickTop="1" thickBot="1">
      <c r="A23" s="1290">
        <v>1430</v>
      </c>
      <c r="B23" s="1291" t="s">
        <v>50</v>
      </c>
      <c r="C23" s="1292">
        <f>SUMIFS('collpy (2)'!$F$11:$F$12047,'collpy (2)'!$C$11:$C$12047,Mychart!A23)</f>
        <v>0</v>
      </c>
      <c r="D23" s="1292">
        <f>SUMIFS('collpy (2)'!$G$11:$G$12047,'collpy (2)'!$C$11:$C$12047,Mychart!A23)</f>
        <v>0</v>
      </c>
      <c r="E23" s="1387">
        <f t="shared" si="0"/>
        <v>0</v>
      </c>
      <c r="F23" s="1299"/>
      <c r="G23" s="1309"/>
      <c r="H23" s="1306"/>
      <c r="I23" s="1307"/>
      <c r="J23" s="1307"/>
      <c r="K23" s="1307"/>
      <c r="L23" s="1307"/>
      <c r="M23" s="1307"/>
      <c r="N23" s="1307"/>
      <c r="O23" s="1318"/>
      <c r="P23" s="1308"/>
      <c r="Q23" s="1308"/>
      <c r="R23" s="1308"/>
      <c r="S23" s="1317" t="s">
        <v>50</v>
      </c>
      <c r="T23" s="1317">
        <v>1430</v>
      </c>
      <c r="U23" s="1308"/>
      <c r="V23" s="1308"/>
      <c r="W23" s="1308"/>
      <c r="X23" s="1308"/>
      <c r="Y23" s="1308"/>
      <c r="Z23" s="1308"/>
      <c r="AA23" s="1308"/>
    </row>
    <row r="24" spans="1:27" ht="18" customHeight="1" thickTop="1" thickBot="1">
      <c r="A24" s="1290">
        <v>1440</v>
      </c>
      <c r="B24" s="1291" t="s">
        <v>51</v>
      </c>
      <c r="C24" s="1292">
        <f>SUMIFS('collpy (2)'!$F$11:$F$12047,'collpy (2)'!$C$11:$C$12047,Mychart!A24)</f>
        <v>0</v>
      </c>
      <c r="D24" s="1292">
        <f>SUMIFS('collpy (2)'!$G$11:$G$12047,'collpy (2)'!$C$11:$C$12047,Mychart!A24)</f>
        <v>0</v>
      </c>
      <c r="E24" s="1387">
        <f t="shared" si="0"/>
        <v>0</v>
      </c>
      <c r="F24" s="1299"/>
      <c r="G24" s="1309"/>
      <c r="H24" s="1306"/>
      <c r="I24" s="1307"/>
      <c r="J24" s="1307"/>
      <c r="K24" s="1307"/>
      <c r="L24" s="1307"/>
      <c r="M24" s="1307"/>
      <c r="N24" s="1307"/>
      <c r="O24" s="1318"/>
      <c r="P24" s="1308"/>
      <c r="Q24" s="1308"/>
      <c r="R24" s="1308"/>
      <c r="S24" s="1317" t="s">
        <v>51</v>
      </c>
      <c r="T24" s="1317">
        <v>1440</v>
      </c>
      <c r="U24" s="1308"/>
      <c r="V24" s="1308"/>
      <c r="W24" s="1308"/>
      <c r="X24" s="1308"/>
      <c r="Y24" s="1308"/>
      <c r="Z24" s="1308"/>
      <c r="AA24" s="1308"/>
    </row>
    <row r="25" spans="1:27" ht="18" customHeight="1" thickTop="1" thickBot="1">
      <c r="A25" s="1290">
        <v>1450</v>
      </c>
      <c r="B25" s="1291" t="s">
        <v>52</v>
      </c>
      <c r="C25" s="1292">
        <f>SUMIFS('collpy (2)'!$F$11:$F$12047,'collpy (2)'!$C$11:$C$12047,Mychart!A25)</f>
        <v>2</v>
      </c>
      <c r="D25" s="1292">
        <f>SUMIFS('collpy (2)'!$G$11:$G$12047,'collpy (2)'!$C$11:$C$12047,Mychart!A25)</f>
        <v>0</v>
      </c>
      <c r="E25" s="1387">
        <f t="shared" si="0"/>
        <v>2</v>
      </c>
      <c r="F25" s="1299"/>
      <c r="G25" s="1309"/>
      <c r="H25" s="1306"/>
      <c r="I25" s="1307"/>
      <c r="J25" s="1307"/>
      <c r="K25" s="1307"/>
      <c r="L25" s="1307"/>
      <c r="M25" s="1307"/>
      <c r="N25" s="1307"/>
      <c r="O25" s="1318"/>
      <c r="P25" s="1308"/>
      <c r="Q25" s="1308"/>
      <c r="R25" s="1308"/>
      <c r="S25" s="1317" t="s">
        <v>52</v>
      </c>
      <c r="T25" s="1317">
        <v>1450</v>
      </c>
      <c r="U25" s="1308"/>
      <c r="V25" s="1308"/>
      <c r="W25" s="1308"/>
      <c r="X25" s="1308"/>
      <c r="Y25" s="1308"/>
      <c r="Z25" s="1308"/>
      <c r="AA25" s="1308"/>
    </row>
    <row r="26" spans="1:27" ht="18" customHeight="1" thickTop="1" thickBot="1">
      <c r="A26" s="1290">
        <v>1500</v>
      </c>
      <c r="B26" s="1291" t="s">
        <v>53</v>
      </c>
      <c r="C26" s="1292">
        <f>SUMIFS('collpy (2)'!$F$11:$F$12047,'collpy (2)'!$C$11:$C$12047,Mychart!A26)</f>
        <v>45201.74</v>
      </c>
      <c r="D26" s="1292">
        <f>SUMIFS('collpy (2)'!$G$11:$G$12047,'collpy (2)'!$C$11:$C$12047,Mychart!A26)</f>
        <v>0</v>
      </c>
      <c r="E26" s="1387">
        <f t="shared" si="0"/>
        <v>45201.74</v>
      </c>
      <c r="F26" s="1299"/>
      <c r="G26" s="1309"/>
      <c r="H26" s="1306"/>
      <c r="I26" s="1307"/>
      <c r="J26" s="1307"/>
      <c r="K26" s="1307"/>
      <c r="L26" s="1307"/>
      <c r="M26" s="1307"/>
      <c r="N26" s="1307"/>
      <c r="O26" s="1318"/>
      <c r="P26" s="1308"/>
      <c r="Q26" s="1308"/>
      <c r="R26" s="1308"/>
      <c r="S26" s="1317" t="s">
        <v>53</v>
      </c>
      <c r="T26" s="1317">
        <v>1500</v>
      </c>
      <c r="U26" s="1308"/>
      <c r="V26" s="1308"/>
      <c r="W26" s="1308"/>
      <c r="X26" s="1308"/>
      <c r="Y26" s="1308"/>
      <c r="Z26" s="1308"/>
      <c r="AA26" s="1308"/>
    </row>
    <row r="27" spans="1:27" ht="18" customHeight="1" thickTop="1" thickBot="1">
      <c r="A27" s="1290">
        <v>1550</v>
      </c>
      <c r="B27" s="1291" t="s">
        <v>5121</v>
      </c>
      <c r="C27" s="1292">
        <f>SUMIFS('collpy (2)'!$F$11:$F$12047,'collpy (2)'!$C$11:$C$12047,Mychart!A27)</f>
        <v>392800</v>
      </c>
      <c r="D27" s="1292">
        <f>SUMIFS('collpy (2)'!$G$11:$G$12047,'collpy (2)'!$C$11:$C$12047,Mychart!A27)</f>
        <v>0</v>
      </c>
      <c r="E27" s="1387">
        <f t="shared" si="0"/>
        <v>392800</v>
      </c>
      <c r="F27" s="1299"/>
      <c r="G27" s="1309"/>
      <c r="H27" s="1306"/>
      <c r="I27" s="1307"/>
      <c r="J27" s="1307"/>
      <c r="K27" s="1307"/>
      <c r="L27" s="1307"/>
      <c r="M27" s="1307"/>
      <c r="N27" s="1307"/>
      <c r="O27" s="1318"/>
      <c r="P27" s="1308"/>
      <c r="Q27" s="1308"/>
      <c r="R27" s="1308"/>
      <c r="S27" s="1317" t="s">
        <v>54</v>
      </c>
      <c r="T27" s="1317">
        <v>1550</v>
      </c>
      <c r="U27" s="1308"/>
      <c r="V27" s="1308"/>
      <c r="W27" s="1308"/>
      <c r="X27" s="1308"/>
      <c r="Y27" s="1308"/>
      <c r="Z27" s="1308"/>
      <c r="AA27" s="1308"/>
    </row>
    <row r="28" spans="1:27" ht="18" customHeight="1" thickTop="1" thickBot="1">
      <c r="A28" s="1290">
        <v>1600</v>
      </c>
      <c r="B28" s="1291" t="s">
        <v>55</v>
      </c>
      <c r="C28" s="1292">
        <f>SUMIFS('collpy (2)'!$F$11:$F$12047,'collpy (2)'!$C$11:$C$12047,Mychart!A28)</f>
        <v>6926</v>
      </c>
      <c r="D28" s="1292">
        <f>SUMIFS('collpy (2)'!$G$11:$G$12047,'collpy (2)'!$C$11:$C$12047,Mychart!A28)</f>
        <v>0</v>
      </c>
      <c r="E28" s="1387">
        <f t="shared" si="0"/>
        <v>6926</v>
      </c>
      <c r="F28" s="1299"/>
      <c r="G28" s="1309"/>
      <c r="H28" s="1306"/>
      <c r="I28" s="1307"/>
      <c r="J28" s="1307"/>
      <c r="K28" s="1307"/>
      <c r="L28" s="1307"/>
      <c r="M28" s="1307"/>
      <c r="N28" s="1307"/>
      <c r="O28" s="1318"/>
      <c r="P28" s="1308"/>
      <c r="Q28" s="1308"/>
      <c r="R28" s="1308"/>
      <c r="S28" s="1317" t="s">
        <v>55</v>
      </c>
      <c r="T28" s="1317">
        <v>1600</v>
      </c>
      <c r="U28" s="1308"/>
      <c r="V28" s="1308"/>
      <c r="W28" s="1308"/>
      <c r="X28" s="1308"/>
      <c r="Y28" s="1308"/>
      <c r="Z28" s="1308"/>
      <c r="AA28" s="1308"/>
    </row>
    <row r="29" spans="1:27" ht="18" customHeight="1" thickTop="1" thickBot="1">
      <c r="A29" s="1290">
        <v>1900</v>
      </c>
      <c r="B29" s="1291" t="s">
        <v>56</v>
      </c>
      <c r="C29" s="1292">
        <f>SUMIFS('collpy (2)'!$F$11:$F$12047,'collpy (2)'!$C$11:$C$12047,Mychart!A29)</f>
        <v>0</v>
      </c>
      <c r="D29" s="1292">
        <f>SUMIFS('collpy (2)'!$G$11:$G$12047,'collpy (2)'!$C$11:$C$12047,Mychart!A29)</f>
        <v>191000</v>
      </c>
      <c r="E29" s="1387">
        <f t="shared" si="0"/>
        <v>-191000</v>
      </c>
      <c r="F29" s="1299"/>
      <c r="G29" s="1309"/>
      <c r="H29" s="1306"/>
      <c r="I29" s="1307"/>
      <c r="J29" s="1307"/>
      <c r="K29" s="1307"/>
      <c r="L29" s="1307"/>
      <c r="M29" s="1307"/>
      <c r="N29" s="1307"/>
      <c r="O29" s="1318"/>
      <c r="P29" s="1308"/>
      <c r="Q29" s="1308"/>
      <c r="R29" s="1308"/>
      <c r="S29" s="1317" t="s">
        <v>56</v>
      </c>
      <c r="T29" s="1317">
        <v>1900</v>
      </c>
      <c r="U29" s="1308"/>
      <c r="V29" s="1308"/>
      <c r="W29" s="1308"/>
      <c r="X29" s="1308"/>
      <c r="Y29" s="1308"/>
      <c r="Z29" s="1308"/>
      <c r="AA29" s="1308"/>
    </row>
    <row r="30" spans="1:27" ht="33.75" customHeight="1" thickTop="1" thickBot="1">
      <c r="A30" s="1302"/>
      <c r="B30" s="1303" t="s">
        <v>5123</v>
      </c>
      <c r="C30" s="1304" t="s">
        <v>1536</v>
      </c>
      <c r="D30" s="1304" t="s">
        <v>1537</v>
      </c>
      <c r="E30" s="1304" t="s">
        <v>2</v>
      </c>
      <c r="F30" s="1300"/>
      <c r="G30" s="1309"/>
      <c r="H30" s="1306"/>
      <c r="I30" s="1307"/>
      <c r="J30" s="1307"/>
      <c r="K30" s="1307"/>
      <c r="L30" s="1307"/>
      <c r="M30" s="1307"/>
      <c r="N30" s="1307"/>
      <c r="O30" s="1318"/>
      <c r="P30" s="1308"/>
      <c r="Q30" s="1308"/>
      <c r="R30" s="1308"/>
      <c r="S30" s="1317"/>
      <c r="T30" s="1317" t="s">
        <v>5</v>
      </c>
      <c r="U30" s="1308"/>
      <c r="V30" s="1308"/>
      <c r="W30" s="1308"/>
      <c r="X30" s="1308"/>
      <c r="Y30" s="1308"/>
      <c r="Z30" s="1308"/>
      <c r="AA30" s="1308"/>
    </row>
    <row r="31" spans="1:27" ht="18" customHeight="1" thickTop="1" thickBot="1">
      <c r="A31" s="1290">
        <v>2000</v>
      </c>
      <c r="B31" s="1291" t="s">
        <v>57</v>
      </c>
      <c r="C31" s="1292">
        <f>SUMIFS('collpy (2)'!$F$11:$F$12047,'collpy (2)'!$C$11:$C$12047,Mychart!A31)</f>
        <v>3678855.0499999993</v>
      </c>
      <c r="D31" s="1292">
        <f>SUMIFS('collpy (2)'!$G$11:$G$12047,'collpy (2)'!$C$11:$C$12047,Mychart!A31)</f>
        <v>3465349.0425499999</v>
      </c>
      <c r="E31" s="1387">
        <f>D31-C31</f>
        <v>-213506.00744999945</v>
      </c>
      <c r="F31" s="1299"/>
      <c r="G31" s="1309"/>
      <c r="H31" s="1306"/>
      <c r="I31" s="1307"/>
      <c r="J31" s="1307"/>
      <c r="K31" s="1307"/>
      <c r="L31" s="1307"/>
      <c r="M31" s="1307"/>
      <c r="N31" s="1307"/>
      <c r="O31" s="1318"/>
      <c r="P31" s="1308"/>
      <c r="Q31" s="1308"/>
      <c r="R31" s="1308"/>
      <c r="S31" s="1317" t="s">
        <v>57</v>
      </c>
      <c r="T31" s="1317">
        <v>2000</v>
      </c>
      <c r="U31" s="1308"/>
      <c r="V31" s="1308"/>
      <c r="W31" s="1308"/>
      <c r="X31" s="1308"/>
      <c r="Y31" s="1308"/>
      <c r="Z31" s="1308"/>
      <c r="AA31" s="1308"/>
    </row>
    <row r="32" spans="1:27" ht="18" customHeight="1" thickTop="1" thickBot="1">
      <c r="A32" s="1290">
        <v>2018</v>
      </c>
      <c r="B32" s="1291" t="s">
        <v>58</v>
      </c>
      <c r="C32" s="1292">
        <f>SUMIFS('collpy (2)'!$F$11:$F$12047,'collpy (2)'!$C$11:$C$12047,Mychart!A32)</f>
        <v>202041.5001275001</v>
      </c>
      <c r="D32" s="1292">
        <f>SUMIFS('collpy (2)'!$G$11:$G$12047,'collpy (2)'!$C$11:$C$12047,Mychart!A32)</f>
        <v>229121.63000000006</v>
      </c>
      <c r="E32" s="1387">
        <f t="shared" ref="E32:E54" si="1">D32-C32</f>
        <v>27080.129872499965</v>
      </c>
      <c r="F32" s="1299"/>
      <c r="G32" s="1309"/>
      <c r="H32" s="1306"/>
      <c r="I32" s="1307"/>
      <c r="J32" s="1307"/>
      <c r="K32" s="1307"/>
      <c r="L32" s="1307"/>
      <c r="M32" s="1307"/>
      <c r="N32" s="1307"/>
      <c r="O32" s="1318"/>
      <c r="P32" s="1308"/>
      <c r="Q32" s="1308"/>
      <c r="R32" s="1308"/>
      <c r="S32" s="1317" t="s">
        <v>58</v>
      </c>
      <c r="T32" s="1317">
        <v>2018</v>
      </c>
      <c r="U32" s="1308"/>
      <c r="V32" s="1308"/>
      <c r="W32" s="1308"/>
      <c r="X32" s="1308"/>
      <c r="Y32" s="1308"/>
      <c r="Z32" s="1308"/>
      <c r="AA32" s="1308"/>
    </row>
    <row r="33" spans="1:27" ht="18" customHeight="1" thickTop="1" thickBot="1">
      <c r="A33" s="1290">
        <v>2310</v>
      </c>
      <c r="B33" s="1291" t="s">
        <v>59</v>
      </c>
      <c r="C33" s="1292">
        <f>SUMIFS('collpy (2)'!$F$11:$F$12047,'collpy (2)'!$C$11:$C$12047,Mychart!A33)</f>
        <v>0</v>
      </c>
      <c r="D33" s="1292">
        <f>SUMIFS('collpy (2)'!$G$11:$G$12047,'collpy (2)'!$C$11:$C$12047,Mychart!A33)</f>
        <v>0</v>
      </c>
      <c r="E33" s="1387">
        <f t="shared" si="1"/>
        <v>0</v>
      </c>
      <c r="F33" s="1299"/>
      <c r="G33" s="1309"/>
      <c r="H33" s="1306"/>
      <c r="I33" s="1307"/>
      <c r="J33" s="1307"/>
      <c r="K33" s="1307"/>
      <c r="L33" s="1307"/>
      <c r="M33" s="1307"/>
      <c r="N33" s="1307"/>
      <c r="O33" s="1318"/>
      <c r="P33" s="1308"/>
      <c r="Q33" s="1308"/>
      <c r="R33" s="1308"/>
      <c r="S33" s="1317" t="s">
        <v>59</v>
      </c>
      <c r="T33" s="1317">
        <v>2310</v>
      </c>
      <c r="U33" s="1308"/>
      <c r="V33" s="1308"/>
      <c r="W33" s="1308"/>
      <c r="X33" s="1308"/>
      <c r="Y33" s="1308"/>
      <c r="Z33" s="1308"/>
      <c r="AA33" s="1308"/>
    </row>
    <row r="34" spans="1:27" ht="18" customHeight="1" thickTop="1" thickBot="1">
      <c r="A34" s="1290">
        <v>2320</v>
      </c>
      <c r="B34" s="1291" t="s">
        <v>60</v>
      </c>
      <c r="C34" s="1292">
        <f>SUMIFS('collpy (2)'!$F$11:$F$12047,'collpy (2)'!$C$11:$C$12047,Mychart!A34)</f>
        <v>0</v>
      </c>
      <c r="D34" s="1292">
        <f>SUMIFS('collpy (2)'!$G$11:$G$12047,'collpy (2)'!$C$11:$C$12047,Mychart!A34)</f>
        <v>0</v>
      </c>
      <c r="E34" s="1387">
        <f t="shared" si="1"/>
        <v>0</v>
      </c>
      <c r="F34" s="1299"/>
      <c r="G34" s="1309"/>
      <c r="H34" s="1306"/>
      <c r="I34" s="1307"/>
      <c r="J34" s="1307"/>
      <c r="K34" s="1307"/>
      <c r="L34" s="1307"/>
      <c r="M34" s="1307"/>
      <c r="N34" s="1307"/>
      <c r="O34" s="1318"/>
      <c r="P34" s="1308"/>
      <c r="Q34" s="1308"/>
      <c r="R34" s="1308"/>
      <c r="S34" s="1317" t="s">
        <v>60</v>
      </c>
      <c r="T34" s="1317">
        <v>2320</v>
      </c>
      <c r="U34" s="1308"/>
      <c r="V34" s="1308"/>
      <c r="W34" s="1308"/>
      <c r="X34" s="1308"/>
      <c r="Y34" s="1308"/>
      <c r="Z34" s="1308"/>
      <c r="AA34" s="1308"/>
    </row>
    <row r="35" spans="1:27" ht="18" customHeight="1" thickTop="1" thickBot="1">
      <c r="A35" s="1290">
        <v>2330</v>
      </c>
      <c r="B35" s="1291" t="s">
        <v>61</v>
      </c>
      <c r="C35" s="1292">
        <f>SUMIFS('collpy (2)'!$F$11:$F$12047,'collpy (2)'!$C$11:$C$12047,Mychart!A35)</f>
        <v>0</v>
      </c>
      <c r="D35" s="1292">
        <f>SUMIFS('collpy (2)'!$G$11:$G$12047,'collpy (2)'!$C$11:$C$12047,Mychart!A35)</f>
        <v>0</v>
      </c>
      <c r="E35" s="1387">
        <f t="shared" si="1"/>
        <v>0</v>
      </c>
      <c r="F35" s="1299"/>
      <c r="G35" s="1309"/>
      <c r="H35" s="1306"/>
      <c r="I35" s="1307"/>
      <c r="J35" s="1307"/>
      <c r="K35" s="1307"/>
      <c r="L35" s="1307"/>
      <c r="M35" s="1307"/>
      <c r="N35" s="1307"/>
      <c r="O35" s="1318"/>
      <c r="P35" s="1308"/>
      <c r="Q35" s="1308"/>
      <c r="R35" s="1308"/>
      <c r="S35" s="1317" t="s">
        <v>61</v>
      </c>
      <c r="T35" s="1317">
        <v>2330</v>
      </c>
      <c r="U35" s="1308"/>
      <c r="V35" s="1308"/>
      <c r="W35" s="1308"/>
      <c r="X35" s="1308"/>
      <c r="Y35" s="1308"/>
      <c r="Z35" s="1308"/>
      <c r="AA35" s="1308"/>
    </row>
    <row r="36" spans="1:27" ht="18" customHeight="1" thickTop="1" thickBot="1">
      <c r="A36" s="1290">
        <v>2340</v>
      </c>
      <c r="B36" s="1291" t="s">
        <v>62</v>
      </c>
      <c r="C36" s="1292">
        <f>SUMIFS('collpy (2)'!$F$11:$F$12047,'collpy (2)'!$C$11:$C$12047,Mychart!A36)</f>
        <v>0</v>
      </c>
      <c r="D36" s="1292">
        <f>SUMIFS('collpy (2)'!$G$11:$G$12047,'collpy (2)'!$C$11:$C$12047,Mychart!A36)</f>
        <v>0</v>
      </c>
      <c r="E36" s="1387">
        <f t="shared" si="1"/>
        <v>0</v>
      </c>
      <c r="F36" s="1299"/>
      <c r="G36" s="1309"/>
      <c r="H36" s="1306"/>
      <c r="I36" s="1307"/>
      <c r="J36" s="1307"/>
      <c r="K36" s="1307"/>
      <c r="L36" s="1307"/>
      <c r="M36" s="1307"/>
      <c r="N36" s="1307"/>
      <c r="O36" s="1318"/>
      <c r="P36" s="1308"/>
      <c r="Q36" s="1308"/>
      <c r="R36" s="1308"/>
      <c r="S36" s="1317" t="s">
        <v>62</v>
      </c>
      <c r="T36" s="1317">
        <v>2340</v>
      </c>
      <c r="U36" s="1308"/>
      <c r="V36" s="1308"/>
      <c r="W36" s="1308"/>
      <c r="X36" s="1308"/>
      <c r="Y36" s="1308"/>
      <c r="Z36" s="1308"/>
      <c r="AA36" s="1308"/>
    </row>
    <row r="37" spans="1:27" ht="16.5" thickTop="1" thickBot="1">
      <c r="A37" s="1290">
        <v>2350</v>
      </c>
      <c r="B37" s="1291" t="s">
        <v>63</v>
      </c>
      <c r="C37" s="1292">
        <f>SUMIFS('collpy (2)'!$F$11:$F$12047,'collpy (2)'!$C$11:$C$12047,Mychart!A37)</f>
        <v>0</v>
      </c>
      <c r="D37" s="1292">
        <f>SUMIFS('collpy (2)'!$G$11:$G$12047,'collpy (2)'!$C$11:$C$12047,Mychart!A37)</f>
        <v>0</v>
      </c>
      <c r="E37" s="1387">
        <f t="shared" si="1"/>
        <v>0</v>
      </c>
      <c r="F37" s="1299"/>
      <c r="G37" s="1305"/>
      <c r="H37" s="1310"/>
      <c r="I37" s="1307"/>
      <c r="J37" s="1307"/>
      <c r="K37" s="1307"/>
      <c r="L37" s="1307"/>
      <c r="M37" s="1307"/>
      <c r="N37" s="1307"/>
      <c r="O37" s="1318"/>
      <c r="P37" s="1308"/>
      <c r="Q37" s="1308"/>
      <c r="R37" s="1308"/>
      <c r="S37" s="1317" t="s">
        <v>63</v>
      </c>
      <c r="T37" s="1317">
        <v>2350</v>
      </c>
      <c r="U37" s="1308"/>
      <c r="V37" s="1308"/>
      <c r="W37" s="1308"/>
      <c r="X37" s="1308"/>
      <c r="Y37" s="1308"/>
      <c r="Z37" s="1308"/>
      <c r="AA37" s="1308"/>
    </row>
    <row r="38" spans="1:27" ht="18" customHeight="1" thickTop="1" thickBot="1">
      <c r="A38" s="1290">
        <v>2360</v>
      </c>
      <c r="B38" s="1291" t="s">
        <v>64</v>
      </c>
      <c r="C38" s="1292">
        <f>SUMIFS('collpy (2)'!$F$11:$F$12047,'collpy (2)'!$C$11:$C$12047,Mychart!A38)</f>
        <v>0</v>
      </c>
      <c r="D38" s="1292">
        <f>SUMIFS('collpy (2)'!$G$11:$G$12047,'collpy (2)'!$C$11:$C$12047,Mychart!A38)</f>
        <v>0</v>
      </c>
      <c r="E38" s="1387">
        <f t="shared" si="1"/>
        <v>0</v>
      </c>
      <c r="F38" s="1299"/>
      <c r="G38" s="1311"/>
      <c r="H38" s="1306"/>
      <c r="I38" s="1307"/>
      <c r="J38" s="1307"/>
      <c r="K38" s="1307"/>
      <c r="L38" s="1307"/>
      <c r="M38" s="1307"/>
      <c r="N38" s="1307"/>
      <c r="O38" s="1318"/>
      <c r="P38" s="1308"/>
      <c r="Q38" s="1308"/>
      <c r="R38" s="1308"/>
      <c r="S38" s="1317" t="s">
        <v>64</v>
      </c>
      <c r="T38" s="1317">
        <v>2360</v>
      </c>
      <c r="U38" s="1308"/>
      <c r="V38" s="1308"/>
      <c r="W38" s="1308"/>
      <c r="X38" s="1308"/>
      <c r="Y38" s="1308"/>
      <c r="Z38" s="1308"/>
      <c r="AA38" s="1308"/>
    </row>
    <row r="39" spans="1:27" ht="18" customHeight="1" thickTop="1" thickBot="1">
      <c r="A39" s="1290">
        <v>2370</v>
      </c>
      <c r="B39" s="1655" t="s">
        <v>5819</v>
      </c>
      <c r="C39" s="1292">
        <f>SUMIFS('collpy (2)'!$F$11:$F$12047,'collpy (2)'!$C$11:$C$12047,Mychart!A39)</f>
        <v>53964</v>
      </c>
      <c r="D39" s="1292">
        <f>SUMIFS('collpy (2)'!$G$11:$G$12047,'collpy (2)'!$C$11:$C$12047,Mychart!A39)</f>
        <v>290437</v>
      </c>
      <c r="E39" s="1387">
        <f t="shared" si="1"/>
        <v>236473</v>
      </c>
      <c r="F39" s="1299"/>
      <c r="G39" s="1309"/>
      <c r="H39" s="1306"/>
      <c r="I39" s="1307"/>
      <c r="J39" s="1307"/>
      <c r="K39" s="1307"/>
      <c r="L39" s="1307"/>
      <c r="M39" s="1307"/>
      <c r="N39" s="1307"/>
      <c r="O39" s="1318"/>
      <c r="P39" s="1308"/>
      <c r="Q39" s="1308"/>
      <c r="R39" s="1308"/>
      <c r="S39" s="1317" t="s">
        <v>65</v>
      </c>
      <c r="T39" s="1317">
        <v>2370</v>
      </c>
      <c r="U39" s="1308"/>
      <c r="V39" s="1308"/>
      <c r="W39" s="1308"/>
      <c r="X39" s="1308"/>
      <c r="Y39" s="1308"/>
      <c r="Z39" s="1308"/>
      <c r="AA39" s="1308"/>
    </row>
    <row r="40" spans="1:27" ht="18" customHeight="1" thickTop="1" thickBot="1">
      <c r="A40" s="1290">
        <v>2380</v>
      </c>
      <c r="B40" s="1291" t="s">
        <v>66</v>
      </c>
      <c r="C40" s="1292">
        <f>SUMIFS('collpy (2)'!$F$11:$F$12047,'collpy (2)'!$C$11:$C$12047,Mychart!A40)</f>
        <v>0</v>
      </c>
      <c r="D40" s="1292">
        <f>SUMIFS('collpy (2)'!$G$11:$G$12047,'collpy (2)'!$C$11:$C$12047,Mychart!A40)</f>
        <v>0</v>
      </c>
      <c r="E40" s="1387">
        <f t="shared" si="1"/>
        <v>0</v>
      </c>
      <c r="F40" s="1299"/>
      <c r="G40" s="1309"/>
      <c r="H40" s="1306"/>
      <c r="I40" s="1307"/>
      <c r="J40" s="1307"/>
      <c r="K40" s="1307"/>
      <c r="L40" s="1307"/>
      <c r="M40" s="1307"/>
      <c r="N40" s="1307"/>
      <c r="O40" s="1318"/>
      <c r="P40" s="1308"/>
      <c r="Q40" s="1308"/>
      <c r="R40" s="1308"/>
      <c r="S40" s="1317" t="s">
        <v>66</v>
      </c>
      <c r="T40" s="1317">
        <v>2380</v>
      </c>
      <c r="U40" s="1308"/>
      <c r="V40" s="1308"/>
      <c r="W40" s="1308"/>
      <c r="X40" s="1308"/>
      <c r="Y40" s="1308"/>
      <c r="Z40" s="1308"/>
      <c r="AA40" s="1308"/>
    </row>
    <row r="41" spans="1:27" ht="18" customHeight="1" thickTop="1" thickBot="1">
      <c r="A41" s="1290">
        <v>2400</v>
      </c>
      <c r="B41" s="1291" t="s">
        <v>67</v>
      </c>
      <c r="C41" s="1292">
        <f>SUMIFS('collpy (2)'!$F$11:$F$12047,'collpy (2)'!$C$11:$C$12047,Mychart!A41)</f>
        <v>0</v>
      </c>
      <c r="D41" s="1292">
        <f>SUMIFS('collpy (2)'!$G$11:$G$12047,'collpy (2)'!$C$11:$C$12047,Mychart!A41)</f>
        <v>0</v>
      </c>
      <c r="E41" s="1387">
        <f t="shared" si="1"/>
        <v>0</v>
      </c>
      <c r="F41" s="1299"/>
      <c r="G41" s="1309"/>
      <c r="H41" s="1306"/>
      <c r="I41" s="1307"/>
      <c r="J41" s="1307"/>
      <c r="K41" s="1307"/>
      <c r="L41" s="1307"/>
      <c r="M41" s="1307"/>
      <c r="N41" s="1307"/>
      <c r="O41" s="1318"/>
      <c r="P41" s="1308"/>
      <c r="Q41" s="1308"/>
      <c r="R41" s="1308"/>
      <c r="S41" s="1317" t="s">
        <v>67</v>
      </c>
      <c r="T41" s="1317">
        <v>2400</v>
      </c>
      <c r="U41" s="1308"/>
      <c r="V41" s="1308"/>
      <c r="W41" s="1308"/>
      <c r="X41" s="1308"/>
      <c r="Y41" s="1308"/>
      <c r="Z41" s="1308"/>
      <c r="AA41" s="1308"/>
    </row>
    <row r="42" spans="1:27" ht="18" customHeight="1" thickTop="1" thickBot="1">
      <c r="A42" s="1290">
        <v>2500</v>
      </c>
      <c r="B42" s="1291" t="s">
        <v>68</v>
      </c>
      <c r="C42" s="1292">
        <f>SUMIFS('collpy (2)'!$F$11:$F$12047,'collpy (2)'!$C$11:$C$12047,Mychart!A42)</f>
        <v>0</v>
      </c>
      <c r="D42" s="1292">
        <f>SUMIFS('collpy (2)'!$G$11:$G$12047,'collpy (2)'!$C$11:$C$12047,Mychart!A42)</f>
        <v>0</v>
      </c>
      <c r="E42" s="1387">
        <f t="shared" si="1"/>
        <v>0</v>
      </c>
      <c r="F42" s="1299"/>
      <c r="G42" s="1309"/>
      <c r="H42" s="1306"/>
      <c r="I42" s="1307"/>
      <c r="J42" s="1307"/>
      <c r="K42" s="1307"/>
      <c r="L42" s="1307"/>
      <c r="M42" s="1307"/>
      <c r="N42" s="1307"/>
      <c r="O42" s="1318"/>
      <c r="P42" s="1308"/>
      <c r="Q42" s="1308"/>
      <c r="R42" s="1308"/>
      <c r="S42" s="1317" t="s">
        <v>68</v>
      </c>
      <c r="T42" s="1317">
        <v>2500</v>
      </c>
      <c r="U42" s="1308"/>
      <c r="V42" s="1308"/>
      <c r="W42" s="1308"/>
      <c r="X42" s="1308"/>
      <c r="Y42" s="1308"/>
      <c r="Z42" s="1308"/>
      <c r="AA42" s="1308"/>
    </row>
    <row r="43" spans="1:27" ht="16.5" thickTop="1" thickBot="1">
      <c r="A43" s="1290">
        <v>2700</v>
      </c>
      <c r="B43" s="1291" t="s">
        <v>69</v>
      </c>
      <c r="C43" s="1292">
        <f>SUMIFS('collpy (2)'!$F$11:$F$12047,'collpy (2)'!$C$11:$C$12047,Mychart!A43)</f>
        <v>0</v>
      </c>
      <c r="D43" s="1292">
        <f>SUMIFS('collpy (2)'!$G$11:$G$12047,'collpy (2)'!$C$11:$C$12047,Mychart!A43)</f>
        <v>0</v>
      </c>
      <c r="E43" s="1387">
        <f t="shared" si="1"/>
        <v>0</v>
      </c>
      <c r="F43" s="1299"/>
      <c r="G43" s="1305"/>
      <c r="H43" s="1310"/>
      <c r="I43" s="1307"/>
      <c r="J43" s="1307"/>
      <c r="K43" s="1307"/>
      <c r="L43" s="1307"/>
      <c r="M43" s="1307"/>
      <c r="N43" s="1307"/>
      <c r="O43" s="1318"/>
      <c r="P43" s="1308"/>
      <c r="Q43" s="1308"/>
      <c r="R43" s="1308"/>
      <c r="S43" s="1317" t="s">
        <v>69</v>
      </c>
      <c r="T43" s="1317">
        <v>2700</v>
      </c>
      <c r="U43" s="1308"/>
      <c r="V43" s="1308"/>
      <c r="W43" s="1308"/>
      <c r="X43" s="1308"/>
      <c r="Y43" s="1308"/>
      <c r="Z43" s="1308"/>
      <c r="AA43" s="1308"/>
    </row>
    <row r="44" spans="1:27" ht="33.75" customHeight="1" thickTop="1" thickBot="1">
      <c r="A44" s="1302"/>
      <c r="B44" s="1303" t="s">
        <v>2892</v>
      </c>
      <c r="C44" s="1304" t="s">
        <v>1536</v>
      </c>
      <c r="D44" s="1304" t="s">
        <v>1537</v>
      </c>
      <c r="E44" s="1304" t="s">
        <v>2</v>
      </c>
      <c r="F44" s="1300"/>
      <c r="G44" s="1309"/>
      <c r="H44" s="1306"/>
      <c r="I44" s="1307"/>
      <c r="J44" s="1307"/>
      <c r="K44" s="1307"/>
      <c r="L44" s="1307"/>
      <c r="M44" s="1307"/>
      <c r="N44" s="1307"/>
      <c r="O44" s="1318"/>
      <c r="P44" s="1308"/>
      <c r="Q44" s="1308"/>
      <c r="R44" s="1308"/>
      <c r="S44" s="1317"/>
      <c r="T44" s="1317" t="s">
        <v>145</v>
      </c>
      <c r="U44" s="1308"/>
      <c r="V44" s="1308"/>
      <c r="W44" s="1308"/>
      <c r="X44" s="1308"/>
      <c r="Y44" s="1308"/>
      <c r="Z44" s="1308"/>
      <c r="AA44" s="1308"/>
    </row>
    <row r="45" spans="1:27" ht="18" customHeight="1" thickTop="1" thickBot="1">
      <c r="A45" s="1290">
        <v>3910</v>
      </c>
      <c r="B45" s="1291" t="s">
        <v>70</v>
      </c>
      <c r="C45" s="1292">
        <f>SUMIFS('collpy (2)'!$F$11:$F$12047,'collpy (2)'!$C$11:$C$12047,Mychart!A45)</f>
        <v>0</v>
      </c>
      <c r="D45" s="1292">
        <f>SUMIFS('collpy (2)'!$G$11:$G$12047,'collpy (2)'!$C$11:$C$12047,Mychart!A45)</f>
        <v>0</v>
      </c>
      <c r="E45" s="1387">
        <f t="shared" si="1"/>
        <v>0</v>
      </c>
      <c r="F45" s="1299"/>
      <c r="G45" s="1309"/>
      <c r="H45" s="1306"/>
      <c r="I45" s="1307"/>
      <c r="J45" s="1307"/>
      <c r="K45" s="1307"/>
      <c r="L45" s="1307"/>
      <c r="M45" s="1307"/>
      <c r="N45" s="1307"/>
      <c r="O45" s="1318"/>
      <c r="P45" s="1308"/>
      <c r="Q45" s="1308"/>
      <c r="R45" s="1308"/>
      <c r="S45" s="1317" t="s">
        <v>70</v>
      </c>
      <c r="T45" s="1317">
        <v>3910</v>
      </c>
      <c r="U45" s="1308"/>
      <c r="V45" s="1308"/>
      <c r="W45" s="1308"/>
      <c r="X45" s="1308"/>
      <c r="Y45" s="1308"/>
      <c r="Z45" s="1308"/>
      <c r="AA45" s="1308"/>
    </row>
    <row r="46" spans="1:27" ht="18" customHeight="1" thickTop="1" thickBot="1">
      <c r="A46" s="1290">
        <v>3920</v>
      </c>
      <c r="B46" s="1291" t="s">
        <v>71</v>
      </c>
      <c r="C46" s="1292">
        <f>SUMIFS('collpy (2)'!$F$11:$F$12047,'collpy (2)'!$C$11:$C$12047,Mychart!A46)</f>
        <v>0</v>
      </c>
      <c r="D46" s="1292">
        <f>SUMIFS('collpy (2)'!$G$11:$G$12047,'collpy (2)'!$C$11:$C$12047,Mychart!A46)</f>
        <v>300000</v>
      </c>
      <c r="E46" s="1387">
        <f t="shared" si="1"/>
        <v>300000</v>
      </c>
      <c r="F46" s="1299"/>
      <c r="G46" s="1309"/>
      <c r="H46" s="1306"/>
      <c r="I46" s="1307" t="s">
        <v>11</v>
      </c>
      <c r="J46" s="1307" t="s">
        <v>209</v>
      </c>
      <c r="K46" s="1307"/>
      <c r="L46" s="1307"/>
      <c r="M46" s="1307"/>
      <c r="N46" s="1307"/>
      <c r="O46" s="1318" t="s">
        <v>210</v>
      </c>
      <c r="P46" s="1308"/>
      <c r="Q46" s="1308"/>
      <c r="R46" s="1308"/>
      <c r="S46" s="1317" t="s">
        <v>71</v>
      </c>
      <c r="T46" s="1317">
        <v>3920</v>
      </c>
      <c r="U46" s="1308"/>
      <c r="V46" s="1308"/>
      <c r="W46" s="1308"/>
      <c r="X46" s="1308"/>
      <c r="Y46" s="1308"/>
      <c r="Z46" s="1308"/>
      <c r="AA46" s="1308"/>
    </row>
    <row r="47" spans="1:27" ht="18" customHeight="1" thickTop="1" thickBot="1">
      <c r="A47" s="1290">
        <v>3930</v>
      </c>
      <c r="B47" s="1291" t="s">
        <v>72</v>
      </c>
      <c r="C47" s="1292">
        <f>SUMIFS('collpy (2)'!$F$11:$F$12047,'collpy (2)'!$C$11:$C$12047,Mychart!A47)</f>
        <v>0</v>
      </c>
      <c r="D47" s="1292">
        <f>SUMIFS('collpy (2)'!$G$11:$G$12047,'collpy (2)'!$C$11:$C$12047,Mychart!A47)</f>
        <v>0</v>
      </c>
      <c r="E47" s="1387">
        <f t="shared" si="1"/>
        <v>0</v>
      </c>
      <c r="F47" s="1299"/>
      <c r="G47" s="1309"/>
      <c r="H47" s="1306"/>
      <c r="I47" s="1307"/>
      <c r="J47" s="1307"/>
      <c r="K47" s="1307"/>
      <c r="L47" s="1307"/>
      <c r="M47" s="1307"/>
      <c r="N47" s="1307"/>
      <c r="O47" s="1318"/>
      <c r="P47" s="1308"/>
      <c r="Q47" s="1308"/>
      <c r="R47" s="1308"/>
      <c r="S47" s="1317" t="s">
        <v>72</v>
      </c>
      <c r="T47" s="1317">
        <v>3930</v>
      </c>
      <c r="U47" s="1308"/>
      <c r="V47" s="1308"/>
      <c r="W47" s="1308"/>
      <c r="X47" s="1308"/>
      <c r="Y47" s="1308"/>
      <c r="Z47" s="1308"/>
      <c r="AA47" s="1308"/>
    </row>
    <row r="48" spans="1:27" ht="18" customHeight="1" thickTop="1" thickBot="1">
      <c r="A48" s="1290">
        <v>3940</v>
      </c>
      <c r="B48" s="1291" t="s">
        <v>73</v>
      </c>
      <c r="C48" s="1292">
        <f>SUMIFS('collpy (2)'!$F$11:$F$12047,'collpy (2)'!$C$11:$C$12047,Mychart!A48)</f>
        <v>0</v>
      </c>
      <c r="D48" s="1292">
        <f>SUMIFS('collpy (2)'!$G$11:$G$12047,'collpy (2)'!$C$11:$C$12047,Mychart!A48)</f>
        <v>505460</v>
      </c>
      <c r="E48" s="1387">
        <f t="shared" si="1"/>
        <v>505460</v>
      </c>
      <c r="F48" s="1299"/>
      <c r="G48" s="1309"/>
      <c r="H48" s="1306"/>
      <c r="I48" s="1307"/>
      <c r="J48" s="1307"/>
      <c r="K48" s="1307"/>
      <c r="L48" s="1307"/>
      <c r="M48" s="1307"/>
      <c r="N48" s="1307"/>
      <c r="O48" s="1318"/>
      <c r="P48" s="1308"/>
      <c r="Q48" s="1308"/>
      <c r="R48" s="1308"/>
      <c r="S48" s="1317" t="s">
        <v>73</v>
      </c>
      <c r="T48" s="1317">
        <v>3940</v>
      </c>
      <c r="U48" s="1308"/>
      <c r="V48" s="1308"/>
      <c r="W48" s="1308"/>
      <c r="X48" s="1308"/>
      <c r="Y48" s="1308"/>
      <c r="Z48" s="1308"/>
      <c r="AA48" s="1308"/>
    </row>
    <row r="49" spans="1:27" ht="33.75" customHeight="1" thickTop="1" thickBot="1">
      <c r="A49" s="1302"/>
      <c r="B49" s="1303" t="s">
        <v>822</v>
      </c>
      <c r="C49" s="1304" t="s">
        <v>1536</v>
      </c>
      <c r="D49" s="1304" t="s">
        <v>1537</v>
      </c>
      <c r="E49" s="1304" t="s">
        <v>2</v>
      </c>
      <c r="F49" s="1300"/>
      <c r="G49" s="1309"/>
      <c r="H49" s="1306"/>
      <c r="I49" s="1307"/>
      <c r="J49" s="1307"/>
      <c r="K49" s="1307"/>
      <c r="L49" s="1307"/>
      <c r="M49" s="1307"/>
      <c r="N49" s="1307"/>
      <c r="O49" s="1318"/>
      <c r="P49" s="1308"/>
      <c r="Q49" s="1308"/>
      <c r="R49" s="1308"/>
      <c r="S49" s="1317"/>
      <c r="T49" s="1317" t="s">
        <v>146</v>
      </c>
      <c r="U49" s="1308"/>
      <c r="V49" s="1308"/>
      <c r="W49" s="1308"/>
      <c r="X49" s="1308"/>
      <c r="Y49" s="1308"/>
      <c r="Z49" s="1308"/>
      <c r="AA49" s="1308"/>
    </row>
    <row r="50" spans="1:27" ht="18" customHeight="1" thickTop="1" thickBot="1">
      <c r="A50" s="1290">
        <v>4000</v>
      </c>
      <c r="B50" s="1291" t="s">
        <v>74</v>
      </c>
      <c r="C50" s="1292">
        <f>SUMIFS('collpy (2)'!$F$11:$F$12047,'collpy (2)'!$C$11:$C$12047,Mychart!A50)</f>
        <v>56565</v>
      </c>
      <c r="D50" s="1292">
        <f>SUMIFS('collpy (2)'!$G$11:$G$12047,'collpy (2)'!$C$11:$C$12047,Mychart!A50)</f>
        <v>5471429.7999999998</v>
      </c>
      <c r="E50" s="1387">
        <f t="shared" si="1"/>
        <v>5414864.7999999998</v>
      </c>
      <c r="F50" s="1299"/>
      <c r="G50" s="1309"/>
      <c r="H50" s="1306"/>
      <c r="I50" s="1307"/>
      <c r="J50" s="1307"/>
      <c r="K50" s="1307"/>
      <c r="L50" s="1307"/>
      <c r="M50" s="1307"/>
      <c r="N50" s="1307"/>
      <c r="O50" s="1318"/>
      <c r="P50" s="1308"/>
      <c r="Q50" s="1308"/>
      <c r="R50" s="1308"/>
      <c r="S50" s="1317" t="s">
        <v>74</v>
      </c>
      <c r="T50" s="1317">
        <v>4000</v>
      </c>
      <c r="U50" s="1308"/>
      <c r="V50" s="1308"/>
      <c r="W50" s="1308"/>
      <c r="X50" s="1308"/>
      <c r="Y50" s="1308"/>
      <c r="Z50" s="1308"/>
      <c r="AA50" s="1308"/>
    </row>
    <row r="51" spans="1:27" ht="18" customHeight="1" thickTop="1" thickBot="1">
      <c r="A51" s="1290">
        <v>4010</v>
      </c>
      <c r="B51" s="1291" t="s">
        <v>75</v>
      </c>
      <c r="C51" s="1292">
        <f>SUMIFS('collpy (2)'!$F$11:$F$12047,'collpy (2)'!$C$11:$C$12047,Mychart!A51)</f>
        <v>0</v>
      </c>
      <c r="D51" s="1292">
        <f>SUMIFS('collpy (2)'!$G$11:$G$12047,'collpy (2)'!$C$11:$C$12047,Mychart!A51)</f>
        <v>33635</v>
      </c>
      <c r="E51" s="1387">
        <f t="shared" si="1"/>
        <v>33635</v>
      </c>
      <c r="F51" s="1299"/>
      <c r="G51" s="1309"/>
      <c r="H51" s="1306"/>
      <c r="I51" s="1307"/>
      <c r="J51" s="1307"/>
      <c r="K51" s="1307"/>
      <c r="L51" s="1307"/>
      <c r="M51" s="1307"/>
      <c r="N51" s="1307"/>
      <c r="O51" s="1318"/>
      <c r="P51" s="1308"/>
      <c r="Q51" s="1308"/>
      <c r="R51" s="1308"/>
      <c r="S51" s="1317" t="s">
        <v>75</v>
      </c>
      <c r="T51" s="1317">
        <v>4010</v>
      </c>
      <c r="U51" s="1308"/>
      <c r="V51" s="1308"/>
      <c r="W51" s="1308"/>
      <c r="X51" s="1308"/>
      <c r="Y51" s="1308"/>
      <c r="Z51" s="1308"/>
      <c r="AA51" s="1308"/>
    </row>
    <row r="52" spans="1:27" ht="18" customHeight="1" thickTop="1" thickBot="1">
      <c r="A52" s="1290">
        <v>4100</v>
      </c>
      <c r="B52" s="1291" t="s">
        <v>76</v>
      </c>
      <c r="C52" s="1292">
        <f>SUMIFS('collpy (2)'!$F$11:$F$12047,'collpy (2)'!$C$11:$C$12047,Mychart!A52)</f>
        <v>0</v>
      </c>
      <c r="D52" s="1292">
        <f>SUMIFS('collpy (2)'!$G$11:$G$12047,'collpy (2)'!$C$11:$C$12047,Mychart!A52)</f>
        <v>0</v>
      </c>
      <c r="E52" s="1387">
        <f t="shared" si="1"/>
        <v>0</v>
      </c>
      <c r="F52" s="1299"/>
      <c r="G52" s="1309"/>
      <c r="H52" s="1306"/>
      <c r="I52" s="1307"/>
      <c r="J52" s="1307"/>
      <c r="K52" s="1307"/>
      <c r="L52" s="1307"/>
      <c r="M52" s="1307"/>
      <c r="N52" s="1307"/>
      <c r="O52" s="1318"/>
      <c r="P52" s="1308"/>
      <c r="Q52" s="1308"/>
      <c r="R52" s="1308"/>
      <c r="S52" s="1317" t="s">
        <v>76</v>
      </c>
      <c r="T52" s="1317">
        <v>4100</v>
      </c>
      <c r="U52" s="1308"/>
      <c r="V52" s="1308"/>
      <c r="W52" s="1308"/>
      <c r="X52" s="1308"/>
      <c r="Y52" s="1308"/>
      <c r="Z52" s="1308"/>
      <c r="AA52" s="1308"/>
    </row>
    <row r="53" spans="1:27" ht="18" customHeight="1" thickTop="1" thickBot="1">
      <c r="A53" s="1290">
        <v>4200</v>
      </c>
      <c r="B53" s="1291" t="s">
        <v>77</v>
      </c>
      <c r="C53" s="1292">
        <f>SUMIFS('collpy (2)'!$F$11:$F$12047,'collpy (2)'!$C$11:$C$12047,Mychart!A53)</f>
        <v>0</v>
      </c>
      <c r="D53" s="1292">
        <f>SUMIFS('collpy (2)'!$G$11:$G$12047,'collpy (2)'!$C$11:$C$12047,Mychart!A53)</f>
        <v>31700</v>
      </c>
      <c r="E53" s="1387">
        <f t="shared" si="1"/>
        <v>31700</v>
      </c>
      <c r="F53" s="1299"/>
      <c r="G53" s="1309"/>
      <c r="H53" s="1306"/>
      <c r="I53" s="1307"/>
      <c r="J53" s="1307"/>
      <c r="K53" s="1307"/>
      <c r="L53" s="1307"/>
      <c r="M53" s="1307"/>
      <c r="N53" s="1307"/>
      <c r="O53" s="1318"/>
      <c r="P53" s="1308"/>
      <c r="Q53" s="1308"/>
      <c r="R53" s="1308"/>
      <c r="S53" s="1317" t="s">
        <v>77</v>
      </c>
      <c r="T53" s="1317">
        <v>4200</v>
      </c>
      <c r="U53" s="1308"/>
      <c r="V53" s="1308"/>
      <c r="W53" s="1308"/>
      <c r="X53" s="1308"/>
      <c r="Y53" s="1308"/>
      <c r="Z53" s="1308"/>
      <c r="AA53" s="1308"/>
    </row>
    <row r="54" spans="1:27" ht="18" customHeight="1" thickTop="1" thickBot="1">
      <c r="A54" s="1290">
        <v>4900</v>
      </c>
      <c r="B54" s="1291" t="s">
        <v>78</v>
      </c>
      <c r="C54" s="1292">
        <f>SUMIFS('collpy (2)'!$F$11:$F$12047,'collpy (2)'!$C$11:$C$12047,Mychart!A54)</f>
        <v>3000</v>
      </c>
      <c r="D54" s="1292">
        <f>SUMIFS('collpy (2)'!$G$11:$G$12047,'collpy (2)'!$C$11:$C$12047,Mychart!A54)</f>
        <v>0</v>
      </c>
      <c r="E54" s="1387">
        <f t="shared" si="1"/>
        <v>-3000</v>
      </c>
      <c r="F54" s="1299"/>
      <c r="G54" s="1309"/>
      <c r="H54" s="1306"/>
      <c r="I54" s="1307"/>
      <c r="J54" s="1307"/>
      <c r="K54" s="1307"/>
      <c r="L54" s="1307"/>
      <c r="M54" s="1307"/>
      <c r="N54" s="1307"/>
      <c r="O54" s="1318"/>
      <c r="P54" s="1308"/>
      <c r="Q54" s="1308"/>
      <c r="R54" s="1308"/>
      <c r="S54" s="1317" t="s">
        <v>78</v>
      </c>
      <c r="T54" s="1317">
        <v>4900</v>
      </c>
      <c r="U54" s="1308"/>
      <c r="V54" s="1308"/>
      <c r="W54" s="1308"/>
      <c r="X54" s="1308"/>
      <c r="Y54" s="1308"/>
      <c r="Z54" s="1308"/>
      <c r="AA54" s="1308"/>
    </row>
    <row r="55" spans="1:27" ht="33.75" customHeight="1" thickTop="1" thickBot="1">
      <c r="A55" s="1302"/>
      <c r="B55" s="1303" t="s">
        <v>1450</v>
      </c>
      <c r="C55" s="1304" t="s">
        <v>1536</v>
      </c>
      <c r="D55" s="1304" t="s">
        <v>1537</v>
      </c>
      <c r="E55" s="1304" t="s">
        <v>2</v>
      </c>
      <c r="F55" s="1300"/>
      <c r="G55" s="1309"/>
      <c r="H55" s="1306"/>
      <c r="I55" s="1307"/>
      <c r="J55" s="1307"/>
      <c r="K55" s="1307"/>
      <c r="L55" s="1307"/>
      <c r="M55" s="1307"/>
      <c r="N55" s="1307"/>
      <c r="O55" s="1318"/>
      <c r="P55" s="1308"/>
      <c r="Q55" s="1308"/>
      <c r="R55" s="1308"/>
      <c r="S55" s="1317"/>
      <c r="T55" s="1317" t="s">
        <v>147</v>
      </c>
      <c r="U55" s="1308"/>
      <c r="V55" s="1308"/>
      <c r="W55" s="1308"/>
      <c r="X55" s="1308"/>
      <c r="Y55" s="1308"/>
      <c r="Z55" s="1308"/>
      <c r="AA55" s="1308"/>
    </row>
    <row r="56" spans="1:27" ht="20.25" customHeight="1" thickTop="1" thickBot="1">
      <c r="A56" s="1290">
        <v>5000</v>
      </c>
      <c r="B56" s="1291" t="s">
        <v>79</v>
      </c>
      <c r="C56" s="1292">
        <f>SUMIFS('collpy (2)'!$F$11:$F$12047,'collpy (2)'!$C$11:$C$12047,Mychart!A56)</f>
        <v>453.25</v>
      </c>
      <c r="D56" s="1292">
        <f>SUMIFS('collpy (2)'!$G$11:$G$12047,'collpy (2)'!$C$11:$C$12047,Mychart!A56)</f>
        <v>0</v>
      </c>
      <c r="E56" s="1387">
        <f t="shared" ref="E56:E119" si="2">C56-D56</f>
        <v>453.25</v>
      </c>
      <c r="F56" s="1299"/>
      <c r="G56" s="1309"/>
      <c r="H56" s="1306"/>
      <c r="I56" s="1307"/>
      <c r="J56" s="1307"/>
      <c r="K56" s="1307"/>
      <c r="L56" s="1307"/>
      <c r="M56" s="1307"/>
      <c r="N56" s="1307"/>
      <c r="O56" s="1318"/>
      <c r="P56" s="1308"/>
      <c r="Q56" s="1308"/>
      <c r="R56" s="1308"/>
      <c r="S56" s="1317" t="s">
        <v>79</v>
      </c>
      <c r="T56" s="1317">
        <v>5000</v>
      </c>
      <c r="U56" s="1308"/>
      <c r="V56" s="1308"/>
      <c r="W56" s="1308"/>
      <c r="X56" s="1308"/>
      <c r="Y56" s="1308"/>
      <c r="Z56" s="1308"/>
      <c r="AA56" s="1308"/>
    </row>
    <row r="57" spans="1:27" ht="20.25" customHeight="1" thickTop="1" thickBot="1">
      <c r="A57" s="1290">
        <v>5050</v>
      </c>
      <c r="B57" s="1291" t="s">
        <v>80</v>
      </c>
      <c r="C57" s="1292">
        <f>SUMIFS('collpy (2)'!$F$11:$F$12047,'collpy (2)'!$C$11:$C$12047,Mychart!A57)</f>
        <v>0</v>
      </c>
      <c r="D57" s="1292">
        <f>SUMIFS('collpy (2)'!$G$11:$G$12047,'collpy (2)'!$C$11:$C$12047,Mychart!A57)</f>
        <v>0</v>
      </c>
      <c r="E57" s="1387">
        <f t="shared" si="2"/>
        <v>0</v>
      </c>
      <c r="F57" s="1299"/>
      <c r="G57" s="1309"/>
      <c r="H57" s="1306"/>
      <c r="I57" s="1307"/>
      <c r="J57" s="1307"/>
      <c r="K57" s="1307"/>
      <c r="L57" s="1307"/>
      <c r="M57" s="1307"/>
      <c r="N57" s="1307"/>
      <c r="O57" s="1318"/>
      <c r="P57" s="1308"/>
      <c r="Q57" s="1308"/>
      <c r="R57" s="1308"/>
      <c r="S57" s="1317" t="s">
        <v>80</v>
      </c>
      <c r="T57" s="1317">
        <v>5050</v>
      </c>
      <c r="U57" s="1308"/>
      <c r="V57" s="1308"/>
      <c r="W57" s="1308"/>
      <c r="X57" s="1308"/>
      <c r="Y57" s="1308"/>
      <c r="Z57" s="1308"/>
      <c r="AA57" s="1308"/>
    </row>
    <row r="58" spans="1:27" ht="20.25" customHeight="1" thickTop="1" thickBot="1">
      <c r="A58" s="1290">
        <v>5100</v>
      </c>
      <c r="B58" s="1291" t="s">
        <v>81</v>
      </c>
      <c r="C58" s="1292">
        <f>SUMIFS('collpy (2)'!$F$11:$F$12047,'collpy (2)'!$C$11:$C$12047,Mychart!A58)</f>
        <v>152478.71000000002</v>
      </c>
      <c r="D58" s="1292">
        <f>SUMIFS('collpy (2)'!$G$11:$G$12047,'collpy (2)'!$C$11:$C$12047,Mychart!A58)</f>
        <v>0</v>
      </c>
      <c r="E58" s="1387">
        <f t="shared" si="2"/>
        <v>152478.71000000002</v>
      </c>
      <c r="F58" s="1299"/>
      <c r="G58" s="1309"/>
      <c r="H58" s="1306"/>
      <c r="I58" s="1307"/>
      <c r="J58" s="1307"/>
      <c r="K58" s="1307"/>
      <c r="L58" s="1307"/>
      <c r="M58" s="1307"/>
      <c r="N58" s="1307"/>
      <c r="O58" s="1318"/>
      <c r="P58" s="1308"/>
      <c r="Q58" s="1308"/>
      <c r="R58" s="1308"/>
      <c r="S58" s="1317" t="s">
        <v>81</v>
      </c>
      <c r="T58" s="1317">
        <v>5100</v>
      </c>
      <c r="U58" s="1308"/>
      <c r="V58" s="1308"/>
      <c r="W58" s="1308"/>
      <c r="X58" s="1308"/>
      <c r="Y58" s="1308"/>
      <c r="Z58" s="1308"/>
      <c r="AA58" s="1308"/>
    </row>
    <row r="59" spans="1:27" ht="20.25" customHeight="1" thickTop="1" thickBot="1">
      <c r="A59" s="1290">
        <v>5150</v>
      </c>
      <c r="B59" s="1291" t="s">
        <v>82</v>
      </c>
      <c r="C59" s="1292">
        <f>SUMIFS('collpy (2)'!$F$11:$F$12047,'collpy (2)'!$C$11:$C$12047,Mychart!A59)</f>
        <v>2247862.4824224999</v>
      </c>
      <c r="D59" s="1292">
        <f>SUMIFS('collpy (2)'!$G$11:$G$12047,'collpy (2)'!$C$11:$C$12047,Mychart!A59)</f>
        <v>0</v>
      </c>
      <c r="E59" s="1387">
        <f t="shared" si="2"/>
        <v>2247862.4824224999</v>
      </c>
      <c r="F59" s="1299"/>
      <c r="G59" s="1305"/>
      <c r="H59" s="1310"/>
      <c r="I59" s="1307"/>
      <c r="J59" s="1307"/>
      <c r="K59" s="1307"/>
      <c r="L59" s="1307"/>
      <c r="M59" s="1307"/>
      <c r="N59" s="1307"/>
      <c r="O59" s="1318"/>
      <c r="P59" s="1308"/>
      <c r="Q59" s="1308"/>
      <c r="R59" s="1308"/>
      <c r="S59" s="1317" t="s">
        <v>82</v>
      </c>
      <c r="T59" s="1317">
        <v>5150</v>
      </c>
      <c r="U59" s="1308"/>
      <c r="V59" s="1308"/>
      <c r="W59" s="1308"/>
      <c r="X59" s="1308"/>
      <c r="Y59" s="1308"/>
      <c r="Z59" s="1308"/>
      <c r="AA59" s="1308"/>
    </row>
    <row r="60" spans="1:27" ht="20.25" customHeight="1" thickTop="1" thickBot="1">
      <c r="A60" s="1290">
        <v>5200</v>
      </c>
      <c r="B60" s="1291" t="s">
        <v>83</v>
      </c>
      <c r="C60" s="1292">
        <f>SUMIFS('collpy (2)'!$F$11:$F$12047,'collpy (2)'!$C$11:$C$12047,Mychart!A60)</f>
        <v>342032.8</v>
      </c>
      <c r="D60" s="1292">
        <f>SUMIFS('collpy (2)'!$G$11:$G$12047,'collpy (2)'!$C$11:$C$12047,Mychart!A60)</f>
        <v>0</v>
      </c>
      <c r="E60" s="1387">
        <f t="shared" si="2"/>
        <v>342032.8</v>
      </c>
      <c r="F60" s="1299"/>
      <c r="G60" s="1309"/>
      <c r="H60" s="1306"/>
      <c r="I60" s="1307"/>
      <c r="J60" s="1307"/>
      <c r="K60" s="1307"/>
      <c r="L60" s="1307"/>
      <c r="M60" s="1307"/>
      <c r="N60" s="1307"/>
      <c r="O60" s="1318"/>
      <c r="P60" s="1308"/>
      <c r="Q60" s="1308"/>
      <c r="R60" s="1308"/>
      <c r="S60" s="1317" t="s">
        <v>83</v>
      </c>
      <c r="T60" s="1317">
        <v>5200</v>
      </c>
      <c r="U60" s="1308"/>
      <c r="V60" s="1308"/>
      <c r="W60" s="1308"/>
      <c r="X60" s="1308"/>
      <c r="Y60" s="1308"/>
      <c r="Z60" s="1308"/>
      <c r="AA60" s="1308"/>
    </row>
    <row r="61" spans="1:27" ht="20.25" customHeight="1" thickTop="1" thickBot="1">
      <c r="A61" s="1290">
        <v>5220</v>
      </c>
      <c r="B61" s="1291" t="s">
        <v>84</v>
      </c>
      <c r="C61" s="1292">
        <f>SUMIFS('collpy (2)'!$F$11:$F$12047,'collpy (2)'!$C$11:$C$12047,Mychart!A61)</f>
        <v>36531.130000000005</v>
      </c>
      <c r="D61" s="1292">
        <f>SUMIFS('collpy (2)'!$G$11:$G$12047,'collpy (2)'!$C$11:$C$12047,Mychart!A61)</f>
        <v>0</v>
      </c>
      <c r="E61" s="1387">
        <f t="shared" si="2"/>
        <v>36531.130000000005</v>
      </c>
      <c r="F61" s="1299"/>
      <c r="G61" s="1309"/>
      <c r="H61" s="1306"/>
      <c r="I61" s="1307"/>
      <c r="J61" s="1307"/>
      <c r="K61" s="1307"/>
      <c r="L61" s="1307"/>
      <c r="M61" s="1307"/>
      <c r="N61" s="1307"/>
      <c r="O61" s="1318"/>
      <c r="P61" s="1308"/>
      <c r="Q61" s="1308"/>
      <c r="R61" s="1308"/>
      <c r="S61" s="1317" t="s">
        <v>84</v>
      </c>
      <c r="T61" s="1317">
        <v>5220</v>
      </c>
      <c r="U61" s="1308"/>
      <c r="V61" s="1308"/>
      <c r="W61" s="1308"/>
      <c r="X61" s="1308"/>
      <c r="Y61" s="1308"/>
      <c r="Z61" s="1308"/>
      <c r="AA61" s="1308"/>
    </row>
    <row r="62" spans="1:27" ht="20.25" customHeight="1" thickTop="1" thickBot="1">
      <c r="A62" s="1290">
        <v>5250</v>
      </c>
      <c r="B62" s="1291" t="s">
        <v>85</v>
      </c>
      <c r="C62" s="1292">
        <f>SUMIFS('collpy (2)'!$F$11:$F$12047,'collpy (2)'!$C$11:$C$12047,Mychart!A62)</f>
        <v>408885.49</v>
      </c>
      <c r="D62" s="1292">
        <f>SUMIFS('collpy (2)'!$G$11:$G$12047,'collpy (2)'!$C$11:$C$12047,Mychart!A62)</f>
        <v>0</v>
      </c>
      <c r="E62" s="1387">
        <f t="shared" si="2"/>
        <v>408885.49</v>
      </c>
      <c r="F62" s="1299"/>
      <c r="G62" s="1309"/>
      <c r="H62" s="1306"/>
      <c r="I62" s="1307"/>
      <c r="J62" s="1307"/>
      <c r="K62" s="1307"/>
      <c r="L62" s="1307"/>
      <c r="M62" s="1307"/>
      <c r="N62" s="1307"/>
      <c r="O62" s="1318"/>
      <c r="P62" s="1308"/>
      <c r="Q62" s="1308"/>
      <c r="R62" s="1308"/>
      <c r="S62" s="1317" t="s">
        <v>85</v>
      </c>
      <c r="T62" s="1317">
        <v>5250</v>
      </c>
      <c r="U62" s="1308"/>
      <c r="V62" s="1308"/>
      <c r="W62" s="1308"/>
      <c r="X62" s="1308"/>
      <c r="Y62" s="1308"/>
      <c r="Z62" s="1308"/>
      <c r="AA62" s="1308"/>
    </row>
    <row r="63" spans="1:27" ht="20.25" customHeight="1" thickTop="1" thickBot="1">
      <c r="A63" s="1290">
        <v>5300</v>
      </c>
      <c r="B63" s="1291" t="s">
        <v>86</v>
      </c>
      <c r="C63" s="1292">
        <f>SUMIFS('collpy (2)'!$F$11:$F$12047,'collpy (2)'!$C$11:$C$12047,Mychart!A63)</f>
        <v>0</v>
      </c>
      <c r="D63" s="1292">
        <f>SUMIFS('collpy (2)'!$G$11:$G$12047,'collpy (2)'!$C$11:$C$12047,Mychart!A63)</f>
        <v>0</v>
      </c>
      <c r="E63" s="1387">
        <f t="shared" si="2"/>
        <v>0</v>
      </c>
      <c r="F63" s="1299"/>
      <c r="G63" s="1305"/>
      <c r="H63" s="1310"/>
      <c r="I63" s="1307"/>
      <c r="J63" s="1307"/>
      <c r="K63" s="1307"/>
      <c r="L63" s="1307"/>
      <c r="M63" s="1307"/>
      <c r="N63" s="1307"/>
      <c r="O63" s="1318"/>
      <c r="P63" s="1308"/>
      <c r="Q63" s="1308"/>
      <c r="R63" s="1308"/>
      <c r="S63" s="1317" t="s">
        <v>86</v>
      </c>
      <c r="T63" s="1317">
        <v>5300</v>
      </c>
      <c r="U63" s="1308"/>
      <c r="V63" s="1308"/>
      <c r="W63" s="1308"/>
      <c r="X63" s="1308"/>
      <c r="Y63" s="1308"/>
      <c r="Z63" s="1308"/>
      <c r="AA63" s="1308"/>
    </row>
    <row r="64" spans="1:27" ht="20.25" customHeight="1" thickTop="1" thickBot="1">
      <c r="A64" s="1290">
        <v>5350</v>
      </c>
      <c r="B64" s="1291" t="s">
        <v>87</v>
      </c>
      <c r="C64" s="1292">
        <f>SUMIFS('collpy (2)'!$F$11:$F$12047,'collpy (2)'!$C$11:$C$12047,Mychart!A64)</f>
        <v>69000</v>
      </c>
      <c r="D64" s="1292">
        <f>SUMIFS('collpy (2)'!$G$11:$G$12047,'collpy (2)'!$C$11:$C$12047,Mychart!A64)</f>
        <v>0</v>
      </c>
      <c r="E64" s="1387">
        <f t="shared" si="2"/>
        <v>69000</v>
      </c>
      <c r="F64" s="1299"/>
      <c r="G64" s="1311"/>
      <c r="H64" s="1306"/>
      <c r="I64" s="1307"/>
      <c r="J64" s="1307"/>
      <c r="K64" s="1307"/>
      <c r="L64" s="1307"/>
      <c r="M64" s="1307"/>
      <c r="N64" s="1307"/>
      <c r="O64" s="1318"/>
      <c r="P64" s="1308"/>
      <c r="Q64" s="1308"/>
      <c r="R64" s="1308"/>
      <c r="S64" s="1317" t="s">
        <v>87</v>
      </c>
      <c r="T64" s="1317">
        <v>5350</v>
      </c>
      <c r="U64" s="1308"/>
      <c r="V64" s="1308"/>
      <c r="W64" s="1308"/>
      <c r="X64" s="1308"/>
      <c r="Y64" s="1308"/>
      <c r="Z64" s="1308"/>
      <c r="AA64" s="1308"/>
    </row>
    <row r="65" spans="1:27" ht="20.25" customHeight="1" thickTop="1" thickBot="1">
      <c r="A65" s="1290">
        <v>5400</v>
      </c>
      <c r="B65" s="1291" t="s">
        <v>88</v>
      </c>
      <c r="C65" s="1292">
        <f>SUMIFS('collpy (2)'!$F$11:$F$12047,'collpy (2)'!$C$11:$C$12047,Mychart!A65)</f>
        <v>0</v>
      </c>
      <c r="D65" s="1292">
        <f>SUMIFS('collpy (2)'!$G$11:$G$12047,'collpy (2)'!$C$11:$C$12047,Mychart!A65)</f>
        <v>0</v>
      </c>
      <c r="E65" s="1387">
        <f t="shared" si="2"/>
        <v>0</v>
      </c>
      <c r="F65" s="1299"/>
      <c r="G65" s="1309"/>
      <c r="H65" s="1306"/>
      <c r="I65" s="1307"/>
      <c r="J65" s="1307"/>
      <c r="K65" s="1307"/>
      <c r="L65" s="1307"/>
      <c r="M65" s="1307"/>
      <c r="N65" s="1307"/>
      <c r="O65" s="1318"/>
      <c r="P65" s="1308"/>
      <c r="Q65" s="1308"/>
      <c r="R65" s="1308"/>
      <c r="S65" s="1317" t="s">
        <v>88</v>
      </c>
      <c r="T65" s="1317">
        <v>5400</v>
      </c>
      <c r="U65" s="1308"/>
      <c r="V65" s="1308"/>
      <c r="W65" s="1308"/>
      <c r="X65" s="1308"/>
      <c r="Y65" s="1308"/>
      <c r="Z65" s="1308"/>
      <c r="AA65" s="1308"/>
    </row>
    <row r="66" spans="1:27" ht="20.25" customHeight="1" thickTop="1" thickBot="1">
      <c r="A66" s="1290">
        <v>5900</v>
      </c>
      <c r="B66" s="1291" t="s">
        <v>1880</v>
      </c>
      <c r="C66" s="1292">
        <f>SUMIFS('collpy (2)'!$F$11:$F$12047,'collpy (2)'!$C$11:$C$12047,Mychart!A66)</f>
        <v>0</v>
      </c>
      <c r="D66" s="1292">
        <f>SUMIFS('collpy (2)'!$G$11:$G$12047,'collpy (2)'!$C$11:$C$12047,Mychart!A66)</f>
        <v>0</v>
      </c>
      <c r="E66" s="1387">
        <f t="shared" si="2"/>
        <v>0</v>
      </c>
      <c r="F66" s="1299"/>
      <c r="G66" s="1309"/>
      <c r="H66" s="1306"/>
      <c r="I66" s="1307"/>
      <c r="J66" s="1307"/>
      <c r="K66" s="1307"/>
      <c r="L66" s="1307"/>
      <c r="M66" s="1307"/>
      <c r="N66" s="1307"/>
      <c r="O66" s="1318"/>
      <c r="P66" s="1308"/>
      <c r="Q66" s="1308"/>
      <c r="R66" s="1308"/>
      <c r="S66" s="1317" t="s">
        <v>89</v>
      </c>
      <c r="T66" s="1317">
        <v>5900</v>
      </c>
      <c r="U66" s="1308"/>
      <c r="V66" s="1308"/>
      <c r="W66" s="1308"/>
      <c r="X66" s="1308"/>
      <c r="Y66" s="1308"/>
      <c r="Z66" s="1308"/>
      <c r="AA66" s="1308"/>
    </row>
    <row r="67" spans="1:27" ht="20.25" customHeight="1" thickTop="1" thickBot="1">
      <c r="A67" s="1290">
        <v>5950</v>
      </c>
      <c r="B67" s="1291" t="s">
        <v>90</v>
      </c>
      <c r="C67" s="1292">
        <f>SUMIFS('collpy (2)'!$F$11:$F$12047,'collpy (2)'!$C$11:$C$12047,Mychart!A67)</f>
        <v>22378.33</v>
      </c>
      <c r="D67" s="1292">
        <f>SUMIFS('collpy (2)'!$G$11:$G$12047,'collpy (2)'!$C$11:$C$12047,Mychart!A67)</f>
        <v>0</v>
      </c>
      <c r="E67" s="1387">
        <f t="shared" si="2"/>
        <v>22378.33</v>
      </c>
      <c r="F67" s="1299"/>
      <c r="G67" s="1309"/>
      <c r="H67" s="1306"/>
      <c r="I67" s="1307"/>
      <c r="J67" s="1307"/>
      <c r="K67" s="1307"/>
      <c r="L67" s="1307"/>
      <c r="M67" s="1307"/>
      <c r="N67" s="1307"/>
      <c r="O67" s="1318"/>
      <c r="P67" s="1308"/>
      <c r="Q67" s="1308"/>
      <c r="R67" s="1308"/>
      <c r="S67" s="1317" t="s">
        <v>90</v>
      </c>
      <c r="T67" s="1317">
        <v>5950</v>
      </c>
      <c r="U67" s="1308"/>
      <c r="V67" s="1308"/>
      <c r="W67" s="1308"/>
      <c r="X67" s="1308"/>
      <c r="Y67" s="1308"/>
      <c r="Z67" s="1308"/>
      <c r="AA67" s="1308"/>
    </row>
    <row r="68" spans="1:27" ht="33.75" customHeight="1" thickTop="1" thickBot="1">
      <c r="A68" s="1302"/>
      <c r="B68" s="1303" t="s">
        <v>5124</v>
      </c>
      <c r="C68" s="1304" t="s">
        <v>1536</v>
      </c>
      <c r="D68" s="1304" t="s">
        <v>1537</v>
      </c>
      <c r="E68" s="1304" t="s">
        <v>2</v>
      </c>
      <c r="F68" s="1300"/>
      <c r="G68" s="1309"/>
      <c r="H68" s="1306"/>
      <c r="I68" s="1307"/>
      <c r="J68" s="1307"/>
      <c r="K68" s="1307"/>
      <c r="L68" s="1307"/>
      <c r="M68" s="1307"/>
      <c r="N68" s="1307"/>
      <c r="O68" s="1318"/>
      <c r="P68" s="1308"/>
      <c r="Q68" s="1308"/>
      <c r="R68" s="1308"/>
      <c r="S68" s="1317"/>
      <c r="T68" s="1317" t="s">
        <v>148</v>
      </c>
      <c r="U68" s="1308"/>
      <c r="V68" s="1308"/>
      <c r="W68" s="1308"/>
      <c r="X68" s="1308"/>
      <c r="Y68" s="1308"/>
      <c r="Z68" s="1308"/>
      <c r="AA68" s="1308"/>
    </row>
    <row r="69" spans="1:27" ht="20.25" customHeight="1" thickTop="1" thickBot="1">
      <c r="A69" s="1290">
        <v>6000</v>
      </c>
      <c r="B69" s="1291" t="s">
        <v>91</v>
      </c>
      <c r="C69" s="1292">
        <f>SUMIFS('collpy (2)'!$F$11:$F$12047,'collpy (2)'!$C$11:$C$12047,Mychart!A69)</f>
        <v>812502</v>
      </c>
      <c r="D69" s="1292">
        <f>SUMIFS('collpy (2)'!$G$11:$G$12047,'collpy (2)'!$C$11:$C$12047,Mychart!A69)</f>
        <v>0</v>
      </c>
      <c r="E69" s="1387">
        <f t="shared" si="2"/>
        <v>812502</v>
      </c>
      <c r="F69" s="1299"/>
      <c r="G69" s="1309"/>
      <c r="H69" s="1306"/>
      <c r="I69" s="1307"/>
      <c r="J69" s="1307"/>
      <c r="K69" s="1307"/>
      <c r="L69" s="1307"/>
      <c r="M69" s="1307"/>
      <c r="N69" s="1307"/>
      <c r="O69" s="1318"/>
      <c r="P69" s="1308"/>
      <c r="Q69" s="1308"/>
      <c r="R69" s="1308"/>
      <c r="S69" s="1317" t="s">
        <v>91</v>
      </c>
      <c r="T69" s="1317">
        <v>6000</v>
      </c>
      <c r="U69" s="1308"/>
      <c r="V69" s="1308"/>
      <c r="W69" s="1308"/>
      <c r="X69" s="1308"/>
      <c r="Y69" s="1308"/>
      <c r="Z69" s="1308"/>
      <c r="AA69" s="1308"/>
    </row>
    <row r="70" spans="1:27" ht="20.25" customHeight="1" thickTop="1" thickBot="1">
      <c r="A70" s="1290">
        <v>6001</v>
      </c>
      <c r="B70" s="1291" t="s">
        <v>92</v>
      </c>
      <c r="C70" s="1292">
        <f>SUMIFS('collpy (2)'!$F$11:$F$12047,'collpy (2)'!$C$11:$C$12047,Mychart!A70)</f>
        <v>64354.83</v>
      </c>
      <c r="D70" s="1292">
        <f>SUMIFS('collpy (2)'!$G$11:$G$12047,'collpy (2)'!$C$11:$C$12047,Mychart!A70)</f>
        <v>0</v>
      </c>
      <c r="E70" s="1387">
        <f t="shared" si="2"/>
        <v>64354.83</v>
      </c>
      <c r="F70" s="1299"/>
      <c r="G70" s="1309"/>
      <c r="H70" s="1306"/>
      <c r="I70" s="1307"/>
      <c r="J70" s="1307"/>
      <c r="K70" s="1307"/>
      <c r="L70" s="1307"/>
      <c r="M70" s="1307"/>
      <c r="N70" s="1307"/>
      <c r="O70" s="1318"/>
      <c r="P70" s="1308"/>
      <c r="Q70" s="1308"/>
      <c r="R70" s="1308"/>
      <c r="S70" s="1317" t="s">
        <v>92</v>
      </c>
      <c r="T70" s="1317">
        <v>6001</v>
      </c>
      <c r="U70" s="1308"/>
      <c r="V70" s="1308"/>
      <c r="W70" s="1308"/>
      <c r="X70" s="1308"/>
      <c r="Y70" s="1308"/>
      <c r="Z70" s="1308"/>
      <c r="AA70" s="1308"/>
    </row>
    <row r="71" spans="1:27" ht="20.25" customHeight="1" thickTop="1" thickBot="1">
      <c r="A71" s="1290">
        <v>6002</v>
      </c>
      <c r="B71" s="1291" t="s">
        <v>93</v>
      </c>
      <c r="C71" s="1292">
        <f>SUMIFS('collpy (2)'!$F$11:$F$12047,'collpy (2)'!$C$11:$C$12047,Mychart!A71)</f>
        <v>47</v>
      </c>
      <c r="D71" s="1292">
        <f>SUMIFS('collpy (2)'!$G$11:$G$12047,'collpy (2)'!$C$11:$C$12047,Mychart!A71)</f>
        <v>0</v>
      </c>
      <c r="E71" s="1387">
        <f t="shared" si="2"/>
        <v>47</v>
      </c>
      <c r="F71" s="1299"/>
      <c r="G71" s="1309"/>
      <c r="H71" s="1306"/>
      <c r="I71" s="1307"/>
      <c r="J71" s="1307"/>
      <c r="K71" s="1307"/>
      <c r="L71" s="1307"/>
      <c r="M71" s="1307"/>
      <c r="N71" s="1307"/>
      <c r="O71" s="1318"/>
      <c r="P71" s="1308"/>
      <c r="Q71" s="1308"/>
      <c r="R71" s="1308"/>
      <c r="S71" s="1317" t="s">
        <v>93</v>
      </c>
      <c r="T71" s="1317">
        <v>6002</v>
      </c>
      <c r="U71" s="1308"/>
      <c r="V71" s="1308"/>
      <c r="W71" s="1308"/>
      <c r="X71" s="1308"/>
      <c r="Y71" s="1308"/>
      <c r="Z71" s="1308"/>
      <c r="AA71" s="1308"/>
    </row>
    <row r="72" spans="1:27" ht="20.25" customHeight="1" thickTop="1" thickBot="1">
      <c r="A72" s="1290">
        <v>6003</v>
      </c>
      <c r="B72" s="1291" t="s">
        <v>94</v>
      </c>
      <c r="C72" s="1292">
        <f>SUMIFS('collpy (2)'!$F$11:$F$12047,'collpy (2)'!$C$11:$C$12047,Mychart!A72)</f>
        <v>1508.95</v>
      </c>
      <c r="D72" s="1292">
        <f>SUMIFS('collpy (2)'!$G$11:$G$12047,'collpy (2)'!$C$11:$C$12047,Mychart!A72)</f>
        <v>0</v>
      </c>
      <c r="E72" s="1387">
        <f t="shared" si="2"/>
        <v>1508.95</v>
      </c>
      <c r="F72" s="1299"/>
      <c r="G72" s="1309"/>
      <c r="H72" s="1306"/>
      <c r="I72" s="1307"/>
      <c r="J72" s="1307"/>
      <c r="K72" s="1307"/>
      <c r="L72" s="1307"/>
      <c r="M72" s="1307"/>
      <c r="N72" s="1307"/>
      <c r="O72" s="1318"/>
      <c r="P72" s="1308"/>
      <c r="Q72" s="1308"/>
      <c r="R72" s="1308"/>
      <c r="S72" s="1317" t="s">
        <v>94</v>
      </c>
      <c r="T72" s="1317">
        <v>6003</v>
      </c>
      <c r="U72" s="1308"/>
      <c r="V72" s="1308"/>
      <c r="W72" s="1308"/>
      <c r="X72" s="1308"/>
      <c r="Y72" s="1308"/>
      <c r="Z72" s="1308"/>
      <c r="AA72" s="1308"/>
    </row>
    <row r="73" spans="1:27" ht="20.25" customHeight="1" thickTop="1" thickBot="1">
      <c r="A73" s="1290">
        <v>6004</v>
      </c>
      <c r="B73" s="1291" t="s">
        <v>95</v>
      </c>
      <c r="C73" s="1292">
        <f>SUMIFS('collpy (2)'!$F$11:$F$12047,'collpy (2)'!$C$11:$C$12047,Mychart!A73)</f>
        <v>17035.730000000003</v>
      </c>
      <c r="D73" s="1292">
        <f>SUMIFS('collpy (2)'!$G$11:$G$12047,'collpy (2)'!$C$11:$C$12047,Mychart!A73)</f>
        <v>0</v>
      </c>
      <c r="E73" s="1387">
        <f t="shared" si="2"/>
        <v>17035.730000000003</v>
      </c>
      <c r="F73" s="1299"/>
      <c r="G73" s="1309"/>
      <c r="H73" s="1306"/>
      <c r="I73" s="1307"/>
      <c r="J73" s="1307"/>
      <c r="K73" s="1307"/>
      <c r="L73" s="1307"/>
      <c r="M73" s="1307"/>
      <c r="N73" s="1307"/>
      <c r="O73" s="1318"/>
      <c r="P73" s="1308"/>
      <c r="Q73" s="1308"/>
      <c r="R73" s="1308"/>
      <c r="S73" s="1317" t="s">
        <v>95</v>
      </c>
      <c r="T73" s="1317">
        <v>6004</v>
      </c>
      <c r="U73" s="1308"/>
      <c r="V73" s="1308"/>
      <c r="W73" s="1308"/>
      <c r="X73" s="1308"/>
      <c r="Y73" s="1308"/>
      <c r="Z73" s="1308"/>
      <c r="AA73" s="1308"/>
    </row>
    <row r="74" spans="1:27" ht="20.25" customHeight="1" thickTop="1" thickBot="1">
      <c r="A74" s="1290">
        <v>6005</v>
      </c>
      <c r="B74" s="1291" t="s">
        <v>96</v>
      </c>
      <c r="C74" s="1292">
        <f>SUMIFS('collpy (2)'!$F$11:$F$12047,'collpy (2)'!$C$11:$C$12047,Mychart!A74)</f>
        <v>145.24</v>
      </c>
      <c r="D74" s="1292">
        <f>SUMIFS('collpy (2)'!$G$11:$G$12047,'collpy (2)'!$C$11:$C$12047,Mychart!A74)</f>
        <v>0</v>
      </c>
      <c r="E74" s="1387">
        <f t="shared" si="2"/>
        <v>145.24</v>
      </c>
      <c r="F74" s="1299"/>
      <c r="G74" s="1309"/>
      <c r="H74" s="1306"/>
      <c r="I74" s="1307"/>
      <c r="J74" s="1307"/>
      <c r="K74" s="1307"/>
      <c r="L74" s="1307"/>
      <c r="M74" s="1307"/>
      <c r="N74" s="1307"/>
      <c r="O74" s="1318"/>
      <c r="P74" s="1308"/>
      <c r="Q74" s="1308"/>
      <c r="R74" s="1308"/>
      <c r="S74" s="1317" t="s">
        <v>96</v>
      </c>
      <c r="T74" s="1317">
        <v>6005</v>
      </c>
      <c r="U74" s="1308"/>
      <c r="V74" s="1308"/>
      <c r="W74" s="1308"/>
      <c r="X74" s="1308"/>
      <c r="Y74" s="1308"/>
      <c r="Z74" s="1308"/>
      <c r="AA74" s="1308"/>
    </row>
    <row r="75" spans="1:27" ht="20.25" customHeight="1" thickTop="1" thickBot="1">
      <c r="A75" s="1290">
        <v>6006</v>
      </c>
      <c r="B75" s="1291" t="s">
        <v>97</v>
      </c>
      <c r="C75" s="1292">
        <f>SUMIFS('collpy (2)'!$F$11:$F$12047,'collpy (2)'!$C$11:$C$12047,Mychart!A75)</f>
        <v>17422.21</v>
      </c>
      <c r="D75" s="1292">
        <f>SUMIFS('collpy (2)'!$G$11:$G$12047,'collpy (2)'!$C$11:$C$12047,Mychart!A75)</f>
        <v>0</v>
      </c>
      <c r="E75" s="1387">
        <f t="shared" si="2"/>
        <v>17422.21</v>
      </c>
      <c r="F75" s="1299"/>
      <c r="G75" s="1309"/>
      <c r="H75" s="1306"/>
      <c r="I75" s="1307"/>
      <c r="J75" s="1307"/>
      <c r="K75" s="1307"/>
      <c r="L75" s="1307"/>
      <c r="M75" s="1307"/>
      <c r="N75" s="1307"/>
      <c r="O75" s="1318"/>
      <c r="P75" s="1308"/>
      <c r="Q75" s="1308"/>
      <c r="R75" s="1308"/>
      <c r="S75" s="1317" t="s">
        <v>97</v>
      </c>
      <c r="T75" s="1317">
        <v>6006</v>
      </c>
      <c r="U75" s="1308"/>
      <c r="V75" s="1308"/>
      <c r="W75" s="1308"/>
      <c r="X75" s="1308"/>
      <c r="Y75" s="1308"/>
      <c r="Z75" s="1308"/>
      <c r="AA75" s="1308"/>
    </row>
    <row r="76" spans="1:27" ht="20.25" customHeight="1" thickTop="1" thickBot="1">
      <c r="A76" s="1290">
        <v>6007</v>
      </c>
      <c r="B76" s="1291" t="s">
        <v>98</v>
      </c>
      <c r="C76" s="1292">
        <f>SUMIFS('collpy (2)'!$F$11:$F$12047,'collpy (2)'!$C$11:$C$12047,Mychart!A76)</f>
        <v>11064.38</v>
      </c>
      <c r="D76" s="1292">
        <f>SUMIFS('collpy (2)'!$G$11:$G$12047,'collpy (2)'!$C$11:$C$12047,Mychart!A76)</f>
        <v>0</v>
      </c>
      <c r="E76" s="1387">
        <f t="shared" si="2"/>
        <v>11064.38</v>
      </c>
      <c r="F76" s="1299"/>
      <c r="G76" s="1309"/>
      <c r="H76" s="1306"/>
      <c r="I76" s="1307"/>
      <c r="J76" s="1307"/>
      <c r="K76" s="1307"/>
      <c r="L76" s="1307"/>
      <c r="M76" s="1307"/>
      <c r="N76" s="1307"/>
      <c r="O76" s="1318"/>
      <c r="P76" s="1308"/>
      <c r="Q76" s="1308"/>
      <c r="R76" s="1308"/>
      <c r="S76" s="1317" t="s">
        <v>98</v>
      </c>
      <c r="T76" s="1317">
        <v>6007</v>
      </c>
      <c r="U76" s="1308"/>
      <c r="V76" s="1308"/>
      <c r="W76" s="1308"/>
      <c r="X76" s="1308"/>
      <c r="Y76" s="1308"/>
      <c r="Z76" s="1308"/>
      <c r="AA76" s="1308"/>
    </row>
    <row r="77" spans="1:27" ht="20.25" customHeight="1" thickTop="1" thickBot="1">
      <c r="A77" s="1290">
        <v>6008</v>
      </c>
      <c r="B77" s="1291" t="s">
        <v>99</v>
      </c>
      <c r="C77" s="1292">
        <f>SUMIFS('collpy (2)'!$F$11:$F$12047,'collpy (2)'!$C$11:$C$12047,Mychart!A77)</f>
        <v>0</v>
      </c>
      <c r="D77" s="1292">
        <f>SUMIFS('collpy (2)'!$G$11:$G$12047,'collpy (2)'!$C$11:$C$12047,Mychart!A77)</f>
        <v>0</v>
      </c>
      <c r="E77" s="1387">
        <f t="shared" si="2"/>
        <v>0</v>
      </c>
      <c r="F77" s="1299"/>
      <c r="G77" s="1309"/>
      <c r="H77" s="1306"/>
      <c r="I77" s="1307"/>
      <c r="J77" s="1307"/>
      <c r="K77" s="1307"/>
      <c r="L77" s="1307"/>
      <c r="M77" s="1307"/>
      <c r="N77" s="1307"/>
      <c r="O77" s="1318"/>
      <c r="P77" s="1308"/>
      <c r="Q77" s="1308"/>
      <c r="R77" s="1308"/>
      <c r="S77" s="1317" t="s">
        <v>99</v>
      </c>
      <c r="T77" s="1317">
        <v>6008</v>
      </c>
      <c r="U77" s="1308"/>
      <c r="V77" s="1308"/>
      <c r="W77" s="1308"/>
      <c r="X77" s="1308"/>
      <c r="Y77" s="1308"/>
      <c r="Z77" s="1308"/>
      <c r="AA77" s="1308"/>
    </row>
    <row r="78" spans="1:27" ht="20.25" customHeight="1" thickTop="1" thickBot="1">
      <c r="A78" s="1290">
        <v>6009</v>
      </c>
      <c r="B78" s="1291" t="s">
        <v>100</v>
      </c>
      <c r="C78" s="1292">
        <f>SUMIFS('collpy (2)'!$F$11:$F$12047,'collpy (2)'!$C$11:$C$12047,Mychart!A78)</f>
        <v>6786.35</v>
      </c>
      <c r="D78" s="1292">
        <f>SUMIFS('collpy (2)'!$G$11:$G$12047,'collpy (2)'!$C$11:$C$12047,Mychart!A78)</f>
        <v>0</v>
      </c>
      <c r="E78" s="1387">
        <f t="shared" si="2"/>
        <v>6786.35</v>
      </c>
      <c r="F78" s="1299"/>
      <c r="G78" s="1309"/>
      <c r="H78" s="1306"/>
      <c r="I78" s="1307"/>
      <c r="J78" s="1307"/>
      <c r="K78" s="1307"/>
      <c r="L78" s="1307"/>
      <c r="M78" s="1307"/>
      <c r="N78" s="1307"/>
      <c r="O78" s="1318"/>
      <c r="P78" s="1308"/>
      <c r="Q78" s="1308"/>
      <c r="R78" s="1308"/>
      <c r="S78" s="1317" t="s">
        <v>100</v>
      </c>
      <c r="T78" s="1317">
        <v>6009</v>
      </c>
      <c r="U78" s="1308"/>
      <c r="V78" s="1308"/>
      <c r="W78" s="1308"/>
      <c r="X78" s="1308"/>
      <c r="Y78" s="1308"/>
      <c r="Z78" s="1308"/>
      <c r="AA78" s="1308"/>
    </row>
    <row r="79" spans="1:27" ht="20.25" customHeight="1" thickTop="1" thickBot="1">
      <c r="A79" s="1290">
        <v>6010</v>
      </c>
      <c r="B79" s="1291" t="s">
        <v>101</v>
      </c>
      <c r="C79" s="1292">
        <f>SUMIFS('collpy (2)'!$F$11:$F$12047,'collpy (2)'!$C$11:$C$12047,Mychart!A79)</f>
        <v>1300</v>
      </c>
      <c r="D79" s="1292">
        <f>SUMIFS('collpy (2)'!$G$11:$G$12047,'collpy (2)'!$C$11:$C$12047,Mychart!A79)</f>
        <v>0</v>
      </c>
      <c r="E79" s="1387">
        <f t="shared" si="2"/>
        <v>1300</v>
      </c>
      <c r="F79" s="1299"/>
      <c r="G79" s="1309"/>
      <c r="H79" s="1306"/>
      <c r="I79" s="1307"/>
      <c r="J79" s="1307"/>
      <c r="K79" s="1307"/>
      <c r="L79" s="1307"/>
      <c r="M79" s="1307"/>
      <c r="N79" s="1307"/>
      <c r="O79" s="1318"/>
      <c r="P79" s="1308"/>
      <c r="Q79" s="1308"/>
      <c r="R79" s="1308"/>
      <c r="S79" s="1317" t="s">
        <v>101</v>
      </c>
      <c r="T79" s="1317">
        <v>6010</v>
      </c>
      <c r="U79" s="1308"/>
      <c r="V79" s="1308"/>
      <c r="W79" s="1308"/>
      <c r="X79" s="1308"/>
      <c r="Y79" s="1308"/>
      <c r="Z79" s="1308"/>
      <c r="AA79" s="1308"/>
    </row>
    <row r="80" spans="1:27" ht="20.25" customHeight="1" thickTop="1" thickBot="1">
      <c r="A80" s="1290">
        <v>6011</v>
      </c>
      <c r="B80" s="1291" t="s">
        <v>102</v>
      </c>
      <c r="C80" s="1292">
        <f>SUMIFS('collpy (2)'!$F$11:$F$12047,'collpy (2)'!$C$11:$C$12047,Mychart!A80)</f>
        <v>14254</v>
      </c>
      <c r="D80" s="1292">
        <f>SUMIFS('collpy (2)'!$G$11:$G$12047,'collpy (2)'!$C$11:$C$12047,Mychart!A80)</f>
        <v>0</v>
      </c>
      <c r="E80" s="1387">
        <f t="shared" si="2"/>
        <v>14254</v>
      </c>
      <c r="F80" s="1299"/>
      <c r="G80" s="1309"/>
      <c r="H80" s="1306"/>
      <c r="I80" s="1307"/>
      <c r="J80" s="1307"/>
      <c r="K80" s="1307"/>
      <c r="L80" s="1307"/>
      <c r="M80" s="1307"/>
      <c r="N80" s="1307"/>
      <c r="O80" s="1318"/>
      <c r="P80" s="1308"/>
      <c r="Q80" s="1308"/>
      <c r="R80" s="1308"/>
      <c r="S80" s="1317" t="s">
        <v>102</v>
      </c>
      <c r="T80" s="1317">
        <v>6011</v>
      </c>
      <c r="U80" s="1308"/>
      <c r="V80" s="1308"/>
      <c r="W80" s="1308"/>
      <c r="X80" s="1308"/>
      <c r="Y80" s="1308"/>
      <c r="Z80" s="1308"/>
      <c r="AA80" s="1308"/>
    </row>
    <row r="81" spans="1:27" ht="20.25" customHeight="1" thickTop="1" thickBot="1">
      <c r="A81" s="1290">
        <v>6012</v>
      </c>
      <c r="B81" s="1291" t="s">
        <v>103</v>
      </c>
      <c r="C81" s="1292">
        <f>SUMIFS('collpy (2)'!$F$11:$F$12047,'collpy (2)'!$C$11:$C$12047,Mychart!A81)</f>
        <v>239.79</v>
      </c>
      <c r="D81" s="1292">
        <f>SUMIFS('collpy (2)'!$G$11:$G$12047,'collpy (2)'!$C$11:$C$12047,Mychart!A81)</f>
        <v>0</v>
      </c>
      <c r="E81" s="1387">
        <f t="shared" si="2"/>
        <v>239.79</v>
      </c>
      <c r="F81" s="1299"/>
      <c r="G81" s="1309"/>
      <c r="H81" s="1306"/>
      <c r="I81" s="1307"/>
      <c r="J81" s="1307"/>
      <c r="K81" s="1307"/>
      <c r="L81" s="1307"/>
      <c r="M81" s="1307"/>
      <c r="N81" s="1307"/>
      <c r="O81" s="1318"/>
      <c r="P81" s="1308"/>
      <c r="Q81" s="1308"/>
      <c r="R81" s="1308"/>
      <c r="S81" s="1317" t="s">
        <v>103</v>
      </c>
      <c r="T81" s="1317">
        <v>6012</v>
      </c>
      <c r="U81" s="1308"/>
      <c r="V81" s="1308"/>
      <c r="W81" s="1308"/>
      <c r="X81" s="1308"/>
      <c r="Y81" s="1308"/>
      <c r="Z81" s="1308"/>
      <c r="AA81" s="1308"/>
    </row>
    <row r="82" spans="1:27" ht="20.25" customHeight="1" thickTop="1" thickBot="1">
      <c r="A82" s="1290">
        <v>6013</v>
      </c>
      <c r="B82" s="1291" t="s">
        <v>104</v>
      </c>
      <c r="C82" s="1292">
        <f>SUMIFS('collpy (2)'!$F$11:$F$12047,'collpy (2)'!$C$11:$C$12047,Mychart!A82)</f>
        <v>63242.039999999994</v>
      </c>
      <c r="D82" s="1292">
        <f>SUMIFS('collpy (2)'!$G$11:$G$12047,'collpy (2)'!$C$11:$C$12047,Mychart!A82)</f>
        <v>0</v>
      </c>
      <c r="E82" s="1387">
        <f t="shared" si="2"/>
        <v>63242.039999999994</v>
      </c>
      <c r="F82" s="1299"/>
      <c r="G82" s="1309"/>
      <c r="H82" s="1306"/>
      <c r="I82" s="1307"/>
      <c r="J82" s="1307"/>
      <c r="K82" s="1307"/>
      <c r="L82" s="1307"/>
      <c r="M82" s="1307"/>
      <c r="N82" s="1307"/>
      <c r="O82" s="1318"/>
      <c r="P82" s="1308"/>
      <c r="Q82" s="1308"/>
      <c r="R82" s="1308"/>
      <c r="S82" s="1317" t="s">
        <v>104</v>
      </c>
      <c r="T82" s="1317">
        <v>6013</v>
      </c>
      <c r="U82" s="1308"/>
      <c r="V82" s="1308"/>
      <c r="W82" s="1308"/>
      <c r="X82" s="1308"/>
      <c r="Y82" s="1308"/>
      <c r="Z82" s="1308"/>
      <c r="AA82" s="1308"/>
    </row>
    <row r="83" spans="1:27" ht="20.25" customHeight="1" thickTop="1" thickBot="1">
      <c r="A83" s="1290">
        <v>6014</v>
      </c>
      <c r="B83" s="1291" t="s">
        <v>105</v>
      </c>
      <c r="C83" s="1292">
        <f>SUMIFS('collpy (2)'!$F$11:$F$12047,'collpy (2)'!$C$11:$C$12047,Mychart!A83)</f>
        <v>5729.41</v>
      </c>
      <c r="D83" s="1292">
        <f>SUMIFS('collpy (2)'!$G$11:$G$12047,'collpy (2)'!$C$11:$C$12047,Mychart!A83)</f>
        <v>0</v>
      </c>
      <c r="E83" s="1387">
        <f t="shared" si="2"/>
        <v>5729.41</v>
      </c>
      <c r="F83" s="1299"/>
      <c r="G83" s="1309"/>
      <c r="H83" s="1306"/>
      <c r="I83" s="1307"/>
      <c r="J83" s="1307"/>
      <c r="K83" s="1307"/>
      <c r="L83" s="1307"/>
      <c r="M83" s="1307"/>
      <c r="N83" s="1307"/>
      <c r="O83" s="1318"/>
      <c r="P83" s="1308"/>
      <c r="Q83" s="1308"/>
      <c r="R83" s="1308"/>
      <c r="S83" s="1317" t="s">
        <v>105</v>
      </c>
      <c r="T83" s="1317">
        <v>6014</v>
      </c>
      <c r="U83" s="1308"/>
      <c r="V83" s="1308"/>
      <c r="W83" s="1308"/>
      <c r="X83" s="1308"/>
      <c r="Y83" s="1308"/>
      <c r="Z83" s="1308"/>
      <c r="AA83" s="1308"/>
    </row>
    <row r="84" spans="1:27" ht="20.25" customHeight="1" thickTop="1" thickBot="1">
      <c r="A84" s="1290">
        <v>6015</v>
      </c>
      <c r="B84" s="1291" t="s">
        <v>106</v>
      </c>
      <c r="C84" s="1292">
        <f>SUMIFS('collpy (2)'!$F$11:$F$12047,'collpy (2)'!$C$11:$C$12047,Mychart!A84)</f>
        <v>1150.8499999999999</v>
      </c>
      <c r="D84" s="1292">
        <f>SUMIFS('collpy (2)'!$G$11:$G$12047,'collpy (2)'!$C$11:$C$12047,Mychart!A84)</f>
        <v>0</v>
      </c>
      <c r="E84" s="1387">
        <f t="shared" si="2"/>
        <v>1150.8499999999999</v>
      </c>
      <c r="F84" s="1299"/>
      <c r="G84" s="1309"/>
      <c r="H84" s="1306"/>
      <c r="I84" s="1307"/>
      <c r="J84" s="1307"/>
      <c r="K84" s="1307"/>
      <c r="L84" s="1307"/>
      <c r="M84" s="1307"/>
      <c r="N84" s="1307"/>
      <c r="O84" s="1318"/>
      <c r="P84" s="1308"/>
      <c r="Q84" s="1308"/>
      <c r="R84" s="1308"/>
      <c r="S84" s="1317" t="s">
        <v>106</v>
      </c>
      <c r="T84" s="1317">
        <v>6015</v>
      </c>
      <c r="U84" s="1308"/>
      <c r="V84" s="1308"/>
      <c r="W84" s="1308"/>
      <c r="X84" s="1308"/>
      <c r="Y84" s="1308"/>
      <c r="Z84" s="1308"/>
      <c r="AA84" s="1308"/>
    </row>
    <row r="85" spans="1:27" ht="20.25" customHeight="1" thickTop="1" thickBot="1">
      <c r="A85" s="1290">
        <v>6016</v>
      </c>
      <c r="B85" s="1291" t="s">
        <v>107</v>
      </c>
      <c r="C85" s="1292">
        <f>SUMIFS('collpy (2)'!$F$11:$F$12047,'collpy (2)'!$C$11:$C$12047,Mychart!A85)</f>
        <v>152714.9</v>
      </c>
      <c r="D85" s="1292">
        <f>SUMIFS('collpy (2)'!$G$11:$G$12047,'collpy (2)'!$C$11:$C$12047,Mychart!A85)</f>
        <v>0</v>
      </c>
      <c r="E85" s="1387">
        <f t="shared" si="2"/>
        <v>152714.9</v>
      </c>
      <c r="F85" s="1299"/>
      <c r="G85" s="1309"/>
      <c r="H85" s="1306"/>
      <c r="I85" s="1307"/>
      <c r="J85" s="1307"/>
      <c r="K85" s="1307"/>
      <c r="L85" s="1307"/>
      <c r="M85" s="1307"/>
      <c r="N85" s="1307"/>
      <c r="O85" s="1318"/>
      <c r="P85" s="1308"/>
      <c r="Q85" s="1308"/>
      <c r="R85" s="1308"/>
      <c r="S85" s="1317" t="s">
        <v>107</v>
      </c>
      <c r="T85" s="1317">
        <v>6016</v>
      </c>
      <c r="U85" s="1308"/>
      <c r="V85" s="1308"/>
      <c r="W85" s="1308"/>
      <c r="X85" s="1308"/>
      <c r="Y85" s="1308"/>
      <c r="Z85" s="1308"/>
      <c r="AA85" s="1308"/>
    </row>
    <row r="86" spans="1:27" ht="20.25" customHeight="1" thickTop="1" thickBot="1">
      <c r="A86" s="1290">
        <v>6017</v>
      </c>
      <c r="B86" s="1291" t="s">
        <v>108</v>
      </c>
      <c r="C86" s="1292">
        <f>SUMIFS('collpy (2)'!$F$11:$F$12047,'collpy (2)'!$C$11:$C$12047,Mychart!A86)</f>
        <v>15769.450000000004</v>
      </c>
      <c r="D86" s="1292">
        <f>SUMIFS('collpy (2)'!$G$11:$G$12047,'collpy (2)'!$C$11:$C$12047,Mychart!A86)</f>
        <v>0</v>
      </c>
      <c r="E86" s="1387">
        <f t="shared" si="2"/>
        <v>15769.450000000004</v>
      </c>
      <c r="F86" s="1299"/>
      <c r="G86" s="1309"/>
      <c r="H86" s="1306"/>
      <c r="I86" s="1307"/>
      <c r="J86" s="1307"/>
      <c r="K86" s="1307"/>
      <c r="L86" s="1307"/>
      <c r="M86" s="1307"/>
      <c r="N86" s="1307"/>
      <c r="O86" s="1318"/>
      <c r="P86" s="1308"/>
      <c r="Q86" s="1308"/>
      <c r="R86" s="1308"/>
      <c r="S86" s="1317" t="s">
        <v>108</v>
      </c>
      <c r="T86" s="1317">
        <v>6017</v>
      </c>
      <c r="U86" s="1308"/>
      <c r="V86" s="1308"/>
      <c r="W86" s="1308"/>
      <c r="X86" s="1308"/>
      <c r="Y86" s="1308"/>
      <c r="Z86" s="1308"/>
      <c r="AA86" s="1308"/>
    </row>
    <row r="87" spans="1:27" ht="20.25" customHeight="1" thickTop="1" thickBot="1">
      <c r="A87" s="1290">
        <v>6018</v>
      </c>
      <c r="B87" s="1291" t="s">
        <v>109</v>
      </c>
      <c r="C87" s="1292">
        <f>SUMIFS('collpy (2)'!$F$11:$F$12047,'collpy (2)'!$C$11:$C$12047,Mychart!A87)</f>
        <v>0</v>
      </c>
      <c r="D87" s="1292">
        <f>SUMIFS('collpy (2)'!$G$11:$G$12047,'collpy (2)'!$C$11:$C$12047,Mychart!A87)</f>
        <v>0</v>
      </c>
      <c r="E87" s="1387">
        <f t="shared" si="2"/>
        <v>0</v>
      </c>
      <c r="F87" s="1299"/>
      <c r="G87" s="1309"/>
      <c r="H87" s="1306"/>
      <c r="I87" s="1307"/>
      <c r="J87" s="1307"/>
      <c r="K87" s="1307"/>
      <c r="L87" s="1307"/>
      <c r="M87" s="1307"/>
      <c r="N87" s="1307"/>
      <c r="O87" s="1318"/>
      <c r="P87" s="1308"/>
      <c r="Q87" s="1308"/>
      <c r="R87" s="1308"/>
      <c r="S87" s="1317" t="s">
        <v>109</v>
      </c>
      <c r="T87" s="1317">
        <v>6018</v>
      </c>
      <c r="U87" s="1308"/>
      <c r="V87" s="1308"/>
      <c r="W87" s="1308"/>
      <c r="X87" s="1308"/>
      <c r="Y87" s="1308"/>
      <c r="Z87" s="1308"/>
      <c r="AA87" s="1308"/>
    </row>
    <row r="88" spans="1:27" ht="20.25" customHeight="1" thickTop="1" thickBot="1">
      <c r="A88" s="1290">
        <v>6019</v>
      </c>
      <c r="B88" s="1291" t="s">
        <v>110</v>
      </c>
      <c r="C88" s="1292">
        <f>SUMIFS('collpy (2)'!$F$11:$F$12047,'collpy (2)'!$C$11:$C$12047,Mychart!A88)</f>
        <v>0</v>
      </c>
      <c r="D88" s="1292">
        <f>SUMIFS('collpy (2)'!$G$11:$G$12047,'collpy (2)'!$C$11:$C$12047,Mychart!A88)</f>
        <v>0</v>
      </c>
      <c r="E88" s="1387">
        <f t="shared" si="2"/>
        <v>0</v>
      </c>
      <c r="F88" s="1299"/>
      <c r="G88" s="1309"/>
      <c r="H88" s="1306"/>
      <c r="I88" s="1307"/>
      <c r="J88" s="1307"/>
      <c r="K88" s="1307"/>
      <c r="L88" s="1307"/>
      <c r="M88" s="1307"/>
      <c r="N88" s="1307"/>
      <c r="O88" s="1318"/>
      <c r="P88" s="1308"/>
      <c r="Q88" s="1308"/>
      <c r="R88" s="1308"/>
      <c r="S88" s="1317" t="s">
        <v>110</v>
      </c>
      <c r="T88" s="1317">
        <v>6019</v>
      </c>
      <c r="U88" s="1308"/>
      <c r="V88" s="1308"/>
      <c r="W88" s="1308"/>
      <c r="X88" s="1308"/>
      <c r="Y88" s="1308"/>
      <c r="Z88" s="1308"/>
      <c r="AA88" s="1308"/>
    </row>
    <row r="89" spans="1:27" ht="20.25" customHeight="1" thickTop="1" thickBot="1">
      <c r="A89" s="1290">
        <v>6020</v>
      </c>
      <c r="B89" s="1291" t="s">
        <v>111</v>
      </c>
      <c r="C89" s="1292">
        <f>SUMIFS('collpy (2)'!$F$11:$F$12047,'collpy (2)'!$C$11:$C$12047,Mychart!A89)</f>
        <v>0</v>
      </c>
      <c r="D89" s="1292">
        <f>SUMIFS('collpy (2)'!$G$11:$G$12047,'collpy (2)'!$C$11:$C$12047,Mychart!A89)</f>
        <v>0</v>
      </c>
      <c r="E89" s="1387">
        <f t="shared" si="2"/>
        <v>0</v>
      </c>
      <c r="F89" s="1299"/>
      <c r="G89" s="1309"/>
      <c r="H89" s="1306"/>
      <c r="I89" s="1307"/>
      <c r="J89" s="1307"/>
      <c r="K89" s="1307"/>
      <c r="L89" s="1307"/>
      <c r="M89" s="1307"/>
      <c r="N89" s="1307"/>
      <c r="O89" s="1318"/>
      <c r="P89" s="1308"/>
      <c r="Q89" s="1308"/>
      <c r="R89" s="1308"/>
      <c r="S89" s="1317" t="s">
        <v>111</v>
      </c>
      <c r="T89" s="1317">
        <v>6020</v>
      </c>
      <c r="U89" s="1308"/>
      <c r="V89" s="1308"/>
      <c r="W89" s="1308"/>
      <c r="X89" s="1308"/>
      <c r="Y89" s="1308"/>
      <c r="Z89" s="1308"/>
      <c r="AA89" s="1308"/>
    </row>
    <row r="90" spans="1:27" ht="20.25" customHeight="1" thickTop="1" thickBot="1">
      <c r="A90" s="1290">
        <v>6021</v>
      </c>
      <c r="B90" s="1291" t="s">
        <v>112</v>
      </c>
      <c r="C90" s="1292">
        <f>SUMIFS('collpy (2)'!$F$11:$F$12047,'collpy (2)'!$C$11:$C$12047,Mychart!A90)</f>
        <v>0</v>
      </c>
      <c r="D90" s="1292">
        <f>SUMIFS('collpy (2)'!$G$11:$G$12047,'collpy (2)'!$C$11:$C$12047,Mychart!A90)</f>
        <v>0</v>
      </c>
      <c r="E90" s="1387">
        <f t="shared" si="2"/>
        <v>0</v>
      </c>
      <c r="F90" s="1299"/>
      <c r="G90" s="1309"/>
      <c r="H90" s="1306"/>
      <c r="I90" s="1307"/>
      <c r="J90" s="1307"/>
      <c r="K90" s="1307"/>
      <c r="L90" s="1307"/>
      <c r="M90" s="1307"/>
      <c r="N90" s="1307"/>
      <c r="O90" s="1318"/>
      <c r="P90" s="1308"/>
      <c r="Q90" s="1308"/>
      <c r="R90" s="1308"/>
      <c r="S90" s="1317" t="s">
        <v>112</v>
      </c>
      <c r="T90" s="1317">
        <v>6021</v>
      </c>
      <c r="U90" s="1308"/>
      <c r="V90" s="1308"/>
      <c r="W90" s="1308"/>
      <c r="X90" s="1308"/>
      <c r="Y90" s="1308"/>
      <c r="Z90" s="1308"/>
      <c r="AA90" s="1308"/>
    </row>
    <row r="91" spans="1:27" ht="20.25" customHeight="1" thickTop="1" thickBot="1">
      <c r="A91" s="1290">
        <v>6022</v>
      </c>
      <c r="B91" s="1291" t="s">
        <v>113</v>
      </c>
      <c r="C91" s="1292">
        <f>SUMIFS('collpy (2)'!$F$11:$F$12047,'collpy (2)'!$C$11:$C$12047,Mychart!A91)</f>
        <v>7081.49</v>
      </c>
      <c r="D91" s="1292">
        <f>SUMIFS('collpy (2)'!$G$11:$G$12047,'collpy (2)'!$C$11:$C$12047,Mychart!A91)</f>
        <v>0</v>
      </c>
      <c r="E91" s="1387">
        <f t="shared" si="2"/>
        <v>7081.49</v>
      </c>
      <c r="F91" s="1299"/>
      <c r="G91" s="1309"/>
      <c r="H91" s="1306"/>
      <c r="I91" s="1307"/>
      <c r="J91" s="1307"/>
      <c r="K91" s="1307"/>
      <c r="L91" s="1307"/>
      <c r="M91" s="1307"/>
      <c r="N91" s="1307"/>
      <c r="O91" s="1318"/>
      <c r="P91" s="1308"/>
      <c r="Q91" s="1308"/>
      <c r="R91" s="1308"/>
      <c r="S91" s="1317" t="s">
        <v>113</v>
      </c>
      <c r="T91" s="1317">
        <v>6022</v>
      </c>
      <c r="U91" s="1308"/>
      <c r="V91" s="1308"/>
      <c r="W91" s="1308"/>
      <c r="X91" s="1308"/>
      <c r="Y91" s="1308"/>
      <c r="Z91" s="1308"/>
      <c r="AA91" s="1308"/>
    </row>
    <row r="92" spans="1:27" ht="20.25" customHeight="1" thickTop="1" thickBot="1">
      <c r="A92" s="1290">
        <v>6023</v>
      </c>
      <c r="B92" s="1291" t="s">
        <v>114</v>
      </c>
      <c r="C92" s="1292">
        <f>SUMIFS('collpy (2)'!$F$11:$F$12047,'collpy (2)'!$C$11:$C$12047,Mychart!A92)</f>
        <v>3245</v>
      </c>
      <c r="D92" s="1292">
        <f>SUMIFS('collpy (2)'!$G$11:$G$12047,'collpy (2)'!$C$11:$C$12047,Mychart!A92)</f>
        <v>0</v>
      </c>
      <c r="E92" s="1387">
        <f t="shared" si="2"/>
        <v>3245</v>
      </c>
      <c r="F92" s="1299"/>
      <c r="G92" s="1309"/>
      <c r="H92" s="1306"/>
      <c r="I92" s="1307"/>
      <c r="J92" s="1307"/>
      <c r="K92" s="1307"/>
      <c r="L92" s="1307"/>
      <c r="M92" s="1307"/>
      <c r="N92" s="1307"/>
      <c r="O92" s="1318"/>
      <c r="P92" s="1308"/>
      <c r="Q92" s="1308"/>
      <c r="R92" s="1308"/>
      <c r="S92" s="1317" t="s">
        <v>114</v>
      </c>
      <c r="T92" s="1317">
        <v>6023</v>
      </c>
      <c r="U92" s="1308"/>
      <c r="V92" s="1308"/>
      <c r="W92" s="1308"/>
      <c r="X92" s="1308"/>
      <c r="Y92" s="1308"/>
      <c r="Z92" s="1308"/>
      <c r="AA92" s="1308"/>
    </row>
    <row r="93" spans="1:27" ht="20.25" customHeight="1" thickTop="1" thickBot="1">
      <c r="A93" s="1290">
        <v>6024</v>
      </c>
      <c r="B93" s="1291" t="s">
        <v>115</v>
      </c>
      <c r="C93" s="1292">
        <f>SUMIFS('collpy (2)'!$F$11:$F$12047,'collpy (2)'!$C$11:$C$12047,Mychart!A93)</f>
        <v>2270</v>
      </c>
      <c r="D93" s="1292">
        <f>SUMIFS('collpy (2)'!$G$11:$G$12047,'collpy (2)'!$C$11:$C$12047,Mychart!A93)</f>
        <v>0</v>
      </c>
      <c r="E93" s="1387">
        <f t="shared" si="2"/>
        <v>2270</v>
      </c>
      <c r="F93" s="1299"/>
      <c r="G93" s="1309"/>
      <c r="H93" s="1306"/>
      <c r="I93" s="1307"/>
      <c r="J93" s="1307"/>
      <c r="K93" s="1307"/>
      <c r="L93" s="1307"/>
      <c r="M93" s="1307"/>
      <c r="N93" s="1307"/>
      <c r="O93" s="1318"/>
      <c r="P93" s="1308"/>
      <c r="Q93" s="1308"/>
      <c r="R93" s="1308"/>
      <c r="S93" s="1317" t="s">
        <v>115</v>
      </c>
      <c r="T93" s="1317">
        <v>6024</v>
      </c>
      <c r="U93" s="1308"/>
      <c r="V93" s="1308"/>
      <c r="W93" s="1308"/>
      <c r="X93" s="1308"/>
      <c r="Y93" s="1308"/>
      <c r="Z93" s="1308"/>
      <c r="AA93" s="1308"/>
    </row>
    <row r="94" spans="1:27" ht="20.25" customHeight="1" thickTop="1" thickBot="1">
      <c r="A94" s="1290">
        <v>6025</v>
      </c>
      <c r="B94" s="1291" t="s">
        <v>116</v>
      </c>
      <c r="C94" s="1292">
        <f>SUMIFS('collpy (2)'!$F$11:$F$12047,'collpy (2)'!$C$11:$C$12047,Mychart!A94)</f>
        <v>1066.5</v>
      </c>
      <c r="D94" s="1292">
        <f>SUMIFS('collpy (2)'!$G$11:$G$12047,'collpy (2)'!$C$11:$C$12047,Mychart!A94)</f>
        <v>0</v>
      </c>
      <c r="E94" s="1387">
        <f t="shared" si="2"/>
        <v>1066.5</v>
      </c>
      <c r="F94" s="1299"/>
      <c r="G94" s="1309"/>
      <c r="H94" s="1306"/>
      <c r="I94" s="1307"/>
      <c r="J94" s="1307"/>
      <c r="K94" s="1307"/>
      <c r="L94" s="1307"/>
      <c r="M94" s="1307"/>
      <c r="N94" s="1307"/>
      <c r="O94" s="1318"/>
      <c r="P94" s="1308"/>
      <c r="Q94" s="1308"/>
      <c r="R94" s="1308"/>
      <c r="S94" s="1317" t="s">
        <v>116</v>
      </c>
      <c r="T94" s="1317">
        <v>6025</v>
      </c>
      <c r="U94" s="1308"/>
      <c r="V94" s="1308"/>
      <c r="W94" s="1308"/>
      <c r="X94" s="1308"/>
      <c r="Y94" s="1308"/>
      <c r="Z94" s="1308"/>
      <c r="AA94" s="1308"/>
    </row>
    <row r="95" spans="1:27" ht="20.25" customHeight="1" thickTop="1" thickBot="1">
      <c r="A95" s="1290">
        <v>6026</v>
      </c>
      <c r="B95" s="1291" t="s">
        <v>117</v>
      </c>
      <c r="C95" s="1292">
        <f>SUMIFS('collpy (2)'!$F$11:$F$12047,'collpy (2)'!$C$11:$C$12047,Mychart!A95)</f>
        <v>1628</v>
      </c>
      <c r="D95" s="1292">
        <f>SUMIFS('collpy (2)'!$G$11:$G$12047,'collpy (2)'!$C$11:$C$12047,Mychart!A95)</f>
        <v>0</v>
      </c>
      <c r="E95" s="1387">
        <f t="shared" si="2"/>
        <v>1628</v>
      </c>
      <c r="F95" s="1299"/>
      <c r="G95" s="1309"/>
      <c r="H95" s="1306"/>
      <c r="I95" s="1307"/>
      <c r="J95" s="1307"/>
      <c r="K95" s="1307"/>
      <c r="L95" s="1307"/>
      <c r="M95" s="1307"/>
      <c r="N95" s="1307"/>
      <c r="O95" s="1318"/>
      <c r="P95" s="1308"/>
      <c r="Q95" s="1308"/>
      <c r="R95" s="1308"/>
      <c r="S95" s="1317" t="s">
        <v>117</v>
      </c>
      <c r="T95" s="1317">
        <v>6026</v>
      </c>
      <c r="U95" s="1308"/>
      <c r="V95" s="1308"/>
      <c r="W95" s="1308"/>
      <c r="X95" s="1308"/>
      <c r="Y95" s="1308"/>
      <c r="Z95" s="1308"/>
      <c r="AA95" s="1308"/>
    </row>
    <row r="96" spans="1:27" ht="20.25" customHeight="1" thickTop="1" thickBot="1">
      <c r="A96" s="1290">
        <v>6027</v>
      </c>
      <c r="B96" s="1291" t="s">
        <v>118</v>
      </c>
      <c r="C96" s="1292">
        <f>SUMIFS('collpy (2)'!$F$11:$F$12047,'collpy (2)'!$C$11:$C$12047,Mychart!A96)</f>
        <v>122400</v>
      </c>
      <c r="D96" s="1292">
        <f>SUMIFS('collpy (2)'!$G$11:$G$12047,'collpy (2)'!$C$11:$C$12047,Mychart!A96)</f>
        <v>0</v>
      </c>
      <c r="E96" s="1387">
        <f t="shared" si="2"/>
        <v>122400</v>
      </c>
      <c r="F96" s="1299"/>
      <c r="G96" s="1309"/>
      <c r="H96" s="1306"/>
      <c r="I96" s="1307"/>
      <c r="J96" s="1307"/>
      <c r="K96" s="1307"/>
      <c r="L96" s="1307"/>
      <c r="M96" s="1307"/>
      <c r="N96" s="1307"/>
      <c r="O96" s="1318"/>
      <c r="P96" s="1308"/>
      <c r="Q96" s="1308"/>
      <c r="R96" s="1308"/>
      <c r="S96" s="1317" t="s">
        <v>118</v>
      </c>
      <c r="T96" s="1317">
        <v>6027</v>
      </c>
      <c r="U96" s="1308"/>
      <c r="V96" s="1308"/>
      <c r="W96" s="1308"/>
      <c r="X96" s="1308"/>
      <c r="Y96" s="1308"/>
      <c r="Z96" s="1308"/>
      <c r="AA96" s="1308"/>
    </row>
    <row r="97" spans="1:27" ht="16.5" thickTop="1" thickBot="1">
      <c r="A97" s="1290">
        <v>6028</v>
      </c>
      <c r="B97" s="1291" t="s">
        <v>119</v>
      </c>
      <c r="C97" s="1292">
        <f>SUMIFS('collpy (2)'!$F$11:$F$12047,'collpy (2)'!$C$11:$C$12047,Mychart!A97)</f>
        <v>171065</v>
      </c>
      <c r="D97" s="1292">
        <f>SUMIFS('collpy (2)'!$G$11:$G$12047,'collpy (2)'!$C$11:$C$12047,Mychart!A97)</f>
        <v>0</v>
      </c>
      <c r="E97" s="1387">
        <f t="shared" si="2"/>
        <v>171065</v>
      </c>
      <c r="F97" s="1299"/>
      <c r="G97" s="1309"/>
      <c r="H97" s="1306"/>
      <c r="I97" s="1307"/>
      <c r="J97" s="1307"/>
      <c r="K97" s="1307"/>
      <c r="L97" s="1307"/>
      <c r="M97" s="1307"/>
      <c r="N97" s="1307"/>
      <c r="O97" s="1318"/>
      <c r="P97" s="1308"/>
      <c r="Q97" s="1308"/>
      <c r="R97" s="1308"/>
      <c r="S97" s="1317" t="s">
        <v>119</v>
      </c>
      <c r="T97" s="1317">
        <v>6028</v>
      </c>
      <c r="U97" s="1308"/>
      <c r="V97" s="1308"/>
      <c r="W97" s="1308"/>
      <c r="X97" s="1308"/>
      <c r="Y97" s="1308"/>
      <c r="Z97" s="1308"/>
      <c r="AA97" s="1308"/>
    </row>
    <row r="98" spans="1:27" ht="16.5" thickTop="1" thickBot="1">
      <c r="A98" s="1290">
        <v>6030</v>
      </c>
      <c r="B98" s="1291" t="s">
        <v>120</v>
      </c>
      <c r="C98" s="1292">
        <f>SUMIFS('collpy (2)'!$F$11:$F$12047,'collpy (2)'!$C$11:$C$12047,Mychart!A98)</f>
        <v>0</v>
      </c>
      <c r="D98" s="1292">
        <f>SUMIFS('collpy (2)'!$G$11:$G$12047,'collpy (2)'!$C$11:$C$12047,Mychart!A98)</f>
        <v>0</v>
      </c>
      <c r="E98" s="1387">
        <f t="shared" si="2"/>
        <v>0</v>
      </c>
      <c r="F98" s="1299"/>
      <c r="G98" s="1309"/>
      <c r="H98" s="1306"/>
      <c r="I98" s="1307"/>
      <c r="J98" s="1307"/>
      <c r="K98" s="1307"/>
      <c r="L98" s="1307"/>
      <c r="M98" s="1307"/>
      <c r="N98" s="1307"/>
      <c r="O98" s="1318"/>
      <c r="P98" s="1308"/>
      <c r="Q98" s="1308"/>
      <c r="R98" s="1308"/>
      <c r="S98" s="1317" t="s">
        <v>120</v>
      </c>
      <c r="T98" s="1317">
        <v>6030</v>
      </c>
      <c r="U98" s="1308"/>
      <c r="V98" s="1308"/>
      <c r="W98" s="1308"/>
      <c r="X98" s="1308"/>
      <c r="Y98" s="1308"/>
      <c r="Z98" s="1308"/>
      <c r="AA98" s="1308"/>
    </row>
    <row r="99" spans="1:27" ht="16.5" thickTop="1" thickBot="1">
      <c r="A99" s="1290">
        <v>6031</v>
      </c>
      <c r="B99" s="1291" t="s">
        <v>121</v>
      </c>
      <c r="C99" s="1292">
        <f>SUMIFS('collpy (2)'!$F$11:$F$12047,'collpy (2)'!$C$11:$C$12047,Mychart!A99)</f>
        <v>0</v>
      </c>
      <c r="D99" s="1292">
        <f>SUMIFS('collpy (2)'!$G$11:$G$12047,'collpy (2)'!$C$11:$C$12047,Mychart!A99)</f>
        <v>0</v>
      </c>
      <c r="E99" s="1387">
        <f t="shared" si="2"/>
        <v>0</v>
      </c>
      <c r="F99" s="1299"/>
      <c r="G99" s="1309"/>
      <c r="H99" s="1306"/>
      <c r="I99" s="1307"/>
      <c r="J99" s="1307"/>
      <c r="K99" s="1307"/>
      <c r="L99" s="1307"/>
      <c r="M99" s="1307"/>
      <c r="N99" s="1307"/>
      <c r="O99" s="1318"/>
      <c r="P99" s="1308"/>
      <c r="Q99" s="1308"/>
      <c r="R99" s="1308"/>
      <c r="S99" s="1317" t="s">
        <v>121</v>
      </c>
      <c r="T99" s="1317">
        <v>6031</v>
      </c>
      <c r="U99" s="1308"/>
      <c r="V99" s="1308"/>
      <c r="W99" s="1308"/>
      <c r="X99" s="1308"/>
      <c r="Y99" s="1308"/>
      <c r="Z99" s="1308"/>
      <c r="AA99" s="1308"/>
    </row>
    <row r="100" spans="1:27" ht="16.5" thickTop="1" thickBot="1">
      <c r="A100" s="1290">
        <v>6032</v>
      </c>
      <c r="B100" s="1291" t="s">
        <v>122</v>
      </c>
      <c r="C100" s="1292">
        <f>SUMIFS('collpy (2)'!$F$11:$F$12047,'collpy (2)'!$C$11:$C$12047,Mychart!A100)</f>
        <v>0</v>
      </c>
      <c r="D100" s="1292">
        <f>SUMIFS('collpy (2)'!$G$11:$G$12047,'collpy (2)'!$C$11:$C$12047,Mychart!A100)</f>
        <v>0</v>
      </c>
      <c r="E100" s="1387">
        <f t="shared" si="2"/>
        <v>0</v>
      </c>
      <c r="F100" s="1299"/>
      <c r="G100" s="1309"/>
      <c r="H100" s="1306"/>
      <c r="I100" s="1307"/>
      <c r="J100" s="1307"/>
      <c r="K100" s="1307"/>
      <c r="L100" s="1307"/>
      <c r="M100" s="1307"/>
      <c r="N100" s="1307"/>
      <c r="O100" s="1318"/>
      <c r="P100" s="1308"/>
      <c r="Q100" s="1308"/>
      <c r="R100" s="1308"/>
      <c r="S100" s="1317" t="s">
        <v>122</v>
      </c>
      <c r="T100" s="1317">
        <v>6032</v>
      </c>
      <c r="U100" s="1308"/>
      <c r="V100" s="1308"/>
      <c r="W100" s="1308"/>
      <c r="X100" s="1308"/>
      <c r="Y100" s="1308"/>
      <c r="Z100" s="1308"/>
      <c r="AA100" s="1308"/>
    </row>
    <row r="101" spans="1:27" ht="16.5" thickTop="1" thickBot="1">
      <c r="A101" s="1290">
        <v>6033</v>
      </c>
      <c r="B101" s="1291" t="s">
        <v>123</v>
      </c>
      <c r="C101" s="1292">
        <f>SUMIFS('collpy (2)'!$F$11:$F$12047,'collpy (2)'!$C$11:$C$12047,Mychart!A101)</f>
        <v>0</v>
      </c>
      <c r="D101" s="1292">
        <f>SUMIFS('collpy (2)'!$G$11:$G$12047,'collpy (2)'!$C$11:$C$12047,Mychart!A101)</f>
        <v>0</v>
      </c>
      <c r="E101" s="1387">
        <f t="shared" si="2"/>
        <v>0</v>
      </c>
      <c r="F101" s="1299"/>
      <c r="G101" s="1309"/>
      <c r="H101" s="1306"/>
      <c r="I101" s="1307"/>
      <c r="J101" s="1307"/>
      <c r="K101" s="1307"/>
      <c r="L101" s="1307"/>
      <c r="M101" s="1307"/>
      <c r="N101" s="1307"/>
      <c r="O101" s="1318"/>
      <c r="P101" s="1308"/>
      <c r="Q101" s="1308"/>
      <c r="R101" s="1308"/>
      <c r="S101" s="1317" t="s">
        <v>123</v>
      </c>
      <c r="T101" s="1317">
        <v>6033</v>
      </c>
      <c r="U101" s="1308"/>
      <c r="V101" s="1308"/>
      <c r="W101" s="1308"/>
      <c r="X101" s="1308"/>
      <c r="Y101" s="1308"/>
      <c r="Z101" s="1308"/>
      <c r="AA101" s="1308"/>
    </row>
    <row r="102" spans="1:27" ht="16.5" thickTop="1" thickBot="1">
      <c r="A102" s="1290">
        <v>6040</v>
      </c>
      <c r="B102" s="1291" t="s">
        <v>124</v>
      </c>
      <c r="C102" s="1292">
        <f>SUMIFS('collpy (2)'!$F$11:$F$12047,'collpy (2)'!$C$11:$C$12047,Mychart!A102)</f>
        <v>0</v>
      </c>
      <c r="D102" s="1292">
        <f>SUMIFS('collpy (2)'!$G$11:$G$12047,'collpy (2)'!$C$11:$C$12047,Mychart!A102)</f>
        <v>0</v>
      </c>
      <c r="E102" s="1387">
        <f t="shared" si="2"/>
        <v>0</v>
      </c>
      <c r="F102" s="1299"/>
      <c r="G102" s="1309"/>
      <c r="H102" s="1306"/>
      <c r="I102" s="1307"/>
      <c r="J102" s="1307"/>
      <c r="K102" s="1307"/>
      <c r="L102" s="1307"/>
      <c r="M102" s="1307"/>
      <c r="N102" s="1307"/>
      <c r="O102" s="1318"/>
      <c r="P102" s="1308"/>
      <c r="Q102" s="1308"/>
      <c r="R102" s="1308"/>
      <c r="S102" s="1317" t="s">
        <v>124</v>
      </c>
      <c r="T102" s="1317">
        <v>6040</v>
      </c>
      <c r="U102" s="1308"/>
      <c r="V102" s="1308"/>
      <c r="W102" s="1308"/>
      <c r="X102" s="1308"/>
      <c r="Y102" s="1308"/>
      <c r="Z102" s="1308"/>
      <c r="AA102" s="1308"/>
    </row>
    <row r="103" spans="1:27" ht="16.5" thickTop="1" thickBot="1">
      <c r="A103" s="1290">
        <v>6050</v>
      </c>
      <c r="B103" s="1291" t="s">
        <v>125</v>
      </c>
      <c r="C103" s="1292">
        <f>SUMIFS('collpy (2)'!$F$11:$F$12047,'collpy (2)'!$C$11:$C$12047,Mychart!A103)</f>
        <v>5330</v>
      </c>
      <c r="D103" s="1292">
        <f>SUMIFS('collpy (2)'!$G$11:$G$12047,'collpy (2)'!$C$11:$C$12047,Mychart!A103)</f>
        <v>128325</v>
      </c>
      <c r="E103" s="1387">
        <f t="shared" si="2"/>
        <v>-122995</v>
      </c>
      <c r="F103" s="1299"/>
      <c r="G103" s="1309"/>
      <c r="H103" s="1306"/>
      <c r="I103" s="1307"/>
      <c r="J103" s="1307"/>
      <c r="K103" s="1307"/>
      <c r="L103" s="1307"/>
      <c r="M103" s="1307"/>
      <c r="N103" s="1307"/>
      <c r="O103" s="1318"/>
      <c r="P103" s="1308"/>
      <c r="Q103" s="1308"/>
      <c r="R103" s="1308"/>
      <c r="S103" s="1317" t="s">
        <v>125</v>
      </c>
      <c r="T103" s="1317">
        <v>6050</v>
      </c>
      <c r="U103" s="1308"/>
      <c r="V103" s="1308"/>
      <c r="W103" s="1308"/>
      <c r="X103" s="1308"/>
      <c r="Y103" s="1308"/>
      <c r="Z103" s="1308"/>
      <c r="AA103" s="1308"/>
    </row>
    <row r="104" spans="1:27" ht="16.5" thickTop="1" thickBot="1">
      <c r="A104" s="1290">
        <v>6100</v>
      </c>
      <c r="B104" s="1291" t="s">
        <v>126</v>
      </c>
      <c r="C104" s="1292">
        <f>SUMIFS('collpy (2)'!$F$11:$F$12047,'collpy (2)'!$C$11:$C$12047,Mychart!A104)</f>
        <v>0</v>
      </c>
      <c r="D104" s="1292">
        <f>SUMIFS('collpy (2)'!$G$11:$G$12047,'collpy (2)'!$C$11:$C$12047,Mychart!A104)</f>
        <v>0</v>
      </c>
      <c r="E104" s="1387">
        <f t="shared" si="2"/>
        <v>0</v>
      </c>
      <c r="F104" s="1299"/>
      <c r="G104" s="1309"/>
      <c r="H104" s="1306"/>
      <c r="I104" s="1307"/>
      <c r="J104" s="1307"/>
      <c r="K104" s="1307"/>
      <c r="L104" s="1307"/>
      <c r="M104" s="1307"/>
      <c r="N104" s="1307"/>
      <c r="O104" s="1318"/>
      <c r="P104" s="1308"/>
      <c r="Q104" s="1308"/>
      <c r="R104" s="1308"/>
      <c r="S104" s="1317" t="s">
        <v>126</v>
      </c>
      <c r="T104" s="1317">
        <v>6100</v>
      </c>
      <c r="U104" s="1308"/>
      <c r="V104" s="1308"/>
      <c r="W104" s="1308"/>
      <c r="X104" s="1308"/>
      <c r="Y104" s="1308"/>
      <c r="Z104" s="1308"/>
      <c r="AA104" s="1308"/>
    </row>
    <row r="105" spans="1:27" ht="16.5" thickTop="1" thickBot="1">
      <c r="A105" s="1290">
        <v>6150</v>
      </c>
      <c r="B105" s="1291" t="s">
        <v>127</v>
      </c>
      <c r="C105" s="1292">
        <f>SUMIFS('collpy (2)'!$F$11:$F$12047,'collpy (2)'!$C$11:$C$12047,Mychart!A105)</f>
        <v>0</v>
      </c>
      <c r="D105" s="1292">
        <f>SUMIFS('collpy (2)'!$G$11:$G$12047,'collpy (2)'!$C$11:$C$12047,Mychart!A105)</f>
        <v>0</v>
      </c>
      <c r="E105" s="1387">
        <f t="shared" si="2"/>
        <v>0</v>
      </c>
      <c r="F105" s="1299"/>
      <c r="G105" s="1309"/>
      <c r="H105" s="1306"/>
      <c r="I105" s="1307"/>
      <c r="J105" s="1307"/>
      <c r="K105" s="1307"/>
      <c r="L105" s="1307"/>
      <c r="M105" s="1307"/>
      <c r="N105" s="1307"/>
      <c r="O105" s="1318"/>
      <c r="P105" s="1308"/>
      <c r="Q105" s="1308"/>
      <c r="R105" s="1308"/>
      <c r="S105" s="1317" t="s">
        <v>127</v>
      </c>
      <c r="T105" s="1317">
        <v>6150</v>
      </c>
      <c r="U105" s="1308"/>
      <c r="V105" s="1308"/>
      <c r="W105" s="1308"/>
      <c r="X105" s="1308"/>
      <c r="Y105" s="1308"/>
      <c r="Z105" s="1308"/>
      <c r="AA105" s="1308"/>
    </row>
    <row r="106" spans="1:27" ht="16.5" thickTop="1" thickBot="1">
      <c r="A106" s="1290">
        <v>6200</v>
      </c>
      <c r="B106" s="1291" t="s">
        <v>128</v>
      </c>
      <c r="C106" s="1292">
        <f>SUMIFS('collpy (2)'!$F$11:$F$12047,'collpy (2)'!$C$11:$C$12047,Mychart!A106)</f>
        <v>5267.55</v>
      </c>
      <c r="D106" s="1292">
        <f>SUMIFS('collpy (2)'!$G$11:$G$12047,'collpy (2)'!$C$11:$C$12047,Mychart!A106)</f>
        <v>0</v>
      </c>
      <c r="E106" s="1387">
        <f t="shared" si="2"/>
        <v>5267.55</v>
      </c>
      <c r="F106" s="1299"/>
      <c r="G106" s="1309"/>
      <c r="H106" s="1306"/>
      <c r="I106" s="1307"/>
      <c r="J106" s="1307"/>
      <c r="K106" s="1307"/>
      <c r="L106" s="1307"/>
      <c r="M106" s="1307"/>
      <c r="N106" s="1307"/>
      <c r="O106" s="1318"/>
      <c r="P106" s="1308"/>
      <c r="Q106" s="1308"/>
      <c r="R106" s="1308"/>
      <c r="S106" s="1317" t="s">
        <v>128</v>
      </c>
      <c r="T106" s="1317">
        <v>6200</v>
      </c>
      <c r="U106" s="1308"/>
      <c r="V106" s="1308"/>
      <c r="W106" s="1308"/>
      <c r="X106" s="1308"/>
      <c r="Y106" s="1308"/>
      <c r="Z106" s="1308"/>
      <c r="AA106" s="1308"/>
    </row>
    <row r="107" spans="1:27" ht="16.5" thickTop="1" thickBot="1">
      <c r="A107" s="1290">
        <v>6250</v>
      </c>
      <c r="B107" s="1291" t="s">
        <v>129</v>
      </c>
      <c r="C107" s="1292">
        <f>SUMIFS('collpy (2)'!$F$11:$F$12047,'collpy (2)'!$C$11:$C$12047,Mychart!A107)</f>
        <v>23548.410000000003</v>
      </c>
      <c r="D107" s="1292">
        <f>SUMIFS('collpy (2)'!$G$11:$G$12047,'collpy (2)'!$C$11:$C$12047,Mychart!A107)</f>
        <v>26406.09</v>
      </c>
      <c r="E107" s="1387">
        <f t="shared" si="2"/>
        <v>-2857.6799999999967</v>
      </c>
      <c r="F107" s="1299"/>
      <c r="G107" s="1309"/>
      <c r="H107" s="1306"/>
      <c r="I107" s="1307"/>
      <c r="J107" s="1307"/>
      <c r="K107" s="1307"/>
      <c r="L107" s="1307"/>
      <c r="M107" s="1307"/>
      <c r="N107" s="1307"/>
      <c r="O107" s="1318"/>
      <c r="P107" s="1308"/>
      <c r="Q107" s="1308"/>
      <c r="R107" s="1308"/>
      <c r="S107" s="1317" t="s">
        <v>129</v>
      </c>
      <c r="T107" s="1317">
        <v>6250</v>
      </c>
      <c r="U107" s="1308"/>
      <c r="V107" s="1308"/>
      <c r="W107" s="1308"/>
      <c r="X107" s="1308"/>
      <c r="Y107" s="1308"/>
      <c r="Z107" s="1308"/>
      <c r="AA107" s="1308"/>
    </row>
    <row r="108" spans="1:27" ht="16.5" thickTop="1" thickBot="1">
      <c r="A108" s="1290">
        <v>6300</v>
      </c>
      <c r="B108" s="1291" t="s">
        <v>130</v>
      </c>
      <c r="C108" s="1292">
        <f>SUMIFS('collpy (2)'!$F$11:$F$12047,'collpy (2)'!$C$11:$C$12047,Mychart!A108)</f>
        <v>7327.5</v>
      </c>
      <c r="D108" s="1292">
        <f>SUMIFS('collpy (2)'!$G$11:$G$12047,'collpy (2)'!$C$11:$C$12047,Mychart!A108)</f>
        <v>0</v>
      </c>
      <c r="E108" s="1387">
        <f t="shared" si="2"/>
        <v>7327.5</v>
      </c>
      <c r="F108" s="1299"/>
      <c r="G108" s="1309"/>
      <c r="H108" s="1306"/>
      <c r="I108" s="1307"/>
      <c r="J108" s="1307"/>
      <c r="K108" s="1307"/>
      <c r="L108" s="1307"/>
      <c r="M108" s="1307"/>
      <c r="N108" s="1307"/>
      <c r="O108" s="1318"/>
      <c r="P108" s="1308"/>
      <c r="Q108" s="1308"/>
      <c r="R108" s="1308"/>
      <c r="S108" s="1317" t="s">
        <v>130</v>
      </c>
      <c r="T108" s="1317">
        <v>6300</v>
      </c>
      <c r="U108" s="1308"/>
      <c r="V108" s="1308"/>
      <c r="W108" s="1308"/>
      <c r="X108" s="1308"/>
      <c r="Y108" s="1308"/>
      <c r="Z108" s="1308"/>
      <c r="AA108" s="1308"/>
    </row>
    <row r="109" spans="1:27" ht="16.5" thickTop="1" thickBot="1">
      <c r="A109" s="1290">
        <v>6350</v>
      </c>
      <c r="B109" s="1291" t="s">
        <v>131</v>
      </c>
      <c r="C109" s="1292">
        <f>SUMIFS('collpy (2)'!$F$11:$F$12047,'collpy (2)'!$C$11:$C$12047,Mychart!A109)</f>
        <v>4914.0600000000004</v>
      </c>
      <c r="D109" s="1292">
        <f>SUMIFS('collpy (2)'!$G$11:$G$12047,'collpy (2)'!$C$11:$C$12047,Mychart!A109)</f>
        <v>0</v>
      </c>
      <c r="E109" s="1387">
        <f t="shared" si="2"/>
        <v>4914.0600000000004</v>
      </c>
      <c r="F109" s="1299"/>
      <c r="G109" s="1309"/>
      <c r="H109" s="1306"/>
      <c r="I109" s="1307"/>
      <c r="J109" s="1307"/>
      <c r="K109" s="1307"/>
      <c r="L109" s="1307"/>
      <c r="M109" s="1307"/>
      <c r="N109" s="1307"/>
      <c r="O109" s="1318"/>
      <c r="P109" s="1308"/>
      <c r="Q109" s="1308"/>
      <c r="R109" s="1308"/>
      <c r="S109" s="1317" t="s">
        <v>131</v>
      </c>
      <c r="T109" s="1317">
        <v>6350</v>
      </c>
      <c r="U109" s="1308"/>
      <c r="V109" s="1308"/>
      <c r="W109" s="1308"/>
      <c r="X109" s="1308"/>
      <c r="Y109" s="1308"/>
      <c r="Z109" s="1308"/>
      <c r="AA109" s="1308"/>
    </row>
    <row r="110" spans="1:27" ht="16.5" thickTop="1" thickBot="1">
      <c r="A110" s="1290">
        <v>6400</v>
      </c>
      <c r="B110" s="1291" t="s">
        <v>132</v>
      </c>
      <c r="C110" s="1292">
        <f>SUMIFS('collpy (2)'!$F$11:$F$12047,'collpy (2)'!$C$11:$C$12047,Mychart!A110)</f>
        <v>0</v>
      </c>
      <c r="D110" s="1292">
        <f>SUMIFS('collpy (2)'!$G$11:$G$12047,'collpy (2)'!$C$11:$C$12047,Mychart!A110)</f>
        <v>0</v>
      </c>
      <c r="E110" s="1387">
        <f t="shared" si="2"/>
        <v>0</v>
      </c>
      <c r="F110" s="1299"/>
      <c r="G110" s="1309"/>
      <c r="H110" s="1306"/>
      <c r="I110" s="1307"/>
      <c r="J110" s="1307"/>
      <c r="K110" s="1307"/>
      <c r="L110" s="1307"/>
      <c r="M110" s="1307"/>
      <c r="N110" s="1307"/>
      <c r="O110" s="1318"/>
      <c r="P110" s="1308"/>
      <c r="Q110" s="1308"/>
      <c r="R110" s="1308"/>
      <c r="S110" s="1317" t="s">
        <v>132</v>
      </c>
      <c r="T110" s="1317">
        <v>6400</v>
      </c>
      <c r="U110" s="1308"/>
      <c r="V110" s="1308"/>
      <c r="W110" s="1308"/>
      <c r="X110" s="1308"/>
      <c r="Y110" s="1308"/>
      <c r="Z110" s="1308"/>
      <c r="AA110" s="1308"/>
    </row>
    <row r="111" spans="1:27" ht="16.5" thickTop="1" thickBot="1">
      <c r="A111" s="1290">
        <v>6450</v>
      </c>
      <c r="B111" s="1291" t="s">
        <v>133</v>
      </c>
      <c r="C111" s="1292">
        <f>SUMIFS('collpy (2)'!$F$11:$F$12047,'collpy (2)'!$C$11:$C$12047,Mychart!A111)</f>
        <v>1018.53</v>
      </c>
      <c r="D111" s="1292">
        <f>SUMIFS('collpy (2)'!$G$11:$G$12047,'collpy (2)'!$C$11:$C$12047,Mychart!A111)</f>
        <v>0</v>
      </c>
      <c r="E111" s="1387">
        <f t="shared" si="2"/>
        <v>1018.53</v>
      </c>
      <c r="F111" s="1299"/>
      <c r="G111" s="1309"/>
      <c r="H111" s="1306"/>
      <c r="I111" s="1307"/>
      <c r="J111" s="1307"/>
      <c r="K111" s="1307"/>
      <c r="L111" s="1307"/>
      <c r="M111" s="1307"/>
      <c r="N111" s="1307"/>
      <c r="O111" s="1318"/>
      <c r="P111" s="1308"/>
      <c r="Q111" s="1308"/>
      <c r="R111" s="1308"/>
      <c r="S111" s="1317" t="s">
        <v>133</v>
      </c>
      <c r="T111" s="1317">
        <v>6450</v>
      </c>
      <c r="U111" s="1308"/>
      <c r="V111" s="1308"/>
      <c r="W111" s="1308"/>
      <c r="X111" s="1308"/>
      <c r="Y111" s="1308"/>
      <c r="Z111" s="1308"/>
      <c r="AA111" s="1308"/>
    </row>
    <row r="112" spans="1:27" ht="16.5" thickTop="1" thickBot="1">
      <c r="A112" s="1290">
        <v>6750</v>
      </c>
      <c r="B112" s="1291" t="s">
        <v>134</v>
      </c>
      <c r="C112" s="1292">
        <f>SUMIFS('collpy (2)'!$F$11:$F$12047,'collpy (2)'!$C$11:$C$12047,Mychart!A112)</f>
        <v>0</v>
      </c>
      <c r="D112" s="1292">
        <f>SUMIFS('collpy (2)'!$G$11:$G$12047,'collpy (2)'!$C$11:$C$12047,Mychart!A112)</f>
        <v>0</v>
      </c>
      <c r="E112" s="1387">
        <f t="shared" si="2"/>
        <v>0</v>
      </c>
      <c r="F112" s="1299"/>
      <c r="G112" s="1309"/>
      <c r="H112" s="1306"/>
      <c r="I112" s="1307"/>
      <c r="J112" s="1307"/>
      <c r="K112" s="1307"/>
      <c r="L112" s="1307"/>
      <c r="M112" s="1307"/>
      <c r="N112" s="1307"/>
      <c r="O112" s="1318"/>
      <c r="P112" s="1308"/>
      <c r="Q112" s="1308"/>
      <c r="R112" s="1308"/>
      <c r="S112" s="1317" t="s">
        <v>134</v>
      </c>
      <c r="T112" s="1317">
        <v>6750</v>
      </c>
      <c r="U112" s="1308"/>
      <c r="V112" s="1308"/>
      <c r="W112" s="1308"/>
      <c r="X112" s="1308"/>
      <c r="Y112" s="1308"/>
      <c r="Z112" s="1308"/>
      <c r="AA112" s="1308"/>
    </row>
    <row r="113" spans="1:27" ht="16.5" thickTop="1" thickBot="1">
      <c r="A113" s="1290">
        <v>6950</v>
      </c>
      <c r="B113" s="1291" t="s">
        <v>135</v>
      </c>
      <c r="C113" s="1292">
        <f>SUMIFS('collpy (2)'!$F$11:$F$12047,'collpy (2)'!$C$11:$C$12047,Mychart!A113)</f>
        <v>0</v>
      </c>
      <c r="D113" s="1292">
        <f>SUMIFS('collpy (2)'!$G$11:$G$12047,'collpy (2)'!$C$11:$C$12047,Mychart!A113)</f>
        <v>0</v>
      </c>
      <c r="E113" s="1387">
        <f t="shared" si="2"/>
        <v>0</v>
      </c>
      <c r="F113" s="1299"/>
      <c r="G113" s="1309"/>
      <c r="H113" s="1306"/>
      <c r="I113" s="1307"/>
      <c r="J113" s="1307"/>
      <c r="K113" s="1307"/>
      <c r="L113" s="1307"/>
      <c r="M113" s="1307"/>
      <c r="N113" s="1307"/>
      <c r="O113" s="1318"/>
      <c r="P113" s="1308"/>
      <c r="Q113" s="1308"/>
      <c r="R113" s="1308"/>
      <c r="S113" s="1317" t="s">
        <v>135</v>
      </c>
      <c r="T113" s="1317">
        <v>6950</v>
      </c>
      <c r="U113" s="1308"/>
      <c r="V113" s="1308"/>
      <c r="W113" s="1308"/>
      <c r="X113" s="1308"/>
      <c r="Y113" s="1308"/>
      <c r="Z113" s="1308"/>
      <c r="AA113" s="1308"/>
    </row>
    <row r="114" spans="1:27" ht="16.5" thickTop="1" thickBot="1">
      <c r="A114" s="1290">
        <v>7000</v>
      </c>
      <c r="B114" s="1291" t="s">
        <v>136</v>
      </c>
      <c r="C114" s="1292">
        <f>SUMIFS('collpy (2)'!$F$11:$F$12047,'collpy (2)'!$C$11:$C$12047,Mychart!A114)</f>
        <v>0</v>
      </c>
      <c r="D114" s="1292">
        <f>SUMIFS('collpy (2)'!$G$11:$G$12047,'collpy (2)'!$C$11:$C$12047,Mychart!A114)</f>
        <v>0</v>
      </c>
      <c r="E114" s="1387">
        <f t="shared" si="2"/>
        <v>0</v>
      </c>
      <c r="F114" s="1299"/>
      <c r="G114" s="1309"/>
      <c r="H114" s="1306"/>
      <c r="I114" s="1307"/>
      <c r="J114" s="1307"/>
      <c r="K114" s="1307"/>
      <c r="L114" s="1307"/>
      <c r="M114" s="1307"/>
      <c r="N114" s="1307"/>
      <c r="O114" s="1318"/>
      <c r="P114" s="1308"/>
      <c r="Q114" s="1308"/>
      <c r="R114" s="1308"/>
      <c r="S114" s="1317" t="s">
        <v>136</v>
      </c>
      <c r="T114" s="1317">
        <v>7000</v>
      </c>
      <c r="U114" s="1308"/>
      <c r="V114" s="1308"/>
      <c r="W114" s="1308"/>
      <c r="X114" s="1308"/>
      <c r="Y114" s="1308"/>
      <c r="Z114" s="1308"/>
      <c r="AA114" s="1308"/>
    </row>
    <row r="115" spans="1:27" ht="16.5" thickTop="1" thickBot="1">
      <c r="A115" s="1290">
        <v>7050</v>
      </c>
      <c r="B115" s="1291" t="s">
        <v>137</v>
      </c>
      <c r="C115" s="1292">
        <f>SUMIFS('collpy (2)'!$F$11:$F$12047,'collpy (2)'!$C$11:$C$12047,Mychart!A115)</f>
        <v>275.49</v>
      </c>
      <c r="D115" s="1292">
        <f>SUMIFS('collpy (2)'!$G$11:$G$12047,'collpy (2)'!$C$11:$C$12047,Mychart!A115)</f>
        <v>0</v>
      </c>
      <c r="E115" s="1387">
        <f t="shared" si="2"/>
        <v>275.49</v>
      </c>
      <c r="F115" s="1299"/>
      <c r="G115" s="1309"/>
      <c r="H115" s="1306"/>
      <c r="I115" s="1307"/>
      <c r="J115" s="1307"/>
      <c r="K115" s="1307"/>
      <c r="L115" s="1307"/>
      <c r="M115" s="1307"/>
      <c r="N115" s="1307"/>
      <c r="O115" s="1318"/>
      <c r="P115" s="1308"/>
      <c r="Q115" s="1308"/>
      <c r="R115" s="1308"/>
      <c r="S115" s="1317" t="s">
        <v>137</v>
      </c>
      <c r="T115" s="1317">
        <v>7050</v>
      </c>
      <c r="U115" s="1308"/>
      <c r="V115" s="1308"/>
      <c r="W115" s="1308"/>
      <c r="X115" s="1308"/>
      <c r="Y115" s="1308"/>
      <c r="Z115" s="1308"/>
      <c r="AA115" s="1308"/>
    </row>
    <row r="116" spans="1:27" ht="16.5" thickTop="1" thickBot="1">
      <c r="A116" s="1290">
        <v>7100</v>
      </c>
      <c r="B116" s="1291" t="s">
        <v>138</v>
      </c>
      <c r="C116" s="1292">
        <f>SUMIFS('collpy (2)'!$F$11:$F$12047,'collpy (2)'!$C$11:$C$12047,Mychart!A116)</f>
        <v>0</v>
      </c>
      <c r="D116" s="1292">
        <f>SUMIFS('collpy (2)'!$G$11:$G$12047,'collpy (2)'!$C$11:$C$12047,Mychart!A116)</f>
        <v>0</v>
      </c>
      <c r="E116" s="1387">
        <f t="shared" si="2"/>
        <v>0</v>
      </c>
      <c r="F116" s="1299"/>
      <c r="G116" s="1309"/>
      <c r="H116" s="1306"/>
      <c r="I116" s="1307"/>
      <c r="J116" s="1307"/>
      <c r="K116" s="1307"/>
      <c r="L116" s="1307"/>
      <c r="M116" s="1307"/>
      <c r="N116" s="1307"/>
      <c r="O116" s="1318"/>
      <c r="P116" s="1308"/>
      <c r="Q116" s="1308"/>
      <c r="R116" s="1308"/>
      <c r="S116" s="1317" t="s">
        <v>138</v>
      </c>
      <c r="T116" s="1317">
        <v>7100</v>
      </c>
      <c r="U116" s="1308"/>
      <c r="V116" s="1308"/>
      <c r="W116" s="1308"/>
      <c r="X116" s="1308"/>
      <c r="Y116" s="1308"/>
      <c r="Z116" s="1308"/>
      <c r="AA116" s="1308"/>
    </row>
    <row r="117" spans="1:27" ht="16.5" thickTop="1" thickBot="1">
      <c r="A117" s="1290">
        <v>7150</v>
      </c>
      <c r="B117" s="1291" t="s">
        <v>139</v>
      </c>
      <c r="C117" s="1292">
        <f>SUMIFS('collpy (2)'!$F$11:$F$12047,'collpy (2)'!$C$11:$C$12047,Mychart!A117)</f>
        <v>0</v>
      </c>
      <c r="D117" s="1292">
        <f>SUMIFS('collpy (2)'!$G$11:$G$12047,'collpy (2)'!$C$11:$C$12047,Mychart!A117)</f>
        <v>0</v>
      </c>
      <c r="E117" s="1387">
        <f t="shared" si="2"/>
        <v>0</v>
      </c>
      <c r="F117" s="1299"/>
      <c r="G117" s="1309"/>
      <c r="H117" s="1306"/>
      <c r="I117" s="1307"/>
      <c r="J117" s="1307"/>
      <c r="K117" s="1307"/>
      <c r="L117" s="1307"/>
      <c r="M117" s="1307"/>
      <c r="N117" s="1307"/>
      <c r="O117" s="1318"/>
      <c r="P117" s="1308"/>
      <c r="Q117" s="1308"/>
      <c r="R117" s="1308"/>
      <c r="S117" s="1317" t="s">
        <v>139</v>
      </c>
      <c r="T117" s="1317">
        <v>7150</v>
      </c>
      <c r="U117" s="1308"/>
      <c r="V117" s="1308"/>
      <c r="W117" s="1308"/>
      <c r="X117" s="1308"/>
      <c r="Y117" s="1308"/>
      <c r="Z117" s="1308"/>
      <c r="AA117" s="1308"/>
    </row>
    <row r="118" spans="1:27" ht="16.5" thickTop="1" thickBot="1">
      <c r="A118" s="1290">
        <v>7200</v>
      </c>
      <c r="B118" s="1291" t="s">
        <v>140</v>
      </c>
      <c r="C118" s="1292">
        <f>SUMIFS('collpy (2)'!$F$11:$F$12047,'collpy (2)'!$C$11:$C$12047,Mychart!A118)</f>
        <v>1090.58</v>
      </c>
      <c r="D118" s="1292">
        <f>SUMIFS('collpy (2)'!$G$11:$G$12047,'collpy (2)'!$C$11:$C$12047,Mychart!A118)</f>
        <v>0</v>
      </c>
      <c r="E118" s="1387">
        <f t="shared" si="2"/>
        <v>1090.58</v>
      </c>
      <c r="F118" s="1299"/>
      <c r="G118" s="1309"/>
      <c r="H118" s="1306"/>
      <c r="I118" s="1307"/>
      <c r="J118" s="1307"/>
      <c r="K118" s="1307"/>
      <c r="L118" s="1307"/>
      <c r="M118" s="1307"/>
      <c r="N118" s="1307"/>
      <c r="O118" s="1318"/>
      <c r="P118" s="1308"/>
      <c r="Q118" s="1308"/>
      <c r="R118" s="1308"/>
      <c r="S118" s="1317" t="s">
        <v>140</v>
      </c>
      <c r="T118" s="1317">
        <v>7200</v>
      </c>
      <c r="U118" s="1308"/>
      <c r="V118" s="1308"/>
      <c r="W118" s="1308"/>
      <c r="X118" s="1308"/>
      <c r="Y118" s="1308"/>
      <c r="Z118" s="1308"/>
      <c r="AA118" s="1308"/>
    </row>
    <row r="119" spans="1:27" ht="16.5" thickTop="1" thickBot="1">
      <c r="A119" s="1290">
        <v>7250</v>
      </c>
      <c r="B119" s="1291" t="s">
        <v>141</v>
      </c>
      <c r="C119" s="1292">
        <f>SUMIFS('collpy (2)'!$F$11:$F$12047,'collpy (2)'!$C$11:$C$12047,Mychart!A119)</f>
        <v>0</v>
      </c>
      <c r="D119" s="1292">
        <f>SUMIFS('collpy (2)'!$G$11:$G$12047,'collpy (2)'!$C$11:$C$12047,Mychart!A119)</f>
        <v>0</v>
      </c>
      <c r="E119" s="1387">
        <f t="shared" si="2"/>
        <v>0</v>
      </c>
      <c r="F119" s="1299"/>
      <c r="G119" s="1309"/>
      <c r="H119" s="1306"/>
      <c r="I119" s="1307"/>
      <c r="J119" s="1307"/>
      <c r="K119" s="1307"/>
      <c r="L119" s="1307"/>
      <c r="M119" s="1307"/>
      <c r="N119" s="1307"/>
      <c r="O119" s="1318"/>
      <c r="P119" s="1308"/>
      <c r="Q119" s="1308"/>
      <c r="R119" s="1308"/>
      <c r="S119" s="1317" t="s">
        <v>141</v>
      </c>
      <c r="T119" s="1317">
        <v>7250</v>
      </c>
      <c r="U119" s="1308"/>
      <c r="V119" s="1308"/>
      <c r="W119" s="1308"/>
      <c r="X119" s="1308"/>
      <c r="Y119" s="1308"/>
      <c r="Z119" s="1308"/>
      <c r="AA119" s="1308"/>
    </row>
    <row r="120" spans="1:27" ht="16.5" thickTop="1" thickBot="1">
      <c r="A120" s="1290">
        <v>7300</v>
      </c>
      <c r="B120" s="1291" t="s">
        <v>142</v>
      </c>
      <c r="C120" s="1292">
        <f>SUMIFS('collpy (2)'!$F$11:$F$12047,'collpy (2)'!$C$11:$C$12047,Mychart!A120)</f>
        <v>35796.990000000005</v>
      </c>
      <c r="D120" s="1292">
        <f>SUMIFS('collpy (2)'!$G$11:$G$12047,'collpy (2)'!$C$11:$C$12047,Mychart!A120)</f>
        <v>0</v>
      </c>
      <c r="E120" s="1387">
        <f>C120-D120</f>
        <v>35796.990000000005</v>
      </c>
      <c r="F120" s="1299"/>
      <c r="G120" s="1309"/>
      <c r="H120" s="1306"/>
      <c r="I120" s="1307"/>
      <c r="J120" s="1307"/>
      <c r="K120" s="1307"/>
      <c r="L120" s="1307"/>
      <c r="M120" s="1307"/>
      <c r="N120" s="1307"/>
      <c r="O120" s="1318"/>
      <c r="P120" s="1308"/>
      <c r="Q120" s="1308"/>
      <c r="R120" s="1308"/>
      <c r="S120" s="1317" t="s">
        <v>142</v>
      </c>
      <c r="T120" s="1317">
        <v>7300</v>
      </c>
      <c r="U120" s="1308"/>
      <c r="V120" s="1308"/>
      <c r="W120" s="1308"/>
      <c r="X120" s="1308"/>
      <c r="Y120" s="1308"/>
      <c r="Z120" s="1308"/>
      <c r="AA120" s="1308"/>
    </row>
    <row r="121" spans="1:27" ht="16.5" thickTop="1" thickBot="1">
      <c r="A121" s="1290">
        <v>7350</v>
      </c>
      <c r="B121" s="1291" t="s">
        <v>143</v>
      </c>
      <c r="C121" s="1292">
        <f>SUMIFS('collpy (2)'!$F$11:$F$12047,'collpy (2)'!$C$11:$C$12047,Mychart!A121)</f>
        <v>0</v>
      </c>
      <c r="D121" s="1292">
        <f>SUMIFS('collpy (2)'!$G$11:$G$12047,'collpy (2)'!$C$11:$C$12047,Mychart!A121)</f>
        <v>0</v>
      </c>
      <c r="E121" s="1387">
        <f>C121-D121</f>
        <v>0</v>
      </c>
      <c r="F121" s="1299"/>
      <c r="G121" s="1309"/>
      <c r="H121" s="1306"/>
      <c r="I121" s="1307"/>
      <c r="J121" s="1307"/>
      <c r="K121" s="1307"/>
      <c r="L121" s="1307"/>
      <c r="M121" s="1307"/>
      <c r="N121" s="1307"/>
      <c r="O121" s="1318"/>
      <c r="P121" s="1308"/>
      <c r="Q121" s="1308"/>
      <c r="R121" s="1308"/>
      <c r="S121" s="1317" t="s">
        <v>143</v>
      </c>
      <c r="T121" s="1317">
        <v>7350</v>
      </c>
      <c r="U121" s="1308"/>
      <c r="V121" s="1308"/>
      <c r="W121" s="1308"/>
      <c r="X121" s="1308"/>
      <c r="Y121" s="1308"/>
      <c r="Z121" s="1308"/>
      <c r="AA121" s="1308"/>
    </row>
    <row r="122" spans="1:27" ht="16.5" thickTop="1" thickBot="1">
      <c r="A122" s="1290">
        <v>7400</v>
      </c>
      <c r="B122" s="1291" t="s">
        <v>144</v>
      </c>
      <c r="C122" s="1292">
        <f>SUMIFS('collpy (2)'!$F$11:$F$12047,'collpy (2)'!$C$11:$C$12047,Mychart!A122)</f>
        <v>0</v>
      </c>
      <c r="D122" s="1292">
        <f>SUMIFS('collpy (2)'!$G$11:$G$12047,'collpy (2)'!$C$11:$C$12047,Mychart!A122)</f>
        <v>0</v>
      </c>
      <c r="E122" s="1387">
        <f>C122-D122</f>
        <v>0</v>
      </c>
      <c r="F122" s="1299"/>
      <c r="G122" s="1309"/>
      <c r="H122" s="1306"/>
      <c r="I122" s="1307"/>
      <c r="J122" s="1307"/>
      <c r="K122" s="1307"/>
      <c r="L122" s="1307"/>
      <c r="M122" s="1307"/>
      <c r="N122" s="1307"/>
      <c r="O122" s="1318"/>
      <c r="P122" s="1308"/>
      <c r="Q122" s="1308"/>
      <c r="R122" s="1308"/>
      <c r="S122" s="1317" t="s">
        <v>144</v>
      </c>
      <c r="T122" s="1317">
        <v>7400</v>
      </c>
      <c r="U122" s="1308"/>
      <c r="V122" s="1308"/>
      <c r="W122" s="1308"/>
      <c r="X122" s="1308"/>
      <c r="Y122" s="1308"/>
      <c r="Z122" s="1308"/>
      <c r="AA122" s="1308"/>
    </row>
    <row r="123" spans="1:27" ht="15.75" thickTop="1">
      <c r="A123" s="43" t="s">
        <v>175</v>
      </c>
      <c r="B123" s="43" t="s">
        <v>175</v>
      </c>
      <c r="C123" s="43" t="s">
        <v>175</v>
      </c>
      <c r="D123" s="43" t="s">
        <v>175</v>
      </c>
      <c r="E123" s="43" t="s">
        <v>175</v>
      </c>
      <c r="F123" s="43" t="s">
        <v>175</v>
      </c>
      <c r="G123" s="43" t="s">
        <v>175</v>
      </c>
      <c r="H123" s="43" t="s">
        <v>175</v>
      </c>
      <c r="I123" s="43" t="s">
        <v>175</v>
      </c>
      <c r="J123" s="43" t="s">
        <v>175</v>
      </c>
      <c r="K123" s="43" t="s">
        <v>175</v>
      </c>
      <c r="L123" s="43" t="s">
        <v>175</v>
      </c>
      <c r="M123" s="43" t="s">
        <v>175</v>
      </c>
      <c r="N123" s="43" t="s">
        <v>175</v>
      </c>
      <c r="O123" s="43" t="s">
        <v>175</v>
      </c>
      <c r="P123" s="43" t="s">
        <v>175</v>
      </c>
      <c r="Q123" s="43" t="s">
        <v>175</v>
      </c>
      <c r="R123" s="43" t="s">
        <v>175</v>
      </c>
      <c r="S123" s="43" t="s">
        <v>175</v>
      </c>
      <c r="T123" s="43" t="s">
        <v>175</v>
      </c>
      <c r="U123" s="1314"/>
      <c r="V123" s="49"/>
      <c r="W123" s="49"/>
      <c r="X123" s="49"/>
      <c r="Y123" s="49"/>
      <c r="Z123" s="49"/>
      <c r="AA123" s="49"/>
    </row>
    <row r="124" spans="1:27" ht="25.5">
      <c r="A124" s="1349"/>
      <c r="B124" s="1350" t="s">
        <v>1905</v>
      </c>
      <c r="C124" s="1304"/>
      <c r="D124" s="1304"/>
      <c r="E124" s="1304"/>
      <c r="F124" s="1299"/>
      <c r="G124" s="1299"/>
      <c r="H124" s="1299"/>
      <c r="I124" s="1299"/>
      <c r="J124" s="1299"/>
      <c r="K124" s="1299"/>
      <c r="L124" s="1299"/>
      <c r="M124" s="1299"/>
      <c r="N124" s="1299"/>
      <c r="O124" s="1299"/>
      <c r="P124" s="1299"/>
      <c r="Q124" s="1299"/>
      <c r="R124" s="1299"/>
      <c r="S124" s="1299"/>
      <c r="T124" s="1299"/>
      <c r="U124" s="1299"/>
      <c r="V124" s="1299"/>
      <c r="W124" s="1299"/>
      <c r="X124" s="1299"/>
      <c r="Y124" s="1299"/>
      <c r="Z124" s="1299"/>
      <c r="AA124" s="1299"/>
    </row>
    <row r="125" spans="1:27">
      <c r="A125" s="1370">
        <v>1</v>
      </c>
      <c r="B125" s="1371" t="s">
        <v>1906</v>
      </c>
      <c r="C125" s="1366"/>
      <c r="D125" s="1366"/>
      <c r="E125" s="1367"/>
      <c r="F125" s="1299"/>
      <c r="G125" s="1309"/>
      <c r="H125" s="1306"/>
      <c r="I125" s="1307"/>
      <c r="J125" s="1307"/>
      <c r="K125" s="1307"/>
      <c r="L125" s="1307"/>
      <c r="M125" s="1307"/>
      <c r="N125" s="1307"/>
      <c r="O125" s="1308"/>
      <c r="P125" s="1308"/>
      <c r="Q125" s="1308"/>
      <c r="R125" s="1308"/>
      <c r="S125" s="1317"/>
      <c r="T125" s="1317" t="s">
        <v>1906</v>
      </c>
      <c r="U125" s="1308">
        <v>1</v>
      </c>
      <c r="V125" s="1308"/>
      <c r="W125" s="1308"/>
      <c r="X125" s="1308"/>
      <c r="Y125" s="1308"/>
      <c r="Z125" s="1308"/>
      <c r="AA125" s="1308"/>
    </row>
    <row r="126" spans="1:27">
      <c r="A126" s="1370">
        <v>2</v>
      </c>
      <c r="B126" s="1371" t="s">
        <v>1907</v>
      </c>
      <c r="C126" s="1366"/>
      <c r="D126" s="1366"/>
      <c r="E126" s="1367"/>
      <c r="F126" s="1299"/>
      <c r="G126" s="1309"/>
      <c r="H126" s="1306"/>
      <c r="I126" s="1307"/>
      <c r="J126" s="1307"/>
      <c r="K126" s="1307"/>
      <c r="L126" s="1307"/>
      <c r="M126" s="1307"/>
      <c r="N126" s="1307"/>
      <c r="O126" s="1308"/>
      <c r="P126" s="1308"/>
      <c r="Q126" s="1308"/>
      <c r="R126" s="1308"/>
      <c r="S126" s="1317"/>
      <c r="T126" s="1317" t="s">
        <v>1907</v>
      </c>
      <c r="U126" s="1308">
        <v>2</v>
      </c>
      <c r="V126" s="1308"/>
      <c r="W126" s="1308"/>
      <c r="X126" s="1308"/>
      <c r="Y126" s="1308"/>
      <c r="Z126" s="1308"/>
      <c r="AA126" s="1308"/>
    </row>
    <row r="127" spans="1:27">
      <c r="A127" s="1370">
        <v>3</v>
      </c>
      <c r="B127" s="1371" t="s">
        <v>1908</v>
      </c>
      <c r="C127" s="1366"/>
      <c r="D127" s="1366"/>
      <c r="E127" s="1367"/>
      <c r="F127" s="1299"/>
      <c r="G127" s="1309"/>
      <c r="H127" s="1306"/>
      <c r="I127" s="1307"/>
      <c r="J127" s="1307"/>
      <c r="K127" s="1307"/>
      <c r="L127" s="1307"/>
      <c r="M127" s="1307"/>
      <c r="N127" s="1307"/>
      <c r="O127" s="1308"/>
      <c r="P127" s="1308"/>
      <c r="Q127" s="1308"/>
      <c r="R127" s="1308"/>
      <c r="S127" s="1317"/>
      <c r="T127" s="1317" t="s">
        <v>1908</v>
      </c>
      <c r="U127" s="1308">
        <v>3</v>
      </c>
      <c r="V127" s="1308"/>
      <c r="W127" s="1308"/>
      <c r="X127" s="1308"/>
      <c r="Y127" s="1308"/>
      <c r="Z127" s="1308"/>
      <c r="AA127" s="1308"/>
    </row>
    <row r="128" spans="1:27">
      <c r="A128" s="1370">
        <v>4</v>
      </c>
      <c r="B128" s="1371" t="s">
        <v>1909</v>
      </c>
      <c r="C128" s="1366"/>
      <c r="D128" s="1366"/>
      <c r="E128" s="1367"/>
      <c r="F128" s="1299"/>
      <c r="G128" s="1309"/>
      <c r="H128" s="1306"/>
      <c r="I128" s="1307"/>
      <c r="J128" s="1307"/>
      <c r="K128" s="1307"/>
      <c r="L128" s="1307"/>
      <c r="M128" s="1307"/>
      <c r="N128" s="1307"/>
      <c r="O128" s="1308"/>
      <c r="P128" s="1308"/>
      <c r="Q128" s="1308"/>
      <c r="R128" s="1308"/>
      <c r="S128" s="1317"/>
      <c r="T128" s="1317" t="s">
        <v>1909</v>
      </c>
      <c r="U128" s="1308">
        <v>4</v>
      </c>
      <c r="V128" s="1308"/>
      <c r="W128" s="1308"/>
      <c r="X128" s="1308"/>
      <c r="Y128" s="1308"/>
      <c r="Z128" s="1308"/>
      <c r="AA128" s="1308"/>
    </row>
    <row r="129" spans="1:27">
      <c r="A129" s="1370">
        <v>5</v>
      </c>
      <c r="B129" s="1371" t="s">
        <v>1910</v>
      </c>
      <c r="C129" s="1366"/>
      <c r="D129" s="1366"/>
      <c r="E129" s="1367"/>
      <c r="F129" s="1299"/>
      <c r="G129" s="1309"/>
      <c r="H129" s="1306"/>
      <c r="I129" s="1307"/>
      <c r="J129" s="1307"/>
      <c r="K129" s="1307"/>
      <c r="L129" s="1307"/>
      <c r="M129" s="1307"/>
      <c r="N129" s="1307"/>
      <c r="O129" s="1308"/>
      <c r="P129" s="1308"/>
      <c r="Q129" s="1308"/>
      <c r="R129" s="1308"/>
      <c r="S129" s="1317"/>
      <c r="T129" s="1317" t="s">
        <v>1910</v>
      </c>
      <c r="U129" s="1308">
        <v>5</v>
      </c>
      <c r="V129" s="1308"/>
      <c r="W129" s="1308"/>
      <c r="X129" s="1308"/>
      <c r="Y129" s="1308"/>
      <c r="Z129" s="1308"/>
      <c r="AA129" s="1308"/>
    </row>
    <row r="130" spans="1:27">
      <c r="A130" s="1370">
        <v>6</v>
      </c>
      <c r="B130" s="1371" t="s">
        <v>1911</v>
      </c>
      <c r="C130" s="1366"/>
      <c r="D130" s="1366"/>
      <c r="E130" s="1367"/>
      <c r="F130" s="1299"/>
      <c r="G130" s="1309"/>
      <c r="H130" s="1306"/>
      <c r="I130" s="1307"/>
      <c r="J130" s="1307"/>
      <c r="K130" s="1307"/>
      <c r="L130" s="1307"/>
      <c r="M130" s="1307"/>
      <c r="N130" s="1307"/>
      <c r="O130" s="1308"/>
      <c r="P130" s="1308"/>
      <c r="Q130" s="1308"/>
      <c r="R130" s="1308"/>
      <c r="S130" s="1317"/>
      <c r="T130" s="1317" t="s">
        <v>1911</v>
      </c>
      <c r="U130" s="1308">
        <v>6</v>
      </c>
      <c r="V130" s="1308"/>
      <c r="W130" s="1308"/>
      <c r="X130" s="1308"/>
      <c r="Y130" s="1308"/>
      <c r="Z130" s="1308"/>
      <c r="AA130" s="1308"/>
    </row>
    <row r="131" spans="1:27">
      <c r="A131" s="1370">
        <v>7</v>
      </c>
      <c r="B131" s="1371" t="s">
        <v>1912</v>
      </c>
      <c r="C131" s="1366"/>
      <c r="D131" s="1366"/>
      <c r="E131" s="1367"/>
      <c r="F131" s="1299"/>
      <c r="G131" s="1309"/>
      <c r="H131" s="1306"/>
      <c r="I131" s="1307"/>
      <c r="J131" s="1307"/>
      <c r="K131" s="1307"/>
      <c r="L131" s="1307"/>
      <c r="M131" s="1307"/>
      <c r="N131" s="1307"/>
      <c r="O131" s="1308"/>
      <c r="P131" s="1308"/>
      <c r="Q131" s="1308"/>
      <c r="R131" s="1308"/>
      <c r="S131" s="1317"/>
      <c r="T131" s="1317" t="s">
        <v>1912</v>
      </c>
      <c r="U131" s="1308">
        <v>7</v>
      </c>
      <c r="V131" s="1308"/>
      <c r="W131" s="1308"/>
      <c r="X131" s="1308"/>
      <c r="Y131" s="1308"/>
      <c r="Z131" s="1308"/>
      <c r="AA131" s="1308"/>
    </row>
    <row r="132" spans="1:27">
      <c r="A132" s="1370">
        <v>8</v>
      </c>
      <c r="B132" s="1371" t="s">
        <v>1913</v>
      </c>
      <c r="C132" s="1366"/>
      <c r="D132" s="1366"/>
      <c r="E132" s="1367"/>
      <c r="F132" s="1299"/>
      <c r="G132" s="1309"/>
      <c r="H132" s="1306"/>
      <c r="I132" s="1307"/>
      <c r="J132" s="1307"/>
      <c r="K132" s="1307"/>
      <c r="L132" s="1307"/>
      <c r="M132" s="1307"/>
      <c r="N132" s="1307"/>
      <c r="O132" s="1308"/>
      <c r="P132" s="1308"/>
      <c r="Q132" s="1308"/>
      <c r="R132" s="1308"/>
      <c r="S132" s="1317"/>
      <c r="T132" s="1317" t="s">
        <v>1913</v>
      </c>
      <c r="U132" s="1308">
        <v>8</v>
      </c>
      <c r="V132" s="1308"/>
      <c r="W132" s="1308"/>
      <c r="X132" s="1308"/>
      <c r="Y132" s="1308"/>
      <c r="Z132" s="1308"/>
      <c r="AA132" s="1308"/>
    </row>
    <row r="133" spans="1:27">
      <c r="A133" s="1370">
        <v>9</v>
      </c>
      <c r="B133" s="1371" t="s">
        <v>1914</v>
      </c>
      <c r="C133" s="1366"/>
      <c r="D133" s="1366"/>
      <c r="E133" s="1367"/>
      <c r="F133" s="1299"/>
      <c r="G133" s="1309"/>
      <c r="H133" s="1306"/>
      <c r="I133" s="1307"/>
      <c r="J133" s="1307"/>
      <c r="K133" s="1307"/>
      <c r="L133" s="1307"/>
      <c r="M133" s="1307"/>
      <c r="N133" s="1307"/>
      <c r="O133" s="1308"/>
      <c r="P133" s="1308"/>
      <c r="Q133" s="1308"/>
      <c r="R133" s="1308"/>
      <c r="S133" s="1317"/>
      <c r="T133" s="1317" t="s">
        <v>1914</v>
      </c>
      <c r="U133" s="1308">
        <v>9</v>
      </c>
      <c r="V133" s="1308"/>
      <c r="W133" s="1308"/>
      <c r="X133" s="1308"/>
      <c r="Y133" s="1308"/>
      <c r="Z133" s="1308"/>
      <c r="AA133" s="1308"/>
    </row>
    <row r="134" spans="1:27">
      <c r="A134" s="1370">
        <v>10</v>
      </c>
      <c r="B134" s="1371" t="s">
        <v>1915</v>
      </c>
      <c r="C134" s="1366"/>
      <c r="D134" s="1366"/>
      <c r="E134" s="1367"/>
      <c r="F134" s="1299"/>
      <c r="G134" s="1309"/>
      <c r="H134" s="1306"/>
      <c r="I134" s="1307"/>
      <c r="J134" s="1307"/>
      <c r="K134" s="1307"/>
      <c r="L134" s="1307"/>
      <c r="M134" s="1307"/>
      <c r="N134" s="1307"/>
      <c r="O134" s="1308"/>
      <c r="P134" s="1308"/>
      <c r="Q134" s="1308"/>
      <c r="R134" s="1308"/>
      <c r="S134" s="1317"/>
      <c r="T134" s="1317" t="s">
        <v>1915</v>
      </c>
      <c r="U134" s="1308">
        <v>10</v>
      </c>
      <c r="V134" s="1308"/>
      <c r="W134" s="1308"/>
      <c r="X134" s="1308"/>
      <c r="Y134" s="1308"/>
      <c r="Z134" s="1308"/>
      <c r="AA134" s="1308"/>
    </row>
    <row r="135" spans="1:27">
      <c r="A135" s="1370">
        <v>11</v>
      </c>
      <c r="B135" s="1371" t="s">
        <v>1916</v>
      </c>
      <c r="C135" s="1366"/>
      <c r="D135" s="1366"/>
      <c r="E135" s="1367"/>
      <c r="F135" s="1299"/>
      <c r="G135" s="1309"/>
      <c r="H135" s="1306"/>
      <c r="I135" s="1307"/>
      <c r="J135" s="1307"/>
      <c r="K135" s="1307"/>
      <c r="L135" s="1307"/>
      <c r="M135" s="1307"/>
      <c r="N135" s="1307"/>
      <c r="O135" s="1308"/>
      <c r="P135" s="1308"/>
      <c r="Q135" s="1308"/>
      <c r="R135" s="1308"/>
      <c r="S135" s="1317"/>
      <c r="T135" s="1317" t="s">
        <v>1916</v>
      </c>
      <c r="U135" s="1308">
        <v>11</v>
      </c>
      <c r="V135" s="1308"/>
      <c r="W135" s="1308"/>
      <c r="X135" s="1308"/>
      <c r="Y135" s="1308"/>
      <c r="Z135" s="1308"/>
      <c r="AA135" s="1308"/>
    </row>
    <row r="136" spans="1:27">
      <c r="A136" s="1370">
        <v>13</v>
      </c>
      <c r="B136" s="1371" t="s">
        <v>1917</v>
      </c>
      <c r="C136" s="1366"/>
      <c r="D136" s="1366"/>
      <c r="E136" s="1367"/>
      <c r="F136" s="1299"/>
      <c r="G136" s="1309"/>
      <c r="H136" s="1306"/>
      <c r="I136" s="1307"/>
      <c r="J136" s="1307"/>
      <c r="K136" s="1307"/>
      <c r="L136" s="1307"/>
      <c r="M136" s="1307"/>
      <c r="N136" s="1307"/>
      <c r="O136" s="1308"/>
      <c r="P136" s="1308"/>
      <c r="Q136" s="1308"/>
      <c r="R136" s="1308"/>
      <c r="S136" s="1317"/>
      <c r="T136" s="1317" t="s">
        <v>1917</v>
      </c>
      <c r="U136" s="1308">
        <v>13</v>
      </c>
      <c r="V136" s="1308"/>
      <c r="W136" s="1308"/>
      <c r="X136" s="1308"/>
      <c r="Y136" s="1308"/>
      <c r="Z136" s="1308"/>
      <c r="AA136" s="1308"/>
    </row>
    <row r="137" spans="1:27">
      <c r="A137" s="1370">
        <v>14</v>
      </c>
      <c r="B137" s="1371" t="s">
        <v>1918</v>
      </c>
      <c r="C137" s="1366"/>
      <c r="D137" s="1366"/>
      <c r="E137" s="1367"/>
      <c r="F137" s="1299"/>
      <c r="G137" s="1309"/>
      <c r="H137" s="1306"/>
      <c r="I137" s="1307"/>
      <c r="J137" s="1307"/>
      <c r="K137" s="1307"/>
      <c r="L137" s="1307"/>
      <c r="M137" s="1307"/>
      <c r="N137" s="1307"/>
      <c r="O137" s="1308"/>
      <c r="P137" s="1308"/>
      <c r="Q137" s="1308"/>
      <c r="R137" s="1308"/>
      <c r="S137" s="1317"/>
      <c r="T137" s="1317" t="s">
        <v>1918</v>
      </c>
      <c r="U137" s="1308">
        <v>14</v>
      </c>
      <c r="V137" s="1308"/>
      <c r="W137" s="1308"/>
      <c r="X137" s="1308"/>
      <c r="Y137" s="1308"/>
      <c r="Z137" s="1308"/>
      <c r="AA137" s="1308"/>
    </row>
    <row r="138" spans="1:27">
      <c r="A138" s="1370">
        <v>15</v>
      </c>
      <c r="B138" s="1371" t="s">
        <v>1919</v>
      </c>
      <c r="C138" s="1366"/>
      <c r="D138" s="1366"/>
      <c r="E138" s="1367"/>
      <c r="F138" s="1299"/>
      <c r="G138" s="1309"/>
      <c r="H138" s="1306"/>
      <c r="I138" s="1307"/>
      <c r="J138" s="1307"/>
      <c r="K138" s="1307"/>
      <c r="L138" s="1307"/>
      <c r="M138" s="1307"/>
      <c r="N138" s="1307"/>
      <c r="O138" s="1308"/>
      <c r="P138" s="1308"/>
      <c r="Q138" s="1308"/>
      <c r="R138" s="1308"/>
      <c r="S138" s="1317"/>
      <c r="T138" s="1317" t="s">
        <v>1919</v>
      </c>
      <c r="U138" s="1308">
        <v>15</v>
      </c>
      <c r="V138" s="1308"/>
      <c r="W138" s="1308"/>
      <c r="X138" s="1308"/>
      <c r="Y138" s="1308"/>
      <c r="Z138" s="1308"/>
      <c r="AA138" s="1308"/>
    </row>
    <row r="139" spans="1:27">
      <c r="A139" s="1370">
        <v>16</v>
      </c>
      <c r="B139" s="1371" t="s">
        <v>1920</v>
      </c>
      <c r="C139" s="1366"/>
      <c r="D139" s="1366"/>
      <c r="E139" s="1367"/>
      <c r="F139" s="1299"/>
      <c r="G139" s="1309"/>
      <c r="H139" s="1306"/>
      <c r="I139" s="1307"/>
      <c r="J139" s="1307"/>
      <c r="K139" s="1307"/>
      <c r="L139" s="1307"/>
      <c r="M139" s="1307"/>
      <c r="N139" s="1307"/>
      <c r="O139" s="1308"/>
      <c r="P139" s="1308"/>
      <c r="Q139" s="1308"/>
      <c r="R139" s="1308"/>
      <c r="S139" s="1317"/>
      <c r="T139" s="1317" t="s">
        <v>1920</v>
      </c>
      <c r="U139" s="1308">
        <v>16</v>
      </c>
      <c r="V139" s="1308"/>
      <c r="W139" s="1308"/>
      <c r="X139" s="1308"/>
      <c r="Y139" s="1308"/>
      <c r="Z139" s="1308"/>
      <c r="AA139" s="1308"/>
    </row>
    <row r="140" spans="1:27">
      <c r="A140" s="1370">
        <v>17</v>
      </c>
      <c r="B140" s="1371" t="s">
        <v>1921</v>
      </c>
      <c r="C140" s="1366"/>
      <c r="D140" s="1366"/>
      <c r="E140" s="1367"/>
      <c r="F140" s="1299"/>
      <c r="G140" s="1309"/>
      <c r="H140" s="1306"/>
      <c r="I140" s="1307"/>
      <c r="J140" s="1307"/>
      <c r="K140" s="1307"/>
      <c r="L140" s="1307"/>
      <c r="M140" s="1307"/>
      <c r="N140" s="1307"/>
      <c r="O140" s="1308"/>
      <c r="P140" s="1308"/>
      <c r="Q140" s="1308"/>
      <c r="R140" s="1308"/>
      <c r="S140" s="1317"/>
      <c r="T140" s="1317" t="s">
        <v>1921</v>
      </c>
      <c r="U140" s="1308">
        <v>17</v>
      </c>
      <c r="V140" s="1308"/>
      <c r="W140" s="1308"/>
      <c r="X140" s="1308"/>
      <c r="Y140" s="1308"/>
      <c r="Z140" s="1308"/>
      <c r="AA140" s="1308"/>
    </row>
    <row r="141" spans="1:27">
      <c r="A141" s="1370">
        <v>18</v>
      </c>
      <c r="B141" s="1371" t="s">
        <v>1922</v>
      </c>
      <c r="C141" s="1366"/>
      <c r="D141" s="1366"/>
      <c r="E141" s="1367"/>
      <c r="F141" s="1299"/>
      <c r="G141" s="1309"/>
      <c r="H141" s="1306"/>
      <c r="I141" s="1307"/>
      <c r="J141" s="1307"/>
      <c r="K141" s="1307"/>
      <c r="L141" s="1307"/>
      <c r="M141" s="1307"/>
      <c r="N141" s="1307"/>
      <c r="O141" s="1308"/>
      <c r="P141" s="1308"/>
      <c r="Q141" s="1308"/>
      <c r="R141" s="1308"/>
      <c r="S141" s="1317"/>
      <c r="T141" s="1317" t="s">
        <v>1922</v>
      </c>
      <c r="U141" s="1308">
        <v>18</v>
      </c>
      <c r="V141" s="1308"/>
      <c r="W141" s="1308"/>
      <c r="X141" s="1308"/>
      <c r="Y141" s="1308"/>
      <c r="Z141" s="1308"/>
      <c r="AA141" s="1308"/>
    </row>
    <row r="142" spans="1:27">
      <c r="A142" s="1370">
        <v>19</v>
      </c>
      <c r="B142" s="1371" t="s">
        <v>1923</v>
      </c>
      <c r="C142" s="1366"/>
      <c r="D142" s="1366"/>
      <c r="E142" s="1367"/>
      <c r="F142" s="1299"/>
      <c r="G142" s="1309"/>
      <c r="H142" s="1306"/>
      <c r="I142" s="1307"/>
      <c r="J142" s="1307"/>
      <c r="K142" s="1307"/>
      <c r="L142" s="1307"/>
      <c r="M142" s="1307"/>
      <c r="N142" s="1307"/>
      <c r="O142" s="1308"/>
      <c r="P142" s="1308"/>
      <c r="Q142" s="1308"/>
      <c r="R142" s="1308"/>
      <c r="S142" s="1317"/>
      <c r="T142" s="1317" t="s">
        <v>1923</v>
      </c>
      <c r="U142" s="1308">
        <v>19</v>
      </c>
      <c r="V142" s="1308"/>
      <c r="W142" s="1308"/>
      <c r="X142" s="1308"/>
      <c r="Y142" s="1308"/>
      <c r="Z142" s="1308"/>
      <c r="AA142" s="1308"/>
    </row>
    <row r="143" spans="1:27">
      <c r="A143" s="1370">
        <v>20</v>
      </c>
      <c r="B143" s="1371" t="s">
        <v>1924</v>
      </c>
      <c r="C143" s="1366"/>
      <c r="D143" s="1366"/>
      <c r="E143" s="1367"/>
      <c r="F143" s="1299"/>
      <c r="G143" s="1309"/>
      <c r="H143" s="1306"/>
      <c r="I143" s="1307"/>
      <c r="J143" s="1307"/>
      <c r="K143" s="1307"/>
      <c r="L143" s="1307"/>
      <c r="M143" s="1307"/>
      <c r="N143" s="1307"/>
      <c r="O143" s="1308"/>
      <c r="P143" s="1308"/>
      <c r="Q143" s="1308"/>
      <c r="R143" s="1308"/>
      <c r="S143" s="1317"/>
      <c r="T143" s="1317" t="s">
        <v>1924</v>
      </c>
      <c r="U143" s="1308">
        <v>20</v>
      </c>
      <c r="V143" s="1308"/>
      <c r="W143" s="1308"/>
      <c r="X143" s="1308"/>
      <c r="Y143" s="1308"/>
      <c r="Z143" s="1308"/>
      <c r="AA143" s="1308"/>
    </row>
    <row r="144" spans="1:27">
      <c r="A144" s="1370">
        <v>21</v>
      </c>
      <c r="B144" s="1371" t="s">
        <v>1925</v>
      </c>
      <c r="C144" s="1366"/>
      <c r="D144" s="1366"/>
      <c r="E144" s="1367"/>
      <c r="F144" s="1299"/>
      <c r="G144" s="1309"/>
      <c r="H144" s="1306"/>
      <c r="I144" s="1307"/>
      <c r="J144" s="1307"/>
      <c r="K144" s="1307"/>
      <c r="L144" s="1307"/>
      <c r="M144" s="1307"/>
      <c r="N144" s="1307"/>
      <c r="O144" s="1308"/>
      <c r="P144" s="1308"/>
      <c r="Q144" s="1308"/>
      <c r="R144" s="1308"/>
      <c r="S144" s="1317"/>
      <c r="T144" s="1317" t="s">
        <v>1925</v>
      </c>
      <c r="U144" s="1308">
        <v>21</v>
      </c>
      <c r="V144" s="1308"/>
      <c r="W144" s="1308"/>
      <c r="X144" s="1308"/>
      <c r="Y144" s="1308"/>
      <c r="Z144" s="1308"/>
      <c r="AA144" s="1308"/>
    </row>
    <row r="145" spans="1:27">
      <c r="A145" s="1370">
        <v>22</v>
      </c>
      <c r="B145" s="1371" t="s">
        <v>1926</v>
      </c>
      <c r="C145" s="1366"/>
      <c r="D145" s="1366"/>
      <c r="E145" s="1367"/>
      <c r="F145" s="1299"/>
      <c r="G145" s="1309"/>
      <c r="H145" s="1306"/>
      <c r="I145" s="1307"/>
      <c r="J145" s="1307"/>
      <c r="K145" s="1307"/>
      <c r="L145" s="1307"/>
      <c r="M145" s="1307"/>
      <c r="N145" s="1307"/>
      <c r="O145" s="1308"/>
      <c r="P145" s="1308"/>
      <c r="Q145" s="1308"/>
      <c r="R145" s="1308"/>
      <c r="S145" s="1317"/>
      <c r="T145" s="1317" t="s">
        <v>1926</v>
      </c>
      <c r="U145" s="1308">
        <v>22</v>
      </c>
      <c r="V145" s="1308"/>
      <c r="W145" s="1308"/>
      <c r="X145" s="1308"/>
      <c r="Y145" s="1308"/>
      <c r="Z145" s="1308"/>
      <c r="AA145" s="1308"/>
    </row>
    <row r="146" spans="1:27">
      <c r="A146" s="1370">
        <v>23</v>
      </c>
      <c r="B146" s="1371" t="s">
        <v>1927</v>
      </c>
      <c r="C146" s="1366"/>
      <c r="D146" s="1366"/>
      <c r="E146" s="1367"/>
      <c r="F146" s="1299"/>
      <c r="G146" s="1309"/>
      <c r="H146" s="1306"/>
      <c r="I146" s="1307"/>
      <c r="J146" s="1307"/>
      <c r="K146" s="1307"/>
      <c r="L146" s="1307"/>
      <c r="M146" s="1307"/>
      <c r="N146" s="1307"/>
      <c r="O146" s="1308"/>
      <c r="P146" s="1308"/>
      <c r="Q146" s="1308"/>
      <c r="R146" s="1308"/>
      <c r="S146" s="1317"/>
      <c r="T146" s="1317" t="s">
        <v>1927</v>
      </c>
      <c r="U146" s="1308">
        <v>23</v>
      </c>
      <c r="V146" s="1308"/>
      <c r="W146" s="1308"/>
      <c r="X146" s="1308"/>
      <c r="Y146" s="1308"/>
      <c r="Z146" s="1308"/>
      <c r="AA146" s="1308"/>
    </row>
    <row r="147" spans="1:27">
      <c r="A147" s="1370">
        <v>24</v>
      </c>
      <c r="B147" s="1371" t="s">
        <v>1928</v>
      </c>
      <c r="C147" s="1366"/>
      <c r="D147" s="1366"/>
      <c r="E147" s="1367"/>
      <c r="F147" s="1299"/>
      <c r="G147" s="1309"/>
      <c r="H147" s="1306"/>
      <c r="I147" s="1307"/>
      <c r="J147" s="1307"/>
      <c r="K147" s="1307"/>
      <c r="L147" s="1307"/>
      <c r="M147" s="1307"/>
      <c r="N147" s="1307"/>
      <c r="O147" s="1308"/>
      <c r="P147" s="1308"/>
      <c r="Q147" s="1308"/>
      <c r="R147" s="1308"/>
      <c r="S147" s="1317"/>
      <c r="T147" s="1317" t="s">
        <v>1928</v>
      </c>
      <c r="U147" s="1308">
        <v>24</v>
      </c>
      <c r="V147" s="1308"/>
      <c r="W147" s="1308"/>
      <c r="X147" s="1308"/>
      <c r="Y147" s="1308"/>
      <c r="Z147" s="1308"/>
      <c r="AA147" s="1308"/>
    </row>
    <row r="148" spans="1:27">
      <c r="A148" s="1370">
        <v>25</v>
      </c>
      <c r="B148" s="1371" t="s">
        <v>1929</v>
      </c>
      <c r="C148" s="1366"/>
      <c r="D148" s="1366"/>
      <c r="E148" s="1367"/>
      <c r="F148" s="1299"/>
      <c r="G148" s="1309"/>
      <c r="H148" s="1306"/>
      <c r="I148" s="1307"/>
      <c r="J148" s="1307"/>
      <c r="K148" s="1307"/>
      <c r="L148" s="1307"/>
      <c r="M148" s="1307"/>
      <c r="N148" s="1307"/>
      <c r="O148" s="1308"/>
      <c r="P148" s="1308"/>
      <c r="Q148" s="1308"/>
      <c r="R148" s="1308"/>
      <c r="S148" s="1317"/>
      <c r="T148" s="1317" t="s">
        <v>1929</v>
      </c>
      <c r="U148" s="1308">
        <v>25</v>
      </c>
      <c r="V148" s="1308"/>
      <c r="W148" s="1308"/>
      <c r="X148" s="1308"/>
      <c r="Y148" s="1308"/>
      <c r="Z148" s="1308"/>
      <c r="AA148" s="1308"/>
    </row>
    <row r="149" spans="1:27">
      <c r="A149" s="1370">
        <v>26</v>
      </c>
      <c r="B149" s="1371" t="s">
        <v>1930</v>
      </c>
      <c r="C149" s="1366"/>
      <c r="D149" s="1366"/>
      <c r="E149" s="1367"/>
      <c r="F149" s="1299"/>
      <c r="G149" s="1309"/>
      <c r="H149" s="1306"/>
      <c r="I149" s="1307"/>
      <c r="J149" s="1307"/>
      <c r="K149" s="1307"/>
      <c r="L149" s="1307"/>
      <c r="M149" s="1307"/>
      <c r="N149" s="1307"/>
      <c r="O149" s="1308"/>
      <c r="P149" s="1308"/>
      <c r="Q149" s="1308"/>
      <c r="R149" s="1308"/>
      <c r="S149" s="1317"/>
      <c r="T149" s="1317" t="s">
        <v>1930</v>
      </c>
      <c r="U149" s="1308">
        <v>26</v>
      </c>
      <c r="V149" s="1308"/>
      <c r="W149" s="1308"/>
      <c r="X149" s="1308"/>
      <c r="Y149" s="1308"/>
      <c r="Z149" s="1308"/>
      <c r="AA149" s="1308"/>
    </row>
    <row r="150" spans="1:27">
      <c r="A150" s="1370">
        <v>27</v>
      </c>
      <c r="B150" s="1371" t="s">
        <v>1931</v>
      </c>
      <c r="C150" s="1366"/>
      <c r="D150" s="1366"/>
      <c r="E150" s="1367"/>
      <c r="F150" s="1299"/>
      <c r="G150" s="1309"/>
      <c r="H150" s="1306"/>
      <c r="I150" s="1307"/>
      <c r="J150" s="1307"/>
      <c r="K150" s="1307"/>
      <c r="L150" s="1307"/>
      <c r="M150" s="1307"/>
      <c r="N150" s="1307"/>
      <c r="O150" s="1308"/>
      <c r="P150" s="1308"/>
      <c r="Q150" s="1308"/>
      <c r="R150" s="1308"/>
      <c r="S150" s="1317"/>
      <c r="T150" s="1317" t="s">
        <v>1931</v>
      </c>
      <c r="U150" s="1308">
        <v>27</v>
      </c>
      <c r="V150" s="1308"/>
      <c r="W150" s="1308"/>
      <c r="X150" s="1308"/>
      <c r="Y150" s="1308"/>
      <c r="Z150" s="1308"/>
      <c r="AA150" s="1308"/>
    </row>
    <row r="151" spans="1:27">
      <c r="A151" s="1370">
        <v>28</v>
      </c>
      <c r="B151" s="1371" t="s">
        <v>1932</v>
      </c>
      <c r="C151" s="1366"/>
      <c r="D151" s="1366"/>
      <c r="E151" s="1367"/>
      <c r="F151" s="1299"/>
      <c r="G151" s="1309"/>
      <c r="H151" s="1306"/>
      <c r="I151" s="1307"/>
      <c r="J151" s="1307"/>
      <c r="K151" s="1307"/>
      <c r="L151" s="1307"/>
      <c r="M151" s="1307"/>
      <c r="N151" s="1307"/>
      <c r="O151" s="1308"/>
      <c r="P151" s="1308"/>
      <c r="Q151" s="1308"/>
      <c r="R151" s="1308"/>
      <c r="S151" s="1317"/>
      <c r="T151" s="1317" t="s">
        <v>1932</v>
      </c>
      <c r="U151" s="1308">
        <v>28</v>
      </c>
      <c r="V151" s="1308"/>
      <c r="W151" s="1308"/>
      <c r="X151" s="1308"/>
      <c r="Y151" s="1308"/>
      <c r="Z151" s="1308"/>
      <c r="AA151" s="1308"/>
    </row>
    <row r="152" spans="1:27">
      <c r="A152" s="1370">
        <v>29</v>
      </c>
      <c r="B152" s="1371" t="s">
        <v>1933</v>
      </c>
      <c r="C152" s="1366"/>
      <c r="D152" s="1366"/>
      <c r="E152" s="1367"/>
      <c r="F152" s="1299"/>
      <c r="G152" s="1309"/>
      <c r="H152" s="1306"/>
      <c r="I152" s="1307"/>
      <c r="J152" s="1307"/>
      <c r="K152" s="1307"/>
      <c r="L152" s="1307"/>
      <c r="M152" s="1307"/>
      <c r="N152" s="1307"/>
      <c r="O152" s="1308"/>
      <c r="P152" s="1308"/>
      <c r="Q152" s="1308"/>
      <c r="R152" s="1308"/>
      <c r="S152" s="1317"/>
      <c r="T152" s="1317" t="s">
        <v>1933</v>
      </c>
      <c r="U152" s="1308">
        <v>29</v>
      </c>
      <c r="V152" s="1308"/>
      <c r="W152" s="1308"/>
      <c r="X152" s="1308"/>
      <c r="Y152" s="1308"/>
      <c r="Z152" s="1308"/>
      <c r="AA152" s="1308"/>
    </row>
    <row r="153" spans="1:27">
      <c r="A153" s="1370">
        <v>30</v>
      </c>
      <c r="B153" s="1371" t="s">
        <v>1934</v>
      </c>
      <c r="C153" s="1366"/>
      <c r="D153" s="1366"/>
      <c r="E153" s="1367"/>
      <c r="F153" s="1299"/>
      <c r="G153" s="1309"/>
      <c r="H153" s="1306"/>
      <c r="I153" s="1307"/>
      <c r="J153" s="1307"/>
      <c r="K153" s="1307"/>
      <c r="L153" s="1307"/>
      <c r="M153" s="1307"/>
      <c r="N153" s="1307"/>
      <c r="O153" s="1308"/>
      <c r="P153" s="1308"/>
      <c r="Q153" s="1308"/>
      <c r="R153" s="1308"/>
      <c r="S153" s="1317"/>
      <c r="T153" s="1317" t="s">
        <v>1934</v>
      </c>
      <c r="U153" s="1308">
        <v>30</v>
      </c>
      <c r="V153" s="1308"/>
      <c r="W153" s="1308"/>
      <c r="X153" s="1308"/>
      <c r="Y153" s="1308"/>
      <c r="Z153" s="1308"/>
      <c r="AA153" s="1308"/>
    </row>
    <row r="154" spans="1:27">
      <c r="A154" s="1370">
        <v>31</v>
      </c>
      <c r="B154" s="1371" t="s">
        <v>1935</v>
      </c>
      <c r="C154" s="1366"/>
      <c r="D154" s="1366"/>
      <c r="E154" s="1367"/>
      <c r="F154" s="1299"/>
      <c r="G154" s="1309"/>
      <c r="H154" s="1306"/>
      <c r="I154" s="1307"/>
      <c r="J154" s="1307"/>
      <c r="K154" s="1307"/>
      <c r="L154" s="1307"/>
      <c r="M154" s="1307"/>
      <c r="N154" s="1307"/>
      <c r="O154" s="1308"/>
      <c r="P154" s="1308"/>
      <c r="Q154" s="1308"/>
      <c r="R154" s="1308"/>
      <c r="S154" s="1317"/>
      <c r="T154" s="1317" t="s">
        <v>1935</v>
      </c>
      <c r="U154" s="1308">
        <v>31</v>
      </c>
      <c r="V154" s="1308"/>
      <c r="W154" s="1308"/>
      <c r="X154" s="1308"/>
      <c r="Y154" s="1308"/>
      <c r="Z154" s="1308"/>
      <c r="AA154" s="1308"/>
    </row>
    <row r="155" spans="1:27">
      <c r="A155" s="1370">
        <v>32</v>
      </c>
      <c r="B155" s="1371" t="s">
        <v>1936</v>
      </c>
      <c r="C155" s="1366"/>
      <c r="D155" s="1366"/>
      <c r="E155" s="1367"/>
      <c r="F155" s="1299"/>
      <c r="G155" s="1309"/>
      <c r="H155" s="1306"/>
      <c r="I155" s="1307"/>
      <c r="J155" s="1307"/>
      <c r="K155" s="1307"/>
      <c r="L155" s="1307"/>
      <c r="M155" s="1307"/>
      <c r="N155" s="1307"/>
      <c r="O155" s="1308"/>
      <c r="P155" s="1308"/>
      <c r="Q155" s="1308"/>
      <c r="R155" s="1308"/>
      <c r="S155" s="1317"/>
      <c r="T155" s="1317" t="s">
        <v>1936</v>
      </c>
      <c r="U155" s="1308">
        <v>32</v>
      </c>
      <c r="V155" s="1308"/>
      <c r="W155" s="1308"/>
      <c r="X155" s="1308"/>
      <c r="Y155" s="1308"/>
      <c r="Z155" s="1308"/>
      <c r="AA155" s="1308"/>
    </row>
    <row r="156" spans="1:27">
      <c r="A156" s="1370">
        <v>33</v>
      </c>
      <c r="B156" s="1371" t="s">
        <v>1937</v>
      </c>
      <c r="C156" s="1366"/>
      <c r="D156" s="1366"/>
      <c r="E156" s="1367"/>
      <c r="F156" s="1299"/>
      <c r="G156" s="1309"/>
      <c r="H156" s="1306"/>
      <c r="I156" s="1307"/>
      <c r="J156" s="1307"/>
      <c r="K156" s="1307"/>
      <c r="L156" s="1307"/>
      <c r="M156" s="1307"/>
      <c r="N156" s="1307"/>
      <c r="O156" s="1308"/>
      <c r="P156" s="1308"/>
      <c r="Q156" s="1308"/>
      <c r="R156" s="1308"/>
      <c r="S156" s="1317"/>
      <c r="T156" s="1317" t="s">
        <v>1937</v>
      </c>
      <c r="U156" s="1308">
        <v>33</v>
      </c>
      <c r="V156" s="1308"/>
      <c r="W156" s="1308"/>
      <c r="X156" s="1308"/>
      <c r="Y156" s="1308"/>
      <c r="Z156" s="1308"/>
      <c r="AA156" s="1308"/>
    </row>
    <row r="157" spans="1:27">
      <c r="A157" s="1370">
        <v>34</v>
      </c>
      <c r="B157" s="1371" t="s">
        <v>1938</v>
      </c>
      <c r="C157" s="1366"/>
      <c r="D157" s="1366"/>
      <c r="E157" s="1367"/>
      <c r="F157" s="1299"/>
      <c r="G157" s="1309"/>
      <c r="H157" s="1306"/>
      <c r="I157" s="1307"/>
      <c r="J157" s="1307"/>
      <c r="K157" s="1307"/>
      <c r="L157" s="1307"/>
      <c r="M157" s="1307"/>
      <c r="N157" s="1307"/>
      <c r="O157" s="1308"/>
      <c r="P157" s="1308"/>
      <c r="Q157" s="1308"/>
      <c r="R157" s="1308"/>
      <c r="S157" s="1317"/>
      <c r="T157" s="1317" t="s">
        <v>1938</v>
      </c>
      <c r="U157" s="1308">
        <v>34</v>
      </c>
      <c r="V157" s="1308"/>
      <c r="W157" s="1308"/>
      <c r="X157" s="1308"/>
      <c r="Y157" s="1308"/>
      <c r="Z157" s="1308"/>
      <c r="AA157" s="1308"/>
    </row>
    <row r="158" spans="1:27">
      <c r="A158" s="1370">
        <v>35</v>
      </c>
      <c r="B158" s="1371" t="s">
        <v>1939</v>
      </c>
      <c r="C158" s="1366"/>
      <c r="D158" s="1366"/>
      <c r="E158" s="1367"/>
      <c r="F158" s="1299"/>
      <c r="G158" s="1309"/>
      <c r="H158" s="1306"/>
      <c r="I158" s="1307"/>
      <c r="J158" s="1307"/>
      <c r="K158" s="1307"/>
      <c r="L158" s="1307"/>
      <c r="M158" s="1307"/>
      <c r="N158" s="1307"/>
      <c r="O158" s="1308"/>
      <c r="P158" s="1308"/>
      <c r="Q158" s="1308"/>
      <c r="R158" s="1308"/>
      <c r="S158" s="1317"/>
      <c r="T158" s="1317" t="s">
        <v>1939</v>
      </c>
      <c r="U158" s="1308">
        <v>35</v>
      </c>
      <c r="V158" s="1308"/>
      <c r="W158" s="1308"/>
      <c r="X158" s="1308"/>
      <c r="Y158" s="1308"/>
      <c r="Z158" s="1308"/>
      <c r="AA158" s="1308"/>
    </row>
    <row r="159" spans="1:27">
      <c r="A159" s="1370">
        <v>36</v>
      </c>
      <c r="B159" s="1371" t="s">
        <v>1940</v>
      </c>
      <c r="C159" s="1366"/>
      <c r="D159" s="1366"/>
      <c r="E159" s="1367"/>
      <c r="F159" s="1299"/>
      <c r="G159" s="1309"/>
      <c r="H159" s="1306"/>
      <c r="I159" s="1307"/>
      <c r="J159" s="1307"/>
      <c r="K159" s="1307"/>
      <c r="L159" s="1307"/>
      <c r="M159" s="1307"/>
      <c r="N159" s="1307"/>
      <c r="O159" s="1308"/>
      <c r="P159" s="1308"/>
      <c r="Q159" s="1308"/>
      <c r="R159" s="1308"/>
      <c r="S159" s="1317"/>
      <c r="T159" s="1317" t="s">
        <v>1940</v>
      </c>
      <c r="U159" s="1308">
        <v>36</v>
      </c>
      <c r="V159" s="1308"/>
      <c r="W159" s="1308"/>
      <c r="X159" s="1308"/>
      <c r="Y159" s="1308"/>
      <c r="Z159" s="1308"/>
      <c r="AA159" s="1308"/>
    </row>
    <row r="160" spans="1:27">
      <c r="A160" s="1370">
        <v>37</v>
      </c>
      <c r="B160" s="1371" t="s">
        <v>1941</v>
      </c>
      <c r="C160" s="1366"/>
      <c r="D160" s="1366"/>
      <c r="E160" s="1367"/>
      <c r="F160" s="1299"/>
      <c r="G160" s="1309"/>
      <c r="H160" s="1306"/>
      <c r="I160" s="1307"/>
      <c r="J160" s="1307"/>
      <c r="K160" s="1307"/>
      <c r="L160" s="1307"/>
      <c r="M160" s="1307"/>
      <c r="N160" s="1307"/>
      <c r="O160" s="1308"/>
      <c r="P160" s="1308"/>
      <c r="Q160" s="1308"/>
      <c r="R160" s="1308"/>
      <c r="S160" s="1317"/>
      <c r="T160" s="1317" t="s">
        <v>1941</v>
      </c>
      <c r="U160" s="1308">
        <v>37</v>
      </c>
      <c r="V160" s="1308"/>
      <c r="W160" s="1308"/>
      <c r="X160" s="1308"/>
      <c r="Y160" s="1308"/>
      <c r="Z160" s="1308"/>
      <c r="AA160" s="1308"/>
    </row>
    <row r="161" spans="1:27">
      <c r="A161" s="1370">
        <v>38</v>
      </c>
      <c r="B161" s="1371" t="s">
        <v>1942</v>
      </c>
      <c r="C161" s="1366"/>
      <c r="D161" s="1366"/>
      <c r="E161" s="1367"/>
      <c r="F161" s="1299"/>
      <c r="G161" s="1309"/>
      <c r="H161" s="1306"/>
      <c r="I161" s="1307"/>
      <c r="J161" s="1307"/>
      <c r="K161" s="1307"/>
      <c r="L161" s="1307"/>
      <c r="M161" s="1307"/>
      <c r="N161" s="1307"/>
      <c r="O161" s="1308"/>
      <c r="P161" s="1308"/>
      <c r="Q161" s="1308"/>
      <c r="R161" s="1308"/>
      <c r="S161" s="1317"/>
      <c r="T161" s="1317" t="s">
        <v>1942</v>
      </c>
      <c r="U161" s="1308">
        <v>38</v>
      </c>
      <c r="V161" s="1308"/>
      <c r="W161" s="1308"/>
      <c r="X161" s="1308"/>
      <c r="Y161" s="1308"/>
      <c r="Z161" s="1308"/>
      <c r="AA161" s="1308"/>
    </row>
    <row r="162" spans="1:27">
      <c r="A162" s="1370">
        <v>39</v>
      </c>
      <c r="B162" s="1371" t="s">
        <v>1943</v>
      </c>
      <c r="C162" s="1366"/>
      <c r="D162" s="1366"/>
      <c r="E162" s="1367"/>
      <c r="F162" s="1299"/>
      <c r="G162" s="1309"/>
      <c r="H162" s="1306"/>
      <c r="I162" s="1307"/>
      <c r="J162" s="1307"/>
      <c r="K162" s="1307"/>
      <c r="L162" s="1307"/>
      <c r="M162" s="1307"/>
      <c r="N162" s="1307"/>
      <c r="O162" s="1308"/>
      <c r="P162" s="1308"/>
      <c r="Q162" s="1308"/>
      <c r="R162" s="1308"/>
      <c r="S162" s="1317"/>
      <c r="T162" s="1317" t="s">
        <v>1943</v>
      </c>
      <c r="U162" s="1308">
        <v>39</v>
      </c>
      <c r="V162" s="1308"/>
      <c r="W162" s="1308"/>
      <c r="X162" s="1308"/>
      <c r="Y162" s="1308"/>
      <c r="Z162" s="1308"/>
      <c r="AA162" s="1308"/>
    </row>
    <row r="163" spans="1:27">
      <c r="A163" s="1370">
        <v>40</v>
      </c>
      <c r="B163" s="1371" t="s">
        <v>1944</v>
      </c>
      <c r="C163" s="1366"/>
      <c r="D163" s="1366"/>
      <c r="E163" s="1367"/>
      <c r="F163" s="1299"/>
      <c r="G163" s="1309"/>
      <c r="H163" s="1306"/>
      <c r="I163" s="1307"/>
      <c r="J163" s="1307"/>
      <c r="K163" s="1307"/>
      <c r="L163" s="1307"/>
      <c r="M163" s="1307"/>
      <c r="N163" s="1307"/>
      <c r="O163" s="1308"/>
      <c r="P163" s="1308"/>
      <c r="Q163" s="1308"/>
      <c r="R163" s="1308"/>
      <c r="S163" s="1317"/>
      <c r="T163" s="1317" t="s">
        <v>1944</v>
      </c>
      <c r="U163" s="1308">
        <v>40</v>
      </c>
      <c r="V163" s="1308"/>
      <c r="W163" s="1308"/>
      <c r="X163" s="1308"/>
      <c r="Y163" s="1308"/>
      <c r="Z163" s="1308"/>
      <c r="AA163" s="1308"/>
    </row>
    <row r="164" spans="1:27">
      <c r="A164" s="1370">
        <v>41</v>
      </c>
      <c r="B164" s="1371" t="s">
        <v>1945</v>
      </c>
      <c r="C164" s="1366"/>
      <c r="D164" s="1366"/>
      <c r="E164" s="1367"/>
      <c r="F164" s="1299"/>
      <c r="G164" s="1309"/>
      <c r="H164" s="1306"/>
      <c r="I164" s="1307"/>
      <c r="J164" s="1307"/>
      <c r="K164" s="1307"/>
      <c r="L164" s="1307"/>
      <c r="M164" s="1307"/>
      <c r="N164" s="1307"/>
      <c r="O164" s="1308"/>
      <c r="P164" s="1308"/>
      <c r="Q164" s="1308"/>
      <c r="R164" s="1308"/>
      <c r="S164" s="1317"/>
      <c r="T164" s="1317" t="s">
        <v>1945</v>
      </c>
      <c r="U164" s="1308">
        <v>41</v>
      </c>
      <c r="V164" s="1308"/>
      <c r="W164" s="1308"/>
      <c r="X164" s="1308"/>
      <c r="Y164" s="1308"/>
      <c r="Z164" s="1308"/>
      <c r="AA164" s="1308"/>
    </row>
    <row r="165" spans="1:27">
      <c r="A165" s="1370">
        <v>42</v>
      </c>
      <c r="B165" s="1371" t="s">
        <v>1946</v>
      </c>
      <c r="C165" s="1366"/>
      <c r="D165" s="1366"/>
      <c r="E165" s="1367"/>
      <c r="F165" s="1299"/>
      <c r="G165" s="1309"/>
      <c r="H165" s="1306"/>
      <c r="I165" s="1307"/>
      <c r="J165" s="1307"/>
      <c r="K165" s="1307"/>
      <c r="L165" s="1307"/>
      <c r="M165" s="1307"/>
      <c r="N165" s="1307"/>
      <c r="O165" s="1308"/>
      <c r="P165" s="1308"/>
      <c r="Q165" s="1308"/>
      <c r="R165" s="1308"/>
      <c r="S165" s="1317"/>
      <c r="T165" s="1317" t="s">
        <v>1946</v>
      </c>
      <c r="U165" s="1308">
        <v>42</v>
      </c>
      <c r="V165" s="1308"/>
      <c r="W165" s="1308"/>
      <c r="X165" s="1308"/>
      <c r="Y165" s="1308"/>
      <c r="Z165" s="1308"/>
      <c r="AA165" s="1308"/>
    </row>
    <row r="166" spans="1:27">
      <c r="A166" s="1370">
        <v>43</v>
      </c>
      <c r="B166" s="1371" t="s">
        <v>1947</v>
      </c>
      <c r="C166" s="1366"/>
      <c r="D166" s="1366"/>
      <c r="E166" s="1367"/>
      <c r="F166" s="1299"/>
      <c r="G166" s="1309"/>
      <c r="H166" s="1306"/>
      <c r="I166" s="1307"/>
      <c r="J166" s="1307"/>
      <c r="K166" s="1307"/>
      <c r="L166" s="1307"/>
      <c r="M166" s="1307"/>
      <c r="N166" s="1307"/>
      <c r="O166" s="1308"/>
      <c r="P166" s="1308"/>
      <c r="Q166" s="1308"/>
      <c r="R166" s="1308"/>
      <c r="S166" s="1317"/>
      <c r="T166" s="1317" t="s">
        <v>1947</v>
      </c>
      <c r="U166" s="1308">
        <v>43</v>
      </c>
      <c r="V166" s="1308"/>
      <c r="W166" s="1308"/>
      <c r="X166" s="1308"/>
      <c r="Y166" s="1308"/>
      <c r="Z166" s="1308"/>
      <c r="AA166" s="1308"/>
    </row>
    <row r="167" spans="1:27">
      <c r="A167" s="1370">
        <v>44</v>
      </c>
      <c r="B167" s="1371" t="s">
        <v>1948</v>
      </c>
      <c r="C167" s="1366"/>
      <c r="D167" s="1366"/>
      <c r="E167" s="1367"/>
      <c r="F167" s="1299"/>
      <c r="G167" s="1309"/>
      <c r="H167" s="1306"/>
      <c r="I167" s="1307"/>
      <c r="J167" s="1307"/>
      <c r="K167" s="1307"/>
      <c r="L167" s="1307"/>
      <c r="M167" s="1307"/>
      <c r="N167" s="1307"/>
      <c r="O167" s="1308"/>
      <c r="P167" s="1308"/>
      <c r="Q167" s="1308"/>
      <c r="R167" s="1308"/>
      <c r="S167" s="1317"/>
      <c r="T167" s="1317" t="s">
        <v>1948</v>
      </c>
      <c r="U167" s="1308">
        <v>44</v>
      </c>
      <c r="V167" s="1308"/>
      <c r="W167" s="1308"/>
      <c r="X167" s="1308"/>
      <c r="Y167" s="1308"/>
      <c r="Z167" s="1308"/>
      <c r="AA167" s="1308"/>
    </row>
    <row r="168" spans="1:27">
      <c r="A168" s="1370">
        <v>45</v>
      </c>
      <c r="B168" s="1371" t="s">
        <v>1949</v>
      </c>
      <c r="C168" s="1366"/>
      <c r="D168" s="1366"/>
      <c r="E168" s="1367"/>
      <c r="F168" s="1299"/>
      <c r="G168" s="1309"/>
      <c r="H168" s="1306"/>
      <c r="I168" s="1307"/>
      <c r="J168" s="1307"/>
      <c r="K168" s="1307"/>
      <c r="L168" s="1307"/>
      <c r="M168" s="1307"/>
      <c r="N168" s="1307"/>
      <c r="O168" s="1308"/>
      <c r="P168" s="1308"/>
      <c r="Q168" s="1308"/>
      <c r="R168" s="1308"/>
      <c r="S168" s="1317"/>
      <c r="T168" s="1317" t="s">
        <v>1949</v>
      </c>
      <c r="U168" s="1308">
        <v>45</v>
      </c>
      <c r="V168" s="1308"/>
      <c r="W168" s="1308"/>
      <c r="X168" s="1308"/>
      <c r="Y168" s="1308"/>
      <c r="Z168" s="1308"/>
      <c r="AA168" s="1308"/>
    </row>
    <row r="169" spans="1:27">
      <c r="A169" s="1370">
        <v>46</v>
      </c>
      <c r="B169" s="1371" t="s">
        <v>1950</v>
      </c>
      <c r="C169" s="1366"/>
      <c r="D169" s="1366"/>
      <c r="E169" s="1367"/>
      <c r="F169" s="1299"/>
      <c r="G169" s="1309"/>
      <c r="H169" s="1306"/>
      <c r="I169" s="1307"/>
      <c r="J169" s="1307"/>
      <c r="K169" s="1307"/>
      <c r="L169" s="1307"/>
      <c r="M169" s="1307"/>
      <c r="N169" s="1307"/>
      <c r="O169" s="1308"/>
      <c r="P169" s="1308"/>
      <c r="Q169" s="1308"/>
      <c r="R169" s="1308"/>
      <c r="S169" s="1317"/>
      <c r="T169" s="1317" t="s">
        <v>1950</v>
      </c>
      <c r="U169" s="1308">
        <v>46</v>
      </c>
      <c r="V169" s="1308"/>
      <c r="W169" s="1308"/>
      <c r="X169" s="1308"/>
      <c r="Y169" s="1308"/>
      <c r="Z169" s="1308"/>
      <c r="AA169" s="1308"/>
    </row>
    <row r="170" spans="1:27">
      <c r="A170" s="1370">
        <v>47</v>
      </c>
      <c r="B170" s="1371" t="s">
        <v>1951</v>
      </c>
      <c r="C170" s="1366"/>
      <c r="D170" s="1366"/>
      <c r="E170" s="1367"/>
      <c r="F170" s="1299"/>
      <c r="G170" s="1309"/>
      <c r="H170" s="1306"/>
      <c r="I170" s="1307"/>
      <c r="J170" s="1307"/>
      <c r="K170" s="1307"/>
      <c r="L170" s="1307"/>
      <c r="M170" s="1307"/>
      <c r="N170" s="1307"/>
      <c r="O170" s="1308"/>
      <c r="P170" s="1308"/>
      <c r="Q170" s="1308"/>
      <c r="R170" s="1308"/>
      <c r="S170" s="1317"/>
      <c r="T170" s="1317" t="s">
        <v>1951</v>
      </c>
      <c r="U170" s="1308">
        <v>47</v>
      </c>
      <c r="V170" s="1308"/>
      <c r="W170" s="1308"/>
      <c r="X170" s="1308"/>
      <c r="Y170" s="1308"/>
      <c r="Z170" s="1308"/>
      <c r="AA170" s="1308"/>
    </row>
    <row r="171" spans="1:27">
      <c r="A171" s="1370">
        <v>48</v>
      </c>
      <c r="B171" s="1371" t="s">
        <v>1952</v>
      </c>
      <c r="C171" s="1366"/>
      <c r="D171" s="1366"/>
      <c r="E171" s="1367"/>
      <c r="F171" s="1299"/>
      <c r="G171" s="1309"/>
      <c r="H171" s="1306"/>
      <c r="I171" s="1307"/>
      <c r="J171" s="1307"/>
      <c r="K171" s="1307"/>
      <c r="L171" s="1307"/>
      <c r="M171" s="1307"/>
      <c r="N171" s="1307"/>
      <c r="O171" s="1308"/>
      <c r="P171" s="1308"/>
      <c r="Q171" s="1308"/>
      <c r="R171" s="1308"/>
      <c r="S171" s="1317"/>
      <c r="T171" s="1317" t="s">
        <v>1952</v>
      </c>
      <c r="U171" s="1308">
        <v>48</v>
      </c>
      <c r="V171" s="1308"/>
      <c r="W171" s="1308"/>
      <c r="X171" s="1308"/>
      <c r="Y171" s="1308"/>
      <c r="Z171" s="1308"/>
      <c r="AA171" s="1308"/>
    </row>
    <row r="172" spans="1:27">
      <c r="A172" s="1370">
        <v>49</v>
      </c>
      <c r="B172" s="1371" t="s">
        <v>1953</v>
      </c>
      <c r="C172" s="1366"/>
      <c r="D172" s="1366"/>
      <c r="E172" s="1367"/>
      <c r="F172" s="1299"/>
      <c r="G172" s="1309"/>
      <c r="H172" s="1306"/>
      <c r="I172" s="1307"/>
      <c r="J172" s="1307"/>
      <c r="K172" s="1307"/>
      <c r="L172" s="1307"/>
      <c r="M172" s="1307"/>
      <c r="N172" s="1307"/>
      <c r="O172" s="1308"/>
      <c r="P172" s="1308"/>
      <c r="Q172" s="1308"/>
      <c r="R172" s="1308"/>
      <c r="S172" s="1317"/>
      <c r="T172" s="1317" t="s">
        <v>1953</v>
      </c>
      <c r="U172" s="1308">
        <v>49</v>
      </c>
      <c r="V172" s="1308"/>
      <c r="W172" s="1308"/>
      <c r="X172" s="1308"/>
      <c r="Y172" s="1308"/>
      <c r="Z172" s="1308"/>
      <c r="AA172" s="1308"/>
    </row>
    <row r="173" spans="1:27">
      <c r="A173" s="1370">
        <v>50</v>
      </c>
      <c r="B173" s="1371" t="s">
        <v>1954</v>
      </c>
      <c r="C173" s="1366"/>
      <c r="D173" s="1366"/>
      <c r="E173" s="1367"/>
      <c r="F173" s="1299"/>
      <c r="G173" s="1309"/>
      <c r="H173" s="1306"/>
      <c r="I173" s="1307"/>
      <c r="J173" s="1307"/>
      <c r="K173" s="1307"/>
      <c r="L173" s="1307"/>
      <c r="M173" s="1307"/>
      <c r="N173" s="1307"/>
      <c r="O173" s="1308"/>
      <c r="P173" s="1308"/>
      <c r="Q173" s="1308"/>
      <c r="R173" s="1308"/>
      <c r="S173" s="1317"/>
      <c r="T173" s="1317" t="s">
        <v>1954</v>
      </c>
      <c r="U173" s="1308">
        <v>50</v>
      </c>
      <c r="V173" s="1308"/>
      <c r="W173" s="1308"/>
      <c r="X173" s="1308"/>
      <c r="Y173" s="1308"/>
      <c r="Z173" s="1308"/>
      <c r="AA173" s="1308"/>
    </row>
    <row r="174" spans="1:27">
      <c r="A174" s="1370">
        <v>51</v>
      </c>
      <c r="B174" s="1371" t="s">
        <v>1955</v>
      </c>
      <c r="C174" s="1366"/>
      <c r="D174" s="1366"/>
      <c r="E174" s="1367"/>
      <c r="F174" s="1299"/>
      <c r="G174" s="1309"/>
      <c r="H174" s="1306"/>
      <c r="I174" s="1307"/>
      <c r="J174" s="1307"/>
      <c r="K174" s="1307"/>
      <c r="L174" s="1307"/>
      <c r="M174" s="1307"/>
      <c r="N174" s="1307"/>
      <c r="O174" s="1308"/>
      <c r="P174" s="1308"/>
      <c r="Q174" s="1308"/>
      <c r="R174" s="1308"/>
      <c r="S174" s="1317"/>
      <c r="T174" s="1317" t="s">
        <v>1955</v>
      </c>
      <c r="U174" s="1308">
        <v>51</v>
      </c>
      <c r="V174" s="1308"/>
      <c r="W174" s="1308"/>
      <c r="X174" s="1308"/>
      <c r="Y174" s="1308"/>
      <c r="Z174" s="1308"/>
      <c r="AA174" s="1308"/>
    </row>
    <row r="175" spans="1:27">
      <c r="A175" s="1370">
        <v>52</v>
      </c>
      <c r="B175" s="1371" t="s">
        <v>1956</v>
      </c>
      <c r="C175" s="1366"/>
      <c r="D175" s="1366"/>
      <c r="E175" s="1367"/>
      <c r="F175" s="1299"/>
      <c r="G175" s="1309"/>
      <c r="H175" s="1306"/>
      <c r="I175" s="1307"/>
      <c r="J175" s="1307"/>
      <c r="K175" s="1307"/>
      <c r="L175" s="1307"/>
      <c r="M175" s="1307"/>
      <c r="N175" s="1307"/>
      <c r="O175" s="1308"/>
      <c r="P175" s="1308"/>
      <c r="Q175" s="1308"/>
      <c r="R175" s="1308"/>
      <c r="S175" s="1317"/>
      <c r="T175" s="1317" t="s">
        <v>1956</v>
      </c>
      <c r="U175" s="1308">
        <v>52</v>
      </c>
      <c r="V175" s="1308"/>
      <c r="W175" s="1308"/>
      <c r="X175" s="1308"/>
      <c r="Y175" s="1308"/>
      <c r="Z175" s="1308"/>
      <c r="AA175" s="1308"/>
    </row>
    <row r="176" spans="1:27">
      <c r="A176" s="1370">
        <v>53</v>
      </c>
      <c r="B176" s="1371" t="s">
        <v>1957</v>
      </c>
      <c r="C176" s="1366"/>
      <c r="D176" s="1366"/>
      <c r="E176" s="1367"/>
      <c r="F176" s="1299"/>
      <c r="G176" s="1309"/>
      <c r="H176" s="1306"/>
      <c r="I176" s="1307"/>
      <c r="J176" s="1307"/>
      <c r="K176" s="1307"/>
      <c r="L176" s="1307"/>
      <c r="M176" s="1307"/>
      <c r="N176" s="1307"/>
      <c r="O176" s="1308"/>
      <c r="P176" s="1308"/>
      <c r="Q176" s="1308"/>
      <c r="R176" s="1308"/>
      <c r="S176" s="1317"/>
      <c r="T176" s="1317" t="s">
        <v>1957</v>
      </c>
      <c r="U176" s="1308">
        <v>53</v>
      </c>
      <c r="V176" s="1308"/>
      <c r="W176" s="1308"/>
      <c r="X176" s="1308"/>
      <c r="Y176" s="1308"/>
      <c r="Z176" s="1308"/>
      <c r="AA176" s="1308"/>
    </row>
    <row r="177" spans="1:27">
      <c r="A177" s="1370">
        <v>54</v>
      </c>
      <c r="B177" s="1371" t="s">
        <v>1958</v>
      </c>
      <c r="C177" s="1366"/>
      <c r="D177" s="1366"/>
      <c r="E177" s="1367"/>
      <c r="F177" s="1299"/>
      <c r="G177" s="1309"/>
      <c r="H177" s="1306"/>
      <c r="I177" s="1307"/>
      <c r="J177" s="1307"/>
      <c r="K177" s="1307"/>
      <c r="L177" s="1307"/>
      <c r="M177" s="1307"/>
      <c r="N177" s="1307"/>
      <c r="O177" s="1308"/>
      <c r="P177" s="1308"/>
      <c r="Q177" s="1308"/>
      <c r="R177" s="1308"/>
      <c r="S177" s="1317"/>
      <c r="T177" s="1317" t="s">
        <v>1958</v>
      </c>
      <c r="U177" s="1308">
        <v>54</v>
      </c>
      <c r="V177" s="1308"/>
      <c r="W177" s="1308"/>
      <c r="X177" s="1308"/>
      <c r="Y177" s="1308"/>
      <c r="Z177" s="1308"/>
      <c r="AA177" s="1308"/>
    </row>
    <row r="178" spans="1:27">
      <c r="A178" s="1370">
        <v>55</v>
      </c>
      <c r="B178" s="1371" t="s">
        <v>1959</v>
      </c>
      <c r="C178" s="1366"/>
      <c r="D178" s="1366"/>
      <c r="E178" s="1367"/>
      <c r="F178" s="1299"/>
      <c r="G178" s="1309"/>
      <c r="H178" s="1306"/>
      <c r="I178" s="1307"/>
      <c r="J178" s="1307"/>
      <c r="K178" s="1307"/>
      <c r="L178" s="1307"/>
      <c r="M178" s="1307"/>
      <c r="N178" s="1307"/>
      <c r="O178" s="1308"/>
      <c r="P178" s="1308"/>
      <c r="Q178" s="1308"/>
      <c r="R178" s="1308"/>
      <c r="S178" s="1317"/>
      <c r="T178" s="1317" t="s">
        <v>1959</v>
      </c>
      <c r="U178" s="1308">
        <v>55</v>
      </c>
      <c r="V178" s="1308"/>
      <c r="W178" s="1308"/>
      <c r="X178" s="1308"/>
      <c r="Y178" s="1308"/>
      <c r="Z178" s="1308"/>
      <c r="AA178" s="1308"/>
    </row>
    <row r="179" spans="1:27">
      <c r="A179" s="1370">
        <v>56</v>
      </c>
      <c r="B179" s="1371" t="s">
        <v>1960</v>
      </c>
      <c r="C179" s="1366"/>
      <c r="D179" s="1366"/>
      <c r="E179" s="1367"/>
      <c r="F179" s="1299"/>
      <c r="G179" s="1309"/>
      <c r="H179" s="1306"/>
      <c r="I179" s="1307"/>
      <c r="J179" s="1307"/>
      <c r="K179" s="1307"/>
      <c r="L179" s="1307"/>
      <c r="M179" s="1307"/>
      <c r="N179" s="1307"/>
      <c r="O179" s="1308"/>
      <c r="P179" s="1308"/>
      <c r="Q179" s="1308"/>
      <c r="R179" s="1308"/>
      <c r="S179" s="1317"/>
      <c r="T179" s="1317" t="s">
        <v>1960</v>
      </c>
      <c r="U179" s="1308">
        <v>56</v>
      </c>
      <c r="V179" s="1308"/>
      <c r="W179" s="1308"/>
      <c r="X179" s="1308"/>
      <c r="Y179" s="1308"/>
      <c r="Z179" s="1308"/>
      <c r="AA179" s="1308"/>
    </row>
    <row r="180" spans="1:27">
      <c r="A180" s="1370">
        <v>57</v>
      </c>
      <c r="B180" s="1371" t="s">
        <v>1961</v>
      </c>
      <c r="C180" s="1366"/>
      <c r="D180" s="1366"/>
      <c r="E180" s="1367"/>
      <c r="F180" s="1299"/>
      <c r="G180" s="1309"/>
      <c r="H180" s="1306"/>
      <c r="I180" s="1307"/>
      <c r="J180" s="1307"/>
      <c r="K180" s="1307"/>
      <c r="L180" s="1307"/>
      <c r="M180" s="1307"/>
      <c r="N180" s="1307"/>
      <c r="O180" s="1308"/>
      <c r="P180" s="1308"/>
      <c r="Q180" s="1308"/>
      <c r="R180" s="1308"/>
      <c r="S180" s="1317"/>
      <c r="T180" s="1317" t="s">
        <v>1961</v>
      </c>
      <c r="U180" s="1308">
        <v>57</v>
      </c>
      <c r="V180" s="1308"/>
      <c r="W180" s="1308"/>
      <c r="X180" s="1308"/>
      <c r="Y180" s="1308"/>
      <c r="Z180" s="1308"/>
      <c r="AA180" s="1308"/>
    </row>
    <row r="181" spans="1:27">
      <c r="A181" s="1370">
        <v>58</v>
      </c>
      <c r="B181" s="1371" t="s">
        <v>1962</v>
      </c>
      <c r="C181" s="1366"/>
      <c r="D181" s="1366"/>
      <c r="E181" s="1367"/>
      <c r="F181" s="1299"/>
      <c r="G181" s="1309"/>
      <c r="H181" s="1306"/>
      <c r="I181" s="1307"/>
      <c r="J181" s="1307"/>
      <c r="K181" s="1307"/>
      <c r="L181" s="1307"/>
      <c r="M181" s="1307"/>
      <c r="N181" s="1307"/>
      <c r="O181" s="1308"/>
      <c r="P181" s="1308"/>
      <c r="Q181" s="1308"/>
      <c r="R181" s="1308"/>
      <c r="S181" s="1317"/>
      <c r="T181" s="1317" t="s">
        <v>1962</v>
      </c>
      <c r="U181" s="1308">
        <v>58</v>
      </c>
      <c r="V181" s="1308"/>
      <c r="W181" s="1308"/>
      <c r="X181" s="1308"/>
      <c r="Y181" s="1308"/>
      <c r="Z181" s="1308"/>
      <c r="AA181" s="1308"/>
    </row>
    <row r="182" spans="1:27">
      <c r="A182" s="1370">
        <v>59</v>
      </c>
      <c r="B182" s="1371" t="s">
        <v>1963</v>
      </c>
      <c r="C182" s="1366"/>
      <c r="D182" s="1366"/>
      <c r="E182" s="1367"/>
      <c r="F182" s="1299"/>
      <c r="G182" s="1309"/>
      <c r="H182" s="1306"/>
      <c r="I182" s="1307"/>
      <c r="J182" s="1307"/>
      <c r="K182" s="1307"/>
      <c r="L182" s="1307"/>
      <c r="M182" s="1307"/>
      <c r="N182" s="1307"/>
      <c r="O182" s="1308"/>
      <c r="P182" s="1308"/>
      <c r="Q182" s="1308"/>
      <c r="R182" s="1308"/>
      <c r="S182" s="1317"/>
      <c r="T182" s="1317" t="s">
        <v>1963</v>
      </c>
      <c r="U182" s="1308">
        <v>59</v>
      </c>
      <c r="V182" s="1308"/>
      <c r="W182" s="1308"/>
      <c r="X182" s="1308"/>
      <c r="Y182" s="1308"/>
      <c r="Z182" s="1308"/>
      <c r="AA182" s="1308"/>
    </row>
    <row r="183" spans="1:27">
      <c r="A183" s="1370">
        <v>61</v>
      </c>
      <c r="B183" s="1371" t="s">
        <v>1964</v>
      </c>
      <c r="C183" s="1366"/>
      <c r="D183" s="1366"/>
      <c r="E183" s="1367"/>
      <c r="F183" s="1299"/>
      <c r="G183" s="1309"/>
      <c r="H183" s="1306"/>
      <c r="I183" s="1307"/>
      <c r="J183" s="1307"/>
      <c r="K183" s="1307"/>
      <c r="L183" s="1307"/>
      <c r="M183" s="1307"/>
      <c r="N183" s="1307"/>
      <c r="O183" s="1308"/>
      <c r="P183" s="1308"/>
      <c r="Q183" s="1308"/>
      <c r="R183" s="1308"/>
      <c r="S183" s="1317"/>
      <c r="T183" s="1317" t="s">
        <v>1964</v>
      </c>
      <c r="U183" s="1308">
        <v>61</v>
      </c>
      <c r="V183" s="1308"/>
      <c r="W183" s="1308"/>
      <c r="X183" s="1308"/>
      <c r="Y183" s="1308"/>
      <c r="Z183" s="1308"/>
      <c r="AA183" s="1308"/>
    </row>
    <row r="184" spans="1:27">
      <c r="A184" s="1370">
        <v>62</v>
      </c>
      <c r="B184" s="1371" t="s">
        <v>1965</v>
      </c>
      <c r="C184" s="1366"/>
      <c r="D184" s="1366"/>
      <c r="E184" s="1367"/>
      <c r="F184" s="1299"/>
      <c r="G184" s="1309"/>
      <c r="H184" s="1306"/>
      <c r="I184" s="1307"/>
      <c r="J184" s="1307"/>
      <c r="K184" s="1307"/>
      <c r="L184" s="1307"/>
      <c r="M184" s="1307"/>
      <c r="N184" s="1307"/>
      <c r="O184" s="1308"/>
      <c r="P184" s="1308"/>
      <c r="Q184" s="1308"/>
      <c r="R184" s="1308"/>
      <c r="S184" s="1317"/>
      <c r="T184" s="1317" t="s">
        <v>1965</v>
      </c>
      <c r="U184" s="1308">
        <v>62</v>
      </c>
      <c r="V184" s="1308"/>
      <c r="W184" s="1308"/>
      <c r="X184" s="1308"/>
      <c r="Y184" s="1308"/>
      <c r="Z184" s="1308"/>
      <c r="AA184" s="1308"/>
    </row>
    <row r="185" spans="1:27">
      <c r="A185" s="1370">
        <v>63</v>
      </c>
      <c r="B185" s="1371" t="s">
        <v>1966</v>
      </c>
      <c r="C185" s="1366"/>
      <c r="D185" s="1366"/>
      <c r="E185" s="1367"/>
      <c r="F185" s="1299"/>
      <c r="G185" s="1309"/>
      <c r="H185" s="1306"/>
      <c r="I185" s="1307"/>
      <c r="J185" s="1307"/>
      <c r="K185" s="1307"/>
      <c r="L185" s="1307"/>
      <c r="M185" s="1307"/>
      <c r="N185" s="1307"/>
      <c r="O185" s="1308"/>
      <c r="P185" s="1308"/>
      <c r="Q185" s="1308"/>
      <c r="R185" s="1308"/>
      <c r="S185" s="1317"/>
      <c r="T185" s="1317" t="s">
        <v>1966</v>
      </c>
      <c r="U185" s="1308">
        <v>63</v>
      </c>
      <c r="V185" s="1308"/>
      <c r="W185" s="1308"/>
      <c r="X185" s="1308"/>
      <c r="Y185" s="1308"/>
      <c r="Z185" s="1308"/>
      <c r="AA185" s="1308"/>
    </row>
    <row r="186" spans="1:27">
      <c r="A186" s="1370">
        <v>64</v>
      </c>
      <c r="B186" s="1371" t="s">
        <v>1967</v>
      </c>
      <c r="C186" s="1366"/>
      <c r="D186" s="1366"/>
      <c r="E186" s="1367"/>
      <c r="F186" s="1299"/>
      <c r="G186" s="1309"/>
      <c r="H186" s="1306"/>
      <c r="I186" s="1307"/>
      <c r="J186" s="1307"/>
      <c r="K186" s="1307"/>
      <c r="L186" s="1307"/>
      <c r="M186" s="1307"/>
      <c r="N186" s="1307"/>
      <c r="O186" s="1308"/>
      <c r="P186" s="1308"/>
      <c r="Q186" s="1308"/>
      <c r="R186" s="1308"/>
      <c r="S186" s="1317"/>
      <c r="T186" s="1317" t="s">
        <v>1967</v>
      </c>
      <c r="U186" s="1308">
        <v>64</v>
      </c>
      <c r="V186" s="1308"/>
      <c r="W186" s="1308"/>
      <c r="X186" s="1308"/>
      <c r="Y186" s="1308"/>
      <c r="Z186" s="1308"/>
      <c r="AA186" s="1308"/>
    </row>
    <row r="187" spans="1:27">
      <c r="A187" s="1370">
        <v>65</v>
      </c>
      <c r="B187" s="1371" t="s">
        <v>1968</v>
      </c>
      <c r="C187" s="1366"/>
      <c r="D187" s="1366"/>
      <c r="E187" s="1367"/>
      <c r="F187" s="1299"/>
      <c r="G187" s="1309"/>
      <c r="H187" s="1306"/>
      <c r="I187" s="1307"/>
      <c r="J187" s="1307"/>
      <c r="K187" s="1307"/>
      <c r="L187" s="1307"/>
      <c r="M187" s="1307"/>
      <c r="N187" s="1307"/>
      <c r="O187" s="1308"/>
      <c r="P187" s="1308"/>
      <c r="Q187" s="1308"/>
      <c r="R187" s="1308"/>
      <c r="S187" s="1317"/>
      <c r="T187" s="1317" t="s">
        <v>1968</v>
      </c>
      <c r="U187" s="1308">
        <v>65</v>
      </c>
      <c r="V187" s="1308"/>
      <c r="W187" s="1308"/>
      <c r="X187" s="1308"/>
      <c r="Y187" s="1308"/>
      <c r="Z187" s="1308"/>
      <c r="AA187" s="1308"/>
    </row>
    <row r="188" spans="1:27">
      <c r="A188" s="1370">
        <v>66</v>
      </c>
      <c r="B188" s="1371" t="s">
        <v>1969</v>
      </c>
      <c r="C188" s="1366"/>
      <c r="D188" s="1366"/>
      <c r="E188" s="1367"/>
      <c r="F188" s="1299"/>
      <c r="G188" s="1309"/>
      <c r="H188" s="1306"/>
      <c r="I188" s="1307"/>
      <c r="J188" s="1307"/>
      <c r="K188" s="1307"/>
      <c r="L188" s="1307"/>
      <c r="M188" s="1307"/>
      <c r="N188" s="1307"/>
      <c r="O188" s="1308"/>
      <c r="P188" s="1308"/>
      <c r="Q188" s="1308"/>
      <c r="R188" s="1308"/>
      <c r="S188" s="1317"/>
      <c r="T188" s="1317" t="s">
        <v>1969</v>
      </c>
      <c r="U188" s="1308">
        <v>66</v>
      </c>
      <c r="V188" s="1308"/>
      <c r="W188" s="1308"/>
      <c r="X188" s="1308"/>
      <c r="Y188" s="1308"/>
      <c r="Z188" s="1308"/>
      <c r="AA188" s="1308"/>
    </row>
    <row r="189" spans="1:27">
      <c r="A189" s="1370">
        <v>67</v>
      </c>
      <c r="B189" s="1371" t="s">
        <v>1970</v>
      </c>
      <c r="C189" s="1366"/>
      <c r="D189" s="1366"/>
      <c r="E189" s="1367"/>
      <c r="F189" s="1299"/>
      <c r="G189" s="1309"/>
      <c r="H189" s="1306"/>
      <c r="I189" s="1307"/>
      <c r="J189" s="1307"/>
      <c r="K189" s="1307"/>
      <c r="L189" s="1307"/>
      <c r="M189" s="1307"/>
      <c r="N189" s="1307"/>
      <c r="O189" s="1308"/>
      <c r="P189" s="1308"/>
      <c r="Q189" s="1308"/>
      <c r="R189" s="1308"/>
      <c r="S189" s="1317"/>
      <c r="T189" s="1317" t="s">
        <v>1970</v>
      </c>
      <c r="U189" s="1308">
        <v>67</v>
      </c>
      <c r="V189" s="1308"/>
      <c r="W189" s="1308"/>
      <c r="X189" s="1308"/>
      <c r="Y189" s="1308"/>
      <c r="Z189" s="1308"/>
      <c r="AA189" s="1308"/>
    </row>
    <row r="190" spans="1:27">
      <c r="A190" s="1370">
        <v>68</v>
      </c>
      <c r="B190" s="1371" t="s">
        <v>1971</v>
      </c>
      <c r="C190" s="1366"/>
      <c r="D190" s="1366"/>
      <c r="E190" s="1367"/>
      <c r="F190" s="1299"/>
      <c r="G190" s="1309"/>
      <c r="H190" s="1306"/>
      <c r="I190" s="1307"/>
      <c r="J190" s="1307"/>
      <c r="K190" s="1307"/>
      <c r="L190" s="1307"/>
      <c r="M190" s="1307"/>
      <c r="N190" s="1307"/>
      <c r="O190" s="1308"/>
      <c r="P190" s="1308"/>
      <c r="Q190" s="1308"/>
      <c r="R190" s="1308"/>
      <c r="S190" s="1317"/>
      <c r="T190" s="1317" t="s">
        <v>1971</v>
      </c>
      <c r="U190" s="1308">
        <v>68</v>
      </c>
      <c r="V190" s="1308"/>
      <c r="W190" s="1308"/>
      <c r="X190" s="1308"/>
      <c r="Y190" s="1308"/>
      <c r="Z190" s="1308"/>
      <c r="AA190" s="1308"/>
    </row>
    <row r="191" spans="1:27">
      <c r="A191" s="1370">
        <v>69</v>
      </c>
      <c r="B191" s="1371" t="s">
        <v>1972</v>
      </c>
      <c r="C191" s="1366"/>
      <c r="D191" s="1366"/>
      <c r="E191" s="1367"/>
      <c r="F191" s="1299"/>
      <c r="G191" s="1309"/>
      <c r="H191" s="1306"/>
      <c r="I191" s="1307"/>
      <c r="J191" s="1307"/>
      <c r="K191" s="1307"/>
      <c r="L191" s="1307"/>
      <c r="M191" s="1307"/>
      <c r="N191" s="1307"/>
      <c r="O191" s="1308"/>
      <c r="P191" s="1308"/>
      <c r="Q191" s="1308"/>
      <c r="R191" s="1308"/>
      <c r="S191" s="1317"/>
      <c r="T191" s="1317" t="s">
        <v>1972</v>
      </c>
      <c r="U191" s="1308">
        <v>69</v>
      </c>
      <c r="V191" s="1308"/>
      <c r="W191" s="1308"/>
      <c r="X191" s="1308"/>
      <c r="Y191" s="1308"/>
      <c r="Z191" s="1308"/>
      <c r="AA191" s="1308"/>
    </row>
    <row r="192" spans="1:27">
      <c r="A192" s="1370">
        <v>70</v>
      </c>
      <c r="B192" s="1371" t="s">
        <v>1973</v>
      </c>
      <c r="C192" s="1366"/>
      <c r="D192" s="1366"/>
      <c r="E192" s="1367"/>
      <c r="F192" s="1299"/>
      <c r="G192" s="1309"/>
      <c r="H192" s="1306"/>
      <c r="I192" s="1307"/>
      <c r="J192" s="1307"/>
      <c r="K192" s="1307"/>
      <c r="L192" s="1307"/>
      <c r="M192" s="1307"/>
      <c r="N192" s="1307"/>
      <c r="O192" s="1308"/>
      <c r="P192" s="1308"/>
      <c r="Q192" s="1308"/>
      <c r="R192" s="1308"/>
      <c r="S192" s="1317"/>
      <c r="T192" s="1317" t="s">
        <v>1973</v>
      </c>
      <c r="U192" s="1308">
        <v>70</v>
      </c>
      <c r="V192" s="1308"/>
      <c r="W192" s="1308"/>
      <c r="X192" s="1308"/>
      <c r="Y192" s="1308"/>
      <c r="Z192" s="1308"/>
      <c r="AA192" s="1308"/>
    </row>
    <row r="193" spans="1:27">
      <c r="A193" s="1370">
        <v>71</v>
      </c>
      <c r="B193" s="1371" t="s">
        <v>1974</v>
      </c>
      <c r="C193" s="1366"/>
      <c r="D193" s="1366"/>
      <c r="E193" s="1367"/>
      <c r="F193" s="1299"/>
      <c r="G193" s="1309"/>
      <c r="H193" s="1306"/>
      <c r="I193" s="1307"/>
      <c r="J193" s="1307"/>
      <c r="K193" s="1307"/>
      <c r="L193" s="1307"/>
      <c r="M193" s="1307"/>
      <c r="N193" s="1307"/>
      <c r="O193" s="1308"/>
      <c r="P193" s="1308"/>
      <c r="Q193" s="1308"/>
      <c r="R193" s="1308"/>
      <c r="S193" s="1317"/>
      <c r="T193" s="1317" t="s">
        <v>1974</v>
      </c>
      <c r="U193" s="1308">
        <v>71</v>
      </c>
      <c r="V193" s="1308"/>
      <c r="W193" s="1308"/>
      <c r="X193" s="1308"/>
      <c r="Y193" s="1308"/>
      <c r="Z193" s="1308"/>
      <c r="AA193" s="1308"/>
    </row>
    <row r="194" spans="1:27">
      <c r="A194" s="1370">
        <v>72</v>
      </c>
      <c r="B194" s="1371" t="s">
        <v>1975</v>
      </c>
      <c r="C194" s="1366"/>
      <c r="D194" s="1366"/>
      <c r="E194" s="1367"/>
      <c r="F194" s="1299"/>
      <c r="G194" s="1309"/>
      <c r="H194" s="1306"/>
      <c r="I194" s="1307"/>
      <c r="J194" s="1307"/>
      <c r="K194" s="1307"/>
      <c r="L194" s="1307"/>
      <c r="M194" s="1307"/>
      <c r="N194" s="1307"/>
      <c r="O194" s="1308"/>
      <c r="P194" s="1308"/>
      <c r="Q194" s="1308"/>
      <c r="R194" s="1308"/>
      <c r="S194" s="1317"/>
      <c r="T194" s="1317" t="s">
        <v>1975</v>
      </c>
      <c r="U194" s="1308">
        <v>72</v>
      </c>
      <c r="V194" s="1308"/>
      <c r="W194" s="1308"/>
      <c r="X194" s="1308"/>
      <c r="Y194" s="1308"/>
      <c r="Z194" s="1308"/>
      <c r="AA194" s="1308"/>
    </row>
    <row r="195" spans="1:27">
      <c r="A195" s="1370">
        <v>73</v>
      </c>
      <c r="B195" s="1371" t="s">
        <v>1976</v>
      </c>
      <c r="C195" s="1366"/>
      <c r="D195" s="1366"/>
      <c r="E195" s="1367"/>
      <c r="F195" s="1299"/>
      <c r="G195" s="1309"/>
      <c r="H195" s="1306"/>
      <c r="I195" s="1307"/>
      <c r="J195" s="1307"/>
      <c r="K195" s="1307"/>
      <c r="L195" s="1307"/>
      <c r="M195" s="1307"/>
      <c r="N195" s="1307"/>
      <c r="O195" s="1308"/>
      <c r="P195" s="1308"/>
      <c r="Q195" s="1308"/>
      <c r="R195" s="1308"/>
      <c r="S195" s="1317"/>
      <c r="T195" s="1317" t="s">
        <v>1976</v>
      </c>
      <c r="U195" s="1308">
        <v>73</v>
      </c>
      <c r="V195" s="1308"/>
      <c r="W195" s="1308"/>
      <c r="X195" s="1308"/>
      <c r="Y195" s="1308"/>
      <c r="Z195" s="1308"/>
      <c r="AA195" s="1308"/>
    </row>
    <row r="196" spans="1:27">
      <c r="A196" s="1370">
        <v>74</v>
      </c>
      <c r="B196" s="1371" t="s">
        <v>1977</v>
      </c>
      <c r="C196" s="1366"/>
      <c r="D196" s="1366"/>
      <c r="E196" s="1367"/>
      <c r="F196" s="1299"/>
      <c r="G196" s="1309"/>
      <c r="H196" s="1306"/>
      <c r="I196" s="1307"/>
      <c r="J196" s="1307"/>
      <c r="K196" s="1307"/>
      <c r="L196" s="1307"/>
      <c r="M196" s="1307"/>
      <c r="N196" s="1307"/>
      <c r="O196" s="1308"/>
      <c r="P196" s="1308"/>
      <c r="Q196" s="1308"/>
      <c r="R196" s="1308"/>
      <c r="S196" s="1317"/>
      <c r="T196" s="1317" t="s">
        <v>1977</v>
      </c>
      <c r="U196" s="1308">
        <v>74</v>
      </c>
      <c r="V196" s="1308"/>
      <c r="W196" s="1308"/>
      <c r="X196" s="1308"/>
      <c r="Y196" s="1308"/>
      <c r="Z196" s="1308"/>
      <c r="AA196" s="1308"/>
    </row>
    <row r="197" spans="1:27">
      <c r="A197" s="1370">
        <v>75</v>
      </c>
      <c r="B197" s="1371" t="s">
        <v>1978</v>
      </c>
      <c r="C197" s="1366"/>
      <c r="D197" s="1366"/>
      <c r="E197" s="1367"/>
      <c r="F197" s="1299"/>
      <c r="G197" s="1309"/>
      <c r="H197" s="1306"/>
      <c r="I197" s="1307"/>
      <c r="J197" s="1307"/>
      <c r="K197" s="1307"/>
      <c r="L197" s="1307"/>
      <c r="M197" s="1307"/>
      <c r="N197" s="1307"/>
      <c r="O197" s="1308"/>
      <c r="P197" s="1308"/>
      <c r="Q197" s="1308"/>
      <c r="R197" s="1308"/>
      <c r="S197" s="1317"/>
      <c r="T197" s="1317" t="s">
        <v>1978</v>
      </c>
      <c r="U197" s="1308">
        <v>75</v>
      </c>
      <c r="V197" s="1308"/>
      <c r="W197" s="1308"/>
      <c r="X197" s="1308"/>
      <c r="Y197" s="1308"/>
      <c r="Z197" s="1308"/>
      <c r="AA197" s="1308"/>
    </row>
    <row r="198" spans="1:27">
      <c r="A198" s="1370">
        <v>76</v>
      </c>
      <c r="B198" s="1371" t="s">
        <v>1979</v>
      </c>
      <c r="C198" s="1366"/>
      <c r="D198" s="1366"/>
      <c r="E198" s="1367"/>
      <c r="F198" s="1299"/>
      <c r="G198" s="1309"/>
      <c r="H198" s="1306"/>
      <c r="I198" s="1307"/>
      <c r="J198" s="1307"/>
      <c r="K198" s="1307"/>
      <c r="L198" s="1307"/>
      <c r="M198" s="1307"/>
      <c r="N198" s="1307"/>
      <c r="O198" s="1308"/>
      <c r="P198" s="1308"/>
      <c r="Q198" s="1308"/>
      <c r="R198" s="1308"/>
      <c r="S198" s="1317"/>
      <c r="T198" s="1317" t="s">
        <v>1979</v>
      </c>
      <c r="U198" s="1308">
        <v>76</v>
      </c>
      <c r="V198" s="1308"/>
      <c r="W198" s="1308"/>
      <c r="X198" s="1308"/>
      <c r="Y198" s="1308"/>
      <c r="Z198" s="1308"/>
      <c r="AA198" s="1308"/>
    </row>
    <row r="199" spans="1:27">
      <c r="A199" s="1370">
        <v>77</v>
      </c>
      <c r="B199" s="1371" t="s">
        <v>1980</v>
      </c>
      <c r="C199" s="1366"/>
      <c r="D199" s="1366"/>
      <c r="E199" s="1367"/>
      <c r="F199" s="1299"/>
      <c r="G199" s="1309"/>
      <c r="H199" s="1306"/>
      <c r="I199" s="1307"/>
      <c r="J199" s="1307"/>
      <c r="K199" s="1307"/>
      <c r="L199" s="1307"/>
      <c r="M199" s="1307"/>
      <c r="N199" s="1307"/>
      <c r="O199" s="1308"/>
      <c r="P199" s="1308"/>
      <c r="Q199" s="1308"/>
      <c r="R199" s="1308"/>
      <c r="S199" s="1317"/>
      <c r="T199" s="1317" t="s">
        <v>1980</v>
      </c>
      <c r="U199" s="1308">
        <v>77</v>
      </c>
      <c r="V199" s="1308"/>
      <c r="W199" s="1308"/>
      <c r="X199" s="1308"/>
      <c r="Y199" s="1308"/>
      <c r="Z199" s="1308"/>
      <c r="AA199" s="1308"/>
    </row>
    <row r="200" spans="1:27">
      <c r="A200" s="1370">
        <v>78</v>
      </c>
      <c r="B200" s="1371" t="s">
        <v>1981</v>
      </c>
      <c r="C200" s="1366"/>
      <c r="D200" s="1366"/>
      <c r="E200" s="1367"/>
      <c r="F200" s="1299"/>
      <c r="G200" s="1309"/>
      <c r="H200" s="1306"/>
      <c r="I200" s="1307"/>
      <c r="J200" s="1307"/>
      <c r="K200" s="1307"/>
      <c r="L200" s="1307"/>
      <c r="M200" s="1307"/>
      <c r="N200" s="1307"/>
      <c r="O200" s="1308"/>
      <c r="P200" s="1308"/>
      <c r="Q200" s="1308"/>
      <c r="R200" s="1308"/>
      <c r="S200" s="1317"/>
      <c r="T200" s="1317" t="s">
        <v>1981</v>
      </c>
      <c r="U200" s="1308">
        <v>78</v>
      </c>
      <c r="V200" s="1308"/>
      <c r="W200" s="1308"/>
      <c r="X200" s="1308"/>
      <c r="Y200" s="1308"/>
      <c r="Z200" s="1308"/>
      <c r="AA200" s="1308"/>
    </row>
    <row r="201" spans="1:27">
      <c r="A201" s="1370">
        <v>79</v>
      </c>
      <c r="B201" s="1371" t="s">
        <v>1982</v>
      </c>
      <c r="C201" s="1366"/>
      <c r="D201" s="1366"/>
      <c r="E201" s="1367"/>
      <c r="F201" s="1299"/>
      <c r="G201" s="1309"/>
      <c r="H201" s="1306"/>
      <c r="I201" s="1307"/>
      <c r="J201" s="1307"/>
      <c r="K201" s="1307"/>
      <c r="L201" s="1307"/>
      <c r="M201" s="1307"/>
      <c r="N201" s="1307"/>
      <c r="O201" s="1308"/>
      <c r="P201" s="1308"/>
      <c r="Q201" s="1308"/>
      <c r="R201" s="1308"/>
      <c r="S201" s="1317"/>
      <c r="T201" s="1317" t="s">
        <v>1982</v>
      </c>
      <c r="U201" s="1308">
        <v>79</v>
      </c>
      <c r="V201" s="1308"/>
      <c r="W201" s="1308"/>
      <c r="X201" s="1308"/>
      <c r="Y201" s="1308"/>
      <c r="Z201" s="1308"/>
      <c r="AA201" s="1308"/>
    </row>
    <row r="202" spans="1:27">
      <c r="A202" s="1370">
        <v>80</v>
      </c>
      <c r="B202" s="1371" t="s">
        <v>1983</v>
      </c>
      <c r="C202" s="1366"/>
      <c r="D202" s="1366"/>
      <c r="E202" s="1367"/>
      <c r="F202" s="1299"/>
      <c r="G202" s="1309"/>
      <c r="H202" s="1306"/>
      <c r="I202" s="1307"/>
      <c r="J202" s="1307"/>
      <c r="K202" s="1307"/>
      <c r="L202" s="1307"/>
      <c r="M202" s="1307"/>
      <c r="N202" s="1307"/>
      <c r="O202" s="1308"/>
      <c r="P202" s="1308"/>
      <c r="Q202" s="1308"/>
      <c r="R202" s="1308"/>
      <c r="S202" s="1317"/>
      <c r="T202" s="1317" t="s">
        <v>1983</v>
      </c>
      <c r="U202" s="1308">
        <v>80</v>
      </c>
      <c r="V202" s="1308"/>
      <c r="W202" s="1308"/>
      <c r="X202" s="1308"/>
      <c r="Y202" s="1308"/>
      <c r="Z202" s="1308"/>
      <c r="AA202" s="1308"/>
    </row>
    <row r="203" spans="1:27">
      <c r="A203" s="1370">
        <v>81</v>
      </c>
      <c r="B203" s="1371" t="s">
        <v>1984</v>
      </c>
      <c r="C203" s="1366"/>
      <c r="D203" s="1366"/>
      <c r="E203" s="1367"/>
      <c r="F203" s="1299"/>
      <c r="G203" s="1309"/>
      <c r="H203" s="1306"/>
      <c r="I203" s="1307"/>
      <c r="J203" s="1307"/>
      <c r="K203" s="1307"/>
      <c r="L203" s="1307"/>
      <c r="M203" s="1307"/>
      <c r="N203" s="1307"/>
      <c r="O203" s="1308"/>
      <c r="P203" s="1308"/>
      <c r="Q203" s="1308"/>
      <c r="R203" s="1308"/>
      <c r="S203" s="1317"/>
      <c r="T203" s="1317" t="s">
        <v>1984</v>
      </c>
      <c r="U203" s="1308">
        <v>81</v>
      </c>
      <c r="V203" s="1308"/>
      <c r="W203" s="1308"/>
      <c r="X203" s="1308"/>
      <c r="Y203" s="1308"/>
      <c r="Z203" s="1308"/>
      <c r="AA203" s="1308"/>
    </row>
    <row r="204" spans="1:27">
      <c r="A204" s="1370">
        <v>82</v>
      </c>
      <c r="B204" s="1371" t="s">
        <v>1985</v>
      </c>
      <c r="C204" s="1366"/>
      <c r="D204" s="1366"/>
      <c r="E204" s="1367"/>
      <c r="F204" s="1299"/>
      <c r="G204" s="1309"/>
      <c r="H204" s="1306"/>
      <c r="I204" s="1307"/>
      <c r="J204" s="1307"/>
      <c r="K204" s="1307"/>
      <c r="L204" s="1307"/>
      <c r="M204" s="1307"/>
      <c r="N204" s="1307"/>
      <c r="O204" s="1308"/>
      <c r="P204" s="1308"/>
      <c r="Q204" s="1308"/>
      <c r="R204" s="1308"/>
      <c r="S204" s="1317"/>
      <c r="T204" s="1317" t="s">
        <v>1985</v>
      </c>
      <c r="U204" s="1308">
        <v>82</v>
      </c>
      <c r="V204" s="1308"/>
      <c r="W204" s="1308"/>
      <c r="X204" s="1308"/>
      <c r="Y204" s="1308"/>
      <c r="Z204" s="1308"/>
      <c r="AA204" s="1308"/>
    </row>
    <row r="205" spans="1:27">
      <c r="A205" s="1370">
        <v>83</v>
      </c>
      <c r="B205" s="1371" t="s">
        <v>1986</v>
      </c>
      <c r="C205" s="1366"/>
      <c r="D205" s="1366"/>
      <c r="E205" s="1367"/>
      <c r="F205" s="1299"/>
      <c r="G205" s="1309"/>
      <c r="H205" s="1306"/>
      <c r="I205" s="1307"/>
      <c r="J205" s="1307"/>
      <c r="K205" s="1307"/>
      <c r="L205" s="1307"/>
      <c r="M205" s="1307"/>
      <c r="N205" s="1307"/>
      <c r="O205" s="1308"/>
      <c r="P205" s="1308"/>
      <c r="Q205" s="1308"/>
      <c r="R205" s="1308"/>
      <c r="S205" s="1317"/>
      <c r="T205" s="1317" t="s">
        <v>1986</v>
      </c>
      <c r="U205" s="1308">
        <v>83</v>
      </c>
      <c r="V205" s="1308"/>
      <c r="W205" s="1308"/>
      <c r="X205" s="1308"/>
      <c r="Y205" s="1308"/>
      <c r="Z205" s="1308"/>
      <c r="AA205" s="1308"/>
    </row>
    <row r="206" spans="1:27">
      <c r="A206" s="1370">
        <v>84</v>
      </c>
      <c r="B206" s="1371" t="s">
        <v>1987</v>
      </c>
      <c r="C206" s="1366"/>
      <c r="D206" s="1366"/>
      <c r="E206" s="1367"/>
      <c r="F206" s="1299"/>
      <c r="G206" s="1309"/>
      <c r="H206" s="1306"/>
      <c r="I206" s="1307"/>
      <c r="J206" s="1307"/>
      <c r="K206" s="1307"/>
      <c r="L206" s="1307"/>
      <c r="M206" s="1307"/>
      <c r="N206" s="1307"/>
      <c r="O206" s="1308"/>
      <c r="P206" s="1308"/>
      <c r="Q206" s="1308"/>
      <c r="R206" s="1308"/>
      <c r="S206" s="1317"/>
      <c r="T206" s="1317" t="s">
        <v>1987</v>
      </c>
      <c r="U206" s="1308">
        <v>84</v>
      </c>
      <c r="V206" s="1308"/>
      <c r="W206" s="1308"/>
      <c r="X206" s="1308"/>
      <c r="Y206" s="1308"/>
      <c r="Z206" s="1308"/>
      <c r="AA206" s="1308"/>
    </row>
    <row r="207" spans="1:27">
      <c r="A207" s="1370">
        <v>85</v>
      </c>
      <c r="B207" s="1371" t="s">
        <v>1988</v>
      </c>
      <c r="C207" s="1366"/>
      <c r="D207" s="1366"/>
      <c r="E207" s="1367"/>
      <c r="F207" s="1299"/>
      <c r="G207" s="1309"/>
      <c r="H207" s="1306"/>
      <c r="I207" s="1307"/>
      <c r="J207" s="1307"/>
      <c r="K207" s="1307"/>
      <c r="L207" s="1307"/>
      <c r="M207" s="1307"/>
      <c r="N207" s="1307"/>
      <c r="O207" s="1308"/>
      <c r="P207" s="1308"/>
      <c r="Q207" s="1308"/>
      <c r="R207" s="1308"/>
      <c r="S207" s="1317"/>
      <c r="T207" s="1317" t="s">
        <v>1988</v>
      </c>
      <c r="U207" s="1308">
        <v>85</v>
      </c>
      <c r="V207" s="1308"/>
      <c r="W207" s="1308"/>
      <c r="X207" s="1308"/>
      <c r="Y207" s="1308"/>
      <c r="Z207" s="1308"/>
      <c r="AA207" s="1308"/>
    </row>
    <row r="208" spans="1:27">
      <c r="A208" s="1370">
        <v>86</v>
      </c>
      <c r="B208" s="1371" t="s">
        <v>1989</v>
      </c>
      <c r="C208" s="1366"/>
      <c r="D208" s="1366"/>
      <c r="E208" s="1367"/>
      <c r="F208" s="1299"/>
      <c r="G208" s="1309"/>
      <c r="H208" s="1306"/>
      <c r="I208" s="1307"/>
      <c r="J208" s="1307"/>
      <c r="K208" s="1307"/>
      <c r="L208" s="1307"/>
      <c r="M208" s="1307"/>
      <c r="N208" s="1307"/>
      <c r="O208" s="1308"/>
      <c r="P208" s="1308"/>
      <c r="Q208" s="1308"/>
      <c r="R208" s="1308"/>
      <c r="S208" s="1317"/>
      <c r="T208" s="1317" t="s">
        <v>1989</v>
      </c>
      <c r="U208" s="1308">
        <v>86</v>
      </c>
      <c r="V208" s="1308"/>
      <c r="W208" s="1308"/>
      <c r="X208" s="1308"/>
      <c r="Y208" s="1308"/>
      <c r="Z208" s="1308"/>
      <c r="AA208" s="1308"/>
    </row>
    <row r="209" spans="1:27">
      <c r="A209" s="1370">
        <v>87</v>
      </c>
      <c r="B209" s="1372" t="s">
        <v>1990</v>
      </c>
      <c r="C209" s="1366"/>
      <c r="D209" s="1366"/>
      <c r="E209" s="1367"/>
      <c r="F209" s="1299"/>
      <c r="G209" s="1309"/>
      <c r="H209" s="1306"/>
      <c r="I209" s="1307"/>
      <c r="J209" s="1307"/>
      <c r="K209" s="1307"/>
      <c r="L209" s="1307"/>
      <c r="M209" s="1307"/>
      <c r="N209" s="1307"/>
      <c r="O209" s="1308"/>
      <c r="P209" s="1308"/>
      <c r="Q209" s="1308"/>
      <c r="R209" s="1308"/>
      <c r="S209" s="1317"/>
      <c r="T209" s="1317" t="s">
        <v>1990</v>
      </c>
      <c r="U209" s="1308">
        <v>87</v>
      </c>
      <c r="V209" s="1308"/>
      <c r="W209" s="1308"/>
      <c r="X209" s="1308"/>
      <c r="Y209" s="1308"/>
      <c r="Z209" s="1308"/>
      <c r="AA209" s="1308"/>
    </row>
    <row r="210" spans="1:27">
      <c r="A210" s="1370">
        <v>88</v>
      </c>
      <c r="B210" s="1371" t="s">
        <v>1991</v>
      </c>
      <c r="C210" s="1366"/>
      <c r="D210" s="1366"/>
      <c r="E210" s="1367"/>
      <c r="F210" s="1299"/>
      <c r="G210" s="1309"/>
      <c r="H210" s="1306"/>
      <c r="I210" s="1307"/>
      <c r="J210" s="1307"/>
      <c r="K210" s="1307"/>
      <c r="L210" s="1307"/>
      <c r="M210" s="1307"/>
      <c r="N210" s="1307"/>
      <c r="O210" s="1308"/>
      <c r="P210" s="1308"/>
      <c r="Q210" s="1308"/>
      <c r="R210" s="1308"/>
      <c r="S210" s="1317"/>
      <c r="T210" s="1317" t="s">
        <v>1991</v>
      </c>
      <c r="U210" s="1308">
        <v>88</v>
      </c>
      <c r="V210" s="1308"/>
      <c r="W210" s="1308"/>
      <c r="X210" s="1308"/>
      <c r="Y210" s="1308"/>
      <c r="Z210" s="1308"/>
      <c r="AA210" s="1308"/>
    </row>
    <row r="211" spans="1:27">
      <c r="A211" s="1370">
        <v>89</v>
      </c>
      <c r="B211" s="1370" t="s">
        <v>1992</v>
      </c>
      <c r="C211" s="1366"/>
      <c r="D211" s="1366"/>
      <c r="E211" s="1367"/>
      <c r="F211" s="1299"/>
      <c r="G211" s="1309"/>
      <c r="H211" s="1306"/>
      <c r="I211" s="1307"/>
      <c r="J211" s="1307"/>
      <c r="K211" s="1307"/>
      <c r="L211" s="1307"/>
      <c r="M211" s="1307"/>
      <c r="N211" s="1307"/>
      <c r="O211" s="1308"/>
      <c r="P211" s="1308"/>
      <c r="Q211" s="1308"/>
      <c r="R211" s="1308"/>
      <c r="S211" s="1317"/>
      <c r="T211" s="1317" t="s">
        <v>1992</v>
      </c>
      <c r="U211" s="1308">
        <v>89</v>
      </c>
      <c r="V211" s="1308"/>
      <c r="W211" s="1308"/>
      <c r="X211" s="1308"/>
      <c r="Y211" s="1308"/>
      <c r="Z211" s="1308"/>
      <c r="AA211" s="1308"/>
    </row>
    <row r="212" spans="1:27">
      <c r="A212" s="1370">
        <v>90</v>
      </c>
      <c r="B212" s="1370">
        <v>155</v>
      </c>
      <c r="C212" s="1366"/>
      <c r="D212" s="1366"/>
      <c r="E212" s="1367"/>
      <c r="F212" s="1299"/>
      <c r="G212" s="1309"/>
      <c r="H212" s="1306"/>
      <c r="I212" s="1307"/>
      <c r="J212" s="1307"/>
      <c r="K212" s="1307"/>
      <c r="L212" s="1307"/>
      <c r="M212" s="1307"/>
      <c r="N212" s="1307"/>
      <c r="O212" s="1308"/>
      <c r="P212" s="1308"/>
      <c r="Q212" s="1308"/>
      <c r="R212" s="1308"/>
      <c r="S212" s="1317"/>
      <c r="T212" s="1317">
        <v>155</v>
      </c>
      <c r="U212" s="1308">
        <v>90</v>
      </c>
      <c r="V212" s="1308"/>
      <c r="W212" s="1308"/>
      <c r="X212" s="1308"/>
      <c r="Y212" s="1308"/>
      <c r="Z212" s="1308"/>
      <c r="AA212" s="1308"/>
    </row>
    <row r="213" spans="1:27">
      <c r="A213" s="1370">
        <v>91</v>
      </c>
      <c r="B213" s="1370">
        <v>157</v>
      </c>
      <c r="C213" s="1366"/>
      <c r="D213" s="1366"/>
      <c r="E213" s="1367"/>
      <c r="F213" s="1299"/>
      <c r="G213" s="1309"/>
      <c r="H213" s="1306"/>
      <c r="I213" s="1307"/>
      <c r="J213" s="1307"/>
      <c r="K213" s="1307"/>
      <c r="L213" s="1307"/>
      <c r="M213" s="1307"/>
      <c r="N213" s="1307"/>
      <c r="O213" s="1308"/>
      <c r="P213" s="1308"/>
      <c r="Q213" s="1308"/>
      <c r="R213" s="1308"/>
      <c r="S213" s="1317"/>
      <c r="T213" s="1317">
        <v>157</v>
      </c>
      <c r="U213" s="1308">
        <v>91</v>
      </c>
      <c r="V213" s="1308"/>
      <c r="W213" s="1308"/>
      <c r="X213" s="1308"/>
      <c r="Y213" s="1308"/>
      <c r="Z213" s="1308"/>
      <c r="AA213" s="1308"/>
    </row>
    <row r="214" spans="1:27">
      <c r="A214" s="1370">
        <v>92</v>
      </c>
      <c r="B214" s="1370">
        <v>153</v>
      </c>
      <c r="C214" s="1366"/>
      <c r="D214" s="1366"/>
      <c r="E214" s="1367"/>
      <c r="F214" s="1299"/>
      <c r="G214" s="1309"/>
      <c r="H214" s="1306"/>
      <c r="I214" s="1307"/>
      <c r="J214" s="1307"/>
      <c r="K214" s="1307"/>
      <c r="L214" s="1307"/>
      <c r="M214" s="1307"/>
      <c r="N214" s="1307"/>
      <c r="O214" s="1308"/>
      <c r="P214" s="1308"/>
      <c r="Q214" s="1308"/>
      <c r="R214" s="1308"/>
      <c r="S214" s="1317"/>
      <c r="T214" s="1317">
        <v>153</v>
      </c>
      <c r="U214" s="1308">
        <v>92</v>
      </c>
      <c r="V214" s="1308"/>
      <c r="W214" s="1308"/>
      <c r="X214" s="1308"/>
      <c r="Y214" s="1308"/>
      <c r="Z214" s="1308"/>
      <c r="AA214" s="1308"/>
    </row>
    <row r="215" spans="1:27">
      <c r="A215" s="1370">
        <v>93</v>
      </c>
      <c r="B215" s="1370" t="s">
        <v>1993</v>
      </c>
      <c r="C215" s="1366"/>
      <c r="D215" s="1366"/>
      <c r="E215" s="1367"/>
      <c r="F215" s="1299"/>
      <c r="G215" s="1309"/>
      <c r="H215" s="1306"/>
      <c r="I215" s="1307"/>
      <c r="J215" s="1307"/>
      <c r="K215" s="1307"/>
      <c r="L215" s="1307"/>
      <c r="M215" s="1307"/>
      <c r="N215" s="1307"/>
      <c r="O215" s="1308"/>
      <c r="P215" s="1308"/>
      <c r="Q215" s="1308"/>
      <c r="R215" s="1308"/>
      <c r="S215" s="1317"/>
      <c r="T215" s="1317" t="s">
        <v>1993</v>
      </c>
      <c r="U215" s="1308">
        <v>93</v>
      </c>
      <c r="V215" s="1308"/>
      <c r="W215" s="1308"/>
      <c r="X215" s="1308"/>
      <c r="Y215" s="1308"/>
      <c r="Z215" s="1308"/>
      <c r="AA215" s="1308"/>
    </row>
    <row r="216" spans="1:27">
      <c r="A216" s="1370">
        <v>94</v>
      </c>
      <c r="B216" s="1371" t="s">
        <v>1994</v>
      </c>
      <c r="C216" s="1366"/>
      <c r="D216" s="1366"/>
      <c r="E216" s="1367"/>
      <c r="F216" s="1299"/>
      <c r="G216" s="1309"/>
      <c r="H216" s="1306"/>
      <c r="I216" s="1307"/>
      <c r="J216" s="1307"/>
      <c r="K216" s="1307"/>
      <c r="L216" s="1307"/>
      <c r="M216" s="1307"/>
      <c r="N216" s="1307"/>
      <c r="O216" s="1308"/>
      <c r="P216" s="1308"/>
      <c r="Q216" s="1308"/>
      <c r="R216" s="1308"/>
      <c r="S216" s="1317"/>
      <c r="T216" s="1317" t="s">
        <v>1994</v>
      </c>
      <c r="U216" s="1308">
        <v>94</v>
      </c>
      <c r="V216" s="1308"/>
      <c r="W216" s="1308"/>
      <c r="X216" s="1308"/>
      <c r="Y216" s="1308"/>
      <c r="Z216" s="1308"/>
      <c r="AA216" s="1308"/>
    </row>
    <row r="217" spans="1:27">
      <c r="A217" s="1370">
        <v>95</v>
      </c>
      <c r="B217" s="1371" t="s">
        <v>1995</v>
      </c>
      <c r="C217" s="1366"/>
      <c r="D217" s="1366"/>
      <c r="E217" s="1367"/>
      <c r="F217" s="1299"/>
      <c r="G217" s="1309"/>
      <c r="H217" s="1306"/>
      <c r="I217" s="1307"/>
      <c r="J217" s="1307"/>
      <c r="K217" s="1307"/>
      <c r="L217" s="1307"/>
      <c r="M217" s="1307"/>
      <c r="N217" s="1307"/>
      <c r="O217" s="1308"/>
      <c r="P217" s="1308"/>
      <c r="Q217" s="1308"/>
      <c r="R217" s="1308"/>
      <c r="S217" s="1317"/>
      <c r="T217" s="1317" t="s">
        <v>1995</v>
      </c>
      <c r="U217" s="1308">
        <v>95</v>
      </c>
      <c r="V217" s="1308"/>
      <c r="W217" s="1308"/>
      <c r="X217" s="1308"/>
      <c r="Y217" s="1308"/>
      <c r="Z217" s="1308"/>
      <c r="AA217" s="1308"/>
    </row>
    <row r="218" spans="1:27">
      <c r="A218" s="1370">
        <v>96</v>
      </c>
      <c r="B218" s="1371" t="s">
        <v>1996</v>
      </c>
      <c r="C218" s="1366"/>
      <c r="D218" s="1366"/>
      <c r="E218" s="1367"/>
      <c r="F218" s="1299"/>
      <c r="G218" s="1309"/>
      <c r="H218" s="1306"/>
      <c r="I218" s="1307"/>
      <c r="J218" s="1307"/>
      <c r="K218" s="1307"/>
      <c r="L218" s="1307"/>
      <c r="M218" s="1307"/>
      <c r="N218" s="1307"/>
      <c r="O218" s="1308"/>
      <c r="P218" s="1308"/>
      <c r="Q218" s="1308"/>
      <c r="R218" s="1308"/>
      <c r="S218" s="1317"/>
      <c r="T218" s="1317" t="s">
        <v>1996</v>
      </c>
      <c r="U218" s="1308">
        <v>96</v>
      </c>
      <c r="V218" s="1308"/>
      <c r="W218" s="1308"/>
      <c r="X218" s="1308"/>
      <c r="Y218" s="1308"/>
      <c r="Z218" s="1308"/>
      <c r="AA218" s="1308"/>
    </row>
    <row r="219" spans="1:27">
      <c r="A219" s="1370">
        <v>97</v>
      </c>
      <c r="B219" s="1371" t="s">
        <v>1997</v>
      </c>
      <c r="C219" s="1366"/>
      <c r="D219" s="1366"/>
      <c r="E219" s="1367"/>
      <c r="F219" s="1299"/>
      <c r="G219" s="1309"/>
      <c r="H219" s="1306"/>
      <c r="I219" s="1307"/>
      <c r="J219" s="1307"/>
      <c r="K219" s="1307"/>
      <c r="L219" s="1307"/>
      <c r="M219" s="1307"/>
      <c r="N219" s="1307"/>
      <c r="O219" s="1308"/>
      <c r="P219" s="1308"/>
      <c r="Q219" s="1308"/>
      <c r="R219" s="1308"/>
      <c r="S219" s="1317"/>
      <c r="T219" s="1317" t="s">
        <v>1997</v>
      </c>
      <c r="U219" s="1308">
        <v>97</v>
      </c>
      <c r="V219" s="1308"/>
      <c r="W219" s="1308"/>
      <c r="X219" s="1308"/>
      <c r="Y219" s="1308"/>
      <c r="Z219" s="1308"/>
      <c r="AA219" s="1308"/>
    </row>
    <row r="220" spans="1:27">
      <c r="A220" s="1370">
        <v>98</v>
      </c>
      <c r="B220" s="1371" t="s">
        <v>1998</v>
      </c>
      <c r="C220" s="1366"/>
      <c r="D220" s="1366"/>
      <c r="E220" s="1367"/>
      <c r="F220" s="1299"/>
      <c r="G220" s="1309"/>
      <c r="H220" s="1306"/>
      <c r="I220" s="1307"/>
      <c r="J220" s="1307"/>
      <c r="K220" s="1307"/>
      <c r="L220" s="1307"/>
      <c r="M220" s="1307"/>
      <c r="N220" s="1307"/>
      <c r="O220" s="1308"/>
      <c r="P220" s="1308"/>
      <c r="Q220" s="1308"/>
      <c r="R220" s="1308"/>
      <c r="S220" s="1317"/>
      <c r="T220" s="1317" t="s">
        <v>1998</v>
      </c>
      <c r="U220" s="1308">
        <v>98</v>
      </c>
      <c r="V220" s="1308"/>
      <c r="W220" s="1308"/>
      <c r="X220" s="1308"/>
      <c r="Y220" s="1308"/>
      <c r="Z220" s="1308"/>
      <c r="AA220" s="1308"/>
    </row>
    <row r="221" spans="1:27">
      <c r="A221" s="1370">
        <v>99</v>
      </c>
      <c r="B221" s="1371" t="s">
        <v>1999</v>
      </c>
      <c r="C221" s="1366"/>
      <c r="D221" s="1366"/>
      <c r="E221" s="1367"/>
      <c r="F221" s="1299"/>
      <c r="G221" s="1309"/>
      <c r="H221" s="1306"/>
      <c r="I221" s="1307"/>
      <c r="J221" s="1307"/>
      <c r="K221" s="1307"/>
      <c r="L221" s="1307"/>
      <c r="M221" s="1307"/>
      <c r="N221" s="1307"/>
      <c r="O221" s="1308"/>
      <c r="P221" s="1308"/>
      <c r="Q221" s="1308"/>
      <c r="R221" s="1308"/>
      <c r="S221" s="1317"/>
      <c r="T221" s="1317" t="s">
        <v>1999</v>
      </c>
      <c r="U221" s="1308">
        <v>99</v>
      </c>
      <c r="V221" s="1308"/>
      <c r="W221" s="1308"/>
      <c r="X221" s="1308"/>
      <c r="Y221" s="1308"/>
      <c r="Z221" s="1308"/>
      <c r="AA221" s="1308"/>
    </row>
    <row r="222" spans="1:27">
      <c r="A222" s="1370">
        <v>100</v>
      </c>
      <c r="B222" s="1371" t="s">
        <v>2000</v>
      </c>
      <c r="C222" s="1366"/>
      <c r="D222" s="1366"/>
      <c r="E222" s="1367"/>
      <c r="F222" s="1299"/>
      <c r="G222" s="1309"/>
      <c r="H222" s="1306"/>
      <c r="I222" s="1307"/>
      <c r="J222" s="1307"/>
      <c r="K222" s="1307"/>
      <c r="L222" s="1307"/>
      <c r="M222" s="1307"/>
      <c r="N222" s="1307"/>
      <c r="O222" s="1308"/>
      <c r="P222" s="1308"/>
      <c r="Q222" s="1308"/>
      <c r="R222" s="1308"/>
      <c r="S222" s="1317"/>
      <c r="T222" s="1317" t="s">
        <v>2000</v>
      </c>
      <c r="U222" s="1308">
        <v>100</v>
      </c>
      <c r="V222" s="1308"/>
      <c r="W222" s="1308"/>
      <c r="X222" s="1308"/>
      <c r="Y222" s="1308"/>
      <c r="Z222" s="1308"/>
      <c r="AA222" s="1308"/>
    </row>
    <row r="223" spans="1:27">
      <c r="A223" s="1370">
        <v>101</v>
      </c>
      <c r="B223" s="1371" t="s">
        <v>149</v>
      </c>
      <c r="C223" s="1366"/>
      <c r="D223" s="1366"/>
      <c r="E223" s="1367"/>
      <c r="F223" s="1299"/>
      <c r="G223" s="1309"/>
      <c r="H223" s="1306"/>
      <c r="I223" s="1307"/>
      <c r="J223" s="1307"/>
      <c r="K223" s="1307"/>
      <c r="L223" s="1307"/>
      <c r="M223" s="1307"/>
      <c r="N223" s="1307"/>
      <c r="O223" s="1308"/>
      <c r="P223" s="1308"/>
      <c r="Q223" s="1308"/>
      <c r="R223" s="1308"/>
      <c r="S223" s="1317"/>
      <c r="T223" s="1317" t="s">
        <v>149</v>
      </c>
      <c r="U223" s="1308">
        <v>101</v>
      </c>
      <c r="V223" s="1308"/>
      <c r="W223" s="1308"/>
      <c r="X223" s="1308"/>
      <c r="Y223" s="1308"/>
      <c r="Z223" s="1308"/>
      <c r="AA223" s="1308"/>
    </row>
    <row r="224" spans="1:27">
      <c r="A224" s="1370">
        <v>102</v>
      </c>
      <c r="B224" s="1371" t="s">
        <v>2001</v>
      </c>
      <c r="C224" s="1366"/>
      <c r="D224" s="1366"/>
      <c r="E224" s="1367"/>
      <c r="F224" s="1299"/>
      <c r="G224" s="1309"/>
      <c r="H224" s="1306"/>
      <c r="I224" s="1307"/>
      <c r="J224" s="1307"/>
      <c r="K224" s="1307"/>
      <c r="L224" s="1307"/>
      <c r="M224" s="1307"/>
      <c r="N224" s="1307"/>
      <c r="O224" s="1308"/>
      <c r="P224" s="1308"/>
      <c r="Q224" s="1308"/>
      <c r="R224" s="1308"/>
      <c r="S224" s="1317"/>
      <c r="T224" s="1317" t="s">
        <v>2001</v>
      </c>
      <c r="U224" s="1308">
        <v>102</v>
      </c>
      <c r="V224" s="1308"/>
      <c r="W224" s="1308"/>
      <c r="X224" s="1308"/>
      <c r="Y224" s="1308"/>
      <c r="Z224" s="1308"/>
      <c r="AA224" s="1308"/>
    </row>
    <row r="225" spans="1:27">
      <c r="A225" s="1370">
        <v>103</v>
      </c>
      <c r="B225" s="1371" t="s">
        <v>150</v>
      </c>
      <c r="C225" s="1366"/>
      <c r="D225" s="1366"/>
      <c r="E225" s="1367"/>
      <c r="F225" s="1299"/>
      <c r="G225" s="1309"/>
      <c r="H225" s="1306"/>
      <c r="I225" s="1307"/>
      <c r="J225" s="1307"/>
      <c r="K225" s="1307"/>
      <c r="L225" s="1307"/>
      <c r="M225" s="1307"/>
      <c r="N225" s="1307"/>
      <c r="O225" s="1308"/>
      <c r="P225" s="1308"/>
      <c r="Q225" s="1308"/>
      <c r="R225" s="1308"/>
      <c r="S225" s="1317"/>
      <c r="T225" s="1317" t="s">
        <v>150</v>
      </c>
      <c r="U225" s="1308">
        <v>103</v>
      </c>
      <c r="V225" s="1308"/>
      <c r="W225" s="1308"/>
      <c r="X225" s="1308"/>
      <c r="Y225" s="1308"/>
      <c r="Z225" s="1308"/>
      <c r="AA225" s="1308"/>
    </row>
    <row r="226" spans="1:27">
      <c r="A226" s="1370">
        <v>104</v>
      </c>
      <c r="B226" s="1371" t="s">
        <v>2002</v>
      </c>
      <c r="C226" s="1366"/>
      <c r="D226" s="1366"/>
      <c r="E226" s="1367"/>
      <c r="F226" s="1299"/>
      <c r="G226" s="1309"/>
      <c r="H226" s="1306"/>
      <c r="I226" s="1307"/>
      <c r="J226" s="1307"/>
      <c r="K226" s="1307"/>
      <c r="L226" s="1307"/>
      <c r="M226" s="1307"/>
      <c r="N226" s="1307"/>
      <c r="O226" s="1308"/>
      <c r="P226" s="1308"/>
      <c r="Q226" s="1308"/>
      <c r="R226" s="1308"/>
      <c r="S226" s="1317"/>
      <c r="T226" s="1317" t="s">
        <v>2002</v>
      </c>
      <c r="U226" s="1308">
        <v>104</v>
      </c>
      <c r="V226" s="1308"/>
      <c r="W226" s="1308"/>
      <c r="X226" s="1308"/>
      <c r="Y226" s="1308"/>
      <c r="Z226" s="1308"/>
      <c r="AA226" s="1308"/>
    </row>
    <row r="227" spans="1:27">
      <c r="A227" s="1370">
        <v>105</v>
      </c>
      <c r="B227" s="1371" t="s">
        <v>2003</v>
      </c>
      <c r="C227" s="1366"/>
      <c r="D227" s="1366"/>
      <c r="E227" s="1367"/>
      <c r="F227" s="1299"/>
      <c r="G227" s="1309"/>
      <c r="H227" s="1306"/>
      <c r="I227" s="1307"/>
      <c r="J227" s="1307"/>
      <c r="K227" s="1307"/>
      <c r="L227" s="1307"/>
      <c r="M227" s="1307"/>
      <c r="N227" s="1307"/>
      <c r="O227" s="1308"/>
      <c r="P227" s="1308"/>
      <c r="Q227" s="1308"/>
      <c r="R227" s="1308"/>
      <c r="S227" s="1317"/>
      <c r="T227" s="1317" t="s">
        <v>2003</v>
      </c>
      <c r="U227" s="1308">
        <v>105</v>
      </c>
      <c r="V227" s="1308"/>
      <c r="W227" s="1308"/>
      <c r="X227" s="1308"/>
      <c r="Y227" s="1308"/>
      <c r="Z227" s="1308"/>
      <c r="AA227" s="1308"/>
    </row>
    <row r="228" spans="1:27">
      <c r="A228" s="1370">
        <v>106</v>
      </c>
      <c r="B228" s="1371" t="s">
        <v>2004</v>
      </c>
      <c r="C228" s="1366"/>
      <c r="D228" s="1366"/>
      <c r="E228" s="1367"/>
      <c r="F228" s="1299"/>
      <c r="G228" s="1309"/>
      <c r="H228" s="1306"/>
      <c r="I228" s="1307"/>
      <c r="J228" s="1307"/>
      <c r="K228" s="1307"/>
      <c r="L228" s="1307"/>
      <c r="M228" s="1307"/>
      <c r="N228" s="1307"/>
      <c r="O228" s="1308"/>
      <c r="P228" s="1308"/>
      <c r="Q228" s="1308"/>
      <c r="R228" s="1308"/>
      <c r="S228" s="1317"/>
      <c r="T228" s="1317" t="s">
        <v>2004</v>
      </c>
      <c r="U228" s="1308">
        <v>106</v>
      </c>
      <c r="V228" s="1308"/>
      <c r="W228" s="1308"/>
      <c r="X228" s="1308"/>
      <c r="Y228" s="1308"/>
      <c r="Z228" s="1308"/>
      <c r="AA228" s="1308"/>
    </row>
    <row r="229" spans="1:27">
      <c r="A229" s="1370">
        <v>107</v>
      </c>
      <c r="B229" s="1371" t="s">
        <v>2005</v>
      </c>
      <c r="C229" s="1366"/>
      <c r="D229" s="1366"/>
      <c r="E229" s="1367"/>
      <c r="F229" s="1299"/>
      <c r="G229" s="1309"/>
      <c r="H229" s="1306"/>
      <c r="I229" s="1307"/>
      <c r="J229" s="1307"/>
      <c r="K229" s="1307"/>
      <c r="L229" s="1307"/>
      <c r="M229" s="1307"/>
      <c r="N229" s="1307"/>
      <c r="O229" s="1308"/>
      <c r="P229" s="1308"/>
      <c r="Q229" s="1308"/>
      <c r="R229" s="1308"/>
      <c r="S229" s="1317"/>
      <c r="T229" s="1317" t="s">
        <v>2005</v>
      </c>
      <c r="U229" s="1308">
        <v>107</v>
      </c>
      <c r="V229" s="1308"/>
      <c r="W229" s="1308"/>
      <c r="X229" s="1308"/>
      <c r="Y229" s="1308"/>
      <c r="Z229" s="1308"/>
      <c r="AA229" s="1308"/>
    </row>
    <row r="230" spans="1:27">
      <c r="A230" s="1370">
        <v>108</v>
      </c>
      <c r="B230" s="1371" t="s">
        <v>2006</v>
      </c>
      <c r="C230" s="1366"/>
      <c r="D230" s="1366"/>
      <c r="E230" s="1367"/>
      <c r="F230" s="1299"/>
      <c r="G230" s="1309"/>
      <c r="H230" s="1306"/>
      <c r="I230" s="1307"/>
      <c r="J230" s="1307"/>
      <c r="K230" s="1307"/>
      <c r="L230" s="1307"/>
      <c r="M230" s="1307"/>
      <c r="N230" s="1307"/>
      <c r="O230" s="1308"/>
      <c r="P230" s="1308"/>
      <c r="Q230" s="1308"/>
      <c r="R230" s="1308"/>
      <c r="S230" s="1317"/>
      <c r="T230" s="1317" t="s">
        <v>2006</v>
      </c>
      <c r="U230" s="1308">
        <v>108</v>
      </c>
      <c r="V230" s="1308"/>
      <c r="W230" s="1308"/>
      <c r="X230" s="1308"/>
      <c r="Y230" s="1308"/>
      <c r="Z230" s="1308"/>
      <c r="AA230" s="1308"/>
    </row>
    <row r="231" spans="1:27">
      <c r="A231" s="1370">
        <v>109</v>
      </c>
      <c r="B231" s="1371" t="s">
        <v>2007</v>
      </c>
      <c r="C231" s="1366"/>
      <c r="D231" s="1366"/>
      <c r="E231" s="1367"/>
      <c r="F231" s="1299"/>
      <c r="G231" s="1309"/>
      <c r="H231" s="1306"/>
      <c r="I231" s="1307"/>
      <c r="J231" s="1307"/>
      <c r="K231" s="1307"/>
      <c r="L231" s="1307"/>
      <c r="M231" s="1307"/>
      <c r="N231" s="1307"/>
      <c r="O231" s="1308"/>
      <c r="P231" s="1308"/>
      <c r="Q231" s="1308"/>
      <c r="R231" s="1308"/>
      <c r="S231" s="1317"/>
      <c r="T231" s="1317" t="s">
        <v>2007</v>
      </c>
      <c r="U231" s="1308">
        <v>109</v>
      </c>
      <c r="V231" s="1308"/>
      <c r="W231" s="1308"/>
      <c r="X231" s="1308"/>
      <c r="Y231" s="1308"/>
      <c r="Z231" s="1308"/>
      <c r="AA231" s="1308"/>
    </row>
    <row r="232" spans="1:27">
      <c r="A232" s="1370">
        <v>110</v>
      </c>
      <c r="B232" s="1371" t="s">
        <v>2008</v>
      </c>
      <c r="C232" s="1366"/>
      <c r="D232" s="1366"/>
      <c r="E232" s="1367"/>
      <c r="F232" s="1299"/>
      <c r="G232" s="1309"/>
      <c r="H232" s="1306"/>
      <c r="I232" s="1307"/>
      <c r="J232" s="1307"/>
      <c r="K232" s="1307"/>
      <c r="L232" s="1307"/>
      <c r="M232" s="1307"/>
      <c r="N232" s="1307"/>
      <c r="O232" s="1308"/>
      <c r="P232" s="1308"/>
      <c r="Q232" s="1308"/>
      <c r="R232" s="1308"/>
      <c r="S232" s="1317"/>
      <c r="T232" s="1317" t="s">
        <v>2008</v>
      </c>
      <c r="U232" s="1308">
        <v>110</v>
      </c>
      <c r="V232" s="1308"/>
      <c r="W232" s="1308"/>
      <c r="X232" s="1308"/>
      <c r="Y232" s="1308"/>
      <c r="Z232" s="1308"/>
      <c r="AA232" s="1308"/>
    </row>
    <row r="233" spans="1:27">
      <c r="A233" s="1370">
        <v>111</v>
      </c>
      <c r="B233" s="1371" t="s">
        <v>2009</v>
      </c>
      <c r="C233" s="1366"/>
      <c r="D233" s="1366"/>
      <c r="E233" s="1367"/>
      <c r="F233" s="1299"/>
      <c r="G233" s="1309"/>
      <c r="H233" s="1306"/>
      <c r="I233" s="1307"/>
      <c r="J233" s="1307"/>
      <c r="K233" s="1307"/>
      <c r="L233" s="1307"/>
      <c r="M233" s="1307"/>
      <c r="N233" s="1307"/>
      <c r="O233" s="1308"/>
      <c r="P233" s="1308"/>
      <c r="Q233" s="1308"/>
      <c r="R233" s="1308"/>
      <c r="S233" s="1317"/>
      <c r="T233" s="1317" t="s">
        <v>2009</v>
      </c>
      <c r="U233" s="1308">
        <v>111</v>
      </c>
      <c r="V233" s="1308"/>
      <c r="W233" s="1308"/>
      <c r="X233" s="1308"/>
      <c r="Y233" s="1308"/>
      <c r="Z233" s="1308"/>
      <c r="AA233" s="1308"/>
    </row>
    <row r="234" spans="1:27">
      <c r="A234" s="1370">
        <v>112</v>
      </c>
      <c r="B234" s="1371" t="s">
        <v>2010</v>
      </c>
      <c r="C234" s="1366"/>
      <c r="D234" s="1366"/>
      <c r="E234" s="1367"/>
      <c r="F234" s="1299"/>
      <c r="G234" s="1309"/>
      <c r="H234" s="1306"/>
      <c r="I234" s="1307"/>
      <c r="J234" s="1307"/>
      <c r="K234" s="1307"/>
      <c r="L234" s="1307"/>
      <c r="M234" s="1307"/>
      <c r="N234" s="1307"/>
      <c r="O234" s="1308"/>
      <c r="P234" s="1308"/>
      <c r="Q234" s="1308"/>
      <c r="R234" s="1308"/>
      <c r="S234" s="1317"/>
      <c r="T234" s="1317" t="s">
        <v>2010</v>
      </c>
      <c r="U234" s="1308">
        <v>112</v>
      </c>
      <c r="V234" s="1308"/>
      <c r="W234" s="1308"/>
      <c r="X234" s="1308"/>
      <c r="Y234" s="1308"/>
      <c r="Z234" s="1308"/>
      <c r="AA234" s="1308"/>
    </row>
    <row r="235" spans="1:27">
      <c r="A235" s="1370">
        <v>113</v>
      </c>
      <c r="B235" s="1371" t="s">
        <v>2011</v>
      </c>
      <c r="C235" s="1366"/>
      <c r="D235" s="1366"/>
      <c r="E235" s="1367"/>
      <c r="F235" s="1299"/>
      <c r="G235" s="1309"/>
      <c r="H235" s="1306"/>
      <c r="I235" s="1307"/>
      <c r="J235" s="1307"/>
      <c r="K235" s="1307"/>
      <c r="L235" s="1307"/>
      <c r="M235" s="1307"/>
      <c r="N235" s="1307"/>
      <c r="O235" s="1308"/>
      <c r="P235" s="1308"/>
      <c r="Q235" s="1308"/>
      <c r="R235" s="1308"/>
      <c r="S235" s="1317"/>
      <c r="T235" s="1317" t="s">
        <v>2011</v>
      </c>
      <c r="U235" s="1308">
        <v>113</v>
      </c>
      <c r="V235" s="1308"/>
      <c r="W235" s="1308"/>
      <c r="X235" s="1308"/>
      <c r="Y235" s="1308"/>
      <c r="Z235" s="1308"/>
      <c r="AA235" s="1308"/>
    </row>
    <row r="236" spans="1:27">
      <c r="A236" s="1370">
        <v>114</v>
      </c>
      <c r="B236" s="1371" t="s">
        <v>2012</v>
      </c>
      <c r="C236" s="1366"/>
      <c r="D236" s="1366"/>
      <c r="E236" s="1367"/>
      <c r="F236" s="1299"/>
      <c r="G236" s="1309"/>
      <c r="H236" s="1306"/>
      <c r="I236" s="1307"/>
      <c r="J236" s="1307"/>
      <c r="K236" s="1307"/>
      <c r="L236" s="1307"/>
      <c r="M236" s="1307"/>
      <c r="N236" s="1307"/>
      <c r="O236" s="1308"/>
      <c r="P236" s="1308"/>
      <c r="Q236" s="1308"/>
      <c r="R236" s="1308"/>
      <c r="S236" s="1317"/>
      <c r="T236" s="1317" t="s">
        <v>2012</v>
      </c>
      <c r="U236" s="1308">
        <v>114</v>
      </c>
      <c r="V236" s="1308"/>
      <c r="W236" s="1308"/>
      <c r="X236" s="1308"/>
      <c r="Y236" s="1308"/>
      <c r="Z236" s="1308"/>
      <c r="AA236" s="1308"/>
    </row>
    <row r="237" spans="1:27">
      <c r="A237" s="1370">
        <v>115</v>
      </c>
      <c r="B237" s="1371" t="s">
        <v>2013</v>
      </c>
      <c r="C237" s="1366"/>
      <c r="D237" s="1366"/>
      <c r="E237" s="1367"/>
      <c r="F237" s="1299"/>
      <c r="G237" s="1309"/>
      <c r="H237" s="1306"/>
      <c r="I237" s="1307"/>
      <c r="J237" s="1307"/>
      <c r="K237" s="1307"/>
      <c r="L237" s="1307"/>
      <c r="M237" s="1307"/>
      <c r="N237" s="1307"/>
      <c r="O237" s="1308"/>
      <c r="P237" s="1308"/>
      <c r="Q237" s="1308"/>
      <c r="R237" s="1308"/>
      <c r="S237" s="1317"/>
      <c r="T237" s="1317" t="s">
        <v>2013</v>
      </c>
      <c r="U237" s="1308">
        <v>115</v>
      </c>
      <c r="V237" s="1308"/>
      <c r="W237" s="1308"/>
      <c r="X237" s="1308"/>
      <c r="Y237" s="1308"/>
      <c r="Z237" s="1308"/>
      <c r="AA237" s="1308"/>
    </row>
    <row r="238" spans="1:27">
      <c r="A238" s="1370">
        <v>116</v>
      </c>
      <c r="B238" s="1371" t="s">
        <v>2014</v>
      </c>
      <c r="C238" s="1366"/>
      <c r="D238" s="1366"/>
      <c r="E238" s="1367"/>
      <c r="F238" s="1299"/>
      <c r="G238" s="1309"/>
      <c r="H238" s="1306"/>
      <c r="I238" s="1307"/>
      <c r="J238" s="1307"/>
      <c r="K238" s="1307"/>
      <c r="L238" s="1307"/>
      <c r="M238" s="1307"/>
      <c r="N238" s="1307"/>
      <c r="O238" s="1308"/>
      <c r="P238" s="1308"/>
      <c r="Q238" s="1308"/>
      <c r="R238" s="1308"/>
      <c r="S238" s="1317"/>
      <c r="T238" s="1317" t="s">
        <v>2014</v>
      </c>
      <c r="U238" s="1308">
        <v>116</v>
      </c>
      <c r="V238" s="1308"/>
      <c r="W238" s="1308"/>
      <c r="X238" s="1308"/>
      <c r="Y238" s="1308"/>
      <c r="Z238" s="1308"/>
      <c r="AA238" s="1308"/>
    </row>
    <row r="239" spans="1:27">
      <c r="A239" s="1370">
        <v>117</v>
      </c>
      <c r="B239" s="1371" t="s">
        <v>2015</v>
      </c>
      <c r="C239" s="1366"/>
      <c r="D239" s="1366"/>
      <c r="E239" s="1367"/>
      <c r="F239" s="1299"/>
      <c r="G239" s="1309"/>
      <c r="H239" s="1306"/>
      <c r="I239" s="1307"/>
      <c r="J239" s="1307"/>
      <c r="K239" s="1307"/>
      <c r="L239" s="1307"/>
      <c r="M239" s="1307"/>
      <c r="N239" s="1307"/>
      <c r="O239" s="1308"/>
      <c r="P239" s="1308"/>
      <c r="Q239" s="1308"/>
      <c r="R239" s="1308"/>
      <c r="S239" s="1317"/>
      <c r="T239" s="1317" t="s">
        <v>2015</v>
      </c>
      <c r="U239" s="1308">
        <v>117</v>
      </c>
      <c r="V239" s="1308"/>
      <c r="W239" s="1308"/>
      <c r="X239" s="1308"/>
      <c r="Y239" s="1308"/>
      <c r="Z239" s="1308"/>
      <c r="AA239" s="1308"/>
    </row>
    <row r="240" spans="1:27">
      <c r="A240" s="1370">
        <v>118</v>
      </c>
      <c r="B240" s="1371" t="s">
        <v>2016</v>
      </c>
      <c r="C240" s="1366"/>
      <c r="D240" s="1366"/>
      <c r="E240" s="1367"/>
      <c r="F240" s="1299"/>
      <c r="G240" s="1309"/>
      <c r="H240" s="1306"/>
      <c r="I240" s="1307"/>
      <c r="J240" s="1307"/>
      <c r="K240" s="1307"/>
      <c r="L240" s="1307"/>
      <c r="M240" s="1307"/>
      <c r="N240" s="1307"/>
      <c r="O240" s="1308"/>
      <c r="P240" s="1308"/>
      <c r="Q240" s="1308"/>
      <c r="R240" s="1308"/>
      <c r="S240" s="1317"/>
      <c r="T240" s="1317" t="s">
        <v>2016</v>
      </c>
      <c r="U240" s="1308">
        <v>118</v>
      </c>
      <c r="V240" s="1308"/>
      <c r="W240" s="1308"/>
      <c r="X240" s="1308"/>
      <c r="Y240" s="1308"/>
      <c r="Z240" s="1308"/>
      <c r="AA240" s="1308"/>
    </row>
    <row r="241" spans="1:27">
      <c r="A241" s="1370">
        <v>119</v>
      </c>
      <c r="B241" s="1371" t="s">
        <v>2017</v>
      </c>
      <c r="C241" s="1366"/>
      <c r="D241" s="1366"/>
      <c r="E241" s="1367"/>
      <c r="F241" s="1299"/>
      <c r="G241" s="1309"/>
      <c r="H241" s="1306"/>
      <c r="I241" s="1307"/>
      <c r="J241" s="1307"/>
      <c r="K241" s="1307"/>
      <c r="L241" s="1307"/>
      <c r="M241" s="1307"/>
      <c r="N241" s="1307"/>
      <c r="O241" s="1308"/>
      <c r="P241" s="1308"/>
      <c r="Q241" s="1308"/>
      <c r="R241" s="1308"/>
      <c r="S241" s="1317"/>
      <c r="T241" s="1317" t="s">
        <v>2017</v>
      </c>
      <c r="U241" s="1308">
        <v>119</v>
      </c>
      <c r="V241" s="1308"/>
      <c r="W241" s="1308"/>
      <c r="X241" s="1308"/>
      <c r="Y241" s="1308"/>
      <c r="Z241" s="1308"/>
      <c r="AA241" s="1308"/>
    </row>
    <row r="242" spans="1:27">
      <c r="A242" s="1370">
        <v>120</v>
      </c>
      <c r="B242" s="1371" t="s">
        <v>2018</v>
      </c>
      <c r="C242" s="1366"/>
      <c r="D242" s="1366"/>
      <c r="E242" s="1367"/>
      <c r="F242" s="1299"/>
      <c r="G242" s="1309"/>
      <c r="H242" s="1306"/>
      <c r="I242" s="1307"/>
      <c r="J242" s="1307"/>
      <c r="K242" s="1307"/>
      <c r="L242" s="1307"/>
      <c r="M242" s="1307"/>
      <c r="N242" s="1307"/>
      <c r="O242" s="1308"/>
      <c r="P242" s="1308"/>
      <c r="Q242" s="1308"/>
      <c r="R242" s="1308"/>
      <c r="S242" s="1317"/>
      <c r="T242" s="1317" t="s">
        <v>2018</v>
      </c>
      <c r="U242" s="1308">
        <v>120</v>
      </c>
      <c r="V242" s="1308"/>
      <c r="W242" s="1308"/>
      <c r="X242" s="1308"/>
      <c r="Y242" s="1308"/>
      <c r="Z242" s="1308"/>
      <c r="AA242" s="1308"/>
    </row>
    <row r="243" spans="1:27">
      <c r="A243" s="1370">
        <v>121</v>
      </c>
      <c r="B243" s="1371" t="s">
        <v>2019</v>
      </c>
      <c r="C243" s="1366"/>
      <c r="D243" s="1366"/>
      <c r="E243" s="1367"/>
      <c r="F243" s="1299"/>
      <c r="G243" s="1309"/>
      <c r="H243" s="1306"/>
      <c r="I243" s="1307"/>
      <c r="J243" s="1307"/>
      <c r="K243" s="1307"/>
      <c r="L243" s="1307"/>
      <c r="M243" s="1307"/>
      <c r="N243" s="1307"/>
      <c r="O243" s="1308"/>
      <c r="P243" s="1308"/>
      <c r="Q243" s="1308"/>
      <c r="R243" s="1308"/>
      <c r="S243" s="1317"/>
      <c r="T243" s="1317" t="s">
        <v>2019</v>
      </c>
      <c r="U243" s="1308">
        <v>121</v>
      </c>
      <c r="V243" s="1308"/>
      <c r="W243" s="1308"/>
      <c r="X243" s="1308"/>
      <c r="Y243" s="1308"/>
      <c r="Z243" s="1308"/>
      <c r="AA243" s="1308"/>
    </row>
    <row r="244" spans="1:27">
      <c r="A244" s="1370">
        <v>122</v>
      </c>
      <c r="B244" s="1371" t="s">
        <v>2020</v>
      </c>
      <c r="C244" s="1366"/>
      <c r="D244" s="1366"/>
      <c r="E244" s="1367"/>
      <c r="F244" s="1299"/>
      <c r="G244" s="1309"/>
      <c r="H244" s="1306"/>
      <c r="I244" s="1307"/>
      <c r="J244" s="1307"/>
      <c r="K244" s="1307"/>
      <c r="L244" s="1307"/>
      <c r="M244" s="1307"/>
      <c r="N244" s="1307"/>
      <c r="O244" s="1308"/>
      <c r="P244" s="1308"/>
      <c r="Q244" s="1308"/>
      <c r="R244" s="1308"/>
      <c r="S244" s="1317"/>
      <c r="T244" s="1317" t="s">
        <v>2020</v>
      </c>
      <c r="U244" s="1308">
        <v>122</v>
      </c>
      <c r="V244" s="1308"/>
      <c r="W244" s="1308"/>
      <c r="X244" s="1308"/>
      <c r="Y244" s="1308"/>
      <c r="Z244" s="1308"/>
      <c r="AA244" s="1308"/>
    </row>
    <row r="245" spans="1:27">
      <c r="A245" s="1370">
        <v>123</v>
      </c>
      <c r="B245" s="1371" t="s">
        <v>2021</v>
      </c>
      <c r="C245" s="1366"/>
      <c r="D245" s="1366"/>
      <c r="E245" s="1367"/>
      <c r="F245" s="1299"/>
      <c r="G245" s="1309"/>
      <c r="H245" s="1306"/>
      <c r="I245" s="1307"/>
      <c r="J245" s="1307"/>
      <c r="K245" s="1307"/>
      <c r="L245" s="1307"/>
      <c r="M245" s="1307"/>
      <c r="N245" s="1307"/>
      <c r="O245" s="1308"/>
      <c r="P245" s="1308"/>
      <c r="Q245" s="1308"/>
      <c r="R245" s="1308"/>
      <c r="S245" s="1317"/>
      <c r="T245" s="1317" t="s">
        <v>2021</v>
      </c>
      <c r="U245" s="1308">
        <v>123</v>
      </c>
      <c r="V245" s="1308"/>
      <c r="W245" s="1308"/>
      <c r="X245" s="1308"/>
      <c r="Y245" s="1308"/>
      <c r="Z245" s="1308"/>
      <c r="AA245" s="1308"/>
    </row>
    <row r="246" spans="1:27">
      <c r="A246" s="1370">
        <v>124</v>
      </c>
      <c r="B246" s="1371" t="s">
        <v>2022</v>
      </c>
      <c r="C246" s="1366"/>
      <c r="D246" s="1366"/>
      <c r="E246" s="1367"/>
      <c r="F246" s="1299"/>
      <c r="G246" s="1309"/>
      <c r="H246" s="1306"/>
      <c r="I246" s="1307"/>
      <c r="J246" s="1307"/>
      <c r="K246" s="1307"/>
      <c r="L246" s="1307"/>
      <c r="M246" s="1307"/>
      <c r="N246" s="1307"/>
      <c r="O246" s="1308"/>
      <c r="P246" s="1308"/>
      <c r="Q246" s="1308"/>
      <c r="R246" s="1308"/>
      <c r="S246" s="1317"/>
      <c r="T246" s="1317" t="s">
        <v>2022</v>
      </c>
      <c r="U246" s="1308">
        <v>124</v>
      </c>
      <c r="V246" s="1308"/>
      <c r="W246" s="1308"/>
      <c r="X246" s="1308"/>
      <c r="Y246" s="1308"/>
      <c r="Z246" s="1308"/>
      <c r="AA246" s="1308"/>
    </row>
    <row r="247" spans="1:27">
      <c r="A247" s="1370">
        <v>125</v>
      </c>
      <c r="B247" s="1371" t="s">
        <v>2023</v>
      </c>
      <c r="C247" s="1366"/>
      <c r="D247" s="1366"/>
      <c r="E247" s="1367"/>
      <c r="F247" s="1299"/>
      <c r="G247" s="1309"/>
      <c r="H247" s="1306"/>
      <c r="I247" s="1307"/>
      <c r="J247" s="1307"/>
      <c r="K247" s="1307"/>
      <c r="L247" s="1307"/>
      <c r="M247" s="1307"/>
      <c r="N247" s="1307"/>
      <c r="O247" s="1308"/>
      <c r="P247" s="1308"/>
      <c r="Q247" s="1308"/>
      <c r="R247" s="1308"/>
      <c r="S247" s="1317"/>
      <c r="T247" s="1317" t="s">
        <v>2023</v>
      </c>
      <c r="U247" s="1308">
        <v>125</v>
      </c>
      <c r="V247" s="1308"/>
      <c r="W247" s="1308"/>
      <c r="X247" s="1308"/>
      <c r="Y247" s="1308"/>
      <c r="Z247" s="1308"/>
      <c r="AA247" s="1308"/>
    </row>
    <row r="248" spans="1:27">
      <c r="A248" s="1370">
        <v>126</v>
      </c>
      <c r="B248" s="1371" t="s">
        <v>2024</v>
      </c>
      <c r="C248" s="1366"/>
      <c r="D248" s="1366"/>
      <c r="E248" s="1367"/>
      <c r="F248" s="1299"/>
      <c r="G248" s="1309"/>
      <c r="H248" s="1306"/>
      <c r="I248" s="1307"/>
      <c r="J248" s="1307"/>
      <c r="K248" s="1307"/>
      <c r="L248" s="1307"/>
      <c r="M248" s="1307"/>
      <c r="N248" s="1307"/>
      <c r="O248" s="1308"/>
      <c r="P248" s="1308"/>
      <c r="Q248" s="1308"/>
      <c r="R248" s="1308"/>
      <c r="S248" s="1317"/>
      <c r="T248" s="1317" t="s">
        <v>2024</v>
      </c>
      <c r="U248" s="1308">
        <v>126</v>
      </c>
      <c r="V248" s="1308"/>
      <c r="W248" s="1308"/>
      <c r="X248" s="1308"/>
      <c r="Y248" s="1308"/>
      <c r="Z248" s="1308"/>
      <c r="AA248" s="1308"/>
    </row>
    <row r="249" spans="1:27">
      <c r="A249" s="1370">
        <v>127</v>
      </c>
      <c r="B249" s="1371" t="s">
        <v>2025</v>
      </c>
      <c r="C249" s="1366"/>
      <c r="D249" s="1366"/>
      <c r="E249" s="1367"/>
      <c r="F249" s="1299"/>
      <c r="G249" s="1309"/>
      <c r="H249" s="1306"/>
      <c r="I249" s="1307"/>
      <c r="J249" s="1307"/>
      <c r="K249" s="1307"/>
      <c r="L249" s="1307"/>
      <c r="M249" s="1307"/>
      <c r="N249" s="1307"/>
      <c r="O249" s="1308"/>
      <c r="P249" s="1308"/>
      <c r="Q249" s="1308"/>
      <c r="R249" s="1308"/>
      <c r="S249" s="1317"/>
      <c r="T249" s="1317" t="s">
        <v>2025</v>
      </c>
      <c r="U249" s="1308">
        <v>127</v>
      </c>
      <c r="V249" s="1308"/>
      <c r="W249" s="1308"/>
      <c r="X249" s="1308"/>
      <c r="Y249" s="1308"/>
      <c r="Z249" s="1308"/>
      <c r="AA249" s="1308"/>
    </row>
    <row r="250" spans="1:27">
      <c r="A250" s="1370">
        <v>128</v>
      </c>
      <c r="B250" s="1371" t="s">
        <v>2026</v>
      </c>
      <c r="C250" s="1366"/>
      <c r="D250" s="1366"/>
      <c r="E250" s="1367"/>
      <c r="F250" s="1299"/>
      <c r="G250" s="1309"/>
      <c r="H250" s="1306"/>
      <c r="I250" s="1307"/>
      <c r="J250" s="1307"/>
      <c r="K250" s="1307"/>
      <c r="L250" s="1307"/>
      <c r="M250" s="1307"/>
      <c r="N250" s="1307"/>
      <c r="O250" s="1308"/>
      <c r="P250" s="1308"/>
      <c r="Q250" s="1308"/>
      <c r="R250" s="1308"/>
      <c r="S250" s="1317"/>
      <c r="T250" s="1317" t="s">
        <v>2026</v>
      </c>
      <c r="U250" s="1308">
        <v>128</v>
      </c>
      <c r="V250" s="1308"/>
      <c r="W250" s="1308"/>
      <c r="X250" s="1308"/>
      <c r="Y250" s="1308"/>
      <c r="Z250" s="1308"/>
      <c r="AA250" s="1308"/>
    </row>
    <row r="251" spans="1:27">
      <c r="A251" s="1370">
        <v>129</v>
      </c>
      <c r="B251" s="1371" t="s">
        <v>2027</v>
      </c>
      <c r="C251" s="1366"/>
      <c r="D251" s="1366"/>
      <c r="E251" s="1367"/>
      <c r="F251" s="1299"/>
      <c r="G251" s="1309"/>
      <c r="H251" s="1306"/>
      <c r="I251" s="1307"/>
      <c r="J251" s="1307"/>
      <c r="K251" s="1307"/>
      <c r="L251" s="1307"/>
      <c r="M251" s="1307"/>
      <c r="N251" s="1307"/>
      <c r="O251" s="1308"/>
      <c r="P251" s="1308"/>
      <c r="Q251" s="1308"/>
      <c r="R251" s="1308"/>
      <c r="S251" s="1317"/>
      <c r="T251" s="1317" t="s">
        <v>2027</v>
      </c>
      <c r="U251" s="1308">
        <v>129</v>
      </c>
      <c r="V251" s="1308"/>
      <c r="W251" s="1308"/>
      <c r="X251" s="1308"/>
      <c r="Y251" s="1308"/>
      <c r="Z251" s="1308"/>
      <c r="AA251" s="1308"/>
    </row>
    <row r="252" spans="1:27">
      <c r="A252" s="1370">
        <v>130</v>
      </c>
      <c r="B252" s="1371" t="s">
        <v>2028</v>
      </c>
      <c r="C252" s="1366"/>
      <c r="D252" s="1366"/>
      <c r="E252" s="1367"/>
      <c r="F252" s="1299"/>
      <c r="G252" s="1309"/>
      <c r="H252" s="1306"/>
      <c r="I252" s="1307"/>
      <c r="J252" s="1307"/>
      <c r="K252" s="1307"/>
      <c r="L252" s="1307"/>
      <c r="M252" s="1307"/>
      <c r="N252" s="1307"/>
      <c r="O252" s="1308"/>
      <c r="P252" s="1308"/>
      <c r="Q252" s="1308"/>
      <c r="R252" s="1308"/>
      <c r="S252" s="1317"/>
      <c r="T252" s="1317" t="s">
        <v>2028</v>
      </c>
      <c r="U252" s="1308">
        <v>130</v>
      </c>
      <c r="V252" s="1308"/>
      <c r="W252" s="1308"/>
      <c r="X252" s="1308"/>
      <c r="Y252" s="1308"/>
      <c r="Z252" s="1308"/>
      <c r="AA252" s="1308"/>
    </row>
    <row r="253" spans="1:27">
      <c r="A253" s="1370">
        <v>131</v>
      </c>
      <c r="B253" s="1371" t="s">
        <v>2029</v>
      </c>
      <c r="C253" s="1366"/>
      <c r="D253" s="1366"/>
      <c r="E253" s="1367"/>
      <c r="F253" s="1299"/>
      <c r="G253" s="1309"/>
      <c r="H253" s="1306"/>
      <c r="I253" s="1307"/>
      <c r="J253" s="1307"/>
      <c r="K253" s="1307"/>
      <c r="L253" s="1307"/>
      <c r="M253" s="1307"/>
      <c r="N253" s="1307"/>
      <c r="O253" s="1308"/>
      <c r="P253" s="1308"/>
      <c r="Q253" s="1308"/>
      <c r="R253" s="1308"/>
      <c r="S253" s="1317"/>
      <c r="T253" s="1317" t="s">
        <v>2029</v>
      </c>
      <c r="U253" s="1308">
        <v>131</v>
      </c>
      <c r="V253" s="1308"/>
      <c r="W253" s="1308"/>
      <c r="X253" s="1308"/>
      <c r="Y253" s="1308"/>
      <c r="Z253" s="1308"/>
      <c r="AA253" s="1308"/>
    </row>
    <row r="254" spans="1:27">
      <c r="A254" s="1370">
        <v>132</v>
      </c>
      <c r="B254" s="1371" t="s">
        <v>2030</v>
      </c>
      <c r="C254" s="1366"/>
      <c r="D254" s="1366"/>
      <c r="E254" s="1367"/>
      <c r="F254" s="1299"/>
      <c r="G254" s="1309"/>
      <c r="H254" s="1306"/>
      <c r="I254" s="1307"/>
      <c r="J254" s="1307"/>
      <c r="K254" s="1307"/>
      <c r="L254" s="1307"/>
      <c r="M254" s="1307"/>
      <c r="N254" s="1307"/>
      <c r="O254" s="1308"/>
      <c r="P254" s="1308"/>
      <c r="Q254" s="1308"/>
      <c r="R254" s="1308"/>
      <c r="S254" s="1317"/>
      <c r="T254" s="1317" t="s">
        <v>2030</v>
      </c>
      <c r="U254" s="1308">
        <v>132</v>
      </c>
      <c r="V254" s="1308"/>
      <c r="W254" s="1308"/>
      <c r="X254" s="1308"/>
      <c r="Y254" s="1308"/>
      <c r="Z254" s="1308"/>
      <c r="AA254" s="1308"/>
    </row>
    <row r="255" spans="1:27">
      <c r="A255" s="1370">
        <v>133</v>
      </c>
      <c r="B255" s="1371" t="s">
        <v>2031</v>
      </c>
      <c r="C255" s="1366"/>
      <c r="D255" s="1366"/>
      <c r="E255" s="1367"/>
      <c r="F255" s="1299"/>
      <c r="G255" s="1309"/>
      <c r="H255" s="1306"/>
      <c r="I255" s="1307"/>
      <c r="J255" s="1307"/>
      <c r="K255" s="1307"/>
      <c r="L255" s="1307"/>
      <c r="M255" s="1307"/>
      <c r="N255" s="1307"/>
      <c r="O255" s="1308"/>
      <c r="P255" s="1308"/>
      <c r="Q255" s="1308"/>
      <c r="R255" s="1308"/>
      <c r="S255" s="1317"/>
      <c r="T255" s="1317" t="s">
        <v>2031</v>
      </c>
      <c r="U255" s="1308">
        <v>133</v>
      </c>
      <c r="V255" s="1308"/>
      <c r="W255" s="1308"/>
      <c r="X255" s="1308"/>
      <c r="Y255" s="1308"/>
      <c r="Z255" s="1308"/>
      <c r="AA255" s="1308"/>
    </row>
    <row r="256" spans="1:27">
      <c r="A256" s="1370">
        <v>134</v>
      </c>
      <c r="B256" s="1371" t="s">
        <v>2032</v>
      </c>
      <c r="C256" s="1366"/>
      <c r="D256" s="1366"/>
      <c r="E256" s="1367"/>
      <c r="F256" s="1299"/>
      <c r="G256" s="1309"/>
      <c r="H256" s="1306"/>
      <c r="I256" s="1307"/>
      <c r="J256" s="1307"/>
      <c r="K256" s="1307"/>
      <c r="L256" s="1307"/>
      <c r="M256" s="1307"/>
      <c r="N256" s="1307"/>
      <c r="O256" s="1308"/>
      <c r="P256" s="1308"/>
      <c r="Q256" s="1308"/>
      <c r="R256" s="1308"/>
      <c r="S256" s="1317"/>
      <c r="T256" s="1317" t="s">
        <v>2032</v>
      </c>
      <c r="U256" s="1308">
        <v>134</v>
      </c>
      <c r="V256" s="1308"/>
      <c r="W256" s="1308"/>
      <c r="X256" s="1308"/>
      <c r="Y256" s="1308"/>
      <c r="Z256" s="1308"/>
      <c r="AA256" s="1308"/>
    </row>
    <row r="257" spans="1:27">
      <c r="A257" s="1370">
        <v>135</v>
      </c>
      <c r="B257" s="1371" t="s">
        <v>2033</v>
      </c>
      <c r="C257" s="1366"/>
      <c r="D257" s="1366"/>
      <c r="E257" s="1367"/>
      <c r="F257" s="1299"/>
      <c r="G257" s="1309"/>
      <c r="H257" s="1306"/>
      <c r="I257" s="1307"/>
      <c r="J257" s="1307"/>
      <c r="K257" s="1307"/>
      <c r="L257" s="1307"/>
      <c r="M257" s="1307"/>
      <c r="N257" s="1307"/>
      <c r="O257" s="1308"/>
      <c r="P257" s="1308"/>
      <c r="Q257" s="1308"/>
      <c r="R257" s="1308"/>
      <c r="S257" s="1317"/>
      <c r="T257" s="1317" t="s">
        <v>2033</v>
      </c>
      <c r="U257" s="1308">
        <v>135</v>
      </c>
      <c r="V257" s="1308"/>
      <c r="W257" s="1308"/>
      <c r="X257" s="1308"/>
      <c r="Y257" s="1308"/>
      <c r="Z257" s="1308"/>
      <c r="AA257" s="1308"/>
    </row>
    <row r="258" spans="1:27">
      <c r="A258" s="1370">
        <v>137</v>
      </c>
      <c r="B258" s="1371" t="s">
        <v>2034</v>
      </c>
      <c r="C258" s="1366"/>
      <c r="D258" s="1366"/>
      <c r="E258" s="1367"/>
      <c r="F258" s="1299"/>
      <c r="G258" s="1309"/>
      <c r="H258" s="1306"/>
      <c r="I258" s="1307"/>
      <c r="J258" s="1307"/>
      <c r="K258" s="1307"/>
      <c r="L258" s="1307"/>
      <c r="M258" s="1307"/>
      <c r="N258" s="1307"/>
      <c r="O258" s="1308"/>
      <c r="P258" s="1308"/>
      <c r="Q258" s="1308"/>
      <c r="R258" s="1308"/>
      <c r="S258" s="1317"/>
      <c r="T258" s="1317" t="s">
        <v>2034</v>
      </c>
      <c r="U258" s="1308">
        <v>137</v>
      </c>
      <c r="V258" s="1308"/>
      <c r="W258" s="1308"/>
      <c r="X258" s="1308"/>
      <c r="Y258" s="1308"/>
      <c r="Z258" s="1308"/>
      <c r="AA258" s="1308"/>
    </row>
    <row r="259" spans="1:27">
      <c r="A259" s="1370">
        <v>138</v>
      </c>
      <c r="B259" s="1371" t="s">
        <v>2035</v>
      </c>
      <c r="C259" s="1366"/>
      <c r="D259" s="1366"/>
      <c r="E259" s="1367"/>
      <c r="F259" s="1299"/>
      <c r="G259" s="1309"/>
      <c r="H259" s="1306"/>
      <c r="I259" s="1307"/>
      <c r="J259" s="1307"/>
      <c r="K259" s="1307"/>
      <c r="L259" s="1307"/>
      <c r="M259" s="1307"/>
      <c r="N259" s="1307"/>
      <c r="O259" s="1308"/>
      <c r="P259" s="1308"/>
      <c r="Q259" s="1308"/>
      <c r="R259" s="1308"/>
      <c r="S259" s="1317"/>
      <c r="T259" s="1317" t="s">
        <v>2035</v>
      </c>
      <c r="U259" s="1308">
        <v>138</v>
      </c>
      <c r="V259" s="1308"/>
      <c r="W259" s="1308"/>
      <c r="X259" s="1308"/>
      <c r="Y259" s="1308"/>
      <c r="Z259" s="1308"/>
      <c r="AA259" s="1308"/>
    </row>
    <row r="260" spans="1:27">
      <c r="A260" s="1370">
        <v>139</v>
      </c>
      <c r="B260" s="1371" t="s">
        <v>2036</v>
      </c>
      <c r="C260" s="1366"/>
      <c r="D260" s="1366"/>
      <c r="E260" s="1367"/>
      <c r="F260" s="1299"/>
      <c r="G260" s="1309"/>
      <c r="H260" s="1306"/>
      <c r="I260" s="1307"/>
      <c r="J260" s="1307"/>
      <c r="K260" s="1307"/>
      <c r="L260" s="1307"/>
      <c r="M260" s="1307"/>
      <c r="N260" s="1307"/>
      <c r="O260" s="1308"/>
      <c r="P260" s="1308"/>
      <c r="Q260" s="1308"/>
      <c r="R260" s="1308"/>
      <c r="S260" s="1317"/>
      <c r="T260" s="1317" t="s">
        <v>2036</v>
      </c>
      <c r="U260" s="1308">
        <v>139</v>
      </c>
      <c r="V260" s="1308"/>
      <c r="W260" s="1308"/>
      <c r="X260" s="1308"/>
      <c r="Y260" s="1308"/>
      <c r="Z260" s="1308"/>
      <c r="AA260" s="1308"/>
    </row>
    <row r="261" spans="1:27">
      <c r="A261" s="1370">
        <v>140</v>
      </c>
      <c r="B261" s="1371" t="s">
        <v>2037</v>
      </c>
      <c r="C261" s="1366"/>
      <c r="D261" s="1366"/>
      <c r="E261" s="1367"/>
      <c r="F261" s="1299"/>
      <c r="G261" s="1309"/>
      <c r="H261" s="1306"/>
      <c r="I261" s="1307"/>
      <c r="J261" s="1307"/>
      <c r="K261" s="1307"/>
      <c r="L261" s="1307"/>
      <c r="M261" s="1307"/>
      <c r="N261" s="1307"/>
      <c r="O261" s="1308"/>
      <c r="P261" s="1308"/>
      <c r="Q261" s="1308"/>
      <c r="R261" s="1308"/>
      <c r="S261" s="1317"/>
      <c r="T261" s="1317" t="s">
        <v>2037</v>
      </c>
      <c r="U261" s="1308">
        <v>140</v>
      </c>
      <c r="V261" s="1308"/>
      <c r="W261" s="1308"/>
      <c r="X261" s="1308"/>
      <c r="Y261" s="1308"/>
      <c r="Z261" s="1308"/>
      <c r="AA261" s="1308"/>
    </row>
    <row r="262" spans="1:27">
      <c r="A262" s="1370">
        <v>141</v>
      </c>
      <c r="B262" s="1371" t="s">
        <v>2038</v>
      </c>
      <c r="C262" s="1366"/>
      <c r="D262" s="1366"/>
      <c r="E262" s="1367"/>
      <c r="F262" s="1299"/>
      <c r="G262" s="1309"/>
      <c r="H262" s="1306"/>
      <c r="I262" s="1307"/>
      <c r="J262" s="1307"/>
      <c r="K262" s="1307"/>
      <c r="L262" s="1307"/>
      <c r="M262" s="1307"/>
      <c r="N262" s="1307"/>
      <c r="O262" s="1308"/>
      <c r="P262" s="1308"/>
      <c r="Q262" s="1308"/>
      <c r="R262" s="1308"/>
      <c r="S262" s="1317"/>
      <c r="T262" s="1317" t="s">
        <v>2038</v>
      </c>
      <c r="U262" s="1308">
        <v>141</v>
      </c>
      <c r="V262" s="1308"/>
      <c r="W262" s="1308"/>
      <c r="X262" s="1308"/>
      <c r="Y262" s="1308"/>
      <c r="Z262" s="1308"/>
      <c r="AA262" s="1308"/>
    </row>
    <row r="263" spans="1:27">
      <c r="A263" s="1370">
        <v>142</v>
      </c>
      <c r="B263" s="1371" t="s">
        <v>2039</v>
      </c>
      <c r="C263" s="1366"/>
      <c r="D263" s="1366"/>
      <c r="E263" s="1367"/>
      <c r="F263" s="1299"/>
      <c r="G263" s="1309"/>
      <c r="H263" s="1306"/>
      <c r="I263" s="1307"/>
      <c r="J263" s="1307"/>
      <c r="K263" s="1307"/>
      <c r="L263" s="1307"/>
      <c r="M263" s="1307"/>
      <c r="N263" s="1307"/>
      <c r="O263" s="1308"/>
      <c r="P263" s="1308"/>
      <c r="Q263" s="1308"/>
      <c r="R263" s="1308"/>
      <c r="S263" s="1317"/>
      <c r="T263" s="1317" t="s">
        <v>2039</v>
      </c>
      <c r="U263" s="1308">
        <v>142</v>
      </c>
      <c r="V263" s="1308"/>
      <c r="W263" s="1308"/>
      <c r="X263" s="1308"/>
      <c r="Y263" s="1308"/>
      <c r="Z263" s="1308"/>
      <c r="AA263" s="1308"/>
    </row>
    <row r="264" spans="1:27">
      <c r="A264" s="1370">
        <v>143</v>
      </c>
      <c r="B264" s="1371" t="s">
        <v>2040</v>
      </c>
      <c r="C264" s="1366"/>
      <c r="D264" s="1366"/>
      <c r="E264" s="1367"/>
      <c r="F264" s="1299"/>
      <c r="G264" s="1309"/>
      <c r="H264" s="1306"/>
      <c r="I264" s="1307"/>
      <c r="J264" s="1307"/>
      <c r="K264" s="1307"/>
      <c r="L264" s="1307"/>
      <c r="M264" s="1307"/>
      <c r="N264" s="1307"/>
      <c r="O264" s="1308"/>
      <c r="P264" s="1308"/>
      <c r="Q264" s="1308"/>
      <c r="R264" s="1308"/>
      <c r="S264" s="1317"/>
      <c r="T264" s="1317" t="s">
        <v>2040</v>
      </c>
      <c r="U264" s="1308">
        <v>143</v>
      </c>
      <c r="V264" s="1308"/>
      <c r="W264" s="1308"/>
      <c r="X264" s="1308"/>
      <c r="Y264" s="1308"/>
      <c r="Z264" s="1308"/>
      <c r="AA264" s="1308"/>
    </row>
    <row r="265" spans="1:27">
      <c r="A265" s="1370">
        <v>144</v>
      </c>
      <c r="B265" s="1371" t="s">
        <v>2041</v>
      </c>
      <c r="C265" s="1366"/>
      <c r="D265" s="1366"/>
      <c r="E265" s="1367"/>
      <c r="F265" s="1299"/>
      <c r="G265" s="1309"/>
      <c r="H265" s="1306"/>
      <c r="I265" s="1307"/>
      <c r="J265" s="1307"/>
      <c r="K265" s="1307"/>
      <c r="L265" s="1307"/>
      <c r="M265" s="1307"/>
      <c r="N265" s="1307"/>
      <c r="O265" s="1308"/>
      <c r="P265" s="1308"/>
      <c r="Q265" s="1308"/>
      <c r="R265" s="1308"/>
      <c r="S265" s="1317"/>
      <c r="T265" s="1317" t="s">
        <v>2041</v>
      </c>
      <c r="U265" s="1308">
        <v>144</v>
      </c>
      <c r="V265" s="1308"/>
      <c r="W265" s="1308"/>
      <c r="X265" s="1308"/>
      <c r="Y265" s="1308"/>
      <c r="Z265" s="1308"/>
      <c r="AA265" s="1308"/>
    </row>
    <row r="266" spans="1:27">
      <c r="A266" s="1370">
        <v>145</v>
      </c>
      <c r="B266" s="1371" t="s">
        <v>2042</v>
      </c>
      <c r="C266" s="1366"/>
      <c r="D266" s="1366"/>
      <c r="E266" s="1367"/>
      <c r="F266" s="1299"/>
      <c r="G266" s="1309"/>
      <c r="H266" s="1306"/>
      <c r="I266" s="1307"/>
      <c r="J266" s="1307"/>
      <c r="K266" s="1307"/>
      <c r="L266" s="1307"/>
      <c r="M266" s="1307"/>
      <c r="N266" s="1307"/>
      <c r="O266" s="1308"/>
      <c r="P266" s="1308"/>
      <c r="Q266" s="1308"/>
      <c r="R266" s="1308"/>
      <c r="S266" s="1317"/>
      <c r="T266" s="1317" t="s">
        <v>2042</v>
      </c>
      <c r="U266" s="1308">
        <v>145</v>
      </c>
      <c r="V266" s="1308"/>
      <c r="W266" s="1308"/>
      <c r="X266" s="1308"/>
      <c r="Y266" s="1308"/>
      <c r="Z266" s="1308"/>
      <c r="AA266" s="1308"/>
    </row>
    <row r="267" spans="1:27">
      <c r="A267" s="1370">
        <v>146</v>
      </c>
      <c r="B267" s="1371" t="s">
        <v>2043</v>
      </c>
      <c r="C267" s="1366"/>
      <c r="D267" s="1366"/>
      <c r="E267" s="1367"/>
      <c r="F267" s="1299"/>
      <c r="G267" s="1309"/>
      <c r="H267" s="1306"/>
      <c r="I267" s="1307"/>
      <c r="J267" s="1307"/>
      <c r="K267" s="1307"/>
      <c r="L267" s="1307"/>
      <c r="M267" s="1307"/>
      <c r="N267" s="1307"/>
      <c r="O267" s="1308"/>
      <c r="P267" s="1308"/>
      <c r="Q267" s="1308"/>
      <c r="R267" s="1308"/>
      <c r="S267" s="1317"/>
      <c r="T267" s="1317" t="s">
        <v>2043</v>
      </c>
      <c r="U267" s="1308">
        <v>146</v>
      </c>
      <c r="V267" s="1308"/>
      <c r="W267" s="1308"/>
      <c r="X267" s="1308"/>
      <c r="Y267" s="1308"/>
      <c r="Z267" s="1308"/>
      <c r="AA267" s="1308"/>
    </row>
    <row r="268" spans="1:27">
      <c r="A268" s="1370">
        <v>147</v>
      </c>
      <c r="B268" s="1371" t="s">
        <v>2044</v>
      </c>
      <c r="C268" s="1366"/>
      <c r="D268" s="1366"/>
      <c r="E268" s="1367"/>
      <c r="F268" s="1299"/>
      <c r="G268" s="1309"/>
      <c r="H268" s="1306"/>
      <c r="I268" s="1307"/>
      <c r="J268" s="1307"/>
      <c r="K268" s="1307"/>
      <c r="L268" s="1307"/>
      <c r="M268" s="1307"/>
      <c r="N268" s="1307"/>
      <c r="O268" s="1308"/>
      <c r="P268" s="1308"/>
      <c r="Q268" s="1308"/>
      <c r="R268" s="1308"/>
      <c r="S268" s="1317"/>
      <c r="T268" s="1317" t="s">
        <v>2044</v>
      </c>
      <c r="U268" s="1308">
        <v>147</v>
      </c>
      <c r="V268" s="1308"/>
      <c r="W268" s="1308"/>
      <c r="X268" s="1308"/>
      <c r="Y268" s="1308"/>
      <c r="Z268" s="1308"/>
      <c r="AA268" s="1308"/>
    </row>
    <row r="269" spans="1:27">
      <c r="A269" s="1370">
        <v>148</v>
      </c>
      <c r="B269" s="1371" t="s">
        <v>2045</v>
      </c>
      <c r="C269" s="1366"/>
      <c r="D269" s="1366"/>
      <c r="E269" s="1367"/>
      <c r="F269" s="1299"/>
      <c r="G269" s="1309"/>
      <c r="H269" s="1306"/>
      <c r="I269" s="1307"/>
      <c r="J269" s="1307"/>
      <c r="K269" s="1307"/>
      <c r="L269" s="1307"/>
      <c r="M269" s="1307"/>
      <c r="N269" s="1307"/>
      <c r="O269" s="1308"/>
      <c r="P269" s="1308"/>
      <c r="Q269" s="1308"/>
      <c r="R269" s="1308"/>
      <c r="S269" s="1317"/>
      <c r="T269" s="1317" t="s">
        <v>2045</v>
      </c>
      <c r="U269" s="1308">
        <v>148</v>
      </c>
      <c r="V269" s="1308"/>
      <c r="W269" s="1308"/>
      <c r="X269" s="1308"/>
      <c r="Y269" s="1308"/>
      <c r="Z269" s="1308"/>
      <c r="AA269" s="1308"/>
    </row>
    <row r="270" spans="1:27">
      <c r="A270" s="1370">
        <v>149</v>
      </c>
      <c r="B270" s="1371" t="s">
        <v>2046</v>
      </c>
      <c r="C270" s="1366"/>
      <c r="D270" s="1366"/>
      <c r="E270" s="1367"/>
      <c r="F270" s="1299"/>
      <c r="G270" s="1309"/>
      <c r="H270" s="1306"/>
      <c r="I270" s="1307"/>
      <c r="J270" s="1307"/>
      <c r="K270" s="1307"/>
      <c r="L270" s="1307"/>
      <c r="M270" s="1307"/>
      <c r="N270" s="1307"/>
      <c r="O270" s="1308"/>
      <c r="P270" s="1308"/>
      <c r="Q270" s="1308"/>
      <c r="R270" s="1308"/>
      <c r="S270" s="1317"/>
      <c r="T270" s="1317" t="s">
        <v>2046</v>
      </c>
      <c r="U270" s="1308">
        <v>149</v>
      </c>
      <c r="V270" s="1308"/>
      <c r="W270" s="1308"/>
      <c r="X270" s="1308"/>
      <c r="Y270" s="1308"/>
      <c r="Z270" s="1308"/>
      <c r="AA270" s="1308"/>
    </row>
    <row r="271" spans="1:27">
      <c r="A271" s="1370">
        <v>150</v>
      </c>
      <c r="B271" s="1371" t="s">
        <v>2047</v>
      </c>
      <c r="C271" s="1366"/>
      <c r="D271" s="1366"/>
      <c r="E271" s="1367"/>
      <c r="F271" s="1299"/>
      <c r="G271" s="1309"/>
      <c r="H271" s="1306"/>
      <c r="I271" s="1307"/>
      <c r="J271" s="1307"/>
      <c r="K271" s="1307"/>
      <c r="L271" s="1307"/>
      <c r="M271" s="1307"/>
      <c r="N271" s="1307"/>
      <c r="O271" s="1308"/>
      <c r="P271" s="1308"/>
      <c r="Q271" s="1308"/>
      <c r="R271" s="1308"/>
      <c r="S271" s="1317"/>
      <c r="T271" s="1317" t="s">
        <v>2047</v>
      </c>
      <c r="U271" s="1308">
        <v>150</v>
      </c>
      <c r="V271" s="1308"/>
      <c r="W271" s="1308"/>
      <c r="X271" s="1308"/>
      <c r="Y271" s="1308"/>
      <c r="Z271" s="1308"/>
      <c r="AA271" s="1308"/>
    </row>
    <row r="272" spans="1:27">
      <c r="A272" s="1370">
        <v>151</v>
      </c>
      <c r="B272" s="1371" t="s">
        <v>2048</v>
      </c>
      <c r="C272" s="1366"/>
      <c r="D272" s="1366"/>
      <c r="E272" s="1367"/>
      <c r="F272" s="1299"/>
      <c r="G272" s="1309"/>
      <c r="H272" s="1306"/>
      <c r="I272" s="1307"/>
      <c r="J272" s="1307"/>
      <c r="K272" s="1307"/>
      <c r="L272" s="1307"/>
      <c r="M272" s="1307"/>
      <c r="N272" s="1307"/>
      <c r="O272" s="1308"/>
      <c r="P272" s="1308"/>
      <c r="Q272" s="1308"/>
      <c r="R272" s="1308"/>
      <c r="S272" s="1317"/>
      <c r="T272" s="1317" t="s">
        <v>2048</v>
      </c>
      <c r="U272" s="1308">
        <v>151</v>
      </c>
      <c r="V272" s="1308"/>
      <c r="W272" s="1308"/>
      <c r="X272" s="1308"/>
      <c r="Y272" s="1308"/>
      <c r="Z272" s="1308"/>
      <c r="AA272" s="1308"/>
    </row>
    <row r="273" spans="1:27">
      <c r="A273" s="1370">
        <v>152</v>
      </c>
      <c r="B273" s="1371" t="s">
        <v>2049</v>
      </c>
      <c r="C273" s="1366"/>
      <c r="D273" s="1366"/>
      <c r="E273" s="1367"/>
      <c r="F273" s="1299"/>
      <c r="G273" s="1309"/>
      <c r="H273" s="1306"/>
      <c r="I273" s="1307"/>
      <c r="J273" s="1307"/>
      <c r="K273" s="1307"/>
      <c r="L273" s="1307"/>
      <c r="M273" s="1307"/>
      <c r="N273" s="1307"/>
      <c r="O273" s="1308"/>
      <c r="P273" s="1308"/>
      <c r="Q273" s="1308"/>
      <c r="R273" s="1308"/>
      <c r="S273" s="1317"/>
      <c r="T273" s="1317" t="s">
        <v>2049</v>
      </c>
      <c r="U273" s="1308">
        <v>152</v>
      </c>
      <c r="V273" s="1308"/>
      <c r="W273" s="1308"/>
      <c r="X273" s="1308"/>
      <c r="Y273" s="1308"/>
      <c r="Z273" s="1308"/>
      <c r="AA273" s="1308"/>
    </row>
    <row r="274" spans="1:27">
      <c r="A274" s="1370">
        <v>153</v>
      </c>
      <c r="B274" s="1371" t="s">
        <v>2050</v>
      </c>
      <c r="C274" s="1366"/>
      <c r="D274" s="1366"/>
      <c r="E274" s="1367"/>
      <c r="F274" s="1299"/>
      <c r="G274" s="1309"/>
      <c r="H274" s="1306"/>
      <c r="I274" s="1307"/>
      <c r="J274" s="1307"/>
      <c r="K274" s="1307"/>
      <c r="L274" s="1307"/>
      <c r="M274" s="1307"/>
      <c r="N274" s="1307"/>
      <c r="O274" s="1308"/>
      <c r="P274" s="1308"/>
      <c r="Q274" s="1308"/>
      <c r="R274" s="1308"/>
      <c r="S274" s="1317"/>
      <c r="T274" s="1317" t="s">
        <v>2050</v>
      </c>
      <c r="U274" s="1308">
        <v>153</v>
      </c>
      <c r="V274" s="1308"/>
      <c r="W274" s="1308"/>
      <c r="X274" s="1308"/>
      <c r="Y274" s="1308"/>
      <c r="Z274" s="1308"/>
      <c r="AA274" s="1308"/>
    </row>
    <row r="275" spans="1:27">
      <c r="A275" s="1370">
        <v>154</v>
      </c>
      <c r="B275" s="1371" t="s">
        <v>2051</v>
      </c>
      <c r="C275" s="1366"/>
      <c r="D275" s="1366"/>
      <c r="E275" s="1367"/>
      <c r="F275" s="1299"/>
      <c r="G275" s="1309"/>
      <c r="H275" s="1306"/>
      <c r="I275" s="1307"/>
      <c r="J275" s="1307"/>
      <c r="K275" s="1307"/>
      <c r="L275" s="1307"/>
      <c r="M275" s="1307"/>
      <c r="N275" s="1307"/>
      <c r="O275" s="1308"/>
      <c r="P275" s="1308"/>
      <c r="Q275" s="1308"/>
      <c r="R275" s="1308"/>
      <c r="S275" s="1317"/>
      <c r="T275" s="1317" t="s">
        <v>2051</v>
      </c>
      <c r="U275" s="1308">
        <v>154</v>
      </c>
      <c r="V275" s="1308"/>
      <c r="W275" s="1308"/>
      <c r="X275" s="1308"/>
      <c r="Y275" s="1308"/>
      <c r="Z275" s="1308"/>
      <c r="AA275" s="1308"/>
    </row>
    <row r="276" spans="1:27">
      <c r="A276" s="1370">
        <v>155</v>
      </c>
      <c r="B276" s="1371" t="s">
        <v>2052</v>
      </c>
      <c r="C276" s="1366"/>
      <c r="D276" s="1366"/>
      <c r="E276" s="1367"/>
      <c r="F276" s="1299"/>
      <c r="G276" s="1309"/>
      <c r="H276" s="1306"/>
      <c r="I276" s="1307"/>
      <c r="J276" s="1307"/>
      <c r="K276" s="1307"/>
      <c r="L276" s="1307"/>
      <c r="M276" s="1307"/>
      <c r="N276" s="1307"/>
      <c r="O276" s="1308"/>
      <c r="P276" s="1308"/>
      <c r="Q276" s="1308"/>
      <c r="R276" s="1308"/>
      <c r="S276" s="1317"/>
      <c r="T276" s="1317" t="s">
        <v>2052</v>
      </c>
      <c r="U276" s="1308">
        <v>155</v>
      </c>
      <c r="V276" s="1308"/>
      <c r="W276" s="1308"/>
      <c r="X276" s="1308"/>
      <c r="Y276" s="1308"/>
      <c r="Z276" s="1308"/>
      <c r="AA276" s="1308"/>
    </row>
    <row r="277" spans="1:27">
      <c r="A277" s="1370">
        <v>156</v>
      </c>
      <c r="B277" s="1371" t="s">
        <v>2053</v>
      </c>
      <c r="C277" s="1366"/>
      <c r="D277" s="1366"/>
      <c r="E277" s="1367"/>
      <c r="F277" s="1299"/>
      <c r="G277" s="1309"/>
      <c r="H277" s="1306"/>
      <c r="I277" s="1307"/>
      <c r="J277" s="1307"/>
      <c r="K277" s="1307"/>
      <c r="L277" s="1307"/>
      <c r="M277" s="1307"/>
      <c r="N277" s="1307"/>
      <c r="O277" s="1308"/>
      <c r="P277" s="1308"/>
      <c r="Q277" s="1308"/>
      <c r="R277" s="1308"/>
      <c r="S277" s="1317"/>
      <c r="T277" s="1317" t="s">
        <v>2053</v>
      </c>
      <c r="U277" s="1308">
        <v>156</v>
      </c>
      <c r="V277" s="1308"/>
      <c r="W277" s="1308"/>
      <c r="X277" s="1308"/>
      <c r="Y277" s="1308"/>
      <c r="Z277" s="1308"/>
      <c r="AA277" s="1308"/>
    </row>
    <row r="278" spans="1:27">
      <c r="A278" s="1370">
        <v>157</v>
      </c>
      <c r="B278" s="1371" t="s">
        <v>2054</v>
      </c>
      <c r="C278" s="1366"/>
      <c r="D278" s="1366"/>
      <c r="E278" s="1367"/>
      <c r="F278" s="1299"/>
      <c r="G278" s="1309"/>
      <c r="H278" s="1306"/>
      <c r="I278" s="1307"/>
      <c r="J278" s="1307"/>
      <c r="K278" s="1307"/>
      <c r="L278" s="1307"/>
      <c r="M278" s="1307"/>
      <c r="N278" s="1307"/>
      <c r="O278" s="1308"/>
      <c r="P278" s="1308"/>
      <c r="Q278" s="1308"/>
      <c r="R278" s="1308"/>
      <c r="S278" s="1317"/>
      <c r="T278" s="1317" t="s">
        <v>2054</v>
      </c>
      <c r="U278" s="1308">
        <v>157</v>
      </c>
      <c r="V278" s="1308"/>
      <c r="W278" s="1308"/>
      <c r="X278" s="1308"/>
      <c r="Y278" s="1308"/>
      <c r="Z278" s="1308"/>
      <c r="AA278" s="1308"/>
    </row>
    <row r="279" spans="1:27">
      <c r="A279" s="1370">
        <v>158</v>
      </c>
      <c r="B279" s="1371" t="s">
        <v>2055</v>
      </c>
      <c r="C279" s="1366"/>
      <c r="D279" s="1366"/>
      <c r="E279" s="1367"/>
      <c r="F279" s="1299"/>
      <c r="G279" s="1309"/>
      <c r="H279" s="1306"/>
      <c r="I279" s="1307"/>
      <c r="J279" s="1307"/>
      <c r="K279" s="1307"/>
      <c r="L279" s="1307"/>
      <c r="M279" s="1307"/>
      <c r="N279" s="1307"/>
      <c r="O279" s="1308"/>
      <c r="P279" s="1308"/>
      <c r="Q279" s="1308"/>
      <c r="R279" s="1308"/>
      <c r="S279" s="1317"/>
      <c r="T279" s="1317" t="s">
        <v>2055</v>
      </c>
      <c r="U279" s="1308">
        <v>158</v>
      </c>
      <c r="V279" s="1308"/>
      <c r="W279" s="1308"/>
      <c r="X279" s="1308"/>
      <c r="Y279" s="1308"/>
      <c r="Z279" s="1308"/>
      <c r="AA279" s="1308"/>
    </row>
    <row r="280" spans="1:27">
      <c r="A280" s="1370">
        <v>159</v>
      </c>
      <c r="B280" s="1371" t="s">
        <v>2056</v>
      </c>
      <c r="C280" s="1366"/>
      <c r="D280" s="1366"/>
      <c r="E280" s="1367"/>
      <c r="F280" s="1299"/>
      <c r="G280" s="1309"/>
      <c r="H280" s="1306"/>
      <c r="I280" s="1307"/>
      <c r="J280" s="1307"/>
      <c r="K280" s="1307"/>
      <c r="L280" s="1307"/>
      <c r="M280" s="1307"/>
      <c r="N280" s="1307"/>
      <c r="O280" s="1308"/>
      <c r="P280" s="1308"/>
      <c r="Q280" s="1308"/>
      <c r="R280" s="1308"/>
      <c r="S280" s="1317"/>
      <c r="T280" s="1317" t="s">
        <v>2056</v>
      </c>
      <c r="U280" s="1308">
        <v>159</v>
      </c>
      <c r="V280" s="1308"/>
      <c r="W280" s="1308"/>
      <c r="X280" s="1308"/>
      <c r="Y280" s="1308"/>
      <c r="Z280" s="1308"/>
      <c r="AA280" s="1308"/>
    </row>
    <row r="281" spans="1:27">
      <c r="A281" s="1370">
        <v>160</v>
      </c>
      <c r="B281" s="1371" t="s">
        <v>2057</v>
      </c>
      <c r="C281" s="1366"/>
      <c r="D281" s="1366"/>
      <c r="E281" s="1367"/>
      <c r="F281" s="1299"/>
      <c r="G281" s="1309"/>
      <c r="H281" s="1306"/>
      <c r="I281" s="1307"/>
      <c r="J281" s="1307"/>
      <c r="K281" s="1307"/>
      <c r="L281" s="1307"/>
      <c r="M281" s="1307"/>
      <c r="N281" s="1307"/>
      <c r="O281" s="1308"/>
      <c r="P281" s="1308"/>
      <c r="Q281" s="1308"/>
      <c r="R281" s="1308"/>
      <c r="S281" s="1317"/>
      <c r="T281" s="1317" t="s">
        <v>2057</v>
      </c>
      <c r="U281" s="1308">
        <v>160</v>
      </c>
      <c r="V281" s="1308"/>
      <c r="W281" s="1308"/>
      <c r="X281" s="1308"/>
      <c r="Y281" s="1308"/>
      <c r="Z281" s="1308"/>
      <c r="AA281" s="1308"/>
    </row>
    <row r="282" spans="1:27">
      <c r="A282" s="1370">
        <v>161</v>
      </c>
      <c r="B282" s="1371" t="s">
        <v>2058</v>
      </c>
      <c r="C282" s="1366"/>
      <c r="D282" s="1366"/>
      <c r="E282" s="1367"/>
      <c r="F282" s="1299"/>
      <c r="G282" s="1309"/>
      <c r="H282" s="1306"/>
      <c r="I282" s="1307"/>
      <c r="J282" s="1307"/>
      <c r="K282" s="1307"/>
      <c r="L282" s="1307"/>
      <c r="M282" s="1307"/>
      <c r="N282" s="1307"/>
      <c r="O282" s="1308"/>
      <c r="P282" s="1308"/>
      <c r="Q282" s="1308"/>
      <c r="R282" s="1308"/>
      <c r="S282" s="1317"/>
      <c r="T282" s="1317" t="s">
        <v>2058</v>
      </c>
      <c r="U282" s="1308">
        <v>161</v>
      </c>
      <c r="V282" s="1308"/>
      <c r="W282" s="1308"/>
      <c r="X282" s="1308"/>
      <c r="Y282" s="1308"/>
      <c r="Z282" s="1308"/>
      <c r="AA282" s="1308"/>
    </row>
    <row r="283" spans="1:27">
      <c r="A283" s="1370">
        <v>162</v>
      </c>
      <c r="B283" s="1371" t="s">
        <v>2059</v>
      </c>
      <c r="C283" s="1366"/>
      <c r="D283" s="1366"/>
      <c r="E283" s="1367"/>
      <c r="F283" s="1299"/>
      <c r="G283" s="1309"/>
      <c r="H283" s="1306"/>
      <c r="I283" s="1307"/>
      <c r="J283" s="1307"/>
      <c r="K283" s="1307"/>
      <c r="L283" s="1307"/>
      <c r="M283" s="1307"/>
      <c r="N283" s="1307"/>
      <c r="O283" s="1308"/>
      <c r="P283" s="1308"/>
      <c r="Q283" s="1308"/>
      <c r="R283" s="1308"/>
      <c r="S283" s="1317"/>
      <c r="T283" s="1317" t="s">
        <v>2059</v>
      </c>
      <c r="U283" s="1308">
        <v>162</v>
      </c>
      <c r="V283" s="1308"/>
      <c r="W283" s="1308"/>
      <c r="X283" s="1308"/>
      <c r="Y283" s="1308"/>
      <c r="Z283" s="1308"/>
      <c r="AA283" s="1308"/>
    </row>
    <row r="284" spans="1:27">
      <c r="A284" s="1370">
        <v>163</v>
      </c>
      <c r="B284" s="1371" t="s">
        <v>2060</v>
      </c>
      <c r="C284" s="1366"/>
      <c r="D284" s="1366"/>
      <c r="E284" s="1367"/>
      <c r="F284" s="1299"/>
      <c r="G284" s="1309"/>
      <c r="H284" s="1306"/>
      <c r="I284" s="1307"/>
      <c r="J284" s="1307"/>
      <c r="K284" s="1307"/>
      <c r="L284" s="1307"/>
      <c r="M284" s="1307"/>
      <c r="N284" s="1307"/>
      <c r="O284" s="1308"/>
      <c r="P284" s="1308"/>
      <c r="Q284" s="1308"/>
      <c r="R284" s="1308"/>
      <c r="S284" s="1317"/>
      <c r="T284" s="1317" t="s">
        <v>2060</v>
      </c>
      <c r="U284" s="1308">
        <v>163</v>
      </c>
      <c r="V284" s="1308"/>
      <c r="W284" s="1308"/>
      <c r="X284" s="1308"/>
      <c r="Y284" s="1308"/>
      <c r="Z284" s="1308"/>
      <c r="AA284" s="1308"/>
    </row>
    <row r="285" spans="1:27">
      <c r="A285" s="1370">
        <v>164</v>
      </c>
      <c r="B285" s="1371" t="s">
        <v>2061</v>
      </c>
      <c r="C285" s="1366"/>
      <c r="D285" s="1366"/>
      <c r="E285" s="1367"/>
      <c r="F285" s="1299"/>
      <c r="G285" s="1309"/>
      <c r="H285" s="1306"/>
      <c r="I285" s="1307"/>
      <c r="J285" s="1307"/>
      <c r="K285" s="1307"/>
      <c r="L285" s="1307"/>
      <c r="M285" s="1307"/>
      <c r="N285" s="1307"/>
      <c r="O285" s="1308"/>
      <c r="P285" s="1308"/>
      <c r="Q285" s="1308"/>
      <c r="R285" s="1308"/>
      <c r="S285" s="1317"/>
      <c r="T285" s="1317" t="s">
        <v>2061</v>
      </c>
      <c r="U285" s="1308">
        <v>164</v>
      </c>
      <c r="V285" s="1308"/>
      <c r="W285" s="1308"/>
      <c r="X285" s="1308"/>
      <c r="Y285" s="1308"/>
      <c r="Z285" s="1308"/>
      <c r="AA285" s="1308"/>
    </row>
    <row r="286" spans="1:27">
      <c r="A286" s="1370">
        <v>165</v>
      </c>
      <c r="B286" s="1371" t="s">
        <v>2062</v>
      </c>
      <c r="C286" s="1366"/>
      <c r="D286" s="1366"/>
      <c r="E286" s="1367"/>
      <c r="F286" s="1299"/>
      <c r="G286" s="1309"/>
      <c r="H286" s="1306"/>
      <c r="I286" s="1307"/>
      <c r="J286" s="1307"/>
      <c r="K286" s="1307"/>
      <c r="L286" s="1307"/>
      <c r="M286" s="1307"/>
      <c r="N286" s="1307"/>
      <c r="O286" s="1308"/>
      <c r="P286" s="1308"/>
      <c r="Q286" s="1308"/>
      <c r="R286" s="1308"/>
      <c r="S286" s="1317"/>
      <c r="T286" s="1317" t="s">
        <v>2062</v>
      </c>
      <c r="U286" s="1308">
        <v>165</v>
      </c>
      <c r="V286" s="1308"/>
      <c r="W286" s="1308"/>
      <c r="X286" s="1308"/>
      <c r="Y286" s="1308"/>
      <c r="Z286" s="1308"/>
      <c r="AA286" s="1308"/>
    </row>
    <row r="287" spans="1:27">
      <c r="A287" s="1370">
        <v>166</v>
      </c>
      <c r="B287" s="1371" t="s">
        <v>2063</v>
      </c>
      <c r="C287" s="1366"/>
      <c r="D287" s="1366"/>
      <c r="E287" s="1367"/>
      <c r="F287" s="1299"/>
      <c r="G287" s="1309"/>
      <c r="H287" s="1306"/>
      <c r="I287" s="1307"/>
      <c r="J287" s="1307"/>
      <c r="K287" s="1307"/>
      <c r="L287" s="1307"/>
      <c r="M287" s="1307"/>
      <c r="N287" s="1307"/>
      <c r="O287" s="1308"/>
      <c r="P287" s="1308"/>
      <c r="Q287" s="1308"/>
      <c r="R287" s="1308"/>
      <c r="S287" s="1317"/>
      <c r="T287" s="1317" t="s">
        <v>2063</v>
      </c>
      <c r="U287" s="1308">
        <v>166</v>
      </c>
      <c r="V287" s="1308"/>
      <c r="W287" s="1308"/>
      <c r="X287" s="1308"/>
      <c r="Y287" s="1308"/>
      <c r="Z287" s="1308"/>
      <c r="AA287" s="1308"/>
    </row>
    <row r="288" spans="1:27">
      <c r="A288" s="1370">
        <v>167</v>
      </c>
      <c r="B288" s="1371" t="s">
        <v>2064</v>
      </c>
      <c r="C288" s="1366"/>
      <c r="D288" s="1366"/>
      <c r="E288" s="1367"/>
      <c r="F288" s="1299"/>
      <c r="G288" s="1309"/>
      <c r="H288" s="1306"/>
      <c r="I288" s="1307"/>
      <c r="J288" s="1307"/>
      <c r="K288" s="1307"/>
      <c r="L288" s="1307"/>
      <c r="M288" s="1307"/>
      <c r="N288" s="1307"/>
      <c r="O288" s="1308"/>
      <c r="P288" s="1308"/>
      <c r="Q288" s="1308"/>
      <c r="R288" s="1308"/>
      <c r="S288" s="1317"/>
      <c r="T288" s="1317" t="s">
        <v>2064</v>
      </c>
      <c r="U288" s="1308">
        <v>167</v>
      </c>
      <c r="V288" s="1308"/>
      <c r="W288" s="1308"/>
      <c r="X288" s="1308"/>
      <c r="Y288" s="1308"/>
      <c r="Z288" s="1308"/>
      <c r="AA288" s="1308"/>
    </row>
    <row r="289" spans="1:27">
      <c r="A289" s="1370">
        <v>168</v>
      </c>
      <c r="B289" s="1371" t="s">
        <v>2065</v>
      </c>
      <c r="C289" s="1366"/>
      <c r="D289" s="1366"/>
      <c r="E289" s="1367"/>
      <c r="F289" s="1299"/>
      <c r="G289" s="1309"/>
      <c r="H289" s="1306"/>
      <c r="I289" s="1307"/>
      <c r="J289" s="1307"/>
      <c r="K289" s="1307"/>
      <c r="L289" s="1307"/>
      <c r="M289" s="1307"/>
      <c r="N289" s="1307"/>
      <c r="O289" s="1308"/>
      <c r="P289" s="1308"/>
      <c r="Q289" s="1308"/>
      <c r="R289" s="1308"/>
      <c r="S289" s="1317"/>
      <c r="T289" s="1317" t="s">
        <v>2065</v>
      </c>
      <c r="U289" s="1308">
        <v>168</v>
      </c>
      <c r="V289" s="1308"/>
      <c r="W289" s="1308"/>
      <c r="X289" s="1308"/>
      <c r="Y289" s="1308"/>
      <c r="Z289" s="1308"/>
      <c r="AA289" s="1308"/>
    </row>
    <row r="290" spans="1:27">
      <c r="A290" s="1370">
        <v>169</v>
      </c>
      <c r="B290" s="1371" t="s">
        <v>2066</v>
      </c>
      <c r="C290" s="1366"/>
      <c r="D290" s="1366"/>
      <c r="E290" s="1367"/>
      <c r="F290" s="1299"/>
      <c r="G290" s="1309"/>
      <c r="H290" s="1306"/>
      <c r="I290" s="1307"/>
      <c r="J290" s="1307"/>
      <c r="K290" s="1307"/>
      <c r="L290" s="1307"/>
      <c r="M290" s="1307"/>
      <c r="N290" s="1307"/>
      <c r="O290" s="1308"/>
      <c r="P290" s="1308"/>
      <c r="Q290" s="1308"/>
      <c r="R290" s="1308"/>
      <c r="S290" s="1317"/>
      <c r="T290" s="1317" t="s">
        <v>2066</v>
      </c>
      <c r="U290" s="1308">
        <v>169</v>
      </c>
      <c r="V290" s="1308"/>
      <c r="W290" s="1308"/>
      <c r="X290" s="1308"/>
      <c r="Y290" s="1308"/>
      <c r="Z290" s="1308"/>
      <c r="AA290" s="1308"/>
    </row>
    <row r="291" spans="1:27">
      <c r="A291" s="1370">
        <v>170</v>
      </c>
      <c r="B291" s="1371" t="s">
        <v>2067</v>
      </c>
      <c r="C291" s="1366"/>
      <c r="D291" s="1366"/>
      <c r="E291" s="1367"/>
      <c r="F291" s="1299"/>
      <c r="G291" s="1309"/>
      <c r="H291" s="1306"/>
      <c r="I291" s="1307"/>
      <c r="J291" s="1307"/>
      <c r="K291" s="1307"/>
      <c r="L291" s="1307"/>
      <c r="M291" s="1307"/>
      <c r="N291" s="1307"/>
      <c r="O291" s="1308"/>
      <c r="P291" s="1308"/>
      <c r="Q291" s="1308"/>
      <c r="R291" s="1308"/>
      <c r="S291" s="1317"/>
      <c r="T291" s="1317" t="s">
        <v>2067</v>
      </c>
      <c r="U291" s="1308">
        <v>170</v>
      </c>
      <c r="V291" s="1308"/>
      <c r="W291" s="1308"/>
      <c r="X291" s="1308"/>
      <c r="Y291" s="1308"/>
      <c r="Z291" s="1308"/>
      <c r="AA291" s="1308"/>
    </row>
    <row r="292" spans="1:27">
      <c r="A292" s="1370">
        <v>171</v>
      </c>
      <c r="B292" s="1371" t="s">
        <v>2068</v>
      </c>
      <c r="C292" s="1366"/>
      <c r="D292" s="1366"/>
      <c r="E292" s="1367"/>
      <c r="F292" s="1299"/>
      <c r="G292" s="1309"/>
      <c r="H292" s="1306"/>
      <c r="I292" s="1307"/>
      <c r="J292" s="1307"/>
      <c r="K292" s="1307"/>
      <c r="L292" s="1307"/>
      <c r="M292" s="1307"/>
      <c r="N292" s="1307"/>
      <c r="O292" s="1308"/>
      <c r="P292" s="1308"/>
      <c r="Q292" s="1308"/>
      <c r="R292" s="1308"/>
      <c r="S292" s="1317"/>
      <c r="T292" s="1317" t="s">
        <v>2068</v>
      </c>
      <c r="U292" s="1308">
        <v>171</v>
      </c>
      <c r="V292" s="1308"/>
      <c r="W292" s="1308"/>
      <c r="X292" s="1308"/>
      <c r="Y292" s="1308"/>
      <c r="Z292" s="1308"/>
      <c r="AA292" s="1308"/>
    </row>
    <row r="293" spans="1:27">
      <c r="A293" s="1370">
        <v>172</v>
      </c>
      <c r="B293" s="1371" t="s">
        <v>2069</v>
      </c>
      <c r="C293" s="1366"/>
      <c r="D293" s="1366"/>
      <c r="E293" s="1367"/>
      <c r="F293" s="1299"/>
      <c r="G293" s="1309"/>
      <c r="H293" s="1306"/>
      <c r="I293" s="1307"/>
      <c r="J293" s="1307"/>
      <c r="K293" s="1307"/>
      <c r="L293" s="1307"/>
      <c r="M293" s="1307"/>
      <c r="N293" s="1307"/>
      <c r="O293" s="1308"/>
      <c r="P293" s="1308"/>
      <c r="Q293" s="1308"/>
      <c r="R293" s="1308"/>
      <c r="S293" s="1317"/>
      <c r="T293" s="1317" t="s">
        <v>2069</v>
      </c>
      <c r="U293" s="1308">
        <v>172</v>
      </c>
      <c r="V293" s="1308"/>
      <c r="W293" s="1308"/>
      <c r="X293" s="1308"/>
      <c r="Y293" s="1308"/>
      <c r="Z293" s="1308"/>
      <c r="AA293" s="1308"/>
    </row>
    <row r="294" spans="1:27">
      <c r="A294" s="1370">
        <v>173</v>
      </c>
      <c r="B294" s="1371" t="s">
        <v>2070</v>
      </c>
      <c r="C294" s="1366"/>
      <c r="D294" s="1366"/>
      <c r="E294" s="1367"/>
      <c r="F294" s="1299"/>
      <c r="G294" s="1309"/>
      <c r="H294" s="1306"/>
      <c r="I294" s="1307"/>
      <c r="J294" s="1307"/>
      <c r="K294" s="1307"/>
      <c r="L294" s="1307"/>
      <c r="M294" s="1307"/>
      <c r="N294" s="1307"/>
      <c r="O294" s="1308"/>
      <c r="P294" s="1308"/>
      <c r="Q294" s="1308"/>
      <c r="R294" s="1308"/>
      <c r="S294" s="1317"/>
      <c r="T294" s="1317" t="s">
        <v>2070</v>
      </c>
      <c r="U294" s="1308">
        <v>173</v>
      </c>
      <c r="V294" s="1308"/>
      <c r="W294" s="1308"/>
      <c r="X294" s="1308"/>
      <c r="Y294" s="1308"/>
      <c r="Z294" s="1308"/>
      <c r="AA294" s="1308"/>
    </row>
    <row r="295" spans="1:27">
      <c r="A295" s="1370">
        <v>174</v>
      </c>
      <c r="B295" s="1371" t="s">
        <v>2071</v>
      </c>
      <c r="C295" s="1366"/>
      <c r="D295" s="1366"/>
      <c r="E295" s="1367"/>
      <c r="F295" s="1299"/>
      <c r="G295" s="1309"/>
      <c r="H295" s="1306"/>
      <c r="I295" s="1307"/>
      <c r="J295" s="1307"/>
      <c r="K295" s="1307"/>
      <c r="L295" s="1307"/>
      <c r="M295" s="1307"/>
      <c r="N295" s="1307"/>
      <c r="O295" s="1308"/>
      <c r="P295" s="1308"/>
      <c r="Q295" s="1308"/>
      <c r="R295" s="1308"/>
      <c r="S295" s="1317"/>
      <c r="T295" s="1317" t="s">
        <v>2071</v>
      </c>
      <c r="U295" s="1308">
        <v>174</v>
      </c>
      <c r="V295" s="1308"/>
      <c r="W295" s="1308"/>
      <c r="X295" s="1308"/>
      <c r="Y295" s="1308"/>
      <c r="Z295" s="1308"/>
      <c r="AA295" s="1308"/>
    </row>
    <row r="296" spans="1:27">
      <c r="A296" s="1370">
        <v>175</v>
      </c>
      <c r="B296" s="1371" t="s">
        <v>2072</v>
      </c>
      <c r="C296" s="1366"/>
      <c r="D296" s="1366"/>
      <c r="E296" s="1367"/>
      <c r="F296" s="1299"/>
      <c r="G296" s="1309"/>
      <c r="H296" s="1306"/>
      <c r="I296" s="1307"/>
      <c r="J296" s="1307"/>
      <c r="K296" s="1307"/>
      <c r="L296" s="1307"/>
      <c r="M296" s="1307"/>
      <c r="N296" s="1307"/>
      <c r="O296" s="1308"/>
      <c r="P296" s="1308"/>
      <c r="Q296" s="1308"/>
      <c r="R296" s="1308"/>
      <c r="S296" s="1317"/>
      <c r="T296" s="1317" t="s">
        <v>2072</v>
      </c>
      <c r="U296" s="1308">
        <v>175</v>
      </c>
      <c r="V296" s="1308"/>
      <c r="W296" s="1308"/>
      <c r="X296" s="1308"/>
      <c r="Y296" s="1308"/>
      <c r="Z296" s="1308"/>
      <c r="AA296" s="1308"/>
    </row>
    <row r="297" spans="1:27">
      <c r="A297" s="1370">
        <v>176</v>
      </c>
      <c r="B297" s="1371" t="s">
        <v>2073</v>
      </c>
      <c r="C297" s="1366"/>
      <c r="D297" s="1366"/>
      <c r="E297" s="1367"/>
      <c r="F297" s="1299"/>
      <c r="G297" s="1309"/>
      <c r="H297" s="1306"/>
      <c r="I297" s="1307"/>
      <c r="J297" s="1307"/>
      <c r="K297" s="1307"/>
      <c r="L297" s="1307"/>
      <c r="M297" s="1307"/>
      <c r="N297" s="1307"/>
      <c r="O297" s="1308"/>
      <c r="P297" s="1308"/>
      <c r="Q297" s="1308"/>
      <c r="R297" s="1308"/>
      <c r="S297" s="1317"/>
      <c r="T297" s="1317" t="s">
        <v>2073</v>
      </c>
      <c r="U297" s="1308">
        <v>176</v>
      </c>
      <c r="V297" s="1308"/>
      <c r="W297" s="1308"/>
      <c r="X297" s="1308"/>
      <c r="Y297" s="1308"/>
      <c r="Z297" s="1308"/>
      <c r="AA297" s="1308"/>
    </row>
    <row r="298" spans="1:27">
      <c r="A298" s="1370">
        <v>177</v>
      </c>
      <c r="B298" s="1371" t="s">
        <v>2074</v>
      </c>
      <c r="C298" s="1366"/>
      <c r="D298" s="1366"/>
      <c r="E298" s="1367"/>
      <c r="F298" s="1299"/>
      <c r="G298" s="1309"/>
      <c r="H298" s="1306"/>
      <c r="I298" s="1307"/>
      <c r="J298" s="1307"/>
      <c r="K298" s="1307"/>
      <c r="L298" s="1307"/>
      <c r="M298" s="1307"/>
      <c r="N298" s="1307"/>
      <c r="O298" s="1308"/>
      <c r="P298" s="1308"/>
      <c r="Q298" s="1308"/>
      <c r="R298" s="1308"/>
      <c r="S298" s="1317"/>
      <c r="T298" s="1317" t="s">
        <v>2074</v>
      </c>
      <c r="U298" s="1308">
        <v>177</v>
      </c>
      <c r="V298" s="1308"/>
      <c r="W298" s="1308"/>
      <c r="X298" s="1308"/>
      <c r="Y298" s="1308"/>
      <c r="Z298" s="1308"/>
      <c r="AA298" s="1308"/>
    </row>
    <row r="299" spans="1:27">
      <c r="A299" s="1370">
        <v>178</v>
      </c>
      <c r="B299" s="1371" t="s">
        <v>2075</v>
      </c>
      <c r="C299" s="1366"/>
      <c r="D299" s="1366"/>
      <c r="E299" s="1367"/>
      <c r="F299" s="1299"/>
      <c r="G299" s="1309"/>
      <c r="H299" s="1306"/>
      <c r="I299" s="1307"/>
      <c r="J299" s="1307"/>
      <c r="K299" s="1307"/>
      <c r="L299" s="1307"/>
      <c r="M299" s="1307"/>
      <c r="N299" s="1307"/>
      <c r="O299" s="1308"/>
      <c r="P299" s="1308"/>
      <c r="Q299" s="1308"/>
      <c r="R299" s="1308"/>
      <c r="S299" s="1317"/>
      <c r="T299" s="1317" t="s">
        <v>2075</v>
      </c>
      <c r="U299" s="1308">
        <v>178</v>
      </c>
      <c r="V299" s="1308"/>
      <c r="W299" s="1308"/>
      <c r="X299" s="1308"/>
      <c r="Y299" s="1308"/>
      <c r="Z299" s="1308"/>
      <c r="AA299" s="1308"/>
    </row>
    <row r="300" spans="1:27">
      <c r="A300" s="1370">
        <v>179</v>
      </c>
      <c r="B300" s="1371" t="s">
        <v>2076</v>
      </c>
      <c r="C300" s="1366"/>
      <c r="D300" s="1366"/>
      <c r="E300" s="1367"/>
      <c r="F300" s="1299"/>
      <c r="G300" s="1309"/>
      <c r="H300" s="1306"/>
      <c r="I300" s="1307"/>
      <c r="J300" s="1307"/>
      <c r="K300" s="1307"/>
      <c r="L300" s="1307"/>
      <c r="M300" s="1307"/>
      <c r="N300" s="1307"/>
      <c r="O300" s="1308"/>
      <c r="P300" s="1308"/>
      <c r="Q300" s="1308"/>
      <c r="R300" s="1308"/>
      <c r="S300" s="1317"/>
      <c r="T300" s="1317" t="s">
        <v>2076</v>
      </c>
      <c r="U300" s="1308">
        <v>179</v>
      </c>
      <c r="V300" s="1308"/>
      <c r="W300" s="1308"/>
      <c r="X300" s="1308"/>
      <c r="Y300" s="1308"/>
      <c r="Z300" s="1308"/>
      <c r="AA300" s="1308"/>
    </row>
    <row r="301" spans="1:27">
      <c r="A301" s="1370">
        <v>180</v>
      </c>
      <c r="B301" s="1371" t="s">
        <v>2077</v>
      </c>
      <c r="C301" s="1366"/>
      <c r="D301" s="1366"/>
      <c r="E301" s="1367"/>
      <c r="F301" s="1299"/>
      <c r="G301" s="1309"/>
      <c r="H301" s="1306"/>
      <c r="I301" s="1307"/>
      <c r="J301" s="1307"/>
      <c r="K301" s="1307"/>
      <c r="L301" s="1307"/>
      <c r="M301" s="1307"/>
      <c r="N301" s="1307"/>
      <c r="O301" s="1308"/>
      <c r="P301" s="1308"/>
      <c r="Q301" s="1308"/>
      <c r="R301" s="1308"/>
      <c r="S301" s="1317"/>
      <c r="T301" s="1317" t="s">
        <v>2077</v>
      </c>
      <c r="U301" s="1308">
        <v>180</v>
      </c>
      <c r="V301" s="1308"/>
      <c r="W301" s="1308"/>
      <c r="X301" s="1308"/>
      <c r="Y301" s="1308"/>
      <c r="Z301" s="1308"/>
      <c r="AA301" s="1308"/>
    </row>
    <row r="302" spans="1:27">
      <c r="A302" s="1370">
        <v>181</v>
      </c>
      <c r="B302" s="1371" t="s">
        <v>2078</v>
      </c>
      <c r="C302" s="1366"/>
      <c r="D302" s="1366"/>
      <c r="E302" s="1367"/>
      <c r="F302" s="1299"/>
      <c r="G302" s="1309"/>
      <c r="H302" s="1306"/>
      <c r="I302" s="1307"/>
      <c r="J302" s="1307"/>
      <c r="K302" s="1307"/>
      <c r="L302" s="1307"/>
      <c r="M302" s="1307"/>
      <c r="N302" s="1307"/>
      <c r="O302" s="1308"/>
      <c r="P302" s="1308"/>
      <c r="Q302" s="1308"/>
      <c r="R302" s="1308"/>
      <c r="S302" s="1317"/>
      <c r="T302" s="1317" t="s">
        <v>2078</v>
      </c>
      <c r="U302" s="1308">
        <v>181</v>
      </c>
      <c r="V302" s="1308"/>
      <c r="W302" s="1308"/>
      <c r="X302" s="1308"/>
      <c r="Y302" s="1308"/>
      <c r="Z302" s="1308"/>
      <c r="AA302" s="1308"/>
    </row>
    <row r="303" spans="1:27">
      <c r="A303" s="1370">
        <v>182</v>
      </c>
      <c r="B303" s="1371" t="s">
        <v>2079</v>
      </c>
      <c r="C303" s="1366"/>
      <c r="D303" s="1366"/>
      <c r="E303" s="1367"/>
      <c r="F303" s="1299"/>
      <c r="G303" s="1309"/>
      <c r="H303" s="1306"/>
      <c r="I303" s="1307"/>
      <c r="J303" s="1307"/>
      <c r="K303" s="1307"/>
      <c r="L303" s="1307"/>
      <c r="M303" s="1307"/>
      <c r="N303" s="1307"/>
      <c r="O303" s="1308"/>
      <c r="P303" s="1308"/>
      <c r="Q303" s="1308"/>
      <c r="R303" s="1308"/>
      <c r="S303" s="1317"/>
      <c r="T303" s="1317" t="s">
        <v>2079</v>
      </c>
      <c r="U303" s="1308">
        <v>182</v>
      </c>
      <c r="V303" s="1308"/>
      <c r="W303" s="1308"/>
      <c r="X303" s="1308"/>
      <c r="Y303" s="1308"/>
      <c r="Z303" s="1308"/>
      <c r="AA303" s="1308"/>
    </row>
    <row r="304" spans="1:27">
      <c r="A304" s="1370">
        <v>183</v>
      </c>
      <c r="B304" s="1371" t="s">
        <v>2080</v>
      </c>
      <c r="C304" s="1366"/>
      <c r="D304" s="1366"/>
      <c r="E304" s="1367"/>
      <c r="F304" s="1299"/>
      <c r="G304" s="1309"/>
      <c r="H304" s="1306"/>
      <c r="I304" s="1307"/>
      <c r="J304" s="1307"/>
      <c r="K304" s="1307"/>
      <c r="L304" s="1307"/>
      <c r="M304" s="1307"/>
      <c r="N304" s="1307"/>
      <c r="O304" s="1308"/>
      <c r="P304" s="1308"/>
      <c r="Q304" s="1308"/>
      <c r="R304" s="1308"/>
      <c r="S304" s="1317"/>
      <c r="T304" s="1317" t="s">
        <v>2080</v>
      </c>
      <c r="U304" s="1308">
        <v>183</v>
      </c>
      <c r="V304" s="1308"/>
      <c r="W304" s="1308"/>
      <c r="X304" s="1308"/>
      <c r="Y304" s="1308"/>
      <c r="Z304" s="1308"/>
      <c r="AA304" s="1308"/>
    </row>
    <row r="305" spans="1:27">
      <c r="A305" s="1370">
        <v>184</v>
      </c>
      <c r="B305" s="1371" t="s">
        <v>2081</v>
      </c>
      <c r="C305" s="1366"/>
      <c r="D305" s="1366"/>
      <c r="E305" s="1367"/>
      <c r="F305" s="1299"/>
      <c r="G305" s="1309"/>
      <c r="H305" s="1306"/>
      <c r="I305" s="1307"/>
      <c r="J305" s="1307"/>
      <c r="K305" s="1307"/>
      <c r="L305" s="1307"/>
      <c r="M305" s="1307"/>
      <c r="N305" s="1307"/>
      <c r="O305" s="1308"/>
      <c r="P305" s="1308"/>
      <c r="Q305" s="1308"/>
      <c r="R305" s="1308"/>
      <c r="S305" s="1317"/>
      <c r="T305" s="1317" t="s">
        <v>2081</v>
      </c>
      <c r="U305" s="1308">
        <v>184</v>
      </c>
      <c r="V305" s="1308"/>
      <c r="W305" s="1308"/>
      <c r="X305" s="1308"/>
      <c r="Y305" s="1308"/>
      <c r="Z305" s="1308"/>
      <c r="AA305" s="1308"/>
    </row>
    <row r="306" spans="1:27">
      <c r="A306" s="1370">
        <v>185</v>
      </c>
      <c r="B306" s="1371" t="s">
        <v>2082</v>
      </c>
      <c r="C306" s="1366"/>
      <c r="D306" s="1366"/>
      <c r="E306" s="1367"/>
      <c r="F306" s="1299"/>
      <c r="G306" s="1309"/>
      <c r="H306" s="1306"/>
      <c r="I306" s="1307"/>
      <c r="J306" s="1307"/>
      <c r="K306" s="1307"/>
      <c r="L306" s="1307"/>
      <c r="M306" s="1307"/>
      <c r="N306" s="1307"/>
      <c r="O306" s="1308"/>
      <c r="P306" s="1308"/>
      <c r="Q306" s="1308"/>
      <c r="R306" s="1308"/>
      <c r="S306" s="1317"/>
      <c r="T306" s="1317" t="s">
        <v>2082</v>
      </c>
      <c r="U306" s="1308">
        <v>185</v>
      </c>
      <c r="V306" s="1308"/>
      <c r="W306" s="1308"/>
      <c r="X306" s="1308"/>
      <c r="Y306" s="1308"/>
      <c r="Z306" s="1308"/>
      <c r="AA306" s="1308"/>
    </row>
    <row r="307" spans="1:27">
      <c r="A307" s="1370">
        <v>186</v>
      </c>
      <c r="B307" s="1371" t="s">
        <v>2083</v>
      </c>
      <c r="C307" s="1366"/>
      <c r="D307" s="1366"/>
      <c r="E307" s="1367"/>
      <c r="F307" s="1299"/>
      <c r="G307" s="1309"/>
      <c r="H307" s="1306"/>
      <c r="I307" s="1307"/>
      <c r="J307" s="1307"/>
      <c r="K307" s="1307"/>
      <c r="L307" s="1307"/>
      <c r="M307" s="1307"/>
      <c r="N307" s="1307"/>
      <c r="O307" s="1308"/>
      <c r="P307" s="1308"/>
      <c r="Q307" s="1308"/>
      <c r="R307" s="1308"/>
      <c r="S307" s="1317"/>
      <c r="T307" s="1317" t="s">
        <v>2083</v>
      </c>
      <c r="U307" s="1308">
        <v>186</v>
      </c>
      <c r="V307" s="1308"/>
      <c r="W307" s="1308"/>
      <c r="X307" s="1308"/>
      <c r="Y307" s="1308"/>
      <c r="Z307" s="1308"/>
      <c r="AA307" s="1308"/>
    </row>
    <row r="308" spans="1:27">
      <c r="A308" s="1370">
        <v>187</v>
      </c>
      <c r="B308" s="1371" t="s">
        <v>2084</v>
      </c>
      <c r="C308" s="1366"/>
      <c r="D308" s="1366"/>
      <c r="E308" s="1367"/>
      <c r="F308" s="1299"/>
      <c r="G308" s="1309"/>
      <c r="H308" s="1306"/>
      <c r="I308" s="1307"/>
      <c r="J308" s="1307"/>
      <c r="K308" s="1307"/>
      <c r="L308" s="1307"/>
      <c r="M308" s="1307"/>
      <c r="N308" s="1307"/>
      <c r="O308" s="1308"/>
      <c r="P308" s="1308"/>
      <c r="Q308" s="1308"/>
      <c r="R308" s="1308"/>
      <c r="S308" s="1317"/>
      <c r="T308" s="1317" t="s">
        <v>2084</v>
      </c>
      <c r="U308" s="1308">
        <v>187</v>
      </c>
      <c r="V308" s="1308"/>
      <c r="W308" s="1308"/>
      <c r="X308" s="1308"/>
      <c r="Y308" s="1308"/>
      <c r="Z308" s="1308"/>
      <c r="AA308" s="1308"/>
    </row>
    <row r="309" spans="1:27">
      <c r="A309" s="1370">
        <v>188</v>
      </c>
      <c r="B309" s="1371" t="s">
        <v>2085</v>
      </c>
      <c r="C309" s="1366"/>
      <c r="D309" s="1366"/>
      <c r="E309" s="1367"/>
      <c r="F309" s="1299"/>
      <c r="G309" s="1309"/>
      <c r="H309" s="1306"/>
      <c r="I309" s="1307"/>
      <c r="J309" s="1307"/>
      <c r="K309" s="1307"/>
      <c r="L309" s="1307"/>
      <c r="M309" s="1307"/>
      <c r="N309" s="1307"/>
      <c r="O309" s="1308"/>
      <c r="P309" s="1308"/>
      <c r="Q309" s="1308"/>
      <c r="R309" s="1308"/>
      <c r="S309" s="1317"/>
      <c r="T309" s="1317" t="s">
        <v>2085</v>
      </c>
      <c r="U309" s="1308">
        <v>188</v>
      </c>
      <c r="V309" s="1308"/>
      <c r="W309" s="1308"/>
      <c r="X309" s="1308"/>
      <c r="Y309" s="1308"/>
      <c r="Z309" s="1308"/>
      <c r="AA309" s="1308"/>
    </row>
    <row r="310" spans="1:27">
      <c r="A310" s="1370">
        <v>189</v>
      </c>
      <c r="B310" s="1371" t="s">
        <v>2086</v>
      </c>
      <c r="C310" s="1366"/>
      <c r="D310" s="1366"/>
      <c r="E310" s="1367"/>
      <c r="F310" s="1299"/>
      <c r="G310" s="1309"/>
      <c r="H310" s="1306"/>
      <c r="I310" s="1307"/>
      <c r="J310" s="1307"/>
      <c r="K310" s="1307"/>
      <c r="L310" s="1307"/>
      <c r="M310" s="1307"/>
      <c r="N310" s="1307"/>
      <c r="O310" s="1308"/>
      <c r="P310" s="1308"/>
      <c r="Q310" s="1308"/>
      <c r="R310" s="1308"/>
      <c r="S310" s="1317"/>
      <c r="T310" s="1317" t="s">
        <v>2086</v>
      </c>
      <c r="U310" s="1308">
        <v>189</v>
      </c>
      <c r="V310" s="1308"/>
      <c r="W310" s="1308"/>
      <c r="X310" s="1308"/>
      <c r="Y310" s="1308"/>
      <c r="Z310" s="1308"/>
      <c r="AA310" s="1308"/>
    </row>
    <row r="311" spans="1:27">
      <c r="A311" s="1370">
        <v>190</v>
      </c>
      <c r="B311" s="1371" t="s">
        <v>2087</v>
      </c>
      <c r="C311" s="1366"/>
      <c r="D311" s="1366"/>
      <c r="E311" s="1367"/>
      <c r="F311" s="1299"/>
      <c r="G311" s="1309"/>
      <c r="H311" s="1306"/>
      <c r="I311" s="1307"/>
      <c r="J311" s="1307"/>
      <c r="K311" s="1307"/>
      <c r="L311" s="1307"/>
      <c r="M311" s="1307"/>
      <c r="N311" s="1307"/>
      <c r="O311" s="1308"/>
      <c r="P311" s="1308"/>
      <c r="Q311" s="1308"/>
      <c r="R311" s="1308"/>
      <c r="S311" s="1317"/>
      <c r="T311" s="1317" t="s">
        <v>2087</v>
      </c>
      <c r="U311" s="1308">
        <v>190</v>
      </c>
      <c r="V311" s="1308"/>
      <c r="W311" s="1308"/>
      <c r="X311" s="1308"/>
      <c r="Y311" s="1308"/>
      <c r="Z311" s="1308"/>
      <c r="AA311" s="1308"/>
    </row>
    <row r="312" spans="1:27">
      <c r="A312" s="1370">
        <v>191</v>
      </c>
      <c r="B312" s="1371" t="s">
        <v>2088</v>
      </c>
      <c r="C312" s="1366"/>
      <c r="D312" s="1366"/>
      <c r="E312" s="1367"/>
      <c r="F312" s="1299"/>
      <c r="G312" s="1309"/>
      <c r="H312" s="1306"/>
      <c r="I312" s="1307"/>
      <c r="J312" s="1307"/>
      <c r="K312" s="1307"/>
      <c r="L312" s="1307"/>
      <c r="M312" s="1307"/>
      <c r="N312" s="1307"/>
      <c r="O312" s="1308"/>
      <c r="P312" s="1308"/>
      <c r="Q312" s="1308"/>
      <c r="R312" s="1308"/>
      <c r="S312" s="1317"/>
      <c r="T312" s="1317" t="s">
        <v>2088</v>
      </c>
      <c r="U312" s="1308">
        <v>191</v>
      </c>
      <c r="V312" s="1308"/>
      <c r="W312" s="1308"/>
      <c r="X312" s="1308"/>
      <c r="Y312" s="1308"/>
      <c r="Z312" s="1308"/>
      <c r="AA312" s="1308"/>
    </row>
    <row r="313" spans="1:27">
      <c r="A313" s="1370">
        <v>192</v>
      </c>
      <c r="B313" s="1371" t="s">
        <v>2089</v>
      </c>
      <c r="C313" s="1366"/>
      <c r="D313" s="1366"/>
      <c r="E313" s="1367"/>
      <c r="F313" s="1299"/>
      <c r="G313" s="1309"/>
      <c r="H313" s="1306"/>
      <c r="I313" s="1307"/>
      <c r="J313" s="1307"/>
      <c r="K313" s="1307"/>
      <c r="L313" s="1307"/>
      <c r="M313" s="1307"/>
      <c r="N313" s="1307"/>
      <c r="O313" s="1308"/>
      <c r="P313" s="1308"/>
      <c r="Q313" s="1308"/>
      <c r="R313" s="1308"/>
      <c r="S313" s="1317"/>
      <c r="T313" s="1317" t="s">
        <v>2089</v>
      </c>
      <c r="U313" s="1308">
        <v>192</v>
      </c>
      <c r="V313" s="1308"/>
      <c r="W313" s="1308"/>
      <c r="X313" s="1308"/>
      <c r="Y313" s="1308"/>
      <c r="Z313" s="1308"/>
      <c r="AA313" s="1308"/>
    </row>
    <row r="314" spans="1:27">
      <c r="A314" s="1370">
        <v>193</v>
      </c>
      <c r="B314" s="1371" t="s">
        <v>2090</v>
      </c>
      <c r="C314" s="1366"/>
      <c r="D314" s="1366"/>
      <c r="E314" s="1367"/>
      <c r="F314" s="1299"/>
      <c r="G314" s="1309"/>
      <c r="H314" s="1306"/>
      <c r="I314" s="1307"/>
      <c r="J314" s="1307"/>
      <c r="K314" s="1307"/>
      <c r="L314" s="1307"/>
      <c r="M314" s="1307"/>
      <c r="N314" s="1307"/>
      <c r="O314" s="1308"/>
      <c r="P314" s="1308"/>
      <c r="Q314" s="1308"/>
      <c r="R314" s="1308"/>
      <c r="S314" s="1317"/>
      <c r="T314" s="1317" t="s">
        <v>2090</v>
      </c>
      <c r="U314" s="1308">
        <v>193</v>
      </c>
      <c r="V314" s="1308"/>
      <c r="W314" s="1308"/>
      <c r="X314" s="1308"/>
      <c r="Y314" s="1308"/>
      <c r="Z314" s="1308"/>
      <c r="AA314" s="1308"/>
    </row>
    <row r="315" spans="1:27">
      <c r="A315" s="1370">
        <v>194</v>
      </c>
      <c r="B315" s="1371" t="s">
        <v>2091</v>
      </c>
      <c r="C315" s="1366"/>
      <c r="D315" s="1366"/>
      <c r="E315" s="1367"/>
      <c r="F315" s="1299"/>
      <c r="G315" s="1309"/>
      <c r="H315" s="1306"/>
      <c r="I315" s="1307"/>
      <c r="J315" s="1307"/>
      <c r="K315" s="1307"/>
      <c r="L315" s="1307"/>
      <c r="M315" s="1307"/>
      <c r="N315" s="1307"/>
      <c r="O315" s="1308"/>
      <c r="P315" s="1308"/>
      <c r="Q315" s="1308"/>
      <c r="R315" s="1308"/>
      <c r="S315" s="1317"/>
      <c r="T315" s="1317" t="s">
        <v>2091</v>
      </c>
      <c r="U315" s="1308">
        <v>194</v>
      </c>
      <c r="V315" s="1308"/>
      <c r="W315" s="1308"/>
      <c r="X315" s="1308"/>
      <c r="Y315" s="1308"/>
      <c r="Z315" s="1308"/>
      <c r="AA315" s="1308"/>
    </row>
    <row r="316" spans="1:27">
      <c r="A316" s="1370">
        <v>195</v>
      </c>
      <c r="B316" s="1371" t="s">
        <v>2092</v>
      </c>
      <c r="C316" s="1366"/>
      <c r="D316" s="1366"/>
      <c r="E316" s="1367"/>
      <c r="F316" s="1299"/>
      <c r="G316" s="1309"/>
      <c r="H316" s="1306"/>
      <c r="I316" s="1307"/>
      <c r="J316" s="1307"/>
      <c r="K316" s="1307"/>
      <c r="L316" s="1307"/>
      <c r="M316" s="1307"/>
      <c r="N316" s="1307"/>
      <c r="O316" s="1308"/>
      <c r="P316" s="1308"/>
      <c r="Q316" s="1308"/>
      <c r="R316" s="1308"/>
      <c r="S316" s="1317"/>
      <c r="T316" s="1317" t="s">
        <v>2092</v>
      </c>
      <c r="U316" s="1308">
        <v>195</v>
      </c>
      <c r="V316" s="1308"/>
      <c r="W316" s="1308"/>
      <c r="X316" s="1308"/>
      <c r="Y316" s="1308"/>
      <c r="Z316" s="1308"/>
      <c r="AA316" s="1308"/>
    </row>
    <row r="317" spans="1:27">
      <c r="A317" s="1370">
        <v>196</v>
      </c>
      <c r="B317" s="1371" t="s">
        <v>2093</v>
      </c>
      <c r="C317" s="1366"/>
      <c r="D317" s="1366"/>
      <c r="E317" s="1367"/>
      <c r="F317" s="1299"/>
      <c r="G317" s="1309"/>
      <c r="H317" s="1306"/>
      <c r="I317" s="1307"/>
      <c r="J317" s="1307"/>
      <c r="K317" s="1307"/>
      <c r="L317" s="1307"/>
      <c r="M317" s="1307"/>
      <c r="N317" s="1307"/>
      <c r="O317" s="1308"/>
      <c r="P317" s="1308"/>
      <c r="Q317" s="1308"/>
      <c r="R317" s="1308"/>
      <c r="S317" s="1317"/>
      <c r="T317" s="1317" t="s">
        <v>2093</v>
      </c>
      <c r="U317" s="1308">
        <v>196</v>
      </c>
      <c r="V317" s="1308"/>
      <c r="W317" s="1308"/>
      <c r="X317" s="1308"/>
      <c r="Y317" s="1308"/>
      <c r="Z317" s="1308"/>
      <c r="AA317" s="1308"/>
    </row>
    <row r="318" spans="1:27">
      <c r="A318" s="1370">
        <v>197</v>
      </c>
      <c r="B318" s="1371" t="s">
        <v>151</v>
      </c>
      <c r="C318" s="1366"/>
      <c r="D318" s="1366"/>
      <c r="E318" s="1367"/>
      <c r="F318" s="1299"/>
      <c r="G318" s="1309"/>
      <c r="H318" s="1306"/>
      <c r="I318" s="1307"/>
      <c r="J318" s="1307"/>
      <c r="K318" s="1307"/>
      <c r="L318" s="1307"/>
      <c r="M318" s="1307"/>
      <c r="N318" s="1307"/>
      <c r="O318" s="1308"/>
      <c r="P318" s="1308"/>
      <c r="Q318" s="1308"/>
      <c r="R318" s="1308"/>
      <c r="S318" s="1317"/>
      <c r="T318" s="1317" t="s">
        <v>151</v>
      </c>
      <c r="U318" s="1308">
        <v>197</v>
      </c>
      <c r="V318" s="1308"/>
      <c r="W318" s="1308"/>
      <c r="X318" s="1308"/>
      <c r="Y318" s="1308"/>
      <c r="Z318" s="1308"/>
      <c r="AA318" s="1308"/>
    </row>
    <row r="319" spans="1:27">
      <c r="A319" s="1370">
        <v>198</v>
      </c>
      <c r="B319" s="1371" t="s">
        <v>2094</v>
      </c>
      <c r="C319" s="1366"/>
      <c r="D319" s="1366"/>
      <c r="E319" s="1367"/>
      <c r="F319" s="1299"/>
      <c r="G319" s="1309"/>
      <c r="H319" s="1306"/>
      <c r="I319" s="1307"/>
      <c r="J319" s="1307"/>
      <c r="K319" s="1307"/>
      <c r="L319" s="1307"/>
      <c r="M319" s="1307"/>
      <c r="N319" s="1307"/>
      <c r="O319" s="1308"/>
      <c r="P319" s="1308"/>
      <c r="Q319" s="1308"/>
      <c r="R319" s="1308"/>
      <c r="S319" s="1317"/>
      <c r="T319" s="1317" t="s">
        <v>2094</v>
      </c>
      <c r="U319" s="1308">
        <v>198</v>
      </c>
      <c r="V319" s="1308"/>
      <c r="W319" s="1308"/>
      <c r="X319" s="1308"/>
      <c r="Y319" s="1308"/>
      <c r="Z319" s="1308"/>
      <c r="AA319" s="1308"/>
    </row>
    <row r="320" spans="1:27">
      <c r="A320" s="1370">
        <v>199</v>
      </c>
      <c r="B320" s="1371" t="s">
        <v>2095</v>
      </c>
      <c r="C320" s="1366"/>
      <c r="D320" s="1366"/>
      <c r="E320" s="1367"/>
      <c r="F320" s="1299"/>
      <c r="G320" s="1309"/>
      <c r="H320" s="1306"/>
      <c r="I320" s="1307"/>
      <c r="J320" s="1307"/>
      <c r="K320" s="1307"/>
      <c r="L320" s="1307"/>
      <c r="M320" s="1307"/>
      <c r="N320" s="1307"/>
      <c r="O320" s="1308"/>
      <c r="P320" s="1308"/>
      <c r="Q320" s="1308"/>
      <c r="R320" s="1308"/>
      <c r="S320" s="1317"/>
      <c r="T320" s="1317" t="s">
        <v>2095</v>
      </c>
      <c r="U320" s="1308">
        <v>199</v>
      </c>
      <c r="V320" s="1308"/>
      <c r="W320" s="1308"/>
      <c r="X320" s="1308"/>
      <c r="Y320" s="1308"/>
      <c r="Z320" s="1308"/>
      <c r="AA320" s="1308"/>
    </row>
    <row r="321" spans="1:27">
      <c r="A321" s="1370">
        <v>200</v>
      </c>
      <c r="B321" s="1371" t="s">
        <v>2096</v>
      </c>
      <c r="C321" s="1366"/>
      <c r="D321" s="1366"/>
      <c r="E321" s="1367"/>
      <c r="F321" s="1299"/>
      <c r="G321" s="1309"/>
      <c r="H321" s="1306"/>
      <c r="I321" s="1307"/>
      <c r="J321" s="1307"/>
      <c r="K321" s="1307"/>
      <c r="L321" s="1307"/>
      <c r="M321" s="1307"/>
      <c r="N321" s="1307"/>
      <c r="O321" s="1308"/>
      <c r="P321" s="1308"/>
      <c r="Q321" s="1308"/>
      <c r="R321" s="1308"/>
      <c r="S321" s="1317"/>
      <c r="T321" s="1317" t="s">
        <v>2096</v>
      </c>
      <c r="U321" s="1308">
        <v>200</v>
      </c>
      <c r="V321" s="1308"/>
      <c r="W321" s="1308"/>
      <c r="X321" s="1308"/>
      <c r="Y321" s="1308"/>
      <c r="Z321" s="1308"/>
      <c r="AA321" s="1308"/>
    </row>
    <row r="322" spans="1:27">
      <c r="A322" s="1370">
        <v>201</v>
      </c>
      <c r="B322" s="1371" t="s">
        <v>2097</v>
      </c>
      <c r="C322" s="1366"/>
      <c r="D322" s="1366"/>
      <c r="E322" s="1367"/>
      <c r="F322" s="1299"/>
      <c r="G322" s="1309"/>
      <c r="H322" s="1306"/>
      <c r="I322" s="1307"/>
      <c r="J322" s="1307"/>
      <c r="K322" s="1307"/>
      <c r="L322" s="1307"/>
      <c r="M322" s="1307"/>
      <c r="N322" s="1307"/>
      <c r="O322" s="1308"/>
      <c r="P322" s="1308"/>
      <c r="Q322" s="1308"/>
      <c r="R322" s="1308"/>
      <c r="S322" s="1317"/>
      <c r="T322" s="1317" t="s">
        <v>2097</v>
      </c>
      <c r="U322" s="1308">
        <v>201</v>
      </c>
      <c r="V322" s="1308"/>
      <c r="W322" s="1308"/>
      <c r="X322" s="1308"/>
      <c r="Y322" s="1308"/>
      <c r="Z322" s="1308"/>
      <c r="AA322" s="1308"/>
    </row>
    <row r="323" spans="1:27">
      <c r="A323" s="1370">
        <v>202</v>
      </c>
      <c r="B323" s="1371" t="s">
        <v>2098</v>
      </c>
      <c r="C323" s="1366"/>
      <c r="D323" s="1366"/>
      <c r="E323" s="1367"/>
      <c r="F323" s="1299"/>
      <c r="G323" s="1309"/>
      <c r="H323" s="1306"/>
      <c r="I323" s="1307"/>
      <c r="J323" s="1307"/>
      <c r="K323" s="1307"/>
      <c r="L323" s="1307"/>
      <c r="M323" s="1307"/>
      <c r="N323" s="1307"/>
      <c r="O323" s="1308"/>
      <c r="P323" s="1308"/>
      <c r="Q323" s="1308"/>
      <c r="R323" s="1308"/>
      <c r="S323" s="1317"/>
      <c r="T323" s="1317" t="s">
        <v>2098</v>
      </c>
      <c r="U323" s="1308">
        <v>202</v>
      </c>
      <c r="V323" s="1308"/>
      <c r="W323" s="1308"/>
      <c r="X323" s="1308"/>
      <c r="Y323" s="1308"/>
      <c r="Z323" s="1308"/>
      <c r="AA323" s="1308"/>
    </row>
    <row r="324" spans="1:27">
      <c r="A324" s="1370">
        <v>203</v>
      </c>
      <c r="B324" s="1371" t="s">
        <v>2099</v>
      </c>
      <c r="C324" s="1366"/>
      <c r="D324" s="1366"/>
      <c r="E324" s="1367"/>
      <c r="F324" s="1299"/>
      <c r="G324" s="1309"/>
      <c r="H324" s="1306"/>
      <c r="I324" s="1307"/>
      <c r="J324" s="1307"/>
      <c r="K324" s="1307"/>
      <c r="L324" s="1307"/>
      <c r="M324" s="1307"/>
      <c r="N324" s="1307"/>
      <c r="O324" s="1308"/>
      <c r="P324" s="1308"/>
      <c r="Q324" s="1308"/>
      <c r="R324" s="1308"/>
      <c r="S324" s="1317"/>
      <c r="T324" s="1317" t="s">
        <v>2099</v>
      </c>
      <c r="U324" s="1308">
        <v>203</v>
      </c>
      <c r="V324" s="1308"/>
      <c r="W324" s="1308"/>
      <c r="X324" s="1308"/>
      <c r="Y324" s="1308"/>
      <c r="Z324" s="1308"/>
      <c r="AA324" s="1308"/>
    </row>
    <row r="325" spans="1:27">
      <c r="A325" s="1370">
        <v>204</v>
      </c>
      <c r="B325" s="1371" t="s">
        <v>2100</v>
      </c>
      <c r="C325" s="1366"/>
      <c r="D325" s="1366"/>
      <c r="E325" s="1367"/>
      <c r="F325" s="1299"/>
      <c r="G325" s="1309"/>
      <c r="H325" s="1306"/>
      <c r="I325" s="1307"/>
      <c r="J325" s="1307"/>
      <c r="K325" s="1307"/>
      <c r="L325" s="1307"/>
      <c r="M325" s="1307"/>
      <c r="N325" s="1307"/>
      <c r="O325" s="1308"/>
      <c r="P325" s="1308"/>
      <c r="Q325" s="1308"/>
      <c r="R325" s="1308"/>
      <c r="S325" s="1317"/>
      <c r="T325" s="1317" t="s">
        <v>2100</v>
      </c>
      <c r="U325" s="1308">
        <v>204</v>
      </c>
      <c r="V325" s="1308"/>
      <c r="W325" s="1308"/>
      <c r="X325" s="1308"/>
      <c r="Y325" s="1308"/>
      <c r="Z325" s="1308"/>
      <c r="AA325" s="1308"/>
    </row>
    <row r="326" spans="1:27">
      <c r="A326" s="1370">
        <v>205</v>
      </c>
      <c r="B326" s="1371" t="s">
        <v>2101</v>
      </c>
      <c r="C326" s="1366"/>
      <c r="D326" s="1366"/>
      <c r="E326" s="1367"/>
      <c r="F326" s="1299"/>
      <c r="G326" s="1309"/>
      <c r="H326" s="1306"/>
      <c r="I326" s="1307"/>
      <c r="J326" s="1307"/>
      <c r="K326" s="1307"/>
      <c r="L326" s="1307"/>
      <c r="M326" s="1307"/>
      <c r="N326" s="1307"/>
      <c r="O326" s="1308"/>
      <c r="P326" s="1308"/>
      <c r="Q326" s="1308"/>
      <c r="R326" s="1308"/>
      <c r="S326" s="1317"/>
      <c r="T326" s="1317" t="s">
        <v>2101</v>
      </c>
      <c r="U326" s="1308">
        <v>205</v>
      </c>
      <c r="V326" s="1308"/>
      <c r="W326" s="1308"/>
      <c r="X326" s="1308"/>
      <c r="Y326" s="1308"/>
      <c r="Z326" s="1308"/>
      <c r="AA326" s="1308"/>
    </row>
    <row r="327" spans="1:27">
      <c r="A327" s="1370">
        <v>206</v>
      </c>
      <c r="B327" s="1371" t="s">
        <v>2102</v>
      </c>
      <c r="C327" s="1366"/>
      <c r="D327" s="1366"/>
      <c r="E327" s="1367"/>
      <c r="F327" s="1299"/>
      <c r="G327" s="1309"/>
      <c r="H327" s="1306"/>
      <c r="I327" s="1307"/>
      <c r="J327" s="1307"/>
      <c r="K327" s="1307"/>
      <c r="L327" s="1307"/>
      <c r="M327" s="1307"/>
      <c r="N327" s="1307"/>
      <c r="O327" s="1308"/>
      <c r="P327" s="1308"/>
      <c r="Q327" s="1308"/>
      <c r="R327" s="1308"/>
      <c r="S327" s="1317"/>
      <c r="T327" s="1317" t="s">
        <v>2102</v>
      </c>
      <c r="U327" s="1308">
        <v>206</v>
      </c>
      <c r="V327" s="1308"/>
      <c r="W327" s="1308"/>
      <c r="X327" s="1308"/>
      <c r="Y327" s="1308"/>
      <c r="Z327" s="1308"/>
      <c r="AA327" s="1308"/>
    </row>
    <row r="328" spans="1:27">
      <c r="A328" s="1370">
        <v>207</v>
      </c>
      <c r="B328" s="1371" t="s">
        <v>2103</v>
      </c>
      <c r="C328" s="1366"/>
      <c r="D328" s="1366"/>
      <c r="E328" s="1367"/>
      <c r="F328" s="1299"/>
      <c r="G328" s="1309"/>
      <c r="H328" s="1306"/>
      <c r="I328" s="1307"/>
      <c r="J328" s="1307"/>
      <c r="K328" s="1307"/>
      <c r="L328" s="1307"/>
      <c r="M328" s="1307"/>
      <c r="N328" s="1307"/>
      <c r="O328" s="1308"/>
      <c r="P328" s="1308"/>
      <c r="Q328" s="1308"/>
      <c r="R328" s="1308"/>
      <c r="S328" s="1317"/>
      <c r="T328" s="1317" t="s">
        <v>2103</v>
      </c>
      <c r="U328" s="1308">
        <v>207</v>
      </c>
      <c r="V328" s="1308"/>
      <c r="W328" s="1308"/>
      <c r="X328" s="1308"/>
      <c r="Y328" s="1308"/>
      <c r="Z328" s="1308"/>
      <c r="AA328" s="1308"/>
    </row>
    <row r="329" spans="1:27">
      <c r="A329" s="1370">
        <v>208</v>
      </c>
      <c r="B329" s="1371" t="s">
        <v>2104</v>
      </c>
      <c r="C329" s="1366"/>
      <c r="D329" s="1366"/>
      <c r="E329" s="1367"/>
      <c r="F329" s="1299"/>
      <c r="G329" s="1309"/>
      <c r="H329" s="1306"/>
      <c r="I329" s="1307"/>
      <c r="J329" s="1307"/>
      <c r="K329" s="1307"/>
      <c r="L329" s="1307"/>
      <c r="M329" s="1307"/>
      <c r="N329" s="1307"/>
      <c r="O329" s="1308"/>
      <c r="P329" s="1308"/>
      <c r="Q329" s="1308"/>
      <c r="R329" s="1308"/>
      <c r="S329" s="1317"/>
      <c r="T329" s="1317" t="s">
        <v>2104</v>
      </c>
      <c r="U329" s="1308">
        <v>208</v>
      </c>
      <c r="V329" s="1308"/>
      <c r="W329" s="1308"/>
      <c r="X329" s="1308"/>
      <c r="Y329" s="1308"/>
      <c r="Z329" s="1308"/>
      <c r="AA329" s="1308"/>
    </row>
    <row r="330" spans="1:27">
      <c r="A330" s="1370">
        <v>209</v>
      </c>
      <c r="B330" s="1371" t="s">
        <v>2105</v>
      </c>
      <c r="C330" s="1366"/>
      <c r="D330" s="1366"/>
      <c r="E330" s="1367"/>
      <c r="F330" s="1299"/>
      <c r="G330" s="1309"/>
      <c r="H330" s="1306"/>
      <c r="I330" s="1307"/>
      <c r="J330" s="1307"/>
      <c r="K330" s="1307"/>
      <c r="L330" s="1307"/>
      <c r="M330" s="1307"/>
      <c r="N330" s="1307"/>
      <c r="O330" s="1308"/>
      <c r="P330" s="1308"/>
      <c r="Q330" s="1308"/>
      <c r="R330" s="1308"/>
      <c r="S330" s="1317"/>
      <c r="T330" s="1317" t="s">
        <v>2105</v>
      </c>
      <c r="U330" s="1308">
        <v>209</v>
      </c>
      <c r="V330" s="1308"/>
      <c r="W330" s="1308"/>
      <c r="X330" s="1308"/>
      <c r="Y330" s="1308"/>
      <c r="Z330" s="1308"/>
      <c r="AA330" s="1308"/>
    </row>
    <row r="331" spans="1:27">
      <c r="A331" s="1370">
        <v>210</v>
      </c>
      <c r="B331" s="1371" t="s">
        <v>2106</v>
      </c>
      <c r="C331" s="1366"/>
      <c r="D331" s="1366"/>
      <c r="E331" s="1367"/>
      <c r="F331" s="1299"/>
      <c r="G331" s="1309"/>
      <c r="H331" s="1306"/>
      <c r="I331" s="1307"/>
      <c r="J331" s="1307"/>
      <c r="K331" s="1307"/>
      <c r="L331" s="1307"/>
      <c r="M331" s="1307"/>
      <c r="N331" s="1307"/>
      <c r="O331" s="1308"/>
      <c r="P331" s="1308"/>
      <c r="Q331" s="1308"/>
      <c r="R331" s="1308"/>
      <c r="S331" s="1317"/>
      <c r="T331" s="1317" t="s">
        <v>2106</v>
      </c>
      <c r="U331" s="1308">
        <v>210</v>
      </c>
      <c r="V331" s="1308"/>
      <c r="W331" s="1308"/>
      <c r="X331" s="1308"/>
      <c r="Y331" s="1308"/>
      <c r="Z331" s="1308"/>
      <c r="AA331" s="1308"/>
    </row>
    <row r="332" spans="1:27">
      <c r="A332" s="1370">
        <v>211</v>
      </c>
      <c r="B332" s="1371" t="s">
        <v>2107</v>
      </c>
      <c r="C332" s="1366"/>
      <c r="D332" s="1366"/>
      <c r="E332" s="1367"/>
      <c r="F332" s="1299"/>
      <c r="G332" s="1309"/>
      <c r="H332" s="1306"/>
      <c r="I332" s="1307"/>
      <c r="J332" s="1307"/>
      <c r="K332" s="1307"/>
      <c r="L332" s="1307"/>
      <c r="M332" s="1307"/>
      <c r="N332" s="1307"/>
      <c r="O332" s="1308"/>
      <c r="P332" s="1308"/>
      <c r="Q332" s="1308"/>
      <c r="R332" s="1308"/>
      <c r="S332" s="1317"/>
      <c r="T332" s="1317" t="s">
        <v>2107</v>
      </c>
      <c r="U332" s="1308">
        <v>211</v>
      </c>
      <c r="V332" s="1308"/>
      <c r="W332" s="1308"/>
      <c r="X332" s="1308"/>
      <c r="Y332" s="1308"/>
      <c r="Z332" s="1308"/>
      <c r="AA332" s="1308"/>
    </row>
    <row r="333" spans="1:27">
      <c r="A333" s="1370">
        <v>212</v>
      </c>
      <c r="B333" s="1371" t="s">
        <v>2108</v>
      </c>
      <c r="C333" s="1366"/>
      <c r="D333" s="1366"/>
      <c r="E333" s="1367"/>
      <c r="F333" s="1299"/>
      <c r="G333" s="1309"/>
      <c r="H333" s="1306"/>
      <c r="I333" s="1307"/>
      <c r="J333" s="1307"/>
      <c r="K333" s="1307"/>
      <c r="L333" s="1307"/>
      <c r="M333" s="1307"/>
      <c r="N333" s="1307"/>
      <c r="O333" s="1308"/>
      <c r="P333" s="1308"/>
      <c r="Q333" s="1308"/>
      <c r="R333" s="1308"/>
      <c r="S333" s="1317"/>
      <c r="T333" s="1317" t="s">
        <v>2108</v>
      </c>
      <c r="U333" s="1308">
        <v>212</v>
      </c>
      <c r="V333" s="1308"/>
      <c r="W333" s="1308"/>
      <c r="X333" s="1308"/>
      <c r="Y333" s="1308"/>
      <c r="Z333" s="1308"/>
      <c r="AA333" s="1308"/>
    </row>
    <row r="334" spans="1:27">
      <c r="A334" s="1370">
        <v>213</v>
      </c>
      <c r="B334" s="1371" t="s">
        <v>2109</v>
      </c>
      <c r="C334" s="1366"/>
      <c r="D334" s="1366"/>
      <c r="E334" s="1367"/>
      <c r="F334" s="1299"/>
      <c r="G334" s="1309"/>
      <c r="H334" s="1306"/>
      <c r="I334" s="1307"/>
      <c r="J334" s="1307"/>
      <c r="K334" s="1307"/>
      <c r="L334" s="1307"/>
      <c r="M334" s="1307"/>
      <c r="N334" s="1307"/>
      <c r="O334" s="1308"/>
      <c r="P334" s="1308"/>
      <c r="Q334" s="1308"/>
      <c r="R334" s="1308"/>
      <c r="S334" s="1317"/>
      <c r="T334" s="1317" t="s">
        <v>2109</v>
      </c>
      <c r="U334" s="1308">
        <v>213</v>
      </c>
      <c r="V334" s="1308"/>
      <c r="W334" s="1308"/>
      <c r="X334" s="1308"/>
      <c r="Y334" s="1308"/>
      <c r="Z334" s="1308"/>
      <c r="AA334" s="1308"/>
    </row>
    <row r="335" spans="1:27">
      <c r="A335" s="1370">
        <v>214</v>
      </c>
      <c r="B335" s="1371" t="s">
        <v>2110</v>
      </c>
      <c r="C335" s="1366"/>
      <c r="D335" s="1366"/>
      <c r="E335" s="1367"/>
      <c r="F335" s="1299"/>
      <c r="G335" s="1309"/>
      <c r="H335" s="1306"/>
      <c r="I335" s="1307"/>
      <c r="J335" s="1307"/>
      <c r="K335" s="1307"/>
      <c r="L335" s="1307"/>
      <c r="M335" s="1307"/>
      <c r="N335" s="1307"/>
      <c r="O335" s="1308"/>
      <c r="P335" s="1308"/>
      <c r="Q335" s="1308"/>
      <c r="R335" s="1308"/>
      <c r="S335" s="1317"/>
      <c r="T335" s="1317" t="s">
        <v>2110</v>
      </c>
      <c r="U335" s="1308">
        <v>214</v>
      </c>
      <c r="V335" s="1308"/>
      <c r="W335" s="1308"/>
      <c r="X335" s="1308"/>
      <c r="Y335" s="1308"/>
      <c r="Z335" s="1308"/>
      <c r="AA335" s="1308"/>
    </row>
    <row r="336" spans="1:27">
      <c r="A336" s="1370">
        <v>215</v>
      </c>
      <c r="B336" s="1371" t="s">
        <v>2111</v>
      </c>
      <c r="C336" s="1366"/>
      <c r="D336" s="1366"/>
      <c r="E336" s="1367"/>
      <c r="F336" s="1299"/>
      <c r="G336" s="1309"/>
      <c r="H336" s="1306"/>
      <c r="I336" s="1307"/>
      <c r="J336" s="1307"/>
      <c r="K336" s="1307"/>
      <c r="L336" s="1307"/>
      <c r="M336" s="1307"/>
      <c r="N336" s="1307"/>
      <c r="O336" s="1308"/>
      <c r="P336" s="1308"/>
      <c r="Q336" s="1308"/>
      <c r="R336" s="1308"/>
      <c r="S336" s="1317"/>
      <c r="T336" s="1317" t="s">
        <v>2111</v>
      </c>
      <c r="U336" s="1308">
        <v>215</v>
      </c>
      <c r="V336" s="1308"/>
      <c r="W336" s="1308"/>
      <c r="X336" s="1308"/>
      <c r="Y336" s="1308"/>
      <c r="Z336" s="1308"/>
      <c r="AA336" s="1308"/>
    </row>
    <row r="337" spans="1:27">
      <c r="A337" s="1370">
        <v>216</v>
      </c>
      <c r="B337" s="1371" t="s">
        <v>2112</v>
      </c>
      <c r="C337" s="1366"/>
      <c r="D337" s="1366"/>
      <c r="E337" s="1367"/>
      <c r="F337" s="1299"/>
      <c r="G337" s="1309"/>
      <c r="H337" s="1306"/>
      <c r="I337" s="1307"/>
      <c r="J337" s="1307"/>
      <c r="K337" s="1307"/>
      <c r="L337" s="1307"/>
      <c r="M337" s="1307"/>
      <c r="N337" s="1307"/>
      <c r="O337" s="1308"/>
      <c r="P337" s="1308"/>
      <c r="Q337" s="1308"/>
      <c r="R337" s="1308"/>
      <c r="S337" s="1317"/>
      <c r="T337" s="1317" t="s">
        <v>2112</v>
      </c>
      <c r="U337" s="1308">
        <v>216</v>
      </c>
      <c r="V337" s="1308"/>
      <c r="W337" s="1308"/>
      <c r="X337" s="1308"/>
      <c r="Y337" s="1308"/>
      <c r="Z337" s="1308"/>
      <c r="AA337" s="1308"/>
    </row>
    <row r="338" spans="1:27">
      <c r="A338" s="1370">
        <v>217</v>
      </c>
      <c r="B338" s="1371" t="s">
        <v>152</v>
      </c>
      <c r="C338" s="1366"/>
      <c r="D338" s="1366"/>
      <c r="E338" s="1367"/>
      <c r="F338" s="1299"/>
      <c r="G338" s="1309"/>
      <c r="H338" s="1306"/>
      <c r="I338" s="1307"/>
      <c r="J338" s="1307"/>
      <c r="K338" s="1307"/>
      <c r="L338" s="1307"/>
      <c r="M338" s="1307"/>
      <c r="N338" s="1307"/>
      <c r="O338" s="1308"/>
      <c r="P338" s="1308"/>
      <c r="Q338" s="1308"/>
      <c r="R338" s="1308"/>
      <c r="S338" s="1317"/>
      <c r="T338" s="1317" t="s">
        <v>152</v>
      </c>
      <c r="U338" s="1308">
        <v>217</v>
      </c>
      <c r="V338" s="1308"/>
      <c r="W338" s="1308"/>
      <c r="X338" s="1308"/>
      <c r="Y338" s="1308"/>
      <c r="Z338" s="1308"/>
      <c r="AA338" s="1308"/>
    </row>
    <row r="339" spans="1:27">
      <c r="A339" s="1370">
        <v>218</v>
      </c>
      <c r="B339" s="1371" t="s">
        <v>153</v>
      </c>
      <c r="C339" s="1366"/>
      <c r="D339" s="1366"/>
      <c r="E339" s="1367"/>
      <c r="F339" s="1299"/>
      <c r="G339" s="1309"/>
      <c r="H339" s="1306"/>
      <c r="I339" s="1307"/>
      <c r="J339" s="1307"/>
      <c r="K339" s="1307"/>
      <c r="L339" s="1307"/>
      <c r="M339" s="1307"/>
      <c r="N339" s="1307"/>
      <c r="O339" s="1308"/>
      <c r="P339" s="1308"/>
      <c r="Q339" s="1308"/>
      <c r="R339" s="1308"/>
      <c r="S339" s="1317"/>
      <c r="T339" s="1317" t="s">
        <v>153</v>
      </c>
      <c r="U339" s="1308">
        <v>218</v>
      </c>
      <c r="V339" s="1308"/>
      <c r="W339" s="1308"/>
      <c r="X339" s="1308"/>
      <c r="Y339" s="1308"/>
      <c r="Z339" s="1308"/>
      <c r="AA339" s="1308"/>
    </row>
    <row r="340" spans="1:27">
      <c r="A340" s="1370">
        <v>219</v>
      </c>
      <c r="B340" s="1371" t="s">
        <v>2113</v>
      </c>
      <c r="C340" s="1366"/>
      <c r="D340" s="1366"/>
      <c r="E340" s="1367"/>
      <c r="F340" s="1299"/>
      <c r="G340" s="1309"/>
      <c r="H340" s="1306"/>
      <c r="I340" s="1307"/>
      <c r="J340" s="1307"/>
      <c r="K340" s="1307"/>
      <c r="L340" s="1307"/>
      <c r="M340" s="1307"/>
      <c r="N340" s="1307"/>
      <c r="O340" s="1308"/>
      <c r="P340" s="1308"/>
      <c r="Q340" s="1308"/>
      <c r="R340" s="1308"/>
      <c r="S340" s="1317"/>
      <c r="T340" s="1317" t="s">
        <v>2113</v>
      </c>
      <c r="U340" s="1308">
        <v>219</v>
      </c>
      <c r="V340" s="1308"/>
      <c r="W340" s="1308"/>
      <c r="X340" s="1308"/>
      <c r="Y340" s="1308"/>
      <c r="Z340" s="1308"/>
      <c r="AA340" s="1308"/>
    </row>
    <row r="341" spans="1:27">
      <c r="A341" s="1370">
        <v>220</v>
      </c>
      <c r="B341" s="1371" t="s">
        <v>154</v>
      </c>
      <c r="C341" s="1366"/>
      <c r="D341" s="1366"/>
      <c r="E341" s="1367"/>
      <c r="F341" s="1299"/>
      <c r="G341" s="1309"/>
      <c r="H341" s="1306"/>
      <c r="I341" s="1307"/>
      <c r="J341" s="1307"/>
      <c r="K341" s="1307"/>
      <c r="L341" s="1307"/>
      <c r="M341" s="1307"/>
      <c r="N341" s="1307"/>
      <c r="O341" s="1308"/>
      <c r="P341" s="1308"/>
      <c r="Q341" s="1308"/>
      <c r="R341" s="1308"/>
      <c r="S341" s="1317"/>
      <c r="T341" s="1317" t="s">
        <v>154</v>
      </c>
      <c r="U341" s="1308">
        <v>220</v>
      </c>
      <c r="V341" s="1308"/>
      <c r="W341" s="1308"/>
      <c r="X341" s="1308"/>
      <c r="Y341" s="1308"/>
      <c r="Z341" s="1308"/>
      <c r="AA341" s="1308"/>
    </row>
    <row r="342" spans="1:27">
      <c r="A342" s="1370">
        <v>221</v>
      </c>
      <c r="B342" s="1371" t="s">
        <v>2114</v>
      </c>
      <c r="C342" s="1366"/>
      <c r="D342" s="1366"/>
      <c r="E342" s="1367"/>
      <c r="F342" s="1299"/>
      <c r="G342" s="1309"/>
      <c r="H342" s="1306"/>
      <c r="I342" s="1307"/>
      <c r="J342" s="1307"/>
      <c r="K342" s="1307"/>
      <c r="L342" s="1307"/>
      <c r="M342" s="1307"/>
      <c r="N342" s="1307"/>
      <c r="O342" s="1308"/>
      <c r="P342" s="1308"/>
      <c r="Q342" s="1308"/>
      <c r="R342" s="1308"/>
      <c r="S342" s="1317"/>
      <c r="T342" s="1317" t="s">
        <v>2114</v>
      </c>
      <c r="U342" s="1308">
        <v>221</v>
      </c>
      <c r="V342" s="1308"/>
      <c r="W342" s="1308"/>
      <c r="X342" s="1308"/>
      <c r="Y342" s="1308"/>
      <c r="Z342" s="1308"/>
      <c r="AA342" s="1308"/>
    </row>
    <row r="343" spans="1:27">
      <c r="A343" s="1370">
        <v>222</v>
      </c>
      <c r="B343" s="1371" t="s">
        <v>2115</v>
      </c>
      <c r="C343" s="1366"/>
      <c r="D343" s="1366"/>
      <c r="E343" s="1367"/>
      <c r="F343" s="1299"/>
      <c r="G343" s="1309"/>
      <c r="H343" s="1306"/>
      <c r="I343" s="1307"/>
      <c r="J343" s="1307"/>
      <c r="K343" s="1307"/>
      <c r="L343" s="1307"/>
      <c r="M343" s="1307"/>
      <c r="N343" s="1307"/>
      <c r="O343" s="1308"/>
      <c r="P343" s="1308"/>
      <c r="Q343" s="1308"/>
      <c r="R343" s="1308"/>
      <c r="S343" s="1317"/>
      <c r="T343" s="1317" t="s">
        <v>2115</v>
      </c>
      <c r="U343" s="1308">
        <v>222</v>
      </c>
      <c r="V343" s="1308"/>
      <c r="W343" s="1308"/>
      <c r="X343" s="1308"/>
      <c r="Y343" s="1308"/>
      <c r="Z343" s="1308"/>
      <c r="AA343" s="1308"/>
    </row>
    <row r="344" spans="1:27">
      <c r="A344" s="1370">
        <v>223</v>
      </c>
      <c r="B344" s="1371" t="s">
        <v>2116</v>
      </c>
      <c r="C344" s="1366"/>
      <c r="D344" s="1366"/>
      <c r="E344" s="1367"/>
      <c r="F344" s="1299"/>
      <c r="G344" s="1309"/>
      <c r="H344" s="1306"/>
      <c r="I344" s="1307"/>
      <c r="J344" s="1307"/>
      <c r="K344" s="1307"/>
      <c r="L344" s="1307"/>
      <c r="M344" s="1307"/>
      <c r="N344" s="1307"/>
      <c r="O344" s="1308"/>
      <c r="P344" s="1308"/>
      <c r="Q344" s="1308"/>
      <c r="R344" s="1308"/>
      <c r="S344" s="1317"/>
      <c r="T344" s="1317" t="s">
        <v>2116</v>
      </c>
      <c r="U344" s="1308">
        <v>223</v>
      </c>
      <c r="V344" s="1308"/>
      <c r="W344" s="1308"/>
      <c r="X344" s="1308"/>
      <c r="Y344" s="1308"/>
      <c r="Z344" s="1308"/>
      <c r="AA344" s="1308"/>
    </row>
    <row r="345" spans="1:27">
      <c r="A345" s="1370">
        <v>224</v>
      </c>
      <c r="B345" s="1371" t="s">
        <v>2117</v>
      </c>
      <c r="C345" s="1366"/>
      <c r="D345" s="1366"/>
      <c r="E345" s="1367"/>
      <c r="F345" s="1299"/>
      <c r="G345" s="1309"/>
      <c r="H345" s="1306"/>
      <c r="I345" s="1307"/>
      <c r="J345" s="1307"/>
      <c r="K345" s="1307"/>
      <c r="L345" s="1307"/>
      <c r="M345" s="1307"/>
      <c r="N345" s="1307"/>
      <c r="O345" s="1308"/>
      <c r="P345" s="1308"/>
      <c r="Q345" s="1308"/>
      <c r="R345" s="1308"/>
      <c r="S345" s="1317"/>
      <c r="T345" s="1317" t="s">
        <v>2117</v>
      </c>
      <c r="U345" s="1308">
        <v>224</v>
      </c>
      <c r="V345" s="1308"/>
      <c r="W345" s="1308"/>
      <c r="X345" s="1308"/>
      <c r="Y345" s="1308"/>
      <c r="Z345" s="1308"/>
      <c r="AA345" s="1308"/>
    </row>
    <row r="346" spans="1:27">
      <c r="A346" s="1370">
        <v>225</v>
      </c>
      <c r="B346" s="1371" t="s">
        <v>155</v>
      </c>
      <c r="C346" s="1366"/>
      <c r="D346" s="1366"/>
      <c r="E346" s="1367"/>
      <c r="F346" s="1299"/>
      <c r="G346" s="1309"/>
      <c r="H346" s="1306"/>
      <c r="I346" s="1307"/>
      <c r="J346" s="1307"/>
      <c r="K346" s="1307"/>
      <c r="L346" s="1307"/>
      <c r="M346" s="1307"/>
      <c r="N346" s="1307"/>
      <c r="O346" s="1308"/>
      <c r="P346" s="1308"/>
      <c r="Q346" s="1308"/>
      <c r="R346" s="1308"/>
      <c r="S346" s="1317"/>
      <c r="T346" s="1317" t="s">
        <v>155</v>
      </c>
      <c r="U346" s="1308">
        <v>225</v>
      </c>
      <c r="V346" s="1308"/>
      <c r="W346" s="1308"/>
      <c r="X346" s="1308"/>
      <c r="Y346" s="1308"/>
      <c r="Z346" s="1308"/>
      <c r="AA346" s="1308"/>
    </row>
    <row r="347" spans="1:27">
      <c r="A347" s="1370">
        <v>226</v>
      </c>
      <c r="B347" s="1371" t="s">
        <v>2118</v>
      </c>
      <c r="C347" s="1366"/>
      <c r="D347" s="1366"/>
      <c r="E347" s="1367"/>
      <c r="F347" s="1299"/>
      <c r="G347" s="1309"/>
      <c r="H347" s="1306"/>
      <c r="I347" s="1307"/>
      <c r="J347" s="1307"/>
      <c r="K347" s="1307"/>
      <c r="L347" s="1307"/>
      <c r="M347" s="1307"/>
      <c r="N347" s="1307"/>
      <c r="O347" s="1308"/>
      <c r="P347" s="1308"/>
      <c r="Q347" s="1308"/>
      <c r="R347" s="1308"/>
      <c r="S347" s="1317"/>
      <c r="T347" s="1317" t="s">
        <v>2118</v>
      </c>
      <c r="U347" s="1308">
        <v>226</v>
      </c>
      <c r="V347" s="1308"/>
      <c r="W347" s="1308"/>
      <c r="X347" s="1308"/>
      <c r="Y347" s="1308"/>
      <c r="Z347" s="1308"/>
      <c r="AA347" s="1308"/>
    </row>
    <row r="348" spans="1:27">
      <c r="A348" s="1370">
        <v>227</v>
      </c>
      <c r="B348" s="1371" t="s">
        <v>2119</v>
      </c>
      <c r="C348" s="1366"/>
      <c r="D348" s="1366"/>
      <c r="E348" s="1367"/>
      <c r="F348" s="1299"/>
      <c r="G348" s="1309"/>
      <c r="H348" s="1306"/>
      <c r="I348" s="1307"/>
      <c r="J348" s="1307"/>
      <c r="K348" s="1307"/>
      <c r="L348" s="1307"/>
      <c r="M348" s="1307"/>
      <c r="N348" s="1307"/>
      <c r="O348" s="1308"/>
      <c r="P348" s="1308"/>
      <c r="Q348" s="1308"/>
      <c r="R348" s="1308"/>
      <c r="S348" s="1317"/>
      <c r="T348" s="1317" t="s">
        <v>2119</v>
      </c>
      <c r="U348" s="1308">
        <v>227</v>
      </c>
      <c r="V348" s="1308"/>
      <c r="W348" s="1308"/>
      <c r="X348" s="1308"/>
      <c r="Y348" s="1308"/>
      <c r="Z348" s="1308"/>
      <c r="AA348" s="1308"/>
    </row>
    <row r="349" spans="1:27">
      <c r="A349" s="1370">
        <v>228</v>
      </c>
      <c r="B349" s="1371" t="s">
        <v>2120</v>
      </c>
      <c r="C349" s="1366"/>
      <c r="D349" s="1366"/>
      <c r="E349" s="1367"/>
      <c r="F349" s="1299"/>
      <c r="G349" s="1309"/>
      <c r="H349" s="1306"/>
      <c r="I349" s="1307"/>
      <c r="J349" s="1307"/>
      <c r="K349" s="1307"/>
      <c r="L349" s="1307"/>
      <c r="M349" s="1307"/>
      <c r="N349" s="1307"/>
      <c r="O349" s="1308"/>
      <c r="P349" s="1308"/>
      <c r="Q349" s="1308"/>
      <c r="R349" s="1308"/>
      <c r="S349" s="1317"/>
      <c r="T349" s="1317" t="s">
        <v>2120</v>
      </c>
      <c r="U349" s="1308">
        <v>228</v>
      </c>
      <c r="V349" s="1308"/>
      <c r="W349" s="1308"/>
      <c r="X349" s="1308"/>
      <c r="Y349" s="1308"/>
      <c r="Z349" s="1308"/>
      <c r="AA349" s="1308"/>
    </row>
    <row r="350" spans="1:27">
      <c r="A350" s="1370">
        <v>229</v>
      </c>
      <c r="B350" s="1371" t="s">
        <v>2121</v>
      </c>
      <c r="C350" s="1366"/>
      <c r="D350" s="1366"/>
      <c r="E350" s="1367"/>
      <c r="F350" s="1299"/>
      <c r="G350" s="1309"/>
      <c r="H350" s="1306"/>
      <c r="I350" s="1307"/>
      <c r="J350" s="1307"/>
      <c r="K350" s="1307"/>
      <c r="L350" s="1307"/>
      <c r="M350" s="1307"/>
      <c r="N350" s="1307"/>
      <c r="O350" s="1308"/>
      <c r="P350" s="1308"/>
      <c r="Q350" s="1308"/>
      <c r="R350" s="1308"/>
      <c r="S350" s="1317"/>
      <c r="T350" s="1317" t="s">
        <v>2121</v>
      </c>
      <c r="U350" s="1308">
        <v>229</v>
      </c>
      <c r="V350" s="1308"/>
      <c r="W350" s="1308"/>
      <c r="X350" s="1308"/>
      <c r="Y350" s="1308"/>
      <c r="Z350" s="1308"/>
      <c r="AA350" s="1308"/>
    </row>
    <row r="351" spans="1:27">
      <c r="A351" s="1370">
        <v>230</v>
      </c>
      <c r="B351" s="1371" t="s">
        <v>2122</v>
      </c>
      <c r="C351" s="1366"/>
      <c r="D351" s="1366"/>
      <c r="E351" s="1367"/>
      <c r="F351" s="1299"/>
      <c r="G351" s="1309"/>
      <c r="H351" s="1306"/>
      <c r="I351" s="1307"/>
      <c r="J351" s="1307"/>
      <c r="K351" s="1307"/>
      <c r="L351" s="1307"/>
      <c r="M351" s="1307"/>
      <c r="N351" s="1307"/>
      <c r="O351" s="1308"/>
      <c r="P351" s="1308"/>
      <c r="Q351" s="1308"/>
      <c r="R351" s="1308"/>
      <c r="S351" s="1317"/>
      <c r="T351" s="1317" t="s">
        <v>2122</v>
      </c>
      <c r="U351" s="1308">
        <v>230</v>
      </c>
      <c r="V351" s="1308"/>
      <c r="W351" s="1308"/>
      <c r="X351" s="1308"/>
      <c r="Y351" s="1308"/>
      <c r="Z351" s="1308"/>
      <c r="AA351" s="1308"/>
    </row>
    <row r="352" spans="1:27">
      <c r="A352" s="1370">
        <v>231</v>
      </c>
      <c r="B352" s="1371" t="s">
        <v>2123</v>
      </c>
      <c r="C352" s="1366"/>
      <c r="D352" s="1366"/>
      <c r="E352" s="1367"/>
      <c r="F352" s="1299"/>
      <c r="G352" s="1309"/>
      <c r="H352" s="1306"/>
      <c r="I352" s="1307"/>
      <c r="J352" s="1307"/>
      <c r="K352" s="1307"/>
      <c r="L352" s="1307"/>
      <c r="M352" s="1307"/>
      <c r="N352" s="1307"/>
      <c r="O352" s="1308"/>
      <c r="P352" s="1308"/>
      <c r="Q352" s="1308"/>
      <c r="R352" s="1308"/>
      <c r="S352" s="1317"/>
      <c r="T352" s="1317" t="s">
        <v>2123</v>
      </c>
      <c r="U352" s="1308">
        <v>231</v>
      </c>
      <c r="V352" s="1308"/>
      <c r="W352" s="1308"/>
      <c r="X352" s="1308"/>
      <c r="Y352" s="1308"/>
      <c r="Z352" s="1308"/>
      <c r="AA352" s="1308"/>
    </row>
    <row r="353" spans="1:27">
      <c r="A353" s="1370">
        <v>232</v>
      </c>
      <c r="B353" s="1371" t="s">
        <v>2124</v>
      </c>
      <c r="C353" s="1366"/>
      <c r="D353" s="1366"/>
      <c r="E353" s="1367"/>
      <c r="F353" s="1299"/>
      <c r="G353" s="1309"/>
      <c r="H353" s="1306"/>
      <c r="I353" s="1307"/>
      <c r="J353" s="1307"/>
      <c r="K353" s="1307"/>
      <c r="L353" s="1307"/>
      <c r="M353" s="1307"/>
      <c r="N353" s="1307"/>
      <c r="O353" s="1308"/>
      <c r="P353" s="1308"/>
      <c r="Q353" s="1308"/>
      <c r="R353" s="1308"/>
      <c r="S353" s="1317"/>
      <c r="T353" s="1317" t="s">
        <v>2124</v>
      </c>
      <c r="U353" s="1308">
        <v>232</v>
      </c>
      <c r="V353" s="1308"/>
      <c r="W353" s="1308"/>
      <c r="X353" s="1308"/>
      <c r="Y353" s="1308"/>
      <c r="Z353" s="1308"/>
      <c r="AA353" s="1308"/>
    </row>
    <row r="354" spans="1:27">
      <c r="A354" s="1370">
        <v>233</v>
      </c>
      <c r="B354" s="1371" t="s">
        <v>156</v>
      </c>
      <c r="C354" s="1366"/>
      <c r="D354" s="1366"/>
      <c r="E354" s="1367"/>
      <c r="F354" s="1299"/>
      <c r="G354" s="1309"/>
      <c r="H354" s="1306"/>
      <c r="I354" s="1307"/>
      <c r="J354" s="1307"/>
      <c r="K354" s="1307"/>
      <c r="L354" s="1307"/>
      <c r="M354" s="1307"/>
      <c r="N354" s="1307"/>
      <c r="O354" s="1308"/>
      <c r="P354" s="1308"/>
      <c r="Q354" s="1308"/>
      <c r="R354" s="1308"/>
      <c r="S354" s="1317"/>
      <c r="T354" s="1317" t="s">
        <v>156</v>
      </c>
      <c r="U354" s="1308">
        <v>233</v>
      </c>
      <c r="V354" s="1308"/>
      <c r="W354" s="1308"/>
      <c r="X354" s="1308"/>
      <c r="Y354" s="1308"/>
      <c r="Z354" s="1308"/>
      <c r="AA354" s="1308"/>
    </row>
    <row r="355" spans="1:27">
      <c r="A355" s="1370">
        <v>234</v>
      </c>
      <c r="B355" s="1371" t="s">
        <v>2125</v>
      </c>
      <c r="C355" s="1366"/>
      <c r="D355" s="1366"/>
      <c r="E355" s="1367"/>
      <c r="F355" s="1299"/>
      <c r="G355" s="1309"/>
      <c r="H355" s="1306"/>
      <c r="I355" s="1307"/>
      <c r="J355" s="1307"/>
      <c r="K355" s="1307"/>
      <c r="L355" s="1307"/>
      <c r="M355" s="1307"/>
      <c r="N355" s="1307"/>
      <c r="O355" s="1308"/>
      <c r="P355" s="1308"/>
      <c r="Q355" s="1308"/>
      <c r="R355" s="1308"/>
      <c r="S355" s="1317"/>
      <c r="T355" s="1317" t="s">
        <v>2125</v>
      </c>
      <c r="U355" s="1308">
        <v>234</v>
      </c>
      <c r="V355" s="1308"/>
      <c r="W355" s="1308"/>
      <c r="X355" s="1308"/>
      <c r="Y355" s="1308"/>
      <c r="Z355" s="1308"/>
      <c r="AA355" s="1308"/>
    </row>
    <row r="356" spans="1:27">
      <c r="A356" s="1370">
        <v>235</v>
      </c>
      <c r="B356" s="1371" t="s">
        <v>2126</v>
      </c>
      <c r="C356" s="1366"/>
      <c r="D356" s="1366"/>
      <c r="E356" s="1367"/>
      <c r="F356" s="1299"/>
      <c r="G356" s="1309"/>
      <c r="H356" s="1306"/>
      <c r="I356" s="1307"/>
      <c r="J356" s="1307"/>
      <c r="K356" s="1307"/>
      <c r="L356" s="1307"/>
      <c r="M356" s="1307"/>
      <c r="N356" s="1307"/>
      <c r="O356" s="1308"/>
      <c r="P356" s="1308"/>
      <c r="Q356" s="1308"/>
      <c r="R356" s="1308"/>
      <c r="S356" s="1317"/>
      <c r="T356" s="1317" t="s">
        <v>2126</v>
      </c>
      <c r="U356" s="1308">
        <v>235</v>
      </c>
      <c r="V356" s="1308"/>
      <c r="W356" s="1308"/>
      <c r="X356" s="1308"/>
      <c r="Y356" s="1308"/>
      <c r="Z356" s="1308"/>
      <c r="AA356" s="1308"/>
    </row>
    <row r="357" spans="1:27">
      <c r="A357" s="1370">
        <v>236</v>
      </c>
      <c r="B357" s="1371" t="s">
        <v>157</v>
      </c>
      <c r="C357" s="1366"/>
      <c r="D357" s="1366"/>
      <c r="E357" s="1367"/>
      <c r="F357" s="1299"/>
      <c r="G357" s="1309"/>
      <c r="H357" s="1306"/>
      <c r="I357" s="1307"/>
      <c r="J357" s="1307"/>
      <c r="K357" s="1307"/>
      <c r="L357" s="1307"/>
      <c r="M357" s="1307"/>
      <c r="N357" s="1307"/>
      <c r="O357" s="1308"/>
      <c r="P357" s="1308"/>
      <c r="Q357" s="1308"/>
      <c r="R357" s="1308"/>
      <c r="S357" s="1317"/>
      <c r="T357" s="1317" t="s">
        <v>157</v>
      </c>
      <c r="U357" s="1308">
        <v>236</v>
      </c>
      <c r="V357" s="1308"/>
      <c r="W357" s="1308"/>
      <c r="X357" s="1308"/>
      <c r="Y357" s="1308"/>
      <c r="Z357" s="1308"/>
      <c r="AA357" s="1308"/>
    </row>
    <row r="358" spans="1:27">
      <c r="A358" s="1370">
        <v>237</v>
      </c>
      <c r="B358" s="1371" t="s">
        <v>2127</v>
      </c>
      <c r="C358" s="1366"/>
      <c r="D358" s="1366"/>
      <c r="E358" s="1367"/>
      <c r="F358" s="1299"/>
      <c r="G358" s="1309"/>
      <c r="H358" s="1306"/>
      <c r="I358" s="1307"/>
      <c r="J358" s="1307"/>
      <c r="K358" s="1307"/>
      <c r="L358" s="1307"/>
      <c r="M358" s="1307"/>
      <c r="N358" s="1307"/>
      <c r="O358" s="1308"/>
      <c r="P358" s="1308"/>
      <c r="Q358" s="1308"/>
      <c r="R358" s="1308"/>
      <c r="S358" s="1317"/>
      <c r="T358" s="1317" t="s">
        <v>2127</v>
      </c>
      <c r="U358" s="1308">
        <v>237</v>
      </c>
      <c r="V358" s="1308"/>
      <c r="W358" s="1308"/>
      <c r="X358" s="1308"/>
      <c r="Y358" s="1308"/>
      <c r="Z358" s="1308"/>
      <c r="AA358" s="1308"/>
    </row>
    <row r="359" spans="1:27">
      <c r="A359" s="1370">
        <v>238</v>
      </c>
      <c r="B359" s="1371" t="s">
        <v>2128</v>
      </c>
      <c r="C359" s="1366"/>
      <c r="D359" s="1366"/>
      <c r="E359" s="1367"/>
      <c r="F359" s="1299"/>
      <c r="G359" s="1309"/>
      <c r="H359" s="1306"/>
      <c r="I359" s="1307"/>
      <c r="J359" s="1307"/>
      <c r="K359" s="1307"/>
      <c r="L359" s="1307"/>
      <c r="M359" s="1307"/>
      <c r="N359" s="1307"/>
      <c r="O359" s="1308"/>
      <c r="P359" s="1308"/>
      <c r="Q359" s="1308"/>
      <c r="R359" s="1308"/>
      <c r="S359" s="1317"/>
      <c r="T359" s="1317" t="s">
        <v>2128</v>
      </c>
      <c r="U359" s="1308">
        <v>238</v>
      </c>
      <c r="V359" s="1308"/>
      <c r="W359" s="1308"/>
      <c r="X359" s="1308"/>
      <c r="Y359" s="1308"/>
      <c r="Z359" s="1308"/>
      <c r="AA359" s="1308"/>
    </row>
    <row r="360" spans="1:27">
      <c r="A360" s="1370">
        <v>239</v>
      </c>
      <c r="B360" s="1371" t="s">
        <v>2129</v>
      </c>
      <c r="C360" s="1366"/>
      <c r="D360" s="1366"/>
      <c r="E360" s="1367"/>
      <c r="F360" s="1299"/>
      <c r="G360" s="1309"/>
      <c r="H360" s="1306"/>
      <c r="I360" s="1307"/>
      <c r="J360" s="1307"/>
      <c r="K360" s="1307"/>
      <c r="L360" s="1307"/>
      <c r="M360" s="1307"/>
      <c r="N360" s="1307"/>
      <c r="O360" s="1308"/>
      <c r="P360" s="1308"/>
      <c r="Q360" s="1308"/>
      <c r="R360" s="1308"/>
      <c r="S360" s="1317"/>
      <c r="T360" s="1317" t="s">
        <v>2129</v>
      </c>
      <c r="U360" s="1308">
        <v>239</v>
      </c>
      <c r="V360" s="1308"/>
      <c r="W360" s="1308"/>
      <c r="X360" s="1308"/>
      <c r="Y360" s="1308"/>
      <c r="Z360" s="1308"/>
      <c r="AA360" s="1308"/>
    </row>
    <row r="361" spans="1:27">
      <c r="A361" s="1370">
        <v>240</v>
      </c>
      <c r="B361" s="1371" t="s">
        <v>2130</v>
      </c>
      <c r="C361" s="1366"/>
      <c r="D361" s="1366"/>
      <c r="E361" s="1367"/>
      <c r="F361" s="1299"/>
      <c r="G361" s="1309"/>
      <c r="H361" s="1306"/>
      <c r="I361" s="1307"/>
      <c r="J361" s="1307"/>
      <c r="K361" s="1307"/>
      <c r="L361" s="1307"/>
      <c r="M361" s="1307"/>
      <c r="N361" s="1307"/>
      <c r="O361" s="1308"/>
      <c r="P361" s="1308"/>
      <c r="Q361" s="1308"/>
      <c r="R361" s="1308"/>
      <c r="S361" s="1317"/>
      <c r="T361" s="1317" t="s">
        <v>2130</v>
      </c>
      <c r="U361" s="1308">
        <v>240</v>
      </c>
      <c r="V361" s="1308"/>
      <c r="W361" s="1308"/>
      <c r="X361" s="1308"/>
      <c r="Y361" s="1308"/>
      <c r="Z361" s="1308"/>
      <c r="AA361" s="1308"/>
    </row>
    <row r="362" spans="1:27">
      <c r="A362" s="1370">
        <v>241</v>
      </c>
      <c r="B362" s="1371" t="s">
        <v>158</v>
      </c>
      <c r="C362" s="1366"/>
      <c r="D362" s="1366"/>
      <c r="E362" s="1367"/>
      <c r="F362" s="1299"/>
      <c r="G362" s="1309"/>
      <c r="H362" s="1306"/>
      <c r="I362" s="1307"/>
      <c r="J362" s="1307"/>
      <c r="K362" s="1307"/>
      <c r="L362" s="1307"/>
      <c r="M362" s="1307"/>
      <c r="N362" s="1307"/>
      <c r="O362" s="1308"/>
      <c r="P362" s="1308"/>
      <c r="Q362" s="1308"/>
      <c r="R362" s="1308"/>
      <c r="S362" s="1317"/>
      <c r="T362" s="1317" t="s">
        <v>158</v>
      </c>
      <c r="U362" s="1308">
        <v>241</v>
      </c>
      <c r="V362" s="1308"/>
      <c r="W362" s="1308"/>
      <c r="X362" s="1308"/>
      <c r="Y362" s="1308"/>
      <c r="Z362" s="1308"/>
      <c r="AA362" s="1308"/>
    </row>
    <row r="363" spans="1:27">
      <c r="A363" s="1370">
        <v>242</v>
      </c>
      <c r="B363" s="1371" t="s">
        <v>159</v>
      </c>
      <c r="C363" s="1366"/>
      <c r="D363" s="1366"/>
      <c r="E363" s="1367"/>
      <c r="F363" s="1299"/>
      <c r="G363" s="1309"/>
      <c r="H363" s="1306"/>
      <c r="I363" s="1307"/>
      <c r="J363" s="1307"/>
      <c r="K363" s="1307"/>
      <c r="L363" s="1307"/>
      <c r="M363" s="1307"/>
      <c r="N363" s="1307"/>
      <c r="O363" s="1308"/>
      <c r="P363" s="1308"/>
      <c r="Q363" s="1308"/>
      <c r="R363" s="1308"/>
      <c r="S363" s="1317"/>
      <c r="T363" s="1317" t="s">
        <v>159</v>
      </c>
      <c r="U363" s="1308">
        <v>242</v>
      </c>
      <c r="V363" s="1308"/>
      <c r="W363" s="1308"/>
      <c r="X363" s="1308"/>
      <c r="Y363" s="1308"/>
      <c r="Z363" s="1308"/>
      <c r="AA363" s="1308"/>
    </row>
    <row r="364" spans="1:27">
      <c r="A364" s="1370">
        <v>243</v>
      </c>
      <c r="B364" s="1371" t="s">
        <v>2131</v>
      </c>
      <c r="C364" s="1366"/>
      <c r="D364" s="1366"/>
      <c r="E364" s="1367"/>
      <c r="F364" s="1299"/>
      <c r="G364" s="1309"/>
      <c r="H364" s="1306"/>
      <c r="I364" s="1307"/>
      <c r="J364" s="1307"/>
      <c r="K364" s="1307"/>
      <c r="L364" s="1307"/>
      <c r="M364" s="1307"/>
      <c r="N364" s="1307"/>
      <c r="O364" s="1308"/>
      <c r="P364" s="1308"/>
      <c r="Q364" s="1308"/>
      <c r="R364" s="1308"/>
      <c r="S364" s="1317"/>
      <c r="T364" s="1317" t="s">
        <v>2131</v>
      </c>
      <c r="U364" s="1308">
        <v>243</v>
      </c>
      <c r="V364" s="1308"/>
      <c r="W364" s="1308"/>
      <c r="X364" s="1308"/>
      <c r="Y364" s="1308"/>
      <c r="Z364" s="1308"/>
      <c r="AA364" s="1308"/>
    </row>
    <row r="365" spans="1:27">
      <c r="A365" s="1370">
        <v>244</v>
      </c>
      <c r="B365" s="1371" t="s">
        <v>2132</v>
      </c>
      <c r="C365" s="1366"/>
      <c r="D365" s="1366"/>
      <c r="E365" s="1367"/>
      <c r="F365" s="1299"/>
      <c r="G365" s="1309"/>
      <c r="H365" s="1306"/>
      <c r="I365" s="1307"/>
      <c r="J365" s="1307"/>
      <c r="K365" s="1307"/>
      <c r="L365" s="1307"/>
      <c r="M365" s="1307"/>
      <c r="N365" s="1307"/>
      <c r="O365" s="1308"/>
      <c r="P365" s="1308"/>
      <c r="Q365" s="1308"/>
      <c r="R365" s="1308"/>
      <c r="S365" s="1317"/>
      <c r="T365" s="1317" t="s">
        <v>2132</v>
      </c>
      <c r="U365" s="1308">
        <v>244</v>
      </c>
      <c r="V365" s="1308"/>
      <c r="W365" s="1308"/>
      <c r="X365" s="1308"/>
      <c r="Y365" s="1308"/>
      <c r="Z365" s="1308"/>
      <c r="AA365" s="1308"/>
    </row>
    <row r="366" spans="1:27">
      <c r="A366" s="1370">
        <v>245</v>
      </c>
      <c r="B366" s="1371" t="s">
        <v>2133</v>
      </c>
      <c r="C366" s="1366"/>
      <c r="D366" s="1366"/>
      <c r="E366" s="1367"/>
      <c r="F366" s="1299"/>
      <c r="G366" s="1309"/>
      <c r="H366" s="1306"/>
      <c r="I366" s="1307"/>
      <c r="J366" s="1307"/>
      <c r="K366" s="1307"/>
      <c r="L366" s="1307"/>
      <c r="M366" s="1307"/>
      <c r="N366" s="1307"/>
      <c r="O366" s="1308"/>
      <c r="P366" s="1308"/>
      <c r="Q366" s="1308"/>
      <c r="R366" s="1308"/>
      <c r="S366" s="1317"/>
      <c r="T366" s="1317" t="s">
        <v>2133</v>
      </c>
      <c r="U366" s="1308">
        <v>245</v>
      </c>
      <c r="V366" s="1308"/>
      <c r="W366" s="1308"/>
      <c r="X366" s="1308"/>
      <c r="Y366" s="1308"/>
      <c r="Z366" s="1308"/>
      <c r="AA366" s="1308"/>
    </row>
    <row r="367" spans="1:27">
      <c r="A367" s="1370">
        <v>246</v>
      </c>
      <c r="B367" s="1371" t="s">
        <v>2134</v>
      </c>
      <c r="C367" s="1366"/>
      <c r="D367" s="1366"/>
      <c r="E367" s="1367"/>
      <c r="F367" s="1299"/>
      <c r="G367" s="1309"/>
      <c r="H367" s="1306"/>
      <c r="I367" s="1307"/>
      <c r="J367" s="1307"/>
      <c r="K367" s="1307"/>
      <c r="L367" s="1307"/>
      <c r="M367" s="1307"/>
      <c r="N367" s="1307"/>
      <c r="O367" s="1308"/>
      <c r="P367" s="1308"/>
      <c r="Q367" s="1308"/>
      <c r="R367" s="1308"/>
      <c r="S367" s="1317"/>
      <c r="T367" s="1317" t="s">
        <v>2134</v>
      </c>
      <c r="U367" s="1308">
        <v>246</v>
      </c>
      <c r="V367" s="1308"/>
      <c r="W367" s="1308"/>
      <c r="X367" s="1308"/>
      <c r="Y367" s="1308"/>
      <c r="Z367" s="1308"/>
      <c r="AA367" s="1308"/>
    </row>
    <row r="368" spans="1:27">
      <c r="A368" s="1370">
        <v>247</v>
      </c>
      <c r="B368" s="1371" t="s">
        <v>2135</v>
      </c>
      <c r="C368" s="1366"/>
      <c r="D368" s="1366"/>
      <c r="E368" s="1367"/>
      <c r="F368" s="1299"/>
      <c r="G368" s="1309"/>
      <c r="H368" s="1306"/>
      <c r="I368" s="1307"/>
      <c r="J368" s="1307"/>
      <c r="K368" s="1307"/>
      <c r="L368" s="1307"/>
      <c r="M368" s="1307"/>
      <c r="N368" s="1307"/>
      <c r="O368" s="1308"/>
      <c r="P368" s="1308"/>
      <c r="Q368" s="1308"/>
      <c r="R368" s="1308"/>
      <c r="S368" s="1317"/>
      <c r="T368" s="1317" t="s">
        <v>2135</v>
      </c>
      <c r="U368" s="1308">
        <v>247</v>
      </c>
      <c r="V368" s="1308"/>
      <c r="W368" s="1308"/>
      <c r="X368" s="1308"/>
      <c r="Y368" s="1308"/>
      <c r="Z368" s="1308"/>
      <c r="AA368" s="1308"/>
    </row>
    <row r="369" spans="1:27">
      <c r="A369" s="1370">
        <v>248</v>
      </c>
      <c r="B369" s="1371" t="s">
        <v>2136</v>
      </c>
      <c r="C369" s="1366"/>
      <c r="D369" s="1366"/>
      <c r="E369" s="1367"/>
      <c r="F369" s="1299"/>
      <c r="G369" s="1309"/>
      <c r="H369" s="1306"/>
      <c r="I369" s="1307"/>
      <c r="J369" s="1307"/>
      <c r="K369" s="1307"/>
      <c r="L369" s="1307"/>
      <c r="M369" s="1307"/>
      <c r="N369" s="1307"/>
      <c r="O369" s="1308"/>
      <c r="P369" s="1308"/>
      <c r="Q369" s="1308"/>
      <c r="R369" s="1308"/>
      <c r="S369" s="1317"/>
      <c r="T369" s="1317" t="s">
        <v>2136</v>
      </c>
      <c r="U369" s="1308">
        <v>248</v>
      </c>
      <c r="V369" s="1308"/>
      <c r="W369" s="1308"/>
      <c r="X369" s="1308"/>
      <c r="Y369" s="1308"/>
      <c r="Z369" s="1308"/>
      <c r="AA369" s="1308"/>
    </row>
    <row r="370" spans="1:27">
      <c r="A370" s="1370">
        <v>249</v>
      </c>
      <c r="B370" s="1371" t="s">
        <v>2137</v>
      </c>
      <c r="C370" s="1366"/>
      <c r="D370" s="1366"/>
      <c r="E370" s="1367"/>
      <c r="F370" s="1299"/>
      <c r="G370" s="1309"/>
      <c r="H370" s="1306"/>
      <c r="I370" s="1307"/>
      <c r="J370" s="1307"/>
      <c r="K370" s="1307"/>
      <c r="L370" s="1307"/>
      <c r="M370" s="1307"/>
      <c r="N370" s="1307"/>
      <c r="O370" s="1308"/>
      <c r="P370" s="1308"/>
      <c r="Q370" s="1308"/>
      <c r="R370" s="1308"/>
      <c r="S370" s="1317"/>
      <c r="T370" s="1317" t="s">
        <v>2137</v>
      </c>
      <c r="U370" s="1308">
        <v>249</v>
      </c>
      <c r="V370" s="1308"/>
      <c r="W370" s="1308"/>
      <c r="X370" s="1308"/>
      <c r="Y370" s="1308"/>
      <c r="Z370" s="1308"/>
      <c r="AA370" s="1308"/>
    </row>
    <row r="371" spans="1:27">
      <c r="A371" s="1370">
        <v>250</v>
      </c>
      <c r="B371" s="1371" t="s">
        <v>2138</v>
      </c>
      <c r="C371" s="1366"/>
      <c r="D371" s="1366"/>
      <c r="E371" s="1367"/>
      <c r="F371" s="1299"/>
      <c r="G371" s="1309"/>
      <c r="H371" s="1306"/>
      <c r="I371" s="1307"/>
      <c r="J371" s="1307"/>
      <c r="K371" s="1307"/>
      <c r="L371" s="1307"/>
      <c r="M371" s="1307"/>
      <c r="N371" s="1307"/>
      <c r="O371" s="1308"/>
      <c r="P371" s="1308"/>
      <c r="Q371" s="1308"/>
      <c r="R371" s="1308"/>
      <c r="S371" s="1317"/>
      <c r="T371" s="1317" t="s">
        <v>2138</v>
      </c>
      <c r="U371" s="1308">
        <v>250</v>
      </c>
      <c r="V371" s="1308"/>
      <c r="W371" s="1308"/>
      <c r="X371" s="1308"/>
      <c r="Y371" s="1308"/>
      <c r="Z371" s="1308"/>
      <c r="AA371" s="1308"/>
    </row>
    <row r="372" spans="1:27">
      <c r="A372" s="1370">
        <v>251</v>
      </c>
      <c r="B372" s="1371" t="s">
        <v>2139</v>
      </c>
      <c r="C372" s="1366"/>
      <c r="D372" s="1366"/>
      <c r="E372" s="1367"/>
      <c r="F372" s="1299"/>
      <c r="G372" s="1309"/>
      <c r="H372" s="1306"/>
      <c r="I372" s="1307"/>
      <c r="J372" s="1307"/>
      <c r="K372" s="1307"/>
      <c r="L372" s="1307"/>
      <c r="M372" s="1307"/>
      <c r="N372" s="1307"/>
      <c r="O372" s="1308"/>
      <c r="P372" s="1308"/>
      <c r="Q372" s="1308"/>
      <c r="R372" s="1308"/>
      <c r="S372" s="1317"/>
      <c r="T372" s="1317" t="s">
        <v>2139</v>
      </c>
      <c r="U372" s="1308">
        <v>251</v>
      </c>
      <c r="V372" s="1308"/>
      <c r="W372" s="1308"/>
      <c r="X372" s="1308"/>
      <c r="Y372" s="1308"/>
      <c r="Z372" s="1308"/>
      <c r="AA372" s="1308"/>
    </row>
    <row r="373" spans="1:27">
      <c r="A373" s="1370">
        <v>252</v>
      </c>
      <c r="B373" s="1371" t="s">
        <v>160</v>
      </c>
      <c r="C373" s="1366"/>
      <c r="D373" s="1366"/>
      <c r="E373" s="1367"/>
      <c r="F373" s="1299"/>
      <c r="G373" s="1309"/>
      <c r="H373" s="1306"/>
      <c r="I373" s="1307"/>
      <c r="J373" s="1307"/>
      <c r="K373" s="1307"/>
      <c r="L373" s="1307"/>
      <c r="M373" s="1307"/>
      <c r="N373" s="1307"/>
      <c r="O373" s="1308"/>
      <c r="P373" s="1308"/>
      <c r="Q373" s="1308"/>
      <c r="R373" s="1308"/>
      <c r="S373" s="1317"/>
      <c r="T373" s="1317" t="s">
        <v>160</v>
      </c>
      <c r="U373" s="1308">
        <v>252</v>
      </c>
      <c r="V373" s="1308"/>
      <c r="W373" s="1308"/>
      <c r="X373" s="1308"/>
      <c r="Y373" s="1308"/>
      <c r="Z373" s="1308"/>
      <c r="AA373" s="1308"/>
    </row>
    <row r="374" spans="1:27">
      <c r="A374" s="1370">
        <v>253</v>
      </c>
      <c r="B374" s="1371" t="s">
        <v>2140</v>
      </c>
      <c r="C374" s="1366"/>
      <c r="D374" s="1366"/>
      <c r="E374" s="1367"/>
      <c r="F374" s="1299"/>
      <c r="G374" s="1309"/>
      <c r="H374" s="1306"/>
      <c r="I374" s="1307"/>
      <c r="J374" s="1307"/>
      <c r="K374" s="1307"/>
      <c r="L374" s="1307"/>
      <c r="M374" s="1307"/>
      <c r="N374" s="1307"/>
      <c r="O374" s="1308"/>
      <c r="P374" s="1308"/>
      <c r="Q374" s="1308"/>
      <c r="R374" s="1308"/>
      <c r="S374" s="1317"/>
      <c r="T374" s="1317" t="s">
        <v>2140</v>
      </c>
      <c r="U374" s="1308">
        <v>253</v>
      </c>
      <c r="V374" s="1308"/>
      <c r="W374" s="1308"/>
      <c r="X374" s="1308"/>
      <c r="Y374" s="1308"/>
      <c r="Z374" s="1308"/>
      <c r="AA374" s="1308"/>
    </row>
    <row r="375" spans="1:27">
      <c r="A375" s="1370">
        <v>254</v>
      </c>
      <c r="B375" s="1371" t="s">
        <v>2141</v>
      </c>
      <c r="C375" s="1366"/>
      <c r="D375" s="1366"/>
      <c r="E375" s="1367"/>
      <c r="F375" s="1299"/>
      <c r="G375" s="1309"/>
      <c r="H375" s="1306"/>
      <c r="I375" s="1307"/>
      <c r="J375" s="1307"/>
      <c r="K375" s="1307"/>
      <c r="L375" s="1307"/>
      <c r="M375" s="1307"/>
      <c r="N375" s="1307"/>
      <c r="O375" s="1308"/>
      <c r="P375" s="1308"/>
      <c r="Q375" s="1308"/>
      <c r="R375" s="1308"/>
      <c r="S375" s="1317"/>
      <c r="T375" s="1317" t="s">
        <v>2141</v>
      </c>
      <c r="U375" s="1308">
        <v>254</v>
      </c>
      <c r="V375" s="1308"/>
      <c r="W375" s="1308"/>
      <c r="X375" s="1308"/>
      <c r="Y375" s="1308"/>
      <c r="Z375" s="1308"/>
      <c r="AA375" s="1308"/>
    </row>
    <row r="376" spans="1:27">
      <c r="A376" s="1370">
        <v>255</v>
      </c>
      <c r="B376" s="1371" t="s">
        <v>2142</v>
      </c>
      <c r="C376" s="1366"/>
      <c r="D376" s="1366"/>
      <c r="E376" s="1367"/>
      <c r="F376" s="1299"/>
      <c r="G376" s="1309"/>
      <c r="H376" s="1306"/>
      <c r="I376" s="1307"/>
      <c r="J376" s="1307"/>
      <c r="K376" s="1307"/>
      <c r="L376" s="1307"/>
      <c r="M376" s="1307"/>
      <c r="N376" s="1307"/>
      <c r="O376" s="1308"/>
      <c r="P376" s="1308"/>
      <c r="Q376" s="1308"/>
      <c r="R376" s="1308"/>
      <c r="S376" s="1317"/>
      <c r="T376" s="1317" t="s">
        <v>2142</v>
      </c>
      <c r="U376" s="1308">
        <v>255</v>
      </c>
      <c r="V376" s="1308"/>
      <c r="W376" s="1308"/>
      <c r="X376" s="1308"/>
      <c r="Y376" s="1308"/>
      <c r="Z376" s="1308"/>
      <c r="AA376" s="1308"/>
    </row>
    <row r="377" spans="1:27">
      <c r="A377" s="1370">
        <v>256</v>
      </c>
      <c r="B377" s="1371" t="s">
        <v>2143</v>
      </c>
      <c r="C377" s="1366"/>
      <c r="D377" s="1366"/>
      <c r="E377" s="1367"/>
      <c r="F377" s="1299"/>
      <c r="G377" s="1309"/>
      <c r="H377" s="1306"/>
      <c r="I377" s="1307"/>
      <c r="J377" s="1307"/>
      <c r="K377" s="1307"/>
      <c r="L377" s="1307"/>
      <c r="M377" s="1307"/>
      <c r="N377" s="1307"/>
      <c r="O377" s="1308"/>
      <c r="P377" s="1308"/>
      <c r="Q377" s="1308"/>
      <c r="R377" s="1308"/>
      <c r="S377" s="1317"/>
      <c r="T377" s="1317" t="s">
        <v>2143</v>
      </c>
      <c r="U377" s="1308">
        <v>256</v>
      </c>
      <c r="V377" s="1308"/>
      <c r="W377" s="1308"/>
      <c r="X377" s="1308"/>
      <c r="Y377" s="1308"/>
      <c r="Z377" s="1308"/>
      <c r="AA377" s="1308"/>
    </row>
    <row r="378" spans="1:27">
      <c r="A378" s="1370">
        <v>257</v>
      </c>
      <c r="B378" s="1371" t="s">
        <v>2144</v>
      </c>
      <c r="C378" s="1366"/>
      <c r="D378" s="1366"/>
      <c r="E378" s="1367"/>
      <c r="F378" s="1299"/>
      <c r="G378" s="1309"/>
      <c r="H378" s="1306"/>
      <c r="I378" s="1307"/>
      <c r="J378" s="1307"/>
      <c r="K378" s="1307"/>
      <c r="L378" s="1307"/>
      <c r="M378" s="1307"/>
      <c r="N378" s="1307"/>
      <c r="O378" s="1308"/>
      <c r="P378" s="1308"/>
      <c r="Q378" s="1308"/>
      <c r="R378" s="1308"/>
      <c r="S378" s="1317"/>
      <c r="T378" s="1317" t="s">
        <v>2144</v>
      </c>
      <c r="U378" s="1308">
        <v>257</v>
      </c>
      <c r="V378" s="1308"/>
      <c r="W378" s="1308"/>
      <c r="X378" s="1308"/>
      <c r="Y378" s="1308"/>
      <c r="Z378" s="1308"/>
      <c r="AA378" s="1308"/>
    </row>
    <row r="379" spans="1:27">
      <c r="A379" s="1370">
        <v>258</v>
      </c>
      <c r="B379" s="1371" t="s">
        <v>2145</v>
      </c>
      <c r="C379" s="1366"/>
      <c r="D379" s="1366"/>
      <c r="E379" s="1367"/>
      <c r="F379" s="1299"/>
      <c r="G379" s="1309"/>
      <c r="H379" s="1306"/>
      <c r="I379" s="1307"/>
      <c r="J379" s="1307"/>
      <c r="K379" s="1307"/>
      <c r="L379" s="1307"/>
      <c r="M379" s="1307"/>
      <c r="N379" s="1307"/>
      <c r="O379" s="1308"/>
      <c r="P379" s="1308"/>
      <c r="Q379" s="1308"/>
      <c r="R379" s="1308"/>
      <c r="S379" s="1317"/>
      <c r="T379" s="1317" t="s">
        <v>2145</v>
      </c>
      <c r="U379" s="1308">
        <v>258</v>
      </c>
      <c r="V379" s="1308"/>
      <c r="W379" s="1308"/>
      <c r="X379" s="1308"/>
      <c r="Y379" s="1308"/>
      <c r="Z379" s="1308"/>
      <c r="AA379" s="1308"/>
    </row>
    <row r="380" spans="1:27">
      <c r="A380" s="1370">
        <v>259</v>
      </c>
      <c r="B380" s="1371" t="s">
        <v>2146</v>
      </c>
      <c r="C380" s="1366"/>
      <c r="D380" s="1366"/>
      <c r="E380" s="1367"/>
      <c r="F380" s="1299"/>
      <c r="G380" s="1309"/>
      <c r="H380" s="1306"/>
      <c r="I380" s="1307"/>
      <c r="J380" s="1307"/>
      <c r="K380" s="1307"/>
      <c r="L380" s="1307"/>
      <c r="M380" s="1307"/>
      <c r="N380" s="1307"/>
      <c r="O380" s="1308"/>
      <c r="P380" s="1308"/>
      <c r="Q380" s="1308"/>
      <c r="R380" s="1308"/>
      <c r="S380" s="1317"/>
      <c r="T380" s="1317" t="s">
        <v>2146</v>
      </c>
      <c r="U380" s="1308">
        <v>259</v>
      </c>
      <c r="V380" s="1308"/>
      <c r="W380" s="1308"/>
      <c r="X380" s="1308"/>
      <c r="Y380" s="1308"/>
      <c r="Z380" s="1308"/>
      <c r="AA380" s="1308"/>
    </row>
    <row r="381" spans="1:27">
      <c r="A381" s="1370">
        <v>260</v>
      </c>
      <c r="B381" s="1371" t="s">
        <v>2147</v>
      </c>
      <c r="C381" s="1366"/>
      <c r="D381" s="1366"/>
      <c r="E381" s="1367"/>
      <c r="F381" s="1299"/>
      <c r="G381" s="1309"/>
      <c r="H381" s="1306"/>
      <c r="I381" s="1307"/>
      <c r="J381" s="1307"/>
      <c r="K381" s="1307"/>
      <c r="L381" s="1307"/>
      <c r="M381" s="1307"/>
      <c r="N381" s="1307"/>
      <c r="O381" s="1308"/>
      <c r="P381" s="1308"/>
      <c r="Q381" s="1308"/>
      <c r="R381" s="1308"/>
      <c r="S381" s="1317"/>
      <c r="T381" s="1317" t="s">
        <v>2147</v>
      </c>
      <c r="U381" s="1308">
        <v>260</v>
      </c>
      <c r="V381" s="1308"/>
      <c r="W381" s="1308"/>
      <c r="X381" s="1308"/>
      <c r="Y381" s="1308"/>
      <c r="Z381" s="1308"/>
      <c r="AA381" s="1308"/>
    </row>
    <row r="382" spans="1:27">
      <c r="A382" s="1370">
        <v>261</v>
      </c>
      <c r="B382" s="1371" t="s">
        <v>2148</v>
      </c>
      <c r="C382" s="1366"/>
      <c r="D382" s="1366"/>
      <c r="E382" s="1367"/>
      <c r="F382" s="1299"/>
      <c r="G382" s="1309"/>
      <c r="H382" s="1306"/>
      <c r="I382" s="1307"/>
      <c r="J382" s="1307"/>
      <c r="K382" s="1307"/>
      <c r="L382" s="1307"/>
      <c r="M382" s="1307"/>
      <c r="N382" s="1307"/>
      <c r="O382" s="1308"/>
      <c r="P382" s="1308"/>
      <c r="Q382" s="1308"/>
      <c r="R382" s="1308"/>
      <c r="S382" s="1317"/>
      <c r="T382" s="1317" t="s">
        <v>2148</v>
      </c>
      <c r="U382" s="1308">
        <v>261</v>
      </c>
      <c r="V382" s="1308"/>
      <c r="W382" s="1308"/>
      <c r="X382" s="1308"/>
      <c r="Y382" s="1308"/>
      <c r="Z382" s="1308"/>
      <c r="AA382" s="1308"/>
    </row>
    <row r="383" spans="1:27">
      <c r="A383" s="1370">
        <v>262</v>
      </c>
      <c r="B383" s="1371" t="s">
        <v>161</v>
      </c>
      <c r="C383" s="1366"/>
      <c r="D383" s="1366"/>
      <c r="E383" s="1367"/>
      <c r="F383" s="1299"/>
      <c r="G383" s="1309"/>
      <c r="H383" s="1306"/>
      <c r="I383" s="1307"/>
      <c r="J383" s="1307"/>
      <c r="K383" s="1307"/>
      <c r="L383" s="1307"/>
      <c r="M383" s="1307"/>
      <c r="N383" s="1307"/>
      <c r="O383" s="1308"/>
      <c r="P383" s="1308"/>
      <c r="Q383" s="1308"/>
      <c r="R383" s="1308"/>
      <c r="S383" s="1317"/>
      <c r="T383" s="1317" t="s">
        <v>161</v>
      </c>
      <c r="U383" s="1308">
        <v>262</v>
      </c>
      <c r="V383" s="1308"/>
      <c r="W383" s="1308"/>
      <c r="X383" s="1308"/>
      <c r="Y383" s="1308"/>
      <c r="Z383" s="1308"/>
      <c r="AA383" s="1308"/>
    </row>
    <row r="384" spans="1:27">
      <c r="A384" s="1370">
        <v>263</v>
      </c>
      <c r="B384" s="1371" t="s">
        <v>2149</v>
      </c>
      <c r="C384" s="1366"/>
      <c r="D384" s="1366"/>
      <c r="E384" s="1367"/>
      <c r="F384" s="1299"/>
      <c r="G384" s="1309"/>
      <c r="H384" s="1306"/>
      <c r="I384" s="1307"/>
      <c r="J384" s="1307"/>
      <c r="K384" s="1307"/>
      <c r="L384" s="1307"/>
      <c r="M384" s="1307"/>
      <c r="N384" s="1307"/>
      <c r="O384" s="1308"/>
      <c r="P384" s="1308"/>
      <c r="Q384" s="1308"/>
      <c r="R384" s="1308"/>
      <c r="S384" s="1317"/>
      <c r="T384" s="1317" t="s">
        <v>2149</v>
      </c>
      <c r="U384" s="1308">
        <v>263</v>
      </c>
      <c r="V384" s="1308"/>
      <c r="W384" s="1308"/>
      <c r="X384" s="1308"/>
      <c r="Y384" s="1308"/>
      <c r="Z384" s="1308"/>
      <c r="AA384" s="1308"/>
    </row>
    <row r="385" spans="1:27">
      <c r="A385" s="1370">
        <v>264</v>
      </c>
      <c r="B385" s="1371" t="s">
        <v>2150</v>
      </c>
      <c r="C385" s="1366"/>
      <c r="D385" s="1366"/>
      <c r="E385" s="1367"/>
      <c r="F385" s="1299"/>
      <c r="G385" s="1309"/>
      <c r="H385" s="1306"/>
      <c r="I385" s="1307"/>
      <c r="J385" s="1307"/>
      <c r="K385" s="1307"/>
      <c r="L385" s="1307"/>
      <c r="M385" s="1307"/>
      <c r="N385" s="1307"/>
      <c r="O385" s="1308"/>
      <c r="P385" s="1308"/>
      <c r="Q385" s="1308"/>
      <c r="R385" s="1308"/>
      <c r="S385" s="1317"/>
      <c r="T385" s="1317" t="s">
        <v>2150</v>
      </c>
      <c r="U385" s="1308">
        <v>264</v>
      </c>
      <c r="V385" s="1308"/>
      <c r="W385" s="1308"/>
      <c r="X385" s="1308"/>
      <c r="Y385" s="1308"/>
      <c r="Z385" s="1308"/>
      <c r="AA385" s="1308"/>
    </row>
    <row r="386" spans="1:27">
      <c r="A386" s="1370">
        <v>265</v>
      </c>
      <c r="B386" s="1371" t="s">
        <v>2151</v>
      </c>
      <c r="C386" s="1366"/>
      <c r="D386" s="1366"/>
      <c r="E386" s="1367"/>
      <c r="F386" s="1299"/>
      <c r="G386" s="1309"/>
      <c r="H386" s="1306"/>
      <c r="I386" s="1307"/>
      <c r="J386" s="1307"/>
      <c r="K386" s="1307"/>
      <c r="L386" s="1307"/>
      <c r="M386" s="1307"/>
      <c r="N386" s="1307"/>
      <c r="O386" s="1308"/>
      <c r="P386" s="1308"/>
      <c r="Q386" s="1308"/>
      <c r="R386" s="1308"/>
      <c r="S386" s="1317"/>
      <c r="T386" s="1317" t="s">
        <v>2151</v>
      </c>
      <c r="U386" s="1308">
        <v>265</v>
      </c>
      <c r="V386" s="1308"/>
      <c r="W386" s="1308"/>
      <c r="X386" s="1308"/>
      <c r="Y386" s="1308"/>
      <c r="Z386" s="1308"/>
      <c r="AA386" s="1308"/>
    </row>
    <row r="387" spans="1:27">
      <c r="A387" s="1370">
        <v>270</v>
      </c>
      <c r="B387" s="1371" t="s">
        <v>2152</v>
      </c>
      <c r="C387" s="1366"/>
      <c r="D387" s="1366"/>
      <c r="E387" s="1367"/>
      <c r="F387" s="1299"/>
      <c r="G387" s="1309"/>
      <c r="H387" s="1306"/>
      <c r="I387" s="1307"/>
      <c r="J387" s="1307"/>
      <c r="K387" s="1307"/>
      <c r="L387" s="1307"/>
      <c r="M387" s="1307"/>
      <c r="N387" s="1307"/>
      <c r="O387" s="1308"/>
      <c r="P387" s="1308"/>
      <c r="Q387" s="1308"/>
      <c r="R387" s="1308"/>
      <c r="S387" s="1317"/>
      <c r="T387" s="1317" t="s">
        <v>2152</v>
      </c>
      <c r="U387" s="1308">
        <v>270</v>
      </c>
      <c r="V387" s="1308"/>
      <c r="W387" s="1308"/>
      <c r="X387" s="1308"/>
      <c r="Y387" s="1308"/>
      <c r="Z387" s="1308"/>
      <c r="AA387" s="1308"/>
    </row>
    <row r="388" spans="1:27">
      <c r="A388" s="1370">
        <v>271</v>
      </c>
      <c r="B388" s="1371" t="s">
        <v>2153</v>
      </c>
      <c r="C388" s="1366"/>
      <c r="D388" s="1366"/>
      <c r="E388" s="1367"/>
      <c r="F388" s="1299"/>
      <c r="G388" s="1309"/>
      <c r="H388" s="1306"/>
      <c r="I388" s="1307"/>
      <c r="J388" s="1307"/>
      <c r="K388" s="1307"/>
      <c r="L388" s="1307"/>
      <c r="M388" s="1307"/>
      <c r="N388" s="1307"/>
      <c r="O388" s="1308"/>
      <c r="P388" s="1308"/>
      <c r="Q388" s="1308"/>
      <c r="R388" s="1308"/>
      <c r="S388" s="1317"/>
      <c r="T388" s="1317" t="s">
        <v>2153</v>
      </c>
      <c r="U388" s="1308">
        <v>271</v>
      </c>
      <c r="V388" s="1308"/>
      <c r="W388" s="1308"/>
      <c r="X388" s="1308"/>
      <c r="Y388" s="1308"/>
      <c r="Z388" s="1308"/>
      <c r="AA388" s="1308"/>
    </row>
    <row r="389" spans="1:27">
      <c r="A389" s="1370">
        <v>272</v>
      </c>
      <c r="B389" s="1371" t="s">
        <v>2154</v>
      </c>
      <c r="C389" s="1366"/>
      <c r="D389" s="1366"/>
      <c r="E389" s="1367"/>
      <c r="F389" s="1299"/>
      <c r="G389" s="1309"/>
      <c r="H389" s="1306"/>
      <c r="I389" s="1307"/>
      <c r="J389" s="1307"/>
      <c r="K389" s="1307"/>
      <c r="L389" s="1307"/>
      <c r="M389" s="1307"/>
      <c r="N389" s="1307"/>
      <c r="O389" s="1308"/>
      <c r="P389" s="1308"/>
      <c r="Q389" s="1308"/>
      <c r="R389" s="1308"/>
      <c r="S389" s="1317"/>
      <c r="T389" s="1317" t="s">
        <v>2154</v>
      </c>
      <c r="U389" s="1308">
        <v>272</v>
      </c>
      <c r="V389" s="1308"/>
      <c r="W389" s="1308"/>
      <c r="X389" s="1308"/>
      <c r="Y389" s="1308"/>
      <c r="Z389" s="1308"/>
      <c r="AA389" s="1308"/>
    </row>
    <row r="390" spans="1:27">
      <c r="A390" s="1370">
        <v>273</v>
      </c>
      <c r="B390" s="1371" t="s">
        <v>2155</v>
      </c>
      <c r="C390" s="1366"/>
      <c r="D390" s="1366"/>
      <c r="E390" s="1367"/>
      <c r="F390" s="1299"/>
      <c r="G390" s="1309"/>
      <c r="H390" s="1306"/>
      <c r="I390" s="1307"/>
      <c r="J390" s="1307"/>
      <c r="K390" s="1307"/>
      <c r="L390" s="1307"/>
      <c r="M390" s="1307"/>
      <c r="N390" s="1307"/>
      <c r="O390" s="1308"/>
      <c r="P390" s="1308"/>
      <c r="Q390" s="1308"/>
      <c r="R390" s="1308"/>
      <c r="S390" s="1317"/>
      <c r="T390" s="1317" t="s">
        <v>2155</v>
      </c>
      <c r="U390" s="1308">
        <v>273</v>
      </c>
      <c r="V390" s="1308"/>
      <c r="W390" s="1308"/>
      <c r="X390" s="1308"/>
      <c r="Y390" s="1308"/>
      <c r="Z390" s="1308"/>
      <c r="AA390" s="1308"/>
    </row>
    <row r="391" spans="1:27">
      <c r="A391" s="1370">
        <v>274</v>
      </c>
      <c r="B391" s="1371" t="s">
        <v>2156</v>
      </c>
      <c r="C391" s="1366"/>
      <c r="D391" s="1366"/>
      <c r="E391" s="1367"/>
      <c r="F391" s="1299"/>
      <c r="G391" s="1309"/>
      <c r="H391" s="1306"/>
      <c r="I391" s="1307"/>
      <c r="J391" s="1307"/>
      <c r="K391" s="1307"/>
      <c r="L391" s="1307"/>
      <c r="M391" s="1307"/>
      <c r="N391" s="1307"/>
      <c r="O391" s="1308"/>
      <c r="P391" s="1308"/>
      <c r="Q391" s="1308"/>
      <c r="R391" s="1308"/>
      <c r="S391" s="1317"/>
      <c r="T391" s="1317" t="s">
        <v>2156</v>
      </c>
      <c r="U391" s="1308">
        <v>274</v>
      </c>
      <c r="V391" s="1308"/>
      <c r="W391" s="1308"/>
      <c r="X391" s="1308"/>
      <c r="Y391" s="1308"/>
      <c r="Z391" s="1308"/>
      <c r="AA391" s="1308"/>
    </row>
    <row r="392" spans="1:27">
      <c r="A392" s="1370">
        <v>275</v>
      </c>
      <c r="B392" s="1371" t="s">
        <v>2157</v>
      </c>
      <c r="C392" s="1366"/>
      <c r="D392" s="1366"/>
      <c r="E392" s="1367"/>
      <c r="F392" s="1299"/>
      <c r="G392" s="1309"/>
      <c r="H392" s="1306"/>
      <c r="I392" s="1307"/>
      <c r="J392" s="1307"/>
      <c r="K392" s="1307"/>
      <c r="L392" s="1307"/>
      <c r="M392" s="1307"/>
      <c r="N392" s="1307"/>
      <c r="O392" s="1308"/>
      <c r="P392" s="1308"/>
      <c r="Q392" s="1308"/>
      <c r="R392" s="1308"/>
      <c r="S392" s="1317"/>
      <c r="T392" s="1317" t="s">
        <v>2157</v>
      </c>
      <c r="U392" s="1308">
        <v>275</v>
      </c>
      <c r="V392" s="1308"/>
      <c r="W392" s="1308"/>
      <c r="X392" s="1308"/>
      <c r="Y392" s="1308"/>
      <c r="Z392" s="1308"/>
      <c r="AA392" s="1308"/>
    </row>
    <row r="393" spans="1:27">
      <c r="A393" s="1370">
        <v>276</v>
      </c>
      <c r="B393" s="1371" t="s">
        <v>2158</v>
      </c>
      <c r="C393" s="1366"/>
      <c r="D393" s="1366"/>
      <c r="E393" s="1367"/>
      <c r="F393" s="1299"/>
      <c r="G393" s="1309"/>
      <c r="H393" s="1306"/>
      <c r="I393" s="1307"/>
      <c r="J393" s="1307"/>
      <c r="K393" s="1307"/>
      <c r="L393" s="1307"/>
      <c r="M393" s="1307"/>
      <c r="N393" s="1307"/>
      <c r="O393" s="1308"/>
      <c r="P393" s="1308"/>
      <c r="Q393" s="1308"/>
      <c r="R393" s="1308"/>
      <c r="S393" s="1317"/>
      <c r="T393" s="1317" t="s">
        <v>2158</v>
      </c>
      <c r="U393" s="1308">
        <v>276</v>
      </c>
      <c r="V393" s="1308"/>
      <c r="W393" s="1308"/>
      <c r="X393" s="1308"/>
      <c r="Y393" s="1308"/>
      <c r="Z393" s="1308"/>
      <c r="AA393" s="1308"/>
    </row>
    <row r="394" spans="1:27">
      <c r="A394" s="1370">
        <v>277</v>
      </c>
      <c r="B394" s="1371" t="s">
        <v>2159</v>
      </c>
      <c r="C394" s="1366"/>
      <c r="D394" s="1366"/>
      <c r="E394" s="1367"/>
      <c r="F394" s="1299"/>
      <c r="G394" s="1309"/>
      <c r="H394" s="1306"/>
      <c r="I394" s="1307"/>
      <c r="J394" s="1307"/>
      <c r="K394" s="1307"/>
      <c r="L394" s="1307"/>
      <c r="M394" s="1307"/>
      <c r="N394" s="1307"/>
      <c r="O394" s="1308"/>
      <c r="P394" s="1308"/>
      <c r="Q394" s="1308"/>
      <c r="R394" s="1308"/>
      <c r="S394" s="1317"/>
      <c r="T394" s="1317" t="s">
        <v>2159</v>
      </c>
      <c r="U394" s="1308">
        <v>277</v>
      </c>
      <c r="V394" s="1308"/>
      <c r="W394" s="1308"/>
      <c r="X394" s="1308"/>
      <c r="Y394" s="1308"/>
      <c r="Z394" s="1308"/>
      <c r="AA394" s="1308"/>
    </row>
    <row r="395" spans="1:27">
      <c r="A395" s="1370" t="s">
        <v>2160</v>
      </c>
      <c r="B395" s="1371"/>
      <c r="C395" s="1366"/>
      <c r="D395" s="1366"/>
      <c r="E395" s="1367"/>
      <c r="F395" s="1299"/>
      <c r="G395" s="1309"/>
      <c r="H395" s="1306"/>
      <c r="I395" s="1307"/>
      <c r="J395" s="1307"/>
      <c r="K395" s="1307"/>
      <c r="L395" s="1307"/>
      <c r="M395" s="1307"/>
      <c r="N395" s="1307"/>
      <c r="O395" s="1308"/>
      <c r="P395" s="1308"/>
      <c r="Q395" s="1308"/>
      <c r="R395" s="1308"/>
      <c r="S395" s="1317"/>
      <c r="T395" s="1317"/>
      <c r="U395" s="1308" t="s">
        <v>2160</v>
      </c>
      <c r="V395" s="1308"/>
      <c r="W395" s="1308"/>
      <c r="X395" s="1308"/>
      <c r="Y395" s="1308"/>
      <c r="Z395" s="1308"/>
      <c r="AA395" s="1308"/>
    </row>
    <row r="396" spans="1:27">
      <c r="A396" s="1370" t="s">
        <v>2079</v>
      </c>
      <c r="B396" s="1371" t="s">
        <v>2079</v>
      </c>
      <c r="C396" s="1366"/>
      <c r="D396" s="1366"/>
      <c r="E396" s="1367"/>
      <c r="F396" s="1299"/>
      <c r="G396" s="1309"/>
      <c r="H396" s="1306"/>
      <c r="I396" s="1307"/>
      <c r="J396" s="1307"/>
      <c r="K396" s="1307"/>
      <c r="L396" s="1307"/>
      <c r="M396" s="1307"/>
      <c r="N396" s="1307"/>
      <c r="O396" s="1308"/>
      <c r="P396" s="1308"/>
      <c r="Q396" s="1308"/>
      <c r="R396" s="1308"/>
      <c r="S396" s="1317"/>
      <c r="T396" s="1317" t="s">
        <v>2079</v>
      </c>
      <c r="U396" s="1308" t="str">
        <f>A396</f>
        <v>FAISAL EGY BUILD</v>
      </c>
      <c r="V396" s="1308"/>
      <c r="W396" s="1308"/>
      <c r="X396" s="1308"/>
      <c r="Y396" s="1308"/>
      <c r="Z396" s="1308"/>
      <c r="AA396" s="1308"/>
    </row>
    <row r="397" spans="1:27">
      <c r="A397" s="1370">
        <v>278</v>
      </c>
      <c r="B397" s="1371" t="s">
        <v>2845</v>
      </c>
      <c r="C397" s="1366"/>
      <c r="D397" s="1366"/>
      <c r="E397" s="1367"/>
      <c r="F397" s="1299"/>
      <c r="G397" s="1309"/>
      <c r="H397" s="1306"/>
      <c r="I397" s="1307"/>
      <c r="J397" s="1307"/>
      <c r="K397" s="1307"/>
      <c r="L397" s="1307"/>
      <c r="M397" s="1307"/>
      <c r="N397" s="1307"/>
      <c r="O397" s="1308"/>
      <c r="P397" s="1308"/>
      <c r="Q397" s="1308"/>
      <c r="R397" s="1308"/>
      <c r="S397" s="1317"/>
      <c r="T397" s="1317" t="str">
        <f>B397</f>
        <v>Rashed Ahmed Yousef Mohamed Al Balooshi- Archpix</v>
      </c>
      <c r="U397" s="1308">
        <f t="shared" ref="U397:U404" si="3">A397</f>
        <v>278</v>
      </c>
      <c r="V397" s="1308"/>
      <c r="W397" s="1308"/>
      <c r="X397" s="1308"/>
      <c r="Y397" s="1308"/>
      <c r="Z397" s="1308"/>
      <c r="AA397" s="1308"/>
    </row>
    <row r="398" spans="1:27">
      <c r="A398" s="1370">
        <v>279</v>
      </c>
      <c r="B398" s="1371" t="s">
        <v>307</v>
      </c>
      <c r="C398" s="1366"/>
      <c r="D398" s="1366"/>
      <c r="E398" s="1367"/>
      <c r="F398" s="1299"/>
      <c r="G398" s="1309"/>
      <c r="H398" s="1306"/>
      <c r="I398" s="1307"/>
      <c r="J398" s="1307"/>
      <c r="K398" s="1307"/>
      <c r="L398" s="1307"/>
      <c r="M398" s="1307"/>
      <c r="N398" s="1307"/>
      <c r="O398" s="1308"/>
      <c r="P398" s="1308"/>
      <c r="Q398" s="1308"/>
      <c r="R398" s="1308"/>
      <c r="S398" s="1317"/>
      <c r="T398" s="1317" t="str">
        <f t="shared" ref="T398:T404" si="4">B398</f>
        <v>Shams Saeed Sultan AL Kitbee</v>
      </c>
      <c r="U398" s="1308">
        <f t="shared" si="3"/>
        <v>279</v>
      </c>
      <c r="V398" s="1308"/>
      <c r="W398" s="1308"/>
      <c r="X398" s="1308"/>
      <c r="Y398" s="1308"/>
      <c r="Z398" s="1308"/>
      <c r="AA398" s="1308"/>
    </row>
    <row r="399" spans="1:27">
      <c r="A399" s="1370">
        <v>280</v>
      </c>
      <c r="B399" s="1371" t="s">
        <v>869</v>
      </c>
      <c r="C399" s="1366"/>
      <c r="D399" s="1366"/>
      <c r="E399" s="1367"/>
      <c r="F399" s="1299"/>
      <c r="G399" s="1309"/>
      <c r="H399" s="1306"/>
      <c r="I399" s="1307"/>
      <c r="J399" s="1307"/>
      <c r="K399" s="1307"/>
      <c r="L399" s="1307"/>
      <c r="M399" s="1307"/>
      <c r="N399" s="1307"/>
      <c r="O399" s="1308"/>
      <c r="P399" s="1308"/>
      <c r="Q399" s="1308"/>
      <c r="R399" s="1308"/>
      <c r="S399" s="1317"/>
      <c r="T399" s="1317" t="str">
        <f t="shared" si="4"/>
        <v>Gaith Mohammad Aiahli</v>
      </c>
      <c r="U399" s="1308">
        <f t="shared" si="3"/>
        <v>280</v>
      </c>
      <c r="V399" s="1308"/>
      <c r="W399" s="1308"/>
      <c r="X399" s="1308"/>
      <c r="Y399" s="1308"/>
      <c r="Z399" s="1308"/>
      <c r="AA399" s="1308"/>
    </row>
    <row r="400" spans="1:27">
      <c r="A400" s="1370">
        <v>281</v>
      </c>
      <c r="B400" s="1371" t="s">
        <v>866</v>
      </c>
      <c r="C400" s="1366"/>
      <c r="D400" s="1366"/>
      <c r="E400" s="1367"/>
      <c r="F400" s="1299"/>
      <c r="G400" s="1309"/>
      <c r="H400" s="1306"/>
      <c r="I400" s="1307"/>
      <c r="J400" s="1307"/>
      <c r="K400" s="1307"/>
      <c r="L400" s="1307"/>
      <c r="M400" s="1307"/>
      <c r="N400" s="1307"/>
      <c r="O400" s="1308"/>
      <c r="P400" s="1308"/>
      <c r="Q400" s="1308"/>
      <c r="R400" s="1308"/>
      <c r="S400" s="1317"/>
      <c r="T400" s="1317" t="str">
        <f t="shared" si="4"/>
        <v>Mohamed Abbas Al Bloushi</v>
      </c>
      <c r="U400" s="1308">
        <f t="shared" si="3"/>
        <v>281</v>
      </c>
      <c r="V400" s="1308"/>
      <c r="W400" s="1308"/>
      <c r="X400" s="1308"/>
      <c r="Y400" s="1308"/>
      <c r="Z400" s="1308"/>
      <c r="AA400" s="1308"/>
    </row>
    <row r="401" spans="1:27">
      <c r="A401" s="1370">
        <v>284</v>
      </c>
      <c r="B401" s="1371" t="s">
        <v>1834</v>
      </c>
      <c r="C401" s="1366"/>
      <c r="D401" s="1366"/>
      <c r="E401" s="1367"/>
      <c r="F401" s="1299"/>
      <c r="G401" s="1309"/>
      <c r="H401" s="1306"/>
      <c r="I401" s="1307"/>
      <c r="J401" s="1307"/>
      <c r="K401" s="1307"/>
      <c r="L401" s="1307"/>
      <c r="M401" s="1307"/>
      <c r="N401" s="1307"/>
      <c r="O401" s="1308"/>
      <c r="P401" s="1308"/>
      <c r="Q401" s="1308"/>
      <c r="R401" s="1308"/>
      <c r="S401" s="1317"/>
      <c r="T401" s="1317" t="str">
        <f t="shared" si="4"/>
        <v xml:space="preserve">ABDULLAH . EBTESAM بدون عقد موقع </v>
      </c>
      <c r="U401" s="1308">
        <f t="shared" si="3"/>
        <v>284</v>
      </c>
      <c r="V401" s="1308"/>
      <c r="W401" s="1308"/>
      <c r="X401" s="1308"/>
      <c r="Y401" s="1308"/>
      <c r="Z401" s="1308"/>
      <c r="AA401" s="1308"/>
    </row>
    <row r="402" spans="1:27">
      <c r="A402" s="1370">
        <v>282</v>
      </c>
      <c r="B402" s="1371" t="s">
        <v>1213</v>
      </c>
      <c r="C402" s="1366"/>
      <c r="D402" s="1366"/>
      <c r="E402" s="1367"/>
      <c r="F402" s="1299"/>
      <c r="G402" s="1309"/>
      <c r="H402" s="1306"/>
      <c r="I402" s="1307"/>
      <c r="J402" s="1307"/>
      <c r="K402" s="1307"/>
      <c r="L402" s="1307"/>
      <c r="M402" s="1307"/>
      <c r="N402" s="1307"/>
      <c r="O402" s="1308"/>
      <c r="P402" s="1308"/>
      <c r="Q402" s="1308"/>
      <c r="R402" s="1308"/>
      <c r="S402" s="1317"/>
      <c r="T402" s="1317" t="str">
        <f t="shared" si="4"/>
        <v>Omar Yousuf Mohamed Al Hajji Al Falasi</v>
      </c>
      <c r="U402" s="1308">
        <f t="shared" si="3"/>
        <v>282</v>
      </c>
      <c r="V402" s="1308"/>
      <c r="W402" s="1308"/>
      <c r="X402" s="1308"/>
      <c r="Y402" s="1308"/>
      <c r="Z402" s="1308"/>
      <c r="AA402" s="1308"/>
    </row>
    <row r="403" spans="1:27">
      <c r="A403" s="1370">
        <v>283</v>
      </c>
      <c r="B403" s="1371" t="s">
        <v>1262</v>
      </c>
      <c r="C403" s="1366"/>
      <c r="D403" s="1366"/>
      <c r="E403" s="1367"/>
      <c r="F403" s="1299"/>
      <c r="G403" s="1309"/>
      <c r="H403" s="1306"/>
      <c r="I403" s="1307"/>
      <c r="J403" s="1307"/>
      <c r="K403" s="1307"/>
      <c r="L403" s="1307"/>
      <c r="M403" s="1307"/>
      <c r="N403" s="1307"/>
      <c r="O403" s="1308"/>
      <c r="P403" s="1308"/>
      <c r="Q403" s="1308"/>
      <c r="R403" s="1308"/>
      <c r="S403" s="1317"/>
      <c r="T403" s="1317" t="str">
        <f t="shared" si="4"/>
        <v>stroe</v>
      </c>
      <c r="U403" s="1308">
        <f t="shared" si="3"/>
        <v>283</v>
      </c>
      <c r="V403" s="1308"/>
      <c r="W403" s="1308"/>
      <c r="X403" s="1308"/>
      <c r="Y403" s="1308"/>
      <c r="Z403" s="1308"/>
      <c r="AA403" s="1308"/>
    </row>
    <row r="404" spans="1:27">
      <c r="A404" s="1370">
        <v>285</v>
      </c>
      <c r="B404" s="1371" t="s">
        <v>1356</v>
      </c>
      <c r="C404" s="1366"/>
      <c r="D404" s="1366"/>
      <c r="E404" s="1367"/>
      <c r="F404" s="1299"/>
      <c r="G404" s="1309"/>
      <c r="H404" s="1306"/>
      <c r="I404" s="1307"/>
      <c r="J404" s="1307"/>
      <c r="K404" s="1307"/>
      <c r="L404" s="1307"/>
      <c r="M404" s="1307"/>
      <c r="N404" s="1307"/>
      <c r="O404" s="1308"/>
      <c r="P404" s="1308"/>
      <c r="Q404" s="1308"/>
      <c r="R404" s="1308"/>
      <c r="S404" s="1317"/>
      <c r="T404" s="1317" t="str">
        <f t="shared" si="4"/>
        <v>ADEL DEELEB AHMAD MOHAMMED</v>
      </c>
      <c r="U404" s="1308">
        <f t="shared" si="3"/>
        <v>285</v>
      </c>
      <c r="V404" s="1308"/>
      <c r="W404" s="1308"/>
      <c r="X404" s="1308"/>
      <c r="Y404" s="1308"/>
      <c r="Z404" s="1308"/>
      <c r="AA404" s="1308"/>
    </row>
    <row r="405" spans="1:27">
      <c r="A405" s="1370">
        <v>286</v>
      </c>
      <c r="B405" s="1371" t="s">
        <v>978</v>
      </c>
      <c r="C405" s="1366"/>
      <c r="D405" s="1366"/>
      <c r="E405" s="1367"/>
      <c r="F405" s="1299"/>
      <c r="G405" s="1309"/>
      <c r="H405" s="1306"/>
      <c r="I405" s="1307"/>
      <c r="J405" s="1307"/>
      <c r="K405" s="1307"/>
      <c r="L405" s="1307"/>
      <c r="M405" s="1307"/>
      <c r="N405" s="1307"/>
      <c r="O405" s="1308"/>
      <c r="P405" s="1308"/>
      <c r="Q405" s="1308"/>
      <c r="R405" s="1308"/>
      <c r="S405" s="1317"/>
      <c r="T405" s="1317" t="str">
        <f t="shared" ref="T405:T411" si="5">B405</f>
        <v>Omar Mohamed Abdullah Ahli</v>
      </c>
      <c r="U405" s="1308">
        <f t="shared" ref="U405:U411" si="6">A405</f>
        <v>286</v>
      </c>
      <c r="V405" s="1308"/>
      <c r="W405" s="1308"/>
      <c r="X405" s="1308"/>
      <c r="Y405" s="1308"/>
      <c r="Z405" s="1308"/>
      <c r="AA405" s="1308"/>
    </row>
    <row r="406" spans="1:27">
      <c r="A406" s="1370">
        <v>287</v>
      </c>
      <c r="B406" s="1371" t="s">
        <v>5005</v>
      </c>
      <c r="C406" s="1366"/>
      <c r="D406" s="1366"/>
      <c r="E406" s="1367"/>
      <c r="F406" s="1299"/>
      <c r="G406" s="1309"/>
      <c r="H406" s="1306"/>
      <c r="I406" s="1307"/>
      <c r="J406" s="1307"/>
      <c r="K406" s="1307"/>
      <c r="L406" s="1307"/>
      <c r="M406" s="1307"/>
      <c r="N406" s="1307"/>
      <c r="O406" s="1308"/>
      <c r="P406" s="1308"/>
      <c r="Q406" s="1308"/>
      <c r="R406" s="1308"/>
      <c r="S406" s="1317"/>
      <c r="T406" s="1317" t="str">
        <f t="shared" si="5"/>
        <v>Yasser Ahmed Ibrahim Al Satry</v>
      </c>
      <c r="U406" s="1308">
        <f t="shared" si="6"/>
        <v>287</v>
      </c>
      <c r="V406" s="1308"/>
      <c r="W406" s="1308"/>
      <c r="X406" s="1308"/>
      <c r="Y406" s="1308"/>
      <c r="Z406" s="1308"/>
      <c r="AA406" s="1308"/>
    </row>
    <row r="407" spans="1:27">
      <c r="A407" s="1370">
        <v>288</v>
      </c>
      <c r="B407" s="1371" t="s">
        <v>5045</v>
      </c>
      <c r="C407" s="1366"/>
      <c r="D407" s="1366"/>
      <c r="E407" s="1367"/>
      <c r="F407" s="1299"/>
      <c r="G407" s="1309"/>
      <c r="H407" s="1306"/>
      <c r="I407" s="1307"/>
      <c r="J407" s="1307"/>
      <c r="K407" s="1307"/>
      <c r="L407" s="1307"/>
      <c r="M407" s="1307"/>
      <c r="N407" s="1307"/>
      <c r="O407" s="1308"/>
      <c r="P407" s="1308"/>
      <c r="Q407" s="1308"/>
      <c r="R407" s="1308"/>
      <c r="S407" s="1317"/>
      <c r="T407" s="1317" t="str">
        <f t="shared" si="5"/>
        <v>Hussan Ali Butti Mohammad Al Suwaidi</v>
      </c>
      <c r="U407" s="1308">
        <f t="shared" si="6"/>
        <v>288</v>
      </c>
      <c r="V407" s="1308"/>
      <c r="W407" s="1308"/>
      <c r="X407" s="1308"/>
      <c r="Y407" s="1308"/>
      <c r="Z407" s="1308"/>
      <c r="AA407" s="1308"/>
    </row>
    <row r="408" spans="1:27">
      <c r="A408" s="1370">
        <v>289</v>
      </c>
      <c r="B408" s="1371" t="s">
        <v>5260</v>
      </c>
      <c r="C408" s="1366"/>
      <c r="D408" s="1366"/>
      <c r="E408" s="1367"/>
      <c r="F408" s="1299"/>
      <c r="G408" s="1309"/>
      <c r="H408" s="1306"/>
      <c r="I408" s="1307"/>
      <c r="J408" s="1307"/>
      <c r="K408" s="1307"/>
      <c r="L408" s="1307"/>
      <c r="M408" s="1307"/>
      <c r="N408" s="1307"/>
      <c r="O408" s="1308"/>
      <c r="P408" s="1308"/>
      <c r="Q408" s="1308"/>
      <c r="R408" s="1308"/>
      <c r="S408" s="1317"/>
      <c r="T408" s="1317" t="str">
        <f t="shared" si="5"/>
        <v>Mohamed Khamis Saad Mubarak Al Abdla</v>
      </c>
      <c r="U408" s="1308">
        <f t="shared" si="6"/>
        <v>289</v>
      </c>
      <c r="V408" s="1308"/>
      <c r="W408" s="1308"/>
      <c r="X408" s="1308"/>
      <c r="Y408" s="1308"/>
      <c r="Z408" s="1308"/>
      <c r="AA408" s="1308"/>
    </row>
    <row r="409" spans="1:27">
      <c r="A409" s="1370">
        <v>290</v>
      </c>
      <c r="B409" s="1371" t="s">
        <v>5367</v>
      </c>
      <c r="C409" s="1366"/>
      <c r="D409" s="1366"/>
      <c r="E409" s="1367"/>
      <c r="F409" s="1299"/>
      <c r="G409" s="1309"/>
      <c r="H409" s="1306"/>
      <c r="I409" s="1307"/>
      <c r="J409" s="1307"/>
      <c r="K409" s="1307"/>
      <c r="L409" s="1307"/>
      <c r="M409" s="1307"/>
      <c r="N409" s="1307"/>
      <c r="O409" s="1308"/>
      <c r="P409" s="1308"/>
      <c r="Q409" s="1308"/>
      <c r="R409" s="1308"/>
      <c r="S409" s="1317"/>
      <c r="T409" s="1317" t="str">
        <f t="shared" si="5"/>
        <v>Ali Hassan Mohammed Ali AlShammar</v>
      </c>
      <c r="U409" s="1308">
        <f t="shared" si="6"/>
        <v>290</v>
      </c>
      <c r="V409" s="1308"/>
      <c r="W409" s="1308"/>
      <c r="X409" s="1308"/>
      <c r="Y409" s="1308"/>
      <c r="Z409" s="1308"/>
      <c r="AA409" s="1308"/>
    </row>
    <row r="410" spans="1:27">
      <c r="A410" s="1370">
        <v>291</v>
      </c>
      <c r="B410" s="1371" t="s">
        <v>5362</v>
      </c>
      <c r="C410" s="1366"/>
      <c r="D410" s="1366"/>
      <c r="E410" s="1367"/>
      <c r="F410" s="1299"/>
      <c r="G410" s="1309"/>
      <c r="H410" s="1306"/>
      <c r="I410" s="1307"/>
      <c r="J410" s="1307"/>
      <c r="K410" s="1307"/>
      <c r="L410" s="1307"/>
      <c r="M410" s="1307"/>
      <c r="N410" s="1307"/>
      <c r="O410" s="1308"/>
      <c r="P410" s="1308"/>
      <c r="Q410" s="1308"/>
      <c r="R410" s="1308"/>
      <c r="S410" s="1317"/>
      <c r="T410" s="1317" t="str">
        <f t="shared" si="5"/>
        <v>OBAID NASSER OBAID MAHMOOD ASHOOR</v>
      </c>
      <c r="U410" s="1308">
        <f t="shared" si="6"/>
        <v>291</v>
      </c>
      <c r="V410" s="1308"/>
      <c r="W410" s="1308"/>
      <c r="X410" s="1308"/>
      <c r="Y410" s="1308"/>
      <c r="Z410" s="1308"/>
      <c r="AA410" s="1308"/>
    </row>
    <row r="411" spans="1:27">
      <c r="A411" s="1370">
        <v>292</v>
      </c>
      <c r="B411" s="1371" t="s">
        <v>5586</v>
      </c>
      <c r="C411" s="1366"/>
      <c r="D411" s="1366"/>
      <c r="E411" s="1367"/>
      <c r="F411" s="1299"/>
      <c r="G411" s="1309"/>
      <c r="H411" s="1306"/>
      <c r="I411" s="1307"/>
      <c r="J411" s="1307"/>
      <c r="K411" s="1307"/>
      <c r="L411" s="1307"/>
      <c r="M411" s="1307"/>
      <c r="N411" s="1307"/>
      <c r="O411" s="1308"/>
      <c r="P411" s="1308"/>
      <c r="Q411" s="1308"/>
      <c r="R411" s="1308"/>
      <c r="S411" s="1317"/>
      <c r="T411" s="1317" t="str">
        <f t="shared" si="5"/>
        <v>ISMAIL MOHAMMAD ISMAIL ABDULGHAFOOR ALTAMIMI</v>
      </c>
      <c r="U411" s="1308">
        <f t="shared" si="6"/>
        <v>292</v>
      </c>
      <c r="V411" s="1308"/>
      <c r="W411" s="1308"/>
      <c r="X411" s="1308"/>
      <c r="Y411" s="1308"/>
      <c r="Z411" s="1308"/>
      <c r="AA411" s="1308"/>
    </row>
    <row r="412" spans="1:27">
      <c r="A412" s="1370">
        <v>293</v>
      </c>
      <c r="B412" s="1371" t="s">
        <v>5610</v>
      </c>
      <c r="C412" s="1366"/>
      <c r="D412" s="1366"/>
      <c r="E412" s="1367"/>
      <c r="F412" s="1299"/>
      <c r="G412" s="1309"/>
      <c r="H412" s="1306"/>
      <c r="I412" s="1307"/>
      <c r="J412" s="1307"/>
      <c r="K412" s="1307"/>
      <c r="L412" s="1307"/>
      <c r="M412" s="1307"/>
      <c r="N412" s="1307"/>
      <c r="O412" s="1308"/>
      <c r="P412" s="1308"/>
      <c r="Q412" s="1308"/>
      <c r="R412" s="1308"/>
      <c r="S412" s="1317"/>
      <c r="T412" s="1317"/>
      <c r="U412" s="1308"/>
      <c r="V412" s="1308"/>
      <c r="W412" s="1308"/>
      <c r="X412" s="1308"/>
      <c r="Y412" s="1308"/>
      <c r="Z412" s="1308"/>
      <c r="AA412" s="1308"/>
    </row>
    <row r="413" spans="1:27">
      <c r="A413" s="1370">
        <v>294</v>
      </c>
      <c r="B413" s="1371" t="s">
        <v>5732</v>
      </c>
      <c r="C413" s="1366"/>
      <c r="D413" s="1366"/>
      <c r="E413" s="1367"/>
      <c r="F413" s="1299"/>
      <c r="G413" s="1309"/>
      <c r="H413" s="1306"/>
      <c r="I413" s="1307"/>
      <c r="J413" s="1307"/>
      <c r="K413" s="1307"/>
      <c r="L413" s="1307"/>
      <c r="M413" s="1307"/>
      <c r="N413" s="1307"/>
      <c r="O413" s="1308"/>
      <c r="P413" s="1308"/>
      <c r="Q413" s="1308"/>
      <c r="R413" s="1308"/>
      <c r="S413" s="1317"/>
      <c r="T413" s="1317"/>
      <c r="U413" s="1308"/>
      <c r="V413" s="1308"/>
      <c r="W413" s="1308"/>
      <c r="X413" s="1308"/>
      <c r="Y413" s="1308"/>
      <c r="Z413" s="1308"/>
      <c r="AA413" s="1308"/>
    </row>
    <row r="414" spans="1:27">
      <c r="A414" s="1370"/>
      <c r="B414" s="1371"/>
      <c r="C414" s="1366"/>
      <c r="D414" s="1366"/>
      <c r="E414" s="1367"/>
      <c r="F414" s="1299"/>
      <c r="G414" s="1309"/>
      <c r="H414" s="1306"/>
      <c r="I414" s="1307"/>
      <c r="J414" s="1307"/>
      <c r="K414" s="1307"/>
      <c r="L414" s="1307"/>
      <c r="M414" s="1307"/>
      <c r="N414" s="1307"/>
      <c r="O414" s="1308"/>
      <c r="P414" s="1308"/>
      <c r="Q414" s="1308"/>
      <c r="R414" s="1308"/>
      <c r="S414" s="1317"/>
      <c r="T414" s="1317"/>
      <c r="U414" s="1308"/>
      <c r="V414" s="1308"/>
      <c r="W414" s="1308"/>
      <c r="X414" s="1308"/>
      <c r="Y414" s="1308"/>
      <c r="Z414" s="1308"/>
      <c r="AA414" s="1308"/>
    </row>
    <row r="415" spans="1:27" ht="28.5">
      <c r="A415" s="1352" t="s">
        <v>2161</v>
      </c>
      <c r="B415" s="1363"/>
      <c r="C415" s="1368"/>
      <c r="D415" s="1368"/>
      <c r="E415" s="1369"/>
      <c r="F415" s="1300"/>
      <c r="G415" s="1309"/>
      <c r="H415" s="1306"/>
      <c r="I415" s="1307"/>
      <c r="J415" s="1307"/>
      <c r="K415" s="1307"/>
      <c r="L415" s="1307"/>
      <c r="M415" s="1307"/>
      <c r="N415" s="1307"/>
      <c r="O415" s="1308"/>
      <c r="P415" s="1308"/>
      <c r="Q415" s="1308"/>
      <c r="R415" s="1308"/>
      <c r="S415" s="1317"/>
      <c r="T415" s="1317"/>
      <c r="U415" s="1308" t="s">
        <v>2161</v>
      </c>
      <c r="V415" s="1308"/>
      <c r="W415" s="1308"/>
      <c r="X415" s="1308"/>
      <c r="Y415" s="1308"/>
      <c r="Z415" s="1308"/>
      <c r="AA415" s="1308"/>
    </row>
    <row r="416" spans="1:27">
      <c r="A416" s="1370" t="s">
        <v>2162</v>
      </c>
      <c r="B416" s="1371" t="s">
        <v>2163</v>
      </c>
      <c r="C416" s="1366"/>
      <c r="D416" s="1366"/>
      <c r="E416" s="1367"/>
      <c r="F416" s="1299"/>
      <c r="G416" s="1309"/>
      <c r="H416" s="1306"/>
      <c r="I416" s="1307"/>
      <c r="J416" s="1307"/>
      <c r="K416" s="1307"/>
      <c r="L416" s="1307"/>
      <c r="M416" s="1307"/>
      <c r="N416" s="1307"/>
      <c r="O416" s="1308"/>
      <c r="P416" s="1308"/>
      <c r="Q416" s="1308"/>
      <c r="R416" s="1308"/>
      <c r="S416" s="1317"/>
      <c r="T416" s="1317" t="str">
        <f>B416</f>
        <v>Abu Said Trading</v>
      </c>
      <c r="U416" s="1308" t="str">
        <f>A416</f>
        <v>V101</v>
      </c>
      <c r="V416" s="1308"/>
      <c r="W416" s="1308"/>
      <c r="X416" s="1308"/>
      <c r="Y416" s="1308"/>
      <c r="Z416" s="1308"/>
      <c r="AA416" s="1308"/>
    </row>
    <row r="417" spans="1:27">
      <c r="A417" s="1370" t="s">
        <v>2164</v>
      </c>
      <c r="B417" s="1371" t="s">
        <v>2165</v>
      </c>
      <c r="C417" s="1366"/>
      <c r="D417" s="1366"/>
      <c r="E417" s="1367"/>
      <c r="F417" s="1299"/>
      <c r="G417" s="1309"/>
      <c r="H417" s="1306"/>
      <c r="I417" s="1307"/>
      <c r="J417" s="1307"/>
      <c r="K417" s="1307"/>
      <c r="L417" s="1307"/>
      <c r="M417" s="1307"/>
      <c r="N417" s="1307"/>
      <c r="O417" s="1308"/>
      <c r="P417" s="1308"/>
      <c r="Q417" s="1308"/>
      <c r="R417" s="1308"/>
      <c r="S417" s="1317"/>
      <c r="T417" s="1317" t="str">
        <f t="shared" ref="T417:T480" si="7">B417</f>
        <v>cherian Trading Co</v>
      </c>
      <c r="U417" s="1308" t="str">
        <f t="shared" ref="U417:U480" si="8">A417</f>
        <v>V102</v>
      </c>
      <c r="V417" s="1308"/>
      <c r="W417" s="1308"/>
      <c r="X417" s="1308"/>
      <c r="Y417" s="1308"/>
      <c r="Z417" s="1308"/>
      <c r="AA417" s="1308"/>
    </row>
    <row r="418" spans="1:27">
      <c r="A418" s="1370" t="s">
        <v>2166</v>
      </c>
      <c r="B418" s="1371" t="s">
        <v>2167</v>
      </c>
      <c r="C418" s="1366"/>
      <c r="D418" s="1366"/>
      <c r="E418" s="1367"/>
      <c r="F418" s="1299"/>
      <c r="G418" s="1309"/>
      <c r="H418" s="1306"/>
      <c r="I418" s="1307"/>
      <c r="J418" s="1307"/>
      <c r="K418" s="1307"/>
      <c r="L418" s="1307"/>
      <c r="M418" s="1307"/>
      <c r="N418" s="1307"/>
      <c r="O418" s="1308"/>
      <c r="P418" s="1308"/>
      <c r="Q418" s="1308"/>
      <c r="R418" s="1308"/>
      <c r="S418" s="1317"/>
      <c r="T418" s="1317" t="str">
        <f t="shared" si="7"/>
        <v>power Max</v>
      </c>
      <c r="U418" s="1308" t="str">
        <f t="shared" si="8"/>
        <v>V103</v>
      </c>
      <c r="V418" s="1308"/>
      <c r="W418" s="1308"/>
      <c r="X418" s="1308"/>
      <c r="Y418" s="1308"/>
      <c r="Z418" s="1308"/>
      <c r="AA418" s="1308"/>
    </row>
    <row r="419" spans="1:27">
      <c r="A419" s="1370" t="s">
        <v>2168</v>
      </c>
      <c r="B419" s="1371" t="s">
        <v>2169</v>
      </c>
      <c r="C419" s="1366"/>
      <c r="D419" s="1366"/>
      <c r="E419" s="1367"/>
      <c r="F419" s="1299"/>
      <c r="G419" s="1309"/>
      <c r="H419" s="1306"/>
      <c r="I419" s="1307"/>
      <c r="J419" s="1307"/>
      <c r="K419" s="1307"/>
      <c r="L419" s="1307"/>
      <c r="M419" s="1307"/>
      <c r="N419" s="1307"/>
      <c r="O419" s="1308"/>
      <c r="P419" s="1308"/>
      <c r="Q419" s="1308"/>
      <c r="R419" s="1308"/>
      <c r="S419" s="1317"/>
      <c r="T419" s="1317" t="str">
        <f t="shared" si="7"/>
        <v>Al Fayha A/C Devices Spare part</v>
      </c>
      <c r="U419" s="1308" t="str">
        <f t="shared" si="8"/>
        <v>V104</v>
      </c>
      <c r="V419" s="1308"/>
      <c r="W419" s="1308"/>
      <c r="X419" s="1308"/>
      <c r="Y419" s="1308"/>
      <c r="Z419" s="1308"/>
      <c r="AA419" s="1308"/>
    </row>
    <row r="420" spans="1:27">
      <c r="A420" s="1370" t="s">
        <v>168</v>
      </c>
      <c r="B420" s="1371" t="s">
        <v>162</v>
      </c>
      <c r="C420" s="1366"/>
      <c r="D420" s="1366"/>
      <c r="E420" s="1367"/>
      <c r="F420" s="1299"/>
      <c r="G420" s="1309"/>
      <c r="H420" s="1306" t="s">
        <v>2773</v>
      </c>
      <c r="I420" s="1307"/>
      <c r="J420" s="1307" t="s">
        <v>2774</v>
      </c>
      <c r="K420" s="1308" t="s">
        <v>2775</v>
      </c>
      <c r="L420" s="1308" t="s">
        <v>2776</v>
      </c>
      <c r="M420" s="1307" t="s">
        <v>2777</v>
      </c>
      <c r="N420" s="1307" t="s">
        <v>2778</v>
      </c>
      <c r="O420" s="1308"/>
      <c r="P420" s="1308"/>
      <c r="Q420" s="1308"/>
      <c r="R420" s="1308"/>
      <c r="S420" s="1317"/>
      <c r="T420" s="1317" t="str">
        <f t="shared" si="7"/>
        <v>UTS Carrier</v>
      </c>
      <c r="U420" s="1308" t="str">
        <f t="shared" si="8"/>
        <v>V105</v>
      </c>
      <c r="V420" s="1308"/>
      <c r="W420" s="1308"/>
      <c r="X420" s="1308"/>
      <c r="Y420" s="1308"/>
      <c r="Z420" s="1308"/>
      <c r="AA420" s="1308"/>
    </row>
    <row r="421" spans="1:27">
      <c r="A421" s="1370" t="s">
        <v>2170</v>
      </c>
      <c r="B421" s="1371" t="s">
        <v>2171</v>
      </c>
      <c r="C421" s="1366"/>
      <c r="D421" s="1366"/>
      <c r="E421" s="1367"/>
      <c r="F421" s="1299"/>
      <c r="G421" s="1309"/>
      <c r="H421" s="1306"/>
      <c r="I421" s="1307"/>
      <c r="J421" s="1307"/>
      <c r="K421" s="1307"/>
      <c r="L421" s="1307"/>
      <c r="M421" s="1307"/>
      <c r="N421" s="1307"/>
      <c r="O421" s="1308"/>
      <c r="P421" s="1308"/>
      <c r="Q421" s="1308"/>
      <c r="R421" s="1308"/>
      <c r="S421" s="1317"/>
      <c r="T421" s="1317" t="str">
        <f t="shared" si="7"/>
        <v>Rebaiya Zueaid Blding Materials</v>
      </c>
      <c r="U421" s="1308" t="str">
        <f t="shared" si="8"/>
        <v>V106</v>
      </c>
      <c r="V421" s="1308"/>
      <c r="W421" s="1308"/>
      <c r="X421" s="1308"/>
      <c r="Y421" s="1308"/>
      <c r="Z421" s="1308"/>
      <c r="AA421" s="1308"/>
    </row>
    <row r="422" spans="1:27">
      <c r="A422" s="1370" t="s">
        <v>2172</v>
      </c>
      <c r="B422" s="1371" t="s">
        <v>2173</v>
      </c>
      <c r="C422" s="1366"/>
      <c r="D422" s="1366"/>
      <c r="E422" s="1367"/>
      <c r="F422" s="1299"/>
      <c r="G422" s="1309"/>
      <c r="H422" s="1306"/>
      <c r="I422" s="1307"/>
      <c r="J422" s="1307"/>
      <c r="K422" s="1307"/>
      <c r="L422" s="1307"/>
      <c r="M422" s="1307"/>
      <c r="N422" s="1307"/>
      <c r="O422" s="1308"/>
      <c r="P422" s="1308"/>
      <c r="Q422" s="1308"/>
      <c r="R422" s="1308"/>
      <c r="S422" s="1317"/>
      <c r="T422" s="1317" t="str">
        <f t="shared" si="7"/>
        <v>Noor Al Maqdis</v>
      </c>
      <c r="U422" s="1308" t="str">
        <f t="shared" si="8"/>
        <v>V107</v>
      </c>
      <c r="V422" s="1308"/>
      <c r="W422" s="1308"/>
      <c r="X422" s="1308"/>
      <c r="Y422" s="1308"/>
      <c r="Z422" s="1308"/>
      <c r="AA422" s="1308"/>
    </row>
    <row r="423" spans="1:27">
      <c r="A423" s="1370" t="s">
        <v>2174</v>
      </c>
      <c r="B423" s="1371" t="s">
        <v>2175</v>
      </c>
      <c r="C423" s="1366"/>
      <c r="D423" s="1366"/>
      <c r="E423" s="1367"/>
      <c r="F423" s="1299"/>
      <c r="G423" s="1309"/>
      <c r="H423" s="1306"/>
      <c r="I423" s="1307"/>
      <c r="J423" s="1307"/>
      <c r="K423" s="1307"/>
      <c r="L423" s="1307"/>
      <c r="M423" s="1307"/>
      <c r="N423" s="1307"/>
      <c r="O423" s="1308"/>
      <c r="P423" s="1308"/>
      <c r="Q423" s="1308"/>
      <c r="R423" s="1308"/>
      <c r="S423" s="1317"/>
      <c r="T423" s="1317" t="str">
        <f t="shared" si="7"/>
        <v>Hassan &amp; Yousuf</v>
      </c>
      <c r="U423" s="1308" t="str">
        <f t="shared" si="8"/>
        <v>V108</v>
      </c>
      <c r="V423" s="1308"/>
      <c r="W423" s="1308"/>
      <c r="X423" s="1308"/>
      <c r="Y423" s="1308"/>
      <c r="Z423" s="1308"/>
      <c r="AA423" s="1308"/>
    </row>
    <row r="424" spans="1:27">
      <c r="A424" s="1370" t="s">
        <v>2176</v>
      </c>
      <c r="B424" s="1371" t="s">
        <v>2177</v>
      </c>
      <c r="C424" s="1366"/>
      <c r="D424" s="1366"/>
      <c r="E424" s="1367"/>
      <c r="F424" s="1299"/>
      <c r="G424" s="1309"/>
      <c r="H424" s="1306"/>
      <c r="I424" s="1307"/>
      <c r="J424" s="1307"/>
      <c r="K424" s="1307"/>
      <c r="L424" s="1307"/>
      <c r="M424" s="1307"/>
      <c r="N424" s="1307"/>
      <c r="O424" s="1308"/>
      <c r="P424" s="1308"/>
      <c r="Q424" s="1308"/>
      <c r="R424" s="1308"/>
      <c r="S424" s="1317"/>
      <c r="T424" s="1317" t="str">
        <f t="shared" si="7"/>
        <v>Al Madeena</v>
      </c>
      <c r="U424" s="1308" t="str">
        <f t="shared" si="8"/>
        <v>V109</v>
      </c>
      <c r="V424" s="1308"/>
      <c r="W424" s="1308"/>
      <c r="X424" s="1308"/>
      <c r="Y424" s="1308"/>
      <c r="Z424" s="1308"/>
      <c r="AA424" s="1308"/>
    </row>
    <row r="425" spans="1:27">
      <c r="A425" s="1370" t="s">
        <v>2178</v>
      </c>
      <c r="B425" s="1371" t="s">
        <v>2179</v>
      </c>
      <c r="C425" s="1366"/>
      <c r="D425" s="1366"/>
      <c r="E425" s="1367"/>
      <c r="F425" s="1299"/>
      <c r="G425" s="1309"/>
      <c r="H425" s="1306"/>
      <c r="I425" s="1307"/>
      <c r="J425" s="1307"/>
      <c r="K425" s="1307"/>
      <c r="L425" s="1307"/>
      <c r="M425" s="1307"/>
      <c r="N425" s="1307"/>
      <c r="O425" s="1308"/>
      <c r="P425" s="1308"/>
      <c r="Q425" s="1308"/>
      <c r="R425" s="1308"/>
      <c r="S425" s="1317"/>
      <c r="T425" s="1317" t="str">
        <f t="shared" si="7"/>
        <v>Taxi Pick up</v>
      </c>
      <c r="U425" s="1308" t="str">
        <f t="shared" si="8"/>
        <v>V110</v>
      </c>
      <c r="V425" s="1308"/>
      <c r="W425" s="1308"/>
      <c r="X425" s="1308"/>
      <c r="Y425" s="1308"/>
      <c r="Z425" s="1308"/>
      <c r="AA425" s="1308"/>
    </row>
    <row r="426" spans="1:27">
      <c r="A426" s="1370" t="s">
        <v>2180</v>
      </c>
      <c r="B426" s="1371" t="s">
        <v>2181</v>
      </c>
      <c r="C426" s="1366"/>
      <c r="D426" s="1366"/>
      <c r="E426" s="1367"/>
      <c r="F426" s="1299"/>
      <c r="G426" s="1309"/>
      <c r="H426" s="1306"/>
      <c r="I426" s="1307"/>
      <c r="J426" s="1307"/>
      <c r="K426" s="1307"/>
      <c r="L426" s="1307"/>
      <c r="M426" s="1307"/>
      <c r="N426" s="1307"/>
      <c r="O426" s="1308"/>
      <c r="P426" s="1308"/>
      <c r="Q426" s="1308"/>
      <c r="R426" s="1308"/>
      <c r="S426" s="1317"/>
      <c r="T426" s="1317" t="str">
        <f t="shared" si="7"/>
        <v>Topaz Steel Trading</v>
      </c>
      <c r="U426" s="1308" t="str">
        <f t="shared" si="8"/>
        <v>V111</v>
      </c>
      <c r="V426" s="1308"/>
      <c r="W426" s="1308"/>
      <c r="X426" s="1308"/>
      <c r="Y426" s="1308"/>
      <c r="Z426" s="1308"/>
      <c r="AA426" s="1308"/>
    </row>
    <row r="427" spans="1:27">
      <c r="A427" s="1370" t="s">
        <v>2182</v>
      </c>
      <c r="B427" s="1371" t="s">
        <v>2183</v>
      </c>
      <c r="C427" s="1366"/>
      <c r="D427" s="1366"/>
      <c r="E427" s="1367"/>
      <c r="F427" s="1299"/>
      <c r="G427" s="1309"/>
      <c r="H427" s="1306"/>
      <c r="I427" s="1307"/>
      <c r="J427" s="1307"/>
      <c r="K427" s="1307"/>
      <c r="L427" s="1307"/>
      <c r="M427" s="1307"/>
      <c r="N427" s="1307"/>
      <c r="O427" s="1308"/>
      <c r="P427" s="1308"/>
      <c r="Q427" s="1308"/>
      <c r="R427" s="1308"/>
      <c r="S427" s="1317"/>
      <c r="T427" s="1317" t="str">
        <f t="shared" si="7"/>
        <v>Royal Apex</v>
      </c>
      <c r="U427" s="1308" t="str">
        <f t="shared" si="8"/>
        <v>V112</v>
      </c>
      <c r="V427" s="1308"/>
      <c r="W427" s="1308"/>
      <c r="X427" s="1308"/>
      <c r="Y427" s="1308"/>
      <c r="Z427" s="1308"/>
      <c r="AA427" s="1308"/>
    </row>
    <row r="428" spans="1:27">
      <c r="A428" s="1370" t="s">
        <v>2184</v>
      </c>
      <c r="B428" s="1371" t="s">
        <v>2185</v>
      </c>
      <c r="C428" s="1366"/>
      <c r="D428" s="1366"/>
      <c r="E428" s="1367"/>
      <c r="F428" s="1299"/>
      <c r="G428" s="1309"/>
      <c r="H428" s="1306"/>
      <c r="I428" s="1307"/>
      <c r="J428" s="1307"/>
      <c r="K428" s="1307"/>
      <c r="L428" s="1307"/>
      <c r="M428" s="1307"/>
      <c r="N428" s="1307"/>
      <c r="O428" s="1308"/>
      <c r="P428" s="1308"/>
      <c r="Q428" s="1308"/>
      <c r="R428" s="1308"/>
      <c r="S428" s="1317"/>
      <c r="T428" s="1317" t="str">
        <f t="shared" si="7"/>
        <v>Raheel transport</v>
      </c>
      <c r="U428" s="1308" t="str">
        <f t="shared" si="8"/>
        <v>V113</v>
      </c>
      <c r="V428" s="1308"/>
      <c r="W428" s="1308"/>
      <c r="X428" s="1308"/>
      <c r="Y428" s="1308"/>
      <c r="Z428" s="1308"/>
      <c r="AA428" s="1308"/>
    </row>
    <row r="429" spans="1:27">
      <c r="A429" s="1370" t="s">
        <v>2186</v>
      </c>
      <c r="B429" s="1371" t="s">
        <v>2187</v>
      </c>
      <c r="C429" s="1366"/>
      <c r="D429" s="1366"/>
      <c r="E429" s="1367"/>
      <c r="F429" s="1299"/>
      <c r="G429" s="1309"/>
      <c r="H429" s="1306"/>
      <c r="I429" s="1307"/>
      <c r="J429" s="1307"/>
      <c r="K429" s="1307"/>
      <c r="L429" s="1307"/>
      <c r="M429" s="1307"/>
      <c r="N429" s="1307"/>
      <c r="O429" s="1308"/>
      <c r="P429" s="1308"/>
      <c r="Q429" s="1308"/>
      <c r="R429" s="1308"/>
      <c r="S429" s="1317"/>
      <c r="T429" s="1317" t="str">
        <f t="shared" si="7"/>
        <v>Nasser Al mAtrooshi</v>
      </c>
      <c r="U429" s="1308" t="str">
        <f t="shared" si="8"/>
        <v>V114</v>
      </c>
      <c r="V429" s="1308"/>
      <c r="W429" s="1308"/>
      <c r="X429" s="1308"/>
      <c r="Y429" s="1308"/>
      <c r="Z429" s="1308"/>
      <c r="AA429" s="1308"/>
    </row>
    <row r="430" spans="1:27">
      <c r="A430" s="1370" t="s">
        <v>2188</v>
      </c>
      <c r="B430" s="1371" t="s">
        <v>2189</v>
      </c>
      <c r="C430" s="1366"/>
      <c r="D430" s="1366"/>
      <c r="E430" s="1367"/>
      <c r="F430" s="1299"/>
      <c r="G430" s="1309"/>
      <c r="H430" s="1306"/>
      <c r="I430" s="1307"/>
      <c r="J430" s="1307"/>
      <c r="K430" s="1307"/>
      <c r="L430" s="1307"/>
      <c r="M430" s="1307"/>
      <c r="N430" s="1307"/>
      <c r="O430" s="1308"/>
      <c r="P430" s="1308"/>
      <c r="Q430" s="1308"/>
      <c r="R430" s="1308"/>
      <c r="S430" s="1317"/>
      <c r="T430" s="1317" t="str">
        <f t="shared" si="7"/>
        <v>Smooth Solution</v>
      </c>
      <c r="U430" s="1308" t="str">
        <f t="shared" si="8"/>
        <v>V115</v>
      </c>
      <c r="V430" s="1308"/>
      <c r="W430" s="1308"/>
      <c r="X430" s="1308"/>
      <c r="Y430" s="1308"/>
      <c r="Z430" s="1308"/>
      <c r="AA430" s="1308"/>
    </row>
    <row r="431" spans="1:27">
      <c r="A431" s="1370" t="s">
        <v>2190</v>
      </c>
      <c r="B431" s="1371" t="s">
        <v>2191</v>
      </c>
      <c r="C431" s="1366"/>
      <c r="D431" s="1366"/>
      <c r="E431" s="1367"/>
      <c r="F431" s="1299"/>
      <c r="G431" s="1309"/>
      <c r="H431" s="1306"/>
      <c r="I431" s="1307"/>
      <c r="J431" s="1307"/>
      <c r="K431" s="1307"/>
      <c r="L431" s="1307"/>
      <c r="M431" s="1307"/>
      <c r="N431" s="1307"/>
      <c r="O431" s="1308"/>
      <c r="P431" s="1308"/>
      <c r="Q431" s="1308"/>
      <c r="R431" s="1308"/>
      <c r="S431" s="1317"/>
      <c r="T431" s="1317" t="str">
        <f t="shared" si="7"/>
        <v>AAB Tools</v>
      </c>
      <c r="U431" s="1308" t="str">
        <f t="shared" si="8"/>
        <v>V116</v>
      </c>
      <c r="V431" s="1308"/>
      <c r="W431" s="1308"/>
      <c r="X431" s="1308"/>
      <c r="Y431" s="1308"/>
      <c r="Z431" s="1308"/>
      <c r="AA431" s="1308"/>
    </row>
    <row r="432" spans="1:27">
      <c r="A432" s="1370" t="s">
        <v>2192</v>
      </c>
      <c r="B432" s="1371" t="s">
        <v>2193</v>
      </c>
      <c r="C432" s="1366"/>
      <c r="D432" s="1366"/>
      <c r="E432" s="1367"/>
      <c r="F432" s="1299"/>
      <c r="G432" s="1309"/>
      <c r="H432" s="1306"/>
      <c r="I432" s="1307"/>
      <c r="J432" s="1307"/>
      <c r="K432" s="1307"/>
      <c r="L432" s="1307"/>
      <c r="M432" s="1307"/>
      <c r="N432" s="1307"/>
      <c r="O432" s="1308"/>
      <c r="P432" s="1308"/>
      <c r="Q432" s="1308"/>
      <c r="R432" s="1308"/>
      <c r="S432" s="1317"/>
      <c r="T432" s="1317" t="str">
        <f t="shared" si="7"/>
        <v>Techno Pro</v>
      </c>
      <c r="U432" s="1308" t="str">
        <f t="shared" si="8"/>
        <v>V117</v>
      </c>
      <c r="V432" s="1308"/>
      <c r="W432" s="1308"/>
      <c r="X432" s="1308"/>
      <c r="Y432" s="1308"/>
      <c r="Z432" s="1308"/>
      <c r="AA432" s="1308"/>
    </row>
    <row r="433" spans="1:27">
      <c r="A433" s="1370" t="s">
        <v>2194</v>
      </c>
      <c r="B433" s="1371" t="s">
        <v>2195</v>
      </c>
      <c r="C433" s="1366"/>
      <c r="D433" s="1366"/>
      <c r="E433" s="1367"/>
      <c r="F433" s="1299"/>
      <c r="G433" s="1309"/>
      <c r="H433" s="1306"/>
      <c r="I433" s="1307"/>
      <c r="J433" s="1307"/>
      <c r="K433" s="1307"/>
      <c r="L433" s="1307"/>
      <c r="M433" s="1307"/>
      <c r="N433" s="1307"/>
      <c r="O433" s="1308"/>
      <c r="P433" s="1308"/>
      <c r="Q433" s="1308"/>
      <c r="R433" s="1308"/>
      <c r="S433" s="1317"/>
      <c r="T433" s="1317" t="str">
        <f t="shared" si="7"/>
        <v>SeaGull</v>
      </c>
      <c r="U433" s="1308" t="str">
        <f t="shared" si="8"/>
        <v>V118</v>
      </c>
      <c r="V433" s="1308"/>
      <c r="W433" s="1308"/>
      <c r="X433" s="1308"/>
      <c r="Y433" s="1308"/>
      <c r="Z433" s="1308"/>
      <c r="AA433" s="1308"/>
    </row>
    <row r="434" spans="1:27">
      <c r="A434" s="1370" t="s">
        <v>2196</v>
      </c>
      <c r="B434" s="1371" t="s">
        <v>2197</v>
      </c>
      <c r="C434" s="1366"/>
      <c r="D434" s="1366"/>
      <c r="E434" s="1367"/>
      <c r="F434" s="1299"/>
      <c r="G434" s="1309"/>
      <c r="H434" s="1306"/>
      <c r="I434" s="1307"/>
      <c r="J434" s="1307"/>
      <c r="K434" s="1307"/>
      <c r="L434" s="1307"/>
      <c r="M434" s="1307"/>
      <c r="N434" s="1307"/>
      <c r="O434" s="1308"/>
      <c r="P434" s="1308"/>
      <c r="Q434" s="1308"/>
      <c r="R434" s="1308"/>
      <c r="S434" s="1317"/>
      <c r="T434" s="1317" t="str">
        <f t="shared" si="7"/>
        <v>AL Ajwaa</v>
      </c>
      <c r="U434" s="1308" t="str">
        <f t="shared" si="8"/>
        <v>V119</v>
      </c>
      <c r="V434" s="1308"/>
      <c r="W434" s="1308"/>
      <c r="X434" s="1308"/>
      <c r="Y434" s="1308"/>
      <c r="Z434" s="1308"/>
      <c r="AA434" s="1308"/>
    </row>
    <row r="435" spans="1:27">
      <c r="A435" s="1370" t="s">
        <v>169</v>
      </c>
      <c r="B435" s="1371" t="s">
        <v>163</v>
      </c>
      <c r="C435" s="1366"/>
      <c r="D435" s="1366"/>
      <c r="E435" s="1367"/>
      <c r="F435" s="1299"/>
      <c r="G435" s="1309"/>
      <c r="H435" s="1306" t="s">
        <v>2773</v>
      </c>
      <c r="I435" s="1307" t="s">
        <v>2779</v>
      </c>
      <c r="J435" s="1307" t="s">
        <v>2780</v>
      </c>
      <c r="K435" s="1307" t="s">
        <v>2781</v>
      </c>
      <c r="L435" s="1307" t="s">
        <v>2782</v>
      </c>
      <c r="M435" s="1307" t="s">
        <v>2783</v>
      </c>
      <c r="N435" s="1307" t="s">
        <v>2784</v>
      </c>
      <c r="O435" s="1308"/>
      <c r="P435" s="1308"/>
      <c r="Q435" s="1308"/>
      <c r="R435" s="1308"/>
      <c r="S435" s="1317"/>
      <c r="T435" s="1317" t="str">
        <f t="shared" si="7"/>
        <v>Takeef</v>
      </c>
      <c r="U435" s="1308" t="str">
        <f t="shared" si="8"/>
        <v>V120</v>
      </c>
      <c r="V435" s="1308"/>
      <c r="W435" s="1308"/>
      <c r="X435" s="1308"/>
      <c r="Y435" s="1308"/>
      <c r="Z435" s="1308"/>
      <c r="AA435" s="1308"/>
    </row>
    <row r="436" spans="1:27">
      <c r="A436" s="1370" t="s">
        <v>2198</v>
      </c>
      <c r="B436" s="1371" t="s">
        <v>2199</v>
      </c>
      <c r="C436" s="1366"/>
      <c r="D436" s="1366"/>
      <c r="E436" s="1367"/>
      <c r="F436" s="1299"/>
      <c r="G436" s="1309"/>
      <c r="H436" s="1306"/>
      <c r="I436" s="1307"/>
      <c r="J436" s="1307"/>
      <c r="K436" s="1307"/>
      <c r="L436" s="1307"/>
      <c r="M436" s="1307"/>
      <c r="N436" s="1307"/>
      <c r="O436" s="1308"/>
      <c r="P436" s="1308"/>
      <c r="Q436" s="1308"/>
      <c r="R436" s="1308"/>
      <c r="S436" s="1317"/>
      <c r="T436" s="1317" t="str">
        <f t="shared" si="7"/>
        <v>Super Cool</v>
      </c>
      <c r="U436" s="1308" t="str">
        <f t="shared" si="8"/>
        <v>V121</v>
      </c>
      <c r="V436" s="1308"/>
      <c r="W436" s="1308"/>
      <c r="X436" s="1308"/>
      <c r="Y436" s="1308"/>
      <c r="Z436" s="1308"/>
      <c r="AA436" s="1308"/>
    </row>
    <row r="437" spans="1:27">
      <c r="A437" s="1370" t="s">
        <v>2200</v>
      </c>
      <c r="B437" s="1371" t="s">
        <v>2201</v>
      </c>
      <c r="C437" s="1366"/>
      <c r="D437" s="1366"/>
      <c r="E437" s="1367"/>
      <c r="F437" s="1299"/>
      <c r="G437" s="1309"/>
      <c r="H437" s="1306"/>
      <c r="I437" s="1307"/>
      <c r="J437" s="1307"/>
      <c r="K437" s="1307"/>
      <c r="L437" s="1307"/>
      <c r="M437" s="1307"/>
      <c r="N437" s="1307"/>
      <c r="O437" s="1308"/>
      <c r="P437" s="1308"/>
      <c r="Q437" s="1308"/>
      <c r="R437" s="1308"/>
      <c r="S437" s="1317"/>
      <c r="T437" s="1317" t="str">
        <f t="shared" si="7"/>
        <v>ALDhia Transport</v>
      </c>
      <c r="U437" s="1308" t="str">
        <f t="shared" si="8"/>
        <v>V122</v>
      </c>
      <c r="V437" s="1308"/>
      <c r="W437" s="1308"/>
      <c r="X437" s="1308"/>
      <c r="Y437" s="1308"/>
      <c r="Z437" s="1308"/>
      <c r="AA437" s="1308"/>
    </row>
    <row r="438" spans="1:27">
      <c r="A438" s="1370" t="s">
        <v>2202</v>
      </c>
      <c r="B438" s="1371" t="s">
        <v>2203</v>
      </c>
      <c r="C438" s="1366"/>
      <c r="D438" s="1366"/>
      <c r="E438" s="1367"/>
      <c r="F438" s="1299"/>
      <c r="G438" s="1309"/>
      <c r="H438" s="1306"/>
      <c r="I438" s="1307"/>
      <c r="J438" s="1307"/>
      <c r="K438" s="1307"/>
      <c r="L438" s="1307"/>
      <c r="M438" s="1307"/>
      <c r="N438" s="1307"/>
      <c r="O438" s="1308"/>
      <c r="P438" s="1308"/>
      <c r="Q438" s="1308"/>
      <c r="R438" s="1308"/>
      <c r="S438" s="1317"/>
      <c r="T438" s="1317" t="str">
        <f t="shared" si="7"/>
        <v>Al Fayha A/c.Devices</v>
      </c>
      <c r="U438" s="1308" t="str">
        <f t="shared" si="8"/>
        <v>V123</v>
      </c>
      <c r="V438" s="1308"/>
      <c r="W438" s="1308"/>
      <c r="X438" s="1308"/>
      <c r="Y438" s="1308"/>
      <c r="Z438" s="1308"/>
      <c r="AA438" s="1308"/>
    </row>
    <row r="439" spans="1:27">
      <c r="A439" s="1370" t="s">
        <v>2204</v>
      </c>
      <c r="B439" s="1371" t="s">
        <v>2205</v>
      </c>
      <c r="C439" s="1366"/>
      <c r="D439" s="1366"/>
      <c r="E439" s="1367"/>
      <c r="F439" s="1299"/>
      <c r="G439" s="1309"/>
      <c r="H439" s="1306"/>
      <c r="I439" s="1307"/>
      <c r="J439" s="1307"/>
      <c r="K439" s="1307"/>
      <c r="L439" s="1307"/>
      <c r="M439" s="1307"/>
      <c r="N439" s="1307"/>
      <c r="O439" s="1308"/>
      <c r="P439" s="1308"/>
      <c r="Q439" s="1308"/>
      <c r="R439" s="1308"/>
      <c r="S439" s="1317"/>
      <c r="T439" s="1317" t="str">
        <f t="shared" si="7"/>
        <v>Advanced technical &amp; eng</v>
      </c>
      <c r="U439" s="1308" t="str">
        <f t="shared" si="8"/>
        <v>V124</v>
      </c>
      <c r="V439" s="1308"/>
      <c r="W439" s="1308"/>
      <c r="X439" s="1308"/>
      <c r="Y439" s="1308"/>
      <c r="Z439" s="1308"/>
      <c r="AA439" s="1308"/>
    </row>
    <row r="440" spans="1:27">
      <c r="A440" s="1370" t="s">
        <v>170</v>
      </c>
      <c r="B440" s="1371" t="s">
        <v>164</v>
      </c>
      <c r="C440" s="1366"/>
      <c r="D440" s="1366"/>
      <c r="E440" s="1367"/>
      <c r="F440" s="1299"/>
      <c r="G440" s="1309"/>
      <c r="H440" s="1306" t="s">
        <v>2785</v>
      </c>
      <c r="I440" s="1307"/>
      <c r="J440" s="1307" t="s">
        <v>2786</v>
      </c>
      <c r="K440" s="1307" t="s">
        <v>2787</v>
      </c>
      <c r="L440" s="1354" t="s">
        <v>2788</v>
      </c>
      <c r="M440" s="1307"/>
      <c r="N440" s="1307"/>
      <c r="O440" s="1308"/>
      <c r="P440" s="1308"/>
      <c r="Q440" s="1308"/>
      <c r="R440" s="1308"/>
      <c r="S440" s="1317"/>
      <c r="T440" s="1317" t="str">
        <f t="shared" si="7"/>
        <v>Al Junaid Indust. Group</v>
      </c>
      <c r="U440" s="1308" t="str">
        <f t="shared" si="8"/>
        <v>V125</v>
      </c>
      <c r="V440" s="1308"/>
      <c r="W440" s="1308"/>
      <c r="X440" s="1308"/>
      <c r="Y440" s="1308"/>
      <c r="Z440" s="1308"/>
      <c r="AA440" s="1308"/>
    </row>
    <row r="441" spans="1:27">
      <c r="A441" s="1370" t="s">
        <v>2206</v>
      </c>
      <c r="B441" s="1371" t="s">
        <v>2207</v>
      </c>
      <c r="C441" s="1366"/>
      <c r="D441" s="1366"/>
      <c r="E441" s="1367"/>
      <c r="F441" s="1299"/>
      <c r="G441" s="1309"/>
      <c r="H441" s="1306"/>
      <c r="I441" s="1307"/>
      <c r="J441" s="1307"/>
      <c r="K441" s="1307"/>
      <c r="L441" s="1307"/>
      <c r="M441" s="1307"/>
      <c r="N441" s="1307"/>
      <c r="O441" s="1308"/>
      <c r="P441" s="1308"/>
      <c r="Q441" s="1308"/>
      <c r="R441" s="1308"/>
      <c r="S441" s="1317"/>
      <c r="T441" s="1317" t="str">
        <f t="shared" si="7"/>
        <v>Luckky Star EQUIPMENT</v>
      </c>
      <c r="U441" s="1308" t="str">
        <f t="shared" si="8"/>
        <v>V126</v>
      </c>
      <c r="V441" s="1308"/>
      <c r="W441" s="1308"/>
      <c r="X441" s="1308"/>
      <c r="Y441" s="1308"/>
      <c r="Z441" s="1308"/>
      <c r="AA441" s="1308"/>
    </row>
    <row r="442" spans="1:27">
      <c r="A442" s="1370" t="s">
        <v>2208</v>
      </c>
      <c r="B442" s="1371" t="s">
        <v>2209</v>
      </c>
      <c r="C442" s="1366"/>
      <c r="D442" s="1366"/>
      <c r="E442" s="1367"/>
      <c r="F442" s="1299"/>
      <c r="G442" s="1309"/>
      <c r="H442" s="1306"/>
      <c r="I442" s="1307"/>
      <c r="J442" s="1307"/>
      <c r="K442" s="1307"/>
      <c r="L442" s="1307"/>
      <c r="M442" s="1307"/>
      <c r="N442" s="1307"/>
      <c r="O442" s="1308"/>
      <c r="P442" s="1308"/>
      <c r="Q442" s="1308"/>
      <c r="R442" s="1308"/>
      <c r="S442" s="1317"/>
      <c r="T442" s="1317" t="str">
        <f t="shared" si="7"/>
        <v>Safinat Al Noor</v>
      </c>
      <c r="U442" s="1308" t="str">
        <f t="shared" si="8"/>
        <v>V127</v>
      </c>
      <c r="V442" s="1308"/>
      <c r="W442" s="1308"/>
      <c r="X442" s="1308"/>
      <c r="Y442" s="1308"/>
      <c r="Z442" s="1308"/>
      <c r="AA442" s="1308"/>
    </row>
    <row r="443" spans="1:27">
      <c r="A443" s="1370" t="s">
        <v>2210</v>
      </c>
      <c r="B443" s="1371" t="s">
        <v>2211</v>
      </c>
      <c r="C443" s="1366"/>
      <c r="D443" s="1366"/>
      <c r="E443" s="1367"/>
      <c r="F443" s="1299"/>
      <c r="G443" s="1309"/>
      <c r="H443" s="1306" t="s">
        <v>2773</v>
      </c>
      <c r="I443" s="1307"/>
      <c r="J443" s="1307" t="s">
        <v>2789</v>
      </c>
      <c r="K443" s="1307" t="s">
        <v>2790</v>
      </c>
      <c r="L443" s="1307" t="s">
        <v>2791</v>
      </c>
      <c r="M443" s="1307"/>
      <c r="N443" s="1307"/>
      <c r="O443" s="1308"/>
      <c r="P443" s="1308"/>
      <c r="Q443" s="1308"/>
      <c r="R443" s="1308"/>
      <c r="S443" s="1317"/>
      <c r="T443" s="1317" t="str">
        <f t="shared" si="7"/>
        <v>Juma Al Majid - Trane</v>
      </c>
      <c r="U443" s="1308" t="str">
        <f t="shared" si="8"/>
        <v>V128</v>
      </c>
      <c r="V443" s="1308"/>
      <c r="W443" s="1308"/>
      <c r="X443" s="1308"/>
      <c r="Y443" s="1308"/>
      <c r="Z443" s="1308"/>
      <c r="AA443" s="1308"/>
    </row>
    <row r="444" spans="1:27">
      <c r="A444" s="1370" t="s">
        <v>2212</v>
      </c>
      <c r="B444" s="1371" t="s">
        <v>2213</v>
      </c>
      <c r="C444" s="1366"/>
      <c r="D444" s="1366"/>
      <c r="E444" s="1367"/>
      <c r="F444" s="1299"/>
      <c r="G444" s="1309"/>
      <c r="H444" s="1306" t="s">
        <v>2792</v>
      </c>
      <c r="I444" s="1307"/>
      <c r="J444" s="1307" t="s">
        <v>2793</v>
      </c>
      <c r="K444" s="1307"/>
      <c r="L444" s="1307"/>
      <c r="M444" s="1307"/>
      <c r="N444" s="1307"/>
      <c r="O444" s="1308"/>
      <c r="P444" s="1308"/>
      <c r="Q444" s="1308"/>
      <c r="R444" s="1308"/>
      <c r="S444" s="1317"/>
      <c r="T444" s="1317" t="str">
        <f t="shared" si="7"/>
        <v>Al Emadi Air Conditioning</v>
      </c>
      <c r="U444" s="1308" t="str">
        <f t="shared" si="8"/>
        <v>V129</v>
      </c>
      <c r="V444" s="1308"/>
      <c r="W444" s="1308"/>
      <c r="X444" s="1308"/>
      <c r="Y444" s="1308"/>
      <c r="Z444" s="1308"/>
      <c r="AA444" s="1308"/>
    </row>
    <row r="445" spans="1:27">
      <c r="A445" s="1370" t="s">
        <v>2214</v>
      </c>
      <c r="B445" s="1371" t="s">
        <v>2215</v>
      </c>
      <c r="C445" s="1366"/>
      <c r="D445" s="1366"/>
      <c r="E445" s="1367"/>
      <c r="F445" s="1299"/>
      <c r="G445" s="1309"/>
      <c r="H445" s="1306"/>
      <c r="I445" s="1307"/>
      <c r="J445" s="1307"/>
      <c r="K445" s="1307"/>
      <c r="L445" s="1307"/>
      <c r="M445" s="1307"/>
      <c r="N445" s="1307"/>
      <c r="O445" s="1308"/>
      <c r="P445" s="1308"/>
      <c r="Q445" s="1308"/>
      <c r="R445" s="1308"/>
      <c r="S445" s="1317"/>
      <c r="T445" s="1317" t="str">
        <f t="shared" si="7"/>
        <v>Power Cool TRading</v>
      </c>
      <c r="U445" s="1308" t="str">
        <f t="shared" si="8"/>
        <v>V130</v>
      </c>
      <c r="V445" s="1308"/>
      <c r="W445" s="1308"/>
      <c r="X445" s="1308"/>
      <c r="Y445" s="1308"/>
      <c r="Z445" s="1308"/>
      <c r="AA445" s="1308"/>
    </row>
    <row r="446" spans="1:27">
      <c r="A446" s="1370" t="s">
        <v>2216</v>
      </c>
      <c r="B446" s="1371" t="s">
        <v>2217</v>
      </c>
      <c r="C446" s="1366"/>
      <c r="D446" s="1366"/>
      <c r="E446" s="1367"/>
      <c r="F446" s="1299"/>
      <c r="G446" s="1309"/>
      <c r="H446" s="1306"/>
      <c r="I446" s="1307"/>
      <c r="J446" s="1307"/>
      <c r="K446" s="1307"/>
      <c r="L446" s="1307"/>
      <c r="M446" s="1307"/>
      <c r="N446" s="1307"/>
      <c r="O446" s="1308"/>
      <c r="P446" s="1308"/>
      <c r="Q446" s="1308"/>
      <c r="R446" s="1308"/>
      <c r="S446" s="1317"/>
      <c r="T446" s="1317" t="str">
        <f t="shared" si="7"/>
        <v>F J CARE TECHNICAL SERVICES</v>
      </c>
      <c r="U446" s="1308" t="str">
        <f t="shared" si="8"/>
        <v>V131</v>
      </c>
      <c r="V446" s="1308"/>
      <c r="W446" s="1308"/>
      <c r="X446" s="1308"/>
      <c r="Y446" s="1308"/>
      <c r="Z446" s="1308"/>
      <c r="AA446" s="1308"/>
    </row>
    <row r="447" spans="1:27">
      <c r="A447" s="1370" t="s">
        <v>2218</v>
      </c>
      <c r="B447" s="1371" t="s">
        <v>2219</v>
      </c>
      <c r="C447" s="1366"/>
      <c r="D447" s="1366"/>
      <c r="E447" s="1367"/>
      <c r="F447" s="1299"/>
      <c r="G447" s="1309"/>
      <c r="H447" s="1306"/>
      <c r="I447" s="1307"/>
      <c r="J447" s="1307"/>
      <c r="K447" s="1307"/>
      <c r="L447" s="1307"/>
      <c r="M447" s="1307"/>
      <c r="N447" s="1307"/>
      <c r="O447" s="1308"/>
      <c r="P447" s="1308"/>
      <c r="Q447" s="1308"/>
      <c r="R447" s="1308"/>
      <c r="S447" s="1317"/>
      <c r="T447" s="1317" t="str">
        <f t="shared" si="7"/>
        <v>Fortune International trdg - L.G</v>
      </c>
      <c r="U447" s="1308" t="str">
        <f t="shared" si="8"/>
        <v>V132</v>
      </c>
      <c r="V447" s="1308"/>
      <c r="W447" s="1308"/>
      <c r="X447" s="1308"/>
      <c r="Y447" s="1308"/>
      <c r="Z447" s="1308"/>
      <c r="AA447" s="1308"/>
    </row>
    <row r="448" spans="1:27">
      <c r="A448" s="1370" t="s">
        <v>2220</v>
      </c>
      <c r="B448" s="1371" t="s">
        <v>2221</v>
      </c>
      <c r="C448" s="1366"/>
      <c r="D448" s="1366"/>
      <c r="E448" s="1367"/>
      <c r="F448" s="1299"/>
      <c r="G448" s="1309"/>
      <c r="H448" s="1306"/>
      <c r="I448" s="1307"/>
      <c r="J448" s="1307"/>
      <c r="K448" s="1307"/>
      <c r="L448" s="1307"/>
      <c r="M448" s="1307"/>
      <c r="N448" s="1307"/>
      <c r="O448" s="1308"/>
      <c r="P448" s="1308"/>
      <c r="Q448" s="1308"/>
      <c r="R448" s="1308"/>
      <c r="S448" s="1317"/>
      <c r="T448" s="1317" t="str">
        <f t="shared" si="7"/>
        <v>Al muhandis Electric Spare Part</v>
      </c>
      <c r="U448" s="1308" t="str">
        <f t="shared" si="8"/>
        <v>V133</v>
      </c>
      <c r="V448" s="1308"/>
      <c r="W448" s="1308"/>
      <c r="X448" s="1308"/>
      <c r="Y448" s="1308"/>
      <c r="Z448" s="1308"/>
      <c r="AA448" s="1308"/>
    </row>
    <row r="449" spans="1:27">
      <c r="A449" s="1370" t="s">
        <v>2222</v>
      </c>
      <c r="B449" s="1371" t="s">
        <v>2223</v>
      </c>
      <c r="C449" s="1366"/>
      <c r="D449" s="1366"/>
      <c r="E449" s="1367"/>
      <c r="F449" s="1299"/>
      <c r="G449" s="1309"/>
      <c r="H449" s="1306"/>
      <c r="I449" s="1307"/>
      <c r="J449" s="1307"/>
      <c r="K449" s="1307"/>
      <c r="L449" s="1307"/>
      <c r="M449" s="1307"/>
      <c r="N449" s="1307"/>
      <c r="O449" s="1308"/>
      <c r="P449" s="1308"/>
      <c r="Q449" s="1308"/>
      <c r="R449" s="1308"/>
      <c r="S449" s="1317"/>
      <c r="T449" s="1317" t="str">
        <f t="shared" si="7"/>
        <v>UNIGULF</v>
      </c>
      <c r="U449" s="1308" t="str">
        <f t="shared" si="8"/>
        <v>V134</v>
      </c>
      <c r="V449" s="1308"/>
      <c r="W449" s="1308"/>
      <c r="X449" s="1308"/>
      <c r="Y449" s="1308"/>
      <c r="Z449" s="1308"/>
      <c r="AA449" s="1308"/>
    </row>
    <row r="450" spans="1:27">
      <c r="A450" s="1370" t="s">
        <v>2224</v>
      </c>
      <c r="B450" s="1371" t="s">
        <v>2225</v>
      </c>
      <c r="C450" s="1366"/>
      <c r="D450" s="1366"/>
      <c r="E450" s="1367"/>
      <c r="F450" s="1299"/>
      <c r="G450" s="1309"/>
      <c r="H450" s="1306"/>
      <c r="I450" s="1307"/>
      <c r="J450" s="1307"/>
      <c r="K450" s="1307"/>
      <c r="L450" s="1307"/>
      <c r="M450" s="1307"/>
      <c r="N450" s="1307"/>
      <c r="O450" s="1308"/>
      <c r="P450" s="1308"/>
      <c r="Q450" s="1308"/>
      <c r="R450" s="1308"/>
      <c r="S450" s="1317"/>
      <c r="T450" s="1317" t="str">
        <f t="shared" si="7"/>
        <v>Leminar</v>
      </c>
      <c r="U450" s="1308" t="str">
        <f t="shared" si="8"/>
        <v>V135</v>
      </c>
      <c r="V450" s="1308"/>
      <c r="W450" s="1308"/>
      <c r="X450" s="1308"/>
      <c r="Y450" s="1308"/>
      <c r="Z450" s="1308"/>
      <c r="AA450" s="1308"/>
    </row>
    <row r="451" spans="1:27">
      <c r="A451" s="1370" t="s">
        <v>2226</v>
      </c>
      <c r="B451" s="1371" t="s">
        <v>2227</v>
      </c>
      <c r="C451" s="1366"/>
      <c r="D451" s="1366"/>
      <c r="E451" s="1367"/>
      <c r="F451" s="1299"/>
      <c r="G451" s="1309"/>
      <c r="H451" s="1306"/>
      <c r="I451" s="1307"/>
      <c r="J451" s="1307"/>
      <c r="K451" s="1307"/>
      <c r="L451" s="1307"/>
      <c r="M451" s="1307"/>
      <c r="N451" s="1307"/>
      <c r="O451" s="1308"/>
      <c r="P451" s="1308"/>
      <c r="Q451" s="1308"/>
      <c r="R451" s="1308"/>
      <c r="S451" s="1317"/>
      <c r="T451" s="1317" t="str">
        <f t="shared" si="7"/>
        <v>Zinat Al Fareej</v>
      </c>
      <c r="U451" s="1308" t="str">
        <f t="shared" si="8"/>
        <v>V136</v>
      </c>
      <c r="V451" s="1308"/>
      <c r="W451" s="1308"/>
      <c r="X451" s="1308"/>
      <c r="Y451" s="1308"/>
      <c r="Z451" s="1308"/>
      <c r="AA451" s="1308"/>
    </row>
    <row r="452" spans="1:27">
      <c r="A452" s="1370" t="s">
        <v>2228</v>
      </c>
      <c r="B452" s="1371" t="s">
        <v>2229</v>
      </c>
      <c r="C452" s="1366"/>
      <c r="D452" s="1366"/>
      <c r="E452" s="1367"/>
      <c r="F452" s="1299"/>
      <c r="G452" s="1309"/>
      <c r="H452" s="1306"/>
      <c r="I452" s="1307"/>
      <c r="J452" s="1307"/>
      <c r="K452" s="1307"/>
      <c r="L452" s="1307"/>
      <c r="M452" s="1307"/>
      <c r="N452" s="1307"/>
      <c r="O452" s="1308"/>
      <c r="P452" s="1308"/>
      <c r="Q452" s="1308"/>
      <c r="R452" s="1308"/>
      <c r="S452" s="1317"/>
      <c r="T452" s="1317" t="str">
        <f t="shared" si="7"/>
        <v>Al Ramadi BLD.Materials TRDG</v>
      </c>
      <c r="U452" s="1308" t="str">
        <f t="shared" si="8"/>
        <v>V137</v>
      </c>
      <c r="V452" s="1308"/>
      <c r="W452" s="1308"/>
      <c r="X452" s="1308"/>
      <c r="Y452" s="1308"/>
      <c r="Z452" s="1308"/>
      <c r="AA452" s="1308"/>
    </row>
    <row r="453" spans="1:27">
      <c r="A453" s="1370" t="s">
        <v>171</v>
      </c>
      <c r="B453" s="1371" t="s">
        <v>1379</v>
      </c>
      <c r="C453" s="1366"/>
      <c r="D453" s="1366"/>
      <c r="E453" s="1367"/>
      <c r="F453" s="1299"/>
      <c r="G453" s="1309"/>
      <c r="H453" s="1306" t="s">
        <v>2785</v>
      </c>
      <c r="I453" s="1307"/>
      <c r="J453" s="1307" t="s">
        <v>2794</v>
      </c>
      <c r="K453" s="1307" t="s">
        <v>2795</v>
      </c>
      <c r="L453" s="1307" t="s">
        <v>2796</v>
      </c>
      <c r="M453" s="1307" t="s">
        <v>2797</v>
      </c>
      <c r="N453" s="1307"/>
      <c r="O453" s="1308"/>
      <c r="P453" s="1308"/>
      <c r="Q453" s="1308"/>
      <c r="R453" s="1308"/>
      <c r="S453" s="1317"/>
      <c r="T453" s="1317" t="str">
        <f t="shared" si="7"/>
        <v>MACS -Al Muthathawerah</v>
      </c>
      <c r="U453" s="1308" t="str">
        <f t="shared" si="8"/>
        <v>V138</v>
      </c>
      <c r="V453" s="1308"/>
      <c r="W453" s="1308"/>
      <c r="X453" s="1308"/>
      <c r="Y453" s="1308"/>
      <c r="Z453" s="1308"/>
      <c r="AA453" s="1308"/>
    </row>
    <row r="454" spans="1:27">
      <c r="A454" s="1370" t="s">
        <v>2230</v>
      </c>
      <c r="B454" s="1371" t="s">
        <v>2231</v>
      </c>
      <c r="C454" s="1366"/>
      <c r="D454" s="1366"/>
      <c r="E454" s="1367"/>
      <c r="F454" s="1299"/>
      <c r="G454" s="1309"/>
      <c r="H454" s="1306"/>
      <c r="I454" s="1307"/>
      <c r="J454" s="1307"/>
      <c r="K454" s="1307"/>
      <c r="L454" s="1307"/>
      <c r="M454" s="1307"/>
      <c r="N454" s="1307"/>
      <c r="O454" s="1308"/>
      <c r="P454" s="1308"/>
      <c r="Q454" s="1308"/>
      <c r="R454" s="1308"/>
      <c r="S454" s="1317"/>
      <c r="T454" s="1317" t="str">
        <f t="shared" si="7"/>
        <v>HATTA</v>
      </c>
      <c r="U454" s="1308" t="str">
        <f t="shared" si="8"/>
        <v>V140</v>
      </c>
      <c r="V454" s="1308"/>
      <c r="W454" s="1308"/>
      <c r="X454" s="1308"/>
      <c r="Y454" s="1308"/>
      <c r="Z454" s="1308"/>
      <c r="AA454" s="1308"/>
    </row>
    <row r="455" spans="1:27">
      <c r="A455" s="1370" t="s">
        <v>2232</v>
      </c>
      <c r="B455" s="1371" t="s">
        <v>2233</v>
      </c>
      <c r="C455" s="1366"/>
      <c r="D455" s="1366"/>
      <c r="E455" s="1367"/>
      <c r="F455" s="1299"/>
      <c r="G455" s="1309"/>
      <c r="H455" s="1306"/>
      <c r="I455" s="1307"/>
      <c r="J455" s="1307"/>
      <c r="K455" s="1307"/>
      <c r="L455" s="1307"/>
      <c r="M455" s="1307"/>
      <c r="N455" s="1307"/>
      <c r="O455" s="1308"/>
      <c r="P455" s="1308"/>
      <c r="Q455" s="1308"/>
      <c r="R455" s="1308"/>
      <c r="S455" s="1317"/>
      <c r="T455" s="1317" t="str">
        <f t="shared" si="7"/>
        <v>Oxegen Sharjah</v>
      </c>
      <c r="U455" s="1308" t="str">
        <f t="shared" si="8"/>
        <v>V141</v>
      </c>
      <c r="V455" s="1308"/>
      <c r="W455" s="1308"/>
      <c r="X455" s="1308"/>
      <c r="Y455" s="1308"/>
      <c r="Z455" s="1308"/>
      <c r="AA455" s="1308"/>
    </row>
    <row r="456" spans="1:27">
      <c r="A456" s="1370" t="s">
        <v>2234</v>
      </c>
      <c r="B456" s="1371" t="s">
        <v>2235</v>
      </c>
      <c r="C456" s="1366"/>
      <c r="D456" s="1366"/>
      <c r="E456" s="1367"/>
      <c r="F456" s="1299"/>
      <c r="G456" s="1309"/>
      <c r="H456" s="1306"/>
      <c r="I456" s="1307"/>
      <c r="J456" s="1307"/>
      <c r="K456" s="1307"/>
      <c r="L456" s="1307"/>
      <c r="M456" s="1307"/>
      <c r="N456" s="1307"/>
      <c r="O456" s="1308"/>
      <c r="P456" s="1308"/>
      <c r="Q456" s="1308"/>
      <c r="R456" s="1308"/>
      <c r="S456" s="1317"/>
      <c r="T456" s="1317" t="str">
        <f t="shared" si="7"/>
        <v>juma Al Majid Group</v>
      </c>
      <c r="U456" s="1308" t="str">
        <f t="shared" si="8"/>
        <v>V142</v>
      </c>
      <c r="V456" s="1308"/>
      <c r="W456" s="1308"/>
      <c r="X456" s="1308"/>
      <c r="Y456" s="1308"/>
      <c r="Z456" s="1308"/>
      <c r="AA456" s="1308"/>
    </row>
    <row r="457" spans="1:27">
      <c r="A457" s="1370" t="s">
        <v>2236</v>
      </c>
      <c r="B457" s="1371" t="s">
        <v>2237</v>
      </c>
      <c r="C457" s="1366"/>
      <c r="D457" s="1366"/>
      <c r="E457" s="1367"/>
      <c r="F457" s="1299"/>
      <c r="G457" s="1309"/>
      <c r="H457" s="1306"/>
      <c r="I457" s="1307"/>
      <c r="J457" s="1307"/>
      <c r="K457" s="1307"/>
      <c r="L457" s="1307"/>
      <c r="M457" s="1307"/>
      <c r="N457" s="1307"/>
      <c r="O457" s="1308"/>
      <c r="P457" s="1308"/>
      <c r="Q457" s="1308"/>
      <c r="R457" s="1308"/>
      <c r="S457" s="1317"/>
      <c r="T457" s="1317" t="str">
        <f t="shared" si="7"/>
        <v>Al Qemah A/C System Accessories</v>
      </c>
      <c r="U457" s="1308" t="str">
        <f t="shared" si="8"/>
        <v>V143</v>
      </c>
      <c r="V457" s="1308"/>
      <c r="W457" s="1308"/>
      <c r="X457" s="1308"/>
      <c r="Y457" s="1308"/>
      <c r="Z457" s="1308"/>
      <c r="AA457" s="1308"/>
    </row>
    <row r="458" spans="1:27">
      <c r="A458" s="1370" t="s">
        <v>2238</v>
      </c>
      <c r="B458" s="1371" t="s">
        <v>2239</v>
      </c>
      <c r="C458" s="1366"/>
      <c r="D458" s="1366"/>
      <c r="E458" s="1367"/>
      <c r="F458" s="1299"/>
      <c r="G458" s="1309"/>
      <c r="H458" s="1306"/>
      <c r="I458" s="1307"/>
      <c r="J458" s="1307"/>
      <c r="K458" s="1307"/>
      <c r="L458" s="1307"/>
      <c r="M458" s="1307"/>
      <c r="N458" s="1307"/>
      <c r="O458" s="1308"/>
      <c r="P458" s="1308"/>
      <c r="Q458" s="1308"/>
      <c r="R458" s="1308"/>
      <c r="S458" s="1317"/>
      <c r="T458" s="1317" t="str">
        <f t="shared" si="7"/>
        <v>Nour Al ANOUAR</v>
      </c>
      <c r="U458" s="1308" t="str">
        <f t="shared" si="8"/>
        <v>V144</v>
      </c>
      <c r="V458" s="1308"/>
      <c r="W458" s="1308"/>
      <c r="X458" s="1308"/>
      <c r="Y458" s="1308"/>
      <c r="Z458" s="1308"/>
      <c r="AA458" s="1308"/>
    </row>
    <row r="459" spans="1:27">
      <c r="A459" s="1370" t="s">
        <v>2240</v>
      </c>
      <c r="B459" s="1371" t="s">
        <v>2241</v>
      </c>
      <c r="C459" s="1366"/>
      <c r="D459" s="1366"/>
      <c r="E459" s="1367"/>
      <c r="F459" s="1299"/>
      <c r="G459" s="1309"/>
      <c r="H459" s="1306"/>
      <c r="I459" s="1307"/>
      <c r="J459" s="1307"/>
      <c r="K459" s="1307"/>
      <c r="L459" s="1307"/>
      <c r="M459" s="1307"/>
      <c r="N459" s="1307"/>
      <c r="O459" s="1308"/>
      <c r="P459" s="1308"/>
      <c r="Q459" s="1308"/>
      <c r="R459" s="1308"/>
      <c r="S459" s="1317"/>
      <c r="T459" s="1317" t="str">
        <f t="shared" si="7"/>
        <v>HOWHI GENERAL TRADING</v>
      </c>
      <c r="U459" s="1308" t="str">
        <f t="shared" si="8"/>
        <v>V145</v>
      </c>
      <c r="V459" s="1308"/>
      <c r="W459" s="1308"/>
      <c r="X459" s="1308"/>
      <c r="Y459" s="1308"/>
      <c r="Z459" s="1308"/>
      <c r="AA459" s="1308"/>
    </row>
    <row r="460" spans="1:27">
      <c r="A460" s="1370" t="s">
        <v>2242</v>
      </c>
      <c r="B460" s="1371" t="s">
        <v>2243</v>
      </c>
      <c r="C460" s="1366"/>
      <c r="D460" s="1366"/>
      <c r="E460" s="1367"/>
      <c r="F460" s="1299"/>
      <c r="G460" s="1309"/>
      <c r="H460" s="1306"/>
      <c r="I460" s="1307"/>
      <c r="J460" s="1307"/>
      <c r="K460" s="1307"/>
      <c r="L460" s="1307"/>
      <c r="M460" s="1307"/>
      <c r="N460" s="1307"/>
      <c r="O460" s="1308"/>
      <c r="P460" s="1308"/>
      <c r="Q460" s="1308"/>
      <c r="R460" s="1308"/>
      <c r="S460" s="1317"/>
      <c r="T460" s="1317" t="str">
        <f t="shared" si="7"/>
        <v>UBT</v>
      </c>
      <c r="U460" s="1308" t="str">
        <f t="shared" si="8"/>
        <v>V146</v>
      </c>
      <c r="V460" s="1308"/>
      <c r="W460" s="1308"/>
      <c r="X460" s="1308"/>
      <c r="Y460" s="1308"/>
      <c r="Z460" s="1308"/>
      <c r="AA460" s="1308"/>
    </row>
    <row r="461" spans="1:27">
      <c r="A461" s="1370" t="s">
        <v>2244</v>
      </c>
      <c r="B461" s="1371" t="s">
        <v>2245</v>
      </c>
      <c r="C461" s="1366"/>
      <c r="D461" s="1366"/>
      <c r="E461" s="1367"/>
      <c r="F461" s="1299"/>
      <c r="G461" s="1309"/>
      <c r="H461" s="1306"/>
      <c r="I461" s="1307"/>
      <c r="J461" s="1307"/>
      <c r="K461" s="1307"/>
      <c r="L461" s="1307"/>
      <c r="M461" s="1307"/>
      <c r="N461" s="1307"/>
      <c r="O461" s="1308"/>
      <c r="P461" s="1308"/>
      <c r="Q461" s="1308"/>
      <c r="R461" s="1308"/>
      <c r="S461" s="1317"/>
      <c r="T461" s="1317" t="str">
        <f t="shared" si="7"/>
        <v>ADVANCE TECHNICAL SPARE PARTS CO.</v>
      </c>
      <c r="U461" s="1308" t="str">
        <f t="shared" si="8"/>
        <v>V147</v>
      </c>
      <c r="V461" s="1308"/>
      <c r="W461" s="1308"/>
      <c r="X461" s="1308"/>
      <c r="Y461" s="1308"/>
      <c r="Z461" s="1308"/>
      <c r="AA461" s="1308"/>
    </row>
    <row r="462" spans="1:27">
      <c r="A462" s="1370" t="s">
        <v>2246</v>
      </c>
      <c r="B462" s="1371" t="s">
        <v>2247</v>
      </c>
      <c r="C462" s="1366"/>
      <c r="D462" s="1366"/>
      <c r="E462" s="1367"/>
      <c r="F462" s="1299"/>
      <c r="G462" s="1309"/>
      <c r="H462" s="1306"/>
      <c r="I462" s="1307"/>
      <c r="J462" s="1307"/>
      <c r="K462" s="1307"/>
      <c r="L462" s="1307"/>
      <c r="M462" s="1307"/>
      <c r="N462" s="1307"/>
      <c r="O462" s="1308"/>
      <c r="P462" s="1308"/>
      <c r="Q462" s="1308"/>
      <c r="R462" s="1308"/>
      <c r="S462" s="1317"/>
      <c r="T462" s="1317" t="str">
        <f t="shared" si="7"/>
        <v>AL SADIA</v>
      </c>
      <c r="U462" s="1308" t="str">
        <f t="shared" si="8"/>
        <v>V148</v>
      </c>
      <c r="V462" s="1308"/>
      <c r="W462" s="1308"/>
      <c r="X462" s="1308"/>
      <c r="Y462" s="1308"/>
      <c r="Z462" s="1308"/>
      <c r="AA462" s="1308"/>
    </row>
    <row r="463" spans="1:27">
      <c r="A463" s="1370" t="s">
        <v>2248</v>
      </c>
      <c r="B463" s="1371" t="s">
        <v>2249</v>
      </c>
      <c r="C463" s="1366"/>
      <c r="D463" s="1366"/>
      <c r="E463" s="1367"/>
      <c r="F463" s="1299"/>
      <c r="G463" s="1309"/>
      <c r="H463" s="1306"/>
      <c r="I463" s="1307"/>
      <c r="J463" s="1307"/>
      <c r="K463" s="1307"/>
      <c r="L463" s="1307"/>
      <c r="M463" s="1307"/>
      <c r="N463" s="1307"/>
      <c r="O463" s="1308"/>
      <c r="P463" s="1308"/>
      <c r="Q463" s="1308"/>
      <c r="R463" s="1308"/>
      <c r="S463" s="1317"/>
      <c r="T463" s="1317" t="str">
        <f t="shared" si="7"/>
        <v>NEW QAMAR AL HUDA TRADING</v>
      </c>
      <c r="U463" s="1308" t="str">
        <f t="shared" si="8"/>
        <v>V149</v>
      </c>
      <c r="V463" s="1308"/>
      <c r="W463" s="1308"/>
      <c r="X463" s="1308"/>
      <c r="Y463" s="1308"/>
      <c r="Z463" s="1308"/>
      <c r="AA463" s="1308"/>
    </row>
    <row r="464" spans="1:27">
      <c r="A464" s="1370" t="s">
        <v>2250</v>
      </c>
      <c r="B464" s="1371" t="s">
        <v>2251</v>
      </c>
      <c r="C464" s="1366"/>
      <c r="D464" s="1366"/>
      <c r="E464" s="1367"/>
      <c r="F464" s="1299"/>
      <c r="G464" s="1309"/>
      <c r="H464" s="1306"/>
      <c r="I464" s="1307"/>
      <c r="J464" s="1307" t="s">
        <v>2798</v>
      </c>
      <c r="K464" s="1307" t="s">
        <v>2799</v>
      </c>
      <c r="L464" s="1307" t="s">
        <v>2800</v>
      </c>
      <c r="M464" s="1307"/>
      <c r="N464" s="1307"/>
      <c r="O464" s="1308"/>
      <c r="P464" s="1308"/>
      <c r="Q464" s="1308"/>
      <c r="R464" s="1308"/>
      <c r="S464" s="1317"/>
      <c r="T464" s="1317" t="str">
        <f t="shared" si="7"/>
        <v>FAKHRI &amp; BROTHERS</v>
      </c>
      <c r="U464" s="1308" t="str">
        <f t="shared" si="8"/>
        <v>V150</v>
      </c>
      <c r="V464" s="1308"/>
      <c r="W464" s="1308"/>
      <c r="X464" s="1308"/>
      <c r="Y464" s="1308"/>
      <c r="Z464" s="1308"/>
      <c r="AA464" s="1308"/>
    </row>
    <row r="465" spans="1:27">
      <c r="A465" s="1370" t="s">
        <v>2252</v>
      </c>
      <c r="B465" s="1371" t="s">
        <v>2253</v>
      </c>
      <c r="C465" s="1366"/>
      <c r="D465" s="1366"/>
      <c r="E465" s="1367"/>
      <c r="F465" s="1299"/>
      <c r="G465" s="1309"/>
      <c r="H465" s="1306"/>
      <c r="I465" s="1307"/>
      <c r="J465" s="1307"/>
      <c r="K465" s="1307"/>
      <c r="L465" s="1307"/>
      <c r="M465" s="1307"/>
      <c r="N465" s="1307"/>
      <c r="O465" s="1308"/>
      <c r="P465" s="1308"/>
      <c r="Q465" s="1308"/>
      <c r="R465" s="1308"/>
      <c r="S465" s="1317"/>
      <c r="T465" s="1317" t="str">
        <f t="shared" si="7"/>
        <v>DESERT AIR A/C.UNITS</v>
      </c>
      <c r="U465" s="1308" t="str">
        <f t="shared" si="8"/>
        <v>V151</v>
      </c>
      <c r="V465" s="1308"/>
      <c r="W465" s="1308"/>
      <c r="X465" s="1308"/>
      <c r="Y465" s="1308"/>
      <c r="Z465" s="1308"/>
      <c r="AA465" s="1308"/>
    </row>
    <row r="466" spans="1:27">
      <c r="A466" s="1370" t="s">
        <v>2254</v>
      </c>
      <c r="B466" s="1371" t="s">
        <v>2255</v>
      </c>
      <c r="C466" s="1366"/>
      <c r="D466" s="1366"/>
      <c r="E466" s="1367"/>
      <c r="F466" s="1299"/>
      <c r="G466" s="1309"/>
      <c r="H466" s="1306"/>
      <c r="I466" s="1307"/>
      <c r="J466" s="1307"/>
      <c r="K466" s="1307"/>
      <c r="L466" s="1307"/>
      <c r="M466" s="1307"/>
      <c r="N466" s="1307"/>
      <c r="O466" s="1308"/>
      <c r="P466" s="1308"/>
      <c r="Q466" s="1308"/>
      <c r="R466" s="1308"/>
      <c r="S466" s="1317"/>
      <c r="T466" s="1317" t="str">
        <f t="shared" si="7"/>
        <v>WATER BIRD CHEMICAL</v>
      </c>
      <c r="U466" s="1308" t="str">
        <f t="shared" si="8"/>
        <v>V152</v>
      </c>
      <c r="V466" s="1308"/>
      <c r="W466" s="1308"/>
      <c r="X466" s="1308"/>
      <c r="Y466" s="1308"/>
      <c r="Z466" s="1308"/>
      <c r="AA466" s="1308"/>
    </row>
    <row r="467" spans="1:27">
      <c r="A467" s="1370" t="s">
        <v>2256</v>
      </c>
      <c r="B467" s="1371" t="s">
        <v>2257</v>
      </c>
      <c r="C467" s="1366"/>
      <c r="D467" s="1366"/>
      <c r="E467" s="1367"/>
      <c r="F467" s="1299"/>
      <c r="G467" s="1309"/>
      <c r="H467" s="1306"/>
      <c r="I467" s="1307"/>
      <c r="J467" s="1307"/>
      <c r="K467" s="1307"/>
      <c r="L467" s="1307"/>
      <c r="M467" s="1307"/>
      <c r="N467" s="1307"/>
      <c r="O467" s="1308"/>
      <c r="P467" s="1308"/>
      <c r="Q467" s="1308"/>
      <c r="R467" s="1308"/>
      <c r="S467" s="1317"/>
      <c r="T467" s="1317" t="str">
        <f t="shared" si="7"/>
        <v>Najran General Trading</v>
      </c>
      <c r="U467" s="1308" t="str">
        <f t="shared" si="8"/>
        <v>V153</v>
      </c>
      <c r="V467" s="1308"/>
      <c r="W467" s="1308"/>
      <c r="X467" s="1308"/>
      <c r="Y467" s="1308"/>
      <c r="Z467" s="1308"/>
      <c r="AA467" s="1308"/>
    </row>
    <row r="468" spans="1:27">
      <c r="A468" s="1370" t="s">
        <v>2258</v>
      </c>
      <c r="B468" s="1371" t="s">
        <v>2259</v>
      </c>
      <c r="C468" s="1366"/>
      <c r="D468" s="1366"/>
      <c r="E468" s="1367"/>
      <c r="F468" s="1299"/>
      <c r="G468" s="1309"/>
      <c r="H468" s="1306"/>
      <c r="I468" s="1307"/>
      <c r="J468" s="1307"/>
      <c r="K468" s="1307"/>
      <c r="L468" s="1307"/>
      <c r="M468" s="1307"/>
      <c r="N468" s="1307"/>
      <c r="O468" s="1308"/>
      <c r="P468" s="1308"/>
      <c r="Q468" s="1308"/>
      <c r="R468" s="1308"/>
      <c r="S468" s="1317"/>
      <c r="T468" s="1317" t="str">
        <f t="shared" si="7"/>
        <v>Mohamed abdullrahim</v>
      </c>
      <c r="U468" s="1308" t="str">
        <f t="shared" si="8"/>
        <v>V154</v>
      </c>
      <c r="V468" s="1308"/>
      <c r="W468" s="1308"/>
      <c r="X468" s="1308"/>
      <c r="Y468" s="1308"/>
      <c r="Z468" s="1308"/>
      <c r="AA468" s="1308"/>
    </row>
    <row r="469" spans="1:27">
      <c r="A469" s="1370" t="s">
        <v>2260</v>
      </c>
      <c r="B469" s="1371" t="s">
        <v>2261</v>
      </c>
      <c r="C469" s="1366"/>
      <c r="D469" s="1366"/>
      <c r="E469" s="1367"/>
      <c r="F469" s="1299"/>
      <c r="G469" s="1309"/>
      <c r="H469" s="1306"/>
      <c r="I469" s="1307"/>
      <c r="J469" s="1307"/>
      <c r="K469" s="1307"/>
      <c r="L469" s="1307"/>
      <c r="M469" s="1307"/>
      <c r="N469" s="1307"/>
      <c r="O469" s="1308"/>
      <c r="P469" s="1308"/>
      <c r="Q469" s="1308"/>
      <c r="R469" s="1308"/>
      <c r="S469" s="1317"/>
      <c r="T469" s="1317" t="str">
        <f t="shared" si="7"/>
        <v>AL KHALIJ ENTERPRISES</v>
      </c>
      <c r="U469" s="1308" t="str">
        <f t="shared" si="8"/>
        <v>V155</v>
      </c>
      <c r="V469" s="1308"/>
      <c r="W469" s="1308"/>
      <c r="X469" s="1308"/>
      <c r="Y469" s="1308"/>
      <c r="Z469" s="1308"/>
      <c r="AA469" s="1308"/>
    </row>
    <row r="470" spans="1:27">
      <c r="A470" s="1370" t="s">
        <v>2262</v>
      </c>
      <c r="B470" s="1371" t="s">
        <v>2263</v>
      </c>
      <c r="C470" s="1366"/>
      <c r="D470" s="1366"/>
      <c r="E470" s="1367"/>
      <c r="F470" s="1299"/>
      <c r="G470" s="1309"/>
      <c r="H470" s="1306"/>
      <c r="I470" s="1307"/>
      <c r="J470" s="1307"/>
      <c r="K470" s="1307"/>
      <c r="L470" s="1307"/>
      <c r="M470" s="1307"/>
      <c r="N470" s="1307"/>
      <c r="O470" s="1308"/>
      <c r="P470" s="1308"/>
      <c r="Q470" s="1308"/>
      <c r="R470" s="1308"/>
      <c r="S470" s="1317"/>
      <c r="T470" s="1317" t="str">
        <f t="shared" si="7"/>
        <v>COOL HOME</v>
      </c>
      <c r="U470" s="1308" t="str">
        <f t="shared" si="8"/>
        <v>V156</v>
      </c>
      <c r="V470" s="1308"/>
      <c r="W470" s="1308"/>
      <c r="X470" s="1308"/>
      <c r="Y470" s="1308"/>
      <c r="Z470" s="1308"/>
      <c r="AA470" s="1308"/>
    </row>
    <row r="471" spans="1:27">
      <c r="A471" s="1370" t="s">
        <v>2264</v>
      </c>
      <c r="B471" s="1371" t="s">
        <v>2265</v>
      </c>
      <c r="C471" s="1366"/>
      <c r="D471" s="1366"/>
      <c r="E471" s="1367"/>
      <c r="F471" s="1299"/>
      <c r="G471" s="1309"/>
      <c r="H471" s="1306"/>
      <c r="I471" s="1307"/>
      <c r="J471" s="1307"/>
      <c r="K471" s="1307"/>
      <c r="L471" s="1307"/>
      <c r="M471" s="1307"/>
      <c r="N471" s="1307"/>
      <c r="O471" s="1308"/>
      <c r="P471" s="1308"/>
      <c r="Q471" s="1308"/>
      <c r="R471" s="1308"/>
      <c r="S471" s="1317"/>
      <c r="T471" s="1317" t="str">
        <f t="shared" si="7"/>
        <v>JABAL AL NOOR</v>
      </c>
      <c r="U471" s="1308" t="str">
        <f t="shared" si="8"/>
        <v>V157</v>
      </c>
      <c r="V471" s="1308"/>
      <c r="W471" s="1308"/>
      <c r="X471" s="1308"/>
      <c r="Y471" s="1308"/>
      <c r="Z471" s="1308"/>
      <c r="AA471" s="1308"/>
    </row>
    <row r="472" spans="1:27">
      <c r="A472" s="1370" t="s">
        <v>2266</v>
      </c>
      <c r="B472" s="1371" t="s">
        <v>2267</v>
      </c>
      <c r="C472" s="1366"/>
      <c r="D472" s="1366"/>
      <c r="E472" s="1367"/>
      <c r="F472" s="1299"/>
      <c r="G472" s="1309"/>
      <c r="H472" s="1306"/>
      <c r="I472" s="1307"/>
      <c r="J472" s="1307"/>
      <c r="K472" s="1307"/>
      <c r="L472" s="1307"/>
      <c r="M472" s="1307"/>
      <c r="N472" s="1307"/>
      <c r="O472" s="1308"/>
      <c r="P472" s="1308"/>
      <c r="Q472" s="1308"/>
      <c r="R472" s="1308"/>
      <c r="S472" s="1317"/>
      <c r="T472" s="1317" t="str">
        <f t="shared" si="7"/>
        <v>FINE TOOLS</v>
      </c>
      <c r="U472" s="1308" t="str">
        <f t="shared" si="8"/>
        <v>V158</v>
      </c>
      <c r="V472" s="1308"/>
      <c r="W472" s="1308"/>
      <c r="X472" s="1308"/>
      <c r="Y472" s="1308"/>
      <c r="Z472" s="1308"/>
      <c r="AA472" s="1308"/>
    </row>
    <row r="473" spans="1:27">
      <c r="A473" s="1370" t="s">
        <v>2268</v>
      </c>
      <c r="B473" s="1371" t="s">
        <v>2269</v>
      </c>
      <c r="C473" s="1366"/>
      <c r="D473" s="1366"/>
      <c r="E473" s="1367"/>
      <c r="F473" s="1299"/>
      <c r="G473" s="1309"/>
      <c r="H473" s="1306"/>
      <c r="I473" s="1307"/>
      <c r="J473" s="1307"/>
      <c r="K473" s="1307"/>
      <c r="L473" s="1307"/>
      <c r="M473" s="1307"/>
      <c r="N473" s="1307"/>
      <c r="O473" s="1308"/>
      <c r="P473" s="1308"/>
      <c r="Q473" s="1308"/>
      <c r="R473" s="1308"/>
      <c r="S473" s="1317"/>
      <c r="T473" s="1317" t="str">
        <f t="shared" si="7"/>
        <v>NAJM ALMUSTAQBEL</v>
      </c>
      <c r="U473" s="1308" t="str">
        <f t="shared" si="8"/>
        <v>V159</v>
      </c>
      <c r="V473" s="1308"/>
      <c r="W473" s="1308"/>
      <c r="X473" s="1308"/>
      <c r="Y473" s="1308"/>
      <c r="Z473" s="1308"/>
      <c r="AA473" s="1308"/>
    </row>
    <row r="474" spans="1:27">
      <c r="A474" s="1370" t="s">
        <v>2270</v>
      </c>
      <c r="B474" s="1371" t="s">
        <v>2271</v>
      </c>
      <c r="C474" s="1366"/>
      <c r="D474" s="1366"/>
      <c r="E474" s="1367"/>
      <c r="F474" s="1299"/>
      <c r="G474" s="1309"/>
      <c r="H474" s="1306"/>
      <c r="I474" s="1307"/>
      <c r="J474" s="1307"/>
      <c r="K474" s="1307"/>
      <c r="L474" s="1307"/>
      <c r="M474" s="1307"/>
      <c r="N474" s="1307"/>
      <c r="O474" s="1308"/>
      <c r="P474" s="1308"/>
      <c r="Q474" s="1308"/>
      <c r="R474" s="1308"/>
      <c r="S474" s="1317"/>
      <c r="T474" s="1317" t="str">
        <f t="shared" si="7"/>
        <v>IQRAA BUILDING MATERIALS</v>
      </c>
      <c r="U474" s="1308" t="str">
        <f t="shared" si="8"/>
        <v>V160</v>
      </c>
      <c r="V474" s="1308"/>
      <c r="W474" s="1308"/>
      <c r="X474" s="1308"/>
      <c r="Y474" s="1308"/>
      <c r="Z474" s="1308"/>
      <c r="AA474" s="1308"/>
    </row>
    <row r="475" spans="1:27">
      <c r="A475" s="1370" t="s">
        <v>2272</v>
      </c>
      <c r="B475" s="1371" t="s">
        <v>2273</v>
      </c>
      <c r="C475" s="1366"/>
      <c r="D475" s="1366"/>
      <c r="E475" s="1367"/>
      <c r="F475" s="1299"/>
      <c r="G475" s="1309"/>
      <c r="H475" s="1306"/>
      <c r="I475" s="1307"/>
      <c r="J475" s="1307"/>
      <c r="K475" s="1307"/>
      <c r="L475" s="1307"/>
      <c r="M475" s="1307"/>
      <c r="N475" s="1307"/>
      <c r="O475" s="1308"/>
      <c r="P475" s="1308"/>
      <c r="Q475" s="1308"/>
      <c r="R475" s="1308"/>
      <c r="S475" s="1317"/>
      <c r="T475" s="1317" t="str">
        <f t="shared" si="7"/>
        <v>AL MANAR A/C</v>
      </c>
      <c r="U475" s="1308" t="str">
        <f t="shared" si="8"/>
        <v>V161</v>
      </c>
      <c r="V475" s="1308"/>
      <c r="W475" s="1308"/>
      <c r="X475" s="1308"/>
      <c r="Y475" s="1308"/>
      <c r="Z475" s="1308"/>
      <c r="AA475" s="1308"/>
    </row>
    <row r="476" spans="1:27">
      <c r="A476" s="1370" t="s">
        <v>2274</v>
      </c>
      <c r="B476" s="1371" t="s">
        <v>2275</v>
      </c>
      <c r="C476" s="1366"/>
      <c r="D476" s="1366"/>
      <c r="E476" s="1367"/>
      <c r="F476" s="1299"/>
      <c r="G476" s="1309"/>
      <c r="H476" s="1306"/>
      <c r="I476" s="1307"/>
      <c r="J476" s="1307"/>
      <c r="K476" s="1307"/>
      <c r="L476" s="1307"/>
      <c r="M476" s="1307"/>
      <c r="N476" s="1307"/>
      <c r="O476" s="1308"/>
      <c r="P476" s="1308"/>
      <c r="Q476" s="1308"/>
      <c r="R476" s="1308"/>
      <c r="S476" s="1317"/>
      <c r="T476" s="1317" t="str">
        <f t="shared" si="7"/>
        <v>MOHAMED MUBARK</v>
      </c>
      <c r="U476" s="1308" t="str">
        <f t="shared" si="8"/>
        <v>V162</v>
      </c>
      <c r="V476" s="1308"/>
      <c r="W476" s="1308"/>
      <c r="X476" s="1308"/>
      <c r="Y476" s="1308"/>
      <c r="Z476" s="1308"/>
      <c r="AA476" s="1308"/>
    </row>
    <row r="477" spans="1:27">
      <c r="A477" s="1370" t="s">
        <v>2276</v>
      </c>
      <c r="B477" s="1371" t="s">
        <v>2277</v>
      </c>
      <c r="C477" s="1366"/>
      <c r="D477" s="1366"/>
      <c r="E477" s="1367"/>
      <c r="F477" s="1299"/>
      <c r="G477" s="1309"/>
      <c r="H477" s="1306"/>
      <c r="I477" s="1307"/>
      <c r="J477" s="1307"/>
      <c r="K477" s="1307"/>
      <c r="L477" s="1307"/>
      <c r="M477" s="1307"/>
      <c r="N477" s="1307"/>
      <c r="O477" s="1308"/>
      <c r="P477" s="1308"/>
      <c r="Q477" s="1308"/>
      <c r="R477" s="1308"/>
      <c r="S477" s="1317"/>
      <c r="T477" s="1317" t="str">
        <f t="shared" si="7"/>
        <v>BLUE STAR TECHNICAL</v>
      </c>
      <c r="U477" s="1308" t="str">
        <f t="shared" si="8"/>
        <v>V163</v>
      </c>
      <c r="V477" s="1308"/>
      <c r="W477" s="1308"/>
      <c r="X477" s="1308"/>
      <c r="Y477" s="1308"/>
      <c r="Z477" s="1308"/>
      <c r="AA477" s="1308"/>
    </row>
    <row r="478" spans="1:27">
      <c r="A478" s="1370" t="s">
        <v>2278</v>
      </c>
      <c r="B478" s="1371" t="s">
        <v>2279</v>
      </c>
      <c r="C478" s="1366"/>
      <c r="D478" s="1366"/>
      <c r="E478" s="1367"/>
      <c r="F478" s="1299"/>
      <c r="G478" s="1309"/>
      <c r="H478" s="1306"/>
      <c r="I478" s="1307"/>
      <c r="J478" s="1307"/>
      <c r="K478" s="1307"/>
      <c r="L478" s="1307"/>
      <c r="M478" s="1307"/>
      <c r="N478" s="1307"/>
      <c r="O478" s="1308"/>
      <c r="P478" s="1308"/>
      <c r="Q478" s="1308"/>
      <c r="R478" s="1308"/>
      <c r="S478" s="1317"/>
      <c r="T478" s="1317" t="str">
        <f t="shared" si="7"/>
        <v>GULF CROWN BUILDING MATERIALS</v>
      </c>
      <c r="U478" s="1308" t="str">
        <f t="shared" si="8"/>
        <v>V164</v>
      </c>
      <c r="V478" s="1308"/>
      <c r="W478" s="1308"/>
      <c r="X478" s="1308"/>
      <c r="Y478" s="1308"/>
      <c r="Z478" s="1308"/>
      <c r="AA478" s="1308"/>
    </row>
    <row r="479" spans="1:27">
      <c r="A479" s="1370" t="s">
        <v>2280</v>
      </c>
      <c r="B479" s="1371" t="s">
        <v>2281</v>
      </c>
      <c r="C479" s="1366"/>
      <c r="D479" s="1366"/>
      <c r="E479" s="1367"/>
      <c r="F479" s="1299"/>
      <c r="G479" s="1309"/>
      <c r="H479" s="1306"/>
      <c r="I479" s="1307"/>
      <c r="J479" s="1307"/>
      <c r="K479" s="1307"/>
      <c r="L479" s="1307"/>
      <c r="M479" s="1307"/>
      <c r="N479" s="1307"/>
      <c r="O479" s="1308"/>
      <c r="P479" s="1308"/>
      <c r="Q479" s="1308"/>
      <c r="R479" s="1308"/>
      <c r="S479" s="1317"/>
      <c r="T479" s="1317" t="str">
        <f t="shared" si="7"/>
        <v>M.T.MAXTEX</v>
      </c>
      <c r="U479" s="1308" t="str">
        <f t="shared" si="8"/>
        <v>V165</v>
      </c>
      <c r="V479" s="1308"/>
      <c r="W479" s="1308"/>
      <c r="X479" s="1308"/>
      <c r="Y479" s="1308"/>
      <c r="Z479" s="1308"/>
      <c r="AA479" s="1308"/>
    </row>
    <row r="480" spans="1:27">
      <c r="A480" s="1370" t="s">
        <v>2282</v>
      </c>
      <c r="B480" s="1371" t="s">
        <v>2283</v>
      </c>
      <c r="C480" s="1366"/>
      <c r="D480" s="1366"/>
      <c r="E480" s="1367"/>
      <c r="F480" s="1299"/>
      <c r="G480" s="1309"/>
      <c r="H480" s="1306"/>
      <c r="I480" s="1307"/>
      <c r="J480" s="1307"/>
      <c r="K480" s="1307"/>
      <c r="L480" s="1307"/>
      <c r="M480" s="1307"/>
      <c r="N480" s="1307"/>
      <c r="O480" s="1308"/>
      <c r="P480" s="1308"/>
      <c r="Q480" s="1308"/>
      <c r="R480" s="1308"/>
      <c r="S480" s="1317"/>
      <c r="T480" s="1317" t="str">
        <f t="shared" si="7"/>
        <v>DESCO</v>
      </c>
      <c r="U480" s="1308" t="str">
        <f t="shared" si="8"/>
        <v>V166</v>
      </c>
      <c r="V480" s="1308"/>
      <c r="W480" s="1308"/>
      <c r="X480" s="1308"/>
      <c r="Y480" s="1308"/>
      <c r="Z480" s="1308"/>
      <c r="AA480" s="1308"/>
    </row>
    <row r="481" spans="1:27">
      <c r="A481" s="1370" t="s">
        <v>2284</v>
      </c>
      <c r="B481" s="1371" t="s">
        <v>2285</v>
      </c>
      <c r="C481" s="1366"/>
      <c r="D481" s="1366"/>
      <c r="E481" s="1367"/>
      <c r="F481" s="1299"/>
      <c r="G481" s="1309"/>
      <c r="H481" s="1306"/>
      <c r="I481" s="1307"/>
      <c r="J481" s="1307"/>
      <c r="K481" s="1307"/>
      <c r="L481" s="1307"/>
      <c r="M481" s="1307"/>
      <c r="N481" s="1307"/>
      <c r="O481" s="1308"/>
      <c r="P481" s="1308"/>
      <c r="Q481" s="1308"/>
      <c r="R481" s="1308"/>
      <c r="S481" s="1317"/>
      <c r="T481" s="1317" t="str">
        <f t="shared" ref="T481:T544" si="9">B481</f>
        <v>BINDUJA</v>
      </c>
      <c r="U481" s="1308" t="str">
        <f t="shared" ref="U481:U544" si="10">A481</f>
        <v>V167</v>
      </c>
      <c r="V481" s="1308"/>
      <c r="W481" s="1308"/>
      <c r="X481" s="1308"/>
      <c r="Y481" s="1308"/>
      <c r="Z481" s="1308"/>
      <c r="AA481" s="1308"/>
    </row>
    <row r="482" spans="1:27">
      <c r="A482" s="1370" t="s">
        <v>2286</v>
      </c>
      <c r="B482" s="1371" t="s">
        <v>2287</v>
      </c>
      <c r="C482" s="1366"/>
      <c r="D482" s="1366"/>
      <c r="E482" s="1367"/>
      <c r="F482" s="1299"/>
      <c r="G482" s="1309"/>
      <c r="H482" s="1306"/>
      <c r="I482" s="1307"/>
      <c r="J482" s="1307"/>
      <c r="K482" s="1307"/>
      <c r="L482" s="1307"/>
      <c r="M482" s="1307"/>
      <c r="N482" s="1307"/>
      <c r="O482" s="1308"/>
      <c r="P482" s="1308"/>
      <c r="Q482" s="1308"/>
      <c r="R482" s="1308"/>
      <c r="S482" s="1317"/>
      <c r="T482" s="1317" t="str">
        <f t="shared" si="9"/>
        <v>AHMED GHANIM BUILDING</v>
      </c>
      <c r="U482" s="1308" t="str">
        <f t="shared" si="10"/>
        <v>V168</v>
      </c>
      <c r="V482" s="1308"/>
      <c r="W482" s="1308"/>
      <c r="X482" s="1308"/>
      <c r="Y482" s="1308"/>
      <c r="Z482" s="1308"/>
      <c r="AA482" s="1308"/>
    </row>
    <row r="483" spans="1:27">
      <c r="A483" s="1370" t="s">
        <v>2288</v>
      </c>
      <c r="B483" s="1371" t="s">
        <v>2289</v>
      </c>
      <c r="C483" s="1366"/>
      <c r="D483" s="1366"/>
      <c r="E483" s="1367"/>
      <c r="F483" s="1299"/>
      <c r="G483" s="1309"/>
      <c r="H483" s="1306"/>
      <c r="I483" s="1307"/>
      <c r="J483" s="1307"/>
      <c r="K483" s="1307"/>
      <c r="L483" s="1307"/>
      <c r="M483" s="1307"/>
      <c r="N483" s="1307"/>
      <c r="O483" s="1308"/>
      <c r="P483" s="1308"/>
      <c r="Q483" s="1308"/>
      <c r="R483" s="1308"/>
      <c r="S483" s="1317"/>
      <c r="T483" s="1317" t="str">
        <f t="shared" si="9"/>
        <v>AL ASHJAN BUILDING MATERIALS</v>
      </c>
      <c r="U483" s="1308" t="str">
        <f t="shared" si="10"/>
        <v>V169</v>
      </c>
      <c r="V483" s="1308"/>
      <c r="W483" s="1308"/>
      <c r="X483" s="1308"/>
      <c r="Y483" s="1308"/>
      <c r="Z483" s="1308"/>
      <c r="AA483" s="1308"/>
    </row>
    <row r="484" spans="1:27">
      <c r="A484" s="1370" t="s">
        <v>2290</v>
      </c>
      <c r="B484" s="1371" t="s">
        <v>2291</v>
      </c>
      <c r="C484" s="1366"/>
      <c r="D484" s="1366"/>
      <c r="E484" s="1367"/>
      <c r="F484" s="1299"/>
      <c r="G484" s="1309"/>
      <c r="H484" s="1306"/>
      <c r="I484" s="1307"/>
      <c r="J484" s="1307"/>
      <c r="K484" s="1307"/>
      <c r="L484" s="1307"/>
      <c r="M484" s="1307"/>
      <c r="N484" s="1307"/>
      <c r="O484" s="1308"/>
      <c r="P484" s="1308"/>
      <c r="Q484" s="1308"/>
      <c r="R484" s="1308"/>
      <c r="S484" s="1317"/>
      <c r="T484" s="1317" t="str">
        <f t="shared" si="9"/>
        <v>SKY LIGHT</v>
      </c>
      <c r="U484" s="1308" t="str">
        <f t="shared" si="10"/>
        <v>V170</v>
      </c>
      <c r="V484" s="1308"/>
      <c r="W484" s="1308"/>
      <c r="X484" s="1308"/>
      <c r="Y484" s="1308"/>
      <c r="Z484" s="1308"/>
      <c r="AA484" s="1308"/>
    </row>
    <row r="485" spans="1:27">
      <c r="A485" s="1370" t="s">
        <v>2292</v>
      </c>
      <c r="B485" s="1371" t="s">
        <v>2293</v>
      </c>
      <c r="C485" s="1366"/>
      <c r="D485" s="1366"/>
      <c r="E485" s="1367"/>
      <c r="F485" s="1299"/>
      <c r="G485" s="1309"/>
      <c r="H485" s="1306"/>
      <c r="I485" s="1307"/>
      <c r="J485" s="1307"/>
      <c r="K485" s="1307"/>
      <c r="L485" s="1307"/>
      <c r="M485" s="1307"/>
      <c r="N485" s="1307"/>
      <c r="O485" s="1308"/>
      <c r="P485" s="1308"/>
      <c r="Q485" s="1308"/>
      <c r="R485" s="1308"/>
      <c r="S485" s="1317"/>
      <c r="T485" s="1317" t="str">
        <f t="shared" si="9"/>
        <v>CITY MAN STAR</v>
      </c>
      <c r="U485" s="1308" t="str">
        <f t="shared" si="10"/>
        <v>V171</v>
      </c>
      <c r="V485" s="1308"/>
      <c r="W485" s="1308"/>
      <c r="X485" s="1308"/>
      <c r="Y485" s="1308"/>
      <c r="Z485" s="1308"/>
      <c r="AA485" s="1308"/>
    </row>
    <row r="486" spans="1:27">
      <c r="A486" s="1370" t="s">
        <v>2294</v>
      </c>
      <c r="B486" s="1371" t="s">
        <v>2295</v>
      </c>
      <c r="C486" s="1366"/>
      <c r="D486" s="1366"/>
      <c r="E486" s="1367"/>
      <c r="F486" s="1299"/>
      <c r="G486" s="1309"/>
      <c r="H486" s="1306"/>
      <c r="I486" s="1307"/>
      <c r="J486" s="1307"/>
      <c r="K486" s="1307"/>
      <c r="L486" s="1307"/>
      <c r="M486" s="1307"/>
      <c r="N486" s="1307"/>
      <c r="O486" s="1308"/>
      <c r="P486" s="1308"/>
      <c r="Q486" s="1308"/>
      <c r="R486" s="1308"/>
      <c r="S486" s="1317"/>
      <c r="T486" s="1317" t="str">
        <f t="shared" si="9"/>
        <v>Royal Hammer Trading</v>
      </c>
      <c r="U486" s="1308" t="str">
        <f t="shared" si="10"/>
        <v>V172</v>
      </c>
      <c r="V486" s="1308"/>
      <c r="W486" s="1308"/>
      <c r="X486" s="1308"/>
      <c r="Y486" s="1308"/>
      <c r="Z486" s="1308"/>
      <c r="AA486" s="1308"/>
    </row>
    <row r="487" spans="1:27">
      <c r="A487" s="1370" t="s">
        <v>2296</v>
      </c>
      <c r="B487" s="1371" t="s">
        <v>2297</v>
      </c>
      <c r="C487" s="1366"/>
      <c r="D487" s="1366"/>
      <c r="E487" s="1367"/>
      <c r="F487" s="1299"/>
      <c r="G487" s="1309"/>
      <c r="H487" s="1306"/>
      <c r="I487" s="1307"/>
      <c r="J487" s="1307"/>
      <c r="K487" s="1307"/>
      <c r="L487" s="1307"/>
      <c r="M487" s="1307"/>
      <c r="N487" s="1307"/>
      <c r="O487" s="1308"/>
      <c r="P487" s="1308"/>
      <c r="Q487" s="1308"/>
      <c r="R487" s="1308"/>
      <c r="S487" s="1317"/>
      <c r="T487" s="1317" t="str">
        <f t="shared" si="9"/>
        <v>Wahat Meshref</v>
      </c>
      <c r="U487" s="1308" t="str">
        <f t="shared" si="10"/>
        <v>V173</v>
      </c>
      <c r="V487" s="1308"/>
      <c r="W487" s="1308"/>
      <c r="X487" s="1308"/>
      <c r="Y487" s="1308"/>
      <c r="Z487" s="1308"/>
      <c r="AA487" s="1308"/>
    </row>
    <row r="488" spans="1:27">
      <c r="A488" s="1370" t="s">
        <v>2298</v>
      </c>
      <c r="B488" s="1371" t="s">
        <v>2299</v>
      </c>
      <c r="C488" s="1366"/>
      <c r="D488" s="1366"/>
      <c r="E488" s="1367"/>
      <c r="F488" s="1299"/>
      <c r="G488" s="1309"/>
      <c r="H488" s="1306"/>
      <c r="I488" s="1307"/>
      <c r="J488" s="1307"/>
      <c r="K488" s="1307"/>
      <c r="L488" s="1307"/>
      <c r="M488" s="1307"/>
      <c r="N488" s="1307"/>
      <c r="O488" s="1308"/>
      <c r="P488" s="1308"/>
      <c r="Q488" s="1308"/>
      <c r="R488" s="1308"/>
      <c r="S488" s="1317"/>
      <c r="T488" s="1317" t="str">
        <f t="shared" si="9"/>
        <v>Al AQEELA BUILDING MATERIALS</v>
      </c>
      <c r="U488" s="1308" t="str">
        <f t="shared" si="10"/>
        <v>V174</v>
      </c>
      <c r="V488" s="1308"/>
      <c r="W488" s="1308"/>
      <c r="X488" s="1308"/>
      <c r="Y488" s="1308"/>
      <c r="Z488" s="1308"/>
      <c r="AA488" s="1308"/>
    </row>
    <row r="489" spans="1:27">
      <c r="A489" s="1370" t="s">
        <v>2300</v>
      </c>
      <c r="B489" s="1371" t="s">
        <v>2301</v>
      </c>
      <c r="C489" s="1366"/>
      <c r="D489" s="1366"/>
      <c r="E489" s="1367"/>
      <c r="F489" s="1299"/>
      <c r="G489" s="1309"/>
      <c r="H489" s="1306"/>
      <c r="I489" s="1307"/>
      <c r="J489" s="1307"/>
      <c r="K489" s="1307"/>
      <c r="L489" s="1307"/>
      <c r="M489" s="1307"/>
      <c r="N489" s="1307"/>
      <c r="O489" s="1308"/>
      <c r="P489" s="1308"/>
      <c r="Q489" s="1308"/>
      <c r="R489" s="1308"/>
      <c r="S489" s="1317"/>
      <c r="T489" s="1317" t="str">
        <f t="shared" si="9"/>
        <v>RAZEEN BUILDING MATERIALS TRADING</v>
      </c>
      <c r="U489" s="1308" t="str">
        <f t="shared" si="10"/>
        <v>V175</v>
      </c>
      <c r="V489" s="1308"/>
      <c r="W489" s="1308"/>
      <c r="X489" s="1308"/>
      <c r="Y489" s="1308"/>
      <c r="Z489" s="1308"/>
      <c r="AA489" s="1308"/>
    </row>
    <row r="490" spans="1:27">
      <c r="A490" s="1370" t="s">
        <v>2302</v>
      </c>
      <c r="B490" s="1371" t="s">
        <v>2303</v>
      </c>
      <c r="C490" s="1366"/>
      <c r="D490" s="1366"/>
      <c r="E490" s="1367"/>
      <c r="F490" s="1299"/>
      <c r="G490" s="1309"/>
      <c r="H490" s="1306"/>
      <c r="I490" s="1307"/>
      <c r="J490" s="1307"/>
      <c r="K490" s="1307"/>
      <c r="L490" s="1307"/>
      <c r="M490" s="1307"/>
      <c r="N490" s="1307"/>
      <c r="O490" s="1308"/>
      <c r="P490" s="1308"/>
      <c r="Q490" s="1308"/>
      <c r="R490" s="1308"/>
      <c r="S490" s="1317"/>
      <c r="T490" s="1317" t="str">
        <f t="shared" si="9"/>
        <v>BRIGHT VIEW BUILDING MATERIAL</v>
      </c>
      <c r="U490" s="1308" t="str">
        <f t="shared" si="10"/>
        <v>V176</v>
      </c>
      <c r="V490" s="1308"/>
      <c r="W490" s="1308"/>
      <c r="X490" s="1308"/>
      <c r="Y490" s="1308"/>
      <c r="Z490" s="1308"/>
      <c r="AA490" s="1308"/>
    </row>
    <row r="491" spans="1:27">
      <c r="A491" s="1370" t="s">
        <v>2304</v>
      </c>
      <c r="B491" s="1371" t="s">
        <v>2305</v>
      </c>
      <c r="C491" s="1366"/>
      <c r="D491" s="1366"/>
      <c r="E491" s="1367"/>
      <c r="F491" s="1299"/>
      <c r="G491" s="1309"/>
      <c r="H491" s="1306"/>
      <c r="I491" s="1307"/>
      <c r="J491" s="1307"/>
      <c r="K491" s="1307"/>
      <c r="L491" s="1307"/>
      <c r="M491" s="1307"/>
      <c r="N491" s="1307"/>
      <c r="O491" s="1308"/>
      <c r="P491" s="1308"/>
      <c r="Q491" s="1308"/>
      <c r="R491" s="1308"/>
      <c r="S491" s="1317"/>
      <c r="T491" s="1317" t="str">
        <f t="shared" si="9"/>
        <v>TOP LINE BUILDING MATERIALS</v>
      </c>
      <c r="U491" s="1308" t="str">
        <f t="shared" si="10"/>
        <v>V177</v>
      </c>
      <c r="V491" s="1308"/>
      <c r="W491" s="1308"/>
      <c r="X491" s="1308"/>
      <c r="Y491" s="1308"/>
      <c r="Z491" s="1308"/>
      <c r="AA491" s="1308"/>
    </row>
    <row r="492" spans="1:27">
      <c r="A492" s="1370" t="s">
        <v>2306</v>
      </c>
      <c r="B492" s="1371" t="s">
        <v>2307</v>
      </c>
      <c r="C492" s="1366"/>
      <c r="D492" s="1366"/>
      <c r="E492" s="1367"/>
      <c r="F492" s="1299"/>
      <c r="G492" s="1309"/>
      <c r="H492" s="1306"/>
      <c r="I492" s="1307"/>
      <c r="J492" s="1307"/>
      <c r="K492" s="1307"/>
      <c r="L492" s="1307"/>
      <c r="M492" s="1307"/>
      <c r="N492" s="1307"/>
      <c r="O492" s="1308"/>
      <c r="P492" s="1308"/>
      <c r="Q492" s="1308"/>
      <c r="R492" s="1308"/>
      <c r="S492" s="1317"/>
      <c r="T492" s="1317" t="str">
        <f t="shared" si="9"/>
        <v>AL HAYER BUILDING MATERIALS</v>
      </c>
      <c r="U492" s="1308" t="str">
        <f t="shared" si="10"/>
        <v>V178</v>
      </c>
      <c r="V492" s="1308"/>
      <c r="W492" s="1308"/>
      <c r="X492" s="1308"/>
      <c r="Y492" s="1308"/>
      <c r="Z492" s="1308"/>
      <c r="AA492" s="1308"/>
    </row>
    <row r="493" spans="1:27">
      <c r="A493" s="1370" t="s">
        <v>2308</v>
      </c>
      <c r="B493" s="1371" t="s">
        <v>2309</v>
      </c>
      <c r="C493" s="1366"/>
      <c r="D493" s="1366"/>
      <c r="E493" s="1367"/>
      <c r="F493" s="1299"/>
      <c r="G493" s="1309"/>
      <c r="H493" s="1306"/>
      <c r="I493" s="1307"/>
      <c r="J493" s="1307"/>
      <c r="K493" s="1307"/>
      <c r="L493" s="1307"/>
      <c r="M493" s="1307"/>
      <c r="N493" s="1307"/>
      <c r="O493" s="1308"/>
      <c r="P493" s="1308"/>
      <c r="Q493" s="1308"/>
      <c r="R493" s="1308"/>
      <c r="S493" s="1317"/>
      <c r="T493" s="1317" t="str">
        <f t="shared" si="9"/>
        <v>OBAID KHALIFA BLDG</v>
      </c>
      <c r="U493" s="1308" t="str">
        <f t="shared" si="10"/>
        <v>V179</v>
      </c>
      <c r="V493" s="1308"/>
      <c r="W493" s="1308"/>
      <c r="X493" s="1308"/>
      <c r="Y493" s="1308"/>
      <c r="Z493" s="1308"/>
      <c r="AA493" s="1308"/>
    </row>
    <row r="494" spans="1:27">
      <c r="A494" s="1370" t="s">
        <v>2310</v>
      </c>
      <c r="B494" s="1371" t="s">
        <v>2311</v>
      </c>
      <c r="C494" s="1366"/>
      <c r="D494" s="1366"/>
      <c r="E494" s="1367"/>
      <c r="F494" s="1299"/>
      <c r="G494" s="1309"/>
      <c r="H494" s="1306"/>
      <c r="I494" s="1307"/>
      <c r="J494" s="1307"/>
      <c r="K494" s="1307"/>
      <c r="L494" s="1307"/>
      <c r="M494" s="1307"/>
      <c r="N494" s="1307"/>
      <c r="O494" s="1308"/>
      <c r="P494" s="1308"/>
      <c r="Q494" s="1308"/>
      <c r="R494" s="1308"/>
      <c r="S494" s="1317"/>
      <c r="T494" s="1317" t="str">
        <f t="shared" si="9"/>
        <v>RAJ CONDITIONING SYSTEM</v>
      </c>
      <c r="U494" s="1308" t="str">
        <f t="shared" si="10"/>
        <v>V180</v>
      </c>
      <c r="V494" s="1308"/>
      <c r="W494" s="1308"/>
      <c r="X494" s="1308"/>
      <c r="Y494" s="1308"/>
      <c r="Z494" s="1308"/>
      <c r="AA494" s="1308"/>
    </row>
    <row r="495" spans="1:27">
      <c r="A495" s="1370" t="s">
        <v>2312</v>
      </c>
      <c r="B495" s="1371" t="s">
        <v>2313</v>
      </c>
      <c r="C495" s="1366"/>
      <c r="D495" s="1366"/>
      <c r="E495" s="1367"/>
      <c r="F495" s="1299"/>
      <c r="G495" s="1309"/>
      <c r="H495" s="1306"/>
      <c r="I495" s="1307"/>
      <c r="J495" s="1307"/>
      <c r="K495" s="1307"/>
      <c r="L495" s="1307"/>
      <c r="M495" s="1307"/>
      <c r="N495" s="1307"/>
      <c r="O495" s="1308"/>
      <c r="P495" s="1308"/>
      <c r="Q495" s="1308"/>
      <c r="R495" s="1308"/>
      <c r="S495" s="1317"/>
      <c r="T495" s="1317" t="str">
        <f t="shared" si="9"/>
        <v>AMB AIR CONDITION</v>
      </c>
      <c r="U495" s="1308" t="str">
        <f t="shared" si="10"/>
        <v>V181</v>
      </c>
      <c r="V495" s="1308"/>
      <c r="W495" s="1308"/>
      <c r="X495" s="1308"/>
      <c r="Y495" s="1308"/>
      <c r="Z495" s="1308"/>
      <c r="AA495" s="1308"/>
    </row>
    <row r="496" spans="1:27">
      <c r="A496" s="1370" t="s">
        <v>2314</v>
      </c>
      <c r="B496" s="1371" t="s">
        <v>2315</v>
      </c>
      <c r="C496" s="1366"/>
      <c r="D496" s="1366"/>
      <c r="E496" s="1367"/>
      <c r="F496" s="1299"/>
      <c r="G496" s="1309"/>
      <c r="H496" s="1306"/>
      <c r="I496" s="1307"/>
      <c r="J496" s="1307"/>
      <c r="K496" s="1307"/>
      <c r="L496" s="1307"/>
      <c r="M496" s="1307"/>
      <c r="N496" s="1307"/>
      <c r="O496" s="1308"/>
      <c r="P496" s="1308"/>
      <c r="Q496" s="1308"/>
      <c r="R496" s="1308"/>
      <c r="S496" s="1317"/>
      <c r="T496" s="1317" t="str">
        <f t="shared" si="9"/>
        <v>AIRTEC</v>
      </c>
      <c r="U496" s="1308" t="str">
        <f t="shared" si="10"/>
        <v>V182</v>
      </c>
      <c r="V496" s="1308"/>
      <c r="W496" s="1308"/>
      <c r="X496" s="1308"/>
      <c r="Y496" s="1308"/>
      <c r="Z496" s="1308"/>
      <c r="AA496" s="1308"/>
    </row>
    <row r="497" spans="1:27">
      <c r="A497" s="1370" t="s">
        <v>2316</v>
      </c>
      <c r="B497" s="1371" t="s">
        <v>2317</v>
      </c>
      <c r="C497" s="1366"/>
      <c r="D497" s="1366"/>
      <c r="E497" s="1367"/>
      <c r="F497" s="1299"/>
      <c r="G497" s="1309"/>
      <c r="H497" s="1306"/>
      <c r="I497" s="1307"/>
      <c r="J497" s="1307"/>
      <c r="K497" s="1307"/>
      <c r="L497" s="1307"/>
      <c r="M497" s="1307"/>
      <c r="N497" s="1307"/>
      <c r="O497" s="1308"/>
      <c r="P497" s="1308"/>
      <c r="Q497" s="1308"/>
      <c r="R497" s="1308"/>
      <c r="S497" s="1317"/>
      <c r="T497" s="1317" t="str">
        <f t="shared" si="9"/>
        <v>AL MARMOOM</v>
      </c>
      <c r="U497" s="1308" t="str">
        <f t="shared" si="10"/>
        <v>V183</v>
      </c>
      <c r="V497" s="1308"/>
      <c r="W497" s="1308"/>
      <c r="X497" s="1308"/>
      <c r="Y497" s="1308"/>
      <c r="Z497" s="1308"/>
      <c r="AA497" s="1308"/>
    </row>
    <row r="498" spans="1:27">
      <c r="A498" s="1370" t="s">
        <v>2318</v>
      </c>
      <c r="B498" s="1371" t="s">
        <v>2319</v>
      </c>
      <c r="C498" s="1366"/>
      <c r="D498" s="1366"/>
      <c r="E498" s="1367"/>
      <c r="F498" s="1299"/>
      <c r="G498" s="1309"/>
      <c r="H498" s="1306"/>
      <c r="I498" s="1307"/>
      <c r="J498" s="1307"/>
      <c r="K498" s="1307"/>
      <c r="L498" s="1307"/>
      <c r="M498" s="1307"/>
      <c r="N498" s="1307"/>
      <c r="O498" s="1308"/>
      <c r="P498" s="1308"/>
      <c r="Q498" s="1308"/>
      <c r="R498" s="1308"/>
      <c r="S498" s="1317"/>
      <c r="T498" s="1317" t="str">
        <f t="shared" si="9"/>
        <v>BROAD WAY</v>
      </c>
      <c r="U498" s="1308" t="str">
        <f t="shared" si="10"/>
        <v>V184</v>
      </c>
      <c r="V498" s="1308"/>
      <c r="W498" s="1308"/>
      <c r="X498" s="1308"/>
      <c r="Y498" s="1308"/>
      <c r="Z498" s="1308"/>
      <c r="AA498" s="1308"/>
    </row>
    <row r="499" spans="1:27">
      <c r="A499" s="1370" t="s">
        <v>2320</v>
      </c>
      <c r="B499" s="1371" t="s">
        <v>2321</v>
      </c>
      <c r="C499" s="1366"/>
      <c r="D499" s="1366"/>
      <c r="E499" s="1367"/>
      <c r="F499" s="1299"/>
      <c r="G499" s="1309"/>
      <c r="H499" s="1306"/>
      <c r="I499" s="1307"/>
      <c r="J499" s="1307"/>
      <c r="K499" s="1307"/>
      <c r="L499" s="1307"/>
      <c r="M499" s="1307"/>
      <c r="N499" s="1307"/>
      <c r="O499" s="1308"/>
      <c r="P499" s="1308"/>
      <c r="Q499" s="1308"/>
      <c r="R499" s="1308"/>
      <c r="S499" s="1317"/>
      <c r="T499" s="1317" t="str">
        <f t="shared" si="9"/>
        <v>AL MATHER STEEL WORKS</v>
      </c>
      <c r="U499" s="1308" t="str">
        <f t="shared" si="10"/>
        <v>V185</v>
      </c>
      <c r="V499" s="1308"/>
      <c r="W499" s="1308"/>
      <c r="X499" s="1308"/>
      <c r="Y499" s="1308"/>
      <c r="Z499" s="1308"/>
      <c r="AA499" s="1308"/>
    </row>
    <row r="500" spans="1:27">
      <c r="A500" s="1370" t="s">
        <v>2322</v>
      </c>
      <c r="B500" s="1371" t="s">
        <v>2323</v>
      </c>
      <c r="C500" s="1366"/>
      <c r="D500" s="1366"/>
      <c r="E500" s="1367"/>
      <c r="F500" s="1299"/>
      <c r="G500" s="1309"/>
      <c r="H500" s="1306"/>
      <c r="I500" s="1307"/>
      <c r="J500" s="1307"/>
      <c r="K500" s="1307"/>
      <c r="L500" s="1307"/>
      <c r="M500" s="1307"/>
      <c r="N500" s="1307"/>
      <c r="O500" s="1308"/>
      <c r="P500" s="1308"/>
      <c r="Q500" s="1308"/>
      <c r="R500" s="1308"/>
      <c r="S500" s="1317"/>
      <c r="T500" s="1317" t="str">
        <f t="shared" si="9"/>
        <v>ELECTROMECH CO.</v>
      </c>
      <c r="U500" s="1308" t="str">
        <f t="shared" si="10"/>
        <v>V186</v>
      </c>
      <c r="V500" s="1308"/>
      <c r="W500" s="1308"/>
      <c r="X500" s="1308"/>
      <c r="Y500" s="1308"/>
      <c r="Z500" s="1308"/>
      <c r="AA500" s="1308"/>
    </row>
    <row r="501" spans="1:27">
      <c r="A501" s="1370" t="s">
        <v>2324</v>
      </c>
      <c r="B501" s="1371" t="s">
        <v>2325</v>
      </c>
      <c r="C501" s="1366"/>
      <c r="D501" s="1366"/>
      <c r="E501" s="1367"/>
      <c r="F501" s="1299"/>
      <c r="G501" s="1309"/>
      <c r="H501" s="1306"/>
      <c r="I501" s="1307"/>
      <c r="J501" s="1307"/>
      <c r="K501" s="1307"/>
      <c r="L501" s="1307"/>
      <c r="M501" s="1307"/>
      <c r="N501" s="1307"/>
      <c r="O501" s="1308"/>
      <c r="P501" s="1308"/>
      <c r="Q501" s="1308"/>
      <c r="R501" s="1308"/>
      <c r="S501" s="1317"/>
      <c r="T501" s="1317" t="str">
        <f t="shared" si="9"/>
        <v>AHMED MOHD GHANIM</v>
      </c>
      <c r="U501" s="1308" t="str">
        <f t="shared" si="10"/>
        <v>V187</v>
      </c>
      <c r="V501" s="1308"/>
      <c r="W501" s="1308"/>
      <c r="X501" s="1308"/>
      <c r="Y501" s="1308"/>
      <c r="Z501" s="1308"/>
      <c r="AA501" s="1308"/>
    </row>
    <row r="502" spans="1:27">
      <c r="A502" s="1370" t="s">
        <v>2326</v>
      </c>
      <c r="B502" s="1371" t="s">
        <v>2327</v>
      </c>
      <c r="C502" s="1366"/>
      <c r="D502" s="1366"/>
      <c r="E502" s="1367"/>
      <c r="F502" s="1299"/>
      <c r="G502" s="1309"/>
      <c r="H502" s="1306"/>
      <c r="I502" s="1307"/>
      <c r="J502" s="1307"/>
      <c r="K502" s="1307"/>
      <c r="L502" s="1307"/>
      <c r="M502" s="1307"/>
      <c r="N502" s="1307"/>
      <c r="O502" s="1308"/>
      <c r="P502" s="1308"/>
      <c r="Q502" s="1308"/>
      <c r="R502" s="1308"/>
      <c r="S502" s="1317"/>
      <c r="T502" s="1317" t="str">
        <f t="shared" si="9"/>
        <v>DELMON</v>
      </c>
      <c r="U502" s="1308" t="str">
        <f t="shared" si="10"/>
        <v>V188</v>
      </c>
      <c r="V502" s="1308"/>
      <c r="W502" s="1308"/>
      <c r="X502" s="1308"/>
      <c r="Y502" s="1308"/>
      <c r="Z502" s="1308"/>
      <c r="AA502" s="1308"/>
    </row>
    <row r="503" spans="1:27">
      <c r="A503" s="1370" t="s">
        <v>2328</v>
      </c>
      <c r="B503" s="1371" t="s">
        <v>2329</v>
      </c>
      <c r="C503" s="1366"/>
      <c r="D503" s="1366"/>
      <c r="E503" s="1367"/>
      <c r="F503" s="1299"/>
      <c r="G503" s="1309"/>
      <c r="H503" s="1306"/>
      <c r="I503" s="1307"/>
      <c r="J503" s="1307"/>
      <c r="K503" s="1307"/>
      <c r="L503" s="1307"/>
      <c r="M503" s="1307"/>
      <c r="N503" s="1307"/>
      <c r="O503" s="1308"/>
      <c r="P503" s="1308"/>
      <c r="Q503" s="1308"/>
      <c r="R503" s="1308"/>
      <c r="S503" s="1317"/>
      <c r="T503" s="1317" t="str">
        <f t="shared" si="9"/>
        <v>ALMARWA</v>
      </c>
      <c r="U503" s="1308" t="str">
        <f t="shared" si="10"/>
        <v>V189</v>
      </c>
      <c r="V503" s="1308"/>
      <c r="W503" s="1308"/>
      <c r="X503" s="1308"/>
      <c r="Y503" s="1308"/>
      <c r="Z503" s="1308"/>
      <c r="AA503" s="1308"/>
    </row>
    <row r="504" spans="1:27">
      <c r="A504" s="1370" t="s">
        <v>2330</v>
      </c>
      <c r="B504" s="1371" t="s">
        <v>2331</v>
      </c>
      <c r="C504" s="1366"/>
      <c r="D504" s="1366"/>
      <c r="E504" s="1367"/>
      <c r="F504" s="1299"/>
      <c r="G504" s="1309"/>
      <c r="H504" s="1306"/>
      <c r="I504" s="1307"/>
      <c r="J504" s="1307"/>
      <c r="K504" s="1307"/>
      <c r="L504" s="1307"/>
      <c r="M504" s="1307"/>
      <c r="N504" s="1307"/>
      <c r="O504" s="1308"/>
      <c r="P504" s="1308"/>
      <c r="Q504" s="1308"/>
      <c r="R504" s="1308"/>
      <c r="S504" s="1317"/>
      <c r="T504" s="1317" t="str">
        <f t="shared" si="9"/>
        <v>A NOON INTERNATIONAL TRADING</v>
      </c>
      <c r="U504" s="1308" t="str">
        <f t="shared" si="10"/>
        <v>V190</v>
      </c>
      <c r="V504" s="1308"/>
      <c r="W504" s="1308"/>
      <c r="X504" s="1308"/>
      <c r="Y504" s="1308"/>
      <c r="Z504" s="1308"/>
      <c r="AA504" s="1308"/>
    </row>
    <row r="505" spans="1:27">
      <c r="A505" s="1370" t="s">
        <v>2332</v>
      </c>
      <c r="B505" s="1371" t="s">
        <v>2333</v>
      </c>
      <c r="C505" s="1366"/>
      <c r="D505" s="1366"/>
      <c r="E505" s="1367"/>
      <c r="F505" s="1299"/>
      <c r="G505" s="1309"/>
      <c r="H505" s="1306"/>
      <c r="I505" s="1307"/>
      <c r="J505" s="1307"/>
      <c r="K505" s="1307"/>
      <c r="L505" s="1307"/>
      <c r="M505" s="1307"/>
      <c r="N505" s="1307"/>
      <c r="O505" s="1308"/>
      <c r="P505" s="1308"/>
      <c r="Q505" s="1308"/>
      <c r="R505" s="1308"/>
      <c r="S505" s="1317"/>
      <c r="T505" s="1317" t="str">
        <f t="shared" si="9"/>
        <v>AL KHAWANIIJ GEN.TRDG</v>
      </c>
      <c r="U505" s="1308" t="str">
        <f t="shared" si="10"/>
        <v>V191</v>
      </c>
      <c r="V505" s="1308"/>
      <c r="W505" s="1308"/>
      <c r="X505" s="1308"/>
      <c r="Y505" s="1308"/>
      <c r="Z505" s="1308"/>
      <c r="AA505" s="1308"/>
    </row>
    <row r="506" spans="1:27">
      <c r="A506" s="1370" t="s">
        <v>2334</v>
      </c>
      <c r="B506" s="1371" t="s">
        <v>2335</v>
      </c>
      <c r="C506" s="1366"/>
      <c r="D506" s="1366"/>
      <c r="E506" s="1367"/>
      <c r="F506" s="1299"/>
      <c r="G506" s="1309"/>
      <c r="H506" s="1306" t="s">
        <v>2785</v>
      </c>
      <c r="I506" s="1307"/>
      <c r="J506" s="1307" t="s">
        <v>2801</v>
      </c>
      <c r="K506" s="1307" t="s">
        <v>2802</v>
      </c>
      <c r="L506" s="1307" t="s">
        <v>2803</v>
      </c>
      <c r="M506" s="1307" t="s">
        <v>2804</v>
      </c>
      <c r="N506" s="1307" t="s">
        <v>2805</v>
      </c>
      <c r="O506" s="1308"/>
      <c r="P506" s="1308"/>
      <c r="Q506" s="1308"/>
      <c r="R506" s="1308"/>
      <c r="S506" s="1317"/>
      <c r="T506" s="1317" t="str">
        <f t="shared" si="9"/>
        <v>AL AWTAR</v>
      </c>
      <c r="U506" s="1308" t="str">
        <f t="shared" si="10"/>
        <v>V192</v>
      </c>
      <c r="V506" s="1308"/>
      <c r="W506" s="1308"/>
      <c r="X506" s="1308"/>
      <c r="Y506" s="1308"/>
      <c r="Z506" s="1308"/>
      <c r="AA506" s="1308"/>
    </row>
    <row r="507" spans="1:27">
      <c r="A507" s="1370" t="s">
        <v>2336</v>
      </c>
      <c r="B507" s="1371" t="s">
        <v>2337</v>
      </c>
      <c r="C507" s="1366"/>
      <c r="D507" s="1366"/>
      <c r="E507" s="1367"/>
      <c r="F507" s="1299"/>
      <c r="G507" s="1309"/>
      <c r="H507" s="1306"/>
      <c r="I507" s="1307"/>
      <c r="J507" s="1307"/>
      <c r="K507" s="1307"/>
      <c r="L507" s="1307"/>
      <c r="M507" s="1307"/>
      <c r="N507" s="1307"/>
      <c r="O507" s="1308"/>
      <c r="P507" s="1308"/>
      <c r="Q507" s="1308"/>
      <c r="R507" s="1308"/>
      <c r="S507" s="1317"/>
      <c r="T507" s="1317" t="str">
        <f t="shared" si="9"/>
        <v>FATIMA HUSSAIN</v>
      </c>
      <c r="U507" s="1308" t="str">
        <f t="shared" si="10"/>
        <v>V193</v>
      </c>
      <c r="V507" s="1308"/>
      <c r="W507" s="1308"/>
      <c r="X507" s="1308"/>
      <c r="Y507" s="1308"/>
      <c r="Z507" s="1308"/>
      <c r="AA507" s="1308"/>
    </row>
    <row r="508" spans="1:27">
      <c r="A508" s="1370" t="s">
        <v>2338</v>
      </c>
      <c r="B508" s="1371" t="s">
        <v>2339</v>
      </c>
      <c r="C508" s="1366"/>
      <c r="D508" s="1366"/>
      <c r="E508" s="1367"/>
      <c r="F508" s="1299"/>
      <c r="G508" s="1309"/>
      <c r="H508" s="1306"/>
      <c r="I508" s="1307"/>
      <c r="J508" s="1307"/>
      <c r="K508" s="1307"/>
      <c r="L508" s="1307"/>
      <c r="M508" s="1307"/>
      <c r="N508" s="1307"/>
      <c r="O508" s="1308"/>
      <c r="P508" s="1308"/>
      <c r="Q508" s="1308"/>
      <c r="R508" s="1308"/>
      <c r="S508" s="1317"/>
      <c r="T508" s="1317" t="str">
        <f t="shared" si="9"/>
        <v>GULF-O-FLEX</v>
      </c>
      <c r="U508" s="1308" t="str">
        <f t="shared" si="10"/>
        <v>V194</v>
      </c>
      <c r="V508" s="1308"/>
      <c r="W508" s="1308"/>
      <c r="X508" s="1308"/>
      <c r="Y508" s="1308"/>
      <c r="Z508" s="1308"/>
      <c r="AA508" s="1308"/>
    </row>
    <row r="509" spans="1:27">
      <c r="A509" s="1370" t="s">
        <v>2340</v>
      </c>
      <c r="B509" s="1371" t="s">
        <v>2341</v>
      </c>
      <c r="C509" s="1366"/>
      <c r="D509" s="1366"/>
      <c r="E509" s="1367"/>
      <c r="F509" s="1299"/>
      <c r="G509" s="1309"/>
      <c r="H509" s="1306"/>
      <c r="I509" s="1307"/>
      <c r="J509" s="1307"/>
      <c r="K509" s="1307"/>
      <c r="L509" s="1307"/>
      <c r="M509" s="1307"/>
      <c r="N509" s="1307"/>
      <c r="O509" s="1308"/>
      <c r="P509" s="1308"/>
      <c r="Q509" s="1308"/>
      <c r="R509" s="1308"/>
      <c r="S509" s="1317"/>
      <c r="T509" s="1317" t="str">
        <f t="shared" si="9"/>
        <v>HAYAT BUILDING MATERIALS</v>
      </c>
      <c r="U509" s="1308" t="str">
        <f t="shared" si="10"/>
        <v>V195</v>
      </c>
      <c r="V509" s="1308"/>
      <c r="W509" s="1308"/>
      <c r="X509" s="1308"/>
      <c r="Y509" s="1308"/>
      <c r="Z509" s="1308"/>
      <c r="AA509" s="1308"/>
    </row>
    <row r="510" spans="1:27">
      <c r="A510" s="1370" t="s">
        <v>2342</v>
      </c>
      <c r="B510" s="1371" t="s">
        <v>2343</v>
      </c>
      <c r="C510" s="1366"/>
      <c r="D510" s="1366"/>
      <c r="E510" s="1367"/>
      <c r="F510" s="1299"/>
      <c r="G510" s="1309"/>
      <c r="H510" s="1306"/>
      <c r="I510" s="1307"/>
      <c r="J510" s="1307"/>
      <c r="K510" s="1307"/>
      <c r="L510" s="1307"/>
      <c r="M510" s="1307"/>
      <c r="N510" s="1307"/>
      <c r="O510" s="1308"/>
      <c r="P510" s="1308"/>
      <c r="Q510" s="1308"/>
      <c r="R510" s="1308"/>
      <c r="S510" s="1317"/>
      <c r="T510" s="1317" t="str">
        <f t="shared" si="9"/>
        <v>ABAZAR</v>
      </c>
      <c r="U510" s="1308" t="str">
        <f t="shared" si="10"/>
        <v>V196</v>
      </c>
      <c r="V510" s="1308"/>
      <c r="W510" s="1308"/>
      <c r="X510" s="1308"/>
      <c r="Y510" s="1308"/>
      <c r="Z510" s="1308"/>
      <c r="AA510" s="1308"/>
    </row>
    <row r="511" spans="1:27">
      <c r="A511" s="1370" t="s">
        <v>2344</v>
      </c>
      <c r="B511" s="1371" t="s">
        <v>2345</v>
      </c>
      <c r="C511" s="1366"/>
      <c r="D511" s="1366"/>
      <c r="E511" s="1367"/>
      <c r="F511" s="1299"/>
      <c r="G511" s="1309"/>
      <c r="H511" s="1306"/>
      <c r="I511" s="1307"/>
      <c r="J511" s="1307"/>
      <c r="K511" s="1307"/>
      <c r="L511" s="1307"/>
      <c r="M511" s="1307"/>
      <c r="N511" s="1307"/>
      <c r="O511" s="1308"/>
      <c r="P511" s="1308"/>
      <c r="Q511" s="1308"/>
      <c r="R511" s="1308"/>
      <c r="S511" s="1317"/>
      <c r="T511" s="1317" t="str">
        <f t="shared" si="9"/>
        <v>Abu Murrah</v>
      </c>
      <c r="U511" s="1308" t="str">
        <f t="shared" si="10"/>
        <v>V197</v>
      </c>
      <c r="V511" s="1308"/>
      <c r="W511" s="1308"/>
      <c r="X511" s="1308"/>
      <c r="Y511" s="1308"/>
      <c r="Z511" s="1308"/>
      <c r="AA511" s="1308"/>
    </row>
    <row r="512" spans="1:27">
      <c r="A512" s="1370" t="s">
        <v>2346</v>
      </c>
      <c r="B512" s="1371" t="s">
        <v>2347</v>
      </c>
      <c r="C512" s="1366"/>
      <c r="D512" s="1366"/>
      <c r="E512" s="1367"/>
      <c r="F512" s="1299"/>
      <c r="G512" s="1309"/>
      <c r="H512" s="1306"/>
      <c r="I512" s="1307"/>
      <c r="J512" s="1307"/>
      <c r="K512" s="1307"/>
      <c r="L512" s="1307"/>
      <c r="M512" s="1307"/>
      <c r="N512" s="1307"/>
      <c r="O512" s="1308"/>
      <c r="P512" s="1308"/>
      <c r="Q512" s="1308"/>
      <c r="R512" s="1308"/>
      <c r="S512" s="1317"/>
      <c r="T512" s="1317" t="str">
        <f t="shared" si="9"/>
        <v>BAWABAT AL FALAH</v>
      </c>
      <c r="U512" s="1308" t="str">
        <f t="shared" si="10"/>
        <v>V198</v>
      </c>
      <c r="V512" s="1308"/>
      <c r="W512" s="1308"/>
      <c r="X512" s="1308"/>
      <c r="Y512" s="1308"/>
      <c r="Z512" s="1308"/>
      <c r="AA512" s="1308"/>
    </row>
    <row r="513" spans="1:27">
      <c r="A513" s="1370" t="s">
        <v>2348</v>
      </c>
      <c r="B513" s="1371" t="s">
        <v>2349</v>
      </c>
      <c r="C513" s="1366"/>
      <c r="D513" s="1366"/>
      <c r="E513" s="1367"/>
      <c r="F513" s="1299"/>
      <c r="G513" s="1309"/>
      <c r="H513" s="1306"/>
      <c r="I513" s="1307"/>
      <c r="J513" s="1307"/>
      <c r="K513" s="1307"/>
      <c r="L513" s="1307"/>
      <c r="M513" s="1307"/>
      <c r="N513" s="1307"/>
      <c r="O513" s="1308"/>
      <c r="P513" s="1308"/>
      <c r="Q513" s="1308"/>
      <c r="R513" s="1308"/>
      <c r="S513" s="1317"/>
      <c r="T513" s="1317" t="str">
        <f t="shared" si="9"/>
        <v>BLUE WATER BUILDING MATERIAL</v>
      </c>
      <c r="U513" s="1308" t="str">
        <f t="shared" si="10"/>
        <v>V199</v>
      </c>
      <c r="V513" s="1308"/>
      <c r="W513" s="1308"/>
      <c r="X513" s="1308"/>
      <c r="Y513" s="1308"/>
      <c r="Z513" s="1308"/>
      <c r="AA513" s="1308"/>
    </row>
    <row r="514" spans="1:27">
      <c r="A514" s="1370" t="s">
        <v>2350</v>
      </c>
      <c r="B514" s="1371" t="s">
        <v>2351</v>
      </c>
      <c r="C514" s="1366"/>
      <c r="D514" s="1366"/>
      <c r="E514" s="1367"/>
      <c r="F514" s="1299"/>
      <c r="G514" s="1309"/>
      <c r="H514" s="1306"/>
      <c r="I514" s="1307"/>
      <c r="J514" s="1307"/>
      <c r="K514" s="1307"/>
      <c r="L514" s="1307"/>
      <c r="M514" s="1307"/>
      <c r="N514" s="1307"/>
      <c r="O514" s="1308"/>
      <c r="P514" s="1308"/>
      <c r="Q514" s="1308"/>
      <c r="R514" s="1308"/>
      <c r="S514" s="1317"/>
      <c r="T514" s="1317" t="str">
        <f t="shared" si="9"/>
        <v>NOUR AL QAMAR</v>
      </c>
      <c r="U514" s="1308" t="str">
        <f t="shared" si="10"/>
        <v>V200</v>
      </c>
      <c r="V514" s="1308"/>
      <c r="W514" s="1308"/>
      <c r="X514" s="1308"/>
      <c r="Y514" s="1308"/>
      <c r="Z514" s="1308"/>
      <c r="AA514" s="1308"/>
    </row>
    <row r="515" spans="1:27">
      <c r="A515" s="1370" t="s">
        <v>2352</v>
      </c>
      <c r="B515" s="1371" t="s">
        <v>2353</v>
      </c>
      <c r="C515" s="1366"/>
      <c r="D515" s="1366"/>
      <c r="E515" s="1367"/>
      <c r="F515" s="1299"/>
      <c r="G515" s="1309"/>
      <c r="H515" s="1306"/>
      <c r="I515" s="1307"/>
      <c r="J515" s="1307"/>
      <c r="K515" s="1307"/>
      <c r="L515" s="1307"/>
      <c r="M515" s="1307"/>
      <c r="N515" s="1307"/>
      <c r="O515" s="1308"/>
      <c r="P515" s="1308"/>
      <c r="Q515" s="1308"/>
      <c r="R515" s="1308"/>
      <c r="S515" s="1317"/>
      <c r="T515" s="1317" t="str">
        <f t="shared" si="9"/>
        <v>ALSIDRA BUILDING MATERIALS</v>
      </c>
      <c r="U515" s="1308" t="str">
        <f t="shared" si="10"/>
        <v>V201</v>
      </c>
      <c r="V515" s="1308"/>
      <c r="W515" s="1308"/>
      <c r="X515" s="1308"/>
      <c r="Y515" s="1308"/>
      <c r="Z515" s="1308"/>
      <c r="AA515" s="1308"/>
    </row>
    <row r="516" spans="1:27">
      <c r="A516" s="1370" t="s">
        <v>2354</v>
      </c>
      <c r="B516" s="1371" t="s">
        <v>2355</v>
      </c>
      <c r="C516" s="1366"/>
      <c r="D516" s="1366"/>
      <c r="E516" s="1367"/>
      <c r="F516" s="1299"/>
      <c r="G516" s="1309"/>
      <c r="H516" s="1306"/>
      <c r="I516" s="1307"/>
      <c r="J516" s="1307"/>
      <c r="K516" s="1307"/>
      <c r="L516" s="1307"/>
      <c r="M516" s="1307"/>
      <c r="N516" s="1307"/>
      <c r="O516" s="1308"/>
      <c r="P516" s="1308"/>
      <c r="Q516" s="1308"/>
      <c r="R516" s="1308"/>
      <c r="S516" s="1317"/>
      <c r="T516" s="1317" t="str">
        <f t="shared" si="9"/>
        <v>SUROR ALMADINA</v>
      </c>
      <c r="U516" s="1308" t="str">
        <f t="shared" si="10"/>
        <v>V202</v>
      </c>
      <c r="V516" s="1308"/>
      <c r="W516" s="1308"/>
      <c r="X516" s="1308"/>
      <c r="Y516" s="1308"/>
      <c r="Z516" s="1308"/>
      <c r="AA516" s="1308"/>
    </row>
    <row r="517" spans="1:27">
      <c r="A517" s="1370" t="s">
        <v>2356</v>
      </c>
      <c r="B517" s="1371" t="s">
        <v>2357</v>
      </c>
      <c r="C517" s="1366"/>
      <c r="D517" s="1366"/>
      <c r="E517" s="1367"/>
      <c r="F517" s="1299"/>
      <c r="G517" s="1309"/>
      <c r="H517" s="1306"/>
      <c r="I517" s="1307"/>
      <c r="J517" s="1307"/>
      <c r="K517" s="1307"/>
      <c r="L517" s="1307"/>
      <c r="M517" s="1307"/>
      <c r="N517" s="1307"/>
      <c r="O517" s="1308"/>
      <c r="P517" s="1308"/>
      <c r="Q517" s="1308"/>
      <c r="R517" s="1308"/>
      <c r="S517" s="1317"/>
      <c r="T517" s="1317" t="str">
        <f t="shared" si="9"/>
        <v>HUSAINI AJMER BUILDING MATERIAL TRADING</v>
      </c>
      <c r="U517" s="1308" t="str">
        <f t="shared" si="10"/>
        <v>V203</v>
      </c>
      <c r="V517" s="1308"/>
      <c r="W517" s="1308"/>
      <c r="X517" s="1308"/>
      <c r="Y517" s="1308"/>
      <c r="Z517" s="1308"/>
      <c r="AA517" s="1308"/>
    </row>
    <row r="518" spans="1:27">
      <c r="A518" s="1370" t="s">
        <v>2358</v>
      </c>
      <c r="B518" s="1371" t="s">
        <v>2359</v>
      </c>
      <c r="C518" s="1366"/>
      <c r="D518" s="1366"/>
      <c r="E518" s="1367"/>
      <c r="F518" s="1299"/>
      <c r="G518" s="1309"/>
      <c r="H518" s="1306"/>
      <c r="I518" s="1307"/>
      <c r="J518" s="1307"/>
      <c r="K518" s="1307"/>
      <c r="L518" s="1307"/>
      <c r="M518" s="1307"/>
      <c r="N518" s="1307"/>
      <c r="O518" s="1308"/>
      <c r="P518" s="1308"/>
      <c r="Q518" s="1308"/>
      <c r="R518" s="1308"/>
      <c r="S518" s="1317"/>
      <c r="T518" s="1317" t="str">
        <f t="shared" si="9"/>
        <v>CLI-MAX</v>
      </c>
      <c r="U518" s="1308" t="str">
        <f t="shared" si="10"/>
        <v>V204</v>
      </c>
      <c r="V518" s="1308"/>
      <c r="W518" s="1308"/>
      <c r="X518" s="1308"/>
      <c r="Y518" s="1308"/>
      <c r="Z518" s="1308"/>
      <c r="AA518" s="1308"/>
    </row>
    <row r="519" spans="1:27">
      <c r="A519" s="1370" t="s">
        <v>2360</v>
      </c>
      <c r="B519" s="1371" t="s">
        <v>2361</v>
      </c>
      <c r="C519" s="1366"/>
      <c r="D519" s="1366"/>
      <c r="E519" s="1367"/>
      <c r="F519" s="1299"/>
      <c r="G519" s="1309"/>
      <c r="H519" s="1306"/>
      <c r="I519" s="1307"/>
      <c r="J519" s="1307"/>
      <c r="K519" s="1307"/>
      <c r="L519" s="1307"/>
      <c r="M519" s="1307"/>
      <c r="N519" s="1307"/>
      <c r="O519" s="1308"/>
      <c r="P519" s="1308"/>
      <c r="Q519" s="1308"/>
      <c r="R519" s="1308"/>
      <c r="S519" s="1317"/>
      <c r="T519" s="1317" t="str">
        <f t="shared" si="9"/>
        <v>AHMED MARRAH BUILDING MATERIALS</v>
      </c>
      <c r="U519" s="1308" t="str">
        <f t="shared" si="10"/>
        <v>V205</v>
      </c>
      <c r="V519" s="1308"/>
      <c r="W519" s="1308"/>
      <c r="X519" s="1308"/>
      <c r="Y519" s="1308"/>
      <c r="Z519" s="1308"/>
      <c r="AA519" s="1308"/>
    </row>
    <row r="520" spans="1:27">
      <c r="A520" s="1370" t="s">
        <v>2362</v>
      </c>
      <c r="B520" s="1371" t="s">
        <v>2363</v>
      </c>
      <c r="C520" s="1366"/>
      <c r="D520" s="1366"/>
      <c r="E520" s="1367"/>
      <c r="F520" s="1299"/>
      <c r="G520" s="1309"/>
      <c r="H520" s="1306"/>
      <c r="I520" s="1307"/>
      <c r="J520" s="1307"/>
      <c r="K520" s="1307"/>
      <c r="L520" s="1307"/>
      <c r="M520" s="1307"/>
      <c r="N520" s="1307"/>
      <c r="O520" s="1308"/>
      <c r="P520" s="1308"/>
      <c r="Q520" s="1308"/>
      <c r="R520" s="1308"/>
      <c r="S520" s="1317"/>
      <c r="T520" s="1317" t="str">
        <f t="shared" si="9"/>
        <v>FAREED AHMED A/C SPARE PARTS</v>
      </c>
      <c r="U520" s="1308" t="str">
        <f t="shared" si="10"/>
        <v>V206</v>
      </c>
      <c r="V520" s="1308"/>
      <c r="W520" s="1308"/>
      <c r="X520" s="1308"/>
      <c r="Y520" s="1308"/>
      <c r="Z520" s="1308"/>
      <c r="AA520" s="1308"/>
    </row>
    <row r="521" spans="1:27">
      <c r="A521" s="1370" t="s">
        <v>2364</v>
      </c>
      <c r="B521" s="1371" t="s">
        <v>2365</v>
      </c>
      <c r="C521" s="1366"/>
      <c r="D521" s="1366"/>
      <c r="E521" s="1367"/>
      <c r="F521" s="1299"/>
      <c r="G521" s="1309"/>
      <c r="H521" s="1306"/>
      <c r="I521" s="1307"/>
      <c r="J521" s="1307"/>
      <c r="K521" s="1307"/>
      <c r="L521" s="1307"/>
      <c r="M521" s="1307"/>
      <c r="N521" s="1307"/>
      <c r="O521" s="1308"/>
      <c r="P521" s="1308"/>
      <c r="Q521" s="1308"/>
      <c r="R521" s="1308"/>
      <c r="S521" s="1317"/>
      <c r="T521" s="1317" t="str">
        <f t="shared" si="9"/>
        <v>AL NOOR TRADING EST</v>
      </c>
      <c r="U521" s="1308" t="str">
        <f t="shared" si="10"/>
        <v>V207</v>
      </c>
      <c r="V521" s="1308"/>
      <c r="W521" s="1308"/>
      <c r="X521" s="1308"/>
      <c r="Y521" s="1308"/>
      <c r="Z521" s="1308"/>
      <c r="AA521" s="1308"/>
    </row>
    <row r="522" spans="1:27">
      <c r="A522" s="1370" t="s">
        <v>2366</v>
      </c>
      <c r="B522" s="1371" t="s">
        <v>2367</v>
      </c>
      <c r="C522" s="1366"/>
      <c r="D522" s="1366"/>
      <c r="E522" s="1367"/>
      <c r="F522" s="1299"/>
      <c r="G522" s="1309"/>
      <c r="H522" s="1306"/>
      <c r="I522" s="1307"/>
      <c r="J522" s="1307"/>
      <c r="K522" s="1307"/>
      <c r="L522" s="1307"/>
      <c r="M522" s="1307"/>
      <c r="N522" s="1307"/>
      <c r="O522" s="1308"/>
      <c r="P522" s="1308"/>
      <c r="Q522" s="1308"/>
      <c r="R522" s="1308"/>
      <c r="S522" s="1317"/>
      <c r="T522" s="1317" t="str">
        <f t="shared" si="9"/>
        <v>COOL AIR REFRIGRATION EQUIPMENT</v>
      </c>
      <c r="U522" s="1308" t="str">
        <f t="shared" si="10"/>
        <v>V208</v>
      </c>
      <c r="V522" s="1308"/>
      <c r="W522" s="1308"/>
      <c r="X522" s="1308"/>
      <c r="Y522" s="1308"/>
      <c r="Z522" s="1308"/>
      <c r="AA522" s="1308"/>
    </row>
    <row r="523" spans="1:27">
      <c r="A523" s="1370" t="s">
        <v>2368</v>
      </c>
      <c r="B523" s="1371" t="s">
        <v>2369</v>
      </c>
      <c r="C523" s="1366"/>
      <c r="D523" s="1366"/>
      <c r="E523" s="1367"/>
      <c r="F523" s="1299"/>
      <c r="G523" s="1309"/>
      <c r="H523" s="1306"/>
      <c r="I523" s="1307"/>
      <c r="J523" s="1307"/>
      <c r="K523" s="1307"/>
      <c r="L523" s="1307"/>
      <c r="M523" s="1307"/>
      <c r="N523" s="1307"/>
      <c r="O523" s="1308"/>
      <c r="P523" s="1308"/>
      <c r="Q523" s="1308"/>
      <c r="R523" s="1308"/>
      <c r="S523" s="1317"/>
      <c r="T523" s="1317" t="str">
        <f t="shared" si="9"/>
        <v>TITANIC TRADING</v>
      </c>
      <c r="U523" s="1308" t="str">
        <f t="shared" si="10"/>
        <v>V209</v>
      </c>
      <c r="V523" s="1308"/>
      <c r="W523" s="1308"/>
      <c r="X523" s="1308"/>
      <c r="Y523" s="1308"/>
      <c r="Z523" s="1308"/>
      <c r="AA523" s="1308"/>
    </row>
    <row r="524" spans="1:27">
      <c r="A524" s="1370" t="s">
        <v>2370</v>
      </c>
      <c r="B524" s="1371" t="s">
        <v>2371</v>
      </c>
      <c r="C524" s="1366"/>
      <c r="D524" s="1366"/>
      <c r="E524" s="1367"/>
      <c r="F524" s="1299"/>
      <c r="G524" s="1309"/>
      <c r="H524" s="1306"/>
      <c r="I524" s="1307"/>
      <c r="J524" s="1307"/>
      <c r="K524" s="1307"/>
      <c r="L524" s="1307"/>
      <c r="M524" s="1307"/>
      <c r="N524" s="1307"/>
      <c r="O524" s="1308"/>
      <c r="P524" s="1308"/>
      <c r="Q524" s="1308"/>
      <c r="R524" s="1308"/>
      <c r="S524" s="1317"/>
      <c r="T524" s="1317" t="str">
        <f t="shared" si="9"/>
        <v>JASI BUILDING</v>
      </c>
      <c r="U524" s="1308" t="str">
        <f t="shared" si="10"/>
        <v>V210</v>
      </c>
      <c r="V524" s="1308"/>
      <c r="W524" s="1308"/>
      <c r="X524" s="1308"/>
      <c r="Y524" s="1308"/>
      <c r="Z524" s="1308"/>
      <c r="AA524" s="1308"/>
    </row>
    <row r="525" spans="1:27">
      <c r="A525" s="1370" t="s">
        <v>2372</v>
      </c>
      <c r="B525" s="1371" t="s">
        <v>2373</v>
      </c>
      <c r="C525" s="1366"/>
      <c r="D525" s="1366"/>
      <c r="E525" s="1367"/>
      <c r="F525" s="1299"/>
      <c r="G525" s="1309"/>
      <c r="H525" s="1306"/>
      <c r="I525" s="1307"/>
      <c r="J525" s="1307"/>
      <c r="K525" s="1307"/>
      <c r="L525" s="1307"/>
      <c r="M525" s="1307"/>
      <c r="N525" s="1307"/>
      <c r="O525" s="1308"/>
      <c r="P525" s="1308"/>
      <c r="Q525" s="1308"/>
      <c r="R525" s="1308"/>
      <c r="S525" s="1317"/>
      <c r="T525" s="1317" t="str">
        <f t="shared" si="9"/>
        <v>AL DOHA ELECTRICAL EQUIPMENT</v>
      </c>
      <c r="U525" s="1308" t="str">
        <f t="shared" si="10"/>
        <v>V211</v>
      </c>
      <c r="V525" s="1308"/>
      <c r="W525" s="1308"/>
      <c r="X525" s="1308"/>
      <c r="Y525" s="1308"/>
      <c r="Z525" s="1308"/>
      <c r="AA525" s="1308"/>
    </row>
    <row r="526" spans="1:27">
      <c r="A526" s="1370" t="s">
        <v>2374</v>
      </c>
      <c r="B526" s="1371" t="s">
        <v>2375</v>
      </c>
      <c r="C526" s="1366"/>
      <c r="D526" s="1366"/>
      <c r="E526" s="1367"/>
      <c r="F526" s="1299"/>
      <c r="G526" s="1309"/>
      <c r="H526" s="1306"/>
      <c r="I526" s="1307"/>
      <c r="J526" s="1307"/>
      <c r="K526" s="1307"/>
      <c r="L526" s="1307"/>
      <c r="M526" s="1307"/>
      <c r="N526" s="1307"/>
      <c r="O526" s="1308"/>
      <c r="P526" s="1308"/>
      <c r="Q526" s="1308"/>
      <c r="R526" s="1308"/>
      <c r="S526" s="1317"/>
      <c r="T526" s="1317" t="str">
        <f t="shared" si="9"/>
        <v>AL HUTAIB BUILDING MATERIALS</v>
      </c>
      <c r="U526" s="1308" t="str">
        <f t="shared" si="10"/>
        <v>V212</v>
      </c>
      <c r="V526" s="1308"/>
      <c r="W526" s="1308"/>
      <c r="X526" s="1308"/>
      <c r="Y526" s="1308"/>
      <c r="Z526" s="1308"/>
      <c r="AA526" s="1308"/>
    </row>
    <row r="527" spans="1:27">
      <c r="A527" s="1370" t="s">
        <v>2376</v>
      </c>
      <c r="B527" s="1371" t="s">
        <v>2377</v>
      </c>
      <c r="C527" s="1366"/>
      <c r="D527" s="1366"/>
      <c r="E527" s="1367"/>
      <c r="F527" s="1299"/>
      <c r="G527" s="1309"/>
      <c r="H527" s="1306"/>
      <c r="I527" s="1307"/>
      <c r="J527" s="1307"/>
      <c r="K527" s="1307"/>
      <c r="L527" s="1307"/>
      <c r="M527" s="1307"/>
      <c r="N527" s="1307"/>
      <c r="O527" s="1308"/>
      <c r="P527" s="1308"/>
      <c r="Q527" s="1308"/>
      <c r="R527" s="1308"/>
      <c r="S527" s="1317"/>
      <c r="T527" s="1317" t="str">
        <f t="shared" si="9"/>
        <v>MECANO BUILDING MATERIALS</v>
      </c>
      <c r="U527" s="1308" t="str">
        <f t="shared" si="10"/>
        <v>V213</v>
      </c>
      <c r="V527" s="1308"/>
      <c r="W527" s="1308"/>
      <c r="X527" s="1308"/>
      <c r="Y527" s="1308"/>
      <c r="Z527" s="1308"/>
      <c r="AA527" s="1308"/>
    </row>
    <row r="528" spans="1:27">
      <c r="A528" s="1370" t="s">
        <v>2378</v>
      </c>
      <c r="B528" s="1371" t="s">
        <v>2379</v>
      </c>
      <c r="C528" s="1366"/>
      <c r="D528" s="1366"/>
      <c r="E528" s="1367"/>
      <c r="F528" s="1299"/>
      <c r="G528" s="1309"/>
      <c r="H528" s="1306"/>
      <c r="I528" s="1307"/>
      <c r="J528" s="1307"/>
      <c r="K528" s="1307"/>
      <c r="L528" s="1307"/>
      <c r="M528" s="1307"/>
      <c r="N528" s="1307"/>
      <c r="O528" s="1308"/>
      <c r="P528" s="1308"/>
      <c r="Q528" s="1308"/>
      <c r="R528" s="1308"/>
      <c r="S528" s="1317"/>
      <c r="T528" s="1317" t="str">
        <f t="shared" si="9"/>
        <v>KADI PRINTING</v>
      </c>
      <c r="U528" s="1308" t="str">
        <f t="shared" si="10"/>
        <v>V214</v>
      </c>
      <c r="V528" s="1308"/>
      <c r="W528" s="1308"/>
      <c r="X528" s="1308"/>
      <c r="Y528" s="1308"/>
      <c r="Z528" s="1308"/>
      <c r="AA528" s="1308"/>
    </row>
    <row r="529" spans="1:27">
      <c r="A529" s="1370" t="s">
        <v>2380</v>
      </c>
      <c r="B529" s="1371" t="s">
        <v>2381</v>
      </c>
      <c r="C529" s="1366"/>
      <c r="D529" s="1366"/>
      <c r="E529" s="1367"/>
      <c r="F529" s="1299"/>
      <c r="G529" s="1309"/>
      <c r="H529" s="1306"/>
      <c r="I529" s="1307"/>
      <c r="J529" s="1307"/>
      <c r="K529" s="1307"/>
      <c r="L529" s="1307"/>
      <c r="M529" s="1307"/>
      <c r="N529" s="1307"/>
      <c r="O529" s="1308"/>
      <c r="P529" s="1308"/>
      <c r="Q529" s="1308"/>
      <c r="R529" s="1308"/>
      <c r="S529" s="1317"/>
      <c r="T529" s="1317" t="str">
        <f t="shared" si="9"/>
        <v>JHELUM BUILDING MATERIALS</v>
      </c>
      <c r="U529" s="1308" t="str">
        <f t="shared" si="10"/>
        <v>V215</v>
      </c>
      <c r="V529" s="1308"/>
      <c r="W529" s="1308"/>
      <c r="X529" s="1308"/>
      <c r="Y529" s="1308"/>
      <c r="Z529" s="1308"/>
      <c r="AA529" s="1308"/>
    </row>
    <row r="530" spans="1:27">
      <c r="A530" s="1370" t="s">
        <v>2382</v>
      </c>
      <c r="B530" s="1371" t="s">
        <v>2383</v>
      </c>
      <c r="C530" s="1366"/>
      <c r="D530" s="1366"/>
      <c r="E530" s="1367"/>
      <c r="F530" s="1299"/>
      <c r="G530" s="1309"/>
      <c r="H530" s="1306"/>
      <c r="I530" s="1307"/>
      <c r="J530" s="1307"/>
      <c r="K530" s="1307"/>
      <c r="L530" s="1307"/>
      <c r="M530" s="1307"/>
      <c r="N530" s="1307"/>
      <c r="O530" s="1308"/>
      <c r="P530" s="1308"/>
      <c r="Q530" s="1308"/>
      <c r="R530" s="1308"/>
      <c r="S530" s="1317"/>
      <c r="T530" s="1317" t="str">
        <f t="shared" si="9"/>
        <v>ALAMEERA BUILDING MATERIALS</v>
      </c>
      <c r="U530" s="1308" t="str">
        <f t="shared" si="10"/>
        <v>V216</v>
      </c>
      <c r="V530" s="1308"/>
      <c r="W530" s="1308"/>
      <c r="X530" s="1308"/>
      <c r="Y530" s="1308"/>
      <c r="Z530" s="1308"/>
      <c r="AA530" s="1308"/>
    </row>
    <row r="531" spans="1:27">
      <c r="A531" s="1370" t="s">
        <v>2384</v>
      </c>
      <c r="B531" s="1371" t="s">
        <v>2385</v>
      </c>
      <c r="C531" s="1366"/>
      <c r="D531" s="1366"/>
      <c r="E531" s="1367"/>
      <c r="F531" s="1299"/>
      <c r="G531" s="1309"/>
      <c r="H531" s="1306"/>
      <c r="I531" s="1307"/>
      <c r="J531" s="1307"/>
      <c r="K531" s="1307"/>
      <c r="L531" s="1307"/>
      <c r="M531" s="1307"/>
      <c r="N531" s="1307"/>
      <c r="O531" s="1308"/>
      <c r="P531" s="1308"/>
      <c r="Q531" s="1308"/>
      <c r="R531" s="1308"/>
      <c r="S531" s="1317"/>
      <c r="T531" s="1317" t="str">
        <f t="shared" si="9"/>
        <v>ALRAEDON TRADING</v>
      </c>
      <c r="U531" s="1308" t="str">
        <f t="shared" si="10"/>
        <v>V217</v>
      </c>
      <c r="V531" s="1308"/>
      <c r="W531" s="1308"/>
      <c r="X531" s="1308"/>
      <c r="Y531" s="1308"/>
      <c r="Z531" s="1308"/>
      <c r="AA531" s="1308"/>
    </row>
    <row r="532" spans="1:27">
      <c r="A532" s="1370" t="s">
        <v>2386</v>
      </c>
      <c r="B532" s="1371" t="s">
        <v>2387</v>
      </c>
      <c r="C532" s="1366"/>
      <c r="D532" s="1366"/>
      <c r="E532" s="1367"/>
      <c r="F532" s="1299"/>
      <c r="G532" s="1309"/>
      <c r="H532" s="1306"/>
      <c r="I532" s="1307"/>
      <c r="J532" s="1307"/>
      <c r="K532" s="1307"/>
      <c r="L532" s="1307"/>
      <c r="M532" s="1307"/>
      <c r="N532" s="1307"/>
      <c r="O532" s="1308"/>
      <c r="P532" s="1308"/>
      <c r="Q532" s="1308"/>
      <c r="R532" s="1308"/>
      <c r="S532" s="1317"/>
      <c r="T532" s="1317" t="str">
        <f t="shared" si="9"/>
        <v>AL MARWA BLDG.MATERIALS</v>
      </c>
      <c r="U532" s="1308" t="str">
        <f t="shared" si="10"/>
        <v>V218</v>
      </c>
      <c r="V532" s="1308"/>
      <c r="W532" s="1308"/>
      <c r="X532" s="1308"/>
      <c r="Y532" s="1308"/>
      <c r="Z532" s="1308"/>
      <c r="AA532" s="1308"/>
    </row>
    <row r="533" spans="1:27">
      <c r="A533" s="1370" t="s">
        <v>2388</v>
      </c>
      <c r="B533" s="1371" t="s">
        <v>2389</v>
      </c>
      <c r="C533" s="1366"/>
      <c r="D533" s="1366"/>
      <c r="E533" s="1367"/>
      <c r="F533" s="1299"/>
      <c r="G533" s="1309"/>
      <c r="H533" s="1306"/>
      <c r="I533" s="1307"/>
      <c r="J533" s="1307"/>
      <c r="K533" s="1307"/>
      <c r="L533" s="1307"/>
      <c r="M533" s="1307"/>
      <c r="N533" s="1307"/>
      <c r="O533" s="1308"/>
      <c r="P533" s="1308"/>
      <c r="Q533" s="1308"/>
      <c r="R533" s="1308"/>
      <c r="S533" s="1317"/>
      <c r="T533" s="1317" t="str">
        <f t="shared" si="9"/>
        <v>DAR ALFEDA HARD</v>
      </c>
      <c r="U533" s="1308" t="str">
        <f t="shared" si="10"/>
        <v>V219</v>
      </c>
      <c r="V533" s="1308"/>
      <c r="W533" s="1308"/>
      <c r="X533" s="1308"/>
      <c r="Y533" s="1308"/>
      <c r="Z533" s="1308"/>
      <c r="AA533" s="1308"/>
    </row>
    <row r="534" spans="1:27">
      <c r="A534" s="1370" t="s">
        <v>2390</v>
      </c>
      <c r="B534" s="1371" t="s">
        <v>2391</v>
      </c>
      <c r="C534" s="1366"/>
      <c r="D534" s="1366"/>
      <c r="E534" s="1367"/>
      <c r="F534" s="1299"/>
      <c r="G534" s="1309"/>
      <c r="H534" s="1306"/>
      <c r="I534" s="1307"/>
      <c r="J534" s="1307"/>
      <c r="K534" s="1307"/>
      <c r="L534" s="1307"/>
      <c r="M534" s="1307"/>
      <c r="N534" s="1307"/>
      <c r="O534" s="1308"/>
      <c r="P534" s="1308"/>
      <c r="Q534" s="1308"/>
      <c r="R534" s="1308"/>
      <c r="S534" s="1317"/>
      <c r="T534" s="1317" t="str">
        <f t="shared" si="9"/>
        <v>ROYAL PIPES TRADING</v>
      </c>
      <c r="U534" s="1308" t="str">
        <f t="shared" si="10"/>
        <v>V220</v>
      </c>
      <c r="V534" s="1308"/>
      <c r="W534" s="1308"/>
      <c r="X534" s="1308"/>
      <c r="Y534" s="1308"/>
      <c r="Z534" s="1308"/>
      <c r="AA534" s="1308"/>
    </row>
    <row r="535" spans="1:27">
      <c r="A535" s="1370" t="s">
        <v>2392</v>
      </c>
      <c r="B535" s="1371" t="s">
        <v>2393</v>
      </c>
      <c r="C535" s="1366"/>
      <c r="D535" s="1366"/>
      <c r="E535" s="1367"/>
      <c r="F535" s="1299"/>
      <c r="G535" s="1309"/>
      <c r="H535" s="1306"/>
      <c r="I535" s="1307"/>
      <c r="J535" s="1307"/>
      <c r="K535" s="1307"/>
      <c r="L535" s="1307"/>
      <c r="M535" s="1307"/>
      <c r="N535" s="1307"/>
      <c r="O535" s="1308"/>
      <c r="P535" s="1308"/>
      <c r="Q535" s="1308"/>
      <c r="R535" s="1308"/>
      <c r="S535" s="1317"/>
      <c r="T535" s="1317" t="str">
        <f t="shared" si="9"/>
        <v>AL ANDHIMAH AL HANDASIAH SWICH GEAR CON</v>
      </c>
      <c r="U535" s="1308" t="str">
        <f t="shared" si="10"/>
        <v>V221</v>
      </c>
      <c r="V535" s="1308"/>
      <c r="W535" s="1308"/>
      <c r="X535" s="1308"/>
      <c r="Y535" s="1308"/>
      <c r="Z535" s="1308"/>
      <c r="AA535" s="1308"/>
    </row>
    <row r="536" spans="1:27">
      <c r="A536" s="1370" t="s">
        <v>2394</v>
      </c>
      <c r="B536" s="1371" t="s">
        <v>2395</v>
      </c>
      <c r="C536" s="1366"/>
      <c r="D536" s="1366"/>
      <c r="E536" s="1367"/>
      <c r="F536" s="1299"/>
      <c r="G536" s="1309"/>
      <c r="H536" s="1306"/>
      <c r="I536" s="1307"/>
      <c r="J536" s="1307"/>
      <c r="K536" s="1307"/>
      <c r="L536" s="1307"/>
      <c r="M536" s="1307"/>
      <c r="N536" s="1307"/>
      <c r="O536" s="1308"/>
      <c r="P536" s="1308"/>
      <c r="Q536" s="1308"/>
      <c r="R536" s="1308"/>
      <c r="S536" s="1317"/>
      <c r="T536" s="1317" t="str">
        <f t="shared" si="9"/>
        <v>SAFARIO</v>
      </c>
      <c r="U536" s="1308" t="str">
        <f t="shared" si="10"/>
        <v>V222</v>
      </c>
      <c r="V536" s="1308"/>
      <c r="W536" s="1308"/>
      <c r="X536" s="1308"/>
      <c r="Y536" s="1308"/>
      <c r="Z536" s="1308"/>
      <c r="AA536" s="1308"/>
    </row>
    <row r="537" spans="1:27">
      <c r="A537" s="1370" t="s">
        <v>2396</v>
      </c>
      <c r="B537" s="1371" t="s">
        <v>2397</v>
      </c>
      <c r="C537" s="1366"/>
      <c r="D537" s="1366"/>
      <c r="E537" s="1367"/>
      <c r="F537" s="1299"/>
      <c r="G537" s="1309"/>
      <c r="H537" s="1306"/>
      <c r="I537" s="1307"/>
      <c r="J537" s="1307"/>
      <c r="K537" s="1307"/>
      <c r="L537" s="1307"/>
      <c r="M537" s="1307"/>
      <c r="N537" s="1307"/>
      <c r="O537" s="1308"/>
      <c r="P537" s="1308"/>
      <c r="Q537" s="1308"/>
      <c r="R537" s="1308"/>
      <c r="S537" s="1317"/>
      <c r="T537" s="1317" t="str">
        <f t="shared" si="9"/>
        <v>MAIMANY BUILDING MATERIAL TRADING</v>
      </c>
      <c r="U537" s="1308" t="str">
        <f t="shared" si="10"/>
        <v>V223</v>
      </c>
      <c r="V537" s="1308"/>
      <c r="W537" s="1308"/>
      <c r="X537" s="1308"/>
      <c r="Y537" s="1308"/>
      <c r="Z537" s="1308"/>
      <c r="AA537" s="1308"/>
    </row>
    <row r="538" spans="1:27">
      <c r="A538" s="1370" t="s">
        <v>2398</v>
      </c>
      <c r="B538" s="1371" t="s">
        <v>2399</v>
      </c>
      <c r="C538" s="1366"/>
      <c r="D538" s="1366"/>
      <c r="E538" s="1367"/>
      <c r="F538" s="1299"/>
      <c r="G538" s="1309"/>
      <c r="H538" s="1306"/>
      <c r="I538" s="1307"/>
      <c r="J538" s="1307"/>
      <c r="K538" s="1307"/>
      <c r="L538" s="1307"/>
      <c r="M538" s="1307"/>
      <c r="N538" s="1307"/>
      <c r="O538" s="1308"/>
      <c r="P538" s="1308"/>
      <c r="Q538" s="1308"/>
      <c r="R538" s="1308"/>
      <c r="S538" s="1317"/>
      <c r="T538" s="1317" t="str">
        <f t="shared" si="9"/>
        <v>AL MURRAH ELECT.</v>
      </c>
      <c r="U538" s="1308" t="str">
        <f t="shared" si="10"/>
        <v>V224</v>
      </c>
      <c r="V538" s="1308"/>
      <c r="W538" s="1308"/>
      <c r="X538" s="1308"/>
      <c r="Y538" s="1308"/>
      <c r="Z538" s="1308"/>
      <c r="AA538" s="1308"/>
    </row>
    <row r="539" spans="1:27">
      <c r="A539" s="1370" t="s">
        <v>2400</v>
      </c>
      <c r="B539" s="1371" t="s">
        <v>2401</v>
      </c>
      <c r="C539" s="1366"/>
      <c r="D539" s="1366"/>
      <c r="E539" s="1367"/>
      <c r="F539" s="1299"/>
      <c r="G539" s="1309"/>
      <c r="H539" s="1306"/>
      <c r="I539" s="1307"/>
      <c r="J539" s="1307"/>
      <c r="K539" s="1307"/>
      <c r="L539" s="1307"/>
      <c r="M539" s="1307"/>
      <c r="N539" s="1307"/>
      <c r="O539" s="1308"/>
      <c r="P539" s="1308"/>
      <c r="Q539" s="1308"/>
      <c r="R539" s="1308"/>
      <c r="S539" s="1317"/>
      <c r="T539" s="1317" t="str">
        <f t="shared" si="9"/>
        <v>HUSAINI AJMER BUILDING</v>
      </c>
      <c r="U539" s="1308" t="str">
        <f t="shared" si="10"/>
        <v>V225</v>
      </c>
      <c r="V539" s="1308"/>
      <c r="W539" s="1308"/>
      <c r="X539" s="1308"/>
      <c r="Y539" s="1308"/>
      <c r="Z539" s="1308"/>
      <c r="AA539" s="1308"/>
    </row>
    <row r="540" spans="1:27">
      <c r="A540" s="1370" t="s">
        <v>2402</v>
      </c>
      <c r="B540" s="1371" t="s">
        <v>2403</v>
      </c>
      <c r="C540" s="1366"/>
      <c r="D540" s="1366"/>
      <c r="E540" s="1367"/>
      <c r="F540" s="1299"/>
      <c r="G540" s="1309"/>
      <c r="H540" s="1306"/>
      <c r="I540" s="1307"/>
      <c r="J540" s="1307"/>
      <c r="K540" s="1307"/>
      <c r="L540" s="1307"/>
      <c r="M540" s="1307"/>
      <c r="N540" s="1307"/>
      <c r="O540" s="1308"/>
      <c r="P540" s="1308"/>
      <c r="Q540" s="1308"/>
      <c r="R540" s="1308"/>
      <c r="S540" s="1317"/>
      <c r="T540" s="1317" t="str">
        <f t="shared" si="9"/>
        <v>AL JUNAIBI BUILDING MATERILAS</v>
      </c>
      <c r="U540" s="1308" t="str">
        <f t="shared" si="10"/>
        <v>V226</v>
      </c>
      <c r="V540" s="1308"/>
      <c r="W540" s="1308"/>
      <c r="X540" s="1308"/>
      <c r="Y540" s="1308"/>
      <c r="Z540" s="1308"/>
      <c r="AA540" s="1308"/>
    </row>
    <row r="541" spans="1:27">
      <c r="A541" s="1370" t="s">
        <v>2404</v>
      </c>
      <c r="B541" s="1371" t="s">
        <v>2405</v>
      </c>
      <c r="C541" s="1366"/>
      <c r="D541" s="1366"/>
      <c r="E541" s="1367"/>
      <c r="F541" s="1299"/>
      <c r="G541" s="1309"/>
      <c r="H541" s="1306"/>
      <c r="I541" s="1307"/>
      <c r="J541" s="1307"/>
      <c r="K541" s="1307"/>
      <c r="L541" s="1307"/>
      <c r="M541" s="1307"/>
      <c r="N541" s="1307"/>
      <c r="O541" s="1308"/>
      <c r="P541" s="1308"/>
      <c r="Q541" s="1308"/>
      <c r="R541" s="1308"/>
      <c r="S541" s="1317"/>
      <c r="T541" s="1317" t="str">
        <f t="shared" si="9"/>
        <v>BADRI</v>
      </c>
      <c r="U541" s="1308" t="str">
        <f t="shared" si="10"/>
        <v>V227</v>
      </c>
      <c r="V541" s="1308"/>
      <c r="W541" s="1308"/>
      <c r="X541" s="1308"/>
      <c r="Y541" s="1308"/>
      <c r="Z541" s="1308"/>
      <c r="AA541" s="1308"/>
    </row>
    <row r="542" spans="1:27">
      <c r="A542" s="1370" t="s">
        <v>2406</v>
      </c>
      <c r="B542" s="1371" t="s">
        <v>2407</v>
      </c>
      <c r="C542" s="1366"/>
      <c r="D542" s="1366"/>
      <c r="E542" s="1367"/>
      <c r="F542" s="1299"/>
      <c r="G542" s="1309"/>
      <c r="H542" s="1306"/>
      <c r="I542" s="1307"/>
      <c r="J542" s="1307"/>
      <c r="K542" s="1307"/>
      <c r="L542" s="1307"/>
      <c r="M542" s="1307"/>
      <c r="N542" s="1307"/>
      <c r="O542" s="1308"/>
      <c r="P542" s="1308"/>
      <c r="Q542" s="1308"/>
      <c r="R542" s="1308"/>
      <c r="S542" s="1317"/>
      <c r="T542" s="1317" t="str">
        <f t="shared" si="9"/>
        <v>ADWAA AL WADI</v>
      </c>
      <c r="U542" s="1308" t="str">
        <f t="shared" si="10"/>
        <v>V229</v>
      </c>
      <c r="V542" s="1308"/>
      <c r="W542" s="1308"/>
      <c r="X542" s="1308"/>
      <c r="Y542" s="1308"/>
      <c r="Z542" s="1308"/>
      <c r="AA542" s="1308"/>
    </row>
    <row r="543" spans="1:27">
      <c r="A543" s="1370" t="s">
        <v>2408</v>
      </c>
      <c r="B543" s="1371" t="s">
        <v>2409</v>
      </c>
      <c r="C543" s="1366"/>
      <c r="D543" s="1366"/>
      <c r="E543" s="1367"/>
      <c r="F543" s="1299"/>
      <c r="G543" s="1309"/>
      <c r="H543" s="1306"/>
      <c r="I543" s="1307"/>
      <c r="J543" s="1307"/>
      <c r="K543" s="1307"/>
      <c r="L543" s="1307"/>
      <c r="M543" s="1307"/>
      <c r="N543" s="1307"/>
      <c r="O543" s="1308"/>
      <c r="P543" s="1308"/>
      <c r="Q543" s="1308"/>
      <c r="R543" s="1308"/>
      <c r="S543" s="1317"/>
      <c r="T543" s="1317" t="str">
        <f t="shared" si="9"/>
        <v>ABU ALI TRADING</v>
      </c>
      <c r="U543" s="1308" t="str">
        <f t="shared" si="10"/>
        <v>V230</v>
      </c>
      <c r="V543" s="1308"/>
      <c r="W543" s="1308"/>
      <c r="X543" s="1308"/>
      <c r="Y543" s="1308"/>
      <c r="Z543" s="1308"/>
      <c r="AA543" s="1308"/>
    </row>
    <row r="544" spans="1:27">
      <c r="A544" s="1370" t="s">
        <v>2410</v>
      </c>
      <c r="B544" s="1371" t="s">
        <v>2411</v>
      </c>
      <c r="C544" s="1366"/>
      <c r="D544" s="1366"/>
      <c r="E544" s="1367"/>
      <c r="F544" s="1299"/>
      <c r="G544" s="1309"/>
      <c r="H544" s="1306"/>
      <c r="I544" s="1307"/>
      <c r="J544" s="1307"/>
      <c r="K544" s="1307"/>
      <c r="L544" s="1307"/>
      <c r="M544" s="1307"/>
      <c r="N544" s="1307"/>
      <c r="O544" s="1308"/>
      <c r="P544" s="1308"/>
      <c r="Q544" s="1308"/>
      <c r="R544" s="1308"/>
      <c r="S544" s="1317"/>
      <c r="T544" s="1317" t="str">
        <f t="shared" si="9"/>
        <v>HOR ANZ ELETRIC</v>
      </c>
      <c r="U544" s="1308" t="str">
        <f t="shared" si="10"/>
        <v>V231</v>
      </c>
      <c r="V544" s="1308"/>
      <c r="W544" s="1308"/>
      <c r="X544" s="1308"/>
      <c r="Y544" s="1308"/>
      <c r="Z544" s="1308"/>
      <c r="AA544" s="1308"/>
    </row>
    <row r="545" spans="1:27">
      <c r="A545" s="1370" t="s">
        <v>2412</v>
      </c>
      <c r="B545" s="1371" t="s">
        <v>2413</v>
      </c>
      <c r="C545" s="1366"/>
      <c r="D545" s="1366"/>
      <c r="E545" s="1367"/>
      <c r="F545" s="1299"/>
      <c r="G545" s="1309"/>
      <c r="H545" s="1306"/>
      <c r="I545" s="1307"/>
      <c r="J545" s="1307"/>
      <c r="K545" s="1307"/>
      <c r="L545" s="1307"/>
      <c r="M545" s="1307"/>
      <c r="N545" s="1307"/>
      <c r="O545" s="1308"/>
      <c r="P545" s="1308"/>
      <c r="Q545" s="1308"/>
      <c r="R545" s="1308"/>
      <c r="S545" s="1317"/>
      <c r="T545" s="1317" t="str">
        <f t="shared" ref="T545:T608" si="11">B545</f>
        <v>ISMAIL SHAH</v>
      </c>
      <c r="U545" s="1308" t="str">
        <f t="shared" ref="U545:U608" si="12">A545</f>
        <v>V232</v>
      </c>
      <c r="V545" s="1308"/>
      <c r="W545" s="1308"/>
      <c r="X545" s="1308"/>
      <c r="Y545" s="1308"/>
      <c r="Z545" s="1308"/>
      <c r="AA545" s="1308"/>
    </row>
    <row r="546" spans="1:27">
      <c r="A546" s="1370" t="s">
        <v>2414</v>
      </c>
      <c r="B546" s="1371" t="s">
        <v>2415</v>
      </c>
      <c r="C546" s="1366"/>
      <c r="D546" s="1366"/>
      <c r="E546" s="1367"/>
      <c r="F546" s="1299"/>
      <c r="G546" s="1309"/>
      <c r="H546" s="1306"/>
      <c r="I546" s="1307"/>
      <c r="J546" s="1307"/>
      <c r="K546" s="1307"/>
      <c r="L546" s="1307"/>
      <c r="M546" s="1307"/>
      <c r="N546" s="1307"/>
      <c r="O546" s="1308"/>
      <c r="P546" s="1308"/>
      <c r="Q546" s="1308"/>
      <c r="R546" s="1308"/>
      <c r="S546" s="1317"/>
      <c r="T546" s="1317" t="str">
        <f t="shared" si="11"/>
        <v>AL MENTAD A/C SPARE PART</v>
      </c>
      <c r="U546" s="1308" t="str">
        <f t="shared" si="12"/>
        <v>V233</v>
      </c>
      <c r="V546" s="1308"/>
      <c r="W546" s="1308"/>
      <c r="X546" s="1308"/>
      <c r="Y546" s="1308"/>
      <c r="Z546" s="1308"/>
      <c r="AA546" s="1308"/>
    </row>
    <row r="547" spans="1:27">
      <c r="A547" s="1370" t="s">
        <v>2416</v>
      </c>
      <c r="B547" s="1371" t="s">
        <v>2417</v>
      </c>
      <c r="C547" s="1366"/>
      <c r="D547" s="1366"/>
      <c r="E547" s="1367"/>
      <c r="F547" s="1299"/>
      <c r="G547" s="1309"/>
      <c r="H547" s="1306"/>
      <c r="I547" s="1307"/>
      <c r="J547" s="1307"/>
      <c r="K547" s="1307"/>
      <c r="L547" s="1307"/>
      <c r="M547" s="1307"/>
      <c r="N547" s="1307"/>
      <c r="O547" s="1308"/>
      <c r="P547" s="1308"/>
      <c r="Q547" s="1308"/>
      <c r="R547" s="1308"/>
      <c r="S547" s="1317"/>
      <c r="T547" s="1317" t="str">
        <f t="shared" si="11"/>
        <v>SUPER WAVE</v>
      </c>
      <c r="U547" s="1308" t="str">
        <f t="shared" si="12"/>
        <v>V234</v>
      </c>
      <c r="V547" s="1308"/>
      <c r="W547" s="1308"/>
      <c r="X547" s="1308"/>
      <c r="Y547" s="1308"/>
      <c r="Z547" s="1308"/>
      <c r="AA547" s="1308"/>
    </row>
    <row r="548" spans="1:27">
      <c r="A548" s="1370" t="s">
        <v>2418</v>
      </c>
      <c r="B548" s="1371" t="s">
        <v>2343</v>
      </c>
      <c r="C548" s="1366"/>
      <c r="D548" s="1366"/>
      <c r="E548" s="1367"/>
      <c r="F548" s="1299"/>
      <c r="G548" s="1309"/>
      <c r="H548" s="1306"/>
      <c r="I548" s="1307"/>
      <c r="J548" s="1307"/>
      <c r="K548" s="1307"/>
      <c r="L548" s="1307"/>
      <c r="M548" s="1307"/>
      <c r="N548" s="1307"/>
      <c r="O548" s="1308"/>
      <c r="P548" s="1308"/>
      <c r="Q548" s="1308"/>
      <c r="R548" s="1308"/>
      <c r="S548" s="1317"/>
      <c r="T548" s="1317" t="str">
        <f t="shared" si="11"/>
        <v>ABAZAR</v>
      </c>
      <c r="U548" s="1308" t="str">
        <f t="shared" si="12"/>
        <v>V235</v>
      </c>
      <c r="V548" s="1308"/>
      <c r="W548" s="1308"/>
      <c r="X548" s="1308"/>
      <c r="Y548" s="1308"/>
      <c r="Z548" s="1308"/>
      <c r="AA548" s="1308"/>
    </row>
    <row r="549" spans="1:27">
      <c r="A549" s="1370" t="s">
        <v>2419</v>
      </c>
      <c r="B549" s="1371" t="s">
        <v>2420</v>
      </c>
      <c r="C549" s="1366"/>
      <c r="D549" s="1366"/>
      <c r="E549" s="1367"/>
      <c r="F549" s="1299"/>
      <c r="G549" s="1309"/>
      <c r="H549" s="1306"/>
      <c r="I549" s="1307"/>
      <c r="J549" s="1307"/>
      <c r="K549" s="1307"/>
      <c r="L549" s="1307"/>
      <c r="M549" s="1307"/>
      <c r="N549" s="1307"/>
      <c r="O549" s="1308"/>
      <c r="P549" s="1308"/>
      <c r="Q549" s="1308"/>
      <c r="R549" s="1308"/>
      <c r="S549" s="1317"/>
      <c r="T549" s="1317" t="str">
        <f t="shared" si="11"/>
        <v>WADI AL SAFA</v>
      </c>
      <c r="U549" s="1308" t="str">
        <f t="shared" si="12"/>
        <v>V236</v>
      </c>
      <c r="V549" s="1308"/>
      <c r="W549" s="1308"/>
      <c r="X549" s="1308"/>
      <c r="Y549" s="1308"/>
      <c r="Z549" s="1308"/>
      <c r="AA549" s="1308"/>
    </row>
    <row r="550" spans="1:27">
      <c r="A550" s="1370" t="s">
        <v>2421</v>
      </c>
      <c r="B550" s="1371" t="s">
        <v>2422</v>
      </c>
      <c r="C550" s="1366"/>
      <c r="D550" s="1366"/>
      <c r="E550" s="1367"/>
      <c r="F550" s="1299"/>
      <c r="G550" s="1309"/>
      <c r="H550" s="1306"/>
      <c r="I550" s="1307"/>
      <c r="J550" s="1307"/>
      <c r="K550" s="1307"/>
      <c r="L550" s="1307"/>
      <c r="M550" s="1307"/>
      <c r="N550" s="1307"/>
      <c r="O550" s="1308"/>
      <c r="P550" s="1308"/>
      <c r="Q550" s="1308"/>
      <c r="R550" s="1308"/>
      <c r="S550" s="1317"/>
      <c r="T550" s="1317" t="str">
        <f t="shared" si="11"/>
        <v>MBS TOOLS &amp; BUILDING MATERIALS</v>
      </c>
      <c r="U550" s="1308" t="str">
        <f t="shared" si="12"/>
        <v>V237</v>
      </c>
      <c r="V550" s="1308"/>
      <c r="W550" s="1308"/>
      <c r="X550" s="1308"/>
      <c r="Y550" s="1308"/>
      <c r="Z550" s="1308"/>
      <c r="AA550" s="1308"/>
    </row>
    <row r="551" spans="1:27">
      <c r="A551" s="1370" t="s">
        <v>2423</v>
      </c>
      <c r="B551" s="1371" t="s">
        <v>2424</v>
      </c>
      <c r="C551" s="1366"/>
      <c r="D551" s="1366"/>
      <c r="E551" s="1367"/>
      <c r="F551" s="1299"/>
      <c r="G551" s="1309"/>
      <c r="H551" s="1306"/>
      <c r="I551" s="1307"/>
      <c r="J551" s="1307"/>
      <c r="K551" s="1307"/>
      <c r="L551" s="1307"/>
      <c r="M551" s="1307"/>
      <c r="N551" s="1307"/>
      <c r="O551" s="1308"/>
      <c r="P551" s="1308"/>
      <c r="Q551" s="1308"/>
      <c r="R551" s="1308"/>
      <c r="S551" s="1317"/>
      <c r="T551" s="1317" t="str">
        <f t="shared" si="11"/>
        <v>LAMASAT AL MOHTARFEEN</v>
      </c>
      <c r="U551" s="1308" t="str">
        <f t="shared" si="12"/>
        <v>V238</v>
      </c>
      <c r="V551" s="1308"/>
      <c r="W551" s="1308"/>
      <c r="X551" s="1308"/>
      <c r="Y551" s="1308"/>
      <c r="Z551" s="1308"/>
      <c r="AA551" s="1308"/>
    </row>
    <row r="552" spans="1:27">
      <c r="A552" s="1370" t="s">
        <v>2425</v>
      </c>
      <c r="B552" s="1371" t="s">
        <v>2426</v>
      </c>
      <c r="C552" s="1366"/>
      <c r="D552" s="1366"/>
      <c r="E552" s="1367"/>
      <c r="F552" s="1299"/>
      <c r="G552" s="1309"/>
      <c r="H552" s="1306"/>
      <c r="I552" s="1307"/>
      <c r="J552" s="1307"/>
      <c r="K552" s="1307"/>
      <c r="L552" s="1307"/>
      <c r="M552" s="1307"/>
      <c r="N552" s="1307"/>
      <c r="O552" s="1308"/>
      <c r="P552" s="1308"/>
      <c r="Q552" s="1308"/>
      <c r="R552" s="1308"/>
      <c r="S552" s="1317"/>
      <c r="T552" s="1317" t="str">
        <f t="shared" si="11"/>
        <v>AL SIFA AIRCONDITION &amp; REF.CO.LLC</v>
      </c>
      <c r="U552" s="1308" t="str">
        <f t="shared" si="12"/>
        <v>V239</v>
      </c>
      <c r="V552" s="1308"/>
      <c r="W552" s="1308"/>
      <c r="X552" s="1308"/>
      <c r="Y552" s="1308"/>
      <c r="Z552" s="1308"/>
      <c r="AA552" s="1308"/>
    </row>
    <row r="553" spans="1:27">
      <c r="A553" s="1370" t="s">
        <v>2427</v>
      </c>
      <c r="B553" s="1371" t="s">
        <v>2428</v>
      </c>
      <c r="C553" s="1366"/>
      <c r="D553" s="1366"/>
      <c r="E553" s="1367"/>
      <c r="F553" s="1299"/>
      <c r="G553" s="1309"/>
      <c r="H553" s="1306"/>
      <c r="I553" s="1307"/>
      <c r="J553" s="1307" t="s">
        <v>2806</v>
      </c>
      <c r="K553" s="1307" t="s">
        <v>2807</v>
      </c>
      <c r="L553" s="1307" t="s">
        <v>2808</v>
      </c>
      <c r="M553" s="1307"/>
      <c r="N553" s="1307"/>
      <c r="O553" s="1308"/>
      <c r="P553" s="1308"/>
      <c r="Q553" s="1308"/>
      <c r="R553" s="1308"/>
      <c r="S553" s="1317"/>
      <c r="T553" s="1317" t="str">
        <f t="shared" si="11"/>
        <v>Trosten Industrial Company</v>
      </c>
      <c r="U553" s="1308" t="str">
        <f t="shared" si="12"/>
        <v>V240</v>
      </c>
      <c r="V553" s="1308"/>
      <c r="W553" s="1308"/>
      <c r="X553" s="1308"/>
      <c r="Y553" s="1308"/>
      <c r="Z553" s="1308"/>
      <c r="AA553" s="1308"/>
    </row>
    <row r="554" spans="1:27">
      <c r="A554" s="1370" t="s">
        <v>2429</v>
      </c>
      <c r="B554" s="1371" t="s">
        <v>2430</v>
      </c>
      <c r="C554" s="1366"/>
      <c r="D554" s="1366"/>
      <c r="E554" s="1367"/>
      <c r="F554" s="1299"/>
      <c r="G554" s="1309"/>
      <c r="H554" s="1306"/>
      <c r="I554" s="1307"/>
      <c r="J554" s="1307"/>
      <c r="K554" s="1307"/>
      <c r="L554" s="1307"/>
      <c r="M554" s="1307"/>
      <c r="N554" s="1307"/>
      <c r="O554" s="1308"/>
      <c r="P554" s="1308"/>
      <c r="Q554" s="1308"/>
      <c r="R554" s="1308"/>
      <c r="S554" s="1317"/>
      <c r="T554" s="1317" t="str">
        <f t="shared" si="11"/>
        <v>FAWAZ REF &amp; AC</v>
      </c>
      <c r="U554" s="1308" t="str">
        <f t="shared" si="12"/>
        <v>V241</v>
      </c>
      <c r="V554" s="1308"/>
      <c r="W554" s="1308"/>
      <c r="X554" s="1308"/>
      <c r="Y554" s="1308"/>
      <c r="Z554" s="1308"/>
      <c r="AA554" s="1308"/>
    </row>
    <row r="555" spans="1:27">
      <c r="A555" s="1370" t="s">
        <v>2431</v>
      </c>
      <c r="B555" s="1371" t="s">
        <v>2432</v>
      </c>
      <c r="C555" s="1366"/>
      <c r="D555" s="1366"/>
      <c r="E555" s="1367"/>
      <c r="F555" s="1299"/>
      <c r="G555" s="1309"/>
      <c r="H555" s="1306"/>
      <c r="I555" s="1307"/>
      <c r="J555" s="1307"/>
      <c r="K555" s="1307"/>
      <c r="L555" s="1307"/>
      <c r="M555" s="1307"/>
      <c r="N555" s="1307"/>
      <c r="O555" s="1308"/>
      <c r="P555" s="1308"/>
      <c r="Q555" s="1308"/>
      <c r="R555" s="1308"/>
      <c r="S555" s="1317"/>
      <c r="T555" s="1317" t="str">
        <f t="shared" si="11"/>
        <v>AL ROLLA TRADING LLC</v>
      </c>
      <c r="U555" s="1308" t="str">
        <f t="shared" si="12"/>
        <v>V242</v>
      </c>
      <c r="V555" s="1308"/>
      <c r="W555" s="1308"/>
      <c r="X555" s="1308"/>
      <c r="Y555" s="1308"/>
      <c r="Z555" s="1308"/>
      <c r="AA555" s="1308"/>
    </row>
    <row r="556" spans="1:27">
      <c r="A556" s="1370" t="s">
        <v>2433</v>
      </c>
      <c r="B556" s="1371" t="s">
        <v>2434</v>
      </c>
      <c r="C556" s="1366"/>
      <c r="D556" s="1366"/>
      <c r="E556" s="1367"/>
      <c r="F556" s="1299"/>
      <c r="G556" s="1309"/>
      <c r="H556" s="1306"/>
      <c r="I556" s="1307"/>
      <c r="J556" s="1307"/>
      <c r="K556" s="1307"/>
      <c r="L556" s="1307"/>
      <c r="M556" s="1307"/>
      <c r="N556" s="1307"/>
      <c r="O556" s="1308"/>
      <c r="P556" s="1308"/>
      <c r="Q556" s="1308"/>
      <c r="R556" s="1308"/>
      <c r="S556" s="1317"/>
      <c r="T556" s="1317" t="str">
        <f t="shared" si="11"/>
        <v>STAR COOL</v>
      </c>
      <c r="U556" s="1308" t="str">
        <f t="shared" si="12"/>
        <v>V243</v>
      </c>
      <c r="V556" s="1308"/>
      <c r="W556" s="1308"/>
      <c r="X556" s="1308"/>
      <c r="Y556" s="1308"/>
      <c r="Z556" s="1308"/>
      <c r="AA556" s="1308"/>
    </row>
    <row r="557" spans="1:27">
      <c r="A557" s="1370" t="s">
        <v>2435</v>
      </c>
      <c r="B557" s="1371" t="s">
        <v>2436</v>
      </c>
      <c r="C557" s="1366"/>
      <c r="D557" s="1366"/>
      <c r="E557" s="1367"/>
      <c r="F557" s="1299"/>
      <c r="G557" s="1309"/>
      <c r="H557" s="1306"/>
      <c r="I557" s="1307"/>
      <c r="J557" s="1307"/>
      <c r="K557" s="1307"/>
      <c r="L557" s="1307"/>
      <c r="M557" s="1307"/>
      <c r="N557" s="1307"/>
      <c r="O557" s="1308"/>
      <c r="P557" s="1308"/>
      <c r="Q557" s="1308"/>
      <c r="R557" s="1308"/>
      <c r="S557" s="1317"/>
      <c r="T557" s="1317" t="str">
        <f t="shared" si="11"/>
        <v>GARDEN VALLEY BUILDING MATERIALS</v>
      </c>
      <c r="U557" s="1308" t="str">
        <f t="shared" si="12"/>
        <v>V244</v>
      </c>
      <c r="V557" s="1308"/>
      <c r="W557" s="1308"/>
      <c r="X557" s="1308"/>
      <c r="Y557" s="1308"/>
      <c r="Z557" s="1308"/>
      <c r="AA557" s="1308"/>
    </row>
    <row r="558" spans="1:27">
      <c r="A558" s="1370" t="s">
        <v>2437</v>
      </c>
      <c r="B558" s="1371" t="s">
        <v>2438</v>
      </c>
      <c r="C558" s="1366"/>
      <c r="D558" s="1366"/>
      <c r="E558" s="1367"/>
      <c r="F558" s="1299"/>
      <c r="G558" s="1309"/>
      <c r="H558" s="1306"/>
      <c r="I558" s="1307"/>
      <c r="J558" s="1307"/>
      <c r="K558" s="1307"/>
      <c r="L558" s="1307"/>
      <c r="M558" s="1307"/>
      <c r="N558" s="1307"/>
      <c r="O558" s="1308"/>
      <c r="P558" s="1308"/>
      <c r="Q558" s="1308"/>
      <c r="R558" s="1308"/>
      <c r="S558" s="1317"/>
      <c r="T558" s="1317" t="str">
        <f t="shared" si="11"/>
        <v>NEW EXPERT BUILDING MATERIALS</v>
      </c>
      <c r="U558" s="1308" t="str">
        <f t="shared" si="12"/>
        <v>V245</v>
      </c>
      <c r="V558" s="1308"/>
      <c r="W558" s="1308"/>
      <c r="X558" s="1308"/>
      <c r="Y558" s="1308"/>
      <c r="Z558" s="1308"/>
      <c r="AA558" s="1308"/>
    </row>
    <row r="559" spans="1:27">
      <c r="A559" s="1370" t="s">
        <v>2439</v>
      </c>
      <c r="B559" s="1371" t="s">
        <v>2440</v>
      </c>
      <c r="C559" s="1366"/>
      <c r="D559" s="1366"/>
      <c r="E559" s="1367"/>
      <c r="F559" s="1299"/>
      <c r="G559" s="1309"/>
      <c r="H559" s="1306"/>
      <c r="I559" s="1307"/>
      <c r="J559" s="1307"/>
      <c r="K559" s="1307"/>
      <c r="L559" s="1307"/>
      <c r="M559" s="1307"/>
      <c r="N559" s="1307"/>
      <c r="O559" s="1308"/>
      <c r="P559" s="1308"/>
      <c r="Q559" s="1308"/>
      <c r="R559" s="1308"/>
      <c r="S559" s="1317"/>
      <c r="T559" s="1317" t="str">
        <f t="shared" si="11"/>
        <v>RAMESH HIRA</v>
      </c>
      <c r="U559" s="1308" t="str">
        <f t="shared" si="12"/>
        <v>V246</v>
      </c>
      <c r="V559" s="1308"/>
      <c r="W559" s="1308"/>
      <c r="X559" s="1308"/>
      <c r="Y559" s="1308"/>
      <c r="Z559" s="1308"/>
      <c r="AA559" s="1308"/>
    </row>
    <row r="560" spans="1:27">
      <c r="A560" s="1370" t="s">
        <v>2441</v>
      </c>
      <c r="B560" s="1371" t="s">
        <v>2442</v>
      </c>
      <c r="C560" s="1366"/>
      <c r="D560" s="1366"/>
      <c r="E560" s="1367"/>
      <c r="F560" s="1299"/>
      <c r="G560" s="1309"/>
      <c r="H560" s="1306"/>
      <c r="I560" s="1307"/>
      <c r="J560" s="1307"/>
      <c r="K560" s="1307"/>
      <c r="L560" s="1307"/>
      <c r="M560" s="1307"/>
      <c r="N560" s="1307"/>
      <c r="O560" s="1308"/>
      <c r="P560" s="1308"/>
      <c r="Q560" s="1308"/>
      <c r="R560" s="1308"/>
      <c r="S560" s="1317"/>
      <c r="T560" s="1317" t="str">
        <f t="shared" si="11"/>
        <v>DEIRA CROWN BUILDING MATERIALS</v>
      </c>
      <c r="U560" s="1308" t="str">
        <f t="shared" si="12"/>
        <v>V247</v>
      </c>
      <c r="V560" s="1308"/>
      <c r="W560" s="1308"/>
      <c r="X560" s="1308"/>
      <c r="Y560" s="1308"/>
      <c r="Z560" s="1308"/>
      <c r="AA560" s="1308"/>
    </row>
    <row r="561" spans="1:27">
      <c r="A561" s="1370" t="s">
        <v>2443</v>
      </c>
      <c r="B561" s="1371" t="s">
        <v>2444</v>
      </c>
      <c r="C561" s="1366"/>
      <c r="D561" s="1366"/>
      <c r="E561" s="1367"/>
      <c r="F561" s="1299"/>
      <c r="G561" s="1309"/>
      <c r="H561" s="1306"/>
      <c r="I561" s="1307"/>
      <c r="J561" s="1307"/>
      <c r="K561" s="1307"/>
      <c r="L561" s="1307"/>
      <c r="M561" s="1307"/>
      <c r="N561" s="1307"/>
      <c r="O561" s="1308"/>
      <c r="P561" s="1308"/>
      <c r="Q561" s="1308"/>
      <c r="R561" s="1308"/>
      <c r="S561" s="1317"/>
      <c r="T561" s="1317" t="str">
        <f t="shared" si="11"/>
        <v>AL SHAMLY TRADING</v>
      </c>
      <c r="U561" s="1308" t="str">
        <f t="shared" si="12"/>
        <v>V248</v>
      </c>
      <c r="V561" s="1308"/>
      <c r="W561" s="1308"/>
      <c r="X561" s="1308"/>
      <c r="Y561" s="1308"/>
      <c r="Z561" s="1308"/>
      <c r="AA561" s="1308"/>
    </row>
    <row r="562" spans="1:27">
      <c r="A562" s="1370" t="s">
        <v>2445</v>
      </c>
      <c r="B562" s="1371" t="s">
        <v>2446</v>
      </c>
      <c r="C562" s="1366"/>
      <c r="D562" s="1366"/>
      <c r="E562" s="1367"/>
      <c r="F562" s="1299"/>
      <c r="G562" s="1309"/>
      <c r="H562" s="1306"/>
      <c r="I562" s="1307"/>
      <c r="J562" s="1307"/>
      <c r="K562" s="1307"/>
      <c r="L562" s="1307"/>
      <c r="M562" s="1307"/>
      <c r="N562" s="1307"/>
      <c r="O562" s="1308"/>
      <c r="P562" s="1308"/>
      <c r="Q562" s="1308"/>
      <c r="R562" s="1308"/>
      <c r="S562" s="1317"/>
      <c r="T562" s="1317" t="str">
        <f t="shared" si="11"/>
        <v>MARHABA BUILDING MAT.CO</v>
      </c>
      <c r="U562" s="1308" t="str">
        <f t="shared" si="12"/>
        <v>V249</v>
      </c>
      <c r="V562" s="1308"/>
      <c r="W562" s="1308"/>
      <c r="X562" s="1308"/>
      <c r="Y562" s="1308"/>
      <c r="Z562" s="1308"/>
      <c r="AA562" s="1308"/>
    </row>
    <row r="563" spans="1:27">
      <c r="A563" s="1370" t="s">
        <v>2447</v>
      </c>
      <c r="B563" s="1371" t="s">
        <v>2448</v>
      </c>
      <c r="C563" s="1366"/>
      <c r="D563" s="1366"/>
      <c r="E563" s="1367"/>
      <c r="F563" s="1299"/>
      <c r="G563" s="1309"/>
      <c r="H563" s="1306"/>
      <c r="I563" s="1307"/>
      <c r="J563" s="1307"/>
      <c r="K563" s="1307"/>
      <c r="L563" s="1307"/>
      <c r="M563" s="1307"/>
      <c r="N563" s="1307"/>
      <c r="O563" s="1308"/>
      <c r="P563" s="1308"/>
      <c r="Q563" s="1308"/>
      <c r="R563" s="1308"/>
      <c r="S563" s="1317"/>
      <c r="T563" s="1317" t="str">
        <f t="shared" si="11"/>
        <v>AL SAFRAN BLDG. MATERIALS</v>
      </c>
      <c r="U563" s="1308" t="str">
        <f t="shared" si="12"/>
        <v>V250</v>
      </c>
      <c r="V563" s="1308"/>
      <c r="W563" s="1308"/>
      <c r="X563" s="1308"/>
      <c r="Y563" s="1308"/>
      <c r="Z563" s="1308"/>
      <c r="AA563" s="1308"/>
    </row>
    <row r="564" spans="1:27">
      <c r="A564" s="1370" t="s">
        <v>2449</v>
      </c>
      <c r="B564" s="1371" t="s">
        <v>2450</v>
      </c>
      <c r="C564" s="1366"/>
      <c r="D564" s="1366"/>
      <c r="E564" s="1367"/>
      <c r="F564" s="1299"/>
      <c r="G564" s="1309"/>
      <c r="H564" s="1306"/>
      <c r="I564" s="1307"/>
      <c r="J564" s="1307"/>
      <c r="K564" s="1307"/>
      <c r="L564" s="1307"/>
      <c r="M564" s="1307"/>
      <c r="N564" s="1307"/>
      <c r="O564" s="1308"/>
      <c r="P564" s="1308"/>
      <c r="Q564" s="1308"/>
      <c r="R564" s="1308"/>
      <c r="S564" s="1317"/>
      <c r="T564" s="1317" t="str">
        <f t="shared" si="11"/>
        <v>BALGHANIM</v>
      </c>
      <c r="U564" s="1308" t="str">
        <f t="shared" si="12"/>
        <v>V251</v>
      </c>
      <c r="V564" s="1308"/>
      <c r="W564" s="1308"/>
      <c r="X564" s="1308"/>
      <c r="Y564" s="1308"/>
      <c r="Z564" s="1308"/>
      <c r="AA564" s="1308"/>
    </row>
    <row r="565" spans="1:27">
      <c r="A565" s="1370" t="s">
        <v>2451</v>
      </c>
      <c r="B565" s="1371" t="s">
        <v>2452</v>
      </c>
      <c r="C565" s="1366"/>
      <c r="D565" s="1366"/>
      <c r="E565" s="1367"/>
      <c r="F565" s="1299"/>
      <c r="G565" s="1309"/>
      <c r="H565" s="1306"/>
      <c r="I565" s="1307"/>
      <c r="J565" s="1307"/>
      <c r="K565" s="1307"/>
      <c r="L565" s="1307"/>
      <c r="M565" s="1307"/>
      <c r="N565" s="1307"/>
      <c r="O565" s="1308"/>
      <c r="P565" s="1308"/>
      <c r="Q565" s="1308"/>
      <c r="R565" s="1308"/>
      <c r="S565" s="1317"/>
      <c r="T565" s="1317" t="str">
        <f t="shared" si="11"/>
        <v>LASPINAS</v>
      </c>
      <c r="U565" s="1308" t="str">
        <f t="shared" si="12"/>
        <v>V252</v>
      </c>
      <c r="V565" s="1308"/>
      <c r="W565" s="1308"/>
      <c r="X565" s="1308"/>
      <c r="Y565" s="1308"/>
      <c r="Z565" s="1308"/>
      <c r="AA565" s="1308"/>
    </row>
    <row r="566" spans="1:27">
      <c r="A566" s="1370" t="s">
        <v>2453</v>
      </c>
      <c r="B566" s="1371" t="s">
        <v>2454</v>
      </c>
      <c r="C566" s="1366"/>
      <c r="D566" s="1366"/>
      <c r="E566" s="1367"/>
      <c r="F566" s="1299"/>
      <c r="G566" s="1309"/>
      <c r="H566" s="1306"/>
      <c r="I566" s="1307"/>
      <c r="J566" s="1307"/>
      <c r="K566" s="1307"/>
      <c r="L566" s="1307"/>
      <c r="M566" s="1307"/>
      <c r="N566" s="1307"/>
      <c r="O566" s="1308"/>
      <c r="P566" s="1308"/>
      <c r="Q566" s="1308"/>
      <c r="R566" s="1308"/>
      <c r="S566" s="1317"/>
      <c r="T566" s="1317" t="str">
        <f t="shared" si="11"/>
        <v>Standard Coll World</v>
      </c>
      <c r="U566" s="1308" t="str">
        <f t="shared" si="12"/>
        <v>V253</v>
      </c>
      <c r="V566" s="1308"/>
      <c r="W566" s="1308"/>
      <c r="X566" s="1308"/>
      <c r="Y566" s="1308"/>
      <c r="Z566" s="1308"/>
      <c r="AA566" s="1308"/>
    </row>
    <row r="567" spans="1:27">
      <c r="A567" s="1370" t="s">
        <v>2455</v>
      </c>
      <c r="B567" s="1371" t="s">
        <v>2456</v>
      </c>
      <c r="C567" s="1366"/>
      <c r="D567" s="1366"/>
      <c r="E567" s="1367"/>
      <c r="F567" s="1299"/>
      <c r="G567" s="1309"/>
      <c r="H567" s="1306"/>
      <c r="I567" s="1307"/>
      <c r="J567" s="1307"/>
      <c r="K567" s="1307"/>
      <c r="L567" s="1307"/>
      <c r="M567" s="1307"/>
      <c r="N567" s="1307"/>
      <c r="O567" s="1308"/>
      <c r="P567" s="1308"/>
      <c r="Q567" s="1308"/>
      <c r="R567" s="1308"/>
      <c r="S567" s="1317"/>
      <c r="T567" s="1317" t="str">
        <f t="shared" si="11"/>
        <v>AL GHANI STORES</v>
      </c>
      <c r="U567" s="1308" t="str">
        <f t="shared" si="12"/>
        <v>V254</v>
      </c>
      <c r="V567" s="1308"/>
      <c r="W567" s="1308"/>
      <c r="X567" s="1308"/>
      <c r="Y567" s="1308"/>
      <c r="Z567" s="1308"/>
      <c r="AA567" s="1308"/>
    </row>
    <row r="568" spans="1:27">
      <c r="A568" s="1370" t="s">
        <v>2457</v>
      </c>
      <c r="B568" s="1371" t="s">
        <v>2458</v>
      </c>
      <c r="C568" s="1366"/>
      <c r="D568" s="1366"/>
      <c r="E568" s="1367"/>
      <c r="F568" s="1299"/>
      <c r="G568" s="1309"/>
      <c r="H568" s="1306"/>
      <c r="I568" s="1307"/>
      <c r="J568" s="1307"/>
      <c r="K568" s="1307"/>
      <c r="L568" s="1307"/>
      <c r="M568" s="1307"/>
      <c r="N568" s="1307"/>
      <c r="O568" s="1308"/>
      <c r="P568" s="1308"/>
      <c r="Q568" s="1308"/>
      <c r="R568" s="1308"/>
      <c r="S568" s="1317"/>
      <c r="T568" s="1317" t="str">
        <f t="shared" si="11"/>
        <v>MOHAMMED SADIQ</v>
      </c>
      <c r="U568" s="1308" t="str">
        <f t="shared" si="12"/>
        <v>V255</v>
      </c>
      <c r="V568" s="1308"/>
      <c r="W568" s="1308"/>
      <c r="X568" s="1308"/>
      <c r="Y568" s="1308"/>
      <c r="Z568" s="1308"/>
      <c r="AA568" s="1308"/>
    </row>
    <row r="569" spans="1:27">
      <c r="A569" s="1370" t="s">
        <v>2459</v>
      </c>
      <c r="B569" s="1371" t="s">
        <v>2460</v>
      </c>
      <c r="C569" s="1366"/>
      <c r="D569" s="1366"/>
      <c r="E569" s="1367"/>
      <c r="F569" s="1299"/>
      <c r="G569" s="1309"/>
      <c r="H569" s="1306"/>
      <c r="I569" s="1307"/>
      <c r="J569" s="1307"/>
      <c r="K569" s="1307"/>
      <c r="L569" s="1307"/>
      <c r="M569" s="1307"/>
      <c r="N569" s="1307"/>
      <c r="O569" s="1308"/>
      <c r="P569" s="1308"/>
      <c r="Q569" s="1308"/>
      <c r="R569" s="1308"/>
      <c r="S569" s="1317"/>
      <c r="T569" s="1317" t="str">
        <f t="shared" si="11"/>
        <v>Bolt Star Materials</v>
      </c>
      <c r="U569" s="1308" t="str">
        <f t="shared" si="12"/>
        <v>V256</v>
      </c>
      <c r="V569" s="1308"/>
      <c r="W569" s="1308"/>
      <c r="X569" s="1308"/>
      <c r="Y569" s="1308"/>
      <c r="Z569" s="1308"/>
      <c r="AA569" s="1308"/>
    </row>
    <row r="570" spans="1:27">
      <c r="A570" s="1370" t="s">
        <v>2461</v>
      </c>
      <c r="B570" s="1371" t="s">
        <v>2462</v>
      </c>
      <c r="C570" s="1366"/>
      <c r="D570" s="1366"/>
      <c r="E570" s="1367"/>
      <c r="F570" s="1299"/>
      <c r="G570" s="1309"/>
      <c r="H570" s="1306"/>
      <c r="I570" s="1307"/>
      <c r="J570" s="1307"/>
      <c r="K570" s="1307"/>
      <c r="L570" s="1307"/>
      <c r="M570" s="1307"/>
      <c r="N570" s="1307"/>
      <c r="O570" s="1308"/>
      <c r="P570" s="1308"/>
      <c r="Q570" s="1308"/>
      <c r="R570" s="1308"/>
      <c r="S570" s="1317"/>
      <c r="T570" s="1317" t="str">
        <f t="shared" si="11"/>
        <v>INTERCOOL AIR CONDITIONING</v>
      </c>
      <c r="U570" s="1308" t="str">
        <f t="shared" si="12"/>
        <v>V257</v>
      </c>
      <c r="V570" s="1308"/>
      <c r="W570" s="1308"/>
      <c r="X570" s="1308"/>
      <c r="Y570" s="1308"/>
      <c r="Z570" s="1308"/>
      <c r="AA570" s="1308"/>
    </row>
    <row r="571" spans="1:27">
      <c r="A571" s="1370" t="s">
        <v>2463</v>
      </c>
      <c r="B571" s="1371" t="s">
        <v>2464</v>
      </c>
      <c r="C571" s="1366"/>
      <c r="D571" s="1366"/>
      <c r="E571" s="1367"/>
      <c r="F571" s="1299"/>
      <c r="G571" s="1309"/>
      <c r="H571" s="1306"/>
      <c r="I571" s="1307"/>
      <c r="J571" s="1307"/>
      <c r="K571" s="1307"/>
      <c r="L571" s="1307"/>
      <c r="M571" s="1307"/>
      <c r="N571" s="1307"/>
      <c r="O571" s="1308"/>
      <c r="P571" s="1308"/>
      <c r="Q571" s="1308"/>
      <c r="R571" s="1308"/>
      <c r="S571" s="1317"/>
      <c r="T571" s="1317" t="str">
        <f t="shared" si="11"/>
        <v>AL IRFAN CONST. EQUIP RENTAL</v>
      </c>
      <c r="U571" s="1308" t="str">
        <f t="shared" si="12"/>
        <v>V258</v>
      </c>
      <c r="V571" s="1308"/>
      <c r="W571" s="1308"/>
      <c r="X571" s="1308"/>
      <c r="Y571" s="1308"/>
      <c r="Z571" s="1308"/>
      <c r="AA571" s="1308"/>
    </row>
    <row r="572" spans="1:27">
      <c r="A572" s="1370" t="s">
        <v>2465</v>
      </c>
      <c r="B572" s="1371" t="s">
        <v>2466</v>
      </c>
      <c r="C572" s="1366"/>
      <c r="D572" s="1366"/>
      <c r="E572" s="1367"/>
      <c r="F572" s="1299"/>
      <c r="G572" s="1309"/>
      <c r="H572" s="1306"/>
      <c r="I572" s="1307"/>
      <c r="J572" s="1307"/>
      <c r="K572" s="1307"/>
      <c r="L572" s="1307"/>
      <c r="M572" s="1307"/>
      <c r="N572" s="1307"/>
      <c r="O572" s="1308"/>
      <c r="P572" s="1308"/>
      <c r="Q572" s="1308"/>
      <c r="R572" s="1308"/>
      <c r="S572" s="1317"/>
      <c r="T572" s="1317" t="str">
        <f t="shared" si="11"/>
        <v>DSS STEEL</v>
      </c>
      <c r="U572" s="1308" t="str">
        <f t="shared" si="12"/>
        <v>V259</v>
      </c>
      <c r="V572" s="1308"/>
      <c r="W572" s="1308"/>
      <c r="X572" s="1308"/>
      <c r="Y572" s="1308"/>
      <c r="Z572" s="1308"/>
      <c r="AA572" s="1308"/>
    </row>
    <row r="573" spans="1:27">
      <c r="A573" s="1370" t="s">
        <v>2467</v>
      </c>
      <c r="B573" s="1371" t="s">
        <v>2468</v>
      </c>
      <c r="C573" s="1366"/>
      <c r="D573" s="1366"/>
      <c r="E573" s="1367"/>
      <c r="F573" s="1299"/>
      <c r="G573" s="1309"/>
      <c r="H573" s="1306"/>
      <c r="I573" s="1307"/>
      <c r="J573" s="1307"/>
      <c r="K573" s="1307"/>
      <c r="L573" s="1307"/>
      <c r="M573" s="1307"/>
      <c r="N573" s="1307"/>
      <c r="O573" s="1308"/>
      <c r="P573" s="1308"/>
      <c r="Q573" s="1308"/>
      <c r="R573" s="1308"/>
      <c r="S573" s="1317"/>
      <c r="T573" s="1317" t="str">
        <f t="shared" si="11"/>
        <v>INTER COOL A/C</v>
      </c>
      <c r="U573" s="1308" t="str">
        <f t="shared" si="12"/>
        <v>V260</v>
      </c>
      <c r="V573" s="1308"/>
      <c r="W573" s="1308"/>
      <c r="X573" s="1308"/>
      <c r="Y573" s="1308"/>
      <c r="Z573" s="1308"/>
      <c r="AA573" s="1308"/>
    </row>
    <row r="574" spans="1:27">
      <c r="A574" s="1370" t="s">
        <v>2469</v>
      </c>
      <c r="B574" s="1371" t="s">
        <v>2470</v>
      </c>
      <c r="C574" s="1366"/>
      <c r="D574" s="1366"/>
      <c r="E574" s="1367"/>
      <c r="F574" s="1299"/>
      <c r="G574" s="1309"/>
      <c r="H574" s="1306"/>
      <c r="I574" s="1307"/>
      <c r="J574" s="1307"/>
      <c r="K574" s="1307"/>
      <c r="L574" s="1307"/>
      <c r="M574" s="1307"/>
      <c r="N574" s="1307"/>
      <c r="O574" s="1308"/>
      <c r="P574" s="1308"/>
      <c r="Q574" s="1308"/>
      <c r="R574" s="1308"/>
      <c r="S574" s="1317"/>
      <c r="T574" s="1317" t="str">
        <f t="shared" si="11"/>
        <v>BETA</v>
      </c>
      <c r="U574" s="1308" t="str">
        <f t="shared" si="12"/>
        <v>V261</v>
      </c>
      <c r="V574" s="1308"/>
      <c r="W574" s="1308"/>
      <c r="X574" s="1308"/>
      <c r="Y574" s="1308"/>
      <c r="Z574" s="1308"/>
      <c r="AA574" s="1308"/>
    </row>
    <row r="575" spans="1:27">
      <c r="A575" s="1370" t="s">
        <v>2471</v>
      </c>
      <c r="B575" s="1371" t="s">
        <v>2472</v>
      </c>
      <c r="C575" s="1366"/>
      <c r="D575" s="1366"/>
      <c r="E575" s="1367"/>
      <c r="F575" s="1299"/>
      <c r="G575" s="1309"/>
      <c r="H575" s="1306"/>
      <c r="I575" s="1307"/>
      <c r="J575" s="1307"/>
      <c r="K575" s="1307"/>
      <c r="L575" s="1307"/>
      <c r="M575" s="1307"/>
      <c r="N575" s="1307"/>
      <c r="O575" s="1308"/>
      <c r="P575" s="1308"/>
      <c r="Q575" s="1308"/>
      <c r="R575" s="1308"/>
      <c r="S575" s="1317"/>
      <c r="T575" s="1317" t="str">
        <f t="shared" si="11"/>
        <v>RUKN AL BATOOL AC REF</v>
      </c>
      <c r="U575" s="1308" t="str">
        <f t="shared" si="12"/>
        <v>V262</v>
      </c>
      <c r="V575" s="1308"/>
      <c r="W575" s="1308"/>
      <c r="X575" s="1308"/>
      <c r="Y575" s="1308"/>
      <c r="Z575" s="1308"/>
      <c r="AA575" s="1308"/>
    </row>
    <row r="576" spans="1:27">
      <c r="A576" s="1370" t="s">
        <v>2473</v>
      </c>
      <c r="B576" s="1371" t="s">
        <v>2474</v>
      </c>
      <c r="C576" s="1366"/>
      <c r="D576" s="1366"/>
      <c r="E576" s="1367"/>
      <c r="F576" s="1299"/>
      <c r="G576" s="1309"/>
      <c r="H576" s="1306"/>
      <c r="I576" s="1307"/>
      <c r="J576" s="1307"/>
      <c r="K576" s="1307"/>
      <c r="L576" s="1307"/>
      <c r="M576" s="1307"/>
      <c r="N576" s="1307"/>
      <c r="O576" s="1308"/>
      <c r="P576" s="1308"/>
      <c r="Q576" s="1308"/>
      <c r="R576" s="1308"/>
      <c r="S576" s="1317"/>
      <c r="T576" s="1317" t="str">
        <f t="shared" si="11"/>
        <v>GREEN CORNER</v>
      </c>
      <c r="U576" s="1308" t="str">
        <f t="shared" si="12"/>
        <v>V263</v>
      </c>
      <c r="V576" s="1308"/>
      <c r="W576" s="1308"/>
      <c r="X576" s="1308"/>
      <c r="Y576" s="1308"/>
      <c r="Z576" s="1308"/>
      <c r="AA576" s="1308"/>
    </row>
    <row r="577" spans="1:27">
      <c r="A577" s="1370" t="s">
        <v>2475</v>
      </c>
      <c r="B577" s="1371" t="s">
        <v>2476</v>
      </c>
      <c r="C577" s="1366"/>
      <c r="D577" s="1366"/>
      <c r="E577" s="1367"/>
      <c r="F577" s="1299"/>
      <c r="G577" s="1309"/>
      <c r="H577" s="1306"/>
      <c r="I577" s="1307"/>
      <c r="J577" s="1307"/>
      <c r="K577" s="1307"/>
      <c r="L577" s="1307"/>
      <c r="M577" s="1307"/>
      <c r="N577" s="1307"/>
      <c r="O577" s="1308"/>
      <c r="P577" s="1308"/>
      <c r="Q577" s="1308"/>
      <c r="R577" s="1308"/>
      <c r="S577" s="1317"/>
      <c r="T577" s="1317" t="str">
        <f t="shared" si="11"/>
        <v>CHANDNI TRADING LLC</v>
      </c>
      <c r="U577" s="1308" t="str">
        <f t="shared" si="12"/>
        <v>V264</v>
      </c>
      <c r="V577" s="1308"/>
      <c r="W577" s="1308"/>
      <c r="X577" s="1308"/>
      <c r="Y577" s="1308"/>
      <c r="Z577" s="1308"/>
      <c r="AA577" s="1308"/>
    </row>
    <row r="578" spans="1:27">
      <c r="A578" s="1370" t="s">
        <v>2477</v>
      </c>
      <c r="B578" s="1371" t="s">
        <v>2478</v>
      </c>
      <c r="C578" s="1366"/>
      <c r="D578" s="1366"/>
      <c r="E578" s="1367"/>
      <c r="F578" s="1299"/>
      <c r="G578" s="1309"/>
      <c r="H578" s="1306"/>
      <c r="I578" s="1307"/>
      <c r="J578" s="1307"/>
      <c r="K578" s="1307"/>
      <c r="L578" s="1307"/>
      <c r="M578" s="1307"/>
      <c r="N578" s="1307"/>
      <c r="O578" s="1308"/>
      <c r="P578" s="1308"/>
      <c r="Q578" s="1308"/>
      <c r="R578" s="1308"/>
      <c r="S578" s="1317"/>
      <c r="T578" s="1317" t="str">
        <f t="shared" si="11"/>
        <v>JUMA AL SUWAIDI ELECT SANITARY</v>
      </c>
      <c r="U578" s="1308" t="str">
        <f t="shared" si="12"/>
        <v>V265</v>
      </c>
      <c r="V578" s="1308"/>
      <c r="W578" s="1308"/>
      <c r="X578" s="1308"/>
      <c r="Y578" s="1308"/>
      <c r="Z578" s="1308"/>
      <c r="AA578" s="1308"/>
    </row>
    <row r="579" spans="1:27">
      <c r="A579" s="1370" t="s">
        <v>2479</v>
      </c>
      <c r="B579" s="1371" t="s">
        <v>2480</v>
      </c>
      <c r="C579" s="1366"/>
      <c r="D579" s="1366"/>
      <c r="E579" s="1367"/>
      <c r="F579" s="1299"/>
      <c r="G579" s="1309"/>
      <c r="H579" s="1306"/>
      <c r="I579" s="1307"/>
      <c r="J579" s="1307"/>
      <c r="K579" s="1307"/>
      <c r="L579" s="1307"/>
      <c r="M579" s="1307"/>
      <c r="N579" s="1307"/>
      <c r="O579" s="1308"/>
      <c r="P579" s="1308"/>
      <c r="Q579" s="1308"/>
      <c r="R579" s="1308"/>
      <c r="S579" s="1317"/>
      <c r="T579" s="1317" t="str">
        <f t="shared" si="11"/>
        <v>DUKE STEEL TRADING</v>
      </c>
      <c r="U579" s="1308" t="str">
        <f t="shared" si="12"/>
        <v>V266</v>
      </c>
      <c r="V579" s="1308"/>
      <c r="W579" s="1308"/>
      <c r="X579" s="1308"/>
      <c r="Y579" s="1308"/>
      <c r="Z579" s="1308"/>
      <c r="AA579" s="1308"/>
    </row>
    <row r="580" spans="1:27">
      <c r="A580" s="1370" t="s">
        <v>2481</v>
      </c>
      <c r="B580" s="1371" t="s">
        <v>2482</v>
      </c>
      <c r="C580" s="1366"/>
      <c r="D580" s="1366"/>
      <c r="E580" s="1367"/>
      <c r="F580" s="1299"/>
      <c r="G580" s="1309"/>
      <c r="H580" s="1306"/>
      <c r="I580" s="1307"/>
      <c r="J580" s="1307"/>
      <c r="K580" s="1307"/>
      <c r="L580" s="1307"/>
      <c r="M580" s="1307"/>
      <c r="N580" s="1307"/>
      <c r="O580" s="1308"/>
      <c r="P580" s="1308"/>
      <c r="Q580" s="1308"/>
      <c r="R580" s="1308"/>
      <c r="S580" s="1317"/>
      <c r="T580" s="1317" t="str">
        <f t="shared" si="11"/>
        <v>WOTEK</v>
      </c>
      <c r="U580" s="1308" t="str">
        <f t="shared" si="12"/>
        <v>V267</v>
      </c>
      <c r="V580" s="1308"/>
      <c r="W580" s="1308"/>
      <c r="X580" s="1308"/>
      <c r="Y580" s="1308"/>
      <c r="Z580" s="1308"/>
      <c r="AA580" s="1308"/>
    </row>
    <row r="581" spans="1:27">
      <c r="A581" s="1370" t="s">
        <v>2483</v>
      </c>
      <c r="B581" s="1371" t="s">
        <v>2484</v>
      </c>
      <c r="C581" s="1366"/>
      <c r="D581" s="1366"/>
      <c r="E581" s="1367"/>
      <c r="F581" s="1299"/>
      <c r="G581" s="1309"/>
      <c r="H581" s="1306"/>
      <c r="I581" s="1307"/>
      <c r="J581" s="1307"/>
      <c r="K581" s="1307"/>
      <c r="L581" s="1307"/>
      <c r="M581" s="1307"/>
      <c r="N581" s="1307"/>
      <c r="O581" s="1308"/>
      <c r="P581" s="1308"/>
      <c r="Q581" s="1308"/>
      <c r="R581" s="1308"/>
      <c r="S581" s="1317"/>
      <c r="T581" s="1317" t="str">
        <f t="shared" si="11"/>
        <v>AL SAFEENA AL HAMRAA</v>
      </c>
      <c r="U581" s="1308" t="str">
        <f t="shared" si="12"/>
        <v>V268</v>
      </c>
      <c r="V581" s="1308"/>
      <c r="W581" s="1308"/>
      <c r="X581" s="1308"/>
      <c r="Y581" s="1308"/>
      <c r="Z581" s="1308"/>
      <c r="AA581" s="1308"/>
    </row>
    <row r="582" spans="1:27">
      <c r="A582" s="1370" t="s">
        <v>2485</v>
      </c>
      <c r="B582" s="1371" t="s">
        <v>2486</v>
      </c>
      <c r="C582" s="1366"/>
      <c r="D582" s="1366"/>
      <c r="E582" s="1367"/>
      <c r="F582" s="1299"/>
      <c r="G582" s="1309"/>
      <c r="H582" s="1306"/>
      <c r="I582" s="1307"/>
      <c r="J582" s="1307"/>
      <c r="K582" s="1307"/>
      <c r="L582" s="1307"/>
      <c r="M582" s="1307"/>
      <c r="N582" s="1307"/>
      <c r="O582" s="1308"/>
      <c r="P582" s="1308"/>
      <c r="Q582" s="1308"/>
      <c r="R582" s="1308"/>
      <c r="S582" s="1317"/>
      <c r="T582" s="1317" t="str">
        <f t="shared" si="11"/>
        <v>JNAH AL NORAS</v>
      </c>
      <c r="U582" s="1308" t="str">
        <f t="shared" si="12"/>
        <v>V269</v>
      </c>
      <c r="V582" s="1308"/>
      <c r="W582" s="1308"/>
      <c r="X582" s="1308"/>
      <c r="Y582" s="1308"/>
      <c r="Z582" s="1308"/>
      <c r="AA582" s="1308"/>
    </row>
    <row r="583" spans="1:27">
      <c r="A583" s="1370" t="s">
        <v>2487</v>
      </c>
      <c r="B583" s="1371" t="s">
        <v>2488</v>
      </c>
      <c r="C583" s="1366"/>
      <c r="D583" s="1366"/>
      <c r="E583" s="1367"/>
      <c r="F583" s="1299"/>
      <c r="G583" s="1309"/>
      <c r="H583" s="1306"/>
      <c r="I583" s="1307"/>
      <c r="J583" s="1307"/>
      <c r="K583" s="1307"/>
      <c r="L583" s="1307"/>
      <c r="M583" s="1307"/>
      <c r="N583" s="1307"/>
      <c r="O583" s="1308"/>
      <c r="P583" s="1308"/>
      <c r="Q583" s="1308"/>
      <c r="R583" s="1308"/>
      <c r="S583" s="1317"/>
      <c r="T583" s="1317" t="str">
        <f t="shared" si="11"/>
        <v>NAJMAT MIRDIF BUILDING</v>
      </c>
      <c r="U583" s="1308" t="str">
        <f t="shared" si="12"/>
        <v>V270</v>
      </c>
      <c r="V583" s="1308"/>
      <c r="W583" s="1308"/>
      <c r="X583" s="1308"/>
      <c r="Y583" s="1308"/>
      <c r="Z583" s="1308"/>
      <c r="AA583" s="1308"/>
    </row>
    <row r="584" spans="1:27">
      <c r="A584" s="1370" t="s">
        <v>2489</v>
      </c>
      <c r="B584" s="1371" t="s">
        <v>2490</v>
      </c>
      <c r="C584" s="1366"/>
      <c r="D584" s="1366"/>
      <c r="E584" s="1367"/>
      <c r="F584" s="1299"/>
      <c r="G584" s="1309"/>
      <c r="H584" s="1306"/>
      <c r="I584" s="1307"/>
      <c r="J584" s="1307"/>
      <c r="K584" s="1307"/>
      <c r="L584" s="1307"/>
      <c r="M584" s="1307"/>
      <c r="N584" s="1307"/>
      <c r="O584" s="1308"/>
      <c r="P584" s="1308"/>
      <c r="Q584" s="1308"/>
      <c r="R584" s="1308"/>
      <c r="S584" s="1317"/>
      <c r="T584" s="1317" t="str">
        <f t="shared" si="11"/>
        <v>NASA ELECTRICALS</v>
      </c>
      <c r="U584" s="1308" t="str">
        <f t="shared" si="12"/>
        <v>V271</v>
      </c>
      <c r="V584" s="1308"/>
      <c r="W584" s="1308"/>
      <c r="X584" s="1308"/>
      <c r="Y584" s="1308"/>
      <c r="Z584" s="1308"/>
      <c r="AA584" s="1308"/>
    </row>
    <row r="585" spans="1:27">
      <c r="A585" s="1370" t="s">
        <v>2491</v>
      </c>
      <c r="B585" s="1371" t="s">
        <v>2492</v>
      </c>
      <c r="C585" s="1366"/>
      <c r="D585" s="1366"/>
      <c r="E585" s="1367"/>
      <c r="F585" s="1299"/>
      <c r="G585" s="1309"/>
      <c r="H585" s="1306"/>
      <c r="I585" s="1307"/>
      <c r="J585" s="1307"/>
      <c r="K585" s="1307"/>
      <c r="L585" s="1307"/>
      <c r="M585" s="1307"/>
      <c r="N585" s="1307"/>
      <c r="O585" s="1308"/>
      <c r="P585" s="1308"/>
      <c r="Q585" s="1308"/>
      <c r="R585" s="1308"/>
      <c r="S585" s="1317"/>
      <c r="T585" s="1317" t="str">
        <f t="shared" si="11"/>
        <v>AL LABEEB TRADING</v>
      </c>
      <c r="U585" s="1308" t="str">
        <f t="shared" si="12"/>
        <v>V272</v>
      </c>
      <c r="V585" s="1308"/>
      <c r="W585" s="1308"/>
      <c r="X585" s="1308"/>
      <c r="Y585" s="1308"/>
      <c r="Z585" s="1308"/>
      <c r="AA585" s="1308"/>
    </row>
    <row r="586" spans="1:27">
      <c r="A586" s="1370" t="s">
        <v>2493</v>
      </c>
      <c r="B586" s="1371" t="s">
        <v>2494</v>
      </c>
      <c r="C586" s="1366"/>
      <c r="D586" s="1366"/>
      <c r="E586" s="1367"/>
      <c r="F586" s="1299"/>
      <c r="G586" s="1309"/>
      <c r="H586" s="1306"/>
      <c r="I586" s="1307"/>
      <c r="J586" s="1307"/>
      <c r="K586" s="1307"/>
      <c r="L586" s="1307"/>
      <c r="M586" s="1307"/>
      <c r="N586" s="1307"/>
      <c r="O586" s="1308"/>
      <c r="P586" s="1308"/>
      <c r="Q586" s="1308"/>
      <c r="R586" s="1308"/>
      <c r="S586" s="1317"/>
      <c r="T586" s="1317" t="str">
        <f t="shared" si="11"/>
        <v>ABBAS ALI HARDWARE</v>
      </c>
      <c r="U586" s="1308" t="str">
        <f t="shared" si="12"/>
        <v>V273</v>
      </c>
      <c r="V586" s="1308"/>
      <c r="W586" s="1308"/>
      <c r="X586" s="1308"/>
      <c r="Y586" s="1308"/>
      <c r="Z586" s="1308"/>
      <c r="AA586" s="1308"/>
    </row>
    <row r="587" spans="1:27">
      <c r="A587" s="1370" t="s">
        <v>2495</v>
      </c>
      <c r="B587" s="1371" t="s">
        <v>2496</v>
      </c>
      <c r="C587" s="1366"/>
      <c r="D587" s="1366"/>
      <c r="E587" s="1367"/>
      <c r="F587" s="1299"/>
      <c r="G587" s="1309"/>
      <c r="H587" s="1306"/>
      <c r="I587" s="1307"/>
      <c r="J587" s="1307"/>
      <c r="K587" s="1307"/>
      <c r="L587" s="1307"/>
      <c r="M587" s="1307"/>
      <c r="N587" s="1307"/>
      <c r="O587" s="1308"/>
      <c r="P587" s="1308"/>
      <c r="Q587" s="1308"/>
      <c r="R587" s="1308"/>
      <c r="S587" s="1317"/>
      <c r="T587" s="1317" t="str">
        <f t="shared" si="11"/>
        <v>REDHA FARHAN TRADING</v>
      </c>
      <c r="U587" s="1308" t="str">
        <f t="shared" si="12"/>
        <v>V274</v>
      </c>
      <c r="V587" s="1308"/>
      <c r="W587" s="1308"/>
      <c r="X587" s="1308"/>
      <c r="Y587" s="1308"/>
      <c r="Z587" s="1308"/>
      <c r="AA587" s="1308"/>
    </row>
    <row r="588" spans="1:27">
      <c r="A588" s="1370" t="s">
        <v>2497</v>
      </c>
      <c r="B588" s="1371" t="s">
        <v>2498</v>
      </c>
      <c r="C588" s="1366"/>
      <c r="D588" s="1366"/>
      <c r="E588" s="1367"/>
      <c r="F588" s="1299"/>
      <c r="G588" s="1309"/>
      <c r="H588" s="1306"/>
      <c r="I588" s="1307"/>
      <c r="J588" s="1307"/>
      <c r="K588" s="1307"/>
      <c r="L588" s="1307"/>
      <c r="M588" s="1307"/>
      <c r="N588" s="1307"/>
      <c r="O588" s="1308"/>
      <c r="P588" s="1308"/>
      <c r="Q588" s="1308"/>
      <c r="R588" s="1308"/>
      <c r="S588" s="1317"/>
      <c r="T588" s="1317" t="str">
        <f t="shared" si="11"/>
        <v>AL MAJD HARDWARE TRADING</v>
      </c>
      <c r="U588" s="1308" t="str">
        <f t="shared" si="12"/>
        <v>V275</v>
      </c>
      <c r="V588" s="1308"/>
      <c r="W588" s="1308"/>
      <c r="X588" s="1308"/>
      <c r="Y588" s="1308"/>
      <c r="Z588" s="1308"/>
      <c r="AA588" s="1308"/>
    </row>
    <row r="589" spans="1:27">
      <c r="A589" s="1370" t="s">
        <v>2499</v>
      </c>
      <c r="B589" s="1371" t="s">
        <v>2500</v>
      </c>
      <c r="C589" s="1366"/>
      <c r="D589" s="1366"/>
      <c r="E589" s="1367"/>
      <c r="F589" s="1299"/>
      <c r="G589" s="1309"/>
      <c r="H589" s="1306"/>
      <c r="I589" s="1307"/>
      <c r="J589" s="1307"/>
      <c r="K589" s="1307"/>
      <c r="L589" s="1307"/>
      <c r="M589" s="1307"/>
      <c r="N589" s="1307"/>
      <c r="O589" s="1308"/>
      <c r="P589" s="1308"/>
      <c r="Q589" s="1308"/>
      <c r="R589" s="1308"/>
      <c r="S589" s="1317"/>
      <c r="T589" s="1317" t="str">
        <f t="shared" si="11"/>
        <v>NAJMAT AL QAMAR BUILDING MATERILAS</v>
      </c>
      <c r="U589" s="1308" t="str">
        <f t="shared" si="12"/>
        <v>V276</v>
      </c>
      <c r="V589" s="1308"/>
      <c r="W589" s="1308"/>
      <c r="X589" s="1308"/>
      <c r="Y589" s="1308"/>
      <c r="Z589" s="1308"/>
      <c r="AA589" s="1308"/>
    </row>
    <row r="590" spans="1:27">
      <c r="A590" s="1370" t="s">
        <v>2501</v>
      </c>
      <c r="B590" s="1371" t="s">
        <v>2502</v>
      </c>
      <c r="C590" s="1366"/>
      <c r="D590" s="1366"/>
      <c r="E590" s="1367"/>
      <c r="F590" s="1299"/>
      <c r="G590" s="1309"/>
      <c r="H590" s="1306"/>
      <c r="I590" s="1307"/>
      <c r="J590" s="1307"/>
      <c r="K590" s="1307"/>
      <c r="L590" s="1307"/>
      <c r="M590" s="1307"/>
      <c r="N590" s="1307"/>
      <c r="O590" s="1308"/>
      <c r="P590" s="1308"/>
      <c r="Q590" s="1308"/>
      <c r="R590" s="1308"/>
      <c r="S590" s="1317"/>
      <c r="T590" s="1317" t="str">
        <f t="shared" si="11"/>
        <v>GAMA ELECT.TR.LLC</v>
      </c>
      <c r="U590" s="1308" t="str">
        <f t="shared" si="12"/>
        <v>V277</v>
      </c>
      <c r="V590" s="1308"/>
      <c r="W590" s="1308"/>
      <c r="X590" s="1308"/>
      <c r="Y590" s="1308"/>
      <c r="Z590" s="1308"/>
      <c r="AA590" s="1308"/>
    </row>
    <row r="591" spans="1:27">
      <c r="A591" s="1370" t="s">
        <v>2503</v>
      </c>
      <c r="B591" s="1371" t="s">
        <v>2504</v>
      </c>
      <c r="C591" s="1366"/>
      <c r="D591" s="1366"/>
      <c r="E591" s="1367"/>
      <c r="F591" s="1299"/>
      <c r="G591" s="1309"/>
      <c r="H591" s="1306"/>
      <c r="I591" s="1307"/>
      <c r="J591" s="1307"/>
      <c r="K591" s="1307"/>
      <c r="L591" s="1307"/>
      <c r="M591" s="1307"/>
      <c r="N591" s="1307"/>
      <c r="O591" s="1308"/>
      <c r="P591" s="1308"/>
      <c r="Q591" s="1308"/>
      <c r="R591" s="1308"/>
      <c r="S591" s="1317"/>
      <c r="T591" s="1317" t="str">
        <f t="shared" si="11"/>
        <v>ARCTIC</v>
      </c>
      <c r="U591" s="1308" t="str">
        <f t="shared" si="12"/>
        <v>V278</v>
      </c>
      <c r="V591" s="1308"/>
      <c r="W591" s="1308"/>
      <c r="X591" s="1308"/>
      <c r="Y591" s="1308"/>
      <c r="Z591" s="1308"/>
      <c r="AA591" s="1308"/>
    </row>
    <row r="592" spans="1:27">
      <c r="A592" s="1370" t="s">
        <v>2505</v>
      </c>
      <c r="B592" s="1371" t="s">
        <v>2506</v>
      </c>
      <c r="C592" s="1366"/>
      <c r="D592" s="1366"/>
      <c r="E592" s="1367"/>
      <c r="F592" s="1299"/>
      <c r="G592" s="1309"/>
      <c r="H592" s="1306"/>
      <c r="I592" s="1307"/>
      <c r="J592" s="1307"/>
      <c r="K592" s="1307"/>
      <c r="L592" s="1307"/>
      <c r="M592" s="1307"/>
      <c r="N592" s="1307"/>
      <c r="O592" s="1308"/>
      <c r="P592" s="1308"/>
      <c r="Q592" s="1308"/>
      <c r="R592" s="1308"/>
      <c r="S592" s="1317"/>
      <c r="T592" s="1317" t="str">
        <f t="shared" si="11"/>
        <v>FK TOOLS</v>
      </c>
      <c r="U592" s="1308" t="str">
        <f t="shared" si="12"/>
        <v>V279</v>
      </c>
      <c r="V592" s="1308"/>
      <c r="W592" s="1308"/>
      <c r="X592" s="1308"/>
      <c r="Y592" s="1308"/>
      <c r="Z592" s="1308"/>
      <c r="AA592" s="1308"/>
    </row>
    <row r="593" spans="1:27">
      <c r="A593" s="1370" t="s">
        <v>2507</v>
      </c>
      <c r="B593" s="1371" t="s">
        <v>2508</v>
      </c>
      <c r="C593" s="1366"/>
      <c r="D593" s="1366"/>
      <c r="E593" s="1367"/>
      <c r="F593" s="1299"/>
      <c r="G593" s="1309"/>
      <c r="H593" s="1306"/>
      <c r="I593" s="1307"/>
      <c r="J593" s="1307"/>
      <c r="K593" s="1307"/>
      <c r="L593" s="1307"/>
      <c r="M593" s="1307"/>
      <c r="N593" s="1307"/>
      <c r="O593" s="1308"/>
      <c r="P593" s="1308"/>
      <c r="Q593" s="1308"/>
      <c r="R593" s="1308"/>
      <c r="S593" s="1317"/>
      <c r="T593" s="1317" t="str">
        <f t="shared" si="11"/>
        <v>AL BATAEH BLDG .MAT.TR</v>
      </c>
      <c r="U593" s="1308" t="str">
        <f t="shared" si="12"/>
        <v>V280</v>
      </c>
      <c r="V593" s="1308"/>
      <c r="W593" s="1308"/>
      <c r="X593" s="1308"/>
      <c r="Y593" s="1308"/>
      <c r="Z593" s="1308"/>
      <c r="AA593" s="1308"/>
    </row>
    <row r="594" spans="1:27">
      <c r="A594" s="1370" t="s">
        <v>2509</v>
      </c>
      <c r="B594" s="1371" t="s">
        <v>2510</v>
      </c>
      <c r="C594" s="1366"/>
      <c r="D594" s="1366"/>
      <c r="E594" s="1367"/>
      <c r="F594" s="1299"/>
      <c r="G594" s="1309"/>
      <c r="H594" s="1306"/>
      <c r="I594" s="1307"/>
      <c r="J594" s="1307"/>
      <c r="K594" s="1307"/>
      <c r="L594" s="1307"/>
      <c r="M594" s="1307"/>
      <c r="N594" s="1307"/>
      <c r="O594" s="1308"/>
      <c r="P594" s="1308"/>
      <c r="Q594" s="1308"/>
      <c r="R594" s="1308"/>
      <c r="S594" s="1317"/>
      <c r="T594" s="1317" t="str">
        <f t="shared" si="11"/>
        <v>BIN THANI HARDWARE</v>
      </c>
      <c r="U594" s="1308" t="str">
        <f t="shared" si="12"/>
        <v>V281</v>
      </c>
      <c r="V594" s="1308"/>
      <c r="W594" s="1308"/>
      <c r="X594" s="1308"/>
      <c r="Y594" s="1308"/>
      <c r="Z594" s="1308"/>
      <c r="AA594" s="1308"/>
    </row>
    <row r="595" spans="1:27">
      <c r="A595" s="1370" t="s">
        <v>2511</v>
      </c>
      <c r="B595" s="1371" t="s">
        <v>2512</v>
      </c>
      <c r="C595" s="1366"/>
      <c r="D595" s="1366"/>
      <c r="E595" s="1367"/>
      <c r="F595" s="1299"/>
      <c r="G595" s="1309"/>
      <c r="H595" s="1306"/>
      <c r="I595" s="1307"/>
      <c r="J595" s="1307"/>
      <c r="K595" s="1307"/>
      <c r="L595" s="1307"/>
      <c r="M595" s="1307"/>
      <c r="N595" s="1307"/>
      <c r="O595" s="1308"/>
      <c r="P595" s="1308"/>
      <c r="Q595" s="1308"/>
      <c r="R595" s="1308"/>
      <c r="S595" s="1317"/>
      <c r="T595" s="1317" t="str">
        <f t="shared" si="11"/>
        <v>ZAKIR HOSSAIN</v>
      </c>
      <c r="U595" s="1308" t="str">
        <f t="shared" si="12"/>
        <v>V282</v>
      </c>
      <c r="V595" s="1308"/>
      <c r="W595" s="1308"/>
      <c r="X595" s="1308"/>
      <c r="Y595" s="1308"/>
      <c r="Z595" s="1308"/>
      <c r="AA595" s="1308"/>
    </row>
    <row r="596" spans="1:27">
      <c r="A596" s="1370" t="s">
        <v>2513</v>
      </c>
      <c r="B596" s="1371" t="s">
        <v>2514</v>
      </c>
      <c r="C596" s="1366"/>
      <c r="D596" s="1366"/>
      <c r="E596" s="1367"/>
      <c r="F596" s="1299"/>
      <c r="G596" s="1309"/>
      <c r="H596" s="1306"/>
      <c r="I596" s="1307"/>
      <c r="J596" s="1307"/>
      <c r="K596" s="1307"/>
      <c r="L596" s="1307"/>
      <c r="M596" s="1307"/>
      <c r="N596" s="1307"/>
      <c r="O596" s="1308"/>
      <c r="P596" s="1308"/>
      <c r="Q596" s="1308"/>
      <c r="R596" s="1308"/>
      <c r="S596" s="1317"/>
      <c r="T596" s="1317" t="str">
        <f t="shared" si="11"/>
        <v>RUBAIYA ZUEAID BLDG MATERIALS</v>
      </c>
      <c r="U596" s="1308" t="str">
        <f t="shared" si="12"/>
        <v>V283</v>
      </c>
      <c r="V596" s="1308"/>
      <c r="W596" s="1308"/>
      <c r="X596" s="1308"/>
      <c r="Y596" s="1308"/>
      <c r="Z596" s="1308"/>
      <c r="AA596" s="1308"/>
    </row>
    <row r="597" spans="1:27">
      <c r="A597" s="1370" t="s">
        <v>2515</v>
      </c>
      <c r="B597" s="1371" t="s">
        <v>2516</v>
      </c>
      <c r="C597" s="1366"/>
      <c r="D597" s="1366"/>
      <c r="E597" s="1367"/>
      <c r="F597" s="1299"/>
      <c r="G597" s="1309"/>
      <c r="H597" s="1306"/>
      <c r="I597" s="1307"/>
      <c r="J597" s="1307"/>
      <c r="K597" s="1307"/>
      <c r="L597" s="1307"/>
      <c r="M597" s="1307"/>
      <c r="N597" s="1307"/>
      <c r="O597" s="1308"/>
      <c r="P597" s="1308"/>
      <c r="Q597" s="1308"/>
      <c r="R597" s="1308"/>
      <c r="S597" s="1317"/>
      <c r="T597" s="1317" t="str">
        <f t="shared" si="11"/>
        <v>OBAID MASOOD</v>
      </c>
      <c r="U597" s="1308" t="str">
        <f t="shared" si="12"/>
        <v>V284</v>
      </c>
      <c r="V597" s="1308"/>
      <c r="W597" s="1308"/>
      <c r="X597" s="1308"/>
      <c r="Y597" s="1308"/>
      <c r="Z597" s="1308"/>
      <c r="AA597" s="1308"/>
    </row>
    <row r="598" spans="1:27">
      <c r="A598" s="1370" t="s">
        <v>2517</v>
      </c>
      <c r="B598" s="1371" t="s">
        <v>2518</v>
      </c>
      <c r="C598" s="1366"/>
      <c r="D598" s="1366"/>
      <c r="E598" s="1367"/>
      <c r="F598" s="1299"/>
      <c r="G598" s="1309"/>
      <c r="H598" s="1306"/>
      <c r="I598" s="1307"/>
      <c r="J598" s="1307"/>
      <c r="K598" s="1307"/>
      <c r="L598" s="1307"/>
      <c r="M598" s="1307"/>
      <c r="N598" s="1307"/>
      <c r="O598" s="1308"/>
      <c r="P598" s="1308"/>
      <c r="Q598" s="1308"/>
      <c r="R598" s="1308"/>
      <c r="S598" s="1317"/>
      <c r="T598" s="1317" t="str">
        <f t="shared" si="11"/>
        <v>DELICE BUILDING MATERIALS</v>
      </c>
      <c r="U598" s="1308" t="str">
        <f t="shared" si="12"/>
        <v>V285</v>
      </c>
      <c r="V598" s="1308"/>
      <c r="W598" s="1308"/>
      <c r="X598" s="1308"/>
      <c r="Y598" s="1308"/>
      <c r="Z598" s="1308"/>
      <c r="AA598" s="1308"/>
    </row>
    <row r="599" spans="1:27">
      <c r="A599" s="1370" t="s">
        <v>2519</v>
      </c>
      <c r="B599" s="1371" t="s">
        <v>2520</v>
      </c>
      <c r="C599" s="1366"/>
      <c r="D599" s="1366"/>
      <c r="E599" s="1367"/>
      <c r="F599" s="1299"/>
      <c r="G599" s="1309"/>
      <c r="H599" s="1306"/>
      <c r="I599" s="1307"/>
      <c r="J599" s="1307"/>
      <c r="K599" s="1307"/>
      <c r="L599" s="1307"/>
      <c r="M599" s="1307"/>
      <c r="N599" s="1307"/>
      <c r="O599" s="1308"/>
      <c r="P599" s="1308"/>
      <c r="Q599" s="1308"/>
      <c r="R599" s="1308"/>
      <c r="S599" s="1317"/>
      <c r="T599" s="1317" t="str">
        <f t="shared" si="11"/>
        <v>TOOLBOX</v>
      </c>
      <c r="U599" s="1308" t="str">
        <f t="shared" si="12"/>
        <v>V286</v>
      </c>
      <c r="V599" s="1308"/>
      <c r="W599" s="1308"/>
      <c r="X599" s="1308"/>
      <c r="Y599" s="1308"/>
      <c r="Z599" s="1308"/>
      <c r="AA599" s="1308"/>
    </row>
    <row r="600" spans="1:27">
      <c r="A600" s="1370" t="s">
        <v>2521</v>
      </c>
      <c r="B600" s="1371" t="s">
        <v>2522</v>
      </c>
      <c r="C600" s="1366"/>
      <c r="D600" s="1366"/>
      <c r="E600" s="1367"/>
      <c r="F600" s="1299"/>
      <c r="G600" s="1309"/>
      <c r="H600" s="1306"/>
      <c r="I600" s="1307"/>
      <c r="J600" s="1307"/>
      <c r="K600" s="1307"/>
      <c r="L600" s="1307"/>
      <c r="M600" s="1307"/>
      <c r="N600" s="1307"/>
      <c r="O600" s="1308"/>
      <c r="P600" s="1308"/>
      <c r="Q600" s="1308"/>
      <c r="R600" s="1308"/>
      <c r="S600" s="1317"/>
      <c r="T600" s="1317" t="str">
        <f t="shared" si="11"/>
        <v>CHINA WALL TRADING</v>
      </c>
      <c r="U600" s="1308" t="str">
        <f t="shared" si="12"/>
        <v>V287</v>
      </c>
      <c r="V600" s="1308"/>
      <c r="W600" s="1308"/>
      <c r="X600" s="1308"/>
      <c r="Y600" s="1308"/>
      <c r="Z600" s="1308"/>
      <c r="AA600" s="1308"/>
    </row>
    <row r="601" spans="1:27">
      <c r="A601" s="1370" t="s">
        <v>2523</v>
      </c>
      <c r="B601" s="1371" t="s">
        <v>2524</v>
      </c>
      <c r="C601" s="1366"/>
      <c r="D601" s="1366"/>
      <c r="E601" s="1367"/>
      <c r="F601" s="1299"/>
      <c r="G601" s="1309"/>
      <c r="H601" s="1306"/>
      <c r="I601" s="1307"/>
      <c r="J601" s="1307"/>
      <c r="K601" s="1307"/>
      <c r="L601" s="1307"/>
      <c r="M601" s="1307"/>
      <c r="N601" s="1307"/>
      <c r="O601" s="1308"/>
      <c r="P601" s="1308"/>
      <c r="Q601" s="1308"/>
      <c r="R601" s="1308"/>
      <c r="S601" s="1317"/>
      <c r="T601" s="1317" t="str">
        <f t="shared" si="11"/>
        <v>UMAIR RASHED TR</v>
      </c>
      <c r="U601" s="1308" t="str">
        <f t="shared" si="12"/>
        <v>V288</v>
      </c>
      <c r="V601" s="1308"/>
      <c r="W601" s="1308"/>
      <c r="X601" s="1308"/>
      <c r="Y601" s="1308"/>
      <c r="Z601" s="1308"/>
      <c r="AA601" s="1308"/>
    </row>
    <row r="602" spans="1:27">
      <c r="A602" s="1370" t="s">
        <v>2525</v>
      </c>
      <c r="B602" s="1371" t="s">
        <v>2261</v>
      </c>
      <c r="C602" s="1366"/>
      <c r="D602" s="1366"/>
      <c r="E602" s="1367"/>
      <c r="F602" s="1299"/>
      <c r="G602" s="1309"/>
      <c r="H602" s="1306"/>
      <c r="I602" s="1307"/>
      <c r="J602" s="1307"/>
      <c r="K602" s="1307"/>
      <c r="L602" s="1307"/>
      <c r="M602" s="1307"/>
      <c r="N602" s="1307"/>
      <c r="O602" s="1308"/>
      <c r="P602" s="1308"/>
      <c r="Q602" s="1308"/>
      <c r="R602" s="1308"/>
      <c r="S602" s="1317"/>
      <c r="T602" s="1317" t="str">
        <f t="shared" si="11"/>
        <v>AL KHALIJ ENTERPRISES</v>
      </c>
      <c r="U602" s="1308" t="str">
        <f t="shared" si="12"/>
        <v>V289</v>
      </c>
      <c r="V602" s="1308"/>
      <c r="W602" s="1308"/>
      <c r="X602" s="1308"/>
      <c r="Y602" s="1308"/>
      <c r="Z602" s="1308"/>
      <c r="AA602" s="1308"/>
    </row>
    <row r="603" spans="1:27">
      <c r="A603" s="1370" t="s">
        <v>2526</v>
      </c>
      <c r="B603" s="1371" t="s">
        <v>2508</v>
      </c>
      <c r="C603" s="1366"/>
      <c r="D603" s="1366"/>
      <c r="E603" s="1367"/>
      <c r="F603" s="1299"/>
      <c r="G603" s="1309"/>
      <c r="H603" s="1306"/>
      <c r="I603" s="1307"/>
      <c r="J603" s="1307"/>
      <c r="K603" s="1307"/>
      <c r="L603" s="1307"/>
      <c r="M603" s="1307"/>
      <c r="N603" s="1307"/>
      <c r="O603" s="1308"/>
      <c r="P603" s="1308"/>
      <c r="Q603" s="1308"/>
      <c r="R603" s="1308"/>
      <c r="S603" s="1317"/>
      <c r="T603" s="1317" t="str">
        <f t="shared" si="11"/>
        <v>AL BATAEH BLDG .MAT.TR</v>
      </c>
      <c r="U603" s="1308" t="str">
        <f t="shared" si="12"/>
        <v>V28M0</v>
      </c>
      <c r="V603" s="1308"/>
      <c r="W603" s="1308"/>
      <c r="X603" s="1308"/>
      <c r="Y603" s="1308"/>
      <c r="Z603" s="1308"/>
      <c r="AA603" s="1308"/>
    </row>
    <row r="604" spans="1:27">
      <c r="A604" s="1370" t="s">
        <v>2527</v>
      </c>
      <c r="B604" s="1371" t="s">
        <v>2528</v>
      </c>
      <c r="C604" s="1366"/>
      <c r="D604" s="1366"/>
      <c r="E604" s="1367"/>
      <c r="F604" s="1299"/>
      <c r="G604" s="1309"/>
      <c r="H604" s="1306"/>
      <c r="I604" s="1307"/>
      <c r="J604" s="1307"/>
      <c r="K604" s="1307"/>
      <c r="L604" s="1307"/>
      <c r="M604" s="1307"/>
      <c r="N604" s="1307"/>
      <c r="O604" s="1308"/>
      <c r="P604" s="1308"/>
      <c r="Q604" s="1308"/>
      <c r="R604" s="1308"/>
      <c r="S604" s="1317"/>
      <c r="T604" s="1317" t="str">
        <f t="shared" si="11"/>
        <v>FALAK AL MADINA HYPERMARKET</v>
      </c>
      <c r="U604" s="1308" t="str">
        <f t="shared" si="12"/>
        <v>V290</v>
      </c>
      <c r="V604" s="1308"/>
      <c r="W604" s="1308"/>
      <c r="X604" s="1308"/>
      <c r="Y604" s="1308"/>
      <c r="Z604" s="1308"/>
      <c r="AA604" s="1308"/>
    </row>
    <row r="605" spans="1:27">
      <c r="A605" s="1370" t="s">
        <v>2529</v>
      </c>
      <c r="B605" s="1371" t="s">
        <v>2530</v>
      </c>
      <c r="C605" s="1366"/>
      <c r="D605" s="1366"/>
      <c r="E605" s="1367"/>
      <c r="F605" s="1299"/>
      <c r="G605" s="1309"/>
      <c r="H605" s="1306"/>
      <c r="I605" s="1307"/>
      <c r="J605" s="1307"/>
      <c r="K605" s="1307"/>
      <c r="L605" s="1307"/>
      <c r="M605" s="1307"/>
      <c r="N605" s="1307"/>
      <c r="O605" s="1308"/>
      <c r="P605" s="1308"/>
      <c r="Q605" s="1308"/>
      <c r="R605" s="1308"/>
      <c r="S605" s="1317"/>
      <c r="T605" s="1317" t="str">
        <f t="shared" si="11"/>
        <v>BLUE DIAMOND BUILDING MATERIALS</v>
      </c>
      <c r="U605" s="1308" t="str">
        <f t="shared" si="12"/>
        <v>V291</v>
      </c>
      <c r="V605" s="1308"/>
      <c r="W605" s="1308"/>
      <c r="X605" s="1308"/>
      <c r="Y605" s="1308"/>
      <c r="Z605" s="1308"/>
      <c r="AA605" s="1308"/>
    </row>
    <row r="606" spans="1:27">
      <c r="A606" s="1370" t="s">
        <v>2531</v>
      </c>
      <c r="B606" s="1371" t="s">
        <v>2532</v>
      </c>
      <c r="C606" s="1366"/>
      <c r="D606" s="1366"/>
      <c r="E606" s="1367"/>
      <c r="F606" s="1299"/>
      <c r="G606" s="1309"/>
      <c r="H606" s="1306"/>
      <c r="I606" s="1307"/>
      <c r="J606" s="1307"/>
      <c r="K606" s="1307"/>
      <c r="L606" s="1307"/>
      <c r="M606" s="1307"/>
      <c r="N606" s="1307"/>
      <c r="O606" s="1308"/>
      <c r="P606" s="1308"/>
      <c r="Q606" s="1308"/>
      <c r="R606" s="1308"/>
      <c r="S606" s="1317"/>
      <c r="T606" s="1317" t="str">
        <f t="shared" si="11"/>
        <v>REFRIGATION EQUIPMENT ENTERPRISES</v>
      </c>
      <c r="U606" s="1308" t="str">
        <f t="shared" si="12"/>
        <v>V292</v>
      </c>
      <c r="V606" s="1308"/>
      <c r="W606" s="1308"/>
      <c r="X606" s="1308"/>
      <c r="Y606" s="1308"/>
      <c r="Z606" s="1308"/>
      <c r="AA606" s="1308"/>
    </row>
    <row r="607" spans="1:27">
      <c r="A607" s="1370" t="s">
        <v>2533</v>
      </c>
      <c r="B607" s="1371" t="s">
        <v>2534</v>
      </c>
      <c r="C607" s="1366"/>
      <c r="D607" s="1366"/>
      <c r="E607" s="1367"/>
      <c r="F607" s="1299"/>
      <c r="G607" s="1309"/>
      <c r="H607" s="1306"/>
      <c r="I607" s="1307"/>
      <c r="J607" s="1307"/>
      <c r="K607" s="1307"/>
      <c r="L607" s="1307"/>
      <c r="M607" s="1307"/>
      <c r="N607" s="1307"/>
      <c r="O607" s="1308"/>
      <c r="P607" s="1308"/>
      <c r="Q607" s="1308"/>
      <c r="R607" s="1308"/>
      <c r="S607" s="1317"/>
      <c r="T607" s="1317" t="str">
        <f t="shared" si="11"/>
        <v>AL SHAMALI &amp; WARIS TRAD</v>
      </c>
      <c r="U607" s="1308" t="str">
        <f t="shared" si="12"/>
        <v>V293</v>
      </c>
      <c r="V607" s="1308"/>
      <c r="W607" s="1308"/>
      <c r="X607" s="1308"/>
      <c r="Y607" s="1308"/>
      <c r="Z607" s="1308"/>
      <c r="AA607" s="1308"/>
    </row>
    <row r="608" spans="1:27">
      <c r="A608" s="1370" t="s">
        <v>2535</v>
      </c>
      <c r="B608" s="1371" t="s">
        <v>2536</v>
      </c>
      <c r="C608" s="1366"/>
      <c r="D608" s="1366"/>
      <c r="E608" s="1367"/>
      <c r="F608" s="1299"/>
      <c r="G608" s="1309"/>
      <c r="H608" s="1306"/>
      <c r="I608" s="1307"/>
      <c r="J608" s="1307"/>
      <c r="K608" s="1307"/>
      <c r="L608" s="1307"/>
      <c r="M608" s="1307"/>
      <c r="N608" s="1307"/>
      <c r="O608" s="1308"/>
      <c r="P608" s="1308"/>
      <c r="Q608" s="1308"/>
      <c r="R608" s="1308"/>
      <c r="S608" s="1317"/>
      <c r="T608" s="1317" t="str">
        <f t="shared" si="11"/>
        <v>BURKAN BUILDING MATERIALS</v>
      </c>
      <c r="U608" s="1308" t="str">
        <f t="shared" si="12"/>
        <v>V294</v>
      </c>
      <c r="V608" s="1308"/>
      <c r="W608" s="1308"/>
      <c r="X608" s="1308"/>
      <c r="Y608" s="1308"/>
      <c r="Z608" s="1308"/>
      <c r="AA608" s="1308"/>
    </row>
    <row r="609" spans="1:27">
      <c r="A609" s="1370" t="s">
        <v>2537</v>
      </c>
      <c r="B609" s="1371" t="s">
        <v>2538</v>
      </c>
      <c r="C609" s="1366"/>
      <c r="D609" s="1366"/>
      <c r="E609" s="1367"/>
      <c r="F609" s="1299"/>
      <c r="G609" s="1309"/>
      <c r="H609" s="1306"/>
      <c r="I609" s="1307"/>
      <c r="J609" s="1307"/>
      <c r="K609" s="1307"/>
      <c r="L609" s="1307"/>
      <c r="M609" s="1307"/>
      <c r="N609" s="1307"/>
      <c r="O609" s="1308"/>
      <c r="P609" s="1308"/>
      <c r="Q609" s="1308"/>
      <c r="R609" s="1308"/>
      <c r="S609" s="1317"/>
      <c r="T609" s="1317" t="str">
        <f t="shared" ref="T609:T672" si="13">B609</f>
        <v>AL MANAR AC SPAREPARTS</v>
      </c>
      <c r="U609" s="1308" t="str">
        <f t="shared" ref="U609:U672" si="14">A609</f>
        <v>V295</v>
      </c>
      <c r="V609" s="1308"/>
      <c r="W609" s="1308"/>
      <c r="X609" s="1308"/>
      <c r="Y609" s="1308"/>
      <c r="Z609" s="1308"/>
      <c r="AA609" s="1308"/>
    </row>
    <row r="610" spans="1:27">
      <c r="A610" s="1370" t="s">
        <v>2539</v>
      </c>
      <c r="B610" s="1371" t="s">
        <v>2540</v>
      </c>
      <c r="C610" s="1366"/>
      <c r="D610" s="1366"/>
      <c r="E610" s="1367"/>
      <c r="F610" s="1299"/>
      <c r="G610" s="1309"/>
      <c r="H610" s="1306"/>
      <c r="I610" s="1307"/>
      <c r="J610" s="1307"/>
      <c r="K610" s="1307"/>
      <c r="L610" s="1307"/>
      <c r="M610" s="1307"/>
      <c r="N610" s="1307"/>
      <c r="O610" s="1308"/>
      <c r="P610" s="1308"/>
      <c r="Q610" s="1308"/>
      <c r="R610" s="1308"/>
      <c r="S610" s="1317"/>
      <c r="T610" s="1317" t="str">
        <f t="shared" si="13"/>
        <v>AL BEHAR AL SABAA HARDWARE</v>
      </c>
      <c r="U610" s="1308" t="str">
        <f t="shared" si="14"/>
        <v>V296</v>
      </c>
      <c r="V610" s="1308"/>
      <c r="W610" s="1308"/>
      <c r="X610" s="1308"/>
      <c r="Y610" s="1308"/>
      <c r="Z610" s="1308"/>
      <c r="AA610" s="1308"/>
    </row>
    <row r="611" spans="1:27">
      <c r="A611" s="1370" t="s">
        <v>2541</v>
      </c>
      <c r="B611" s="1371" t="s">
        <v>2542</v>
      </c>
      <c r="C611" s="1366"/>
      <c r="D611" s="1366"/>
      <c r="E611" s="1367"/>
      <c r="F611" s="1299"/>
      <c r="G611" s="1309"/>
      <c r="H611" s="1306"/>
      <c r="I611" s="1307"/>
      <c r="J611" s="1307"/>
      <c r="K611" s="1307"/>
      <c r="L611" s="1307"/>
      <c r="M611" s="1307"/>
      <c r="N611" s="1307"/>
      <c r="O611" s="1308"/>
      <c r="P611" s="1308"/>
      <c r="Q611" s="1308"/>
      <c r="R611" s="1308"/>
      <c r="S611" s="1317"/>
      <c r="T611" s="1317" t="str">
        <f t="shared" si="13"/>
        <v>ROHMIX</v>
      </c>
      <c r="U611" s="1308" t="str">
        <f t="shared" si="14"/>
        <v>V297</v>
      </c>
      <c r="V611" s="1308"/>
      <c r="W611" s="1308"/>
      <c r="X611" s="1308"/>
      <c r="Y611" s="1308"/>
      <c r="Z611" s="1308"/>
      <c r="AA611" s="1308"/>
    </row>
    <row r="612" spans="1:27">
      <c r="A612" s="1370" t="s">
        <v>2543</v>
      </c>
      <c r="B612" s="1371" t="s">
        <v>2544</v>
      </c>
      <c r="C612" s="1366"/>
      <c r="D612" s="1366"/>
      <c r="E612" s="1367"/>
      <c r="F612" s="1299"/>
      <c r="G612" s="1309"/>
      <c r="H612" s="1306"/>
      <c r="I612" s="1307"/>
      <c r="J612" s="1307"/>
      <c r="K612" s="1307"/>
      <c r="L612" s="1307"/>
      <c r="M612" s="1307"/>
      <c r="N612" s="1307"/>
      <c r="O612" s="1308"/>
      <c r="P612" s="1308"/>
      <c r="Q612" s="1308"/>
      <c r="R612" s="1308"/>
      <c r="S612" s="1317"/>
      <c r="T612" s="1317" t="str">
        <f t="shared" si="13"/>
        <v>YASIN KHAMIS BUILDING MATERIALS</v>
      </c>
      <c r="U612" s="1308" t="str">
        <f t="shared" si="14"/>
        <v>V298</v>
      </c>
      <c r="V612" s="1308"/>
      <c r="W612" s="1308"/>
      <c r="X612" s="1308"/>
      <c r="Y612" s="1308"/>
      <c r="Z612" s="1308"/>
      <c r="AA612" s="1308"/>
    </row>
    <row r="613" spans="1:27">
      <c r="A613" s="1370" t="s">
        <v>2545</v>
      </c>
      <c r="B613" s="1371" t="s">
        <v>2546</v>
      </c>
      <c r="C613" s="1366"/>
      <c r="D613" s="1366"/>
      <c r="E613" s="1367"/>
      <c r="F613" s="1299"/>
      <c r="G613" s="1309"/>
      <c r="H613" s="1306"/>
      <c r="I613" s="1307"/>
      <c r="J613" s="1307"/>
      <c r="K613" s="1307"/>
      <c r="L613" s="1307"/>
      <c r="M613" s="1307"/>
      <c r="N613" s="1307"/>
      <c r="O613" s="1308"/>
      <c r="P613" s="1308"/>
      <c r="Q613" s="1308"/>
      <c r="R613" s="1308"/>
      <c r="S613" s="1317"/>
      <c r="T613" s="1317" t="str">
        <f t="shared" si="13"/>
        <v>COOL PLUS</v>
      </c>
      <c r="U613" s="1308" t="str">
        <f t="shared" si="14"/>
        <v>V299</v>
      </c>
      <c r="V613" s="1308"/>
      <c r="W613" s="1308"/>
      <c r="X613" s="1308"/>
      <c r="Y613" s="1308"/>
      <c r="Z613" s="1308"/>
      <c r="AA613" s="1308"/>
    </row>
    <row r="614" spans="1:27">
      <c r="A614" s="1370" t="s">
        <v>2547</v>
      </c>
      <c r="B614" s="1371" t="s">
        <v>2548</v>
      </c>
      <c r="C614" s="1366"/>
      <c r="D614" s="1366"/>
      <c r="E614" s="1367"/>
      <c r="F614" s="1299"/>
      <c r="G614" s="1309"/>
      <c r="H614" s="1306"/>
      <c r="I614" s="1307"/>
      <c r="J614" s="1307"/>
      <c r="K614" s="1307"/>
      <c r="L614" s="1307"/>
      <c r="M614" s="1307"/>
      <c r="N614" s="1307"/>
      <c r="O614" s="1308"/>
      <c r="P614" s="1308"/>
      <c r="Q614" s="1308"/>
      <c r="R614" s="1308"/>
      <c r="S614" s="1317"/>
      <c r="T614" s="1317" t="str">
        <f t="shared" si="13"/>
        <v>DESERT STARS</v>
      </c>
      <c r="U614" s="1308" t="str">
        <f t="shared" si="14"/>
        <v>V300</v>
      </c>
      <c r="V614" s="1308"/>
      <c r="W614" s="1308"/>
      <c r="X614" s="1308"/>
      <c r="Y614" s="1308"/>
      <c r="Z614" s="1308"/>
      <c r="AA614" s="1308"/>
    </row>
    <row r="615" spans="1:27">
      <c r="A615" s="1370" t="s">
        <v>2549</v>
      </c>
      <c r="B615" s="1371" t="s">
        <v>2550</v>
      </c>
      <c r="C615" s="1366"/>
      <c r="D615" s="1366"/>
      <c r="E615" s="1367"/>
      <c r="F615" s="1299"/>
      <c r="G615" s="1309"/>
      <c r="H615" s="1306"/>
      <c r="I615" s="1307"/>
      <c r="J615" s="1307"/>
      <c r="K615" s="1307"/>
      <c r="L615" s="1307"/>
      <c r="M615" s="1307"/>
      <c r="N615" s="1307"/>
      <c r="O615" s="1308"/>
      <c r="P615" s="1308"/>
      <c r="Q615" s="1308"/>
      <c r="R615" s="1308"/>
      <c r="S615" s="1317"/>
      <c r="T615" s="1317" t="str">
        <f t="shared" si="13"/>
        <v>AL YAQEEN HARDWARE TRADING</v>
      </c>
      <c r="U615" s="1308" t="str">
        <f t="shared" si="14"/>
        <v>V301</v>
      </c>
      <c r="V615" s="1308"/>
      <c r="W615" s="1308"/>
      <c r="X615" s="1308"/>
      <c r="Y615" s="1308"/>
      <c r="Z615" s="1308"/>
      <c r="AA615" s="1308"/>
    </row>
    <row r="616" spans="1:27">
      <c r="A616" s="1370" t="s">
        <v>2551</v>
      </c>
      <c r="B616" s="1371" t="s">
        <v>2552</v>
      </c>
      <c r="C616" s="1366"/>
      <c r="D616" s="1366"/>
      <c r="E616" s="1367"/>
      <c r="F616" s="1299"/>
      <c r="G616" s="1309"/>
      <c r="H616" s="1306"/>
      <c r="I616" s="1307"/>
      <c r="J616" s="1307"/>
      <c r="K616" s="1307"/>
      <c r="L616" s="1307"/>
      <c r="M616" s="1307"/>
      <c r="N616" s="1307"/>
      <c r="O616" s="1308"/>
      <c r="P616" s="1308"/>
      <c r="Q616" s="1308"/>
      <c r="R616" s="1308"/>
      <c r="S616" s="1317"/>
      <c r="T616" s="1317" t="str">
        <f t="shared" si="13"/>
        <v>HASSAN ABBAS TRADING</v>
      </c>
      <c r="U616" s="1308" t="str">
        <f t="shared" si="14"/>
        <v>V302</v>
      </c>
      <c r="V616" s="1308"/>
      <c r="W616" s="1308"/>
      <c r="X616" s="1308"/>
      <c r="Y616" s="1308"/>
      <c r="Z616" s="1308"/>
      <c r="AA616" s="1308"/>
    </row>
    <row r="617" spans="1:27">
      <c r="A617" s="1370" t="s">
        <v>2553</v>
      </c>
      <c r="B617" s="1371" t="s">
        <v>2554</v>
      </c>
      <c r="C617" s="1366"/>
      <c r="D617" s="1366"/>
      <c r="E617" s="1367"/>
      <c r="F617" s="1299"/>
      <c r="G617" s="1309"/>
      <c r="H617" s="1306"/>
      <c r="I617" s="1307"/>
      <c r="J617" s="1307"/>
      <c r="K617" s="1307"/>
      <c r="L617" s="1307"/>
      <c r="M617" s="1307"/>
      <c r="N617" s="1307"/>
      <c r="O617" s="1308"/>
      <c r="P617" s="1308"/>
      <c r="Q617" s="1308"/>
      <c r="R617" s="1308"/>
      <c r="S617" s="1317"/>
      <c r="T617" s="1317" t="str">
        <f t="shared" si="13"/>
        <v>AL DASHTI BUILDING MATERIALS</v>
      </c>
      <c r="U617" s="1308" t="str">
        <f t="shared" si="14"/>
        <v>V303</v>
      </c>
      <c r="V617" s="1308"/>
      <c r="W617" s="1308"/>
      <c r="X617" s="1308"/>
      <c r="Y617" s="1308"/>
      <c r="Z617" s="1308"/>
      <c r="AA617" s="1308"/>
    </row>
    <row r="618" spans="1:27">
      <c r="A618" s="1370" t="s">
        <v>2555</v>
      </c>
      <c r="B618" s="1371" t="s">
        <v>2556</v>
      </c>
      <c r="C618" s="1366"/>
      <c r="D618" s="1366"/>
      <c r="E618" s="1367"/>
      <c r="F618" s="1299"/>
      <c r="G618" s="1309"/>
      <c r="H618" s="1306"/>
      <c r="I618" s="1307"/>
      <c r="J618" s="1307"/>
      <c r="K618" s="1307"/>
      <c r="L618" s="1307"/>
      <c r="M618" s="1307"/>
      <c r="N618" s="1307"/>
      <c r="O618" s="1308"/>
      <c r="P618" s="1308"/>
      <c r="Q618" s="1308"/>
      <c r="R618" s="1308"/>
      <c r="S618" s="1317"/>
      <c r="T618" s="1317" t="str">
        <f t="shared" si="13"/>
        <v>SITRA SANITARY</v>
      </c>
      <c r="U618" s="1308" t="str">
        <f t="shared" si="14"/>
        <v>V304</v>
      </c>
      <c r="V618" s="1308"/>
      <c r="W618" s="1308"/>
      <c r="X618" s="1308"/>
      <c r="Y618" s="1308"/>
      <c r="Z618" s="1308"/>
      <c r="AA618" s="1308"/>
    </row>
    <row r="619" spans="1:27">
      <c r="A619" s="1370" t="s">
        <v>2557</v>
      </c>
      <c r="B619" s="1371" t="s">
        <v>2558</v>
      </c>
      <c r="C619" s="1366"/>
      <c r="D619" s="1366"/>
      <c r="E619" s="1367"/>
      <c r="F619" s="1299"/>
      <c r="G619" s="1309"/>
      <c r="H619" s="1306"/>
      <c r="I619" s="1307"/>
      <c r="J619" s="1307"/>
      <c r="K619" s="1307"/>
      <c r="L619" s="1307"/>
      <c r="M619" s="1307"/>
      <c r="N619" s="1307"/>
      <c r="O619" s="1308"/>
      <c r="P619" s="1308"/>
      <c r="Q619" s="1308"/>
      <c r="R619" s="1308"/>
      <c r="S619" s="1317"/>
      <c r="T619" s="1317" t="str">
        <f t="shared" si="13"/>
        <v>KOREA &amp; MIDDLE EAST</v>
      </c>
      <c r="U619" s="1308" t="str">
        <f t="shared" si="14"/>
        <v>V305</v>
      </c>
      <c r="V619" s="1308"/>
      <c r="W619" s="1308"/>
      <c r="X619" s="1308"/>
      <c r="Y619" s="1308"/>
      <c r="Z619" s="1308"/>
      <c r="AA619" s="1308"/>
    </row>
    <row r="620" spans="1:27">
      <c r="A620" s="1370" t="s">
        <v>2559</v>
      </c>
      <c r="B620" s="1371" t="s">
        <v>2560</v>
      </c>
      <c r="C620" s="1366"/>
      <c r="D620" s="1366"/>
      <c r="E620" s="1367"/>
      <c r="F620" s="1299"/>
      <c r="G620" s="1309"/>
      <c r="H620" s="1306"/>
      <c r="I620" s="1307"/>
      <c r="J620" s="1307"/>
      <c r="K620" s="1307"/>
      <c r="L620" s="1307"/>
      <c r="M620" s="1307"/>
      <c r="N620" s="1307"/>
      <c r="O620" s="1308"/>
      <c r="P620" s="1308"/>
      <c r="Q620" s="1308"/>
      <c r="R620" s="1308"/>
      <c r="S620" s="1317"/>
      <c r="T620" s="1317" t="str">
        <f t="shared" si="13"/>
        <v>SAHAR AL SHARQ TRADING</v>
      </c>
      <c r="U620" s="1308" t="str">
        <f t="shared" si="14"/>
        <v>V306</v>
      </c>
      <c r="V620" s="1308"/>
      <c r="W620" s="1308"/>
      <c r="X620" s="1308"/>
      <c r="Y620" s="1308"/>
      <c r="Z620" s="1308"/>
      <c r="AA620" s="1308"/>
    </row>
    <row r="621" spans="1:27">
      <c r="A621" s="1370" t="s">
        <v>2561</v>
      </c>
      <c r="B621" s="1371" t="s">
        <v>2562</v>
      </c>
      <c r="C621" s="1366"/>
      <c r="D621" s="1366"/>
      <c r="E621" s="1367"/>
      <c r="F621" s="1299"/>
      <c r="G621" s="1309"/>
      <c r="H621" s="1306"/>
      <c r="I621" s="1307"/>
      <c r="J621" s="1307"/>
      <c r="K621" s="1307"/>
      <c r="L621" s="1307"/>
      <c r="M621" s="1307"/>
      <c r="N621" s="1307"/>
      <c r="O621" s="1308"/>
      <c r="P621" s="1308"/>
      <c r="Q621" s="1308"/>
      <c r="R621" s="1308"/>
      <c r="S621" s="1317"/>
      <c r="T621" s="1317" t="str">
        <f t="shared" si="13"/>
        <v>STEELEX BUILDING MATERIALS</v>
      </c>
      <c r="U621" s="1308" t="str">
        <f t="shared" si="14"/>
        <v>V307</v>
      </c>
      <c r="V621" s="1308"/>
      <c r="W621" s="1308"/>
      <c r="X621" s="1308"/>
      <c r="Y621" s="1308"/>
      <c r="Z621" s="1308"/>
      <c r="AA621" s="1308"/>
    </row>
    <row r="622" spans="1:27">
      <c r="A622" s="1370" t="s">
        <v>2563</v>
      </c>
      <c r="B622" s="1371" t="s">
        <v>2564</v>
      </c>
      <c r="C622" s="1366"/>
      <c r="D622" s="1366"/>
      <c r="E622" s="1367"/>
      <c r="F622" s="1299"/>
      <c r="G622" s="1309"/>
      <c r="H622" s="1306"/>
      <c r="I622" s="1307"/>
      <c r="J622" s="1307"/>
      <c r="K622" s="1307"/>
      <c r="L622" s="1307"/>
      <c r="M622" s="1307"/>
      <c r="N622" s="1307"/>
      <c r="O622" s="1308"/>
      <c r="P622" s="1308"/>
      <c r="Q622" s="1308"/>
      <c r="R622" s="1308"/>
      <c r="S622" s="1317"/>
      <c r="T622" s="1317" t="str">
        <f t="shared" si="13"/>
        <v>ALNAKIYA TRADING</v>
      </c>
      <c r="U622" s="1308" t="str">
        <f t="shared" si="14"/>
        <v>V308</v>
      </c>
      <c r="V622" s="1308"/>
      <c r="W622" s="1308"/>
      <c r="X622" s="1308"/>
      <c r="Y622" s="1308"/>
      <c r="Z622" s="1308"/>
      <c r="AA622" s="1308"/>
    </row>
    <row r="623" spans="1:27">
      <c r="A623" s="1370" t="s">
        <v>2565</v>
      </c>
      <c r="B623" s="1371" t="s">
        <v>2566</v>
      </c>
      <c r="C623" s="1366"/>
      <c r="D623" s="1366"/>
      <c r="E623" s="1367"/>
      <c r="F623" s="1299"/>
      <c r="G623" s="1309"/>
      <c r="H623" s="1306"/>
      <c r="I623" s="1307"/>
      <c r="J623" s="1307"/>
      <c r="K623" s="1307"/>
      <c r="L623" s="1307"/>
      <c r="M623" s="1307"/>
      <c r="N623" s="1307"/>
      <c r="O623" s="1308"/>
      <c r="P623" s="1308"/>
      <c r="Q623" s="1308"/>
      <c r="R623" s="1308"/>
      <c r="S623" s="1317"/>
      <c r="T623" s="1317" t="str">
        <f t="shared" si="13"/>
        <v>AL FAISAL A/C SPARE PARTS TRADING</v>
      </c>
      <c r="U623" s="1308" t="str">
        <f t="shared" si="14"/>
        <v>V309</v>
      </c>
      <c r="V623" s="1308"/>
      <c r="W623" s="1308"/>
      <c r="X623" s="1308"/>
      <c r="Y623" s="1308"/>
      <c r="Z623" s="1308"/>
      <c r="AA623" s="1308"/>
    </row>
    <row r="624" spans="1:27">
      <c r="A624" s="1370" t="s">
        <v>2567</v>
      </c>
      <c r="B624" s="1371" t="s">
        <v>2568</v>
      </c>
      <c r="C624" s="1366"/>
      <c r="D624" s="1366"/>
      <c r="E624" s="1367"/>
      <c r="F624" s="1299"/>
      <c r="G624" s="1309"/>
      <c r="H624" s="1306"/>
      <c r="I624" s="1307"/>
      <c r="J624" s="1307"/>
      <c r="K624" s="1307"/>
      <c r="L624" s="1307"/>
      <c r="M624" s="1307"/>
      <c r="N624" s="1307"/>
      <c r="O624" s="1308"/>
      <c r="P624" s="1308"/>
      <c r="Q624" s="1308"/>
      <c r="R624" s="1308"/>
      <c r="S624" s="1317"/>
      <c r="T624" s="1317" t="str">
        <f t="shared" si="13"/>
        <v>KAWAN HARDWARE TRADING</v>
      </c>
      <c r="U624" s="1308" t="str">
        <f t="shared" si="14"/>
        <v>V310</v>
      </c>
      <c r="V624" s="1308"/>
      <c r="W624" s="1308"/>
      <c r="X624" s="1308"/>
      <c r="Y624" s="1308"/>
      <c r="Z624" s="1308"/>
      <c r="AA624" s="1308"/>
    </row>
    <row r="625" spans="1:27">
      <c r="A625" s="1370" t="s">
        <v>2569</v>
      </c>
      <c r="B625" s="1371" t="s">
        <v>2570</v>
      </c>
      <c r="C625" s="1366"/>
      <c r="D625" s="1366"/>
      <c r="E625" s="1367"/>
      <c r="F625" s="1299"/>
      <c r="G625" s="1309"/>
      <c r="H625" s="1306"/>
      <c r="I625" s="1307"/>
      <c r="J625" s="1307"/>
      <c r="K625" s="1307"/>
      <c r="L625" s="1307"/>
      <c r="M625" s="1307"/>
      <c r="N625" s="1307"/>
      <c r="O625" s="1308"/>
      <c r="P625" s="1308"/>
      <c r="Q625" s="1308"/>
      <c r="R625" s="1308"/>
      <c r="S625" s="1317"/>
      <c r="T625" s="1317" t="str">
        <f t="shared" si="13"/>
        <v>AL SAQF ALAALI</v>
      </c>
      <c r="U625" s="1308" t="str">
        <f t="shared" si="14"/>
        <v>V311</v>
      </c>
      <c r="V625" s="1308"/>
      <c r="W625" s="1308"/>
      <c r="X625" s="1308"/>
      <c r="Y625" s="1308"/>
      <c r="Z625" s="1308"/>
      <c r="AA625" s="1308"/>
    </row>
    <row r="626" spans="1:27">
      <c r="A626" s="1370" t="s">
        <v>2571</v>
      </c>
      <c r="B626" s="1371" t="s">
        <v>2572</v>
      </c>
      <c r="C626" s="1366"/>
      <c r="D626" s="1366"/>
      <c r="E626" s="1367"/>
      <c r="F626" s="1299"/>
      <c r="G626" s="1309"/>
      <c r="H626" s="1306"/>
      <c r="I626" s="1307"/>
      <c r="J626" s="1307"/>
      <c r="K626" s="1307"/>
      <c r="L626" s="1307"/>
      <c r="M626" s="1307"/>
      <c r="N626" s="1307"/>
      <c r="O626" s="1308"/>
      <c r="P626" s="1308"/>
      <c r="Q626" s="1308"/>
      <c r="R626" s="1308"/>
      <c r="S626" s="1317"/>
      <c r="T626" s="1317" t="str">
        <f t="shared" si="13"/>
        <v>STANDARD TECHNICAL PARTS</v>
      </c>
      <c r="U626" s="1308" t="str">
        <f t="shared" si="14"/>
        <v>V312</v>
      </c>
      <c r="V626" s="1308"/>
      <c r="W626" s="1308"/>
      <c r="X626" s="1308"/>
      <c r="Y626" s="1308"/>
      <c r="Z626" s="1308"/>
      <c r="AA626" s="1308"/>
    </row>
    <row r="627" spans="1:27">
      <c r="A627" s="1370" t="s">
        <v>2573</v>
      </c>
      <c r="B627" s="1371" t="s">
        <v>2574</v>
      </c>
      <c r="C627" s="1366"/>
      <c r="D627" s="1366"/>
      <c r="E627" s="1367"/>
      <c r="F627" s="1299"/>
      <c r="G627" s="1309"/>
      <c r="H627" s="1306"/>
      <c r="I627" s="1307"/>
      <c r="J627" s="1307"/>
      <c r="K627" s="1307"/>
      <c r="L627" s="1307"/>
      <c r="M627" s="1307"/>
      <c r="N627" s="1307"/>
      <c r="O627" s="1308"/>
      <c r="P627" s="1308"/>
      <c r="Q627" s="1308"/>
      <c r="R627" s="1308"/>
      <c r="S627" s="1317"/>
      <c r="T627" s="1317" t="str">
        <f t="shared" si="13"/>
        <v>SHANAVAS</v>
      </c>
      <c r="U627" s="1308" t="str">
        <f t="shared" si="14"/>
        <v>V313</v>
      </c>
      <c r="V627" s="1308"/>
      <c r="W627" s="1308"/>
      <c r="X627" s="1308"/>
      <c r="Y627" s="1308"/>
      <c r="Z627" s="1308"/>
      <c r="AA627" s="1308"/>
    </row>
    <row r="628" spans="1:27">
      <c r="A628" s="1370" t="s">
        <v>2575</v>
      </c>
      <c r="B628" s="1371" t="s">
        <v>2576</v>
      </c>
      <c r="C628" s="1366"/>
      <c r="D628" s="1366"/>
      <c r="E628" s="1367"/>
      <c r="F628" s="1299"/>
      <c r="G628" s="1309"/>
      <c r="H628" s="1306"/>
      <c r="I628" s="1307"/>
      <c r="J628" s="1307"/>
      <c r="K628" s="1307"/>
      <c r="L628" s="1307"/>
      <c r="M628" s="1307"/>
      <c r="N628" s="1307"/>
      <c r="O628" s="1308"/>
      <c r="P628" s="1308"/>
      <c r="Q628" s="1308"/>
      <c r="R628" s="1308"/>
      <c r="S628" s="1317"/>
      <c r="T628" s="1317" t="str">
        <f t="shared" si="13"/>
        <v>AL SUWAIS STEEL FABRICATION</v>
      </c>
      <c r="U628" s="1308" t="str">
        <f t="shared" si="14"/>
        <v>V314</v>
      </c>
      <c r="V628" s="1308"/>
      <c r="W628" s="1308"/>
      <c r="X628" s="1308"/>
      <c r="Y628" s="1308"/>
      <c r="Z628" s="1308"/>
      <c r="AA628" s="1308"/>
    </row>
    <row r="629" spans="1:27">
      <c r="A629" s="1370" t="s">
        <v>2577</v>
      </c>
      <c r="B629" s="1371" t="s">
        <v>2578</v>
      </c>
      <c r="C629" s="1366"/>
      <c r="D629" s="1366"/>
      <c r="E629" s="1367"/>
      <c r="F629" s="1299"/>
      <c r="G629" s="1309"/>
      <c r="H629" s="1306"/>
      <c r="I629" s="1307"/>
      <c r="J629" s="1307"/>
      <c r="K629" s="1307"/>
      <c r="L629" s="1307"/>
      <c r="M629" s="1307"/>
      <c r="N629" s="1307"/>
      <c r="O629" s="1308"/>
      <c r="P629" s="1308"/>
      <c r="Q629" s="1308"/>
      <c r="R629" s="1308"/>
      <c r="S629" s="1317"/>
      <c r="T629" s="1317" t="str">
        <f t="shared" si="13"/>
        <v>SAF</v>
      </c>
      <c r="U629" s="1308" t="str">
        <f t="shared" si="14"/>
        <v>V315</v>
      </c>
      <c r="V629" s="1308"/>
      <c r="W629" s="1308"/>
      <c r="X629" s="1308"/>
      <c r="Y629" s="1308"/>
      <c r="Z629" s="1308"/>
      <c r="AA629" s="1308"/>
    </row>
    <row r="630" spans="1:27">
      <c r="A630" s="1370" t="s">
        <v>2579</v>
      </c>
      <c r="B630" s="1371" t="s">
        <v>2580</v>
      </c>
      <c r="C630" s="1366"/>
      <c r="D630" s="1366"/>
      <c r="E630" s="1367"/>
      <c r="F630" s="1299"/>
      <c r="G630" s="1309"/>
      <c r="H630" s="1306"/>
      <c r="I630" s="1307"/>
      <c r="J630" s="1307"/>
      <c r="K630" s="1307"/>
      <c r="L630" s="1307"/>
      <c r="M630" s="1307"/>
      <c r="N630" s="1307"/>
      <c r="O630" s="1308"/>
      <c r="P630" s="1308"/>
      <c r="Q630" s="1308"/>
      <c r="R630" s="1308"/>
      <c r="S630" s="1317"/>
      <c r="T630" s="1317" t="str">
        <f t="shared" si="13"/>
        <v>PRIME QUALITY</v>
      </c>
      <c r="U630" s="1308" t="str">
        <f t="shared" si="14"/>
        <v>V316</v>
      </c>
      <c r="V630" s="1308"/>
      <c r="W630" s="1308"/>
      <c r="X630" s="1308"/>
      <c r="Y630" s="1308"/>
      <c r="Z630" s="1308"/>
      <c r="AA630" s="1308"/>
    </row>
    <row r="631" spans="1:27">
      <c r="A631" s="1370" t="s">
        <v>2581</v>
      </c>
      <c r="B631" s="1371" t="s">
        <v>2582</v>
      </c>
      <c r="C631" s="1366"/>
      <c r="D631" s="1366"/>
      <c r="E631" s="1367"/>
      <c r="F631" s="1299"/>
      <c r="G631" s="1309"/>
      <c r="H631" s="1306"/>
      <c r="I631" s="1307"/>
      <c r="J631" s="1307"/>
      <c r="K631" s="1307"/>
      <c r="L631" s="1307"/>
      <c r="M631" s="1307"/>
      <c r="N631" s="1307"/>
      <c r="O631" s="1308"/>
      <c r="P631" s="1308"/>
      <c r="Q631" s="1308"/>
      <c r="R631" s="1308"/>
      <c r="S631" s="1317"/>
      <c r="T631" s="1317" t="str">
        <f t="shared" si="13"/>
        <v>NOOR AL FAJR PAINTS</v>
      </c>
      <c r="U631" s="1308" t="str">
        <f t="shared" si="14"/>
        <v>V317</v>
      </c>
      <c r="V631" s="1308"/>
      <c r="W631" s="1308"/>
      <c r="X631" s="1308"/>
      <c r="Y631" s="1308"/>
      <c r="Z631" s="1308"/>
      <c r="AA631" s="1308"/>
    </row>
    <row r="632" spans="1:27">
      <c r="A632" s="1370" t="s">
        <v>2583</v>
      </c>
      <c r="B632" s="1371" t="s">
        <v>2532</v>
      </c>
      <c r="C632" s="1366"/>
      <c r="D632" s="1366"/>
      <c r="E632" s="1367"/>
      <c r="F632" s="1299"/>
      <c r="G632" s="1309"/>
      <c r="H632" s="1306"/>
      <c r="I632" s="1307"/>
      <c r="J632" s="1307"/>
      <c r="K632" s="1307"/>
      <c r="L632" s="1307"/>
      <c r="M632" s="1307"/>
      <c r="N632" s="1307"/>
      <c r="O632" s="1308"/>
      <c r="P632" s="1308"/>
      <c r="Q632" s="1308"/>
      <c r="R632" s="1308"/>
      <c r="S632" s="1317"/>
      <c r="T632" s="1317" t="str">
        <f t="shared" si="13"/>
        <v>REFRIGATION EQUIPMENT ENTERPRISES</v>
      </c>
      <c r="U632" s="1308" t="str">
        <f t="shared" si="14"/>
        <v>V318</v>
      </c>
      <c r="V632" s="1308"/>
      <c r="W632" s="1308"/>
      <c r="X632" s="1308"/>
      <c r="Y632" s="1308"/>
      <c r="Z632" s="1308"/>
      <c r="AA632" s="1308"/>
    </row>
    <row r="633" spans="1:27">
      <c r="A633" s="1370" t="s">
        <v>2584</v>
      </c>
      <c r="B633" s="1371" t="s">
        <v>2585</v>
      </c>
      <c r="C633" s="1366"/>
      <c r="D633" s="1366"/>
      <c r="E633" s="1367"/>
      <c r="F633" s="1299"/>
      <c r="G633" s="1309"/>
      <c r="H633" s="1306"/>
      <c r="I633" s="1307"/>
      <c r="J633" s="1307"/>
      <c r="K633" s="1307"/>
      <c r="L633" s="1307"/>
      <c r="M633" s="1307"/>
      <c r="N633" s="1307"/>
      <c r="O633" s="1308"/>
      <c r="P633" s="1308"/>
      <c r="Q633" s="1308"/>
      <c r="R633" s="1308"/>
      <c r="S633" s="1317"/>
      <c r="T633" s="1317" t="str">
        <f t="shared" si="13"/>
        <v>NEW COLOUR FAIR</v>
      </c>
      <c r="U633" s="1308" t="str">
        <f t="shared" si="14"/>
        <v>V319</v>
      </c>
      <c r="V633" s="1308"/>
      <c r="W633" s="1308"/>
      <c r="X633" s="1308"/>
      <c r="Y633" s="1308"/>
      <c r="Z633" s="1308"/>
      <c r="AA633" s="1308"/>
    </row>
    <row r="634" spans="1:27">
      <c r="A634" s="1370" t="s">
        <v>2586</v>
      </c>
      <c r="B634" s="1371" t="s">
        <v>2587</v>
      </c>
      <c r="C634" s="1366"/>
      <c r="D634" s="1366"/>
      <c r="E634" s="1367"/>
      <c r="F634" s="1299"/>
      <c r="G634" s="1309"/>
      <c r="H634" s="1306"/>
      <c r="I634" s="1307"/>
      <c r="J634" s="1307"/>
      <c r="K634" s="1307"/>
      <c r="L634" s="1307"/>
      <c r="M634" s="1307"/>
      <c r="N634" s="1307"/>
      <c r="O634" s="1308"/>
      <c r="P634" s="1308"/>
      <c r="Q634" s="1308"/>
      <c r="R634" s="1308"/>
      <c r="S634" s="1317"/>
      <c r="T634" s="1317" t="str">
        <f t="shared" si="13"/>
        <v>MEGA CITY BUILDING MATERIALS</v>
      </c>
      <c r="U634" s="1308" t="str">
        <f t="shared" si="14"/>
        <v>V320</v>
      </c>
      <c r="V634" s="1308"/>
      <c r="W634" s="1308"/>
      <c r="X634" s="1308"/>
      <c r="Y634" s="1308"/>
      <c r="Z634" s="1308"/>
      <c r="AA634" s="1308"/>
    </row>
    <row r="635" spans="1:27">
      <c r="A635" s="1370" t="s">
        <v>2588</v>
      </c>
      <c r="B635" s="1371" t="s">
        <v>2589</v>
      </c>
      <c r="C635" s="1366"/>
      <c r="D635" s="1366"/>
      <c r="E635" s="1367"/>
      <c r="F635" s="1299"/>
      <c r="G635" s="1309"/>
      <c r="H635" s="1306"/>
      <c r="I635" s="1307"/>
      <c r="J635" s="1307"/>
      <c r="K635" s="1307"/>
      <c r="L635" s="1307"/>
      <c r="M635" s="1307"/>
      <c r="N635" s="1307"/>
      <c r="O635" s="1308"/>
      <c r="P635" s="1308"/>
      <c r="Q635" s="1308"/>
      <c r="R635" s="1308"/>
      <c r="S635" s="1317"/>
      <c r="T635" s="1317" t="str">
        <f t="shared" si="13"/>
        <v>SAHARI</v>
      </c>
      <c r="U635" s="1308" t="str">
        <f t="shared" si="14"/>
        <v>V321</v>
      </c>
      <c r="V635" s="1308"/>
      <c r="W635" s="1308"/>
      <c r="X635" s="1308"/>
      <c r="Y635" s="1308"/>
      <c r="Z635" s="1308"/>
      <c r="AA635" s="1308"/>
    </row>
    <row r="636" spans="1:27">
      <c r="A636" s="1370" t="s">
        <v>2590</v>
      </c>
      <c r="B636" s="1371" t="s">
        <v>2591</v>
      </c>
      <c r="C636" s="1366"/>
      <c r="D636" s="1366"/>
      <c r="E636" s="1367"/>
      <c r="F636" s="1299"/>
      <c r="G636" s="1309"/>
      <c r="H636" s="1306"/>
      <c r="I636" s="1307"/>
      <c r="J636" s="1307"/>
      <c r="K636" s="1307"/>
      <c r="L636" s="1307"/>
      <c r="M636" s="1307"/>
      <c r="N636" s="1307"/>
      <c r="O636" s="1308"/>
      <c r="P636" s="1308"/>
      <c r="Q636" s="1308"/>
      <c r="R636" s="1308"/>
      <c r="S636" s="1317"/>
      <c r="T636" s="1317" t="str">
        <f t="shared" si="13"/>
        <v>EMIRATES BUILDING MATERIALS</v>
      </c>
      <c r="U636" s="1308" t="str">
        <f t="shared" si="14"/>
        <v>V322</v>
      </c>
      <c r="V636" s="1308"/>
      <c r="W636" s="1308"/>
      <c r="X636" s="1308"/>
      <c r="Y636" s="1308"/>
      <c r="Z636" s="1308"/>
      <c r="AA636" s="1308"/>
    </row>
    <row r="637" spans="1:27">
      <c r="A637" s="1370" t="s">
        <v>2592</v>
      </c>
      <c r="B637" s="1371" t="s">
        <v>2593</v>
      </c>
      <c r="C637" s="1366"/>
      <c r="D637" s="1366"/>
      <c r="E637" s="1367"/>
      <c r="F637" s="1299"/>
      <c r="G637" s="1309"/>
      <c r="H637" s="1306"/>
      <c r="I637" s="1307"/>
      <c r="J637" s="1307"/>
      <c r="K637" s="1307"/>
      <c r="L637" s="1307"/>
      <c r="M637" s="1307"/>
      <c r="N637" s="1307"/>
      <c r="O637" s="1308"/>
      <c r="P637" s="1308"/>
      <c r="Q637" s="1308"/>
      <c r="R637" s="1308"/>
      <c r="S637" s="1317"/>
      <c r="T637" s="1317" t="str">
        <f t="shared" si="13"/>
        <v>LUCKY HANDS TRADING</v>
      </c>
      <c r="U637" s="1308" t="str">
        <f t="shared" si="14"/>
        <v>V323</v>
      </c>
      <c r="V637" s="1308"/>
      <c r="W637" s="1308"/>
      <c r="X637" s="1308"/>
      <c r="Y637" s="1308"/>
      <c r="Z637" s="1308"/>
      <c r="AA637" s="1308"/>
    </row>
    <row r="638" spans="1:27">
      <c r="A638" s="1370" t="s">
        <v>2594</v>
      </c>
      <c r="B638" s="1371" t="s">
        <v>2595</v>
      </c>
      <c r="C638" s="1366"/>
      <c r="D638" s="1366"/>
      <c r="E638" s="1367"/>
      <c r="F638" s="1299"/>
      <c r="G638" s="1309"/>
      <c r="H638" s="1306"/>
      <c r="I638" s="1307"/>
      <c r="J638" s="1307"/>
      <c r="K638" s="1307"/>
      <c r="L638" s="1307"/>
      <c r="M638" s="1307"/>
      <c r="N638" s="1307"/>
      <c r="O638" s="1308"/>
      <c r="P638" s="1308"/>
      <c r="Q638" s="1308"/>
      <c r="R638" s="1308"/>
      <c r="S638" s="1317"/>
      <c r="T638" s="1317" t="str">
        <f t="shared" si="13"/>
        <v>BETEC CAD INDUSTRIES</v>
      </c>
      <c r="U638" s="1308" t="str">
        <f t="shared" si="14"/>
        <v>V324</v>
      </c>
      <c r="V638" s="1308"/>
      <c r="W638" s="1308"/>
      <c r="X638" s="1308"/>
      <c r="Y638" s="1308"/>
      <c r="Z638" s="1308"/>
      <c r="AA638" s="1308"/>
    </row>
    <row r="639" spans="1:27">
      <c r="A639" s="1370" t="s">
        <v>2596</v>
      </c>
      <c r="B639" s="1371" t="s">
        <v>2597</v>
      </c>
      <c r="C639" s="1366"/>
      <c r="D639" s="1366"/>
      <c r="E639" s="1367"/>
      <c r="F639" s="1299"/>
      <c r="G639" s="1309"/>
      <c r="H639" s="1306"/>
      <c r="I639" s="1307"/>
      <c r="J639" s="1307" t="s">
        <v>2809</v>
      </c>
      <c r="K639" s="1307" t="s">
        <v>2810</v>
      </c>
      <c r="L639" s="1307" t="s">
        <v>2811</v>
      </c>
      <c r="M639" s="1307"/>
      <c r="N639" s="1307"/>
      <c r="O639" s="1308"/>
      <c r="P639" s="1308"/>
      <c r="Q639" s="1308"/>
      <c r="R639" s="1308"/>
      <c r="S639" s="1317"/>
      <c r="T639" s="1317" t="str">
        <f t="shared" si="13"/>
        <v>DAIKIN AIR CONDTIONING LLC</v>
      </c>
      <c r="U639" s="1308" t="str">
        <f t="shared" si="14"/>
        <v>V325</v>
      </c>
      <c r="V639" s="1308"/>
      <c r="W639" s="1308"/>
      <c r="X639" s="1308"/>
      <c r="Y639" s="1308"/>
      <c r="Z639" s="1308"/>
      <c r="AA639" s="1308"/>
    </row>
    <row r="640" spans="1:27">
      <c r="A640" s="1370" t="s">
        <v>2598</v>
      </c>
      <c r="B640" s="1371" t="s">
        <v>2599</v>
      </c>
      <c r="C640" s="1366"/>
      <c r="D640" s="1366"/>
      <c r="E640" s="1367"/>
      <c r="F640" s="1299"/>
      <c r="G640" s="1309"/>
      <c r="H640" s="1306"/>
      <c r="I640" s="1307"/>
      <c r="J640" s="1307"/>
      <c r="K640" s="1307"/>
      <c r="L640" s="1307"/>
      <c r="M640" s="1307"/>
      <c r="N640" s="1307"/>
      <c r="O640" s="1308"/>
      <c r="P640" s="1308"/>
      <c r="Q640" s="1308"/>
      <c r="R640" s="1308"/>
      <c r="S640" s="1317"/>
      <c r="T640" s="1317" t="str">
        <f t="shared" si="13"/>
        <v>CHILL AIR AC SPARE PARTS TRADING</v>
      </c>
      <c r="U640" s="1308" t="str">
        <f t="shared" si="14"/>
        <v>V326</v>
      </c>
      <c r="V640" s="1308"/>
      <c r="W640" s="1308"/>
      <c r="X640" s="1308"/>
      <c r="Y640" s="1308"/>
      <c r="Z640" s="1308"/>
      <c r="AA640" s="1308"/>
    </row>
    <row r="641" spans="1:27">
      <c r="A641" s="1370" t="s">
        <v>2600</v>
      </c>
      <c r="B641" s="1371" t="s">
        <v>2601</v>
      </c>
      <c r="C641" s="1366"/>
      <c r="D641" s="1366"/>
      <c r="E641" s="1367"/>
      <c r="F641" s="1299"/>
      <c r="G641" s="1309"/>
      <c r="H641" s="1306"/>
      <c r="I641" s="1307"/>
      <c r="J641" s="1307"/>
      <c r="K641" s="1307"/>
      <c r="L641" s="1307"/>
      <c r="M641" s="1307"/>
      <c r="N641" s="1307"/>
      <c r="O641" s="1308"/>
      <c r="P641" s="1308"/>
      <c r="Q641" s="1308"/>
      <c r="R641" s="1308"/>
      <c r="S641" s="1317"/>
      <c r="T641" s="1317" t="str">
        <f t="shared" si="13"/>
        <v>AL HAQ AIR CONDITIONING SPARE</v>
      </c>
      <c r="U641" s="1308" t="str">
        <f t="shared" si="14"/>
        <v>V327</v>
      </c>
      <c r="V641" s="1308"/>
      <c r="W641" s="1308"/>
      <c r="X641" s="1308"/>
      <c r="Y641" s="1308"/>
      <c r="Z641" s="1308"/>
      <c r="AA641" s="1308"/>
    </row>
    <row r="642" spans="1:27">
      <c r="A642" s="1370" t="s">
        <v>2602</v>
      </c>
      <c r="B642" s="1371" t="s">
        <v>2603</v>
      </c>
      <c r="C642" s="1366"/>
      <c r="D642" s="1366"/>
      <c r="E642" s="1367"/>
      <c r="F642" s="1299"/>
      <c r="G642" s="1309"/>
      <c r="H642" s="1306"/>
      <c r="I642" s="1307"/>
      <c r="J642" s="1307"/>
      <c r="K642" s="1307"/>
      <c r="L642" s="1307"/>
      <c r="M642" s="1307"/>
      <c r="N642" s="1307"/>
      <c r="O642" s="1308"/>
      <c r="P642" s="1308"/>
      <c r="Q642" s="1308"/>
      <c r="R642" s="1308"/>
      <c r="S642" s="1317"/>
      <c r="T642" s="1317" t="str">
        <f t="shared" si="13"/>
        <v>AAMIR A/C</v>
      </c>
      <c r="U642" s="1308" t="str">
        <f t="shared" si="14"/>
        <v>V328</v>
      </c>
      <c r="V642" s="1308"/>
      <c r="W642" s="1308"/>
      <c r="X642" s="1308"/>
      <c r="Y642" s="1308"/>
      <c r="Z642" s="1308"/>
      <c r="AA642" s="1308"/>
    </row>
    <row r="643" spans="1:27">
      <c r="A643" s="1370" t="s">
        <v>2604</v>
      </c>
      <c r="B643" s="1371" t="s">
        <v>2605</v>
      </c>
      <c r="C643" s="1366"/>
      <c r="D643" s="1366"/>
      <c r="E643" s="1367"/>
      <c r="F643" s="1299"/>
      <c r="G643" s="1309"/>
      <c r="H643" s="1306"/>
      <c r="I643" s="1307"/>
      <c r="J643" s="1307"/>
      <c r="K643" s="1307"/>
      <c r="L643" s="1307"/>
      <c r="M643" s="1307"/>
      <c r="N643" s="1307"/>
      <c r="O643" s="1308"/>
      <c r="P643" s="1308"/>
      <c r="Q643" s="1308"/>
      <c r="R643" s="1308"/>
      <c r="S643" s="1317"/>
      <c r="T643" s="1317" t="str">
        <f t="shared" si="13"/>
        <v>TOP RANGE</v>
      </c>
      <c r="U643" s="1308" t="str">
        <f t="shared" si="14"/>
        <v>V329</v>
      </c>
      <c r="V643" s="1308"/>
      <c r="W643" s="1308"/>
      <c r="X643" s="1308"/>
      <c r="Y643" s="1308"/>
      <c r="Z643" s="1308"/>
      <c r="AA643" s="1308"/>
    </row>
    <row r="644" spans="1:27">
      <c r="A644" s="1370" t="s">
        <v>2606</v>
      </c>
      <c r="B644" s="1371" t="s">
        <v>2607</v>
      </c>
      <c r="C644" s="1366"/>
      <c r="D644" s="1366"/>
      <c r="E644" s="1367"/>
      <c r="F644" s="1299"/>
      <c r="G644" s="1309"/>
      <c r="H644" s="1306"/>
      <c r="I644" s="1307"/>
      <c r="J644" s="1307"/>
      <c r="K644" s="1307"/>
      <c r="L644" s="1307"/>
      <c r="M644" s="1307"/>
      <c r="N644" s="1307"/>
      <c r="O644" s="1308"/>
      <c r="P644" s="1308"/>
      <c r="Q644" s="1308"/>
      <c r="R644" s="1308"/>
      <c r="S644" s="1317"/>
      <c r="T644" s="1317" t="str">
        <f t="shared" si="13"/>
        <v>QAMAR ALZEYAN BUILDING MATERIALS</v>
      </c>
      <c r="U644" s="1308" t="str">
        <f t="shared" si="14"/>
        <v>V330</v>
      </c>
      <c r="V644" s="1308"/>
      <c r="W644" s="1308"/>
      <c r="X644" s="1308"/>
      <c r="Y644" s="1308"/>
      <c r="Z644" s="1308"/>
      <c r="AA644" s="1308"/>
    </row>
    <row r="645" spans="1:27">
      <c r="A645" s="1370" t="s">
        <v>2608</v>
      </c>
      <c r="B645" s="1371" t="s">
        <v>2609</v>
      </c>
      <c r="C645" s="1366"/>
      <c r="D645" s="1366"/>
      <c r="E645" s="1367"/>
      <c r="F645" s="1299"/>
      <c r="G645" s="1309"/>
      <c r="H645" s="1306"/>
      <c r="I645" s="1307"/>
      <c r="J645" s="1307"/>
      <c r="K645" s="1307"/>
      <c r="L645" s="1307"/>
      <c r="M645" s="1307"/>
      <c r="N645" s="1307"/>
      <c r="O645" s="1308"/>
      <c r="P645" s="1308"/>
      <c r="Q645" s="1308"/>
      <c r="R645" s="1308"/>
      <c r="S645" s="1317"/>
      <c r="T645" s="1317" t="str">
        <f t="shared" si="13"/>
        <v>ANBI AIR CONDITION</v>
      </c>
      <c r="U645" s="1308" t="str">
        <f t="shared" si="14"/>
        <v>V331</v>
      </c>
      <c r="V645" s="1308"/>
      <c r="W645" s="1308"/>
      <c r="X645" s="1308"/>
      <c r="Y645" s="1308"/>
      <c r="Z645" s="1308"/>
      <c r="AA645" s="1308"/>
    </row>
    <row r="646" spans="1:27">
      <c r="A646" s="1370" t="s">
        <v>2610</v>
      </c>
      <c r="B646" s="1371" t="s">
        <v>2611</v>
      </c>
      <c r="C646" s="1366"/>
      <c r="D646" s="1366"/>
      <c r="E646" s="1367"/>
      <c r="F646" s="1299"/>
      <c r="G646" s="1309"/>
      <c r="H646" s="1306"/>
      <c r="I646" s="1307"/>
      <c r="J646" s="1307"/>
      <c r="K646" s="1307"/>
      <c r="L646" s="1307"/>
      <c r="M646" s="1307"/>
      <c r="N646" s="1307"/>
      <c r="O646" s="1308"/>
      <c r="P646" s="1308"/>
      <c r="Q646" s="1308"/>
      <c r="R646" s="1308"/>
      <c r="S646" s="1317"/>
      <c r="T646" s="1317" t="str">
        <f t="shared" si="13"/>
        <v>GULF DUCT INDUSTRIES</v>
      </c>
      <c r="U646" s="1308" t="str">
        <f t="shared" si="14"/>
        <v>V332</v>
      </c>
      <c r="V646" s="1308"/>
      <c r="W646" s="1308"/>
      <c r="X646" s="1308"/>
      <c r="Y646" s="1308"/>
      <c r="Z646" s="1308"/>
      <c r="AA646" s="1308"/>
    </row>
    <row r="647" spans="1:27">
      <c r="A647" s="1370" t="s">
        <v>2612</v>
      </c>
      <c r="B647" s="1371" t="s">
        <v>2613</v>
      </c>
      <c r="C647" s="1366"/>
      <c r="D647" s="1366"/>
      <c r="E647" s="1367"/>
      <c r="F647" s="1299"/>
      <c r="G647" s="1309"/>
      <c r="H647" s="1306"/>
      <c r="I647" s="1307"/>
      <c r="J647" s="1307"/>
      <c r="K647" s="1307"/>
      <c r="L647" s="1307"/>
      <c r="M647" s="1307"/>
      <c r="N647" s="1307"/>
      <c r="O647" s="1308"/>
      <c r="P647" s="1308"/>
      <c r="Q647" s="1308"/>
      <c r="R647" s="1308"/>
      <c r="S647" s="1317"/>
      <c r="T647" s="1317" t="str">
        <f t="shared" si="13"/>
        <v>ALAM TAKEEF</v>
      </c>
      <c r="U647" s="1308" t="str">
        <f t="shared" si="14"/>
        <v>V333</v>
      </c>
      <c r="V647" s="1308"/>
      <c r="W647" s="1308"/>
      <c r="X647" s="1308"/>
      <c r="Y647" s="1308"/>
      <c r="Z647" s="1308"/>
      <c r="AA647" s="1308"/>
    </row>
    <row r="648" spans="1:27">
      <c r="A648" s="1370" t="s">
        <v>2614</v>
      </c>
      <c r="B648" s="1371" t="s">
        <v>2615</v>
      </c>
      <c r="C648" s="1366"/>
      <c r="D648" s="1366"/>
      <c r="E648" s="1367"/>
      <c r="F648" s="1299"/>
      <c r="G648" s="1309"/>
      <c r="H648" s="1306"/>
      <c r="I648" s="1307"/>
      <c r="J648" s="1307"/>
      <c r="K648" s="1307"/>
      <c r="L648" s="1307"/>
      <c r="M648" s="1307"/>
      <c r="N648" s="1307"/>
      <c r="O648" s="1308"/>
      <c r="P648" s="1308"/>
      <c r="Q648" s="1308"/>
      <c r="R648" s="1308"/>
      <c r="S648" s="1317"/>
      <c r="T648" s="1317" t="str">
        <f t="shared" si="13"/>
        <v>NAJMAT AL AWEER</v>
      </c>
      <c r="U648" s="1308" t="str">
        <f t="shared" si="14"/>
        <v>V334</v>
      </c>
      <c r="V648" s="1308"/>
      <c r="W648" s="1308"/>
      <c r="X648" s="1308"/>
      <c r="Y648" s="1308"/>
      <c r="Z648" s="1308"/>
      <c r="AA648" s="1308"/>
    </row>
    <row r="649" spans="1:27">
      <c r="A649" s="1370" t="s">
        <v>2616</v>
      </c>
      <c r="B649" s="1371" t="s">
        <v>2617</v>
      </c>
      <c r="C649" s="1366"/>
      <c r="D649" s="1366"/>
      <c r="E649" s="1367"/>
      <c r="F649" s="1299"/>
      <c r="G649" s="1309"/>
      <c r="H649" s="1306"/>
      <c r="I649" s="1307"/>
      <c r="J649" s="1307"/>
      <c r="K649" s="1307"/>
      <c r="L649" s="1307"/>
      <c r="M649" s="1307"/>
      <c r="N649" s="1307"/>
      <c r="O649" s="1308"/>
      <c r="P649" s="1308"/>
      <c r="Q649" s="1308"/>
      <c r="R649" s="1308"/>
      <c r="S649" s="1317"/>
      <c r="T649" s="1317" t="str">
        <f t="shared" si="13"/>
        <v>KSR</v>
      </c>
      <c r="U649" s="1308" t="str">
        <f t="shared" si="14"/>
        <v>V335</v>
      </c>
      <c r="V649" s="1308"/>
      <c r="W649" s="1308"/>
      <c r="X649" s="1308"/>
      <c r="Y649" s="1308"/>
      <c r="Z649" s="1308"/>
      <c r="AA649" s="1308"/>
    </row>
    <row r="650" spans="1:27">
      <c r="A650" s="1370" t="s">
        <v>2618</v>
      </c>
      <c r="B650" s="1371" t="s">
        <v>2619</v>
      </c>
      <c r="C650" s="1366"/>
      <c r="D650" s="1366"/>
      <c r="E650" s="1367"/>
      <c r="F650" s="1299"/>
      <c r="G650" s="1309"/>
      <c r="H650" s="1306"/>
      <c r="I650" s="1307"/>
      <c r="J650" s="1307"/>
      <c r="K650" s="1307"/>
      <c r="L650" s="1307"/>
      <c r="M650" s="1307"/>
      <c r="N650" s="1307"/>
      <c r="O650" s="1308"/>
      <c r="P650" s="1308"/>
      <c r="Q650" s="1308"/>
      <c r="R650" s="1308"/>
      <c r="S650" s="1317"/>
      <c r="T650" s="1317" t="str">
        <f t="shared" si="13"/>
        <v>MAJESTIC AIR CONDITION</v>
      </c>
      <c r="U650" s="1308" t="str">
        <f t="shared" si="14"/>
        <v>V336</v>
      </c>
      <c r="V650" s="1308"/>
      <c r="W650" s="1308"/>
      <c r="X650" s="1308"/>
      <c r="Y650" s="1308"/>
      <c r="Z650" s="1308"/>
      <c r="AA650" s="1308"/>
    </row>
    <row r="651" spans="1:27">
      <c r="A651" s="1370" t="s">
        <v>2620</v>
      </c>
      <c r="B651" s="1371" t="s">
        <v>2621</v>
      </c>
      <c r="C651" s="1366"/>
      <c r="D651" s="1366"/>
      <c r="E651" s="1367"/>
      <c r="F651" s="1299"/>
      <c r="G651" s="1309"/>
      <c r="H651" s="1306"/>
      <c r="I651" s="1307"/>
      <c r="J651" s="1307"/>
      <c r="K651" s="1307"/>
      <c r="L651" s="1307"/>
      <c r="M651" s="1307"/>
      <c r="N651" s="1307"/>
      <c r="O651" s="1308"/>
      <c r="P651" s="1308"/>
      <c r="Q651" s="1308"/>
      <c r="R651" s="1308"/>
      <c r="S651" s="1317"/>
      <c r="T651" s="1317" t="str">
        <f t="shared" si="13"/>
        <v>TANOOF AC</v>
      </c>
      <c r="U651" s="1308" t="str">
        <f t="shared" si="14"/>
        <v>V337</v>
      </c>
      <c r="V651" s="1308"/>
      <c r="W651" s="1308"/>
      <c r="X651" s="1308"/>
      <c r="Y651" s="1308"/>
      <c r="Z651" s="1308"/>
      <c r="AA651" s="1308"/>
    </row>
    <row r="652" spans="1:27">
      <c r="A652" s="1370" t="s">
        <v>2622</v>
      </c>
      <c r="B652" s="1371" t="s">
        <v>2623</v>
      </c>
      <c r="C652" s="1366"/>
      <c r="D652" s="1366"/>
      <c r="E652" s="1367"/>
      <c r="F652" s="1299"/>
      <c r="G652" s="1309"/>
      <c r="H652" s="1306"/>
      <c r="I652" s="1307"/>
      <c r="J652" s="1307"/>
      <c r="K652" s="1307"/>
      <c r="L652" s="1307"/>
      <c r="M652" s="1307"/>
      <c r="N652" s="1307"/>
      <c r="O652" s="1308"/>
      <c r="P652" s="1308"/>
      <c r="Q652" s="1308"/>
      <c r="R652" s="1308"/>
      <c r="S652" s="1317"/>
      <c r="T652" s="1317" t="str">
        <f t="shared" si="13"/>
        <v>AL FURSAH TRADING</v>
      </c>
      <c r="U652" s="1308" t="str">
        <f t="shared" si="14"/>
        <v>V338</v>
      </c>
      <c r="V652" s="1308"/>
      <c r="W652" s="1308"/>
      <c r="X652" s="1308"/>
      <c r="Y652" s="1308"/>
      <c r="Z652" s="1308"/>
      <c r="AA652" s="1308"/>
    </row>
    <row r="653" spans="1:27">
      <c r="A653" s="1370" t="s">
        <v>2624</v>
      </c>
      <c r="B653" s="1371" t="s">
        <v>2625</v>
      </c>
      <c r="C653" s="1366"/>
      <c r="D653" s="1366"/>
      <c r="E653" s="1367"/>
      <c r="F653" s="1299"/>
      <c r="G653" s="1309"/>
      <c r="H653" s="1306"/>
      <c r="I653" s="1307"/>
      <c r="J653" s="1307"/>
      <c r="K653" s="1307"/>
      <c r="L653" s="1307"/>
      <c r="M653" s="1307"/>
      <c r="N653" s="1307"/>
      <c r="O653" s="1308"/>
      <c r="P653" s="1308"/>
      <c r="Q653" s="1308"/>
      <c r="R653" s="1308"/>
      <c r="S653" s="1317"/>
      <c r="T653" s="1317" t="str">
        <f t="shared" si="13"/>
        <v>HOLLYWOOD AIR CONDITIONING</v>
      </c>
      <c r="U653" s="1308" t="str">
        <f t="shared" si="14"/>
        <v>V339</v>
      </c>
      <c r="V653" s="1308"/>
      <c r="W653" s="1308"/>
      <c r="X653" s="1308"/>
      <c r="Y653" s="1308"/>
      <c r="Z653" s="1308"/>
      <c r="AA653" s="1308"/>
    </row>
    <row r="654" spans="1:27">
      <c r="A654" s="1370" t="s">
        <v>2626</v>
      </c>
      <c r="B654" s="1371" t="s">
        <v>2627</v>
      </c>
      <c r="C654" s="1366"/>
      <c r="D654" s="1366"/>
      <c r="E654" s="1367"/>
      <c r="F654" s="1299"/>
      <c r="G654" s="1309"/>
      <c r="H654" s="1306"/>
      <c r="I654" s="1307"/>
      <c r="J654" s="1307"/>
      <c r="K654" s="1307"/>
      <c r="L654" s="1307"/>
      <c r="M654" s="1307"/>
      <c r="N654" s="1307"/>
      <c r="O654" s="1308"/>
      <c r="P654" s="1308"/>
      <c r="Q654" s="1308"/>
      <c r="R654" s="1308"/>
      <c r="S654" s="1317"/>
      <c r="T654" s="1317" t="str">
        <f t="shared" si="13"/>
        <v>MUTHEER BUILDING MATERILAS LLC</v>
      </c>
      <c r="U654" s="1308" t="str">
        <f t="shared" si="14"/>
        <v>V340</v>
      </c>
      <c r="V654" s="1308"/>
      <c r="W654" s="1308"/>
      <c r="X654" s="1308"/>
      <c r="Y654" s="1308"/>
      <c r="Z654" s="1308"/>
      <c r="AA654" s="1308"/>
    </row>
    <row r="655" spans="1:27">
      <c r="A655" s="1370" t="s">
        <v>2628</v>
      </c>
      <c r="B655" s="1371" t="s">
        <v>2629</v>
      </c>
      <c r="C655" s="1366"/>
      <c r="D655" s="1366"/>
      <c r="E655" s="1367"/>
      <c r="F655" s="1299"/>
      <c r="G655" s="1309"/>
      <c r="H655" s="1306"/>
      <c r="I655" s="1307"/>
      <c r="J655" s="1307"/>
      <c r="K655" s="1307"/>
      <c r="L655" s="1307"/>
      <c r="M655" s="1307"/>
      <c r="N655" s="1307"/>
      <c r="O655" s="1308"/>
      <c r="P655" s="1308"/>
      <c r="Q655" s="1308"/>
      <c r="R655" s="1308"/>
      <c r="S655" s="1317"/>
      <c r="T655" s="1317" t="str">
        <f t="shared" si="13"/>
        <v>ZAPHYR AC</v>
      </c>
      <c r="U655" s="1308" t="str">
        <f t="shared" si="14"/>
        <v>V341</v>
      </c>
      <c r="V655" s="1308"/>
      <c r="W655" s="1308"/>
      <c r="X655" s="1308"/>
      <c r="Y655" s="1308"/>
      <c r="Z655" s="1308"/>
      <c r="AA655" s="1308"/>
    </row>
    <row r="656" spans="1:27">
      <c r="A656" s="1370" t="s">
        <v>2630</v>
      </c>
      <c r="B656" s="1371" t="s">
        <v>2631</v>
      </c>
      <c r="C656" s="1366"/>
      <c r="D656" s="1366"/>
      <c r="E656" s="1367"/>
      <c r="F656" s="1299"/>
      <c r="G656" s="1309"/>
      <c r="H656" s="1306"/>
      <c r="I656" s="1307"/>
      <c r="J656" s="1307"/>
      <c r="K656" s="1307"/>
      <c r="L656" s="1307"/>
      <c r="M656" s="1307"/>
      <c r="N656" s="1307"/>
      <c r="O656" s="1308"/>
      <c r="P656" s="1308"/>
      <c r="Q656" s="1308"/>
      <c r="R656" s="1308"/>
      <c r="S656" s="1317"/>
      <c r="T656" s="1317" t="str">
        <f t="shared" si="13"/>
        <v>BENAIR TRADING CO . LLC</v>
      </c>
      <c r="U656" s="1308" t="str">
        <f t="shared" si="14"/>
        <v>V342</v>
      </c>
      <c r="V656" s="1308"/>
      <c r="W656" s="1308"/>
      <c r="X656" s="1308"/>
      <c r="Y656" s="1308"/>
      <c r="Z656" s="1308"/>
      <c r="AA656" s="1308"/>
    </row>
    <row r="657" spans="1:27">
      <c r="A657" s="1370" t="s">
        <v>2632</v>
      </c>
      <c r="B657" s="1371" t="s">
        <v>2633</v>
      </c>
      <c r="C657" s="1366"/>
      <c r="D657" s="1366"/>
      <c r="E657" s="1367"/>
      <c r="F657" s="1299"/>
      <c r="G657" s="1309"/>
      <c r="H657" s="1306"/>
      <c r="I657" s="1307"/>
      <c r="J657" s="1307"/>
      <c r="K657" s="1307"/>
      <c r="L657" s="1307"/>
      <c r="M657" s="1307"/>
      <c r="N657" s="1307"/>
      <c r="O657" s="1308"/>
      <c r="P657" s="1308"/>
      <c r="Q657" s="1308"/>
      <c r="R657" s="1308"/>
      <c r="S657" s="1317"/>
      <c r="T657" s="1317" t="str">
        <f t="shared" si="13"/>
        <v>BETA INDUSTRIAL LLC</v>
      </c>
      <c r="U657" s="1308" t="str">
        <f t="shared" si="14"/>
        <v>V343</v>
      </c>
      <c r="V657" s="1308"/>
      <c r="W657" s="1308"/>
      <c r="X657" s="1308"/>
      <c r="Y657" s="1308"/>
      <c r="Z657" s="1308"/>
      <c r="AA657" s="1308"/>
    </row>
    <row r="658" spans="1:27">
      <c r="A658" s="1370" t="s">
        <v>2634</v>
      </c>
      <c r="B658" s="1371" t="s">
        <v>2635</v>
      </c>
      <c r="C658" s="1366"/>
      <c r="D658" s="1366"/>
      <c r="E658" s="1367"/>
      <c r="F658" s="1299"/>
      <c r="G658" s="1309"/>
      <c r="H658" s="1306"/>
      <c r="I658" s="1307"/>
      <c r="J658" s="1307"/>
      <c r="K658" s="1307"/>
      <c r="L658" s="1307"/>
      <c r="M658" s="1307"/>
      <c r="N658" s="1307"/>
      <c r="O658" s="1308"/>
      <c r="P658" s="1308"/>
      <c r="Q658" s="1308"/>
      <c r="R658" s="1308"/>
      <c r="S658" s="1317"/>
      <c r="T658" s="1317" t="str">
        <f t="shared" si="13"/>
        <v>FRIENDS AIR CONDITION &amp; REFRIG</v>
      </c>
      <c r="U658" s="1308" t="str">
        <f t="shared" si="14"/>
        <v>V345</v>
      </c>
      <c r="V658" s="1308"/>
      <c r="W658" s="1308"/>
      <c r="X658" s="1308"/>
      <c r="Y658" s="1308"/>
      <c r="Z658" s="1308"/>
      <c r="AA658" s="1308"/>
    </row>
    <row r="659" spans="1:27">
      <c r="A659" s="1370" t="s">
        <v>2636</v>
      </c>
      <c r="B659" s="1371" t="s">
        <v>2637</v>
      </c>
      <c r="C659" s="1366"/>
      <c r="D659" s="1366"/>
      <c r="E659" s="1367"/>
      <c r="F659" s="1299"/>
      <c r="G659" s="1309"/>
      <c r="H659" s="1306"/>
      <c r="I659" s="1307"/>
      <c r="J659" s="1307"/>
      <c r="K659" s="1307"/>
      <c r="L659" s="1307"/>
      <c r="M659" s="1307"/>
      <c r="N659" s="1307"/>
      <c r="O659" s="1308"/>
      <c r="P659" s="1308"/>
      <c r="Q659" s="1308"/>
      <c r="R659" s="1308"/>
      <c r="S659" s="1317"/>
      <c r="T659" s="1317" t="str">
        <f t="shared" si="13"/>
        <v>OMAR JUMA KALANDAR</v>
      </c>
      <c r="U659" s="1308" t="str">
        <f t="shared" si="14"/>
        <v>V346</v>
      </c>
      <c r="V659" s="1308"/>
      <c r="W659" s="1308"/>
      <c r="X659" s="1308"/>
      <c r="Y659" s="1308"/>
      <c r="Z659" s="1308"/>
      <c r="AA659" s="1308"/>
    </row>
    <row r="660" spans="1:27">
      <c r="A660" s="1370" t="s">
        <v>2638</v>
      </c>
      <c r="B660" s="1371" t="s">
        <v>2639</v>
      </c>
      <c r="C660" s="1366"/>
      <c r="D660" s="1366"/>
      <c r="E660" s="1367"/>
      <c r="F660" s="1299"/>
      <c r="G660" s="1309"/>
      <c r="H660" s="1306"/>
      <c r="I660" s="1307"/>
      <c r="J660" s="1307"/>
      <c r="K660" s="1307"/>
      <c r="L660" s="1307"/>
      <c r="M660" s="1307"/>
      <c r="N660" s="1307"/>
      <c r="O660" s="1308"/>
      <c r="P660" s="1308"/>
      <c r="Q660" s="1308"/>
      <c r="R660" s="1308"/>
      <c r="S660" s="1317"/>
      <c r="T660" s="1317" t="str">
        <f t="shared" si="13"/>
        <v>MAMOON AUTO SPARE PARTS</v>
      </c>
      <c r="U660" s="1308" t="str">
        <f t="shared" si="14"/>
        <v>V347</v>
      </c>
      <c r="V660" s="1308"/>
      <c r="W660" s="1308"/>
      <c r="X660" s="1308"/>
      <c r="Y660" s="1308"/>
      <c r="Z660" s="1308"/>
      <c r="AA660" s="1308"/>
    </row>
    <row r="661" spans="1:27">
      <c r="A661" s="1370" t="s">
        <v>2640</v>
      </c>
      <c r="B661" s="1371" t="s">
        <v>2641</v>
      </c>
      <c r="C661" s="1366"/>
      <c r="D661" s="1366"/>
      <c r="E661" s="1367"/>
      <c r="F661" s="1299"/>
      <c r="G661" s="1309"/>
      <c r="H661" s="1306"/>
      <c r="I661" s="1307"/>
      <c r="J661" s="1307"/>
      <c r="K661" s="1307"/>
      <c r="L661" s="1307"/>
      <c r="M661" s="1307"/>
      <c r="N661" s="1307"/>
      <c r="O661" s="1308"/>
      <c r="P661" s="1308"/>
      <c r="Q661" s="1308"/>
      <c r="R661" s="1308"/>
      <c r="S661" s="1317"/>
      <c r="T661" s="1317" t="str">
        <f t="shared" si="13"/>
        <v>B.M.AIR CONDITIONING CO.</v>
      </c>
      <c r="U661" s="1308" t="str">
        <f t="shared" si="14"/>
        <v>V348</v>
      </c>
      <c r="V661" s="1308"/>
      <c r="W661" s="1308"/>
      <c r="X661" s="1308"/>
      <c r="Y661" s="1308"/>
      <c r="Z661" s="1308"/>
      <c r="AA661" s="1308"/>
    </row>
    <row r="662" spans="1:27">
      <c r="A662" s="1370" t="s">
        <v>2642</v>
      </c>
      <c r="B662" s="1371" t="s">
        <v>2643</v>
      </c>
      <c r="C662" s="1366"/>
      <c r="D662" s="1366"/>
      <c r="E662" s="1367"/>
      <c r="F662" s="1299"/>
      <c r="G662" s="1309"/>
      <c r="H662" s="1306"/>
      <c r="I662" s="1307"/>
      <c r="J662" s="1307"/>
      <c r="K662" s="1307"/>
      <c r="L662" s="1307"/>
      <c r="M662" s="1307"/>
      <c r="N662" s="1307"/>
      <c r="O662" s="1308"/>
      <c r="P662" s="1308"/>
      <c r="Q662" s="1308"/>
      <c r="R662" s="1308"/>
      <c r="S662" s="1317"/>
      <c r="T662" s="1317" t="str">
        <f t="shared" si="13"/>
        <v>AL YASH BUILDING MAT</v>
      </c>
      <c r="U662" s="1308" t="str">
        <f t="shared" si="14"/>
        <v>V349</v>
      </c>
      <c r="V662" s="1308"/>
      <c r="W662" s="1308"/>
      <c r="X662" s="1308"/>
      <c r="Y662" s="1308"/>
      <c r="Z662" s="1308"/>
      <c r="AA662" s="1308"/>
    </row>
    <row r="663" spans="1:27">
      <c r="A663" s="1370" t="s">
        <v>172</v>
      </c>
      <c r="B663" s="1371" t="s">
        <v>166</v>
      </c>
      <c r="C663" s="1366"/>
      <c r="D663" s="1366"/>
      <c r="E663" s="1367"/>
      <c r="F663" s="1299"/>
      <c r="G663" s="1309"/>
      <c r="H663" s="1306" t="s">
        <v>2812</v>
      </c>
      <c r="I663" s="1307"/>
      <c r="J663" s="1307" t="s">
        <v>2813</v>
      </c>
      <c r="K663" s="1307" t="s">
        <v>2814</v>
      </c>
      <c r="L663" s="1307" t="s">
        <v>2815</v>
      </c>
      <c r="M663" s="1307"/>
      <c r="N663" s="1307"/>
      <c r="O663" s="1308"/>
      <c r="P663" s="1308"/>
      <c r="Q663" s="1308"/>
      <c r="R663" s="1308"/>
      <c r="S663" s="1317"/>
      <c r="T663" s="1317" t="str">
        <f t="shared" si="13"/>
        <v>BEST CHOICE INDUSTRIES LLC</v>
      </c>
      <c r="U663" s="1308" t="str">
        <f t="shared" si="14"/>
        <v>V350</v>
      </c>
      <c r="V663" s="1308"/>
      <c r="W663" s="1308"/>
      <c r="X663" s="1308"/>
      <c r="Y663" s="1308"/>
      <c r="Z663" s="1308"/>
      <c r="AA663" s="1308"/>
    </row>
    <row r="664" spans="1:27">
      <c r="A664" s="1370" t="s">
        <v>2644</v>
      </c>
      <c r="B664" s="1371" t="s">
        <v>2645</v>
      </c>
      <c r="C664" s="1366"/>
      <c r="D664" s="1366"/>
      <c r="E664" s="1367"/>
      <c r="F664" s="1299"/>
      <c r="G664" s="1309"/>
      <c r="H664" s="1306"/>
      <c r="I664" s="1307"/>
      <c r="J664" s="1307"/>
      <c r="K664" s="1307"/>
      <c r="L664" s="1307"/>
      <c r="M664" s="1307"/>
      <c r="N664" s="1307"/>
      <c r="O664" s="1308"/>
      <c r="P664" s="1308"/>
      <c r="Q664" s="1308"/>
      <c r="R664" s="1308"/>
      <c r="S664" s="1317"/>
      <c r="T664" s="1317" t="str">
        <f t="shared" si="13"/>
        <v>DAR AL QIMAH</v>
      </c>
      <c r="U664" s="1308" t="str">
        <f t="shared" si="14"/>
        <v>V351</v>
      </c>
      <c r="V664" s="1308"/>
      <c r="W664" s="1308"/>
      <c r="X664" s="1308"/>
      <c r="Y664" s="1308"/>
      <c r="Z664" s="1308"/>
      <c r="AA664" s="1308"/>
    </row>
    <row r="665" spans="1:27">
      <c r="A665" s="1370" t="s">
        <v>2646</v>
      </c>
      <c r="B665" s="1371" t="s">
        <v>2647</v>
      </c>
      <c r="C665" s="1366"/>
      <c r="D665" s="1366"/>
      <c r="E665" s="1367"/>
      <c r="F665" s="1299"/>
      <c r="G665" s="1309"/>
      <c r="H665" s="1306"/>
      <c r="I665" s="1307"/>
      <c r="J665" s="1307"/>
      <c r="K665" s="1307"/>
      <c r="L665" s="1307"/>
      <c r="M665" s="1307"/>
      <c r="N665" s="1307"/>
      <c r="O665" s="1308"/>
      <c r="P665" s="1308"/>
      <c r="Q665" s="1308"/>
      <c r="R665" s="1308"/>
      <c r="S665" s="1317"/>
      <c r="T665" s="1317" t="str">
        <f t="shared" si="13"/>
        <v>MAH AC</v>
      </c>
      <c r="U665" s="1308" t="str">
        <f t="shared" si="14"/>
        <v>V352</v>
      </c>
      <c r="V665" s="1308"/>
      <c r="W665" s="1308"/>
      <c r="X665" s="1308"/>
      <c r="Y665" s="1308"/>
      <c r="Z665" s="1308"/>
      <c r="AA665" s="1308"/>
    </row>
    <row r="666" spans="1:27">
      <c r="A666" s="1370" t="s">
        <v>2648</v>
      </c>
      <c r="B666" s="1371" t="s">
        <v>2649</v>
      </c>
      <c r="C666" s="1366"/>
      <c r="D666" s="1366"/>
      <c r="E666" s="1367"/>
      <c r="F666" s="1299"/>
      <c r="G666" s="1309"/>
      <c r="H666" s="1306"/>
      <c r="I666" s="1307"/>
      <c r="J666" s="1307"/>
      <c r="K666" s="1307"/>
      <c r="L666" s="1307"/>
      <c r="M666" s="1307"/>
      <c r="N666" s="1307"/>
      <c r="O666" s="1308"/>
      <c r="P666" s="1308"/>
      <c r="Q666" s="1308"/>
      <c r="R666" s="1308"/>
      <c r="S666" s="1317"/>
      <c r="T666" s="1317" t="str">
        <f t="shared" si="13"/>
        <v>RANEEN AL SHAMS</v>
      </c>
      <c r="U666" s="1308" t="str">
        <f t="shared" si="14"/>
        <v>V353</v>
      </c>
      <c r="V666" s="1308"/>
      <c r="W666" s="1308"/>
      <c r="X666" s="1308"/>
      <c r="Y666" s="1308"/>
      <c r="Z666" s="1308"/>
      <c r="AA666" s="1308"/>
    </row>
    <row r="667" spans="1:27">
      <c r="A667" s="1370" t="s">
        <v>2650</v>
      </c>
      <c r="B667" s="1371" t="s">
        <v>2651</v>
      </c>
      <c r="C667" s="1366"/>
      <c r="D667" s="1366"/>
      <c r="E667" s="1367"/>
      <c r="F667" s="1299"/>
      <c r="G667" s="1309"/>
      <c r="H667" s="1306"/>
      <c r="I667" s="1307"/>
      <c r="J667" s="1307"/>
      <c r="K667" s="1307"/>
      <c r="L667" s="1307"/>
      <c r="M667" s="1307"/>
      <c r="N667" s="1307"/>
      <c r="O667" s="1308"/>
      <c r="P667" s="1308"/>
      <c r="Q667" s="1308"/>
      <c r="R667" s="1308"/>
      <c r="S667" s="1317"/>
      <c r="T667" s="1317" t="str">
        <f t="shared" si="13"/>
        <v>AL REYADH STAR BUILDING</v>
      </c>
      <c r="U667" s="1308" t="str">
        <f t="shared" si="14"/>
        <v>V354</v>
      </c>
      <c r="V667" s="1308"/>
      <c r="W667" s="1308"/>
      <c r="X667" s="1308"/>
      <c r="Y667" s="1308"/>
      <c r="Z667" s="1308"/>
      <c r="AA667" s="1308"/>
    </row>
    <row r="668" spans="1:27">
      <c r="A668" s="1370" t="s">
        <v>2652</v>
      </c>
      <c r="B668" s="1371" t="s">
        <v>2653</v>
      </c>
      <c r="C668" s="1366"/>
      <c r="D668" s="1366"/>
      <c r="E668" s="1367"/>
      <c r="F668" s="1299"/>
      <c r="G668" s="1309"/>
      <c r="H668" s="1306"/>
      <c r="I668" s="1307"/>
      <c r="J668" s="1307"/>
      <c r="K668" s="1307"/>
      <c r="L668" s="1307"/>
      <c r="M668" s="1307"/>
      <c r="N668" s="1307"/>
      <c r="O668" s="1308"/>
      <c r="P668" s="1308"/>
      <c r="Q668" s="1308"/>
      <c r="R668" s="1308"/>
      <c r="S668" s="1317"/>
      <c r="T668" s="1317" t="str">
        <f t="shared" si="13"/>
        <v>ALNAJM AL AZRAQ</v>
      </c>
      <c r="U668" s="1308" t="str">
        <f t="shared" si="14"/>
        <v>V355</v>
      </c>
      <c r="V668" s="1308"/>
      <c r="W668" s="1308"/>
      <c r="X668" s="1308"/>
      <c r="Y668" s="1308"/>
      <c r="Z668" s="1308"/>
      <c r="AA668" s="1308"/>
    </row>
    <row r="669" spans="1:27">
      <c r="A669" s="1370" t="s">
        <v>2654</v>
      </c>
      <c r="B669" s="1371" t="s">
        <v>2655</v>
      </c>
      <c r="C669" s="1366"/>
      <c r="D669" s="1366"/>
      <c r="E669" s="1367"/>
      <c r="F669" s="1299"/>
      <c r="G669" s="1309"/>
      <c r="H669" s="1306"/>
      <c r="I669" s="1307"/>
      <c r="J669" s="1307"/>
      <c r="K669" s="1307"/>
      <c r="L669" s="1307"/>
      <c r="M669" s="1307"/>
      <c r="N669" s="1307"/>
      <c r="O669" s="1308"/>
      <c r="P669" s="1308"/>
      <c r="Q669" s="1308"/>
      <c r="R669" s="1308"/>
      <c r="S669" s="1317"/>
      <c r="T669" s="1317" t="str">
        <f t="shared" si="13"/>
        <v>PULIKAL BLDG.MAT.TRDG</v>
      </c>
      <c r="U669" s="1308" t="str">
        <f t="shared" si="14"/>
        <v>V356</v>
      </c>
      <c r="V669" s="1308"/>
      <c r="W669" s="1308"/>
      <c r="X669" s="1308"/>
      <c r="Y669" s="1308"/>
      <c r="Z669" s="1308"/>
      <c r="AA669" s="1308"/>
    </row>
    <row r="670" spans="1:27">
      <c r="A670" s="1370" t="s">
        <v>2656</v>
      </c>
      <c r="B670" s="1371" t="s">
        <v>2657</v>
      </c>
      <c r="C670" s="1366"/>
      <c r="D670" s="1366"/>
      <c r="E670" s="1367"/>
      <c r="F670" s="1299"/>
      <c r="G670" s="1309"/>
      <c r="H670" s="1306"/>
      <c r="I670" s="1307"/>
      <c r="J670" s="1307"/>
      <c r="K670" s="1307"/>
      <c r="L670" s="1307"/>
      <c r="M670" s="1307"/>
      <c r="N670" s="1307"/>
      <c r="O670" s="1308"/>
      <c r="P670" s="1308"/>
      <c r="Q670" s="1308"/>
      <c r="R670" s="1308"/>
      <c r="S670" s="1317"/>
      <c r="T670" s="1317" t="str">
        <f t="shared" si="13"/>
        <v>DANAT AL NABAAH</v>
      </c>
      <c r="U670" s="1308" t="str">
        <f t="shared" si="14"/>
        <v>V357</v>
      </c>
      <c r="V670" s="1308"/>
      <c r="W670" s="1308"/>
      <c r="X670" s="1308"/>
      <c r="Y670" s="1308"/>
      <c r="Z670" s="1308"/>
      <c r="AA670" s="1308"/>
    </row>
    <row r="671" spans="1:27">
      <c r="A671" s="1370" t="s">
        <v>2658</v>
      </c>
      <c r="B671" s="1371" t="s">
        <v>2659</v>
      </c>
      <c r="C671" s="1366"/>
      <c r="D671" s="1366"/>
      <c r="E671" s="1367"/>
      <c r="F671" s="1299"/>
      <c r="G671" s="1309"/>
      <c r="H671" s="1306"/>
      <c r="I671" s="1307"/>
      <c r="J671" s="1307"/>
      <c r="K671" s="1307"/>
      <c r="L671" s="1307"/>
      <c r="M671" s="1307"/>
      <c r="N671" s="1307"/>
      <c r="O671" s="1308"/>
      <c r="P671" s="1308"/>
      <c r="Q671" s="1308"/>
      <c r="R671" s="1308"/>
      <c r="S671" s="1317"/>
      <c r="T671" s="1317" t="str">
        <f t="shared" si="13"/>
        <v>NAJMAT AL KHAWANEEJ</v>
      </c>
      <c r="U671" s="1308" t="str">
        <f t="shared" si="14"/>
        <v>V358</v>
      </c>
      <c r="V671" s="1308"/>
      <c r="W671" s="1308"/>
      <c r="X671" s="1308"/>
      <c r="Y671" s="1308"/>
      <c r="Z671" s="1308"/>
      <c r="AA671" s="1308"/>
    </row>
    <row r="672" spans="1:27">
      <c r="A672" s="1370" t="s">
        <v>2660</v>
      </c>
      <c r="B672" s="1371" t="s">
        <v>2661</v>
      </c>
      <c r="C672" s="1366"/>
      <c r="D672" s="1366"/>
      <c r="E672" s="1367"/>
      <c r="F672" s="1299"/>
      <c r="G672" s="1309"/>
      <c r="H672" s="1306"/>
      <c r="I672" s="1307"/>
      <c r="J672" s="1307"/>
      <c r="K672" s="1307"/>
      <c r="L672" s="1307"/>
      <c r="M672" s="1307"/>
      <c r="N672" s="1307"/>
      <c r="O672" s="1308"/>
      <c r="P672" s="1308"/>
      <c r="Q672" s="1308"/>
      <c r="R672" s="1308"/>
      <c r="S672" s="1317"/>
      <c r="T672" s="1317" t="str">
        <f t="shared" si="13"/>
        <v>SRG</v>
      </c>
      <c r="U672" s="1308" t="str">
        <f t="shared" si="14"/>
        <v>V359</v>
      </c>
      <c r="V672" s="1308"/>
      <c r="W672" s="1308"/>
      <c r="X672" s="1308"/>
      <c r="Y672" s="1308"/>
      <c r="Z672" s="1308"/>
      <c r="AA672" s="1308"/>
    </row>
    <row r="673" spans="1:27">
      <c r="A673" s="1370" t="s">
        <v>2662</v>
      </c>
      <c r="B673" s="1371" t="s">
        <v>2663</v>
      </c>
      <c r="C673" s="1366"/>
      <c r="D673" s="1366"/>
      <c r="E673" s="1367"/>
      <c r="F673" s="1299"/>
      <c r="G673" s="1309"/>
      <c r="H673" s="1306"/>
      <c r="I673" s="1307"/>
      <c r="J673" s="1307"/>
      <c r="K673" s="1307"/>
      <c r="L673" s="1307"/>
      <c r="M673" s="1307"/>
      <c r="N673" s="1307"/>
      <c r="O673" s="1308"/>
      <c r="P673" s="1308"/>
      <c r="Q673" s="1308"/>
      <c r="R673" s="1308"/>
      <c r="S673" s="1317"/>
      <c r="T673" s="1317" t="str">
        <f t="shared" ref="T673:T730" si="15">B673</f>
        <v>SOLID HOUSE BUILDING MATERIALS</v>
      </c>
      <c r="U673" s="1308" t="str">
        <f t="shared" ref="U673:U730" si="16">A673</f>
        <v>V360</v>
      </c>
      <c r="V673" s="1308"/>
      <c r="W673" s="1308"/>
      <c r="X673" s="1308"/>
      <c r="Y673" s="1308"/>
      <c r="Z673" s="1308"/>
      <c r="AA673" s="1308"/>
    </row>
    <row r="674" spans="1:27">
      <c r="A674" s="1370" t="s">
        <v>2664</v>
      </c>
      <c r="B674" s="1371" t="s">
        <v>2665</v>
      </c>
      <c r="C674" s="1366"/>
      <c r="D674" s="1366"/>
      <c r="E674" s="1367"/>
      <c r="F674" s="1299"/>
      <c r="G674" s="1309"/>
      <c r="H674" s="1306"/>
      <c r="I674" s="1307"/>
      <c r="J674" s="1307"/>
      <c r="K674" s="1307"/>
      <c r="L674" s="1307"/>
      <c r="M674" s="1307"/>
      <c r="N674" s="1307"/>
      <c r="O674" s="1308"/>
      <c r="P674" s="1308"/>
      <c r="Q674" s="1308"/>
      <c r="R674" s="1308"/>
      <c r="S674" s="1317"/>
      <c r="T674" s="1317" t="str">
        <f t="shared" si="15"/>
        <v>AL IHTHIAYATI AUTO SPARE PARTS</v>
      </c>
      <c r="U674" s="1308" t="str">
        <f t="shared" si="16"/>
        <v>V361</v>
      </c>
      <c r="V674" s="1308"/>
      <c r="W674" s="1308"/>
      <c r="X674" s="1308"/>
      <c r="Y674" s="1308"/>
      <c r="Z674" s="1308"/>
      <c r="AA674" s="1308"/>
    </row>
    <row r="675" spans="1:27">
      <c r="A675" s="1370" t="s">
        <v>2666</v>
      </c>
      <c r="B675" s="1371" t="s">
        <v>2667</v>
      </c>
      <c r="C675" s="1366"/>
      <c r="D675" s="1366"/>
      <c r="E675" s="1367"/>
      <c r="F675" s="1299"/>
      <c r="G675" s="1309"/>
      <c r="H675" s="1306"/>
      <c r="I675" s="1307"/>
      <c r="J675" s="1307"/>
      <c r="K675" s="1307"/>
      <c r="L675" s="1307"/>
      <c r="M675" s="1307"/>
      <c r="N675" s="1307"/>
      <c r="O675" s="1308"/>
      <c r="P675" s="1308"/>
      <c r="Q675" s="1308"/>
      <c r="R675" s="1308"/>
      <c r="S675" s="1317"/>
      <c r="T675" s="1317" t="str">
        <f t="shared" si="15"/>
        <v>AIKAH GENERAL TRADING</v>
      </c>
      <c r="U675" s="1308" t="str">
        <f t="shared" si="16"/>
        <v>V362</v>
      </c>
      <c r="V675" s="1308"/>
      <c r="W675" s="1308"/>
      <c r="X675" s="1308"/>
      <c r="Y675" s="1308"/>
      <c r="Z675" s="1308"/>
      <c r="AA675" s="1308"/>
    </row>
    <row r="676" spans="1:27">
      <c r="A676" s="1370" t="s">
        <v>2668</v>
      </c>
      <c r="B676" s="1371" t="s">
        <v>2669</v>
      </c>
      <c r="C676" s="1366"/>
      <c r="D676" s="1366"/>
      <c r="E676" s="1367"/>
      <c r="F676" s="1299"/>
      <c r="G676" s="1309"/>
      <c r="H676" s="1306"/>
      <c r="I676" s="1307"/>
      <c r="J676" s="1307"/>
      <c r="K676" s="1307"/>
      <c r="L676" s="1307"/>
      <c r="M676" s="1307"/>
      <c r="N676" s="1307"/>
      <c r="O676" s="1308"/>
      <c r="P676" s="1308"/>
      <c r="Q676" s="1308"/>
      <c r="R676" s="1308"/>
      <c r="S676" s="1317"/>
      <c r="T676" s="1317" t="str">
        <f t="shared" si="15"/>
        <v>CABLE PLUS</v>
      </c>
      <c r="U676" s="1308" t="str">
        <f t="shared" si="16"/>
        <v>V363</v>
      </c>
      <c r="V676" s="1308"/>
      <c r="W676" s="1308"/>
      <c r="X676" s="1308"/>
      <c r="Y676" s="1308"/>
      <c r="Z676" s="1308"/>
      <c r="AA676" s="1308"/>
    </row>
    <row r="677" spans="1:27">
      <c r="A677" s="1370" t="s">
        <v>2670</v>
      </c>
      <c r="B677" s="1371" t="s">
        <v>2671</v>
      </c>
      <c r="C677" s="1366"/>
      <c r="D677" s="1366"/>
      <c r="E677" s="1367"/>
      <c r="F677" s="1299"/>
      <c r="G677" s="1309"/>
      <c r="H677" s="1306"/>
      <c r="I677" s="1307"/>
      <c r="J677" s="1307"/>
      <c r="K677" s="1307"/>
      <c r="L677" s="1307"/>
      <c r="M677" s="1307"/>
      <c r="N677" s="1307"/>
      <c r="O677" s="1308"/>
      <c r="P677" s="1308"/>
      <c r="Q677" s="1308"/>
      <c r="R677" s="1308"/>
      <c r="S677" s="1317"/>
      <c r="T677" s="1317" t="str">
        <f t="shared" si="15"/>
        <v>BLUE RIVER BUILDING MATERILAS</v>
      </c>
      <c r="U677" s="1308" t="str">
        <f t="shared" si="16"/>
        <v>V364</v>
      </c>
      <c r="V677" s="1308"/>
      <c r="W677" s="1308"/>
      <c r="X677" s="1308"/>
      <c r="Y677" s="1308"/>
      <c r="Z677" s="1308"/>
      <c r="AA677" s="1308"/>
    </row>
    <row r="678" spans="1:27">
      <c r="A678" s="1370" t="s">
        <v>2672</v>
      </c>
      <c r="B678" s="1371" t="s">
        <v>2673</v>
      </c>
      <c r="C678" s="1366"/>
      <c r="D678" s="1366"/>
      <c r="E678" s="1367"/>
      <c r="F678" s="1299"/>
      <c r="G678" s="1309"/>
      <c r="H678" s="1306"/>
      <c r="I678" s="1307"/>
      <c r="J678" s="1307"/>
      <c r="K678" s="1307"/>
      <c r="L678" s="1307"/>
      <c r="M678" s="1307"/>
      <c r="N678" s="1307"/>
      <c r="O678" s="1308"/>
      <c r="P678" s="1308"/>
      <c r="Q678" s="1308"/>
      <c r="R678" s="1308"/>
      <c r="S678" s="1317"/>
      <c r="T678" s="1317" t="str">
        <f t="shared" si="15"/>
        <v>AL KASSAR TRADING CO. LLC</v>
      </c>
      <c r="U678" s="1308" t="str">
        <f t="shared" si="16"/>
        <v>V366</v>
      </c>
      <c r="V678" s="1308"/>
      <c r="W678" s="1308"/>
      <c r="X678" s="1308"/>
      <c r="Y678" s="1308"/>
      <c r="Z678" s="1308"/>
      <c r="AA678" s="1308"/>
    </row>
    <row r="679" spans="1:27">
      <c r="A679" s="1370" t="s">
        <v>2674</v>
      </c>
      <c r="B679" s="1371" t="s">
        <v>2675</v>
      </c>
      <c r="C679" s="1366"/>
      <c r="D679" s="1366"/>
      <c r="E679" s="1367"/>
      <c r="F679" s="1299"/>
      <c r="G679" s="1309"/>
      <c r="H679" s="1306"/>
      <c r="I679" s="1307"/>
      <c r="J679" s="1307"/>
      <c r="K679" s="1307"/>
      <c r="L679" s="1307"/>
      <c r="M679" s="1307"/>
      <c r="N679" s="1307"/>
      <c r="O679" s="1308"/>
      <c r="P679" s="1308"/>
      <c r="Q679" s="1308"/>
      <c r="R679" s="1308"/>
      <c r="S679" s="1317"/>
      <c r="T679" s="1317" t="str">
        <f t="shared" si="15"/>
        <v>GREEN HORIZON</v>
      </c>
      <c r="U679" s="1308" t="str">
        <f t="shared" si="16"/>
        <v>V367</v>
      </c>
      <c r="V679" s="1308"/>
      <c r="W679" s="1308"/>
      <c r="X679" s="1308"/>
      <c r="Y679" s="1308"/>
      <c r="Z679" s="1308"/>
      <c r="AA679" s="1308"/>
    </row>
    <row r="680" spans="1:27">
      <c r="A680" s="1370" t="s">
        <v>2676</v>
      </c>
      <c r="B680" s="1371" t="s">
        <v>2677</v>
      </c>
      <c r="C680" s="1366"/>
      <c r="D680" s="1366"/>
      <c r="E680" s="1367"/>
      <c r="F680" s="1299"/>
      <c r="G680" s="1309"/>
      <c r="H680" s="1306"/>
      <c r="I680" s="1307"/>
      <c r="J680" s="1307"/>
      <c r="K680" s="1307"/>
      <c r="L680" s="1307"/>
      <c r="M680" s="1307"/>
      <c r="N680" s="1307"/>
      <c r="O680" s="1308"/>
      <c r="P680" s="1308"/>
      <c r="Q680" s="1308"/>
      <c r="R680" s="1308"/>
      <c r="S680" s="1317"/>
      <c r="T680" s="1317" t="str">
        <f t="shared" si="15"/>
        <v>SMART FIX</v>
      </c>
      <c r="U680" s="1308" t="str">
        <f t="shared" si="16"/>
        <v>V368</v>
      </c>
      <c r="V680" s="1308"/>
      <c r="W680" s="1308"/>
      <c r="X680" s="1308"/>
      <c r="Y680" s="1308"/>
      <c r="Z680" s="1308"/>
      <c r="AA680" s="1308"/>
    </row>
    <row r="681" spans="1:27">
      <c r="A681" s="1370" t="s">
        <v>2678</v>
      </c>
      <c r="B681" s="1371" t="s">
        <v>2679</v>
      </c>
      <c r="C681" s="1366"/>
      <c r="D681" s="1366"/>
      <c r="E681" s="1367"/>
      <c r="F681" s="1299"/>
      <c r="G681" s="1309"/>
      <c r="H681" s="1306"/>
      <c r="I681" s="1307"/>
      <c r="J681" s="1307"/>
      <c r="K681" s="1307"/>
      <c r="L681" s="1307"/>
      <c r="M681" s="1307"/>
      <c r="N681" s="1307"/>
      <c r="O681" s="1308"/>
      <c r="P681" s="1308"/>
      <c r="Q681" s="1308"/>
      <c r="R681" s="1308"/>
      <c r="S681" s="1317"/>
      <c r="T681" s="1317" t="str">
        <f t="shared" si="15"/>
        <v>ELECTRIC WAY</v>
      </c>
      <c r="U681" s="1308" t="str">
        <f t="shared" si="16"/>
        <v>V369</v>
      </c>
      <c r="V681" s="1308"/>
      <c r="W681" s="1308"/>
      <c r="X681" s="1308"/>
      <c r="Y681" s="1308"/>
      <c r="Z681" s="1308"/>
      <c r="AA681" s="1308"/>
    </row>
    <row r="682" spans="1:27">
      <c r="A682" s="1370" t="s">
        <v>2680</v>
      </c>
      <c r="B682" s="1371" t="s">
        <v>2681</v>
      </c>
      <c r="C682" s="1366"/>
      <c r="D682" s="1366"/>
      <c r="E682" s="1367"/>
      <c r="F682" s="1299"/>
      <c r="G682" s="1309"/>
      <c r="H682" s="1306"/>
      <c r="I682" s="1307"/>
      <c r="J682" s="1307"/>
      <c r="K682" s="1307"/>
      <c r="L682" s="1307"/>
      <c r="M682" s="1307"/>
      <c r="N682" s="1307"/>
      <c r="O682" s="1308"/>
      <c r="P682" s="1308"/>
      <c r="Q682" s="1308"/>
      <c r="R682" s="1308"/>
      <c r="S682" s="1317"/>
      <c r="T682" s="1317" t="str">
        <f t="shared" si="15"/>
        <v>NOOR ALBARSHA</v>
      </c>
      <c r="U682" s="1308" t="str">
        <f t="shared" si="16"/>
        <v>V370</v>
      </c>
      <c r="V682" s="1308"/>
      <c r="W682" s="1308"/>
      <c r="X682" s="1308"/>
      <c r="Y682" s="1308"/>
      <c r="Z682" s="1308"/>
      <c r="AA682" s="1308"/>
    </row>
    <row r="683" spans="1:27">
      <c r="A683" s="1370" t="s">
        <v>2682</v>
      </c>
      <c r="B683" s="1371" t="s">
        <v>2683</v>
      </c>
      <c r="C683" s="1366"/>
      <c r="D683" s="1366"/>
      <c r="E683" s="1367"/>
      <c r="F683" s="1299"/>
      <c r="G683" s="1309"/>
      <c r="H683" s="1306"/>
      <c r="I683" s="1307"/>
      <c r="J683" s="1307"/>
      <c r="K683" s="1307"/>
      <c r="L683" s="1307"/>
      <c r="M683" s="1307"/>
      <c r="N683" s="1307"/>
      <c r="O683" s="1308"/>
      <c r="P683" s="1308"/>
      <c r="Q683" s="1308"/>
      <c r="R683" s="1308"/>
      <c r="S683" s="1317"/>
      <c r="T683" s="1317" t="str">
        <f t="shared" si="15"/>
        <v>UMHER GENERAL TRADING</v>
      </c>
      <c r="U683" s="1308" t="str">
        <f t="shared" si="16"/>
        <v>V371</v>
      </c>
      <c r="V683" s="1308"/>
      <c r="W683" s="1308"/>
      <c r="X683" s="1308"/>
      <c r="Y683" s="1308"/>
      <c r="Z683" s="1308"/>
      <c r="AA683" s="1308"/>
    </row>
    <row r="684" spans="1:27">
      <c r="A684" s="1370" t="s">
        <v>2684</v>
      </c>
      <c r="B684" s="1371" t="s">
        <v>2685</v>
      </c>
      <c r="C684" s="1366"/>
      <c r="D684" s="1366"/>
      <c r="E684" s="1367"/>
      <c r="F684" s="1299"/>
      <c r="G684" s="1309"/>
      <c r="H684" s="1306"/>
      <c r="I684" s="1307"/>
      <c r="J684" s="1307"/>
      <c r="K684" s="1307"/>
      <c r="L684" s="1307"/>
      <c r="M684" s="1307"/>
      <c r="N684" s="1307"/>
      <c r="O684" s="1308"/>
      <c r="P684" s="1308"/>
      <c r="Q684" s="1308"/>
      <c r="R684" s="1308"/>
      <c r="S684" s="1317"/>
      <c r="T684" s="1317" t="str">
        <f t="shared" si="15"/>
        <v>NEW MARTECH AIRCO &amp; REF SPARE</v>
      </c>
      <c r="U684" s="1308" t="str">
        <f t="shared" si="16"/>
        <v>V372</v>
      </c>
      <c r="V684" s="1308"/>
      <c r="W684" s="1308"/>
      <c r="X684" s="1308"/>
      <c r="Y684" s="1308"/>
      <c r="Z684" s="1308"/>
      <c r="AA684" s="1308"/>
    </row>
    <row r="685" spans="1:27">
      <c r="A685" s="1370" t="s">
        <v>2686</v>
      </c>
      <c r="B685" s="1371" t="s">
        <v>2687</v>
      </c>
      <c r="C685" s="1366"/>
      <c r="D685" s="1366"/>
      <c r="E685" s="1367"/>
      <c r="F685" s="1299"/>
      <c r="G685" s="1309"/>
      <c r="H685" s="1306"/>
      <c r="I685" s="1307"/>
      <c r="J685" s="1307"/>
      <c r="K685" s="1307"/>
      <c r="L685" s="1307"/>
      <c r="M685" s="1307"/>
      <c r="N685" s="1307"/>
      <c r="O685" s="1308"/>
      <c r="P685" s="1308"/>
      <c r="Q685" s="1308"/>
      <c r="R685" s="1308"/>
      <c r="S685" s="1317"/>
      <c r="T685" s="1317" t="str">
        <f t="shared" si="15"/>
        <v>SEAMAS GENERAL TRADING</v>
      </c>
      <c r="U685" s="1308" t="str">
        <f t="shared" si="16"/>
        <v>V373</v>
      </c>
      <c r="V685" s="1308"/>
      <c r="W685" s="1308"/>
      <c r="X685" s="1308"/>
      <c r="Y685" s="1308"/>
      <c r="Z685" s="1308"/>
      <c r="AA685" s="1308"/>
    </row>
    <row r="686" spans="1:27">
      <c r="A686" s="1370" t="s">
        <v>2688</v>
      </c>
      <c r="B686" s="1371" t="s">
        <v>2689</v>
      </c>
      <c r="C686" s="1366"/>
      <c r="D686" s="1366"/>
      <c r="E686" s="1367"/>
      <c r="F686" s="1299"/>
      <c r="G686" s="1309"/>
      <c r="H686" s="1306"/>
      <c r="I686" s="1307"/>
      <c r="J686" s="1307"/>
      <c r="K686" s="1307"/>
      <c r="L686" s="1307"/>
      <c r="M686" s="1307"/>
      <c r="N686" s="1307"/>
      <c r="O686" s="1308"/>
      <c r="P686" s="1308"/>
      <c r="Q686" s="1308"/>
      <c r="R686" s="1308"/>
      <c r="S686" s="1317"/>
      <c r="T686" s="1317" t="str">
        <f t="shared" si="15"/>
        <v>FAJR ALMADINA AC</v>
      </c>
      <c r="U686" s="1308" t="str">
        <f t="shared" si="16"/>
        <v>V374</v>
      </c>
      <c r="V686" s="1308"/>
      <c r="W686" s="1308"/>
      <c r="X686" s="1308"/>
      <c r="Y686" s="1308"/>
      <c r="Z686" s="1308"/>
      <c r="AA686" s="1308"/>
    </row>
    <row r="687" spans="1:27">
      <c r="A687" s="1370" t="s">
        <v>2690</v>
      </c>
      <c r="B687" s="1371" t="s">
        <v>2691</v>
      </c>
      <c r="C687" s="1366"/>
      <c r="D687" s="1366"/>
      <c r="E687" s="1367"/>
      <c r="F687" s="1299"/>
      <c r="G687" s="1309"/>
      <c r="H687" s="1306"/>
      <c r="I687" s="1307"/>
      <c r="J687" s="1307"/>
      <c r="K687" s="1307"/>
      <c r="L687" s="1307"/>
      <c r="M687" s="1307"/>
      <c r="N687" s="1307"/>
      <c r="O687" s="1308"/>
      <c r="P687" s="1308"/>
      <c r="Q687" s="1308"/>
      <c r="R687" s="1308"/>
      <c r="S687" s="1317"/>
      <c r="T687" s="1317" t="str">
        <f t="shared" si="15"/>
        <v>O.U.N BUILDING MATERIALS</v>
      </c>
      <c r="U687" s="1308" t="str">
        <f t="shared" si="16"/>
        <v>V375</v>
      </c>
      <c r="V687" s="1308"/>
      <c r="W687" s="1308"/>
      <c r="X687" s="1308"/>
      <c r="Y687" s="1308"/>
      <c r="Z687" s="1308"/>
      <c r="AA687" s="1308"/>
    </row>
    <row r="688" spans="1:27">
      <c r="A688" s="1370" t="s">
        <v>2692</v>
      </c>
      <c r="B688" s="1371" t="s">
        <v>2693</v>
      </c>
      <c r="C688" s="1366"/>
      <c r="D688" s="1366"/>
      <c r="E688" s="1367"/>
      <c r="F688" s="1299"/>
      <c r="G688" s="1309"/>
      <c r="H688" s="1306"/>
      <c r="I688" s="1307"/>
      <c r="J688" s="1307"/>
      <c r="K688" s="1307"/>
      <c r="L688" s="1307"/>
      <c r="M688" s="1307"/>
      <c r="N688" s="1307"/>
      <c r="O688" s="1308"/>
      <c r="P688" s="1308"/>
      <c r="Q688" s="1308"/>
      <c r="R688" s="1308"/>
      <c r="S688" s="1317"/>
      <c r="T688" s="1317" t="str">
        <f t="shared" si="15"/>
        <v>GRAND HARDWARE PAINTS</v>
      </c>
      <c r="U688" s="1308" t="str">
        <f t="shared" si="16"/>
        <v>V376</v>
      </c>
      <c r="V688" s="1308"/>
      <c r="W688" s="1308"/>
      <c r="X688" s="1308"/>
      <c r="Y688" s="1308"/>
      <c r="Z688" s="1308"/>
      <c r="AA688" s="1308"/>
    </row>
    <row r="689" spans="1:27">
      <c r="A689" s="1370" t="s">
        <v>2694</v>
      </c>
      <c r="B689" s="1371" t="s">
        <v>2695</v>
      </c>
      <c r="C689" s="1366"/>
      <c r="D689" s="1366"/>
      <c r="E689" s="1367"/>
      <c r="F689" s="1299"/>
      <c r="G689" s="1309"/>
      <c r="H689" s="1306"/>
      <c r="I689" s="1307"/>
      <c r="J689" s="1307"/>
      <c r="K689" s="1307"/>
      <c r="L689" s="1307"/>
      <c r="M689" s="1307"/>
      <c r="N689" s="1307"/>
      <c r="O689" s="1308"/>
      <c r="P689" s="1308"/>
      <c r="Q689" s="1308"/>
      <c r="R689" s="1308"/>
      <c r="S689" s="1317"/>
      <c r="T689" s="1317" t="str">
        <f t="shared" si="15"/>
        <v>AALI AL JAWDA ELECT</v>
      </c>
      <c r="U689" s="1308" t="str">
        <f t="shared" si="16"/>
        <v>V377</v>
      </c>
      <c r="V689" s="1308"/>
      <c r="W689" s="1308"/>
      <c r="X689" s="1308"/>
      <c r="Y689" s="1308"/>
      <c r="Z689" s="1308"/>
      <c r="AA689" s="1308"/>
    </row>
    <row r="690" spans="1:27">
      <c r="A690" s="1370" t="s">
        <v>2696</v>
      </c>
      <c r="B690" s="1371" t="s">
        <v>2697</v>
      </c>
      <c r="C690" s="1366"/>
      <c r="D690" s="1366"/>
      <c r="E690" s="1367"/>
      <c r="F690" s="1299"/>
      <c r="G690" s="1309"/>
      <c r="H690" s="1306"/>
      <c r="I690" s="1307"/>
      <c r="J690" s="1307"/>
      <c r="K690" s="1307"/>
      <c r="L690" s="1307"/>
      <c r="M690" s="1307"/>
      <c r="N690" s="1307"/>
      <c r="O690" s="1308"/>
      <c r="P690" s="1308"/>
      <c r="Q690" s="1308"/>
      <c r="R690" s="1308"/>
      <c r="S690" s="1317"/>
      <c r="T690" s="1317" t="str">
        <f t="shared" si="15"/>
        <v>COOL ZONE TRADING LLC</v>
      </c>
      <c r="U690" s="1308" t="str">
        <f t="shared" si="16"/>
        <v>V378</v>
      </c>
      <c r="V690" s="1308"/>
      <c r="W690" s="1308"/>
      <c r="X690" s="1308"/>
      <c r="Y690" s="1308"/>
      <c r="Z690" s="1308"/>
      <c r="AA690" s="1308"/>
    </row>
    <row r="691" spans="1:27">
      <c r="A691" s="1370" t="s">
        <v>2698</v>
      </c>
      <c r="B691" s="1371" t="s">
        <v>2699</v>
      </c>
      <c r="C691" s="1366"/>
      <c r="D691" s="1366"/>
      <c r="E691" s="1367"/>
      <c r="F691" s="1299"/>
      <c r="G691" s="1309"/>
      <c r="H691" s="1306"/>
      <c r="I691" s="1307"/>
      <c r="J691" s="1307"/>
      <c r="K691" s="1307"/>
      <c r="L691" s="1307"/>
      <c r="M691" s="1307"/>
      <c r="N691" s="1307"/>
      <c r="O691" s="1308"/>
      <c r="P691" s="1308"/>
      <c r="Q691" s="1308"/>
      <c r="R691" s="1308"/>
      <c r="S691" s="1317"/>
      <c r="T691" s="1317" t="str">
        <f t="shared" si="15"/>
        <v>JET HYDRAULICS</v>
      </c>
      <c r="U691" s="1308" t="str">
        <f t="shared" si="16"/>
        <v>V379</v>
      </c>
      <c r="V691" s="1308"/>
      <c r="W691" s="1308"/>
      <c r="X691" s="1308"/>
      <c r="Y691" s="1308"/>
      <c r="Z691" s="1308"/>
      <c r="AA691" s="1308"/>
    </row>
    <row r="692" spans="1:27">
      <c r="A692" s="1370" t="s">
        <v>2700</v>
      </c>
      <c r="B692" s="1371" t="s">
        <v>2701</v>
      </c>
      <c r="C692" s="1366"/>
      <c r="D692" s="1366"/>
      <c r="E692" s="1367"/>
      <c r="F692" s="1299"/>
      <c r="G692" s="1309"/>
      <c r="H692" s="1306"/>
      <c r="I692" s="1307"/>
      <c r="J692" s="1307"/>
      <c r="K692" s="1307"/>
      <c r="L692" s="1307"/>
      <c r="M692" s="1307"/>
      <c r="N692" s="1307"/>
      <c r="O692" s="1308"/>
      <c r="P692" s="1308"/>
      <c r="Q692" s="1308"/>
      <c r="R692" s="1308"/>
      <c r="S692" s="1317"/>
      <c r="T692" s="1317" t="str">
        <f t="shared" si="15"/>
        <v>AGKUJA TRADING LLC</v>
      </c>
      <c r="U692" s="1308" t="str">
        <f t="shared" si="16"/>
        <v>V380</v>
      </c>
      <c r="V692" s="1308"/>
      <c r="W692" s="1308"/>
      <c r="X692" s="1308"/>
      <c r="Y692" s="1308"/>
      <c r="Z692" s="1308"/>
      <c r="AA692" s="1308"/>
    </row>
    <row r="693" spans="1:27">
      <c r="A693" s="1370" t="s">
        <v>2702</v>
      </c>
      <c r="B693" s="1371" t="s">
        <v>2703</v>
      </c>
      <c r="C693" s="1366"/>
      <c r="D693" s="1366"/>
      <c r="E693" s="1367"/>
      <c r="F693" s="1299"/>
      <c r="G693" s="1309"/>
      <c r="H693" s="1306"/>
      <c r="I693" s="1307"/>
      <c r="J693" s="1307"/>
      <c r="K693" s="1307"/>
      <c r="L693" s="1307"/>
      <c r="M693" s="1307"/>
      <c r="N693" s="1307"/>
      <c r="O693" s="1308"/>
      <c r="P693" s="1308"/>
      <c r="Q693" s="1308"/>
      <c r="R693" s="1308"/>
      <c r="S693" s="1317"/>
      <c r="T693" s="1317" t="str">
        <f t="shared" si="15"/>
        <v>NAJMAT AL AZRAH HARDWARE</v>
      </c>
      <c r="U693" s="1308" t="str">
        <f t="shared" si="16"/>
        <v>V381</v>
      </c>
      <c r="V693" s="1308"/>
      <c r="W693" s="1308"/>
      <c r="X693" s="1308"/>
      <c r="Y693" s="1308"/>
      <c r="Z693" s="1308"/>
      <c r="AA693" s="1308"/>
    </row>
    <row r="694" spans="1:27">
      <c r="A694" s="1370" t="s">
        <v>2704</v>
      </c>
      <c r="B694" s="1371" t="s">
        <v>2705</v>
      </c>
      <c r="C694" s="1366"/>
      <c r="D694" s="1366"/>
      <c r="E694" s="1367"/>
      <c r="F694" s="1299"/>
      <c r="G694" s="1309"/>
      <c r="H694" s="1306"/>
      <c r="I694" s="1307"/>
      <c r="J694" s="1307"/>
      <c r="K694" s="1307"/>
      <c r="L694" s="1307"/>
      <c r="M694" s="1307"/>
      <c r="N694" s="1307"/>
      <c r="O694" s="1308"/>
      <c r="P694" s="1308"/>
      <c r="Q694" s="1308"/>
      <c r="R694" s="1308"/>
      <c r="S694" s="1317"/>
      <c r="T694" s="1317" t="str">
        <f t="shared" si="15"/>
        <v>AL KAMAL BUILDING MATERIALS</v>
      </c>
      <c r="U694" s="1308" t="str">
        <f t="shared" si="16"/>
        <v>V382</v>
      </c>
      <c r="V694" s="1308"/>
      <c r="W694" s="1308"/>
      <c r="X694" s="1308"/>
      <c r="Y694" s="1308"/>
      <c r="Z694" s="1308"/>
      <c r="AA694" s="1308"/>
    </row>
    <row r="695" spans="1:27">
      <c r="A695" s="1370" t="s">
        <v>2706</v>
      </c>
      <c r="B695" s="1371" t="s">
        <v>2707</v>
      </c>
      <c r="C695" s="1366"/>
      <c r="D695" s="1366"/>
      <c r="E695" s="1367"/>
      <c r="F695" s="1299"/>
      <c r="G695" s="1309"/>
      <c r="H695" s="1306"/>
      <c r="I695" s="1307"/>
      <c r="J695" s="1307"/>
      <c r="K695" s="1307"/>
      <c r="L695" s="1307"/>
      <c r="M695" s="1307"/>
      <c r="N695" s="1307"/>
      <c r="O695" s="1308"/>
      <c r="P695" s="1308"/>
      <c r="Q695" s="1308"/>
      <c r="R695" s="1308"/>
      <c r="S695" s="1317"/>
      <c r="T695" s="1317" t="str">
        <f t="shared" si="15"/>
        <v>EMIRATES STAR BUILDING</v>
      </c>
      <c r="U695" s="1308" t="str">
        <f t="shared" si="16"/>
        <v>V383</v>
      </c>
      <c r="V695" s="1308"/>
      <c r="W695" s="1308"/>
      <c r="X695" s="1308"/>
      <c r="Y695" s="1308"/>
      <c r="Z695" s="1308"/>
      <c r="AA695" s="1308"/>
    </row>
    <row r="696" spans="1:27">
      <c r="A696" s="1370" t="s">
        <v>2708</v>
      </c>
      <c r="B696" s="1371" t="s">
        <v>2709</v>
      </c>
      <c r="C696" s="1366"/>
      <c r="D696" s="1366"/>
      <c r="E696" s="1367"/>
      <c r="F696" s="1299"/>
      <c r="G696" s="1309"/>
      <c r="H696" s="1306"/>
      <c r="I696" s="1307"/>
      <c r="J696" s="1307"/>
      <c r="K696" s="1307"/>
      <c r="L696" s="1307"/>
      <c r="M696" s="1307"/>
      <c r="N696" s="1307"/>
      <c r="O696" s="1308"/>
      <c r="P696" s="1308"/>
      <c r="Q696" s="1308"/>
      <c r="R696" s="1308"/>
      <c r="S696" s="1317"/>
      <c r="T696" s="1317" t="str">
        <f t="shared" si="15"/>
        <v>SPARETECHNIC EST</v>
      </c>
      <c r="U696" s="1308" t="str">
        <f t="shared" si="16"/>
        <v>V384</v>
      </c>
      <c r="V696" s="1308"/>
      <c r="W696" s="1308"/>
      <c r="X696" s="1308"/>
      <c r="Y696" s="1308"/>
      <c r="Z696" s="1308"/>
      <c r="AA696" s="1308"/>
    </row>
    <row r="697" spans="1:27">
      <c r="A697" s="1370" t="s">
        <v>2710</v>
      </c>
      <c r="B697" s="1371" t="s">
        <v>2711</v>
      </c>
      <c r="C697" s="1366"/>
      <c r="D697" s="1366"/>
      <c r="E697" s="1367"/>
      <c r="F697" s="1299"/>
      <c r="G697" s="1309"/>
      <c r="H697" s="1306"/>
      <c r="I697" s="1307"/>
      <c r="J697" s="1307"/>
      <c r="K697" s="1307"/>
      <c r="L697" s="1307"/>
      <c r="M697" s="1307"/>
      <c r="N697" s="1307"/>
      <c r="O697" s="1308"/>
      <c r="P697" s="1308"/>
      <c r="Q697" s="1308"/>
      <c r="R697" s="1308"/>
      <c r="S697" s="1317"/>
      <c r="T697" s="1317" t="str">
        <f t="shared" si="15"/>
        <v>AL FURJAN STAR BUILDING</v>
      </c>
      <c r="U697" s="1308" t="str">
        <f t="shared" si="16"/>
        <v>V385</v>
      </c>
      <c r="V697" s="1308"/>
      <c r="W697" s="1308"/>
      <c r="X697" s="1308"/>
      <c r="Y697" s="1308"/>
      <c r="Z697" s="1308"/>
      <c r="AA697" s="1308"/>
    </row>
    <row r="698" spans="1:27">
      <c r="A698" s="1370" t="s">
        <v>173</v>
      </c>
      <c r="B698" s="1371" t="s">
        <v>167</v>
      </c>
      <c r="C698" s="1366"/>
      <c r="D698" s="1366"/>
      <c r="E698" s="1367"/>
      <c r="F698" s="1299"/>
      <c r="G698" s="1309"/>
      <c r="H698" s="1306" t="s">
        <v>2785</v>
      </c>
      <c r="I698" s="1307" t="s">
        <v>11</v>
      </c>
      <c r="J698" s="1307" t="s">
        <v>2816</v>
      </c>
      <c r="K698" s="1307" t="s">
        <v>2817</v>
      </c>
      <c r="L698" s="1307"/>
      <c r="M698" s="1307"/>
      <c r="N698" s="1307"/>
      <c r="O698" s="1308" t="s">
        <v>210</v>
      </c>
      <c r="P698" s="1308"/>
      <c r="Q698" s="1308"/>
      <c r="R698" s="1308"/>
      <c r="S698" s="1317"/>
      <c r="T698" s="1317" t="str">
        <f t="shared" si="15"/>
        <v>BAB AL TABREED A/C UNITS FIX.CONT</v>
      </c>
      <c r="U698" s="1308" t="str">
        <f t="shared" si="16"/>
        <v>V386</v>
      </c>
      <c r="V698" s="1308"/>
      <c r="W698" s="1308"/>
      <c r="X698" s="1308"/>
      <c r="Y698" s="1308"/>
      <c r="Z698" s="1308"/>
      <c r="AA698" s="1308"/>
    </row>
    <row r="699" spans="1:27">
      <c r="A699" s="1370" t="s">
        <v>2712</v>
      </c>
      <c r="B699" s="1371" t="s">
        <v>2713</v>
      </c>
      <c r="C699" s="1366"/>
      <c r="D699" s="1366"/>
      <c r="E699" s="1367"/>
      <c r="F699" s="1299"/>
      <c r="G699" s="1309"/>
      <c r="H699" s="1306"/>
      <c r="I699" s="1307"/>
      <c r="J699" s="1307"/>
      <c r="K699" s="1307"/>
      <c r="L699" s="1307"/>
      <c r="M699" s="1307"/>
      <c r="N699" s="1307"/>
      <c r="O699" s="1308"/>
      <c r="P699" s="1308"/>
      <c r="Q699" s="1308"/>
      <c r="R699" s="1308"/>
      <c r="S699" s="1317"/>
      <c r="T699" s="1317" t="str">
        <f t="shared" si="15"/>
        <v>AL JALAL TRADING EST.</v>
      </c>
      <c r="U699" s="1308" t="str">
        <f t="shared" si="16"/>
        <v>V387</v>
      </c>
      <c r="V699" s="1308"/>
      <c r="W699" s="1308"/>
      <c r="X699" s="1308"/>
      <c r="Y699" s="1308"/>
      <c r="Z699" s="1308"/>
      <c r="AA699" s="1308"/>
    </row>
    <row r="700" spans="1:27">
      <c r="A700" s="1370" t="s">
        <v>2714</v>
      </c>
      <c r="B700" s="1371" t="s">
        <v>2715</v>
      </c>
      <c r="C700" s="1366"/>
      <c r="D700" s="1366"/>
      <c r="E700" s="1367"/>
      <c r="F700" s="1299"/>
      <c r="G700" s="1309"/>
      <c r="H700" s="1306"/>
      <c r="I700" s="1307"/>
      <c r="J700" s="1307"/>
      <c r="K700" s="1307"/>
      <c r="L700" s="1307"/>
      <c r="M700" s="1307"/>
      <c r="N700" s="1307"/>
      <c r="O700" s="1308"/>
      <c r="P700" s="1308"/>
      <c r="Q700" s="1308"/>
      <c r="R700" s="1308"/>
      <c r="S700" s="1317"/>
      <c r="T700" s="1317" t="str">
        <f t="shared" si="15"/>
        <v>PANACHE BUILDING TRADING</v>
      </c>
      <c r="U700" s="1308" t="str">
        <f t="shared" si="16"/>
        <v>V388</v>
      </c>
      <c r="V700" s="1308"/>
      <c r="W700" s="1308"/>
      <c r="X700" s="1308"/>
      <c r="Y700" s="1308"/>
      <c r="Z700" s="1308"/>
      <c r="AA700" s="1308"/>
    </row>
    <row r="701" spans="1:27">
      <c r="A701" s="1370" t="s">
        <v>2716</v>
      </c>
      <c r="B701" s="1371" t="s">
        <v>2717</v>
      </c>
      <c r="C701" s="1366"/>
      <c r="D701" s="1366"/>
      <c r="E701" s="1367"/>
      <c r="F701" s="1299"/>
      <c r="G701" s="1309"/>
      <c r="H701" s="1306"/>
      <c r="I701" s="1307"/>
      <c r="J701" s="1307"/>
      <c r="K701" s="1307"/>
      <c r="L701" s="1307"/>
      <c r="M701" s="1307"/>
      <c r="N701" s="1307"/>
      <c r="O701" s="1308"/>
      <c r="P701" s="1308"/>
      <c r="Q701" s="1308"/>
      <c r="R701" s="1308"/>
      <c r="S701" s="1317"/>
      <c r="T701" s="1317" t="str">
        <f t="shared" si="15"/>
        <v>DHAW AL NAJAM</v>
      </c>
      <c r="U701" s="1308" t="str">
        <f t="shared" si="16"/>
        <v>V389</v>
      </c>
      <c r="V701" s="1308"/>
      <c r="W701" s="1308"/>
      <c r="X701" s="1308"/>
      <c r="Y701" s="1308"/>
      <c r="Z701" s="1308"/>
      <c r="AA701" s="1308"/>
    </row>
    <row r="702" spans="1:27">
      <c r="A702" s="1370" t="s">
        <v>2718</v>
      </c>
      <c r="B702" s="1371" t="s">
        <v>2719</v>
      </c>
      <c r="C702" s="1366"/>
      <c r="D702" s="1366"/>
      <c r="E702" s="1367"/>
      <c r="F702" s="1299"/>
      <c r="G702" s="1309"/>
      <c r="H702" s="1306"/>
      <c r="I702" s="1307"/>
      <c r="J702" s="1307"/>
      <c r="K702" s="1307"/>
      <c r="L702" s="1307"/>
      <c r="M702" s="1307"/>
      <c r="N702" s="1307"/>
      <c r="O702" s="1308"/>
      <c r="P702" s="1308"/>
      <c r="Q702" s="1308"/>
      <c r="R702" s="1308"/>
      <c r="S702" s="1317"/>
      <c r="T702" s="1317" t="str">
        <f t="shared" si="15"/>
        <v>HAMID PATAWARY AIRCONDITION</v>
      </c>
      <c r="U702" s="1308" t="str">
        <f t="shared" si="16"/>
        <v>V390</v>
      </c>
      <c r="V702" s="1308"/>
      <c r="W702" s="1308"/>
      <c r="X702" s="1308"/>
      <c r="Y702" s="1308"/>
      <c r="Z702" s="1308"/>
      <c r="AA702" s="1308"/>
    </row>
    <row r="703" spans="1:27">
      <c r="A703" s="1370" t="s">
        <v>2720</v>
      </c>
      <c r="B703" s="1371" t="s">
        <v>2721</v>
      </c>
      <c r="C703" s="1366"/>
      <c r="D703" s="1366"/>
      <c r="E703" s="1367"/>
      <c r="F703" s="1299"/>
      <c r="G703" s="1309"/>
      <c r="H703" s="1306"/>
      <c r="I703" s="1307"/>
      <c r="J703" s="1307"/>
      <c r="K703" s="1307"/>
      <c r="L703" s="1307"/>
      <c r="M703" s="1307"/>
      <c r="N703" s="1307"/>
      <c r="O703" s="1308"/>
      <c r="P703" s="1308"/>
      <c r="Q703" s="1308"/>
      <c r="R703" s="1308"/>
      <c r="S703" s="1317"/>
      <c r="T703" s="1317" t="str">
        <f t="shared" si="15"/>
        <v>TECNALCO TECHNICAL REF.</v>
      </c>
      <c r="U703" s="1308" t="str">
        <f t="shared" si="16"/>
        <v>V391</v>
      </c>
      <c r="V703" s="1308"/>
      <c r="W703" s="1308"/>
      <c r="X703" s="1308"/>
      <c r="Y703" s="1308"/>
      <c r="Z703" s="1308"/>
      <c r="AA703" s="1308"/>
    </row>
    <row r="704" spans="1:27">
      <c r="A704" s="1370" t="s">
        <v>2722</v>
      </c>
      <c r="B704" s="1371" t="s">
        <v>2723</v>
      </c>
      <c r="C704" s="1366"/>
      <c r="D704" s="1366"/>
      <c r="E704" s="1367"/>
      <c r="F704" s="1299"/>
      <c r="G704" s="1309"/>
      <c r="H704" s="1306"/>
      <c r="I704" s="1307"/>
      <c r="J704" s="1307"/>
      <c r="K704" s="1307"/>
      <c r="L704" s="1307"/>
      <c r="M704" s="1307"/>
      <c r="N704" s="1307"/>
      <c r="O704" s="1308"/>
      <c r="P704" s="1308"/>
      <c r="Q704" s="1308"/>
      <c r="R704" s="1308"/>
      <c r="S704" s="1317"/>
      <c r="T704" s="1317" t="str">
        <f t="shared" si="15"/>
        <v>BETTER CHOICE</v>
      </c>
      <c r="U704" s="1308" t="str">
        <f t="shared" si="16"/>
        <v>V392</v>
      </c>
      <c r="V704" s="1308"/>
      <c r="W704" s="1308"/>
      <c r="X704" s="1308"/>
      <c r="Y704" s="1308"/>
      <c r="Z704" s="1308"/>
      <c r="AA704" s="1308"/>
    </row>
    <row r="705" spans="1:27">
      <c r="A705" s="1370" t="s">
        <v>2724</v>
      </c>
      <c r="B705" s="1371" t="s">
        <v>2725</v>
      </c>
      <c r="C705" s="1366"/>
      <c r="D705" s="1366"/>
      <c r="E705" s="1367"/>
      <c r="F705" s="1299"/>
      <c r="G705" s="1309"/>
      <c r="H705" s="1306"/>
      <c r="I705" s="1307"/>
      <c r="J705" s="1307"/>
      <c r="K705" s="1307"/>
      <c r="L705" s="1307"/>
      <c r="M705" s="1307"/>
      <c r="N705" s="1307"/>
      <c r="O705" s="1308"/>
      <c r="P705" s="1308"/>
      <c r="Q705" s="1308"/>
      <c r="R705" s="1308"/>
      <c r="S705" s="1317"/>
      <c r="T705" s="1317" t="str">
        <f t="shared" si="15"/>
        <v>SMART CHOICE BUILDING MATERIALS</v>
      </c>
      <c r="U705" s="1308" t="str">
        <f t="shared" si="16"/>
        <v>V393</v>
      </c>
      <c r="V705" s="1308"/>
      <c r="W705" s="1308"/>
      <c r="X705" s="1308"/>
      <c r="Y705" s="1308"/>
      <c r="Z705" s="1308"/>
      <c r="AA705" s="1308"/>
    </row>
    <row r="706" spans="1:27">
      <c r="A706" s="1370" t="s">
        <v>2726</v>
      </c>
      <c r="B706" s="1371" t="s">
        <v>2727</v>
      </c>
      <c r="C706" s="1366"/>
      <c r="D706" s="1366"/>
      <c r="E706" s="1367"/>
      <c r="F706" s="1299"/>
      <c r="G706" s="1309"/>
      <c r="H706" s="1306"/>
      <c r="I706" s="1307"/>
      <c r="J706" s="1307"/>
      <c r="K706" s="1307"/>
      <c r="L706" s="1307"/>
      <c r="M706" s="1307"/>
      <c r="N706" s="1307"/>
      <c r="O706" s="1308"/>
      <c r="P706" s="1308"/>
      <c r="Q706" s="1308"/>
      <c r="R706" s="1308"/>
      <c r="S706" s="1317"/>
      <c r="T706" s="1317" t="str">
        <f t="shared" si="15"/>
        <v>AL MOHALAB STEEL</v>
      </c>
      <c r="U706" s="1308" t="str">
        <f t="shared" si="16"/>
        <v>V394</v>
      </c>
      <c r="V706" s="1308"/>
      <c r="W706" s="1308"/>
      <c r="X706" s="1308"/>
      <c r="Y706" s="1308"/>
      <c r="Z706" s="1308"/>
      <c r="AA706" s="1308"/>
    </row>
    <row r="707" spans="1:27">
      <c r="A707" s="1370" t="s">
        <v>174</v>
      </c>
      <c r="B707" s="1371" t="s">
        <v>2728</v>
      </c>
      <c r="C707" s="1366"/>
      <c r="D707" s="1366"/>
      <c r="E707" s="1367"/>
      <c r="F707" s="1299"/>
      <c r="G707" s="1309"/>
      <c r="H707" s="1306"/>
      <c r="I707" s="1307"/>
      <c r="J707" s="1307"/>
      <c r="K707" s="1307"/>
      <c r="L707" s="1307"/>
      <c r="M707" s="1307"/>
      <c r="N707" s="1307"/>
      <c r="O707" s="1308"/>
      <c r="P707" s="1308"/>
      <c r="Q707" s="1308"/>
      <c r="R707" s="1308"/>
      <c r="S707" s="1317"/>
      <c r="T707" s="1317" t="str">
        <f t="shared" si="15"/>
        <v>CLIMATE MASTER AC TRADING</v>
      </c>
      <c r="U707" s="1308" t="str">
        <f t="shared" si="16"/>
        <v>V395</v>
      </c>
      <c r="V707" s="1308"/>
      <c r="W707" s="1308"/>
      <c r="X707" s="1308"/>
      <c r="Y707" s="1308"/>
      <c r="Z707" s="1308"/>
      <c r="AA707" s="1308"/>
    </row>
    <row r="708" spans="1:27">
      <c r="A708" s="1370" t="s">
        <v>2729</v>
      </c>
      <c r="B708" s="1371" t="s">
        <v>2730</v>
      </c>
      <c r="C708" s="1366"/>
      <c r="D708" s="1366"/>
      <c r="E708" s="1367"/>
      <c r="F708" s="1299"/>
      <c r="G708" s="1309"/>
      <c r="H708" s="1306"/>
      <c r="I708" s="1307"/>
      <c r="J708" s="1307"/>
      <c r="K708" s="1307"/>
      <c r="L708" s="1307"/>
      <c r="M708" s="1307"/>
      <c r="N708" s="1307"/>
      <c r="O708" s="1308"/>
      <c r="P708" s="1308"/>
      <c r="Q708" s="1308"/>
      <c r="R708" s="1308"/>
      <c r="S708" s="1317"/>
      <c r="T708" s="1317" t="str">
        <f t="shared" si="15"/>
        <v>SAFA AL WADI TECHNICAL SERVICES</v>
      </c>
      <c r="U708" s="1308" t="str">
        <f t="shared" si="16"/>
        <v>V396</v>
      </c>
      <c r="V708" s="1308"/>
      <c r="W708" s="1308"/>
      <c r="X708" s="1308"/>
      <c r="Y708" s="1308"/>
      <c r="Z708" s="1308"/>
      <c r="AA708" s="1308"/>
    </row>
    <row r="709" spans="1:27">
      <c r="A709" s="1370" t="s">
        <v>2731</v>
      </c>
      <c r="B709" s="1371" t="s">
        <v>2732</v>
      </c>
      <c r="C709" s="1366"/>
      <c r="D709" s="1366"/>
      <c r="E709" s="1367"/>
      <c r="F709" s="1299"/>
      <c r="G709" s="1309"/>
      <c r="H709" s="1306"/>
      <c r="I709" s="1307"/>
      <c r="J709" s="1307"/>
      <c r="K709" s="1307"/>
      <c r="L709" s="1307"/>
      <c r="M709" s="1307"/>
      <c r="N709" s="1307"/>
      <c r="O709" s="1308"/>
      <c r="P709" s="1308"/>
      <c r="Q709" s="1308"/>
      <c r="R709" s="1308"/>
      <c r="S709" s="1317"/>
      <c r="T709" s="1317" t="str">
        <f t="shared" si="15"/>
        <v>TUBA METAL COATING</v>
      </c>
      <c r="U709" s="1308" t="str">
        <f t="shared" si="16"/>
        <v>V397</v>
      </c>
      <c r="V709" s="1308"/>
      <c r="W709" s="1308"/>
      <c r="X709" s="1308"/>
      <c r="Y709" s="1308"/>
      <c r="Z709" s="1308"/>
      <c r="AA709" s="1308"/>
    </row>
    <row r="710" spans="1:27">
      <c r="A710" s="1370" t="s">
        <v>2733</v>
      </c>
      <c r="B710" s="1371" t="s">
        <v>2734</v>
      </c>
      <c r="C710" s="1366"/>
      <c r="D710" s="1366"/>
      <c r="E710" s="1367"/>
      <c r="F710" s="1299"/>
      <c r="G710" s="1309"/>
      <c r="H710" s="1306"/>
      <c r="I710" s="1307"/>
      <c r="J710" s="1307"/>
      <c r="K710" s="1307"/>
      <c r="L710" s="1307"/>
      <c r="M710" s="1307"/>
      <c r="N710" s="1307"/>
      <c r="O710" s="1308"/>
      <c r="P710" s="1308"/>
      <c r="Q710" s="1308"/>
      <c r="R710" s="1308"/>
      <c r="S710" s="1317"/>
      <c r="T710" s="1317" t="str">
        <f t="shared" si="15"/>
        <v>SKYTOUCH BUILDING MATEIALS</v>
      </c>
      <c r="U710" s="1308" t="str">
        <f t="shared" si="16"/>
        <v>V398</v>
      </c>
      <c r="V710" s="1308"/>
      <c r="W710" s="1308"/>
      <c r="X710" s="1308"/>
      <c r="Y710" s="1308"/>
      <c r="Z710" s="1308"/>
      <c r="AA710" s="1308"/>
    </row>
    <row r="711" spans="1:27">
      <c r="A711" s="1370" t="s">
        <v>2735</v>
      </c>
      <c r="B711" s="1371" t="s">
        <v>2736</v>
      </c>
      <c r="C711" s="1366"/>
      <c r="D711" s="1366"/>
      <c r="E711" s="1367"/>
      <c r="F711" s="1299"/>
      <c r="G711" s="1309"/>
      <c r="H711" s="1306"/>
      <c r="I711" s="1307"/>
      <c r="J711" s="1307"/>
      <c r="K711" s="1307"/>
      <c r="L711" s="1307"/>
      <c r="M711" s="1307"/>
      <c r="N711" s="1307"/>
      <c r="O711" s="1308"/>
      <c r="P711" s="1308"/>
      <c r="Q711" s="1308"/>
      <c r="R711" s="1308"/>
      <c r="S711" s="1317"/>
      <c r="T711" s="1317" t="str">
        <f t="shared" si="15"/>
        <v>MEDIA GENERAL TRADING LLC</v>
      </c>
      <c r="U711" s="1308" t="str">
        <f t="shared" si="16"/>
        <v>V399</v>
      </c>
      <c r="V711" s="1308"/>
      <c r="W711" s="1308"/>
      <c r="X711" s="1308"/>
      <c r="Y711" s="1308"/>
      <c r="Z711" s="1308"/>
      <c r="AA711" s="1308"/>
    </row>
    <row r="712" spans="1:27">
      <c r="A712" s="1370" t="s">
        <v>2737</v>
      </c>
      <c r="B712" s="1371" t="s">
        <v>2738</v>
      </c>
      <c r="C712" s="1366"/>
      <c r="D712" s="1366"/>
      <c r="E712" s="1367"/>
      <c r="F712" s="1299"/>
      <c r="G712" s="1309"/>
      <c r="H712" s="1306"/>
      <c r="I712" s="1307"/>
      <c r="J712" s="1307"/>
      <c r="K712" s="1307"/>
      <c r="L712" s="1307"/>
      <c r="M712" s="1307"/>
      <c r="N712" s="1307"/>
      <c r="O712" s="1308"/>
      <c r="P712" s="1308"/>
      <c r="Q712" s="1308"/>
      <c r="R712" s="1308"/>
      <c r="S712" s="1317"/>
      <c r="T712" s="1317" t="str">
        <f t="shared" si="15"/>
        <v>BUILD MART</v>
      </c>
      <c r="U712" s="1308" t="str">
        <f t="shared" si="16"/>
        <v>V400</v>
      </c>
      <c r="V712" s="1308"/>
      <c r="W712" s="1308"/>
      <c r="X712" s="1308"/>
      <c r="Y712" s="1308"/>
      <c r="Z712" s="1308"/>
      <c r="AA712" s="1308"/>
    </row>
    <row r="713" spans="1:27">
      <c r="A713" s="1370" t="s">
        <v>2739</v>
      </c>
      <c r="B713" s="1371" t="s">
        <v>2740</v>
      </c>
      <c r="C713" s="1366"/>
      <c r="D713" s="1366"/>
      <c r="E713" s="1367"/>
      <c r="F713" s="1299"/>
      <c r="G713" s="1309"/>
      <c r="H713" s="1306"/>
      <c r="I713" s="1307"/>
      <c r="J713" s="1307"/>
      <c r="K713" s="1307"/>
      <c r="L713" s="1307"/>
      <c r="M713" s="1307"/>
      <c r="N713" s="1307"/>
      <c r="O713" s="1308"/>
      <c r="P713" s="1308"/>
      <c r="Q713" s="1308"/>
      <c r="R713" s="1308"/>
      <c r="S713" s="1317"/>
      <c r="T713" s="1317" t="str">
        <f t="shared" si="15"/>
        <v>DESERT MOON STEEL TRADING</v>
      </c>
      <c r="U713" s="1308" t="str">
        <f t="shared" si="16"/>
        <v>V401</v>
      </c>
      <c r="V713" s="1308"/>
      <c r="W713" s="1308">
        <f>4300*5%</f>
        <v>215</v>
      </c>
      <c r="X713" s="1308"/>
      <c r="Y713" s="1308"/>
      <c r="Z713" s="1308"/>
      <c r="AA713" s="1308"/>
    </row>
    <row r="714" spans="1:27">
      <c r="A714" s="1370" t="s">
        <v>2741</v>
      </c>
      <c r="B714" s="1371" t="s">
        <v>2742</v>
      </c>
      <c r="C714" s="1366"/>
      <c r="D714" s="1366"/>
      <c r="E714" s="1367"/>
      <c r="F714" s="1299"/>
      <c r="G714" s="1309"/>
      <c r="H714" s="1306"/>
      <c r="I714" s="1307"/>
      <c r="J714" s="1307"/>
      <c r="K714" s="1307"/>
      <c r="L714" s="1307"/>
      <c r="M714" s="1307"/>
      <c r="N714" s="1307"/>
      <c r="O714" s="1308"/>
      <c r="P714" s="1308"/>
      <c r="Q714" s="1308"/>
      <c r="R714" s="1308"/>
      <c r="S714" s="1317"/>
      <c r="T714" s="1317" t="str">
        <f t="shared" si="15"/>
        <v>AL NAJAF GENERATORS RENTAL</v>
      </c>
      <c r="U714" s="1308" t="str">
        <f t="shared" si="16"/>
        <v>V402</v>
      </c>
      <c r="V714" s="1308"/>
      <c r="W714" s="1308">
        <f>W713-4300</f>
        <v>-4085</v>
      </c>
      <c r="X714" s="1308"/>
      <c r="Y714" s="1308"/>
      <c r="Z714" s="1308"/>
      <c r="AA714" s="1308"/>
    </row>
    <row r="715" spans="1:27">
      <c r="A715" s="1370" t="s">
        <v>2743</v>
      </c>
      <c r="B715" s="1371" t="s">
        <v>2744</v>
      </c>
      <c r="C715" s="1366"/>
      <c r="D715" s="1366"/>
      <c r="E715" s="1367"/>
      <c r="F715" s="1299"/>
      <c r="G715" s="1309"/>
      <c r="H715" s="1306"/>
      <c r="I715" s="1307"/>
      <c r="J715" s="1307"/>
      <c r="K715" s="1307"/>
      <c r="L715" s="1307"/>
      <c r="M715" s="1307"/>
      <c r="N715" s="1307"/>
      <c r="O715" s="1308"/>
      <c r="P715" s="1308"/>
      <c r="Q715" s="1308"/>
      <c r="R715" s="1308"/>
      <c r="S715" s="1317"/>
      <c r="T715" s="1317" t="str">
        <f t="shared" si="15"/>
        <v>HIRA INDUSTRIES</v>
      </c>
      <c r="U715" s="1308" t="str">
        <f t="shared" si="16"/>
        <v>V403</v>
      </c>
      <c r="V715" s="1308"/>
      <c r="W715" s="1308"/>
      <c r="X715" s="1308"/>
      <c r="Y715" s="1308"/>
      <c r="Z715" s="1308"/>
      <c r="AA715" s="1308"/>
    </row>
    <row r="716" spans="1:27">
      <c r="A716" s="1370" t="s">
        <v>2745</v>
      </c>
      <c r="B716" s="1371" t="s">
        <v>2746</v>
      </c>
      <c r="C716" s="1366"/>
      <c r="D716" s="1366"/>
      <c r="E716" s="1367"/>
      <c r="F716" s="1299"/>
      <c r="G716" s="1309"/>
      <c r="H716" s="1306"/>
      <c r="I716" s="1307"/>
      <c r="J716" s="1307"/>
      <c r="K716" s="1307"/>
      <c r="L716" s="1307"/>
      <c r="M716" s="1307"/>
      <c r="N716" s="1307"/>
      <c r="O716" s="1308"/>
      <c r="P716" s="1308"/>
      <c r="Q716" s="1308"/>
      <c r="R716" s="1308"/>
      <c r="S716" s="1317"/>
      <c r="T716" s="1317" t="str">
        <f t="shared" si="15"/>
        <v>DUBAI INDUSTRIAL GASES</v>
      </c>
      <c r="U716" s="1308" t="str">
        <f t="shared" si="16"/>
        <v>V404</v>
      </c>
      <c r="V716" s="1308"/>
      <c r="W716" s="1308"/>
      <c r="X716" s="1308"/>
      <c r="Y716" s="1308"/>
      <c r="Z716" s="1308"/>
      <c r="AA716" s="1308"/>
    </row>
    <row r="717" spans="1:27">
      <c r="A717" s="1370" t="s">
        <v>2747</v>
      </c>
      <c r="B717" s="1371" t="s">
        <v>2748</v>
      </c>
      <c r="C717" s="1366"/>
      <c r="D717" s="1366"/>
      <c r="E717" s="1367"/>
      <c r="F717" s="1299"/>
      <c r="G717" s="1309"/>
      <c r="H717" s="1306"/>
      <c r="I717" s="1307"/>
      <c r="J717" s="1307"/>
      <c r="K717" s="1307"/>
      <c r="L717" s="1307"/>
      <c r="M717" s="1307"/>
      <c r="N717" s="1307"/>
      <c r="O717" s="1308"/>
      <c r="P717" s="1308"/>
      <c r="Q717" s="1308"/>
      <c r="R717" s="1308"/>
      <c r="S717" s="1317"/>
      <c r="T717" s="1317" t="str">
        <f t="shared" si="15"/>
        <v>ALTHAF HUSSAIN KURBAN</v>
      </c>
      <c r="U717" s="1308" t="str">
        <f t="shared" si="16"/>
        <v>V405</v>
      </c>
      <c r="V717" s="1308"/>
      <c r="W717" s="1308"/>
      <c r="X717" s="1308"/>
      <c r="Y717" s="1308"/>
      <c r="Z717" s="1308"/>
      <c r="AA717" s="1308"/>
    </row>
    <row r="718" spans="1:27">
      <c r="A718" s="1370" t="s">
        <v>2749</v>
      </c>
      <c r="B718" s="1371" t="s">
        <v>2750</v>
      </c>
      <c r="C718" s="1366"/>
      <c r="D718" s="1366"/>
      <c r="E718" s="1367"/>
      <c r="F718" s="1299"/>
      <c r="G718" s="1309"/>
      <c r="H718" s="1306"/>
      <c r="I718" s="1307"/>
      <c r="J718" s="1307"/>
      <c r="K718" s="1307"/>
      <c r="L718" s="1307"/>
      <c r="M718" s="1307"/>
      <c r="N718" s="1307"/>
      <c r="O718" s="1308"/>
      <c r="P718" s="1308"/>
      <c r="Q718" s="1308"/>
      <c r="R718" s="1308"/>
      <c r="S718" s="1317"/>
      <c r="T718" s="1317" t="str">
        <f t="shared" si="15"/>
        <v>Adnan Yousef heavy rental</v>
      </c>
      <c r="U718" s="1308" t="str">
        <f t="shared" si="16"/>
        <v>V406</v>
      </c>
      <c r="V718" s="1308"/>
      <c r="W718" s="1308"/>
      <c r="X718" s="1308"/>
      <c r="Y718" s="1308"/>
      <c r="Z718" s="1308"/>
      <c r="AA718" s="1308"/>
    </row>
    <row r="719" spans="1:27">
      <c r="A719" s="1370" t="s">
        <v>2751</v>
      </c>
      <c r="B719" s="1371" t="s">
        <v>2752</v>
      </c>
      <c r="C719" s="1366"/>
      <c r="D719" s="1366"/>
      <c r="E719" s="1367"/>
      <c r="F719" s="1299"/>
      <c r="G719" s="1309"/>
      <c r="H719" s="1306"/>
      <c r="I719" s="1307"/>
      <c r="J719" s="1307"/>
      <c r="K719" s="1307"/>
      <c r="L719" s="1307"/>
      <c r="M719" s="1307"/>
      <c r="N719" s="1307"/>
      <c r="O719" s="1308"/>
      <c r="P719" s="1308"/>
      <c r="Q719" s="1308"/>
      <c r="R719" s="1308"/>
      <c r="S719" s="1317"/>
      <c r="T719" s="1317" t="str">
        <f t="shared" si="15"/>
        <v>al tasmeem al asari</v>
      </c>
      <c r="U719" s="1308" t="str">
        <f t="shared" si="16"/>
        <v>V407</v>
      </c>
      <c r="V719" s="1308"/>
      <c r="W719" s="1308"/>
      <c r="X719" s="1308"/>
      <c r="Y719" s="1308"/>
      <c r="Z719" s="1308"/>
      <c r="AA719" s="1308"/>
    </row>
    <row r="720" spans="1:27">
      <c r="A720" s="1370" t="s">
        <v>2753</v>
      </c>
      <c r="B720" s="1371" t="s">
        <v>2754</v>
      </c>
      <c r="C720" s="1366"/>
      <c r="D720" s="1366"/>
      <c r="E720" s="1367"/>
      <c r="F720" s="1299"/>
      <c r="G720" s="1309"/>
      <c r="H720" s="1306"/>
      <c r="I720" s="1307"/>
      <c r="J720" s="1307"/>
      <c r="K720" s="1307"/>
      <c r="L720" s="1307"/>
      <c r="M720" s="1307"/>
      <c r="N720" s="1307"/>
      <c r="O720" s="1308"/>
      <c r="P720" s="1308"/>
      <c r="Q720" s="1308"/>
      <c r="R720" s="1308"/>
      <c r="S720" s="1317"/>
      <c r="T720" s="1317" t="str">
        <f t="shared" si="15"/>
        <v>SYED QAISAR TRANSPORT L.L.C</v>
      </c>
      <c r="U720" s="1308" t="str">
        <f t="shared" si="16"/>
        <v>V408</v>
      </c>
      <c r="V720" s="1308"/>
      <c r="W720" s="1308"/>
      <c r="X720" s="1308"/>
      <c r="Y720" s="1308"/>
      <c r="Z720" s="1308"/>
      <c r="AA720" s="1308"/>
    </row>
    <row r="721" spans="1:27">
      <c r="A721" s="1370" t="s">
        <v>2755</v>
      </c>
      <c r="B721" s="1371" t="s">
        <v>2756</v>
      </c>
      <c r="C721" s="1366"/>
      <c r="D721" s="1366"/>
      <c r="E721" s="1367"/>
      <c r="F721" s="1299"/>
      <c r="G721" s="1309"/>
      <c r="H721" s="1306"/>
      <c r="I721" s="1307"/>
      <c r="J721" s="1307"/>
      <c r="K721" s="1307"/>
      <c r="L721" s="1307"/>
      <c r="M721" s="1307"/>
      <c r="N721" s="1307"/>
      <c r="O721" s="1308"/>
      <c r="P721" s="1308"/>
      <c r="Q721" s="1308"/>
      <c r="R721" s="1308"/>
      <c r="S721" s="1317"/>
      <c r="T721" s="1317" t="str">
        <f t="shared" si="15"/>
        <v>SIRAJCO INTERNATIONAL</v>
      </c>
      <c r="U721" s="1308" t="str">
        <f t="shared" si="16"/>
        <v>V409</v>
      </c>
      <c r="V721" s="1308"/>
      <c r="W721" s="1308"/>
      <c r="X721" s="1308"/>
      <c r="Y721" s="1308"/>
      <c r="Z721" s="1308"/>
      <c r="AA721" s="1308"/>
    </row>
    <row r="722" spans="1:27">
      <c r="A722" s="1370" t="s">
        <v>2757</v>
      </c>
      <c r="B722" s="1371" t="s">
        <v>2758</v>
      </c>
      <c r="C722" s="1366"/>
      <c r="D722" s="1366"/>
      <c r="E722" s="1367"/>
      <c r="F722" s="1299"/>
      <c r="G722" s="1309"/>
      <c r="H722" s="1306"/>
      <c r="I722" s="1307"/>
      <c r="J722" s="1307"/>
      <c r="K722" s="1307"/>
      <c r="L722" s="1307"/>
      <c r="M722" s="1307"/>
      <c r="N722" s="1307"/>
      <c r="O722" s="1308"/>
      <c r="P722" s="1308"/>
      <c r="Q722" s="1308"/>
      <c r="R722" s="1308"/>
      <c r="S722" s="1317"/>
      <c r="T722" s="1317" t="str">
        <f t="shared" si="15"/>
        <v>ZADJALI B.M.T</v>
      </c>
      <c r="U722" s="1308" t="str">
        <f t="shared" si="16"/>
        <v>V410</v>
      </c>
      <c r="V722" s="1308"/>
      <c r="W722" s="1308"/>
      <c r="X722" s="1308"/>
      <c r="Y722" s="1308"/>
      <c r="Z722" s="1308"/>
      <c r="AA722" s="1308"/>
    </row>
    <row r="723" spans="1:27">
      <c r="A723" s="1370" t="s">
        <v>2759</v>
      </c>
      <c r="B723" s="1371" t="s">
        <v>2760</v>
      </c>
      <c r="C723" s="1366"/>
      <c r="D723" s="1366"/>
      <c r="E723" s="1367"/>
      <c r="F723" s="1299"/>
      <c r="G723" s="1309"/>
      <c r="H723" s="1306"/>
      <c r="I723" s="1307"/>
      <c r="J723" s="1307"/>
      <c r="K723" s="1307"/>
      <c r="L723" s="1307"/>
      <c r="M723" s="1307"/>
      <c r="N723" s="1307"/>
      <c r="O723" s="1308"/>
      <c r="P723" s="1308"/>
      <c r="Q723" s="1308"/>
      <c r="R723" s="1308"/>
      <c r="S723" s="1317"/>
      <c r="T723" s="1317" t="str">
        <f t="shared" si="15"/>
        <v>HASSAN ALSHAMMAR</v>
      </c>
      <c r="U723" s="1308" t="str">
        <f t="shared" si="16"/>
        <v>V450</v>
      </c>
      <c r="V723" s="1308"/>
      <c r="W723" s="1308"/>
      <c r="X723" s="1308"/>
      <c r="Y723" s="1308"/>
      <c r="Z723" s="1308"/>
      <c r="AA723" s="1308"/>
    </row>
    <row r="724" spans="1:27">
      <c r="A724" s="1370" t="s">
        <v>2761</v>
      </c>
      <c r="B724" s="1371" t="s">
        <v>2762</v>
      </c>
      <c r="C724" s="1366"/>
      <c r="D724" s="1366"/>
      <c r="E724" s="1367"/>
      <c r="F724" s="1299"/>
      <c r="G724" s="1309"/>
      <c r="H724" s="1306"/>
      <c r="I724" s="1307"/>
      <c r="J724" s="1307"/>
      <c r="K724" s="1307"/>
      <c r="L724" s="1307"/>
      <c r="M724" s="1307"/>
      <c r="N724" s="1307"/>
      <c r="O724" s="1308"/>
      <c r="P724" s="1308"/>
      <c r="Q724" s="1308"/>
      <c r="R724" s="1308"/>
      <c r="S724" s="1317"/>
      <c r="T724" s="1317" t="str">
        <f t="shared" si="15"/>
        <v>HAIDER BLDG</v>
      </c>
      <c r="U724" s="1308" t="str">
        <f t="shared" si="16"/>
        <v>V451</v>
      </c>
      <c r="V724" s="1308"/>
      <c r="W724" s="1308"/>
      <c r="X724" s="1308"/>
      <c r="Y724" s="1308"/>
      <c r="Z724" s="1308"/>
      <c r="AA724" s="1308"/>
    </row>
    <row r="725" spans="1:27">
      <c r="A725" s="1370" t="s">
        <v>2763</v>
      </c>
      <c r="B725" s="1371" t="s">
        <v>2764</v>
      </c>
      <c r="C725" s="1366"/>
      <c r="D725" s="1366"/>
      <c r="E725" s="1367"/>
      <c r="F725" s="1299"/>
      <c r="G725" s="1309"/>
      <c r="H725" s="1306"/>
      <c r="I725" s="1307"/>
      <c r="J725" s="1307"/>
      <c r="K725" s="1307"/>
      <c r="L725" s="1307"/>
      <c r="M725" s="1307"/>
      <c r="N725" s="1307"/>
      <c r="O725" s="1308"/>
      <c r="P725" s="1308"/>
      <c r="Q725" s="1308"/>
      <c r="R725" s="1308"/>
      <c r="S725" s="1317"/>
      <c r="T725" s="1317" t="str">
        <f t="shared" si="15"/>
        <v>IRSHAD HUSSAIN</v>
      </c>
      <c r="U725" s="1308" t="str">
        <f t="shared" si="16"/>
        <v>V452</v>
      </c>
      <c r="V725" s="1308"/>
      <c r="W725" s="1308"/>
      <c r="X725" s="1308"/>
      <c r="Y725" s="1308"/>
      <c r="Z725" s="1308"/>
      <c r="AA725" s="1308"/>
    </row>
    <row r="726" spans="1:27">
      <c r="A726" s="1370" t="s">
        <v>2765</v>
      </c>
      <c r="B726" s="1371" t="s">
        <v>2766</v>
      </c>
      <c r="C726" s="1366"/>
      <c r="D726" s="1366"/>
      <c r="E726" s="1367"/>
      <c r="F726" s="1299"/>
      <c r="G726" s="1309"/>
      <c r="H726" s="1306"/>
      <c r="I726" s="1307"/>
      <c r="J726" s="1307"/>
      <c r="K726" s="1307"/>
      <c r="L726" s="1307"/>
      <c r="M726" s="1307"/>
      <c r="N726" s="1307"/>
      <c r="O726" s="1308"/>
      <c r="P726" s="1308"/>
      <c r="Q726" s="1308"/>
      <c r="R726" s="1308"/>
      <c r="S726" s="1317"/>
      <c r="T726" s="1317" t="str">
        <f t="shared" si="15"/>
        <v>Al Tameem A/C</v>
      </c>
      <c r="U726" s="1308" t="str">
        <f t="shared" si="16"/>
        <v>V453</v>
      </c>
      <c r="V726" s="1308"/>
      <c r="W726" s="1308"/>
      <c r="X726" s="1308"/>
      <c r="Y726" s="1308"/>
      <c r="Z726" s="1308"/>
      <c r="AA726" s="1308"/>
    </row>
    <row r="727" spans="1:27">
      <c r="A727" s="1370" t="s">
        <v>2767</v>
      </c>
      <c r="B727" s="1371" t="s">
        <v>2768</v>
      </c>
      <c r="C727" s="1366"/>
      <c r="D727" s="1366"/>
      <c r="E727" s="1367"/>
      <c r="F727" s="1299"/>
      <c r="G727" s="1309"/>
      <c r="H727" s="1306"/>
      <c r="I727" s="1307"/>
      <c r="J727" s="1307"/>
      <c r="K727" s="1307"/>
      <c r="L727" s="1307"/>
      <c r="M727" s="1307"/>
      <c r="N727" s="1307"/>
      <c r="O727" s="1308"/>
      <c r="P727" s="1308"/>
      <c r="Q727" s="1308"/>
      <c r="R727" s="1308"/>
      <c r="S727" s="1317"/>
      <c r="T727" s="1317" t="str">
        <f t="shared" si="15"/>
        <v>RASHED MEHMOOD</v>
      </c>
      <c r="U727" s="1308" t="str">
        <f t="shared" si="16"/>
        <v>V454</v>
      </c>
      <c r="V727" s="1308"/>
      <c r="W727" s="1308"/>
      <c r="X727" s="1308"/>
      <c r="Y727" s="1308"/>
      <c r="Z727" s="1308"/>
      <c r="AA727" s="1308"/>
    </row>
    <row r="728" spans="1:27">
      <c r="A728" s="1370" t="s">
        <v>2769</v>
      </c>
      <c r="B728" s="1371" t="s">
        <v>2770</v>
      </c>
      <c r="C728" s="1366"/>
      <c r="D728" s="1366"/>
      <c r="E728" s="1367"/>
      <c r="F728" s="1299"/>
      <c r="G728" s="1309"/>
      <c r="H728" s="1306"/>
      <c r="I728" s="1307"/>
      <c r="J728" s="1307"/>
      <c r="K728" s="1307"/>
      <c r="L728" s="1307"/>
      <c r="M728" s="1307"/>
      <c r="N728" s="1307"/>
      <c r="O728" s="1308"/>
      <c r="P728" s="1308"/>
      <c r="Q728" s="1308"/>
      <c r="R728" s="1308"/>
      <c r="S728" s="1317"/>
      <c r="T728" s="1317" t="str">
        <f t="shared" si="15"/>
        <v>CH.M.KAMRAN</v>
      </c>
      <c r="U728" s="1308" t="str">
        <f t="shared" si="16"/>
        <v>V455</v>
      </c>
      <c r="V728" s="1308"/>
      <c r="W728" s="1308"/>
      <c r="X728" s="1308"/>
      <c r="Y728" s="1308"/>
      <c r="Z728" s="1308"/>
      <c r="AA728" s="1308"/>
    </row>
    <row r="729" spans="1:27">
      <c r="A729" s="1370" t="s">
        <v>2771</v>
      </c>
      <c r="B729" s="1371" t="s">
        <v>2772</v>
      </c>
      <c r="C729" s="1366"/>
      <c r="D729" s="1366"/>
      <c r="E729" s="1367"/>
      <c r="F729" s="1299"/>
      <c r="G729" s="1309"/>
      <c r="H729" s="1306"/>
      <c r="I729" s="1307"/>
      <c r="J729" s="1307"/>
      <c r="K729" s="1307"/>
      <c r="L729" s="1307"/>
      <c r="M729" s="1307"/>
      <c r="N729" s="1307"/>
      <c r="O729" s="1308"/>
      <c r="P729" s="1308"/>
      <c r="Q729" s="1308"/>
      <c r="R729" s="1308"/>
      <c r="S729" s="1317"/>
      <c r="T729" s="1317" t="str">
        <f t="shared" si="15"/>
        <v>Public Vendors</v>
      </c>
      <c r="U729" s="1308" t="str">
        <f t="shared" si="16"/>
        <v>V456</v>
      </c>
      <c r="V729" s="1308"/>
      <c r="W729" s="1308"/>
      <c r="X729" s="1308"/>
      <c r="Y729" s="1308"/>
      <c r="Z729" s="1308"/>
      <c r="AA729" s="1308"/>
    </row>
    <row r="730" spans="1:27">
      <c r="A730" s="1370" t="s">
        <v>4892</v>
      </c>
      <c r="B730" s="1371" t="s">
        <v>4893</v>
      </c>
      <c r="C730" s="1366"/>
      <c r="D730" s="1366"/>
      <c r="E730" s="1367"/>
      <c r="F730" s="1299"/>
      <c r="G730" s="1309"/>
      <c r="H730" s="1306"/>
      <c r="I730" s="1307" t="s">
        <v>4895</v>
      </c>
      <c r="J730" s="1307" t="s">
        <v>4897</v>
      </c>
      <c r="K730" s="1307" t="s">
        <v>4894</v>
      </c>
      <c r="L730" s="1307"/>
      <c r="M730" s="1307"/>
      <c r="N730" s="1307" t="s">
        <v>4896</v>
      </c>
      <c r="O730" s="1308"/>
      <c r="P730" s="1308"/>
      <c r="Q730" s="1308"/>
      <c r="R730" s="1308"/>
      <c r="S730" s="1317"/>
      <c r="T730" s="1317" t="str">
        <f t="shared" si="15"/>
        <v>Winner AC  - Ducts</v>
      </c>
      <c r="U730" s="1308" t="str">
        <f t="shared" si="16"/>
        <v>V457</v>
      </c>
      <c r="V730" s="1308"/>
      <c r="W730" s="1308"/>
      <c r="X730" s="1308"/>
      <c r="Y730" s="1308"/>
      <c r="Z730" s="1308"/>
      <c r="AA730" s="1308"/>
    </row>
    <row r="731" spans="1:27">
      <c r="A731" s="1373" t="s">
        <v>5596</v>
      </c>
      <c r="B731" s="1374" t="s">
        <v>5595</v>
      </c>
      <c r="C731" s="1375"/>
      <c r="D731" s="1375"/>
      <c r="E731" s="1376"/>
      <c r="F731" s="1377"/>
      <c r="G731" s="1378"/>
      <c r="H731" s="1379"/>
      <c r="I731" s="1381" t="s">
        <v>5597</v>
      </c>
      <c r="J731" s="1588" t="s">
        <v>5598</v>
      </c>
      <c r="K731" s="1380"/>
      <c r="L731" s="1380"/>
      <c r="M731" s="1380"/>
      <c r="N731" s="1589" t="s">
        <v>5609</v>
      </c>
      <c r="O731" s="1381"/>
      <c r="P731" s="1381"/>
      <c r="Q731" s="1381"/>
      <c r="R731" s="1381"/>
      <c r="S731" s="1382"/>
      <c r="T731" s="1382"/>
      <c r="U731" s="1381"/>
      <c r="V731" s="1308"/>
      <c r="W731" s="1308"/>
      <c r="X731" s="1308"/>
      <c r="Y731" s="1308"/>
      <c r="Z731" s="1308"/>
      <c r="AA731" s="1308"/>
    </row>
    <row r="732" spans="1:27">
      <c r="A732" s="1353" t="s">
        <v>175</v>
      </c>
      <c r="B732" s="1353" t="s">
        <v>175</v>
      </c>
      <c r="C732" s="1355" t="s">
        <v>175</v>
      </c>
      <c r="D732" s="1355" t="s">
        <v>175</v>
      </c>
      <c r="E732" s="1355" t="s">
        <v>175</v>
      </c>
      <c r="F732" s="1353" t="s">
        <v>175</v>
      </c>
      <c r="G732" s="1353" t="s">
        <v>175</v>
      </c>
      <c r="H732" s="1353" t="s">
        <v>175</v>
      </c>
      <c r="I732" s="1355" t="s">
        <v>175</v>
      </c>
      <c r="J732" s="1355" t="s">
        <v>175</v>
      </c>
      <c r="K732" s="1355" t="s">
        <v>175</v>
      </c>
      <c r="L732" s="1355" t="s">
        <v>175</v>
      </c>
      <c r="M732" s="1355" t="s">
        <v>175</v>
      </c>
      <c r="N732" s="1355" t="s">
        <v>175</v>
      </c>
      <c r="O732" s="1355" t="s">
        <v>175</v>
      </c>
      <c r="P732" s="1355" t="s">
        <v>175</v>
      </c>
      <c r="Q732" s="1355" t="s">
        <v>175</v>
      </c>
      <c r="R732" s="1355" t="s">
        <v>175</v>
      </c>
      <c r="S732" s="1355" t="s">
        <v>175</v>
      </c>
      <c r="T732" s="1355" t="s">
        <v>175</v>
      </c>
      <c r="U732" s="1355" t="s">
        <v>175</v>
      </c>
      <c r="V732" s="1356"/>
      <c r="W732" s="1356"/>
      <c r="X732" s="1356"/>
      <c r="Y732" s="1356"/>
      <c r="Z732" s="1356"/>
      <c r="AA732" s="1356"/>
    </row>
    <row r="733" spans="1:27">
      <c r="B733" s="3"/>
      <c r="C733" s="1293"/>
      <c r="D733" s="1293"/>
      <c r="E733" s="1294"/>
      <c r="F733" s="1301"/>
      <c r="G733" s="4"/>
      <c r="H733" s="4"/>
      <c r="I733" s="1357"/>
      <c r="J733" s="1357"/>
      <c r="K733" s="1357"/>
      <c r="L733" s="1357"/>
      <c r="M733" s="1357"/>
      <c r="N733" s="1357"/>
      <c r="O733" s="1358"/>
      <c r="P733" s="1358"/>
      <c r="Q733" s="1358"/>
      <c r="R733" s="1358"/>
      <c r="S733" s="1359"/>
      <c r="T733" s="1359"/>
      <c r="U733" s="1360"/>
      <c r="V733" s="1358"/>
      <c r="W733" s="1358"/>
      <c r="X733" s="1358"/>
      <c r="Y733" s="1358"/>
      <c r="Z733" s="1358"/>
      <c r="AA733" s="1358"/>
    </row>
  </sheetData>
  <customSheetViews>
    <customSheetView guid="{CE7484BD-F9E2-4C03-AA0F-F7057FD8E6EF}" scale="85">
      <pane ySplit="4" topLeftCell="A99" activePane="bottomLeft" state="frozen"/>
      <selection pane="bottomLeft" activeCell="B118" sqref="B118"/>
      <pageMargins left="0.7" right="0.7" top="0.75" bottom="0.75" header="0.3" footer="0.3"/>
      <pageSetup orientation="portrait" r:id="rId1"/>
    </customSheetView>
  </customSheetViews>
  <phoneticPr fontId="36" type="noConversion"/>
  <hyperlinks>
    <hyperlink ref="N730" r:id="rId2" xr:uid="{BF8E8A49-A411-4B41-A431-FA18313BACA6}"/>
    <hyperlink ref="N731" r:id="rId3" xr:uid="{9FDC3BCB-BFF6-4F0B-B8BE-935E3B7B7B44}"/>
  </hyperlinks>
  <pageMargins left="0.7" right="0.7" top="0.75" bottom="0.75" header="0.3" footer="0.3"/>
  <pageSetup orientation="portrait" r:id="rId4"/>
  <customProperties>
    <customPr name="LastActive" r:id="rId5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7E804-EF0D-416E-9F8A-FE9C72F36AA6}">
  <sheetPr codeName="Sheet36">
    <tabColor theme="0" tint="-0.499984740745262"/>
  </sheetPr>
  <dimension ref="A1:AK115"/>
  <sheetViews>
    <sheetView zoomScale="70" zoomScaleNormal="70" zoomScaleSheetLayoutView="25" workbookViewId="0">
      <pane ySplit="8" topLeftCell="A54" activePane="bottomLeft" state="frozen"/>
      <selection activeCell="E30" sqref="E30"/>
      <selection pane="bottomLeft" activeCell="I49" sqref="I49"/>
    </sheetView>
  </sheetViews>
  <sheetFormatPr defaultRowHeight="15"/>
  <cols>
    <col min="1" max="1" width="5" customWidth="1"/>
    <col min="2" max="2" width="41.140625" customWidth="1"/>
    <col min="3" max="3" width="49" style="3" bestFit="1" customWidth="1"/>
    <col min="4" max="4" width="7.42578125" customWidth="1"/>
    <col min="5" max="5" width="28.140625" bestFit="1" customWidth="1"/>
    <col min="6" max="7" width="7.42578125" customWidth="1"/>
    <col min="8" max="8" width="11.7109375" customWidth="1"/>
    <col min="9" max="9" width="12.140625" customWidth="1"/>
    <col min="10" max="11" width="7.42578125" customWidth="1"/>
    <col min="12" max="12" width="10.140625" customWidth="1"/>
    <col min="13" max="15" width="6.85546875" customWidth="1"/>
    <col min="16" max="16" width="7.7109375" customWidth="1"/>
    <col min="17" max="28" width="8.7109375" customWidth="1"/>
    <col min="29" max="30" width="10.85546875" style="1696" customWidth="1"/>
    <col min="31" max="33" width="9.140625" style="1696"/>
    <col min="34" max="34" width="8.7109375" style="1696" customWidth="1"/>
    <col min="35" max="37" width="10.5703125" style="1696" customWidth="1"/>
  </cols>
  <sheetData>
    <row r="1" spans="1:37" ht="25.5" customHeight="1">
      <c r="A1" s="1342"/>
      <c r="B1" s="1342"/>
      <c r="C1" s="1705"/>
      <c r="D1" s="1342"/>
      <c r="E1" s="403"/>
      <c r="F1" s="403"/>
      <c r="G1" s="403"/>
      <c r="H1" s="403"/>
      <c r="I1" s="403"/>
      <c r="J1" s="403"/>
      <c r="K1" s="403"/>
      <c r="L1" s="403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1694"/>
      <c r="AD1" s="1694"/>
      <c r="AE1" s="1694"/>
      <c r="AF1" s="1694"/>
      <c r="AG1" s="1694"/>
      <c r="AH1" s="1694"/>
      <c r="AI1" s="1695"/>
      <c r="AJ1" s="1695"/>
      <c r="AK1" s="1695"/>
    </row>
    <row r="2" spans="1:37" ht="17.25" customHeight="1">
      <c r="A2" s="1687" t="s">
        <v>0</v>
      </c>
      <c r="B2" s="1687" t="s">
        <v>5958</v>
      </c>
      <c r="C2" s="1706" t="s">
        <v>5957</v>
      </c>
      <c r="D2" s="1687" t="s">
        <v>5959</v>
      </c>
      <c r="E2" s="1687" t="s">
        <v>27</v>
      </c>
      <c r="F2" s="1687" t="s">
        <v>344</v>
      </c>
      <c r="G2" s="1687" t="s">
        <v>345</v>
      </c>
      <c r="H2" s="1687" t="s">
        <v>5960</v>
      </c>
      <c r="I2" s="1687" t="s">
        <v>5961</v>
      </c>
      <c r="J2" s="1687" t="s">
        <v>5984</v>
      </c>
      <c r="K2" s="1687" t="s">
        <v>221</v>
      </c>
      <c r="L2" s="1687" t="s">
        <v>5962</v>
      </c>
      <c r="M2" s="1687" t="s">
        <v>5964</v>
      </c>
      <c r="N2" s="1687" t="s">
        <v>5965</v>
      </c>
      <c r="O2" s="1687" t="s">
        <v>5966</v>
      </c>
      <c r="P2" s="1687" t="s">
        <v>1326</v>
      </c>
      <c r="Q2" s="1687" t="s">
        <v>5972</v>
      </c>
      <c r="R2" s="1687" t="s">
        <v>5973</v>
      </c>
      <c r="S2" s="1687" t="s">
        <v>5974</v>
      </c>
      <c r="T2" s="1687" t="s">
        <v>5975</v>
      </c>
      <c r="U2" s="1687" t="s">
        <v>5976</v>
      </c>
      <c r="V2" s="1687" t="s">
        <v>5977</v>
      </c>
      <c r="W2" s="1687" t="s">
        <v>5978</v>
      </c>
      <c r="X2" s="1687" t="s">
        <v>5979</v>
      </c>
      <c r="Y2" s="1687" t="s">
        <v>5980</v>
      </c>
      <c r="Z2" s="1687" t="s">
        <v>5981</v>
      </c>
      <c r="AA2" s="1687" t="s">
        <v>5982</v>
      </c>
      <c r="AB2" s="1687" t="s">
        <v>5983</v>
      </c>
      <c r="AC2" s="1696" t="s">
        <v>5967</v>
      </c>
      <c r="AD2" s="1696" t="s">
        <v>5968</v>
      </c>
      <c r="AE2" s="1696" t="s">
        <v>5969</v>
      </c>
      <c r="AG2" s="1696" t="s">
        <v>5970</v>
      </c>
      <c r="AH2" s="1696" t="s">
        <v>5971</v>
      </c>
    </row>
    <row r="3" spans="1:37" ht="19.5" customHeight="1">
      <c r="A3" s="1688"/>
      <c r="B3" s="1688"/>
      <c r="C3" s="1707"/>
      <c r="D3" s="1688"/>
      <c r="E3" s="1688"/>
      <c r="F3" s="1688"/>
      <c r="G3" s="1688"/>
      <c r="H3" s="1688"/>
      <c r="I3" s="1688"/>
      <c r="J3" s="1688"/>
      <c r="K3" s="1688"/>
      <c r="L3" s="1688"/>
      <c r="M3" s="1688"/>
      <c r="N3" s="1688"/>
      <c r="O3" s="1688"/>
      <c r="P3" s="1688"/>
      <c r="Q3" s="1688"/>
      <c r="R3" s="1688"/>
      <c r="S3" s="1688"/>
      <c r="T3" s="1688"/>
      <c r="U3" s="1688"/>
      <c r="V3" s="1688"/>
      <c r="W3" s="1688"/>
      <c r="X3" s="1688"/>
      <c r="Y3" s="1688"/>
      <c r="Z3" s="1688"/>
      <c r="AA3" s="1688"/>
      <c r="AB3" s="1688"/>
      <c r="AC3" s="1697"/>
      <c r="AD3" s="1697"/>
      <c r="AE3" s="1697"/>
      <c r="AF3" s="1697"/>
      <c r="AG3" s="1697"/>
      <c r="AH3" s="1697"/>
      <c r="AI3" s="1697"/>
      <c r="AJ3" s="1697"/>
      <c r="AK3" s="1697"/>
    </row>
    <row r="4" spans="1:37" ht="19.5" customHeight="1">
      <c r="A4" s="1688"/>
      <c r="B4" s="1688"/>
      <c r="C4" s="1707"/>
      <c r="D4" s="1688"/>
      <c r="E4" s="1688"/>
      <c r="F4" s="1688"/>
      <c r="G4" s="1688"/>
      <c r="H4" s="1688"/>
      <c r="I4" s="1688"/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97"/>
      <c r="AD4" s="1697"/>
      <c r="AE4" s="1697"/>
      <c r="AF4" s="1697"/>
      <c r="AG4" s="1697"/>
      <c r="AH4" s="1697"/>
      <c r="AI4" s="1697"/>
      <c r="AJ4" s="1697"/>
      <c r="AK4" s="1697"/>
    </row>
    <row r="5" spans="1:37" ht="19.5" customHeight="1">
      <c r="A5" s="1688">
        <v>1</v>
      </c>
      <c r="B5" s="1688">
        <v>2</v>
      </c>
      <c r="C5" s="1707" t="s">
        <v>6164</v>
      </c>
      <c r="D5" s="1688">
        <v>4</v>
      </c>
      <c r="E5" s="1688">
        <v>5</v>
      </c>
      <c r="F5" s="1688">
        <v>6</v>
      </c>
      <c r="G5" s="1688">
        <v>7</v>
      </c>
      <c r="H5" s="1688">
        <v>8</v>
      </c>
      <c r="I5" s="1688">
        <v>9</v>
      </c>
      <c r="J5" s="1688">
        <v>10</v>
      </c>
      <c r="K5" s="1688">
        <v>11</v>
      </c>
      <c r="L5" s="1688">
        <v>12</v>
      </c>
      <c r="M5" s="1688">
        <v>13</v>
      </c>
      <c r="N5" s="1688">
        <v>14</v>
      </c>
      <c r="O5" s="1688">
        <v>15</v>
      </c>
      <c r="P5" s="1688">
        <v>16</v>
      </c>
      <c r="Q5" s="1688">
        <v>17</v>
      </c>
      <c r="R5" s="1688">
        <v>18</v>
      </c>
      <c r="S5" s="1688">
        <v>19</v>
      </c>
      <c r="T5" s="1688">
        <v>20</v>
      </c>
      <c r="U5" s="1688">
        <v>21</v>
      </c>
      <c r="V5" s="1688">
        <v>22</v>
      </c>
      <c r="W5" s="1688">
        <v>23</v>
      </c>
      <c r="X5" s="1688">
        <v>24</v>
      </c>
      <c r="Y5" s="1688">
        <v>25</v>
      </c>
      <c r="Z5" s="1688">
        <v>26</v>
      </c>
      <c r="AA5" s="1688">
        <v>27</v>
      </c>
      <c r="AB5" s="1688">
        <v>28</v>
      </c>
      <c r="AC5" s="1697"/>
      <c r="AD5" s="1697"/>
      <c r="AE5" s="1697"/>
      <c r="AF5" s="1697"/>
      <c r="AG5" s="1697"/>
      <c r="AH5" s="1697"/>
      <c r="AI5" s="1697"/>
      <c r="AJ5" s="1697"/>
      <c r="AK5" s="1697"/>
    </row>
    <row r="6" spans="1:37" ht="19.5" customHeight="1">
      <c r="A6" s="1688"/>
      <c r="B6" s="1688"/>
      <c r="C6" s="1707"/>
      <c r="D6" s="1688"/>
      <c r="E6" s="1688"/>
      <c r="F6" s="1688"/>
      <c r="G6" s="1688"/>
      <c r="H6" s="1688"/>
      <c r="I6" s="1688"/>
      <c r="J6" s="1688"/>
      <c r="K6" s="1688"/>
      <c r="L6" s="1688"/>
      <c r="M6" s="1688"/>
      <c r="N6" s="1688"/>
      <c r="O6" s="1688"/>
      <c r="P6" s="1688"/>
      <c r="Q6" s="1688"/>
      <c r="R6" s="1688"/>
      <c r="S6" s="1688"/>
      <c r="T6" s="1688"/>
      <c r="U6" s="1688"/>
      <c r="V6" s="1688"/>
      <c r="W6" s="1688"/>
      <c r="X6" s="1688"/>
      <c r="Y6" s="1688"/>
      <c r="Z6" s="1688"/>
      <c r="AA6" s="1688"/>
      <c r="AB6" s="1688"/>
      <c r="AC6" s="1697"/>
      <c r="AD6" s="1697"/>
      <c r="AE6" s="1697"/>
      <c r="AF6" s="1697"/>
      <c r="AG6" s="1697"/>
      <c r="AH6" s="1697"/>
      <c r="AI6" s="1697"/>
      <c r="AJ6" s="1697"/>
      <c r="AK6" s="1697"/>
    </row>
    <row r="7" spans="1:37" ht="19.5" customHeight="1" thickBot="1">
      <c r="A7" s="1688"/>
      <c r="B7" s="1688"/>
      <c r="C7" s="1707"/>
      <c r="D7" s="1688"/>
      <c r="E7" s="1688"/>
      <c r="F7" s="1688"/>
      <c r="G7" s="1688"/>
      <c r="H7" s="1688"/>
      <c r="I7" s="1688"/>
      <c r="J7" s="1688"/>
      <c r="K7" s="1688"/>
      <c r="L7" s="1688"/>
      <c r="M7" s="1688"/>
      <c r="N7" s="1688"/>
      <c r="O7" s="1688"/>
      <c r="P7" s="1688"/>
      <c r="Q7" s="1688"/>
      <c r="R7" s="1688"/>
      <c r="S7" s="1688"/>
      <c r="T7" s="1688"/>
      <c r="U7" s="1688"/>
      <c r="V7" s="1688"/>
      <c r="W7" s="1688"/>
      <c r="X7" s="1688"/>
      <c r="Y7" s="1688"/>
      <c r="Z7" s="1688"/>
      <c r="AA7" s="1688"/>
      <c r="AB7" s="1688"/>
      <c r="AC7" s="1697"/>
      <c r="AD7" s="1697"/>
      <c r="AE7" s="1697"/>
      <c r="AF7" s="1697"/>
      <c r="AG7" s="1697"/>
      <c r="AH7" s="1697"/>
      <c r="AI7" s="1697"/>
      <c r="AJ7" s="1697"/>
      <c r="AK7" s="1697"/>
    </row>
    <row r="8" spans="1:37" ht="42" customHeight="1" thickTop="1">
      <c r="A8" s="1423"/>
      <c r="B8" s="1423" t="s">
        <v>315</v>
      </c>
      <c r="C8" s="1708" t="s">
        <v>315</v>
      </c>
      <c r="D8" s="1421" t="s">
        <v>5152</v>
      </c>
      <c r="E8" s="1421" t="s">
        <v>27</v>
      </c>
      <c r="F8" s="1421" t="s">
        <v>344</v>
      </c>
      <c r="G8" s="1421" t="s">
        <v>345</v>
      </c>
      <c r="H8" s="1421" t="s">
        <v>363</v>
      </c>
      <c r="I8" s="1421" t="s">
        <v>364</v>
      </c>
      <c r="J8" s="1421" t="s">
        <v>222</v>
      </c>
      <c r="K8" s="1421" t="s">
        <v>221</v>
      </c>
      <c r="L8" s="1424" t="s">
        <v>348</v>
      </c>
      <c r="M8" s="1424" t="s">
        <v>223</v>
      </c>
      <c r="N8" s="1425" t="s">
        <v>856</v>
      </c>
      <c r="O8" s="1425" t="s">
        <v>1328</v>
      </c>
      <c r="P8" s="1425" t="s">
        <v>1329</v>
      </c>
      <c r="Q8" s="1424" t="s">
        <v>5949</v>
      </c>
      <c r="R8" s="1424" t="s">
        <v>5950</v>
      </c>
      <c r="S8" s="1424" t="s">
        <v>5951</v>
      </c>
      <c r="T8" s="1424" t="s">
        <v>5952</v>
      </c>
      <c r="U8" s="1424" t="s">
        <v>5953</v>
      </c>
      <c r="V8" s="1424" t="s">
        <v>5954</v>
      </c>
      <c r="W8" s="1424" t="s">
        <v>5955</v>
      </c>
      <c r="X8" s="1424" t="s">
        <v>5956</v>
      </c>
      <c r="Y8" s="1424" t="s">
        <v>5955</v>
      </c>
      <c r="Z8" s="1424" t="s">
        <v>5956</v>
      </c>
      <c r="AA8" s="1424" t="s">
        <v>5955</v>
      </c>
      <c r="AB8" s="1424" t="s">
        <v>5956</v>
      </c>
      <c r="AC8" s="1698" t="s">
        <v>1504</v>
      </c>
      <c r="AD8" s="1698" t="s">
        <v>1505</v>
      </c>
      <c r="AE8" s="1698" t="s">
        <v>1509</v>
      </c>
      <c r="AF8" s="1698" t="s">
        <v>1510</v>
      </c>
      <c r="AG8" s="1698" t="s">
        <v>1511</v>
      </c>
      <c r="AH8" s="1698" t="s">
        <v>1513</v>
      </c>
      <c r="AI8" s="1699" t="s">
        <v>5654</v>
      </c>
      <c r="AJ8" s="1700" t="s">
        <v>347</v>
      </c>
      <c r="AK8" s="1700" t="s">
        <v>6149</v>
      </c>
    </row>
    <row r="9" spans="1:37" ht="15.75">
      <c r="A9" s="1631">
        <v>142</v>
      </c>
      <c r="B9" s="1628" t="s">
        <v>289</v>
      </c>
      <c r="C9" s="1629" t="s">
        <v>749</v>
      </c>
      <c r="D9" s="1404" t="s">
        <v>750</v>
      </c>
      <c r="E9" s="1405" t="s">
        <v>751</v>
      </c>
      <c r="F9" s="1404">
        <v>5021711</v>
      </c>
      <c r="G9" s="1404"/>
      <c r="H9" s="1406" t="s">
        <v>738</v>
      </c>
      <c r="I9" s="1407" t="s">
        <v>739</v>
      </c>
      <c r="J9" s="1408">
        <v>210000</v>
      </c>
      <c r="K9" s="1408">
        <v>10867</v>
      </c>
      <c r="L9" s="1393"/>
      <c r="M9" s="1393"/>
      <c r="N9" s="1394"/>
      <c r="O9" s="1394"/>
      <c r="P9" s="1394"/>
      <c r="Q9" s="1396"/>
      <c r="R9" s="1396"/>
      <c r="S9" s="1396"/>
      <c r="T9" s="1396"/>
      <c r="U9" s="1396"/>
      <c r="V9" s="1396"/>
      <c r="W9" s="1396"/>
      <c r="X9" s="1396"/>
      <c r="Y9" s="1396"/>
      <c r="Z9" s="1396"/>
      <c r="AA9" s="1396"/>
      <c r="AB9" s="1396"/>
      <c r="AC9" s="1701" t="str">
        <f>IFERROR(VLOOKUP(A9,salesInv!$D$8:$AM$494,35,FALSE),"-")</f>
        <v>-</v>
      </c>
      <c r="AD9" s="1702" t="str">
        <f>IFERROR(VLOOKUP(A9,salesInv!$D$8:$AM$494,36,FALSE),"-")</f>
        <v>-</v>
      </c>
      <c r="AE9" s="1703" t="str">
        <f>IFERROR(VLOOKUP(A9,salesInv!$D$8:$I$494,3,FALSE),"-")</f>
        <v>-</v>
      </c>
      <c r="AF9" s="1703" t="str">
        <f>IFERROR(VLOOKUP(A9,salesInv!$D$8:$I$494,4,FALSE),"-")</f>
        <v>-</v>
      </c>
      <c r="AG9" s="1703" t="str">
        <f>IFERROR(VLOOKUP(A9,salesInv!$D$8:$I$494,6,FALSE),"-")</f>
        <v>-</v>
      </c>
      <c r="AH9" s="1703">
        <f>COUNTIF(salesInv!$D$8:$D$494,ProH!A9)</f>
        <v>0</v>
      </c>
      <c r="AI9" s="1704">
        <f>SUMIFS(srpro!$F$10:$F$3010,srpro!$B$10:$B$3010,ProH!A9)</f>
        <v>201325</v>
      </c>
      <c r="AJ9" s="1704">
        <f>SUMIFS(srpro!$E$10:$E$3010,srpro!$B$10:$B$3010,ProH!A9)</f>
        <v>156599.74</v>
      </c>
      <c r="AK9" s="1704"/>
    </row>
    <row r="10" spans="1:37" ht="15.75">
      <c r="A10" s="1631">
        <v>182</v>
      </c>
      <c r="B10" s="1628" t="s">
        <v>279</v>
      </c>
      <c r="C10" s="1629" t="s">
        <v>568</v>
      </c>
      <c r="D10" s="1404" t="s">
        <v>326</v>
      </c>
      <c r="E10" s="1404" t="s">
        <v>5125</v>
      </c>
      <c r="F10" s="1404">
        <v>2812052</v>
      </c>
      <c r="G10" s="1404"/>
      <c r="H10" s="1406" t="s">
        <v>570</v>
      </c>
      <c r="I10" s="1407" t="s">
        <v>569</v>
      </c>
      <c r="J10" s="1408">
        <v>215000</v>
      </c>
      <c r="K10" s="1408"/>
      <c r="L10" s="1393"/>
      <c r="M10" s="1393"/>
      <c r="N10" s="1394"/>
      <c r="O10" s="1394"/>
      <c r="P10" s="1394"/>
      <c r="Q10" s="1396"/>
      <c r="R10" s="1396"/>
      <c r="S10" s="1396"/>
      <c r="T10" s="1396"/>
      <c r="U10" s="1396"/>
      <c r="V10" s="1396"/>
      <c r="W10" s="1396"/>
      <c r="X10" s="1396"/>
      <c r="Y10" s="1396"/>
      <c r="Z10" s="1396"/>
      <c r="AA10" s="1396"/>
      <c r="AB10" s="1396"/>
      <c r="AC10" s="1701" t="str">
        <f>IFERROR(VLOOKUP(A10,salesInv!$D$8:$AM$494,35,FALSE),"-")</f>
        <v>-</v>
      </c>
      <c r="AD10" s="1702" t="str">
        <f>IFERROR(VLOOKUP(A10,salesInv!$D$8:$AM$494,36,FALSE),"-")</f>
        <v>-</v>
      </c>
      <c r="AE10" s="1703" t="str">
        <f>IFERROR(VLOOKUP(A10,salesInv!$D$8:$I$494,3,FALSE),"-")</f>
        <v>-</v>
      </c>
      <c r="AF10" s="1703" t="str">
        <f>IFERROR(VLOOKUP(A10,salesInv!$D$8:$I$494,4,FALSE),"-")</f>
        <v>-</v>
      </c>
      <c r="AG10" s="1703" t="str">
        <f>IFERROR(VLOOKUP(A10,salesInv!$D$8:$I$494,6,FALSE),"-")</f>
        <v>-</v>
      </c>
      <c r="AH10" s="1703">
        <f>COUNTIF(salesInv!$D$8:$D$494,ProH!A10)</f>
        <v>0</v>
      </c>
      <c r="AI10" s="1704">
        <f>SUMIFS(srpro!$F$10:$F$3010,srpro!$B$10:$B$3010,ProH!A10)</f>
        <v>21500</v>
      </c>
      <c r="AJ10" s="1704">
        <f>SUMIFS(srpro!$E$10:$E$3010,srpro!$B$10:$B$3010,ProH!A10)</f>
        <v>500</v>
      </c>
      <c r="AK10" s="1704"/>
    </row>
    <row r="11" spans="1:37" ht="15.75">
      <c r="A11" s="1631">
        <v>194</v>
      </c>
      <c r="B11" s="1628" t="s">
        <v>314</v>
      </c>
      <c r="C11" s="1629" t="s">
        <v>3032</v>
      </c>
      <c r="D11" s="1410" t="s">
        <v>339</v>
      </c>
      <c r="E11" s="1410" t="s">
        <v>5126</v>
      </c>
      <c r="F11" s="1404">
        <v>2827675</v>
      </c>
      <c r="G11" s="1404"/>
      <c r="H11" s="1411" t="s">
        <v>815</v>
      </c>
      <c r="I11" s="1404" t="s">
        <v>814</v>
      </c>
      <c r="J11" s="1408">
        <v>106000</v>
      </c>
      <c r="K11" s="1408">
        <v>5300</v>
      </c>
      <c r="L11" s="1393"/>
      <c r="M11" s="1393"/>
      <c r="N11" s="1394"/>
      <c r="O11" s="1394"/>
      <c r="P11" s="1394"/>
      <c r="Q11" s="1396"/>
      <c r="R11" s="1396"/>
      <c r="S11" s="1396"/>
      <c r="T11" s="1396"/>
      <c r="U11" s="1396"/>
      <c r="V11" s="1396"/>
      <c r="W11" s="1396"/>
      <c r="X11" s="1396"/>
      <c r="Y11" s="1396"/>
      <c r="Z11" s="1396"/>
      <c r="AA11" s="1396"/>
      <c r="AB11" s="1396"/>
      <c r="AC11" s="1701" t="str">
        <f>IFERROR(VLOOKUP(A11,salesInv!$D$8:$AM$494,35,FALSE),"-")</f>
        <v>-</v>
      </c>
      <c r="AD11" s="1702" t="str">
        <f>IFERROR(VLOOKUP(A11,salesInv!$D$8:$AM$494,36,FALSE),"-")</f>
        <v>-</v>
      </c>
      <c r="AE11" s="1703" t="str">
        <f>IFERROR(VLOOKUP(A11,salesInv!$D$8:$I$494,3,FALSE),"-")</f>
        <v>-</v>
      </c>
      <c r="AF11" s="1703" t="str">
        <f>IFERROR(VLOOKUP(A11,salesInv!$D$8:$I$494,4,FALSE),"-")</f>
        <v>-</v>
      </c>
      <c r="AG11" s="1703" t="str">
        <f>IFERROR(VLOOKUP(A11,salesInv!$D$8:$I$494,6,FALSE),"-")</f>
        <v>-</v>
      </c>
      <c r="AH11" s="1703">
        <f>COUNTIF(salesInv!$D$8:$D$494,ProH!A11)</f>
        <v>0</v>
      </c>
      <c r="AI11" s="1704">
        <f>SUMIFS(srpro!$F$10:$F$3010,srpro!$B$10:$B$3010,ProH!A11)</f>
        <v>105500</v>
      </c>
      <c r="AJ11" s="1704">
        <f>SUMIFS(srpro!$E$10:$E$3010,srpro!$B$10:$B$3010,ProH!A11)</f>
        <v>85163.99</v>
      </c>
      <c r="AK11" s="1704"/>
    </row>
    <row r="12" spans="1:37" ht="15.75">
      <c r="A12" s="1631">
        <v>197</v>
      </c>
      <c r="B12" s="1628" t="s">
        <v>151</v>
      </c>
      <c r="C12" s="1630" t="s">
        <v>540</v>
      </c>
      <c r="D12" s="1404" t="s">
        <v>323</v>
      </c>
      <c r="E12" s="1404" t="s">
        <v>5127</v>
      </c>
      <c r="F12" s="1404">
        <v>2662391</v>
      </c>
      <c r="G12" s="1404"/>
      <c r="H12" s="1406" t="s">
        <v>542</v>
      </c>
      <c r="I12" s="1407" t="s">
        <v>541</v>
      </c>
      <c r="J12" s="1408">
        <v>185000</v>
      </c>
      <c r="K12" s="1408">
        <v>10000</v>
      </c>
      <c r="L12" s="1393" t="s">
        <v>543</v>
      </c>
      <c r="M12" s="1393" t="s">
        <v>544</v>
      </c>
      <c r="N12" s="1394">
        <v>0.05</v>
      </c>
      <c r="O12" s="1394">
        <v>0.24</v>
      </c>
      <c r="P12" s="1394">
        <v>0</v>
      </c>
      <c r="Q12" s="1396"/>
      <c r="R12" s="1396"/>
      <c r="S12" s="1396"/>
      <c r="T12" s="1396"/>
      <c r="U12" s="1396"/>
      <c r="V12" s="1396"/>
      <c r="W12" s="1396"/>
      <c r="X12" s="1396"/>
      <c r="Y12" s="1396"/>
      <c r="Z12" s="1396"/>
      <c r="AA12" s="1396"/>
      <c r="AB12" s="1396"/>
      <c r="AC12" s="1701" t="str">
        <f>IFERROR(VLOOKUP(A12,salesInv!$D$8:$AM$494,35,FALSE),"-")</f>
        <v>H/M/67/2024</v>
      </c>
      <c r="AD12" s="1702" t="str">
        <f>IFERROR(VLOOKUP(A12,salesInv!$D$8:$AM$494,36,FALSE),"-")</f>
        <v>-</v>
      </c>
      <c r="AE12" s="1703">
        <f>IFERROR(VLOOKUP(A12,salesInv!$D$8:$I$494,3,FALSE),"-")</f>
        <v>24338.32</v>
      </c>
      <c r="AF12" s="1703">
        <f>IFERROR(VLOOKUP(A12,salesInv!$D$8:$I$494,4,FALSE),"-")</f>
        <v>6466.62</v>
      </c>
      <c r="AG12" s="1703">
        <f>IFERROR(VLOOKUP(A12,salesInv!$D$8:$I$494,6,FALSE),"-")</f>
        <v>20000</v>
      </c>
      <c r="AH12" s="1703">
        <f>COUNTIF(salesInv!$D$8:$D$494,ProH!A12)</f>
        <v>1</v>
      </c>
      <c r="AI12" s="1704">
        <f>SUMIFS(srpro!$F$10:$F$3010,srpro!$B$10:$B$3010,ProH!A12)</f>
        <v>169047.61904761905</v>
      </c>
      <c r="AJ12" s="1704">
        <f>SUMIFS(srpro!$E$10:$E$3010,srpro!$B$10:$B$3010,ProH!A12)</f>
        <v>125656.24</v>
      </c>
      <c r="AK12" s="1704"/>
    </row>
    <row r="13" spans="1:37" ht="15.75">
      <c r="A13" s="1631">
        <v>200</v>
      </c>
      <c r="B13" s="1628" t="s">
        <v>313</v>
      </c>
      <c r="C13" s="1629" t="s">
        <v>701</v>
      </c>
      <c r="D13" s="1404" t="s">
        <v>702</v>
      </c>
      <c r="E13" s="1404" t="s">
        <v>5128</v>
      </c>
      <c r="F13" s="1404">
        <v>2824694</v>
      </c>
      <c r="G13" s="1404"/>
      <c r="H13" s="1406" t="s">
        <v>704</v>
      </c>
      <c r="I13" s="1407" t="s">
        <v>703</v>
      </c>
      <c r="J13" s="1408">
        <v>30000</v>
      </c>
      <c r="K13" s="1408"/>
      <c r="L13" s="1393"/>
      <c r="M13" s="1393"/>
      <c r="N13" s="1394"/>
      <c r="O13" s="1394"/>
      <c r="P13" s="1394"/>
      <c r="Q13" s="1396"/>
      <c r="R13" s="1396"/>
      <c r="S13" s="1396"/>
      <c r="T13" s="1396"/>
      <c r="U13" s="1396"/>
      <c r="V13" s="1396"/>
      <c r="W13" s="1396"/>
      <c r="X13" s="1396"/>
      <c r="Y13" s="1396"/>
      <c r="Z13" s="1396"/>
      <c r="AA13" s="1396"/>
      <c r="AB13" s="1396"/>
      <c r="AC13" s="1701" t="str">
        <f>IFERROR(VLOOKUP(A13,salesInv!$D$8:$AM$494,35,FALSE),"-")</f>
        <v>-</v>
      </c>
      <c r="AD13" s="1702" t="str">
        <f>IFERROR(VLOOKUP(A13,salesInv!$D$8:$AM$494,36,FALSE),"-")</f>
        <v>-</v>
      </c>
      <c r="AE13" s="1703" t="str">
        <f>IFERROR(VLOOKUP(A13,salesInv!$D$8:$I$494,3,FALSE),"-")</f>
        <v>-</v>
      </c>
      <c r="AF13" s="1703" t="str">
        <f>IFERROR(VLOOKUP(A13,salesInv!$D$8:$I$494,4,FALSE),"-")</f>
        <v>-</v>
      </c>
      <c r="AG13" s="1703" t="str">
        <f>IFERROR(VLOOKUP(A13,salesInv!$D$8:$I$494,6,FALSE),"-")</f>
        <v>-</v>
      </c>
      <c r="AH13" s="1703">
        <f>COUNTIF(salesInv!$D$8:$D$494,ProH!A13)</f>
        <v>0</v>
      </c>
      <c r="AI13" s="1704">
        <f>SUMIFS(srpro!$F$10:$F$3010,srpro!$B$10:$B$3010,ProH!A13)</f>
        <v>5000</v>
      </c>
      <c r="AJ13" s="1704">
        <f>SUMIFS(srpro!$E$10:$E$3010,srpro!$B$10:$B$3010,ProH!A13)</f>
        <v>846</v>
      </c>
      <c r="AK13" s="1704"/>
    </row>
    <row r="14" spans="1:37" ht="15.75">
      <c r="A14" s="1631">
        <v>202</v>
      </c>
      <c r="B14" s="1628" t="s">
        <v>2883</v>
      </c>
      <c r="C14" s="1629" t="s">
        <v>2882</v>
      </c>
      <c r="D14" s="1404" t="s">
        <v>460</v>
      </c>
      <c r="E14" s="1407" t="s">
        <v>5129</v>
      </c>
      <c r="F14" s="1404">
        <v>6180172</v>
      </c>
      <c r="G14" s="1404"/>
      <c r="H14" s="1406" t="s">
        <v>462</v>
      </c>
      <c r="I14" s="1404" t="s">
        <v>461</v>
      </c>
      <c r="J14" s="1408">
        <v>565000</v>
      </c>
      <c r="K14" s="1408">
        <v>40000</v>
      </c>
      <c r="L14" s="1393" t="s">
        <v>230</v>
      </c>
      <c r="M14" s="1393" t="s">
        <v>463</v>
      </c>
      <c r="N14" s="1394">
        <v>0.05</v>
      </c>
      <c r="O14" s="1394">
        <v>0.05</v>
      </c>
      <c r="P14" s="1394">
        <v>0</v>
      </c>
      <c r="Q14" s="1396"/>
      <c r="R14" s="1396"/>
      <c r="S14" s="1396"/>
      <c r="T14" s="1396"/>
      <c r="U14" s="1396"/>
      <c r="V14" s="1396"/>
      <c r="W14" s="1396"/>
      <c r="X14" s="1396"/>
      <c r="Y14" s="1396"/>
      <c r="Z14" s="1396"/>
      <c r="AA14" s="1396"/>
      <c r="AB14" s="1396"/>
      <c r="AC14" s="1701" t="str">
        <f>IFERROR(VLOOKUP(A14,salesInv!$D$8:$AM$494,35,FALSE),"-")</f>
        <v>H/M/55/2024</v>
      </c>
      <c r="AD14" s="1702">
        <f>IFERROR(VLOOKUP(A14,salesInv!$D$8:$AM$494,36,FALSE),"-")</f>
        <v>45423</v>
      </c>
      <c r="AE14" s="1703">
        <f>IFERROR(VLOOKUP(A14,salesInv!$D$8:$I$494,3,FALSE),"-")</f>
        <v>10000</v>
      </c>
      <c r="AF14" s="1703">
        <f>IFERROR(VLOOKUP(A14,salesInv!$D$8:$I$494,4,FALSE),"-")</f>
        <v>500</v>
      </c>
      <c r="AG14" s="1703">
        <f>IFERROR(VLOOKUP(A14,salesInv!$D$8:$I$494,6,FALSE),"-")</f>
        <v>10500</v>
      </c>
      <c r="AH14" s="1703">
        <f>COUNTIF(salesInv!$D$8:$D$494,ProH!A14)</f>
        <v>2</v>
      </c>
      <c r="AI14" s="1704">
        <f>SUMIFS(srpro!$F$10:$F$3010,srpro!$B$10:$B$3010,ProH!A14)</f>
        <v>606872.76</v>
      </c>
      <c r="AJ14" s="1704">
        <f>SUMIFS(srpro!$E$10:$E$3010,srpro!$B$10:$B$3010,ProH!A14)</f>
        <v>486701.42</v>
      </c>
      <c r="AK14" s="1704"/>
    </row>
    <row r="15" spans="1:37" ht="15.75">
      <c r="A15" s="1631">
        <v>204</v>
      </c>
      <c r="B15" s="1628" t="s">
        <v>266</v>
      </c>
      <c r="C15" s="1629" t="s">
        <v>998</v>
      </c>
      <c r="D15" s="1404" t="s">
        <v>999</v>
      </c>
      <c r="E15" s="1404" t="s">
        <v>342</v>
      </c>
      <c r="F15" s="1404">
        <v>7117665</v>
      </c>
      <c r="G15" s="1404"/>
      <c r="H15" s="1406" t="s">
        <v>1000</v>
      </c>
      <c r="I15" s="1404" t="s">
        <v>1001</v>
      </c>
      <c r="J15" s="1408">
        <v>205000</v>
      </c>
      <c r="K15" s="1408">
        <v>24000</v>
      </c>
      <c r="L15" s="1393">
        <v>97562</v>
      </c>
      <c r="M15" s="1393"/>
      <c r="N15" s="1394"/>
      <c r="O15" s="1394"/>
      <c r="P15" s="1394"/>
      <c r="Q15" s="1396"/>
      <c r="R15" s="1396"/>
      <c r="S15" s="1396"/>
      <c r="T15" s="1396"/>
      <c r="U15" s="1396"/>
      <c r="V15" s="1396"/>
      <c r="W15" s="1396"/>
      <c r="X15" s="1396"/>
      <c r="Y15" s="1396"/>
      <c r="Z15" s="1396"/>
      <c r="AA15" s="1396"/>
      <c r="AB15" s="1396"/>
      <c r="AC15" s="1701" t="str">
        <f>IFERROR(VLOOKUP(A15,salesInv!$D$8:$AM$494,35,FALSE),"-")</f>
        <v>-</v>
      </c>
      <c r="AD15" s="1702" t="str">
        <f>IFERROR(VLOOKUP(A15,salesInv!$D$8:$AM$494,36,FALSE),"-")</f>
        <v>-</v>
      </c>
      <c r="AE15" s="1703" t="str">
        <f>IFERROR(VLOOKUP(A15,salesInv!$D$8:$I$494,3,FALSE),"-")</f>
        <v>-</v>
      </c>
      <c r="AF15" s="1703" t="str">
        <f>IFERROR(VLOOKUP(A15,salesInv!$D$8:$I$494,4,FALSE),"-")</f>
        <v>-</v>
      </c>
      <c r="AG15" s="1703" t="str">
        <f>IFERROR(VLOOKUP(A15,salesInv!$D$8:$I$494,6,FALSE),"-")</f>
        <v>-</v>
      </c>
      <c r="AH15" s="1703">
        <f>COUNTIF(salesInv!$D$8:$D$494,ProH!A15)</f>
        <v>0</v>
      </c>
      <c r="AI15" s="1704">
        <f>SUMIFS(srpro!$F$10:$F$3010,srpro!$B$10:$B$3010,ProH!A15)</f>
        <v>233075</v>
      </c>
      <c r="AJ15" s="1704">
        <f>SUMIFS(srpro!$E$10:$E$3010,srpro!$B$10:$B$3010,ProH!A15)</f>
        <v>151483</v>
      </c>
      <c r="AK15" s="1704"/>
    </row>
    <row r="16" spans="1:37" ht="15.75">
      <c r="A16" s="1631">
        <v>206</v>
      </c>
      <c r="B16" s="1628" t="s">
        <v>187</v>
      </c>
      <c r="C16" s="1629" t="s">
        <v>354</v>
      </c>
      <c r="D16" s="1404" t="s">
        <v>355</v>
      </c>
      <c r="E16" s="1404" t="s">
        <v>356</v>
      </c>
      <c r="F16" s="1404">
        <v>2610630</v>
      </c>
      <c r="G16" s="1404" t="s">
        <v>357</v>
      </c>
      <c r="H16" s="1404"/>
      <c r="I16" s="1404"/>
      <c r="J16" s="1408">
        <v>290000</v>
      </c>
      <c r="K16" s="1408">
        <f>22000+3700</f>
        <v>25700</v>
      </c>
      <c r="L16" s="1393" t="s">
        <v>255</v>
      </c>
      <c r="M16" s="1393"/>
      <c r="N16" s="1394">
        <v>0.05</v>
      </c>
      <c r="O16" s="1394">
        <v>0.21</v>
      </c>
      <c r="P16" s="1394">
        <v>0</v>
      </c>
      <c r="Q16" s="1396"/>
      <c r="R16" s="1396"/>
      <c r="S16" s="1396"/>
      <c r="T16" s="1396"/>
      <c r="U16" s="1396"/>
      <c r="V16" s="1396"/>
      <c r="W16" s="1396"/>
      <c r="X16" s="1396"/>
      <c r="Y16" s="1396"/>
      <c r="Z16" s="1396"/>
      <c r="AA16" s="1396"/>
      <c r="AB16" s="1396"/>
      <c r="AC16" s="1701" t="str">
        <f>IFERROR(VLOOKUP(A16,salesInv!$D$8:$AM$494,35,FALSE),"-")</f>
        <v>H/M/09R/2024</v>
      </c>
      <c r="AD16" s="1702" t="str">
        <f>IFERROR(VLOOKUP(A16,salesInv!$D$8:$AM$494,36,FALSE),"-")</f>
        <v>-</v>
      </c>
      <c r="AE16" s="1703">
        <f>IFERROR(VLOOKUP(A16,salesInv!$D$8:$I$494,3,FALSE),"-")</f>
        <v>34768</v>
      </c>
      <c r="AF16" s="1703">
        <f>IFERROR(VLOOKUP(A16,salesInv!$D$8:$I$494,4,FALSE),"-")</f>
        <v>1738.4</v>
      </c>
      <c r="AG16" s="1703">
        <f>IFERROR(VLOOKUP(A16,salesInv!$D$8:$I$494,6,FALSE),"-")</f>
        <v>36506.400000000001</v>
      </c>
      <c r="AH16" s="1703">
        <f>COUNTIF(salesInv!$D$8:$D$494,ProH!A16)</f>
        <v>1</v>
      </c>
      <c r="AI16" s="1704">
        <f>SUMIFS(srpro!$F$10:$F$3010,srpro!$B$10:$B$3010,ProH!A16)</f>
        <v>315698</v>
      </c>
      <c r="AJ16" s="1704">
        <f>SUMIFS(srpro!$E$10:$E$3010,srpro!$B$10:$B$3010,ProH!A16)</f>
        <v>230517.85</v>
      </c>
      <c r="AK16" s="1704"/>
    </row>
    <row r="17" spans="1:37" ht="15.75">
      <c r="A17" s="1631">
        <v>210</v>
      </c>
      <c r="B17" s="1628" t="s">
        <v>310</v>
      </c>
      <c r="C17" s="1629"/>
      <c r="D17" s="1404"/>
      <c r="E17" s="1404"/>
      <c r="F17" s="1404"/>
      <c r="G17" s="1404"/>
      <c r="H17" s="1406"/>
      <c r="I17" s="1404"/>
      <c r="J17" s="1408"/>
      <c r="K17" s="1408"/>
      <c r="L17" s="1393"/>
      <c r="M17" s="1393"/>
      <c r="N17" s="1394"/>
      <c r="O17" s="1394"/>
      <c r="P17" s="1394"/>
      <c r="Q17" s="1396"/>
      <c r="R17" s="1396"/>
      <c r="S17" s="1396"/>
      <c r="T17" s="1396"/>
      <c r="U17" s="1396"/>
      <c r="V17" s="1396"/>
      <c r="W17" s="1396"/>
      <c r="X17" s="1396"/>
      <c r="Y17" s="1396"/>
      <c r="Z17" s="1396"/>
      <c r="AA17" s="1396"/>
      <c r="AB17" s="1396"/>
      <c r="AC17" s="1701" t="str">
        <f>IFERROR(VLOOKUP(A17,salesInv!$D$8:$AM$494,35,FALSE),"-")</f>
        <v>-</v>
      </c>
      <c r="AD17" s="1702" t="str">
        <f>IFERROR(VLOOKUP(A17,salesInv!$D$8:$AM$494,36,FALSE),"-")</f>
        <v>-</v>
      </c>
      <c r="AE17" s="1703" t="str">
        <f>IFERROR(VLOOKUP(A17,salesInv!$D$8:$I$494,3,FALSE),"-")</f>
        <v>-</v>
      </c>
      <c r="AF17" s="1703" t="str">
        <f>IFERROR(VLOOKUP(A17,salesInv!$D$8:$I$494,4,FALSE),"-")</f>
        <v>-</v>
      </c>
      <c r="AG17" s="1703" t="str">
        <f>IFERROR(VLOOKUP(A17,salesInv!$D$8:$I$494,6,FALSE),"-")</f>
        <v>-</v>
      </c>
      <c r="AH17" s="1703">
        <f>COUNTIF(salesInv!$D$8:$D$494,ProH!A17)</f>
        <v>0</v>
      </c>
      <c r="AI17" s="1704">
        <f>SUMIFS(srpro!$F$10:$F$3010,srpro!$B$10:$B$3010,ProH!A17)</f>
        <v>0</v>
      </c>
      <c r="AJ17" s="1704">
        <f>SUMIFS(srpro!$E$10:$E$3010,srpro!$B$10:$B$3010,ProH!A17)</f>
        <v>45</v>
      </c>
      <c r="AK17" s="1704"/>
    </row>
    <row r="18" spans="1:37" ht="15.75">
      <c r="A18" s="1631">
        <v>999</v>
      </c>
      <c r="B18" s="1628" t="s">
        <v>311</v>
      </c>
      <c r="C18" s="1629"/>
      <c r="D18" s="1404"/>
      <c r="E18" s="1404"/>
      <c r="F18" s="1404"/>
      <c r="G18" s="1404"/>
      <c r="H18" s="1406"/>
      <c r="I18" s="1404"/>
      <c r="J18" s="1408"/>
      <c r="K18" s="1408"/>
      <c r="L18" s="1393"/>
      <c r="M18" s="1393"/>
      <c r="N18" s="1394">
        <v>0.05</v>
      </c>
      <c r="O18" s="1394">
        <v>0.2</v>
      </c>
      <c r="P18" s="1394">
        <v>0</v>
      </c>
      <c r="Q18" s="1396"/>
      <c r="R18" s="1396"/>
      <c r="S18" s="1396"/>
      <c r="T18" s="1396"/>
      <c r="U18" s="1396"/>
      <c r="V18" s="1396"/>
      <c r="W18" s="1396"/>
      <c r="X18" s="1396"/>
      <c r="Y18" s="1396"/>
      <c r="Z18" s="1396"/>
      <c r="AA18" s="1396"/>
      <c r="AB18" s="1396"/>
      <c r="AC18" s="1701" t="str">
        <f>IFERROR(VLOOKUP(A18,salesInv!$D$8:$AM$494,35,FALSE),"-")</f>
        <v>H/M/93/2024</v>
      </c>
      <c r="AD18" s="1702">
        <f>IFERROR(VLOOKUP(A18,salesInv!$D$8:$AM$494,36,FALSE),"-")</f>
        <v>45504</v>
      </c>
      <c r="AE18" s="1703">
        <f>IFERROR(VLOOKUP(A18,salesInv!$D$8:$I$494,3,FALSE),"-")</f>
        <v>9190</v>
      </c>
      <c r="AF18" s="1703">
        <f>IFERROR(VLOOKUP(A18,salesInv!$D$8:$I$494,4,FALSE),"-")</f>
        <v>459.5</v>
      </c>
      <c r="AG18" s="1703">
        <f>IFERROR(VLOOKUP(A18,salesInv!$D$8:$I$494,6,FALSE),"-")</f>
        <v>9650</v>
      </c>
      <c r="AH18" s="1703">
        <f>COUNTIF(salesInv!$D$8:$D$494,ProH!A18)</f>
        <v>1</v>
      </c>
      <c r="AI18" s="1704">
        <f>SUMIFS(srpro!$F$10:$F$3010,srpro!$B$10:$B$3010,ProH!A18)</f>
        <v>0</v>
      </c>
      <c r="AJ18" s="1704">
        <f>SUMIFS(srpro!$E$10:$E$3010,srpro!$B$10:$B$3010,ProH!A18)</f>
        <v>0</v>
      </c>
      <c r="AK18" s="1704"/>
    </row>
    <row r="19" spans="1:37" ht="15.75">
      <c r="A19" s="1631">
        <v>211</v>
      </c>
      <c r="B19" s="1628" t="s">
        <v>270</v>
      </c>
      <c r="C19" s="1629" t="s">
        <v>718</v>
      </c>
      <c r="D19" s="1404" t="s">
        <v>719</v>
      </c>
      <c r="E19" s="1404" t="s">
        <v>5130</v>
      </c>
      <c r="F19" s="1404">
        <v>2630983</v>
      </c>
      <c r="G19" s="1404"/>
      <c r="H19" s="1406" t="s">
        <v>721</v>
      </c>
      <c r="I19" s="1407" t="s">
        <v>720</v>
      </c>
      <c r="J19" s="1408">
        <v>310000</v>
      </c>
      <c r="K19" s="1408">
        <v>27500</v>
      </c>
      <c r="L19" s="1393" t="s">
        <v>722</v>
      </c>
      <c r="M19" s="1393"/>
      <c r="N19" s="1394">
        <v>0.05</v>
      </c>
      <c r="O19" s="1394">
        <v>0.2</v>
      </c>
      <c r="P19" s="1394">
        <v>0.05</v>
      </c>
      <c r="Q19" s="1396"/>
      <c r="R19" s="1396"/>
      <c r="S19" s="1396"/>
      <c r="T19" s="1396"/>
      <c r="U19" s="1396"/>
      <c r="V19" s="1396"/>
      <c r="W19" s="1396"/>
      <c r="X19" s="1396"/>
      <c r="Y19" s="1396"/>
      <c r="Z19" s="1396"/>
      <c r="AA19" s="1396"/>
      <c r="AB19" s="1396"/>
      <c r="AC19" s="1701" t="str">
        <f>IFERROR(VLOOKUP(A19,salesInv!$D$8:$AM$494,35,FALSE),"-")</f>
        <v>H/M/31R/2024</v>
      </c>
      <c r="AD19" s="1702" t="str">
        <f>IFERROR(VLOOKUP(A19,salesInv!$D$8:$AM$494,36,FALSE),"-")</f>
        <v>-</v>
      </c>
      <c r="AE19" s="1703">
        <f>IFERROR(VLOOKUP(A19,salesInv!$D$8:$I$494,3,FALSE),"-")</f>
        <v>34148</v>
      </c>
      <c r="AF19" s="1703">
        <f>IFERROR(VLOOKUP(A19,salesInv!$D$8:$I$494,4,FALSE),"-")</f>
        <v>1707.4</v>
      </c>
      <c r="AG19" s="1703">
        <f>IFERROR(VLOOKUP(A19,salesInv!$D$8:$I$494,6,FALSE),"-")</f>
        <v>35000</v>
      </c>
      <c r="AH19" s="1703">
        <f>COUNTIF(salesInv!$D$8:$D$494,ProH!A19)</f>
        <v>2</v>
      </c>
      <c r="AI19" s="1704">
        <f>SUMIFS(srpro!$F$10:$F$3010,srpro!$B$10:$B$3010,ProH!A19)</f>
        <v>339240</v>
      </c>
      <c r="AJ19" s="1704">
        <f>SUMIFS(srpro!$E$10:$E$3010,srpro!$B$10:$B$3010,ProH!A19)</f>
        <v>240007.87999999998</v>
      </c>
      <c r="AK19" s="1704"/>
    </row>
    <row r="20" spans="1:37" ht="15.75">
      <c r="A20" s="1631">
        <v>212</v>
      </c>
      <c r="B20" s="1628" t="s">
        <v>312</v>
      </c>
      <c r="C20" s="1630" t="s">
        <v>706</v>
      </c>
      <c r="D20" s="1404" t="s">
        <v>323</v>
      </c>
      <c r="E20" s="1407" t="s">
        <v>5131</v>
      </c>
      <c r="F20" s="1404">
        <v>7112758</v>
      </c>
      <c r="G20" s="1404"/>
      <c r="H20" s="1404" t="s">
        <v>708</v>
      </c>
      <c r="I20" s="1407" t="s">
        <v>707</v>
      </c>
      <c r="J20" s="1408">
        <v>205000</v>
      </c>
      <c r="K20" s="1408">
        <v>4300</v>
      </c>
      <c r="L20" s="1393"/>
      <c r="M20" s="1393"/>
      <c r="N20" s="1394">
        <v>0.05</v>
      </c>
      <c r="O20" s="1394">
        <v>0.1</v>
      </c>
      <c r="P20" s="1394">
        <v>0</v>
      </c>
      <c r="Q20" s="1396"/>
      <c r="R20" s="1396"/>
      <c r="S20" s="1396"/>
      <c r="T20" s="1396"/>
      <c r="U20" s="1396"/>
      <c r="V20" s="1396"/>
      <c r="W20" s="1396"/>
      <c r="X20" s="1396"/>
      <c r="Y20" s="1396"/>
      <c r="Z20" s="1396"/>
      <c r="AA20" s="1396"/>
      <c r="AB20" s="1396"/>
      <c r="AC20" s="1701" t="str">
        <f>IFERROR(VLOOKUP(A20,salesInv!$D$8:$AM$494,35,FALSE),"-")</f>
        <v>H/M/62/2024</v>
      </c>
      <c r="AD20" s="1702" t="str">
        <f>IFERROR(VLOOKUP(A20,salesInv!$D$8:$AM$494,36,FALSE),"-")</f>
        <v>-</v>
      </c>
      <c r="AE20" s="1703">
        <f>IFERROR(VLOOKUP(A20,salesInv!$D$8:$I$494,3,FALSE),"-")</f>
        <v>10250</v>
      </c>
      <c r="AF20" s="1703">
        <f>IFERROR(VLOOKUP(A20,salesInv!$D$8:$I$494,4,FALSE),"-")</f>
        <v>512.5</v>
      </c>
      <c r="AG20" s="1703">
        <f>IFERROR(VLOOKUP(A20,salesInv!$D$8:$I$494,6,FALSE),"-")</f>
        <v>10762.5</v>
      </c>
      <c r="AH20" s="1703">
        <f>COUNTIF(salesInv!$D$8:$D$494,ProH!A20)</f>
        <v>2</v>
      </c>
      <c r="AI20" s="1704">
        <f>SUMIFS(srpro!$F$10:$F$3010,srpro!$B$10:$B$3010,ProH!A20)</f>
        <v>209300.5</v>
      </c>
      <c r="AJ20" s="1704">
        <f>SUMIFS(srpro!$E$10:$E$3010,srpro!$B$10:$B$3010,ProH!A20)</f>
        <v>157115.99</v>
      </c>
      <c r="AK20" s="1704"/>
    </row>
    <row r="21" spans="1:37" ht="15.75">
      <c r="A21" s="1631">
        <v>213</v>
      </c>
      <c r="B21" s="1628" t="s">
        <v>298</v>
      </c>
      <c r="C21" s="1629" t="s">
        <v>6150</v>
      </c>
      <c r="D21" s="1405" t="s">
        <v>5132</v>
      </c>
      <c r="E21" s="1404" t="s">
        <v>659</v>
      </c>
      <c r="F21" s="1404">
        <v>2270341</v>
      </c>
      <c r="G21" s="1404"/>
      <c r="H21" s="1404" t="s">
        <v>658</v>
      </c>
      <c r="I21" s="1404" t="s">
        <v>657</v>
      </c>
      <c r="J21" s="1408">
        <v>370000</v>
      </c>
      <c r="K21" s="1408">
        <v>6404</v>
      </c>
      <c r="L21" s="1393" t="s">
        <v>660</v>
      </c>
      <c r="M21" s="1393"/>
      <c r="N21" s="1394">
        <v>0.05</v>
      </c>
      <c r="O21" s="1394">
        <v>0.2</v>
      </c>
      <c r="P21" s="1394">
        <v>0</v>
      </c>
      <c r="Q21" s="1396"/>
      <c r="R21" s="1396"/>
      <c r="S21" s="1396"/>
      <c r="T21" s="1396"/>
      <c r="U21" s="1396"/>
      <c r="V21" s="1396"/>
      <c r="W21" s="1396"/>
      <c r="X21" s="1396"/>
      <c r="Y21" s="1396"/>
      <c r="Z21" s="1396"/>
      <c r="AA21" s="1396"/>
      <c r="AB21" s="1396"/>
      <c r="AC21" s="1701" t="str">
        <f>IFERROR(VLOOKUP(A21,salesInv!$D$8:$AM$494,35,FALSE),"-")</f>
        <v>H/M/01/2024</v>
      </c>
      <c r="AD21" s="1702" t="str">
        <f>IFERROR(VLOOKUP(A21,salesInv!$D$8:$AM$494,36,FALSE),"-")</f>
        <v>-</v>
      </c>
      <c r="AE21" s="1703">
        <f>IFERROR(VLOOKUP(A21,salesInv!$D$8:$I$494,3,FALSE),"-")</f>
        <v>30000</v>
      </c>
      <c r="AF21" s="1703">
        <f>IFERROR(VLOOKUP(A21,salesInv!$D$8:$I$494,4,FALSE),"-")</f>
        <v>1500</v>
      </c>
      <c r="AG21" s="1703">
        <f>IFERROR(VLOOKUP(A21,salesInv!$D$8:$I$494,6,FALSE),"-")</f>
        <v>31500</v>
      </c>
      <c r="AH21" s="1703">
        <f>COUNTIF(salesInv!$D$8:$D$494,ProH!A21)</f>
        <v>1</v>
      </c>
      <c r="AI21" s="1704">
        <f>SUMIFS(srpro!$F$10:$F$3010,srpro!$B$10:$B$3010,ProH!A21)</f>
        <v>376404.5</v>
      </c>
      <c r="AJ21" s="1704">
        <f>SUMIFS(srpro!$E$10:$E$3010,srpro!$B$10:$B$3010,ProH!A21)</f>
        <v>229674.12</v>
      </c>
      <c r="AK21" s="1704"/>
    </row>
    <row r="22" spans="1:37" ht="15.75">
      <c r="A22" s="1631">
        <v>214</v>
      </c>
      <c r="B22" s="1628" t="s">
        <v>273</v>
      </c>
      <c r="C22" s="1629" t="s">
        <v>6151</v>
      </c>
      <c r="D22" s="1407" t="s">
        <v>326</v>
      </c>
      <c r="E22" s="1404" t="s">
        <v>5133</v>
      </c>
      <c r="F22" s="1404" t="s">
        <v>5134</v>
      </c>
      <c r="G22" s="1404"/>
      <c r="H22" s="1406" t="s">
        <v>425</v>
      </c>
      <c r="I22" s="1404" t="s">
        <v>424</v>
      </c>
      <c r="J22" s="1408">
        <v>90000</v>
      </c>
      <c r="K22" s="1408">
        <v>2119</v>
      </c>
      <c r="L22" s="1393" t="s">
        <v>433</v>
      </c>
      <c r="M22" s="1393" t="s">
        <v>434</v>
      </c>
      <c r="N22" s="1394"/>
      <c r="O22" s="1394"/>
      <c r="P22" s="1394"/>
      <c r="Q22" s="1396"/>
      <c r="R22" s="1396"/>
      <c r="S22" s="1396"/>
      <c r="T22" s="1396"/>
      <c r="U22" s="1396"/>
      <c r="V22" s="1396"/>
      <c r="W22" s="1396"/>
      <c r="X22" s="1396"/>
      <c r="Y22" s="1396"/>
      <c r="Z22" s="1396"/>
      <c r="AA22" s="1396"/>
      <c r="AB22" s="1396"/>
      <c r="AC22" s="1701" t="str">
        <f>IFERROR(VLOOKUP(A22,salesInv!$D$8:$AM$494,35,FALSE),"-")</f>
        <v>-</v>
      </c>
      <c r="AD22" s="1702" t="str">
        <f>IFERROR(VLOOKUP(A22,salesInv!$D$8:$AM$494,36,FALSE),"-")</f>
        <v>-</v>
      </c>
      <c r="AE22" s="1703" t="str">
        <f>IFERROR(VLOOKUP(A22,salesInv!$D$8:$I$494,3,FALSE),"-")</f>
        <v>-</v>
      </c>
      <c r="AF22" s="1703" t="str">
        <f>IFERROR(VLOOKUP(A22,salesInv!$D$8:$I$494,4,FALSE),"-")</f>
        <v>-</v>
      </c>
      <c r="AG22" s="1703" t="str">
        <f>IFERROR(VLOOKUP(A22,salesInv!$D$8:$I$494,6,FALSE),"-")</f>
        <v>-</v>
      </c>
      <c r="AH22" s="1703">
        <f>COUNTIF(salesInv!$D$8:$D$494,ProH!A22)</f>
        <v>0</v>
      </c>
      <c r="AI22" s="1704">
        <f>SUMIFS(srpro!$F$10:$F$3010,srpro!$B$10:$B$3010,ProH!A22)</f>
        <v>91200</v>
      </c>
      <c r="AJ22" s="1704">
        <f>SUMIFS(srpro!$E$10:$E$3010,srpro!$B$10:$B$3010,ProH!A22)</f>
        <v>63327</v>
      </c>
      <c r="AK22" s="1704"/>
    </row>
    <row r="23" spans="1:37" ht="15.75">
      <c r="A23" s="1631">
        <v>215</v>
      </c>
      <c r="B23" s="1628" t="s">
        <v>850</v>
      </c>
      <c r="C23" s="1629" t="s">
        <v>2999</v>
      </c>
      <c r="D23" s="1404" t="s">
        <v>3000</v>
      </c>
      <c r="E23" s="1404" t="s">
        <v>3001</v>
      </c>
      <c r="F23" s="1404">
        <v>4310154</v>
      </c>
      <c r="G23" s="1404"/>
      <c r="H23" s="1406" t="s">
        <v>795</v>
      </c>
      <c r="I23" s="1404" t="s">
        <v>794</v>
      </c>
      <c r="J23" s="1408">
        <v>425000</v>
      </c>
      <c r="K23" s="1408"/>
      <c r="L23" s="1393" t="s">
        <v>796</v>
      </c>
      <c r="M23" s="1393" t="s">
        <v>3002</v>
      </c>
      <c r="N23" s="1394">
        <v>0.05</v>
      </c>
      <c r="O23" s="1394">
        <v>0.17</v>
      </c>
      <c r="P23" s="1394">
        <v>0.05</v>
      </c>
      <c r="Q23" s="1396"/>
      <c r="R23" s="1396"/>
      <c r="S23" s="1396"/>
      <c r="T23" s="1396"/>
      <c r="U23" s="1396"/>
      <c r="V23" s="1396"/>
      <c r="W23" s="1396"/>
      <c r="X23" s="1396"/>
      <c r="Y23" s="1396"/>
      <c r="Z23" s="1396"/>
      <c r="AA23" s="1396"/>
      <c r="AB23" s="1396"/>
      <c r="AC23" s="1701" t="str">
        <f>IFERROR(VLOOKUP(A23,salesInv!$D$8:$AM$494,35,FALSE),"-")</f>
        <v>H/M/44/2024</v>
      </c>
      <c r="AD23" s="1702" t="str">
        <f>IFERROR(VLOOKUP(A23,salesInv!$D$8:$AM$494,36,FALSE),"-")</f>
        <v>-</v>
      </c>
      <c r="AE23" s="1703">
        <f>IFERROR(VLOOKUP(A23,salesInv!$D$8:$I$494,3,FALSE),"-")</f>
        <v>45000</v>
      </c>
      <c r="AF23" s="1703">
        <f>IFERROR(VLOOKUP(A23,salesInv!$D$8:$I$494,4,FALSE),"-")</f>
        <v>2250</v>
      </c>
      <c r="AG23" s="1703">
        <f>IFERROR(VLOOKUP(A23,salesInv!$D$8:$I$494,6,FALSE),"-")</f>
        <v>0</v>
      </c>
      <c r="AH23" s="1703">
        <f>COUNTIF(salesInv!$D$8:$D$494,ProH!A23)</f>
        <v>1</v>
      </c>
      <c r="AI23" s="1704">
        <f>SUMIFS(srpro!$F$10:$F$3010,srpro!$B$10:$B$3010,ProH!A23)</f>
        <v>337500.47142857139</v>
      </c>
      <c r="AJ23" s="1704">
        <f>SUMIFS(srpro!$E$10:$E$3010,srpro!$B$10:$B$3010,ProH!A23)</f>
        <v>300709.17</v>
      </c>
      <c r="AK23" s="1704"/>
    </row>
    <row r="24" spans="1:37" ht="15.75">
      <c r="A24" s="1631">
        <v>216</v>
      </c>
      <c r="B24" s="1628" t="s">
        <v>300</v>
      </c>
      <c r="C24" s="1629" t="s">
        <v>671</v>
      </c>
      <c r="D24" s="1407" t="s">
        <v>672</v>
      </c>
      <c r="E24" s="1407" t="s">
        <v>5135</v>
      </c>
      <c r="F24" s="1404">
        <v>2827625</v>
      </c>
      <c r="G24" s="1404"/>
      <c r="H24" s="1404" t="s">
        <v>674</v>
      </c>
      <c r="I24" s="1407" t="s">
        <v>673</v>
      </c>
      <c r="J24" s="1408">
        <v>165000</v>
      </c>
      <c r="K24" s="1408">
        <v>30000</v>
      </c>
      <c r="L24" s="1393" t="s">
        <v>675</v>
      </c>
      <c r="M24" s="1393"/>
      <c r="N24" s="1394">
        <v>0.05</v>
      </c>
      <c r="O24" s="1394">
        <v>0.15</v>
      </c>
      <c r="P24" s="1394">
        <v>0</v>
      </c>
      <c r="Q24" s="1396"/>
      <c r="R24" s="1396"/>
      <c r="S24" s="1396"/>
      <c r="T24" s="1396"/>
      <c r="U24" s="1396"/>
      <c r="V24" s="1396"/>
      <c r="W24" s="1396"/>
      <c r="X24" s="1396"/>
      <c r="Y24" s="1396"/>
      <c r="Z24" s="1396"/>
      <c r="AA24" s="1396"/>
      <c r="AB24" s="1396"/>
      <c r="AC24" s="1701" t="str">
        <f>IFERROR(VLOOKUP(A24,salesInv!$D$8:$AM$494,35,FALSE),"-")</f>
        <v>H/M/03/2024</v>
      </c>
      <c r="AD24" s="1702" t="str">
        <f>IFERROR(VLOOKUP(A24,salesInv!$D$8:$AM$494,36,FALSE),"-")</f>
        <v>-</v>
      </c>
      <c r="AE24" s="1703">
        <f>IFERROR(VLOOKUP(A24,salesInv!$D$8:$I$494,3,FALSE),"-")</f>
        <v>60720</v>
      </c>
      <c r="AF24" s="1703">
        <f>IFERROR(VLOOKUP(A24,salesInv!$D$8:$I$494,4,FALSE),"-")</f>
        <v>3036</v>
      </c>
      <c r="AG24" s="1703">
        <f>IFERROR(VLOOKUP(A24,salesInv!$D$8:$I$494,6,FALSE),"-")</f>
        <v>63756</v>
      </c>
      <c r="AH24" s="1703">
        <f>COUNTIF(salesInv!$D$8:$D$494,ProH!A24)</f>
        <v>5</v>
      </c>
      <c r="AI24" s="1704">
        <f>SUMIFS(srpro!$F$10:$F$3010,srpro!$B$10:$B$3010,ProH!A24)</f>
        <v>188250</v>
      </c>
      <c r="AJ24" s="1704">
        <f>SUMIFS(srpro!$E$10:$E$3010,srpro!$B$10:$B$3010,ProH!A24)</f>
        <v>142979.09</v>
      </c>
      <c r="AK24" s="1704"/>
    </row>
    <row r="25" spans="1:37" ht="15.75" customHeight="1">
      <c r="A25" s="1631">
        <v>217</v>
      </c>
      <c r="B25" s="1628" t="s">
        <v>296</v>
      </c>
      <c r="C25" s="1629" t="s">
        <v>649</v>
      </c>
      <c r="D25" s="1404" t="s">
        <v>323</v>
      </c>
      <c r="E25" s="1407" t="s">
        <v>5135</v>
      </c>
      <c r="F25" s="1404">
        <v>2827624</v>
      </c>
      <c r="G25" s="1404"/>
      <c r="H25" s="1406" t="s">
        <v>651</v>
      </c>
      <c r="I25" s="1407" t="s">
        <v>650</v>
      </c>
      <c r="J25" s="1408">
        <v>175000</v>
      </c>
      <c r="K25" s="1408">
        <v>3000</v>
      </c>
      <c r="L25" s="1393" t="s">
        <v>652</v>
      </c>
      <c r="M25" s="1393"/>
      <c r="N25" s="1394">
        <v>0.05</v>
      </c>
      <c r="O25" s="1394">
        <v>0.15</v>
      </c>
      <c r="P25" s="1394">
        <v>0</v>
      </c>
      <c r="Q25" s="1396"/>
      <c r="R25" s="1396"/>
      <c r="S25" s="1396"/>
      <c r="T25" s="1396"/>
      <c r="U25" s="1396"/>
      <c r="V25" s="1396"/>
      <c r="W25" s="1396"/>
      <c r="X25" s="1396"/>
      <c r="Y25" s="1396"/>
      <c r="Z25" s="1396"/>
      <c r="AA25" s="1396"/>
      <c r="AB25" s="1396"/>
      <c r="AC25" s="1701" t="str">
        <f>IFERROR(VLOOKUP(A25,salesInv!$D$8:$AM$494,35,FALSE),"-")</f>
        <v>H/M/46/2024</v>
      </c>
      <c r="AD25" s="1702" t="str">
        <f>IFERROR(VLOOKUP(A25,salesInv!$D$8:$AM$494,36,FALSE),"-")</f>
        <v>-</v>
      </c>
      <c r="AE25" s="1703">
        <f>IFERROR(VLOOKUP(A25,salesInv!$D$8:$I$494,3,FALSE),"-")</f>
        <v>65800</v>
      </c>
      <c r="AF25" s="1703">
        <f>IFERROR(VLOOKUP(A25,salesInv!$D$8:$I$494,4,FALSE),"-")</f>
        <v>3290</v>
      </c>
      <c r="AG25" s="1703">
        <f>IFERROR(VLOOKUP(A25,salesInv!$D$8:$I$494,6,FALSE),"-")</f>
        <v>69090</v>
      </c>
      <c r="AH25" s="1703">
        <f>COUNTIF(salesInv!$D$8:$D$494,ProH!A25)</f>
        <v>4</v>
      </c>
      <c r="AI25" s="1704">
        <f>SUMIFS(srpro!$F$10:$F$3010,srpro!$B$10:$B$3010,ProH!A25)</f>
        <v>179077.5</v>
      </c>
      <c r="AJ25" s="1704">
        <f>SUMIFS(srpro!$E$10:$E$3010,srpro!$B$10:$B$3010,ProH!A25)</f>
        <v>152930.56599999999</v>
      </c>
      <c r="AK25" s="1704"/>
    </row>
    <row r="26" spans="1:37" ht="15.75" customHeight="1">
      <c r="A26" s="1631">
        <v>218</v>
      </c>
      <c r="B26" s="1628" t="s">
        <v>153</v>
      </c>
      <c r="C26" s="1630" t="s">
        <v>528</v>
      </c>
      <c r="D26" s="1404" t="s">
        <v>529</v>
      </c>
      <c r="E26" s="1404" t="s">
        <v>5136</v>
      </c>
      <c r="F26" s="1404">
        <v>2822704</v>
      </c>
      <c r="G26" s="1404"/>
      <c r="H26" s="1404" t="s">
        <v>531</v>
      </c>
      <c r="I26" s="1404" t="s">
        <v>530</v>
      </c>
      <c r="J26" s="1408">
        <v>160000</v>
      </c>
      <c r="K26" s="1408">
        <v>9000</v>
      </c>
      <c r="L26" s="1393" t="s">
        <v>532</v>
      </c>
      <c r="M26" s="1393"/>
      <c r="N26" s="1394">
        <v>0.05</v>
      </c>
      <c r="O26" s="1394">
        <v>0.2</v>
      </c>
      <c r="P26" s="1394">
        <v>0</v>
      </c>
      <c r="Q26" s="1396"/>
      <c r="R26" s="1396"/>
      <c r="S26" s="1396"/>
      <c r="T26" s="1396"/>
      <c r="U26" s="1396"/>
      <c r="V26" s="1396"/>
      <c r="W26" s="1396"/>
      <c r="X26" s="1396"/>
      <c r="Y26" s="1396"/>
      <c r="Z26" s="1396"/>
      <c r="AA26" s="1396"/>
      <c r="AB26" s="1396"/>
      <c r="AC26" s="1701" t="str">
        <f>IFERROR(VLOOKUP(A26,salesInv!$D$8:$AM$494,35,FALSE),"-")</f>
        <v>H/M/20/2024</v>
      </c>
      <c r="AD26" s="1702" t="str">
        <f>IFERROR(VLOOKUP(A26,salesInv!$D$8:$AM$494,36,FALSE),"-")</f>
        <v>-</v>
      </c>
      <c r="AE26" s="1703">
        <f>IFERROR(VLOOKUP(A26,salesInv!$D$8:$I$494,3,FALSE),"-")</f>
        <v>61645</v>
      </c>
      <c r="AF26" s="1703">
        <f>IFERROR(VLOOKUP(A26,salesInv!$D$8:$I$494,4,FALSE),"-")</f>
        <v>3082.25</v>
      </c>
      <c r="AG26" s="1703">
        <f>IFERROR(VLOOKUP(A26,salesInv!$D$8:$I$494,6,FALSE),"-")</f>
        <v>64727.25</v>
      </c>
      <c r="AH26" s="1703">
        <f>COUNTIF(salesInv!$D$8:$D$494,ProH!A26)</f>
        <v>1</v>
      </c>
      <c r="AI26" s="1704">
        <f>SUMIFS(srpro!$F$10:$F$3010,srpro!$B$10:$B$3010,ProH!A26)</f>
        <v>158894.76</v>
      </c>
      <c r="AJ26" s="1704">
        <f>SUMIFS(srpro!$E$10:$E$3010,srpro!$B$10:$B$3010,ProH!A26)</f>
        <v>121187.35250000001</v>
      </c>
      <c r="AK26" s="1704"/>
    </row>
    <row r="27" spans="1:37" ht="15.75" customHeight="1">
      <c r="A27" s="1631">
        <v>219</v>
      </c>
      <c r="B27" s="1628" t="s">
        <v>5680</v>
      </c>
      <c r="C27" s="1629" t="s">
        <v>369</v>
      </c>
      <c r="D27" s="1404" t="s">
        <v>370</v>
      </c>
      <c r="E27" s="1404" t="s">
        <v>371</v>
      </c>
      <c r="F27" s="1404">
        <v>71110925</v>
      </c>
      <c r="G27" s="1404"/>
      <c r="H27" s="1406" t="s">
        <v>373</v>
      </c>
      <c r="I27" s="1404" t="s">
        <v>372</v>
      </c>
      <c r="J27" s="1408">
        <v>135000</v>
      </c>
      <c r="K27" s="1408"/>
      <c r="L27" s="1393" t="s">
        <v>374</v>
      </c>
      <c r="M27" s="1393"/>
      <c r="N27" s="1394"/>
      <c r="O27" s="1394"/>
      <c r="P27" s="1394"/>
      <c r="Q27" s="1396"/>
      <c r="R27" s="1396"/>
      <c r="S27" s="1396"/>
      <c r="T27" s="1396"/>
      <c r="U27" s="1396"/>
      <c r="V27" s="1396"/>
      <c r="W27" s="1396"/>
      <c r="X27" s="1396"/>
      <c r="Y27" s="1396"/>
      <c r="Z27" s="1396"/>
      <c r="AA27" s="1396"/>
      <c r="AB27" s="1396"/>
      <c r="AC27" s="1701" t="str">
        <f>IFERROR(VLOOKUP(A27,salesInv!$D$8:$AM$494,35,FALSE),"-")</f>
        <v>H/M/114/2024</v>
      </c>
      <c r="AD27" s="1702">
        <f>IFERROR(VLOOKUP(A27,salesInv!$D$8:$AM$494,36,FALSE),"-")</f>
        <v>45571</v>
      </c>
      <c r="AE27" s="1703">
        <f>IFERROR(VLOOKUP(A27,salesInv!$D$8:$I$494,3,FALSE),"-")</f>
        <v>6750</v>
      </c>
      <c r="AF27" s="1703">
        <f>IFERROR(VLOOKUP(A27,salesInv!$D$8:$I$494,4,FALSE),"-")</f>
        <v>337.5</v>
      </c>
      <c r="AG27" s="1703">
        <f>IFERROR(VLOOKUP(A27,salesInv!$D$8:$I$494,6,FALSE),"-")</f>
        <v>7087.5</v>
      </c>
      <c r="AH27" s="1703">
        <f>COUNTIF(salesInv!$D$8:$D$494,ProH!A27)</f>
        <v>1</v>
      </c>
      <c r="AI27" s="1704">
        <f>SUMIFS(srpro!$F$10:$F$3010,srpro!$B$10:$B$3010,ProH!A27)</f>
        <v>123250</v>
      </c>
      <c r="AJ27" s="1704">
        <f>SUMIFS(srpro!$E$10:$E$3010,srpro!$B$10:$B$3010,ProH!A27)</f>
        <v>96470.75</v>
      </c>
      <c r="AK27" s="1704"/>
    </row>
    <row r="28" spans="1:37" ht="15.75" customHeight="1">
      <c r="A28" s="1631">
        <v>220</v>
      </c>
      <c r="B28" s="1628" t="s">
        <v>290</v>
      </c>
      <c r="C28" s="1629" t="s">
        <v>754</v>
      </c>
      <c r="D28" s="1404"/>
      <c r="E28" s="1404" t="s">
        <v>585</v>
      </c>
      <c r="F28" s="1404">
        <v>9310127</v>
      </c>
      <c r="G28" s="1404"/>
      <c r="H28" s="1404" t="s">
        <v>753</v>
      </c>
      <c r="I28" s="1404" t="s">
        <v>752</v>
      </c>
      <c r="J28" s="1408">
        <v>165000</v>
      </c>
      <c r="K28" s="1408"/>
      <c r="L28" s="1393" t="s">
        <v>755</v>
      </c>
      <c r="M28" s="1393" t="s">
        <v>756</v>
      </c>
      <c r="N28" s="1394">
        <v>0.05</v>
      </c>
      <c r="O28" s="1394">
        <v>0.2</v>
      </c>
      <c r="P28" s="1394">
        <v>0</v>
      </c>
      <c r="Q28" s="1396"/>
      <c r="R28" s="1396"/>
      <c r="S28" s="1396"/>
      <c r="T28" s="1396"/>
      <c r="U28" s="1396"/>
      <c r="V28" s="1396"/>
      <c r="W28" s="1396"/>
      <c r="X28" s="1396"/>
      <c r="Y28" s="1396"/>
      <c r="Z28" s="1396"/>
      <c r="AA28" s="1396"/>
      <c r="AB28" s="1396"/>
      <c r="AC28" s="1701" t="str">
        <f>IFERROR(VLOOKUP(A28,salesInv!$D$8:$AM$494,35,FALSE),"-")</f>
        <v>-</v>
      </c>
      <c r="AD28" s="1702" t="str">
        <f>IFERROR(VLOOKUP(A28,salesInv!$D$8:$AM$494,36,FALSE),"-")</f>
        <v>-</v>
      </c>
      <c r="AE28" s="1703" t="str">
        <f>IFERROR(VLOOKUP(A28,salesInv!$D$8:$I$494,3,FALSE),"-")</f>
        <v>-</v>
      </c>
      <c r="AF28" s="1703" t="str">
        <f>IFERROR(VLOOKUP(A28,salesInv!$D$8:$I$494,4,FALSE),"-")</f>
        <v>-</v>
      </c>
      <c r="AG28" s="1703" t="str">
        <f>IFERROR(VLOOKUP(A28,salesInv!$D$8:$I$494,6,FALSE),"-")</f>
        <v>-</v>
      </c>
      <c r="AH28" s="1703">
        <f>COUNTIF(salesInv!$D$8:$D$494,ProH!A28)</f>
        <v>0</v>
      </c>
      <c r="AI28" s="1704">
        <f>SUMIFS(srpro!$F$10:$F$3010,srpro!$B$10:$B$3010,ProH!A28)</f>
        <v>104875</v>
      </c>
      <c r="AJ28" s="1704">
        <f>SUMIFS(srpro!$E$10:$E$3010,srpro!$B$10:$B$3010,ProH!A28)</f>
        <v>65281.450000000004</v>
      </c>
      <c r="AK28" s="1704"/>
    </row>
    <row r="29" spans="1:37" ht="15.75" customHeight="1">
      <c r="A29" s="1631">
        <v>221</v>
      </c>
      <c r="B29" s="1628" t="s">
        <v>305</v>
      </c>
      <c r="C29" s="1629" t="s">
        <v>501</v>
      </c>
      <c r="D29" s="1404" t="s">
        <v>323</v>
      </c>
      <c r="E29" s="1404" t="s">
        <v>5137</v>
      </c>
      <c r="F29" s="1404">
        <v>7115084</v>
      </c>
      <c r="G29" s="1404"/>
      <c r="H29" s="1406" t="s">
        <v>503</v>
      </c>
      <c r="I29" s="1404" t="s">
        <v>502</v>
      </c>
      <c r="J29" s="1408">
        <v>135000</v>
      </c>
      <c r="K29" s="1408">
        <v>9000</v>
      </c>
      <c r="L29" s="1393" t="s">
        <v>504</v>
      </c>
      <c r="M29" s="1393" t="s">
        <v>505</v>
      </c>
      <c r="N29" s="1394">
        <v>0.05</v>
      </c>
      <c r="O29" s="1394">
        <v>0.2</v>
      </c>
      <c r="P29" s="1394">
        <v>0</v>
      </c>
      <c r="Q29" s="1396"/>
      <c r="R29" s="1396"/>
      <c r="S29" s="1396"/>
      <c r="T29" s="1396"/>
      <c r="U29" s="1396"/>
      <c r="V29" s="1396"/>
      <c r="W29" s="1396"/>
      <c r="X29" s="1396"/>
      <c r="Y29" s="1396"/>
      <c r="Z29" s="1396"/>
      <c r="AA29" s="1396"/>
      <c r="AB29" s="1396"/>
      <c r="AC29" s="1701" t="str">
        <f>IFERROR(VLOOKUP(A29,salesInv!$D$8:$AM$494,35,FALSE),"-")</f>
        <v>H/M/21/2024</v>
      </c>
      <c r="AD29" s="1702" t="str">
        <f>IFERROR(VLOOKUP(A29,salesInv!$D$8:$AM$494,36,FALSE),"-")</f>
        <v>-</v>
      </c>
      <c r="AE29" s="1703">
        <f>IFERROR(VLOOKUP(A29,salesInv!$D$8:$I$494,3,FALSE),"-")</f>
        <v>50670</v>
      </c>
      <c r="AF29" s="1703">
        <f>IFERROR(VLOOKUP(A29,salesInv!$D$8:$I$494,4,FALSE),"-")</f>
        <v>2533.5</v>
      </c>
      <c r="AG29" s="1703">
        <f>IFERROR(VLOOKUP(A29,salesInv!$D$8:$I$494,6,FALSE),"-")</f>
        <v>53300</v>
      </c>
      <c r="AH29" s="1703">
        <f>COUNTIF(salesInv!$D$8:$D$494,ProH!A29)</f>
        <v>3</v>
      </c>
      <c r="AI29" s="1704">
        <f>SUMIFS(srpro!$F$10:$F$3010,srpro!$B$10:$B$3010,ProH!A29)</f>
        <v>144270</v>
      </c>
      <c r="AJ29" s="1704">
        <f>SUMIFS(srpro!$E$10:$E$3010,srpro!$B$10:$B$3010,ProH!A29)</f>
        <v>117426.29750000002</v>
      </c>
      <c r="AK29" s="1704"/>
    </row>
    <row r="30" spans="1:37" ht="15.75" customHeight="1">
      <c r="A30" s="1631">
        <v>207</v>
      </c>
      <c r="B30" s="1628" t="s">
        <v>1349</v>
      </c>
      <c r="C30" s="1629" t="s">
        <v>501</v>
      </c>
      <c r="D30" s="1404" t="s">
        <v>323</v>
      </c>
      <c r="E30" s="1404" t="s">
        <v>1007</v>
      </c>
      <c r="F30" s="1404">
        <v>7115084</v>
      </c>
      <c r="G30" s="1404"/>
      <c r="H30" s="1406" t="s">
        <v>1009</v>
      </c>
      <c r="I30" s="1404" t="s">
        <v>1008</v>
      </c>
      <c r="J30" s="1408">
        <v>135000</v>
      </c>
      <c r="K30" s="1408">
        <v>9000</v>
      </c>
      <c r="L30" s="1393"/>
      <c r="M30" s="1393"/>
      <c r="N30" s="1394">
        <v>0.05</v>
      </c>
      <c r="O30" s="1394">
        <v>0.2</v>
      </c>
      <c r="P30" s="1394">
        <v>0</v>
      </c>
      <c r="Q30" s="1396"/>
      <c r="R30" s="1396"/>
      <c r="S30" s="1396"/>
      <c r="T30" s="1396"/>
      <c r="U30" s="1396"/>
      <c r="V30" s="1396"/>
      <c r="W30" s="1396"/>
      <c r="X30" s="1396"/>
      <c r="Y30" s="1396"/>
      <c r="Z30" s="1396"/>
      <c r="AA30" s="1396"/>
      <c r="AB30" s="1396"/>
      <c r="AC30" s="1701" t="str">
        <f>IFERROR(VLOOKUP(A30,salesInv!$D$8:$AM$494,35,FALSE),"-")</f>
        <v>-</v>
      </c>
      <c r="AD30" s="1702" t="str">
        <f>IFERROR(VLOOKUP(A30,salesInv!$D$8:$AM$494,36,FALSE),"-")</f>
        <v>-</v>
      </c>
      <c r="AE30" s="1703" t="str">
        <f>IFERROR(VLOOKUP(A30,salesInv!$D$8:$I$494,3,FALSE),"-")</f>
        <v>-</v>
      </c>
      <c r="AF30" s="1703" t="str">
        <f>IFERROR(VLOOKUP(A30,salesInv!$D$8:$I$494,4,FALSE),"-")</f>
        <v>-</v>
      </c>
      <c r="AG30" s="1703" t="str">
        <f>IFERROR(VLOOKUP(A30,salesInv!$D$8:$I$494,6,FALSE),"-")</f>
        <v>-</v>
      </c>
      <c r="AH30" s="1703">
        <f>COUNTIF(salesInv!$D$8:$D$494,ProH!A30)</f>
        <v>0</v>
      </c>
      <c r="AI30" s="1704">
        <f>SUMIFS(srpro!$F$10:$F$3010,srpro!$B$10:$B$3010,ProH!A30)</f>
        <v>9750</v>
      </c>
      <c r="AJ30" s="1704">
        <f>SUMIFS(srpro!$E$10:$E$3010,srpro!$B$10:$B$3010,ProH!A30)</f>
        <v>0</v>
      </c>
      <c r="AK30" s="1704"/>
    </row>
    <row r="31" spans="1:37" ht="15.75" customHeight="1">
      <c r="A31" s="1631">
        <v>222</v>
      </c>
      <c r="B31" s="1628" t="s">
        <v>306</v>
      </c>
      <c r="C31" s="1629" t="s">
        <v>489</v>
      </c>
      <c r="D31" s="1404" t="s">
        <v>490</v>
      </c>
      <c r="E31" s="1404" t="s">
        <v>5136</v>
      </c>
      <c r="F31" s="1404">
        <v>2822300</v>
      </c>
      <c r="G31" s="1404"/>
      <c r="H31" s="1406" t="s">
        <v>492</v>
      </c>
      <c r="I31" s="1407" t="s">
        <v>491</v>
      </c>
      <c r="J31" s="1408">
        <v>170000</v>
      </c>
      <c r="K31" s="1408"/>
      <c r="L31" s="1393" t="s">
        <v>493</v>
      </c>
      <c r="M31" s="1393"/>
      <c r="N31" s="1394">
        <v>0.05</v>
      </c>
      <c r="O31" s="1394">
        <v>0.15</v>
      </c>
      <c r="P31" s="1394">
        <v>0</v>
      </c>
      <c r="Q31" s="1396"/>
      <c r="R31" s="1396"/>
      <c r="S31" s="1396"/>
      <c r="T31" s="1396"/>
      <c r="U31" s="1396"/>
      <c r="V31" s="1396"/>
      <c r="W31" s="1396"/>
      <c r="X31" s="1396"/>
      <c r="Y31" s="1396"/>
      <c r="Z31" s="1396"/>
      <c r="AA31" s="1396"/>
      <c r="AB31" s="1396"/>
      <c r="AC31" s="1701" t="str">
        <f>IFERROR(VLOOKUP(A31,salesInv!$D$8:$AM$494,35,FALSE),"-")</f>
        <v>H/M/11/2024</v>
      </c>
      <c r="AD31" s="1702" t="str">
        <f>IFERROR(VLOOKUP(A31,salesInv!$D$8:$AM$494,36,FALSE),"-")</f>
        <v>-</v>
      </c>
      <c r="AE31" s="1703">
        <f>IFERROR(VLOOKUP(A31,salesInv!$D$8:$I$494,3,FALSE),"-")</f>
        <v>62016</v>
      </c>
      <c r="AF31" s="1703">
        <f>IFERROR(VLOOKUP(A31,salesInv!$D$8:$I$494,4,FALSE),"-")</f>
        <v>3100.8</v>
      </c>
      <c r="AG31" s="1703">
        <f>IFERROR(VLOOKUP(A31,salesInv!$D$8:$I$494,6,FALSE),"-")</f>
        <v>65116.800000000003</v>
      </c>
      <c r="AH31" s="1703">
        <f>COUNTIF(salesInv!$D$8:$D$494,ProH!A31)</f>
        <v>2</v>
      </c>
      <c r="AI31" s="1704">
        <f>SUMIFS(srpro!$F$10:$F$3010,srpro!$B$10:$B$3010,ProH!A31)</f>
        <v>170000</v>
      </c>
      <c r="AJ31" s="1704">
        <f>SUMIFS(srpro!$E$10:$E$3010,srpro!$B$10:$B$3010,ProH!A31)</f>
        <v>133707.19</v>
      </c>
      <c r="AK31" s="1704"/>
    </row>
    <row r="32" spans="1:37" ht="15.75" customHeight="1">
      <c r="A32" s="1631">
        <v>223</v>
      </c>
      <c r="B32" s="1628" t="s">
        <v>292</v>
      </c>
      <c r="C32" s="1629" t="s">
        <v>770</v>
      </c>
      <c r="D32" s="1404" t="s">
        <v>323</v>
      </c>
      <c r="E32" s="1404" t="s">
        <v>5138</v>
      </c>
      <c r="F32" s="1404">
        <v>71111233</v>
      </c>
      <c r="G32" s="1404"/>
      <c r="H32" s="1406" t="s">
        <v>771</v>
      </c>
      <c r="I32" s="1406" t="s">
        <v>415</v>
      </c>
      <c r="J32" s="1408">
        <v>100000</v>
      </c>
      <c r="K32" s="1408"/>
      <c r="L32" s="1393" t="s">
        <v>491</v>
      </c>
      <c r="M32" s="1393"/>
      <c r="N32" s="1394">
        <v>0</v>
      </c>
      <c r="O32" s="1394">
        <v>0.1</v>
      </c>
      <c r="P32" s="1394">
        <v>0</v>
      </c>
      <c r="Q32" s="1396"/>
      <c r="R32" s="1396"/>
      <c r="S32" s="1396"/>
      <c r="T32" s="1396"/>
      <c r="U32" s="1396"/>
      <c r="V32" s="1396"/>
      <c r="W32" s="1396"/>
      <c r="X32" s="1396"/>
      <c r="Y32" s="1396"/>
      <c r="Z32" s="1396"/>
      <c r="AA32" s="1396"/>
      <c r="AB32" s="1396"/>
      <c r="AC32" s="1701" t="str">
        <f>IFERROR(VLOOKUP(A32,salesInv!$D$8:$AM$494,35,FALSE),"-")</f>
        <v>H/M/30/2024</v>
      </c>
      <c r="AD32" s="1702" t="str">
        <f>IFERROR(VLOOKUP(A32,salesInv!$D$8:$AM$494,36,FALSE),"-")</f>
        <v>-</v>
      </c>
      <c r="AE32" s="1703">
        <f>IFERROR(VLOOKUP(A32,salesInv!$D$8:$I$494,3,FALSE),"-")</f>
        <v>4062.6</v>
      </c>
      <c r="AF32" s="1703">
        <f>IFERROR(VLOOKUP(A32,salesInv!$D$8:$I$494,4,FALSE),"-")</f>
        <v>203.13</v>
      </c>
      <c r="AG32" s="1703">
        <f>IFERROR(VLOOKUP(A32,salesInv!$D$8:$I$494,6,FALSE),"-")</f>
        <v>4265.7299999999996</v>
      </c>
      <c r="AH32" s="1703">
        <f>COUNTIF(salesInv!$D$8:$D$494,ProH!A32)</f>
        <v>1</v>
      </c>
      <c r="AI32" s="1704">
        <f>SUMIFS(srpro!$F$10:$F$3010,srpro!$B$10:$B$3010,ProH!A32)</f>
        <v>100102</v>
      </c>
      <c r="AJ32" s="1704">
        <f>SUMIFS(srpro!$E$10:$E$3010,srpro!$B$10:$B$3010,ProH!A32)</f>
        <v>70915.75</v>
      </c>
      <c r="AK32" s="1704"/>
    </row>
    <row r="33" spans="1:37" ht="15.75" customHeight="1">
      <c r="A33" s="1631">
        <v>225</v>
      </c>
      <c r="B33" s="1628" t="s">
        <v>626</v>
      </c>
      <c r="C33" s="1628" t="s">
        <v>626</v>
      </c>
      <c r="D33" s="1404" t="s">
        <v>627</v>
      </c>
      <c r="E33" s="1407" t="s">
        <v>5138</v>
      </c>
      <c r="F33" s="1404">
        <v>7116001</v>
      </c>
      <c r="G33" s="1404"/>
      <c r="H33" s="1406" t="s">
        <v>629</v>
      </c>
      <c r="I33" s="1412" t="s">
        <v>628</v>
      </c>
      <c r="J33" s="1413">
        <v>155000</v>
      </c>
      <c r="K33" s="1408">
        <v>10500</v>
      </c>
      <c r="L33" s="1393" t="s">
        <v>29</v>
      </c>
      <c r="M33" s="1393"/>
      <c r="N33" s="1394">
        <v>0.05</v>
      </c>
      <c r="O33" s="1394">
        <v>0.12</v>
      </c>
      <c r="P33" s="1394">
        <v>0</v>
      </c>
      <c r="Q33" s="1396"/>
      <c r="R33" s="1396"/>
      <c r="S33" s="1396"/>
      <c r="T33" s="1396"/>
      <c r="U33" s="1396"/>
      <c r="V33" s="1396"/>
      <c r="W33" s="1396"/>
      <c r="X33" s="1396"/>
      <c r="Y33" s="1396"/>
      <c r="Z33" s="1396"/>
      <c r="AA33" s="1396"/>
      <c r="AB33" s="1396"/>
      <c r="AC33" s="1701" t="str">
        <f>IFERROR(VLOOKUP(A33,salesInv!$D$8:$AM$494,35,FALSE),"-")</f>
        <v>H/M/06/2024</v>
      </c>
      <c r="AD33" s="1702" t="str">
        <f>IFERROR(VLOOKUP(A33,salesInv!$D$8:$AM$494,36,FALSE),"-")</f>
        <v>-</v>
      </c>
      <c r="AE33" s="1703">
        <f>IFERROR(VLOOKUP(A33,salesInv!$D$8:$I$494,3,FALSE),"-")</f>
        <v>64092</v>
      </c>
      <c r="AF33" s="1703">
        <f>IFERROR(VLOOKUP(A33,salesInv!$D$8:$I$494,4,FALSE),"-")</f>
        <v>3204.6000000000004</v>
      </c>
      <c r="AG33" s="1703">
        <f>IFERROR(VLOOKUP(A33,salesInv!$D$8:$I$494,6,FALSE),"-")</f>
        <v>67296.600000000006</v>
      </c>
      <c r="AH33" s="1703">
        <f>COUNTIF(salesInv!$D$8:$D$494,ProH!A33)</f>
        <v>3</v>
      </c>
      <c r="AI33" s="1704">
        <f>SUMIFS(srpro!$F$10:$F$3010,srpro!$B$10:$B$3010,ProH!A33)</f>
        <v>157749.96904761906</v>
      </c>
      <c r="AJ33" s="1704">
        <f>SUMIFS(srpro!$E$10:$E$3010,srpro!$B$10:$B$3010,ProH!A33)</f>
        <v>122126.06000000001</v>
      </c>
      <c r="AK33" s="1704"/>
    </row>
    <row r="34" spans="1:37" ht="15.75" customHeight="1">
      <c r="A34" s="1631">
        <v>226</v>
      </c>
      <c r="B34" s="1628" t="s">
        <v>809</v>
      </c>
      <c r="C34" s="1629" t="s">
        <v>810</v>
      </c>
      <c r="D34" s="1410" t="s">
        <v>323</v>
      </c>
      <c r="E34" s="1414" t="s">
        <v>5139</v>
      </c>
      <c r="F34" s="1415">
        <v>7116022</v>
      </c>
      <c r="G34" s="1404"/>
      <c r="H34" s="1416" t="s">
        <v>812</v>
      </c>
      <c r="I34" s="1417" t="s">
        <v>811</v>
      </c>
      <c r="J34" s="1408">
        <v>100000</v>
      </c>
      <c r="K34" s="1408">
        <v>5000</v>
      </c>
      <c r="L34" s="1393" t="s">
        <v>813</v>
      </c>
      <c r="M34" s="1393"/>
      <c r="N34" s="1394">
        <v>0.05</v>
      </c>
      <c r="O34" s="1394">
        <v>0.19</v>
      </c>
      <c r="P34" s="1394">
        <v>0</v>
      </c>
      <c r="Q34" s="1396"/>
      <c r="R34" s="1396"/>
      <c r="S34" s="1396"/>
      <c r="T34" s="1396"/>
      <c r="U34" s="1396"/>
      <c r="V34" s="1396"/>
      <c r="W34" s="1396"/>
      <c r="X34" s="1396"/>
      <c r="Y34" s="1396"/>
      <c r="Z34" s="1396"/>
      <c r="AA34" s="1396"/>
      <c r="AB34" s="1396"/>
      <c r="AC34" s="1701" t="str">
        <f>IFERROR(VLOOKUP(A34,salesInv!$D$8:$AM$494,35,FALSE),"-")</f>
        <v>-</v>
      </c>
      <c r="AD34" s="1702" t="str">
        <f>IFERROR(VLOOKUP(A34,salesInv!$D$8:$AM$494,36,FALSE),"-")</f>
        <v>-</v>
      </c>
      <c r="AE34" s="1703" t="str">
        <f>IFERROR(VLOOKUP(A34,salesInv!$D$8:$I$494,3,FALSE),"-")</f>
        <v>-</v>
      </c>
      <c r="AF34" s="1703" t="str">
        <f>IFERROR(VLOOKUP(A34,salesInv!$D$8:$I$494,4,FALSE),"-")</f>
        <v>-</v>
      </c>
      <c r="AG34" s="1703" t="str">
        <f>IFERROR(VLOOKUP(A34,salesInv!$D$8:$I$494,6,FALSE),"-")</f>
        <v>-</v>
      </c>
      <c r="AH34" s="1703">
        <f>COUNTIF(salesInv!$D$8:$D$494,ProH!A34)</f>
        <v>0</v>
      </c>
      <c r="AI34" s="1704">
        <f>SUMIFS(srpro!$F$10:$F$3010,srpro!$B$10:$B$3010,ProH!A34)</f>
        <v>19047.619047619046</v>
      </c>
      <c r="AJ34" s="1704">
        <f>SUMIFS(srpro!$E$10:$E$3010,srpro!$B$10:$B$3010,ProH!A34)</f>
        <v>9232.24</v>
      </c>
      <c r="AK34" s="1704"/>
    </row>
    <row r="35" spans="1:37" ht="15.75" customHeight="1">
      <c r="A35" s="1631">
        <v>227</v>
      </c>
      <c r="B35" s="1628" t="s">
        <v>272</v>
      </c>
      <c r="C35" s="1629" t="s">
        <v>413</v>
      </c>
      <c r="D35" s="1407" t="s">
        <v>5140</v>
      </c>
      <c r="E35" s="1407" t="s">
        <v>5141</v>
      </c>
      <c r="F35" s="1404">
        <v>9131306</v>
      </c>
      <c r="G35" s="1404"/>
      <c r="H35" s="1406" t="s">
        <v>415</v>
      </c>
      <c r="I35" s="1407" t="s">
        <v>414</v>
      </c>
      <c r="J35" s="1408">
        <v>295000</v>
      </c>
      <c r="K35" s="1408"/>
      <c r="L35" s="1393" t="s">
        <v>417</v>
      </c>
      <c r="M35" s="1393"/>
      <c r="N35" s="1394">
        <v>0.05</v>
      </c>
      <c r="O35" s="1394">
        <v>0.19</v>
      </c>
      <c r="P35" s="1394">
        <v>0</v>
      </c>
      <c r="Q35" s="1396"/>
      <c r="R35" s="1396"/>
      <c r="S35" s="1396"/>
      <c r="T35" s="1396"/>
      <c r="U35" s="1396"/>
      <c r="V35" s="1396"/>
      <c r="W35" s="1396"/>
      <c r="X35" s="1396"/>
      <c r="Y35" s="1396"/>
      <c r="Z35" s="1396"/>
      <c r="AA35" s="1396"/>
      <c r="AB35" s="1396"/>
      <c r="AC35" s="1701" t="str">
        <f>IFERROR(VLOOKUP(A35,salesInv!$D$8:$AM$494,35,FALSE),"-")</f>
        <v>H/M/13/2024</v>
      </c>
      <c r="AD35" s="1702" t="str">
        <f>IFERROR(VLOOKUP(A35,salesInv!$D$8:$AM$494,36,FALSE),"-")</f>
        <v>-</v>
      </c>
      <c r="AE35" s="1703">
        <f>IFERROR(VLOOKUP(A35,salesInv!$D$8:$I$494,3,FALSE),"-")</f>
        <v>117753.5</v>
      </c>
      <c r="AF35" s="1703">
        <f>IFERROR(VLOOKUP(A35,salesInv!$D$8:$I$494,4,FALSE),"-")</f>
        <v>5887.6750000000002</v>
      </c>
      <c r="AG35" s="1703">
        <f>IFERROR(VLOOKUP(A35,salesInv!$D$8:$I$494,6,FALSE),"-")</f>
        <v>123641.18</v>
      </c>
      <c r="AH35" s="1703">
        <f>COUNTIF(salesInv!$D$8:$D$494,ProH!A35)</f>
        <v>2</v>
      </c>
      <c r="AI35" s="1704">
        <f>SUMIFS(srpro!$F$10:$F$3010,srpro!$B$10:$B$3010,ProH!A35)</f>
        <v>284144.33</v>
      </c>
      <c r="AJ35" s="1704">
        <f>SUMIFS(srpro!$E$10:$E$3010,srpro!$B$10:$B$3010,ProH!A35)</f>
        <v>202185.33</v>
      </c>
      <c r="AK35" s="1704"/>
    </row>
    <row r="36" spans="1:37" ht="15.75" customHeight="1">
      <c r="A36" s="1631">
        <v>228</v>
      </c>
      <c r="B36" s="1628" t="s">
        <v>297</v>
      </c>
      <c r="C36" s="1629" t="s">
        <v>1337</v>
      </c>
      <c r="D36" s="1404"/>
      <c r="E36" s="1404"/>
      <c r="F36" s="1404"/>
      <c r="G36" s="1404"/>
      <c r="H36" s="1406"/>
      <c r="I36" s="1404"/>
      <c r="J36" s="1408">
        <v>39000</v>
      </c>
      <c r="K36" s="1408"/>
      <c r="L36" s="1393" t="s">
        <v>873</v>
      </c>
      <c r="M36" s="1393" t="s">
        <v>874</v>
      </c>
      <c r="N36" s="1394">
        <v>0.15</v>
      </c>
      <c r="O36" s="1394">
        <v>0.85</v>
      </c>
      <c r="P36" s="1394">
        <v>0</v>
      </c>
      <c r="Q36" s="1396"/>
      <c r="R36" s="1396"/>
      <c r="S36" s="1396"/>
      <c r="T36" s="1396"/>
      <c r="U36" s="1396"/>
      <c r="V36" s="1396"/>
      <c r="W36" s="1396"/>
      <c r="X36" s="1396"/>
      <c r="Y36" s="1396"/>
      <c r="Z36" s="1396"/>
      <c r="AA36" s="1396"/>
      <c r="AB36" s="1396"/>
      <c r="AC36" s="1701" t="str">
        <f>IFERROR(VLOOKUP(A36,salesInv!$D$8:$AM$494,35,FALSE),"-")</f>
        <v>H/M/73/2024</v>
      </c>
      <c r="AD36" s="1702" t="str">
        <f>IFERROR(VLOOKUP(A36,salesInv!$D$8:$AM$494,36,FALSE),"-")</f>
        <v>-</v>
      </c>
      <c r="AE36" s="1703">
        <f>IFERROR(VLOOKUP(A36,salesInv!$D$8:$I$494,3,FALSE),"-")</f>
        <v>21150</v>
      </c>
      <c r="AF36" s="1703">
        <f>IFERROR(VLOOKUP(A36,salesInv!$D$8:$I$494,4,FALSE),"-")</f>
        <v>1057.5</v>
      </c>
      <c r="AG36" s="1703">
        <f>IFERROR(VLOOKUP(A36,salesInv!$D$8:$I$494,6,FALSE),"-")</f>
        <v>22200</v>
      </c>
      <c r="AH36" s="1703">
        <f>COUNTIF(salesInv!$D$8:$D$494,ProH!A36)</f>
        <v>1</v>
      </c>
      <c r="AI36" s="1704">
        <f>SUMIFS(srpro!$F$10:$F$3010,srpro!$B$10:$B$3010,ProH!A36)</f>
        <v>33150</v>
      </c>
      <c r="AJ36" s="1704">
        <f>SUMIFS(srpro!$E$10:$E$3010,srpro!$B$10:$B$3010,ProH!A36)</f>
        <v>28561.81</v>
      </c>
      <c r="AK36" s="1704"/>
    </row>
    <row r="37" spans="1:37" ht="15.75" customHeight="1">
      <c r="A37" s="1631">
        <v>229</v>
      </c>
      <c r="B37" s="1628" t="s">
        <v>1022</v>
      </c>
      <c r="C37" s="1629" t="s">
        <v>1015</v>
      </c>
      <c r="D37" s="1404" t="s">
        <v>1018</v>
      </c>
      <c r="E37" s="1404" t="s">
        <v>1017</v>
      </c>
      <c r="F37" s="1404">
        <v>9310131</v>
      </c>
      <c r="G37" s="1404" t="s">
        <v>1019</v>
      </c>
      <c r="H37" s="1406" t="s">
        <v>1016</v>
      </c>
      <c r="I37" s="1404" t="s">
        <v>1020</v>
      </c>
      <c r="J37" s="1408">
        <v>197000</v>
      </c>
      <c r="K37" s="1408">
        <v>15000</v>
      </c>
      <c r="L37" s="1393" t="s">
        <v>1021</v>
      </c>
      <c r="M37" s="1393"/>
      <c r="N37" s="1394">
        <v>0.05</v>
      </c>
      <c r="O37" s="1394">
        <v>0.2</v>
      </c>
      <c r="P37" s="1394">
        <v>0</v>
      </c>
      <c r="Q37" s="1396"/>
      <c r="R37" s="1396"/>
      <c r="S37" s="1396"/>
      <c r="T37" s="1396"/>
      <c r="U37" s="1396"/>
      <c r="V37" s="1396"/>
      <c r="W37" s="1396"/>
      <c r="X37" s="1396"/>
      <c r="Y37" s="1396"/>
      <c r="Z37" s="1396"/>
      <c r="AA37" s="1396"/>
      <c r="AB37" s="1396"/>
      <c r="AC37" s="1701" t="str">
        <f>IFERROR(VLOOKUP(A37,salesInv!$D$8:$AM$494,35,FALSE),"-")</f>
        <v>-</v>
      </c>
      <c r="AD37" s="1702" t="str">
        <f>IFERROR(VLOOKUP(A37,salesInv!$D$8:$AM$494,36,FALSE),"-")</f>
        <v>-</v>
      </c>
      <c r="AE37" s="1703" t="str">
        <f>IFERROR(VLOOKUP(A37,salesInv!$D$8:$I$494,3,FALSE),"-")</f>
        <v>-</v>
      </c>
      <c r="AF37" s="1703" t="str">
        <f>IFERROR(VLOOKUP(A37,salesInv!$D$8:$I$494,4,FALSE),"-")</f>
        <v>-</v>
      </c>
      <c r="AG37" s="1703" t="str">
        <f>IFERROR(VLOOKUP(A37,salesInv!$D$8:$I$494,6,FALSE),"-")</f>
        <v>-</v>
      </c>
      <c r="AH37" s="1703">
        <f>COUNTIF(salesInv!$D$8:$D$494,ProH!A37)</f>
        <v>0</v>
      </c>
      <c r="AI37" s="1704">
        <f>SUMIFS(srpro!$F$10:$F$3010,srpro!$B$10:$B$3010,ProH!A37)</f>
        <v>113275</v>
      </c>
      <c r="AJ37" s="1704">
        <f>SUMIFS(srpro!$E$10:$E$3010,srpro!$B$10:$B$3010,ProH!A37)</f>
        <v>59384</v>
      </c>
      <c r="AK37" s="1704"/>
    </row>
    <row r="38" spans="1:37" ht="15.75" customHeight="1">
      <c r="A38" s="1631">
        <v>230</v>
      </c>
      <c r="B38" s="1628" t="s">
        <v>5401</v>
      </c>
      <c r="C38" s="1629" t="s">
        <v>5402</v>
      </c>
      <c r="D38" s="1407" t="s">
        <v>326</v>
      </c>
      <c r="E38" s="1404" t="s">
        <v>5403</v>
      </c>
      <c r="F38" s="1404">
        <v>9310128</v>
      </c>
      <c r="G38" s="1404"/>
      <c r="H38" s="1404" t="s">
        <v>584</v>
      </c>
      <c r="I38" s="1404" t="s">
        <v>583</v>
      </c>
      <c r="J38" s="1408">
        <v>151000</v>
      </c>
      <c r="K38" s="1408"/>
      <c r="L38" s="1393" t="s">
        <v>224</v>
      </c>
      <c r="M38" s="1393" t="s">
        <v>587</v>
      </c>
      <c r="N38" s="1394">
        <v>0.05</v>
      </c>
      <c r="O38" s="1394">
        <v>0.2</v>
      </c>
      <c r="P38" s="1394">
        <v>0</v>
      </c>
      <c r="Q38" s="1396"/>
      <c r="R38" s="1396"/>
      <c r="S38" s="1396"/>
      <c r="T38" s="1396"/>
      <c r="U38" s="1396"/>
      <c r="V38" s="1396"/>
      <c r="W38" s="1396"/>
      <c r="X38" s="1396"/>
      <c r="Y38" s="1396"/>
      <c r="Z38" s="1396"/>
      <c r="AA38" s="1396"/>
      <c r="AB38" s="1396"/>
      <c r="AC38" s="1701" t="str">
        <f>IFERROR(VLOOKUP(A38,salesInv!$D$8:$AM$494,35,FALSE),"-")</f>
        <v>-</v>
      </c>
      <c r="AD38" s="1702" t="str">
        <f>IFERROR(VLOOKUP(A38,salesInv!$D$8:$AM$494,36,FALSE),"-")</f>
        <v>-</v>
      </c>
      <c r="AE38" s="1703" t="str">
        <f>IFERROR(VLOOKUP(A38,salesInv!$D$8:$I$494,3,FALSE),"-")</f>
        <v>-</v>
      </c>
      <c r="AF38" s="1703" t="str">
        <f>IFERROR(VLOOKUP(A38,salesInv!$D$8:$I$494,4,FALSE),"-")</f>
        <v>-</v>
      </c>
      <c r="AG38" s="1703" t="str">
        <f>IFERROR(VLOOKUP(A38,salesInv!$D$8:$I$494,6,FALSE),"-")</f>
        <v>-</v>
      </c>
      <c r="AH38" s="1703">
        <f>COUNTIF(salesInv!$D$8:$D$494,ProH!A38)</f>
        <v>0</v>
      </c>
      <c r="AI38" s="1704">
        <f>SUMIFS(srpro!$F$10:$F$3010,srpro!$B$10:$B$3010,ProH!A38)</f>
        <v>86825</v>
      </c>
      <c r="AJ38" s="1704">
        <f>SUMIFS(srpro!$E$10:$E$3010,srpro!$B$10:$B$3010,ProH!A38)</f>
        <v>59944.47</v>
      </c>
      <c r="AK38" s="1704"/>
    </row>
    <row r="39" spans="1:37" ht="15.75" customHeight="1">
      <c r="A39" s="1631">
        <v>231</v>
      </c>
      <c r="B39" s="1628" t="s">
        <v>186</v>
      </c>
      <c r="C39" s="1629" t="s">
        <v>638</v>
      </c>
      <c r="D39" s="1404" t="s">
        <v>323</v>
      </c>
      <c r="E39" s="1404" t="s">
        <v>5142</v>
      </c>
      <c r="F39" s="1404">
        <v>4240894</v>
      </c>
      <c r="G39" s="1404"/>
      <c r="H39" s="1404" t="s">
        <v>640</v>
      </c>
      <c r="I39" s="1407" t="s">
        <v>639</v>
      </c>
      <c r="J39" s="1408">
        <v>130000</v>
      </c>
      <c r="K39" s="1408">
        <v>5250</v>
      </c>
      <c r="L39" s="1393" t="s">
        <v>641</v>
      </c>
      <c r="M39" s="1393" t="s">
        <v>642</v>
      </c>
      <c r="N39" s="1394">
        <v>0.05</v>
      </c>
      <c r="O39" s="1394">
        <v>0.2</v>
      </c>
      <c r="P39" s="1394">
        <v>0</v>
      </c>
      <c r="Q39" s="1396"/>
      <c r="R39" s="1396"/>
      <c r="S39" s="1396"/>
      <c r="T39" s="1396"/>
      <c r="U39" s="1396"/>
      <c r="V39" s="1396"/>
      <c r="W39" s="1396"/>
      <c r="X39" s="1396"/>
      <c r="Y39" s="1396"/>
      <c r="Z39" s="1396"/>
      <c r="AA39" s="1396"/>
      <c r="AB39" s="1396"/>
      <c r="AC39" s="1701" t="str">
        <f>IFERROR(VLOOKUP(A39,salesInv!$D$8:$AM$494,35,FALSE),"-")</f>
        <v>H/M/29/2024</v>
      </c>
      <c r="AD39" s="1702" t="str">
        <f>IFERROR(VLOOKUP(A39,salesInv!$D$8:$AM$494,36,FALSE),"-")</f>
        <v>-</v>
      </c>
      <c r="AE39" s="1703">
        <f>IFERROR(VLOOKUP(A39,salesInv!$D$8:$I$494,3,FALSE),"-")</f>
        <v>16040</v>
      </c>
      <c r="AF39" s="1703">
        <f>IFERROR(VLOOKUP(A39,salesInv!$D$8:$I$494,4,FALSE),"-")</f>
        <v>802</v>
      </c>
      <c r="AG39" s="1703">
        <f>IFERROR(VLOOKUP(A39,salesInv!$D$8:$I$494,6,FALSE),"-")</f>
        <v>16842</v>
      </c>
      <c r="AH39" s="1703">
        <f>COUNTIF(salesInv!$D$8:$D$494,ProH!A39)</f>
        <v>1</v>
      </c>
      <c r="AI39" s="1704">
        <f>SUMIFS(srpro!$F$10:$F$3010,srpro!$B$10:$B$3010,ProH!A39)</f>
        <v>135250</v>
      </c>
      <c r="AJ39" s="1704">
        <f>SUMIFS(srpro!$E$10:$E$3010,srpro!$B$10:$B$3010,ProH!A39)</f>
        <v>101227.06</v>
      </c>
      <c r="AK39" s="1704"/>
    </row>
    <row r="40" spans="1:37" ht="15.75" customHeight="1">
      <c r="A40" s="1631">
        <v>233</v>
      </c>
      <c r="B40" s="1628" t="s">
        <v>299</v>
      </c>
      <c r="C40" s="1629" t="s">
        <v>1003</v>
      </c>
      <c r="D40" s="1404" t="s">
        <v>1004</v>
      </c>
      <c r="E40" s="1404" t="s">
        <v>356</v>
      </c>
      <c r="F40" s="1404">
        <v>2610984</v>
      </c>
      <c r="G40" s="1404"/>
      <c r="H40" s="1406" t="s">
        <v>1006</v>
      </c>
      <c r="I40" s="1404" t="s">
        <v>1005</v>
      </c>
      <c r="J40" s="1408">
        <v>230000</v>
      </c>
      <c r="K40" s="1408"/>
      <c r="L40" s="1393" t="s">
        <v>841</v>
      </c>
      <c r="M40" s="1393" t="s">
        <v>1090</v>
      </c>
      <c r="N40" s="1394">
        <v>0.05</v>
      </c>
      <c r="O40" s="1394">
        <v>0.15</v>
      </c>
      <c r="P40" s="1394">
        <v>0</v>
      </c>
      <c r="Q40" s="1396"/>
      <c r="R40" s="1396"/>
      <c r="S40" s="1396"/>
      <c r="T40" s="1396"/>
      <c r="U40" s="1396"/>
      <c r="V40" s="1396"/>
      <c r="W40" s="1396"/>
      <c r="X40" s="1396"/>
      <c r="Y40" s="1396"/>
      <c r="Z40" s="1396"/>
      <c r="AA40" s="1396"/>
      <c r="AB40" s="1396"/>
      <c r="AC40" s="1701" t="str">
        <f>IFERROR(VLOOKUP(A40,salesInv!$D$8:$AM$494,35,FALSE),"-")</f>
        <v>H/M/10/2024</v>
      </c>
      <c r="AD40" s="1702" t="str">
        <f>IFERROR(VLOOKUP(A40,salesInv!$D$8:$AM$494,36,FALSE),"-")</f>
        <v>-</v>
      </c>
      <c r="AE40" s="1703">
        <f>IFERROR(VLOOKUP(A40,salesInv!$D$8:$I$494,3,FALSE),"-")</f>
        <v>83904</v>
      </c>
      <c r="AF40" s="1703">
        <f>IFERROR(VLOOKUP(A40,salesInv!$D$8:$I$494,4,FALSE),"-")</f>
        <v>4195.2</v>
      </c>
      <c r="AG40" s="1703">
        <f>IFERROR(VLOOKUP(A40,salesInv!$D$8:$I$494,6,FALSE),"-")</f>
        <v>88100</v>
      </c>
      <c r="AH40" s="1703">
        <f>COUNTIF(salesInv!$D$8:$D$494,ProH!A40)</f>
        <v>2</v>
      </c>
      <c r="AI40" s="1704">
        <f>SUMIFS(srpro!$F$10:$F$3010,srpro!$B$10:$B$3010,ProH!A40)</f>
        <v>229999.2</v>
      </c>
      <c r="AJ40" s="1704">
        <f>SUMIFS(srpro!$E$10:$E$3010,srpro!$B$10:$B$3010,ProH!A40)</f>
        <v>187050.36</v>
      </c>
      <c r="AK40" s="1704"/>
    </row>
    <row r="41" spans="1:37" ht="15.75" customHeight="1">
      <c r="A41" s="1631">
        <v>234</v>
      </c>
      <c r="B41" s="1628" t="s">
        <v>286</v>
      </c>
      <c r="C41" s="1629" t="s">
        <v>3031</v>
      </c>
      <c r="D41" s="1407" t="s">
        <v>610</v>
      </c>
      <c r="E41" s="1407" t="s">
        <v>5143</v>
      </c>
      <c r="F41" s="1404">
        <v>4247060</v>
      </c>
      <c r="G41" s="1404"/>
      <c r="H41" s="1406" t="s">
        <v>491</v>
      </c>
      <c r="I41" s="1407" t="s">
        <v>611</v>
      </c>
      <c r="J41" s="1408">
        <v>130000</v>
      </c>
      <c r="K41" s="1408">
        <v>4500</v>
      </c>
      <c r="L41" s="1393" t="s">
        <v>612</v>
      </c>
      <c r="M41" s="1393"/>
      <c r="N41" s="1394">
        <v>0.05</v>
      </c>
      <c r="O41" s="1394">
        <v>0.2</v>
      </c>
      <c r="P41" s="1394">
        <v>0</v>
      </c>
      <c r="Q41" s="1396"/>
      <c r="R41" s="1396"/>
      <c r="S41" s="1396"/>
      <c r="T41" s="1396"/>
      <c r="U41" s="1396"/>
      <c r="V41" s="1396"/>
      <c r="W41" s="1396"/>
      <c r="X41" s="1396"/>
      <c r="Y41" s="1396"/>
      <c r="Z41" s="1396"/>
      <c r="AA41" s="1396"/>
      <c r="AB41" s="1396"/>
      <c r="AC41" s="1701" t="str">
        <f>IFERROR(VLOOKUP(A41,salesInv!$D$8:$AM$494,35,FALSE),"-")</f>
        <v>H/M/19/2024</v>
      </c>
      <c r="AD41" s="1702" t="str">
        <f>IFERROR(VLOOKUP(A41,salesInv!$D$8:$AM$494,36,FALSE),"-")</f>
        <v>-</v>
      </c>
      <c r="AE41" s="1703">
        <f>IFERROR(VLOOKUP(A41,salesInv!$D$8:$I$494,3,FALSE),"-")</f>
        <v>44460</v>
      </c>
      <c r="AF41" s="1703">
        <f>IFERROR(VLOOKUP(A41,salesInv!$D$8:$I$494,4,FALSE),"-")</f>
        <v>2223</v>
      </c>
      <c r="AG41" s="1703">
        <f>IFERROR(VLOOKUP(A41,salesInv!$D$8:$I$494,6,FALSE),"-")</f>
        <v>46683</v>
      </c>
      <c r="AH41" s="1703">
        <f>COUNTIF(salesInv!$D$8:$D$494,ProH!A41)</f>
        <v>3</v>
      </c>
      <c r="AI41" s="1704">
        <f>SUMIFS(srpro!$F$10:$F$3010,srpro!$B$10:$B$3010,ProH!A41)</f>
        <v>134500</v>
      </c>
      <c r="AJ41" s="1704">
        <f>SUMIFS(srpro!$E$10:$E$3010,srpro!$B$10:$B$3010,ProH!A41)</f>
        <v>101865.81999999999</v>
      </c>
      <c r="AK41" s="1704"/>
    </row>
    <row r="42" spans="1:37" ht="15.75" customHeight="1">
      <c r="A42" s="1631">
        <v>235</v>
      </c>
      <c r="B42" s="1628" t="s">
        <v>271</v>
      </c>
      <c r="C42" s="1629" t="s">
        <v>407</v>
      </c>
      <c r="D42" s="1404" t="s">
        <v>408</v>
      </c>
      <c r="E42" s="1404" t="s">
        <v>5144</v>
      </c>
      <c r="F42" s="1404">
        <v>4238244</v>
      </c>
      <c r="G42" s="1404"/>
      <c r="H42" s="1406" t="s">
        <v>410</v>
      </c>
      <c r="I42" s="1404" t="s">
        <v>409</v>
      </c>
      <c r="J42" s="1408">
        <v>250000</v>
      </c>
      <c r="K42" s="1408">
        <f>21500+5000</f>
        <v>26500</v>
      </c>
      <c r="L42" s="1393" t="s">
        <v>411</v>
      </c>
      <c r="M42" s="1393" t="s">
        <v>5238</v>
      </c>
      <c r="N42" s="1394">
        <v>0.05</v>
      </c>
      <c r="O42" s="1394">
        <v>0.1</v>
      </c>
      <c r="P42" s="1394">
        <v>0</v>
      </c>
      <c r="Q42" s="1396"/>
      <c r="R42" s="1396"/>
      <c r="S42" s="1396"/>
      <c r="T42" s="1396"/>
      <c r="U42" s="1396"/>
      <c r="V42" s="1396"/>
      <c r="W42" s="1396"/>
      <c r="X42" s="1396"/>
      <c r="Y42" s="1396"/>
      <c r="Z42" s="1396"/>
      <c r="AA42" s="1396"/>
      <c r="AB42" s="1396"/>
      <c r="AC42" s="1701" t="str">
        <f>IFERROR(VLOOKUP(A42,salesInv!$D$8:$AM$494,35,FALSE),"-")</f>
        <v>-</v>
      </c>
      <c r="AD42" s="1702" t="str">
        <f>IFERROR(VLOOKUP(A42,salesInv!$D$8:$AM$494,36,FALSE),"-")</f>
        <v>-</v>
      </c>
      <c r="AE42" s="1703" t="str">
        <f>IFERROR(VLOOKUP(A42,salesInv!$D$8:$I$494,3,FALSE),"-")</f>
        <v>-</v>
      </c>
      <c r="AF42" s="1703" t="str">
        <f>IFERROR(VLOOKUP(A42,salesInv!$D$8:$I$494,4,FALSE),"-")</f>
        <v>-</v>
      </c>
      <c r="AG42" s="1703" t="str">
        <f>IFERROR(VLOOKUP(A42,salesInv!$D$8:$I$494,6,FALSE),"-")</f>
        <v>-</v>
      </c>
      <c r="AH42" s="1703">
        <f>COUNTIF(salesInv!$D$8:$D$494,ProH!A42)</f>
        <v>0</v>
      </c>
      <c r="AI42" s="1704">
        <f>SUMIFS(srpro!$F$10:$F$3010,srpro!$B$10:$B$3010,ProH!A42)</f>
        <v>25000</v>
      </c>
      <c r="AJ42" s="1704">
        <f>SUMIFS(srpro!$E$10:$E$3010,srpro!$B$10:$B$3010,ProH!A42)</f>
        <v>10626</v>
      </c>
      <c r="AK42" s="1704"/>
    </row>
    <row r="43" spans="1:37" ht="15.75" customHeight="1">
      <c r="A43" s="1631">
        <v>236</v>
      </c>
      <c r="B43" s="1628" t="s">
        <v>157</v>
      </c>
      <c r="C43" s="1629" t="s">
        <v>519</v>
      </c>
      <c r="D43" s="1404"/>
      <c r="E43" s="1404" t="s">
        <v>520</v>
      </c>
      <c r="F43" s="1404">
        <v>71110059</v>
      </c>
      <c r="G43" s="1404"/>
      <c r="H43" s="1406" t="s">
        <v>522</v>
      </c>
      <c r="I43" s="1407" t="s">
        <v>521</v>
      </c>
      <c r="J43" s="1408">
        <v>135000</v>
      </c>
      <c r="K43" s="1408"/>
      <c r="L43" s="1393" t="s">
        <v>523</v>
      </c>
      <c r="M43" s="1393"/>
      <c r="N43" s="1394"/>
      <c r="O43" s="1394"/>
      <c r="P43" s="1394"/>
      <c r="Q43" s="1396"/>
      <c r="R43" s="1396"/>
      <c r="S43" s="1396"/>
      <c r="T43" s="1396"/>
      <c r="U43" s="1396"/>
      <c r="V43" s="1396"/>
      <c r="W43" s="1396"/>
      <c r="X43" s="1396"/>
      <c r="Y43" s="1396"/>
      <c r="Z43" s="1396"/>
      <c r="AA43" s="1396"/>
      <c r="AB43" s="1396"/>
      <c r="AC43" s="1701" t="str">
        <f>IFERROR(VLOOKUP(A43,salesInv!$D$8:$AM$494,35,FALSE),"-")</f>
        <v>-</v>
      </c>
      <c r="AD43" s="1702" t="str">
        <f>IFERROR(VLOOKUP(A43,salesInv!$D$8:$AM$494,36,FALSE),"-")</f>
        <v>-</v>
      </c>
      <c r="AE43" s="1703" t="str">
        <f>IFERROR(VLOOKUP(A43,salesInv!$D$8:$I$494,3,FALSE),"-")</f>
        <v>-</v>
      </c>
      <c r="AF43" s="1703" t="str">
        <f>IFERROR(VLOOKUP(A43,salesInv!$D$8:$I$494,4,FALSE),"-")</f>
        <v>-</v>
      </c>
      <c r="AG43" s="1703" t="str">
        <f>IFERROR(VLOOKUP(A43,salesInv!$D$8:$I$494,6,FALSE),"-")</f>
        <v>-</v>
      </c>
      <c r="AH43" s="1703">
        <f>COUNTIF(salesInv!$D$8:$D$494,ProH!A43)</f>
        <v>0</v>
      </c>
      <c r="AI43" s="1704">
        <f>SUMIFS(srpro!$F$10:$F$3010,srpro!$B$10:$B$3010,ProH!A43)</f>
        <v>27000</v>
      </c>
      <c r="AJ43" s="1704">
        <f>SUMIFS(srpro!$E$10:$E$3010,srpro!$B$10:$B$3010,ProH!A43)</f>
        <v>19528</v>
      </c>
      <c r="AK43" s="1704"/>
    </row>
    <row r="44" spans="1:37" ht="15.75" customHeight="1">
      <c r="A44" s="1631">
        <v>237</v>
      </c>
      <c r="B44" s="1628" t="s">
        <v>284</v>
      </c>
      <c r="C44" s="1629" t="s">
        <v>1503</v>
      </c>
      <c r="D44" s="1404" t="s">
        <v>1012</v>
      </c>
      <c r="E44" s="1404" t="s">
        <v>1011</v>
      </c>
      <c r="F44" s="1404">
        <v>3556019</v>
      </c>
      <c r="G44" s="1404"/>
      <c r="H44" s="1406" t="s">
        <v>1010</v>
      </c>
      <c r="I44" s="1404" t="s">
        <v>1013</v>
      </c>
      <c r="J44" s="1408">
        <v>145000</v>
      </c>
      <c r="K44" s="1408">
        <v>15000</v>
      </c>
      <c r="L44" s="1393" t="s">
        <v>1014</v>
      </c>
      <c r="M44" s="1393"/>
      <c r="N44" s="1394">
        <v>0.05</v>
      </c>
      <c r="O44" s="1394">
        <v>0.2</v>
      </c>
      <c r="P44" s="1394">
        <v>0</v>
      </c>
      <c r="Q44" s="1396"/>
      <c r="R44" s="1396"/>
      <c r="S44" s="1396"/>
      <c r="T44" s="1396"/>
      <c r="U44" s="1396"/>
      <c r="V44" s="1396"/>
      <c r="W44" s="1396"/>
      <c r="X44" s="1396"/>
      <c r="Y44" s="1396"/>
      <c r="Z44" s="1396"/>
      <c r="AA44" s="1396"/>
      <c r="AB44" s="1396"/>
      <c r="AC44" s="1701" t="str">
        <f>IFERROR(VLOOKUP(A44,salesInv!$D$8:$AM$494,35,FALSE),"-")</f>
        <v>H/M/02/2024</v>
      </c>
      <c r="AD44" s="1702" t="str">
        <f>IFERROR(VLOOKUP(A44,salesInv!$D$8:$AM$494,36,FALSE),"-")</f>
        <v>-</v>
      </c>
      <c r="AE44" s="1703">
        <f>IFERROR(VLOOKUP(A44,salesInv!$D$8:$I$494,3,FALSE),"-")</f>
        <v>54375</v>
      </c>
      <c r="AF44" s="1703">
        <f>IFERROR(VLOOKUP(A44,salesInv!$D$8:$I$494,4,FALSE),"-")</f>
        <v>2718.75</v>
      </c>
      <c r="AG44" s="1703">
        <f>IFERROR(VLOOKUP(A44,salesInv!$D$8:$I$494,6,FALSE),"-")</f>
        <v>57003</v>
      </c>
      <c r="AH44" s="1703">
        <f>COUNTIF(salesInv!$D$8:$D$494,ProH!A44)</f>
        <v>3</v>
      </c>
      <c r="AI44" s="1704">
        <f>SUMIFS(srpro!$F$10:$F$3010,srpro!$B$10:$B$3010,ProH!A44)</f>
        <v>140465</v>
      </c>
      <c r="AJ44" s="1704">
        <f>SUMIFS(srpro!$E$10:$E$3010,srpro!$B$10:$B$3010,ProH!A44)</f>
        <v>115519.94000000002</v>
      </c>
      <c r="AK44" s="1704"/>
    </row>
    <row r="45" spans="1:37" ht="15.75" customHeight="1">
      <c r="A45" s="1631">
        <v>238</v>
      </c>
      <c r="B45" s="1628" t="s">
        <v>285</v>
      </c>
      <c r="C45" s="1629" t="s">
        <v>601</v>
      </c>
      <c r="D45" s="1404" t="s">
        <v>332</v>
      </c>
      <c r="E45" s="1404" t="s">
        <v>5145</v>
      </c>
      <c r="F45" s="1404">
        <v>7115010</v>
      </c>
      <c r="G45" s="1404"/>
      <c r="H45" s="1404" t="s">
        <v>603</v>
      </c>
      <c r="I45" s="1407" t="s">
        <v>602</v>
      </c>
      <c r="J45" s="1408">
        <v>220000</v>
      </c>
      <c r="K45" s="1408"/>
      <c r="L45" s="1393" t="s">
        <v>604</v>
      </c>
      <c r="M45" s="1393"/>
      <c r="N45" s="1394">
        <v>0.05</v>
      </c>
      <c r="O45" s="1394">
        <v>0.15</v>
      </c>
      <c r="P45" s="1394">
        <v>0</v>
      </c>
      <c r="Q45" s="1396"/>
      <c r="R45" s="1396"/>
      <c r="S45" s="1396"/>
      <c r="T45" s="1396"/>
      <c r="U45" s="1396"/>
      <c r="V45" s="1396"/>
      <c r="W45" s="1396"/>
      <c r="X45" s="1396"/>
      <c r="Y45" s="1396"/>
      <c r="Z45" s="1396"/>
      <c r="AA45" s="1396"/>
      <c r="AB45" s="1396"/>
      <c r="AC45" s="1701" t="str">
        <f>IFERROR(VLOOKUP(A45,salesInv!$D$8:$AM$494,35,FALSE),"-")</f>
        <v>H/M/32/2024</v>
      </c>
      <c r="AD45" s="1702" t="str">
        <f>IFERROR(VLOOKUP(A45,salesInv!$D$8:$AM$494,36,FALSE),"-")</f>
        <v>-</v>
      </c>
      <c r="AE45" s="1703">
        <f>IFERROR(VLOOKUP(A45,salesInv!$D$8:$I$494,3,FALSE),"-")</f>
        <v>22000</v>
      </c>
      <c r="AF45" s="1703">
        <f>IFERROR(VLOOKUP(A45,salesInv!$D$8:$I$494,4,FALSE),"-")</f>
        <v>1100</v>
      </c>
      <c r="AG45" s="1703">
        <f>IFERROR(VLOOKUP(A45,salesInv!$D$8:$I$494,6,FALSE),"-")</f>
        <v>23100</v>
      </c>
      <c r="AH45" s="1703">
        <f>COUNTIF(salesInv!$D$8:$D$494,ProH!A45)</f>
        <v>3</v>
      </c>
      <c r="AI45" s="1704">
        <f>SUMIFS(srpro!$F$10:$F$3010,srpro!$B$10:$B$3010,ProH!A45)</f>
        <v>121000</v>
      </c>
      <c r="AJ45" s="1704">
        <f>SUMIFS(srpro!$E$10:$E$3010,srpro!$B$10:$B$3010,ProH!A45)</f>
        <v>61059.53</v>
      </c>
      <c r="AK45" s="1704"/>
    </row>
    <row r="46" spans="1:37" ht="15.75" customHeight="1">
      <c r="A46" s="1631">
        <v>239</v>
      </c>
      <c r="B46" s="1628" t="s">
        <v>280</v>
      </c>
      <c r="C46" s="1629" t="s">
        <v>573</v>
      </c>
      <c r="D46" s="1404" t="s">
        <v>574</v>
      </c>
      <c r="E46" s="1404" t="s">
        <v>5146</v>
      </c>
      <c r="F46" s="1404">
        <v>7116512</v>
      </c>
      <c r="G46" s="1404"/>
      <c r="H46" s="1404" t="s">
        <v>576</v>
      </c>
      <c r="I46" s="1404" t="s">
        <v>575</v>
      </c>
      <c r="J46" s="1408">
        <v>95000</v>
      </c>
      <c r="K46" s="1408">
        <v>10000</v>
      </c>
      <c r="L46" s="1393" t="s">
        <v>577</v>
      </c>
      <c r="M46" s="1393"/>
      <c r="N46" s="1394">
        <v>0.05</v>
      </c>
      <c r="O46" s="1394">
        <v>0.1</v>
      </c>
      <c r="P46" s="1394">
        <v>0</v>
      </c>
      <c r="Q46" s="1396"/>
      <c r="R46" s="1396"/>
      <c r="S46" s="1396"/>
      <c r="T46" s="1396"/>
      <c r="U46" s="1396"/>
      <c r="V46" s="1396"/>
      <c r="W46" s="1396"/>
      <c r="X46" s="1396"/>
      <c r="Y46" s="1396"/>
      <c r="Z46" s="1396"/>
      <c r="AA46" s="1396"/>
      <c r="AB46" s="1396"/>
      <c r="AC46" s="1701" t="str">
        <f>IFERROR(VLOOKUP(A46,salesInv!$D$8:$AM$494,35,FALSE),"-")</f>
        <v>-</v>
      </c>
      <c r="AD46" s="1702" t="str">
        <f>IFERROR(VLOOKUP(A46,salesInv!$D$8:$AM$494,36,FALSE),"-")</f>
        <v>-</v>
      </c>
      <c r="AE46" s="1703" t="str">
        <f>IFERROR(VLOOKUP(A46,salesInv!$D$8:$I$494,3,FALSE),"-")</f>
        <v>-</v>
      </c>
      <c r="AF46" s="1703" t="str">
        <f>IFERROR(VLOOKUP(A46,salesInv!$D$8:$I$494,4,FALSE),"-")</f>
        <v>-</v>
      </c>
      <c r="AG46" s="1703" t="str">
        <f>IFERROR(VLOOKUP(A46,salesInv!$D$8:$I$494,6,FALSE),"-")</f>
        <v>-</v>
      </c>
      <c r="AH46" s="1703">
        <f>COUNTIF(salesInv!$D$8:$D$494,ProH!A46)</f>
        <v>0</v>
      </c>
      <c r="AI46" s="1704">
        <f>SUMIFS(srpro!$F$10:$F$3010,srpro!$B$10:$B$3010,ProH!A46)</f>
        <v>105000</v>
      </c>
      <c r="AJ46" s="1704">
        <f>SUMIFS(srpro!$E$10:$E$3010,srpro!$B$10:$B$3010,ProH!A46)</f>
        <v>74580</v>
      </c>
      <c r="AK46" s="1704"/>
    </row>
    <row r="47" spans="1:37" ht="15.75" customHeight="1">
      <c r="A47" s="1631">
        <v>241</v>
      </c>
      <c r="B47" s="1628" t="s">
        <v>158</v>
      </c>
      <c r="C47" s="1628" t="s">
        <v>762</v>
      </c>
      <c r="D47" s="1404" t="s">
        <v>763</v>
      </c>
      <c r="E47" s="1404" t="s">
        <v>5155</v>
      </c>
      <c r="F47" s="1404">
        <v>9131520</v>
      </c>
      <c r="G47" s="1404"/>
      <c r="H47" s="1406" t="s">
        <v>765</v>
      </c>
      <c r="I47" s="1404" t="s">
        <v>764</v>
      </c>
      <c r="J47" s="1408">
        <v>170000</v>
      </c>
      <c r="K47" s="1408"/>
      <c r="L47" s="1393" t="s">
        <v>766</v>
      </c>
      <c r="M47" s="1393"/>
      <c r="N47" s="1394">
        <v>0.05</v>
      </c>
      <c r="O47" s="1394">
        <v>0.15</v>
      </c>
      <c r="P47" s="1394">
        <v>0</v>
      </c>
      <c r="Q47" s="1396"/>
      <c r="R47" s="1396"/>
      <c r="S47" s="1396"/>
      <c r="T47" s="1396"/>
      <c r="U47" s="1396"/>
      <c r="V47" s="1396"/>
      <c r="W47" s="1396"/>
      <c r="X47" s="1396"/>
      <c r="Y47" s="1396"/>
      <c r="Z47" s="1396"/>
      <c r="AA47" s="1396"/>
      <c r="AB47" s="1396"/>
      <c r="AC47" s="1701" t="s">
        <v>5156</v>
      </c>
      <c r="AD47" s="1702" t="s">
        <v>1500</v>
      </c>
      <c r="AE47" s="1703">
        <v>68000</v>
      </c>
      <c r="AF47" s="1703">
        <v>3400</v>
      </c>
      <c r="AG47" s="1703">
        <v>65000</v>
      </c>
      <c r="AH47" s="1703">
        <v>1</v>
      </c>
      <c r="AI47" s="1704">
        <v>93500</v>
      </c>
      <c r="AJ47" s="1704">
        <v>66762.73</v>
      </c>
      <c r="AK47" s="1704"/>
    </row>
    <row r="48" spans="1:37" ht="15.75" customHeight="1">
      <c r="A48" s="1631">
        <v>242</v>
      </c>
      <c r="B48" s="1628" t="s">
        <v>274</v>
      </c>
      <c r="C48" s="1629" t="s">
        <v>435</v>
      </c>
      <c r="D48" s="1404" t="s">
        <v>436</v>
      </c>
      <c r="E48" s="1407" t="s">
        <v>437</v>
      </c>
      <c r="F48" s="1404" t="s">
        <v>438</v>
      </c>
      <c r="G48" s="1404"/>
      <c r="H48" s="1406" t="s">
        <v>440</v>
      </c>
      <c r="I48" s="1407" t="s">
        <v>439</v>
      </c>
      <c r="J48" s="1408">
        <v>210000</v>
      </c>
      <c r="K48" s="1408">
        <f>3000+6000+2000+1500+4500</f>
        <v>17000</v>
      </c>
      <c r="L48" s="1393" t="s">
        <v>441</v>
      </c>
      <c r="M48" s="1399" t="s">
        <v>5580</v>
      </c>
      <c r="N48" s="1394"/>
      <c r="O48" s="1394"/>
      <c r="P48" s="1394"/>
      <c r="Q48" s="1396"/>
      <c r="R48" s="1396"/>
      <c r="S48" s="1396"/>
      <c r="T48" s="1396"/>
      <c r="U48" s="1396"/>
      <c r="V48" s="1396"/>
      <c r="W48" s="1396"/>
      <c r="X48" s="1396"/>
      <c r="Y48" s="1396"/>
      <c r="Z48" s="1396"/>
      <c r="AA48" s="1396"/>
      <c r="AB48" s="1396"/>
      <c r="AC48" s="1701" t="str">
        <f>IFERROR(VLOOKUP(A48,salesInv!$D$8:$AM$494,35,FALSE),"-")</f>
        <v>H/M/58/2024</v>
      </c>
      <c r="AD48" s="1702" t="str">
        <f>IFERROR(VLOOKUP(A48,salesInv!$D$8:$AM$494,36,FALSE),"-")</f>
        <v>-</v>
      </c>
      <c r="AE48" s="1703">
        <f>IFERROR(VLOOKUP(A48,salesInv!$D$8:$I$494,3,FALSE),"-")</f>
        <v>80850</v>
      </c>
      <c r="AF48" s="1703">
        <f>IFERROR(VLOOKUP(A48,salesInv!$D$8:$I$494,4,FALSE),"-")</f>
        <v>4042.5</v>
      </c>
      <c r="AG48" s="1703">
        <f>IFERROR(VLOOKUP(A48,salesInv!$D$8:$I$494,6,FALSE),"-")</f>
        <v>84892.5</v>
      </c>
      <c r="AH48" s="1703">
        <f>COUNTIF(salesInv!$D$8:$D$494,ProH!A48)</f>
        <v>8</v>
      </c>
      <c r="AI48" s="1704">
        <f>SUMIFS(srpro!$F$10:$F$3010,srpro!$B$10:$B$3010,ProH!A48)</f>
        <v>201500</v>
      </c>
      <c r="AJ48" s="1704">
        <f>SUMIFS(srpro!$E$10:$E$3010,srpro!$B$10:$B$3010,ProH!A48)</f>
        <v>171087.4155</v>
      </c>
      <c r="AK48" s="1704"/>
    </row>
    <row r="49" spans="1:37" ht="15.75" customHeight="1">
      <c r="A49" s="1631">
        <v>243</v>
      </c>
      <c r="B49" s="1628" t="s">
        <v>308</v>
      </c>
      <c r="C49" s="1629" t="s">
        <v>843</v>
      </c>
      <c r="D49" s="1404" t="s">
        <v>591</v>
      </c>
      <c r="E49" s="1404" t="s">
        <v>5663</v>
      </c>
      <c r="F49" s="1404">
        <v>9130424</v>
      </c>
      <c r="G49" s="1404"/>
      <c r="H49" s="1404"/>
      <c r="I49" s="1404"/>
      <c r="J49" s="1408">
        <v>130000</v>
      </c>
      <c r="K49" s="1408"/>
      <c r="L49" s="1393" t="s">
        <v>190</v>
      </c>
      <c r="M49" s="1393" t="s">
        <v>991</v>
      </c>
      <c r="N49" s="1394">
        <v>0.05</v>
      </c>
      <c r="O49" s="1394">
        <v>0.15</v>
      </c>
      <c r="P49" s="1394">
        <v>0</v>
      </c>
      <c r="Q49" s="1396"/>
      <c r="R49" s="1396"/>
      <c r="S49" s="1396"/>
      <c r="T49" s="1396"/>
      <c r="U49" s="1396"/>
      <c r="V49" s="1396"/>
      <c r="W49" s="1396"/>
      <c r="X49" s="1396"/>
      <c r="Y49" s="1396"/>
      <c r="Z49" s="1396"/>
      <c r="AA49" s="1396"/>
      <c r="AB49" s="1396"/>
      <c r="AC49" s="1701" t="str">
        <f>IFERROR(VLOOKUP(A49,salesInv!$D$8:$AM$494,35,FALSE),"-")</f>
        <v>H/M/15/2024</v>
      </c>
      <c r="AD49" s="1702" t="str">
        <f>IFERROR(VLOOKUP(A49,salesInv!$D$8:$AM$494,36,FALSE),"-")</f>
        <v>-</v>
      </c>
      <c r="AE49" s="1703">
        <f>IFERROR(VLOOKUP(A49,salesInv!$D$8:$I$494,3,FALSE),"-")</f>
        <v>52000</v>
      </c>
      <c r="AF49" s="1703">
        <f>IFERROR(VLOOKUP(A49,salesInv!$D$8:$I$494,4,FALSE),"-")</f>
        <v>2600</v>
      </c>
      <c r="AG49" s="1703">
        <f>IFERROR(VLOOKUP(A49,salesInv!$D$8:$I$494,6,FALSE),"-")</f>
        <v>54600</v>
      </c>
      <c r="AH49" s="1703">
        <f>COUNTIF(salesInv!$D$8:$D$494,ProH!A49)</f>
        <v>3</v>
      </c>
      <c r="AI49" s="1704">
        <f>SUMIFS(srpro!$F$10:$F$3010,srpro!$B$10:$B$3010,ProH!A49)</f>
        <v>130000</v>
      </c>
      <c r="AJ49" s="1704">
        <f>SUMIFS(srpro!$E$10:$E$3010,srpro!$B$10:$B$3010,ProH!A49)</f>
        <v>93685.36</v>
      </c>
      <c r="AK49" s="1704"/>
    </row>
    <row r="50" spans="1:37" ht="15.75" customHeight="1">
      <c r="A50" s="1631">
        <v>245</v>
      </c>
      <c r="B50" s="1628" t="s">
        <v>192</v>
      </c>
      <c r="C50" s="1629" t="s">
        <v>788</v>
      </c>
      <c r="D50" s="1410" t="s">
        <v>323</v>
      </c>
      <c r="E50" s="1415" t="s">
        <v>5147</v>
      </c>
      <c r="F50" s="1415">
        <v>4240951</v>
      </c>
      <c r="G50" s="1404"/>
      <c r="H50" s="1406" t="s">
        <v>628</v>
      </c>
      <c r="I50" s="1417" t="s">
        <v>789</v>
      </c>
      <c r="J50" s="1408">
        <v>200000</v>
      </c>
      <c r="K50" s="1408">
        <v>8400</v>
      </c>
      <c r="L50" s="1393" t="s">
        <v>790</v>
      </c>
      <c r="M50" s="1393" t="s">
        <v>990</v>
      </c>
      <c r="N50" s="1394">
        <v>0.05</v>
      </c>
      <c r="O50" s="1394">
        <v>0.2</v>
      </c>
      <c r="P50" s="1394">
        <v>0</v>
      </c>
      <c r="Q50" s="1396"/>
      <c r="R50" s="1396"/>
      <c r="S50" s="1396"/>
      <c r="T50" s="1396"/>
      <c r="U50" s="1396"/>
      <c r="V50" s="1396"/>
      <c r="W50" s="1396"/>
      <c r="X50" s="1396"/>
      <c r="Y50" s="1396"/>
      <c r="Z50" s="1396"/>
      <c r="AA50" s="1396"/>
      <c r="AB50" s="1396"/>
      <c r="AC50" s="1701" t="str">
        <f>IFERROR(VLOOKUP(A50,salesInv!$D$8:$AM$494,35,FALSE),"-")</f>
        <v>H/M/05/2024</v>
      </c>
      <c r="AD50" s="1702" t="str">
        <f>IFERROR(VLOOKUP(A50,salesInv!$D$8:$AM$494,36,FALSE),"-")</f>
        <v>-</v>
      </c>
      <c r="AE50" s="1703">
        <f>IFERROR(VLOOKUP(A50,salesInv!$D$8:$I$494,3,FALSE),"-")</f>
        <v>60000</v>
      </c>
      <c r="AF50" s="1703">
        <f>IFERROR(VLOOKUP(A50,salesInv!$D$8:$I$494,4,FALSE),"-")</f>
        <v>3000</v>
      </c>
      <c r="AG50" s="1703">
        <f>IFERROR(VLOOKUP(A50,salesInv!$D$8:$I$494,6,FALSE),"-")</f>
        <v>63000</v>
      </c>
      <c r="AH50" s="1703">
        <f>COUNTIF(salesInv!$D$8:$D$494,ProH!A50)</f>
        <v>2</v>
      </c>
      <c r="AI50" s="1704">
        <f>SUMIFS(srpro!$F$10:$F$3010,srpro!$B$10:$B$3010,ProH!A50)</f>
        <v>100000</v>
      </c>
      <c r="AJ50" s="1704">
        <f>SUMIFS(srpro!$E$10:$E$3010,srpro!$B$10:$B$3010,ProH!A50)</f>
        <v>63736.28</v>
      </c>
      <c r="AK50" s="1704"/>
    </row>
    <row r="51" spans="1:37" ht="15.75" customHeight="1">
      <c r="A51" s="1631">
        <v>246</v>
      </c>
      <c r="B51" s="1628" t="s">
        <v>293</v>
      </c>
      <c r="C51" s="1629" t="s">
        <v>554</v>
      </c>
      <c r="D51" s="1404" t="s">
        <v>555</v>
      </c>
      <c r="E51" s="1404" t="s">
        <v>5148</v>
      </c>
      <c r="F51" s="1404">
        <v>2822361</v>
      </c>
      <c r="G51" s="1404"/>
      <c r="H51" s="1404" t="s">
        <v>557</v>
      </c>
      <c r="I51" s="1404" t="s">
        <v>556</v>
      </c>
      <c r="J51" s="1408">
        <v>180000</v>
      </c>
      <c r="K51" s="1408">
        <v>18000</v>
      </c>
      <c r="L51" s="1393" t="s">
        <v>558</v>
      </c>
      <c r="M51" s="1393"/>
      <c r="N51" s="1394">
        <v>0.05</v>
      </c>
      <c r="O51" s="1394">
        <v>0.15</v>
      </c>
      <c r="P51" s="1394">
        <v>0</v>
      </c>
      <c r="Q51" s="1396"/>
      <c r="R51" s="1396"/>
      <c r="S51" s="1396"/>
      <c r="T51" s="1396"/>
      <c r="U51" s="1396"/>
      <c r="V51" s="1396"/>
      <c r="W51" s="1396"/>
      <c r="X51" s="1396"/>
      <c r="Y51" s="1396"/>
      <c r="Z51" s="1396"/>
      <c r="AA51" s="1396"/>
      <c r="AB51" s="1396"/>
      <c r="AC51" s="1701" t="str">
        <f>IFERROR(VLOOKUP(A51,salesInv!$D$8:$AM$494,35,FALSE),"-")</f>
        <v>H/M/53/2024</v>
      </c>
      <c r="AD51" s="1702" t="str">
        <f>IFERROR(VLOOKUP(A51,salesInv!$D$8:$AM$494,36,FALSE),"-")</f>
        <v>-</v>
      </c>
      <c r="AE51" s="1703">
        <f>IFERROR(VLOOKUP(A51,salesInv!$D$8:$I$494,3,FALSE),"-")</f>
        <v>72000</v>
      </c>
      <c r="AF51" s="1703">
        <f>IFERROR(VLOOKUP(A51,salesInv!$D$8:$I$494,4,FALSE),"-")</f>
        <v>3600</v>
      </c>
      <c r="AG51" s="1703">
        <f>IFERROR(VLOOKUP(A51,salesInv!$D$8:$I$494,6,FALSE),"-")</f>
        <v>75600</v>
      </c>
      <c r="AH51" s="1703">
        <f>COUNTIF(salesInv!$D$8:$D$494,ProH!A51)</f>
        <v>2</v>
      </c>
      <c r="AI51" s="1704">
        <f>SUMIFS(srpro!$F$10:$F$3010,srpro!$B$10:$B$3010,ProH!A51)</f>
        <v>170000</v>
      </c>
      <c r="AJ51" s="1704">
        <f>SUMIFS(srpro!$E$10:$E$3010,srpro!$B$10:$B$3010,ProH!A51)</f>
        <v>80599.550000000017</v>
      </c>
      <c r="AK51" s="1704"/>
    </row>
    <row r="52" spans="1:37" ht="15.75" customHeight="1">
      <c r="A52" s="1631">
        <v>247</v>
      </c>
      <c r="B52" s="1628" t="s">
        <v>731</v>
      </c>
      <c r="C52" s="1628" t="s">
        <v>731</v>
      </c>
      <c r="D52" s="1404" t="s">
        <v>328</v>
      </c>
      <c r="E52" s="1404" t="s">
        <v>732</v>
      </c>
      <c r="F52" s="1404">
        <v>9132570</v>
      </c>
      <c r="G52" s="1404"/>
      <c r="H52" s="1404" t="s">
        <v>734</v>
      </c>
      <c r="I52" s="1404" t="s">
        <v>733</v>
      </c>
      <c r="J52" s="1408">
        <v>160000</v>
      </c>
      <c r="K52" s="1408"/>
      <c r="L52" s="1393"/>
      <c r="M52" s="1393"/>
      <c r="N52" s="1394">
        <v>0.05</v>
      </c>
      <c r="O52" s="1394">
        <v>0.15</v>
      </c>
      <c r="P52" s="1394">
        <v>0</v>
      </c>
      <c r="Q52" s="1396" t="s">
        <v>242</v>
      </c>
      <c r="R52" s="1396" t="s">
        <v>244</v>
      </c>
      <c r="S52" s="1396" t="s">
        <v>245</v>
      </c>
      <c r="T52" s="1396" t="s">
        <v>246</v>
      </c>
      <c r="U52" s="1396" t="s">
        <v>5585</v>
      </c>
      <c r="V52" s="1396"/>
      <c r="W52" s="1396">
        <v>44</v>
      </c>
      <c r="X52" s="1396"/>
      <c r="Y52" s="1396"/>
      <c r="Z52" s="1396"/>
      <c r="AA52" s="1396"/>
      <c r="AB52" s="1396"/>
      <c r="AC52" s="1701" t="s">
        <v>5157</v>
      </c>
      <c r="AD52" s="1702" t="s">
        <v>1500</v>
      </c>
      <c r="AE52" s="1703">
        <v>24000</v>
      </c>
      <c r="AF52" s="1703">
        <v>1200</v>
      </c>
      <c r="AG52" s="1703">
        <v>25200</v>
      </c>
      <c r="AH52" s="1703">
        <v>2</v>
      </c>
      <c r="AI52" s="1704">
        <v>24000</v>
      </c>
      <c r="AJ52" s="1704">
        <v>14756</v>
      </c>
      <c r="AK52" s="1704"/>
    </row>
    <row r="53" spans="1:37" ht="15.75" customHeight="1">
      <c r="A53" s="1631">
        <v>249</v>
      </c>
      <c r="B53" s="1628" t="s">
        <v>282</v>
      </c>
      <c r="C53" s="1629" t="s">
        <v>590</v>
      </c>
      <c r="D53" s="1407" t="s">
        <v>591</v>
      </c>
      <c r="E53" s="1404" t="s">
        <v>5149</v>
      </c>
      <c r="F53" s="1404">
        <v>4220118</v>
      </c>
      <c r="G53" s="1404"/>
      <c r="H53" s="1404" t="s">
        <v>592</v>
      </c>
      <c r="I53" s="1404" t="s">
        <v>589</v>
      </c>
      <c r="J53" s="1408">
        <v>240000</v>
      </c>
      <c r="K53" s="1408"/>
      <c r="L53" s="1393" t="s">
        <v>593</v>
      </c>
      <c r="M53" s="1393"/>
      <c r="N53" s="1394">
        <v>0.05</v>
      </c>
      <c r="O53" s="1394">
        <v>0.2</v>
      </c>
      <c r="P53" s="1394">
        <v>0</v>
      </c>
      <c r="Q53" s="1396"/>
      <c r="R53" s="1396"/>
      <c r="S53" s="1396"/>
      <c r="T53" s="1396"/>
      <c r="U53" s="1396"/>
      <c r="V53" s="1396"/>
      <c r="W53" s="1396"/>
      <c r="X53" s="1396"/>
      <c r="Y53" s="1396"/>
      <c r="Z53" s="1396"/>
      <c r="AA53" s="1396"/>
      <c r="AB53" s="1396"/>
      <c r="AC53" s="1701" t="str">
        <f>IFERROR(VLOOKUP(A53,salesInv!$D$8:$AM$494,35,FALSE),"-")</f>
        <v>H/M/54/2024</v>
      </c>
      <c r="AD53" s="1702" t="str">
        <f>IFERROR(VLOOKUP(A53,salesInv!$D$8:$AM$494,36,FALSE),"-")</f>
        <v>-</v>
      </c>
      <c r="AE53" s="1703">
        <f>IFERROR(VLOOKUP(A53,salesInv!$D$8:$I$494,3,FALSE),"-")</f>
        <v>90000</v>
      </c>
      <c r="AF53" s="1703">
        <f>IFERROR(VLOOKUP(A53,salesInv!$D$8:$I$494,4,FALSE),"-")</f>
        <v>4500</v>
      </c>
      <c r="AG53" s="1703">
        <f>IFERROR(VLOOKUP(A53,salesInv!$D$8:$I$494,6,FALSE),"-")</f>
        <v>94500</v>
      </c>
      <c r="AH53" s="1703">
        <f>COUNTIF(salesInv!$D$8:$D$494,ProH!A53)</f>
        <v>2</v>
      </c>
      <c r="AI53" s="1704">
        <f>SUMIFS(srpro!$F$10:$F$3010,srpro!$B$10:$B$3010,ProH!A53)</f>
        <v>220080</v>
      </c>
      <c r="AJ53" s="1704">
        <f>SUMIFS(srpro!$E$10:$E$3010,srpro!$B$10:$B$3010,ProH!A53)</f>
        <v>193054.14</v>
      </c>
      <c r="AK53" s="1704"/>
    </row>
    <row r="54" spans="1:37" ht="15.75" customHeight="1">
      <c r="A54" s="1631">
        <v>250</v>
      </c>
      <c r="B54" s="1628" t="s">
        <v>295</v>
      </c>
      <c r="C54" s="1629" t="s">
        <v>1330</v>
      </c>
      <c r="D54" s="1404" t="s">
        <v>1331</v>
      </c>
      <c r="E54" s="1404" t="s">
        <v>5138</v>
      </c>
      <c r="F54" s="1404">
        <v>71114197</v>
      </c>
      <c r="G54" s="1404"/>
      <c r="H54" s="1406"/>
      <c r="I54" s="1404"/>
      <c r="J54" s="1408">
        <v>85000</v>
      </c>
      <c r="K54" s="1408">
        <v>8000</v>
      </c>
      <c r="L54" s="1393" t="s">
        <v>842</v>
      </c>
      <c r="M54" s="1393"/>
      <c r="N54" s="1394">
        <v>0.05</v>
      </c>
      <c r="O54" s="1394">
        <v>0.1</v>
      </c>
      <c r="P54" s="1394">
        <v>0</v>
      </c>
      <c r="Q54" s="1396"/>
      <c r="R54" s="1396"/>
      <c r="S54" s="1396"/>
      <c r="T54" s="1396"/>
      <c r="U54" s="1396"/>
      <c r="V54" s="1396"/>
      <c r="W54" s="1396"/>
      <c r="X54" s="1396"/>
      <c r="Y54" s="1396"/>
      <c r="Z54" s="1396"/>
      <c r="AA54" s="1396"/>
      <c r="AB54" s="1396"/>
      <c r="AC54" s="1701" t="str">
        <f>IFERROR(VLOOKUP(A54,salesInv!$D$8:$AM$494,35,FALSE),"-")</f>
        <v>H/M/26/2024</v>
      </c>
      <c r="AD54" s="1702" t="str">
        <f>IFERROR(VLOOKUP(A54,salesInv!$D$8:$AM$494,36,FALSE),"-")</f>
        <v>-</v>
      </c>
      <c r="AE54" s="1703">
        <f>IFERROR(VLOOKUP(A54,salesInv!$D$8:$I$494,3,FALSE),"-")</f>
        <v>40125</v>
      </c>
      <c r="AF54" s="1703">
        <f>IFERROR(VLOOKUP(A54,salesInv!$D$8:$I$494,4,FALSE),"-")</f>
        <v>2006.25</v>
      </c>
      <c r="AG54" s="1703">
        <f>IFERROR(VLOOKUP(A54,salesInv!$D$8:$I$494,6,FALSE),"-")</f>
        <v>42131.25</v>
      </c>
      <c r="AH54" s="1703">
        <f>COUNTIF(salesInv!$D$8:$D$494,ProH!A54)</f>
        <v>2</v>
      </c>
      <c r="AI54" s="1704">
        <f>SUMIFS(srpro!$F$10:$F$3010,srpro!$B$10:$B$3010,ProH!A54)</f>
        <v>93000</v>
      </c>
      <c r="AJ54" s="1704">
        <f>SUMIFS(srpro!$E$10:$E$3010,srpro!$B$10:$B$3010,ProH!A54)</f>
        <v>66666.66</v>
      </c>
      <c r="AK54" s="1704"/>
    </row>
    <row r="55" spans="1:37" ht="15.75" customHeight="1">
      <c r="A55" s="1631">
        <v>251</v>
      </c>
      <c r="B55" s="1628" t="s">
        <v>304</v>
      </c>
      <c r="C55" s="1629" t="s">
        <v>511</v>
      </c>
      <c r="D55" s="1407" t="s">
        <v>512</v>
      </c>
      <c r="E55" s="1404" t="s">
        <v>324</v>
      </c>
      <c r="F55" s="1404">
        <v>7112760</v>
      </c>
      <c r="G55" s="1404"/>
      <c r="H55" s="1406" t="s">
        <v>514</v>
      </c>
      <c r="I55" s="1407" t="s">
        <v>513</v>
      </c>
      <c r="J55" s="1408">
        <v>170000</v>
      </c>
      <c r="K55" s="1408"/>
      <c r="L55" s="1393" t="s">
        <v>515</v>
      </c>
      <c r="M55" s="1393" t="s">
        <v>516</v>
      </c>
      <c r="N55" s="1394">
        <v>0.05</v>
      </c>
      <c r="O55" s="1394">
        <v>0.2</v>
      </c>
      <c r="P55" s="1394">
        <v>0</v>
      </c>
      <c r="Q55" s="1396"/>
      <c r="R55" s="1396"/>
      <c r="S55" s="1396"/>
      <c r="T55" s="1396"/>
      <c r="U55" s="1396"/>
      <c r="V55" s="1396"/>
      <c r="W55" s="1396"/>
      <c r="X55" s="1396"/>
      <c r="Y55" s="1396"/>
      <c r="Z55" s="1396"/>
      <c r="AA55" s="1396"/>
      <c r="AB55" s="1396"/>
      <c r="AC55" s="1701" t="str">
        <f>IFERROR(VLOOKUP(A55,salesInv!$D$8:$AM$494,35,FALSE),"-")</f>
        <v>H/M/04/2024</v>
      </c>
      <c r="AD55" s="1702" t="str">
        <f>IFERROR(VLOOKUP(A55,salesInv!$D$8:$AM$494,36,FALSE),"-")</f>
        <v>-</v>
      </c>
      <c r="AE55" s="1703">
        <f>IFERROR(VLOOKUP(A55,salesInv!$D$8:$I$494,3,FALSE),"-")</f>
        <v>51000</v>
      </c>
      <c r="AF55" s="1703">
        <f>IFERROR(VLOOKUP(A55,salesInv!$D$8:$I$494,4,FALSE),"-")</f>
        <v>2550</v>
      </c>
      <c r="AG55" s="1703">
        <f>IFERROR(VLOOKUP(A55,salesInv!$D$8:$I$494,6,FALSE),"-")</f>
        <v>53550</v>
      </c>
      <c r="AH55" s="1703">
        <f>COUNTIF(salesInv!$D$8:$D$494,ProH!A55)</f>
        <v>2</v>
      </c>
      <c r="AI55" s="1704">
        <f>SUMIFS(srpro!$F$10:$F$3010,srpro!$B$10:$B$3010,ProH!A55)</f>
        <v>85000</v>
      </c>
      <c r="AJ55" s="1704">
        <f>SUMIFS(srpro!$E$10:$E$3010,srpro!$B$10:$B$3010,ProH!A55)</f>
        <v>57848.76</v>
      </c>
      <c r="AK55" s="1704"/>
    </row>
    <row r="56" spans="1:37" ht="15.75" customHeight="1">
      <c r="A56" s="1631">
        <v>252</v>
      </c>
      <c r="B56" s="1628" t="s">
        <v>287</v>
      </c>
      <c r="C56" s="1629" t="s">
        <v>620</v>
      </c>
      <c r="D56" s="1404" t="s">
        <v>621</v>
      </c>
      <c r="E56" s="1404" t="s">
        <v>5138</v>
      </c>
      <c r="F56" s="1404">
        <v>7118410</v>
      </c>
      <c r="G56" s="1404"/>
      <c r="H56" s="1406" t="s">
        <v>623</v>
      </c>
      <c r="I56" s="1407" t="s">
        <v>622</v>
      </c>
      <c r="J56" s="1408">
        <v>215000</v>
      </c>
      <c r="K56" s="1408">
        <v>3500</v>
      </c>
      <c r="L56" s="1393" t="s">
        <v>459</v>
      </c>
      <c r="M56" s="1393" t="s">
        <v>1221</v>
      </c>
      <c r="N56" s="1394">
        <v>0.05</v>
      </c>
      <c r="O56" s="1394">
        <v>0.1</v>
      </c>
      <c r="P56" s="1394">
        <v>0</v>
      </c>
      <c r="Q56" s="1396"/>
      <c r="R56" s="1396"/>
      <c r="S56" s="1396"/>
      <c r="T56" s="1396"/>
      <c r="U56" s="1396"/>
      <c r="V56" s="1396"/>
      <c r="W56" s="1396"/>
      <c r="X56" s="1396"/>
      <c r="Y56" s="1396"/>
      <c r="Z56" s="1396"/>
      <c r="AA56" s="1396"/>
      <c r="AB56" s="1396"/>
      <c r="AC56" s="1701" t="str">
        <f>IFERROR(VLOOKUP(A56,salesInv!$D$8:$AM$494,35,FALSE),"-")</f>
        <v>H/M/07/2024</v>
      </c>
      <c r="AD56" s="1702" t="str">
        <f>IFERROR(VLOOKUP(A56,salesInv!$D$8:$AM$494,36,FALSE),"-")</f>
        <v>-</v>
      </c>
      <c r="AE56" s="1703">
        <f>IFERROR(VLOOKUP(A56,salesInv!$D$8:$I$494,3,FALSE),"-")</f>
        <v>21500</v>
      </c>
      <c r="AF56" s="1703">
        <f>IFERROR(VLOOKUP(A56,salesInv!$D$8:$I$494,4,FALSE),"-")</f>
        <v>1075</v>
      </c>
      <c r="AG56" s="1703">
        <f>IFERROR(VLOOKUP(A56,salesInv!$D$8:$I$494,6,FALSE),"-")</f>
        <v>22575</v>
      </c>
      <c r="AH56" s="1703">
        <f>COUNTIF(salesInv!$D$8:$D$494,ProH!A56)</f>
        <v>4</v>
      </c>
      <c r="AI56" s="1704">
        <f>SUMIFS(srpro!$F$10:$F$3010,srpro!$B$10:$B$3010,ProH!A56)</f>
        <v>197000</v>
      </c>
      <c r="AJ56" s="1704">
        <f>SUMIFS(srpro!$E$10:$E$3010,srpro!$B$10:$B$3010,ProH!A56)</f>
        <v>154116.9325</v>
      </c>
      <c r="AK56" s="1704"/>
    </row>
    <row r="57" spans="1:37" ht="15.75" customHeight="1">
      <c r="A57" s="1631">
        <v>253</v>
      </c>
      <c r="B57" s="1628" t="s">
        <v>309</v>
      </c>
      <c r="C57" s="1629" t="s">
        <v>482</v>
      </c>
      <c r="D57" s="1404" t="s">
        <v>483</v>
      </c>
      <c r="E57" s="1404" t="s">
        <v>5138</v>
      </c>
      <c r="F57" s="1404">
        <v>71112212</v>
      </c>
      <c r="G57" s="1404"/>
      <c r="H57" s="1406" t="s">
        <v>485</v>
      </c>
      <c r="I57" s="1404" t="s">
        <v>484</v>
      </c>
      <c r="J57" s="1408">
        <v>49000</v>
      </c>
      <c r="K57" s="1408"/>
      <c r="L57" s="1393" t="s">
        <v>486</v>
      </c>
      <c r="M57" s="1393"/>
      <c r="N57" s="1394">
        <v>0.05</v>
      </c>
      <c r="O57" s="1394">
        <v>0.2</v>
      </c>
      <c r="P57" s="1394">
        <v>0</v>
      </c>
      <c r="Q57" s="1396"/>
      <c r="R57" s="1396"/>
      <c r="S57" s="1396"/>
      <c r="T57" s="1396"/>
      <c r="U57" s="1396"/>
      <c r="V57" s="1396"/>
      <c r="W57" s="1396"/>
      <c r="X57" s="1396"/>
      <c r="Y57" s="1396"/>
      <c r="Z57" s="1396"/>
      <c r="AA57" s="1396"/>
      <c r="AB57" s="1396"/>
      <c r="AC57" s="1701" t="str">
        <f>IFERROR(VLOOKUP(A57,salesInv!$D$8:$AM$494,35,FALSE),"-")</f>
        <v>H/M/16/2024</v>
      </c>
      <c r="AD57" s="1702" t="str">
        <f>IFERROR(VLOOKUP(A57,salesInv!$D$8:$AM$494,36,FALSE),"-")</f>
        <v>-</v>
      </c>
      <c r="AE57" s="1703">
        <f>IFERROR(VLOOKUP(A57,salesInv!$D$8:$I$494,3,FALSE),"-")</f>
        <v>9800</v>
      </c>
      <c r="AF57" s="1703">
        <f>IFERROR(VLOOKUP(A57,salesInv!$D$8:$I$494,4,FALSE),"-")</f>
        <v>490</v>
      </c>
      <c r="AG57" s="1703">
        <f>IFERROR(VLOOKUP(A57,salesInv!$D$8:$I$494,6,FALSE),"-")</f>
        <v>10000</v>
      </c>
      <c r="AH57" s="1703">
        <f>COUNTIF(salesInv!$D$8:$D$494,ProH!A57)</f>
        <v>2</v>
      </c>
      <c r="AI57" s="1704">
        <f>SUMIFS(srpro!$F$10:$F$3010,srpro!$B$10:$B$3010,ProH!A57)</f>
        <v>27899</v>
      </c>
      <c r="AJ57" s="1704">
        <f>SUMIFS(srpro!$E$10:$E$3010,srpro!$B$10:$B$3010,ProH!A57)</f>
        <v>12544.85</v>
      </c>
      <c r="AK57" s="1704"/>
    </row>
    <row r="58" spans="1:37" ht="15.75" customHeight="1">
      <c r="A58" s="1631">
        <v>254</v>
      </c>
      <c r="B58" s="1628" t="s">
        <v>1338</v>
      </c>
      <c r="C58" s="1628" t="s">
        <v>681</v>
      </c>
      <c r="D58" s="1407" t="s">
        <v>326</v>
      </c>
      <c r="E58" s="1404" t="s">
        <v>682</v>
      </c>
      <c r="F58" s="1404">
        <v>2827634</v>
      </c>
      <c r="G58" s="1404"/>
      <c r="H58" s="1406" t="s">
        <v>684</v>
      </c>
      <c r="I58" s="1404" t="s">
        <v>683</v>
      </c>
      <c r="J58" s="1408">
        <v>230000</v>
      </c>
      <c r="K58" s="1408"/>
      <c r="L58" s="1393" t="s">
        <v>685</v>
      </c>
      <c r="M58" s="1393"/>
      <c r="N58" s="1394">
        <v>0.05</v>
      </c>
      <c r="O58" s="1394">
        <v>0.1</v>
      </c>
      <c r="P58" s="1394">
        <v>0</v>
      </c>
      <c r="Q58" s="1396"/>
      <c r="R58" s="1396"/>
      <c r="S58" s="1396"/>
      <c r="T58" s="1396"/>
      <c r="U58" s="1396"/>
      <c r="V58" s="1396"/>
      <c r="W58" s="1396"/>
      <c r="X58" s="1396"/>
      <c r="Y58" s="1396"/>
      <c r="Z58" s="1396"/>
      <c r="AA58" s="1396"/>
      <c r="AB58" s="1396"/>
      <c r="AC58" s="1701" t="s">
        <v>5158</v>
      </c>
      <c r="AD58" s="1702" t="s">
        <v>1500</v>
      </c>
      <c r="AE58" s="1703">
        <v>97750</v>
      </c>
      <c r="AF58" s="1703">
        <v>4887.5</v>
      </c>
      <c r="AG58" s="1703">
        <v>102637.5</v>
      </c>
      <c r="AH58" s="1703">
        <v>2</v>
      </c>
      <c r="AI58" s="1704">
        <v>120750</v>
      </c>
      <c r="AJ58" s="1704">
        <v>71060.219999999987</v>
      </c>
      <c r="AK58" s="1704"/>
    </row>
    <row r="59" spans="1:37" ht="15.75" customHeight="1">
      <c r="A59" s="1631">
        <v>255</v>
      </c>
      <c r="B59" s="1628" t="s">
        <v>278</v>
      </c>
      <c r="C59" s="1629" t="s">
        <v>564</v>
      </c>
      <c r="D59" s="1404" t="s">
        <v>326</v>
      </c>
      <c r="E59" s="1404" t="s">
        <v>327</v>
      </c>
      <c r="F59" s="1404">
        <v>7114991</v>
      </c>
      <c r="G59" s="1404"/>
      <c r="H59" s="1406" t="s">
        <v>566</v>
      </c>
      <c r="I59" s="1404" t="s">
        <v>565</v>
      </c>
      <c r="J59" s="1408">
        <v>145000</v>
      </c>
      <c r="K59" s="1408"/>
      <c r="L59" s="1393"/>
      <c r="M59" s="1393"/>
      <c r="N59" s="1394">
        <v>0.05</v>
      </c>
      <c r="O59" s="1394">
        <v>0.2</v>
      </c>
      <c r="P59" s="1394">
        <v>0.05</v>
      </c>
      <c r="Q59" s="1396"/>
      <c r="R59" s="1396"/>
      <c r="S59" s="1396"/>
      <c r="T59" s="1396"/>
      <c r="U59" s="1396"/>
      <c r="V59" s="1396"/>
      <c r="W59" s="1396"/>
      <c r="X59" s="1396"/>
      <c r="Y59" s="1396"/>
      <c r="Z59" s="1396"/>
      <c r="AA59" s="1396"/>
      <c r="AB59" s="1396"/>
      <c r="AC59" s="1701" t="str">
        <f>IFERROR(VLOOKUP(A59,salesInv!$D$8:$AM$494,35,FALSE),"-")</f>
        <v>H/M/08/2024</v>
      </c>
      <c r="AD59" s="1702" t="str">
        <f>IFERROR(VLOOKUP(A59,salesInv!$D$8:$AM$494,36,FALSE),"-")</f>
        <v>-</v>
      </c>
      <c r="AE59" s="1703">
        <f>IFERROR(VLOOKUP(A59,salesInv!$D$8:$I$494,3,FALSE),"-")</f>
        <v>29000</v>
      </c>
      <c r="AF59" s="1703">
        <f>IFERROR(VLOOKUP(A59,salesInv!$D$8:$I$494,4,FALSE),"-")</f>
        <v>1450</v>
      </c>
      <c r="AG59" s="1703">
        <f>IFERROR(VLOOKUP(A59,salesInv!$D$8:$I$494,6,FALSE),"-")</f>
        <v>30450</v>
      </c>
      <c r="AH59" s="1703">
        <f>COUNTIF(salesInv!$D$8:$D$494,ProH!A59)</f>
        <v>3</v>
      </c>
      <c r="AI59" s="1704">
        <f>SUMIFS(srpro!$F$10:$F$3010,srpro!$B$10:$B$3010,ProH!A59)</f>
        <v>136315.25</v>
      </c>
      <c r="AJ59" s="1704">
        <f>SUMIFS(srpro!$E$10:$E$3010,srpro!$B$10:$B$3010,ProH!A59)</f>
        <v>69759.67</v>
      </c>
      <c r="AK59" s="1704"/>
    </row>
    <row r="60" spans="1:37" ht="15.75" customHeight="1">
      <c r="A60" s="1631">
        <v>256</v>
      </c>
      <c r="B60" s="1628" t="s">
        <v>269</v>
      </c>
      <c r="C60" s="1629" t="s">
        <v>400</v>
      </c>
      <c r="D60" s="1404" t="s">
        <v>401</v>
      </c>
      <c r="E60" s="1404" t="s">
        <v>325</v>
      </c>
      <c r="F60" s="1404">
        <v>3521086</v>
      </c>
      <c r="G60" s="1404"/>
      <c r="H60" s="1406" t="s">
        <v>403</v>
      </c>
      <c r="I60" s="1404" t="s">
        <v>402</v>
      </c>
      <c r="J60" s="1408">
        <v>455000</v>
      </c>
      <c r="K60" s="1408">
        <v>6000</v>
      </c>
      <c r="L60" s="1393"/>
      <c r="M60" s="1393" t="s">
        <v>6152</v>
      </c>
      <c r="N60" s="1394">
        <v>0.05</v>
      </c>
      <c r="O60" s="1394">
        <v>0.1</v>
      </c>
      <c r="P60" s="1394">
        <v>0</v>
      </c>
      <c r="Q60" s="1396"/>
      <c r="R60" s="1396"/>
      <c r="S60" s="1396"/>
      <c r="T60" s="1396"/>
      <c r="U60" s="1396"/>
      <c r="V60" s="1396"/>
      <c r="W60" s="1396"/>
      <c r="X60" s="1396"/>
      <c r="Y60" s="1396"/>
      <c r="Z60" s="1396"/>
      <c r="AA60" s="1396"/>
      <c r="AB60" s="1396"/>
      <c r="AC60" s="1701" t="str">
        <f>IFERROR(VLOOKUP(A60,salesInv!$D$8:$AM$494,35,FALSE),"-")</f>
        <v>H/M/100/2024</v>
      </c>
      <c r="AD60" s="1702">
        <f>IFERROR(VLOOKUP(A60,salesInv!$D$8:$AM$494,36,FALSE),"-")</f>
        <v>45518</v>
      </c>
      <c r="AE60" s="1703">
        <f>IFERROR(VLOOKUP(A60,salesInv!$D$8:$I$494,3,FALSE),"-")</f>
        <v>153244</v>
      </c>
      <c r="AF60" s="1703">
        <f>IFERROR(VLOOKUP(A60,salesInv!$D$8:$I$494,4,FALSE),"-")</f>
        <v>7662.2</v>
      </c>
      <c r="AG60" s="1703">
        <f>IFERROR(VLOOKUP(A60,salesInv!$D$8:$I$494,6,FALSE),"-")</f>
        <v>160906</v>
      </c>
      <c r="AH60" s="1703">
        <f>COUNTIF(salesInv!$D$8:$D$494,ProH!A60)</f>
        <v>1</v>
      </c>
      <c r="AI60" s="1704">
        <f>SUMIFS(srpro!$F$10:$F$3010,srpro!$B$10:$B$3010,ProH!A60)</f>
        <v>198744</v>
      </c>
      <c r="AJ60" s="1704">
        <f>SUMIFS(srpro!$E$10:$E$3010,srpro!$B$10:$B$3010,ProH!A60)</f>
        <v>160237.02905000001</v>
      </c>
      <c r="AK60" s="1704"/>
    </row>
    <row r="61" spans="1:37" ht="15.75" customHeight="1">
      <c r="A61" s="1631">
        <v>257</v>
      </c>
      <c r="B61" s="1628" t="s">
        <v>301</v>
      </c>
      <c r="C61" s="1629" t="s">
        <v>690</v>
      </c>
      <c r="D61" s="1404" t="s">
        <v>691</v>
      </c>
      <c r="E61" s="1404" t="s">
        <v>692</v>
      </c>
      <c r="F61" s="1404">
        <v>4318280</v>
      </c>
      <c r="G61" s="1404"/>
      <c r="H61" s="1406" t="s">
        <v>694</v>
      </c>
      <c r="I61" s="1407" t="s">
        <v>693</v>
      </c>
      <c r="J61" s="1408">
        <v>166000</v>
      </c>
      <c r="K61" s="1408">
        <v>8500</v>
      </c>
      <c r="L61" s="1393" t="s">
        <v>695</v>
      </c>
      <c r="M61" s="1393"/>
      <c r="N61" s="1394">
        <v>0.05</v>
      </c>
      <c r="O61" s="1394">
        <v>0.15</v>
      </c>
      <c r="P61" s="1394">
        <v>0</v>
      </c>
      <c r="Q61" s="1396"/>
      <c r="R61" s="1396"/>
      <c r="S61" s="1396"/>
      <c r="T61" s="1396"/>
      <c r="U61" s="1396"/>
      <c r="V61" s="1396"/>
      <c r="W61" s="1396"/>
      <c r="X61" s="1396"/>
      <c r="Y61" s="1396"/>
      <c r="Z61" s="1396"/>
      <c r="AA61" s="1396"/>
      <c r="AB61" s="1396"/>
      <c r="AC61" s="1701" t="str">
        <f>IFERROR(VLOOKUP(A61,salesInv!$D$8:$AM$494,35,FALSE),"-")</f>
        <v>H/M/18/2024</v>
      </c>
      <c r="AD61" s="1702" t="str">
        <f>IFERROR(VLOOKUP(A61,salesInv!$D$8:$AM$494,36,FALSE),"-")</f>
        <v>-</v>
      </c>
      <c r="AE61" s="1703">
        <f>IFERROR(VLOOKUP(A61,salesInv!$D$8:$I$494,3,FALSE),"-")</f>
        <v>24900</v>
      </c>
      <c r="AF61" s="1703">
        <f>IFERROR(VLOOKUP(A61,salesInv!$D$8:$I$494,4,FALSE),"-")</f>
        <v>1245</v>
      </c>
      <c r="AG61" s="1703">
        <f>IFERROR(VLOOKUP(A61,salesInv!$D$8:$I$494,6,FALSE),"-")</f>
        <v>26145</v>
      </c>
      <c r="AH61" s="1703">
        <f>COUNTIF(salesInv!$D$8:$D$494,ProH!A61)</f>
        <v>3</v>
      </c>
      <c r="AI61" s="1704">
        <f>SUMIFS(srpro!$F$10:$F$3010,srpro!$B$10:$B$3010,ProH!A61)</f>
        <v>156107</v>
      </c>
      <c r="AJ61" s="1704">
        <f>SUMIFS(srpro!$E$10:$E$3010,srpro!$B$10:$B$3010,ProH!A61)</f>
        <v>137097.81</v>
      </c>
      <c r="AK61" s="1704"/>
    </row>
    <row r="62" spans="1:37" ht="15.75" customHeight="1">
      <c r="A62" s="1631">
        <v>258</v>
      </c>
      <c r="B62" s="1628" t="s">
        <v>1851</v>
      </c>
      <c r="C62" s="1629" t="s">
        <v>318</v>
      </c>
      <c r="D62" s="1407" t="s">
        <v>5150</v>
      </c>
      <c r="E62" s="1404" t="s">
        <v>336</v>
      </c>
      <c r="F62" s="1404">
        <v>2826592</v>
      </c>
      <c r="G62" s="1404"/>
      <c r="H62" s="1406" t="s">
        <v>635</v>
      </c>
      <c r="I62" s="1404" t="s">
        <v>634</v>
      </c>
      <c r="J62" s="1408">
        <v>136000</v>
      </c>
      <c r="K62" s="1408"/>
      <c r="L62" s="1393"/>
      <c r="M62" s="1393"/>
      <c r="N62" s="1394">
        <v>0.05</v>
      </c>
      <c r="O62" s="1394">
        <v>0.15</v>
      </c>
      <c r="P62" s="1394">
        <v>0</v>
      </c>
      <c r="Q62" s="1396"/>
      <c r="R62" s="1396"/>
      <c r="S62" s="1396"/>
      <c r="T62" s="1396"/>
      <c r="U62" s="1396"/>
      <c r="V62" s="1396"/>
      <c r="W62" s="1396"/>
      <c r="X62" s="1396"/>
      <c r="Y62" s="1396"/>
      <c r="Z62" s="1396"/>
      <c r="AA62" s="1396"/>
      <c r="AB62" s="1396"/>
      <c r="AC62" s="1701" t="str">
        <f>IFERROR(VLOOKUP(A62,salesInv!$D$8:$AM$494,35,FALSE),"-")</f>
        <v>H/M/24/2024</v>
      </c>
      <c r="AD62" s="1702" t="str">
        <f>IFERROR(VLOOKUP(A62,salesInv!$D$8:$AM$494,36,FALSE),"-")</f>
        <v>-</v>
      </c>
      <c r="AE62" s="1703">
        <f>IFERROR(VLOOKUP(A62,salesInv!$D$8:$I$494,3,FALSE),"-")</f>
        <v>20400</v>
      </c>
      <c r="AF62" s="1703">
        <f>IFERROR(VLOOKUP(A62,salesInv!$D$8:$I$494,4,FALSE),"-")</f>
        <v>1020</v>
      </c>
      <c r="AG62" s="1703">
        <f>IFERROR(VLOOKUP(A62,salesInv!$D$8:$I$494,6,FALSE),"-")</f>
        <v>21420</v>
      </c>
      <c r="AH62" s="1703">
        <f>COUNTIF(salesInv!$D$8:$D$494,ProH!A62)</f>
        <v>3</v>
      </c>
      <c r="AI62" s="1704">
        <f>SUMIFS(srpro!$F$10:$F$3010,srpro!$B$10:$B$3010,ProH!A62)</f>
        <v>74800</v>
      </c>
      <c r="AJ62" s="1704">
        <f>SUMIFS(srpro!$E$10:$E$3010,srpro!$B$10:$B$3010,ProH!A62)</f>
        <v>54143.607499999998</v>
      </c>
      <c r="AK62" s="1704"/>
    </row>
    <row r="63" spans="1:37" ht="15.75" customHeight="1">
      <c r="A63" s="1631">
        <v>259</v>
      </c>
      <c r="B63" s="1628" t="s">
        <v>264</v>
      </c>
      <c r="C63" s="1629" t="s">
        <v>361</v>
      </c>
      <c r="D63" s="1404" t="s">
        <v>362</v>
      </c>
      <c r="E63" s="1404" t="s">
        <v>333</v>
      </c>
      <c r="F63" s="1404">
        <v>9132544</v>
      </c>
      <c r="G63" s="1418"/>
      <c r="H63" s="1406" t="s">
        <v>365</v>
      </c>
      <c r="I63" s="1418"/>
      <c r="J63" s="1408">
        <v>195000</v>
      </c>
      <c r="K63" s="1408"/>
      <c r="L63" s="1393"/>
      <c r="M63" s="1393"/>
      <c r="N63" s="1394"/>
      <c r="O63" s="1394"/>
      <c r="P63" s="1394"/>
      <c r="Q63" s="1396"/>
      <c r="R63" s="1396"/>
      <c r="S63" s="1396"/>
      <c r="T63" s="1396"/>
      <c r="U63" s="1396"/>
      <c r="V63" s="1396"/>
      <c r="W63" s="1396"/>
      <c r="X63" s="1396"/>
      <c r="Y63" s="1396"/>
      <c r="Z63" s="1396"/>
      <c r="AA63" s="1396"/>
      <c r="AB63" s="1396"/>
      <c r="AC63" s="1701" t="str">
        <f>IFERROR(VLOOKUP(A63,salesInv!$D$8:$AM$494,35,FALSE),"-")</f>
        <v>H/M/28/2024</v>
      </c>
      <c r="AD63" s="1702" t="str">
        <f>IFERROR(VLOOKUP(A63,salesInv!$D$8:$AM$494,36,FALSE),"-")</f>
        <v>-</v>
      </c>
      <c r="AE63" s="1703">
        <f>IFERROR(VLOOKUP(A63,salesInv!$D$8:$I$494,3,FALSE),"-")</f>
        <v>29250</v>
      </c>
      <c r="AF63" s="1703">
        <f>IFERROR(VLOOKUP(A63,salesInv!$D$8:$I$494,4,FALSE),"-")</f>
        <v>1462.5</v>
      </c>
      <c r="AG63" s="1703">
        <f>IFERROR(VLOOKUP(A63,salesInv!$D$8:$I$494,6,FALSE),"-")</f>
        <v>30712.5</v>
      </c>
      <c r="AH63" s="1703">
        <f>COUNTIF(salesInv!$D$8:$D$494,ProH!A63)</f>
        <v>1</v>
      </c>
      <c r="AI63" s="1704">
        <f>SUMIFS(srpro!$F$10:$F$3010,srpro!$B$10:$B$3010,ProH!A63)</f>
        <v>29250</v>
      </c>
      <c r="AJ63" s="1704">
        <f>SUMIFS(srpro!$E$10:$E$3010,srpro!$B$10:$B$3010,ProH!A63)</f>
        <v>13089</v>
      </c>
      <c r="AK63" s="1704"/>
    </row>
    <row r="64" spans="1:37" ht="15.75" customHeight="1">
      <c r="A64" s="1631">
        <v>260</v>
      </c>
      <c r="B64" s="1628" t="s">
        <v>5324</v>
      </c>
      <c r="C64" s="1629" t="s">
        <v>316</v>
      </c>
      <c r="D64" s="1407" t="s">
        <v>329</v>
      </c>
      <c r="E64" s="1407" t="s">
        <v>334</v>
      </c>
      <c r="F64" s="1404">
        <v>4312238</v>
      </c>
      <c r="G64" s="1404"/>
      <c r="H64" s="1406" t="s">
        <v>633</v>
      </c>
      <c r="I64" s="1407" t="s">
        <v>632</v>
      </c>
      <c r="J64" s="1408">
        <v>260000</v>
      </c>
      <c r="K64" s="1408"/>
      <c r="L64" s="1393"/>
      <c r="M64" s="1393"/>
      <c r="N64" s="1394">
        <v>0.05</v>
      </c>
      <c r="O64" s="1394">
        <v>0.15</v>
      </c>
      <c r="P64" s="1394">
        <v>0</v>
      </c>
      <c r="Q64" s="1396" t="s">
        <v>242</v>
      </c>
      <c r="R64" s="1396" t="s">
        <v>244</v>
      </c>
      <c r="S64" s="1396" t="s">
        <v>245</v>
      </c>
      <c r="T64" s="1396" t="s">
        <v>246</v>
      </c>
      <c r="U64" s="1396" t="s">
        <v>5585</v>
      </c>
      <c r="V64" s="1396"/>
      <c r="W64" s="1396">
        <v>25</v>
      </c>
      <c r="X64" s="1396">
        <v>30</v>
      </c>
      <c r="Y64" s="1396">
        <v>35</v>
      </c>
      <c r="Z64" s="1396">
        <v>7</v>
      </c>
      <c r="AA64" s="1396">
        <v>3</v>
      </c>
      <c r="AB64" s="1396"/>
      <c r="AC64" s="1701" t="str">
        <f>IFERROR(VLOOKUP(A64,salesInv!$D$8:$AM$494,35,FALSE),"-")</f>
        <v>H/M/34/2024</v>
      </c>
      <c r="AD64" s="1702" t="s">
        <v>1500</v>
      </c>
      <c r="AE64" s="1703">
        <f>IFERROR(VLOOKUP(A64,salesInv!$D$8:$I$494,3,FALSE),"-")</f>
        <v>39000</v>
      </c>
      <c r="AF64" s="1703">
        <f>IFERROR(VLOOKUP(A64,salesInv!$D$8:$I$494,4,FALSE),"-")</f>
        <v>1950</v>
      </c>
      <c r="AG64" s="1703">
        <f>IFERROR(VLOOKUP(A64,salesInv!$D$8:$I$494,6,FALSE),"-")</f>
        <v>40950</v>
      </c>
      <c r="AH64" s="1703">
        <f>COUNTIF(salesInv!$D$8:$D$494,ProH!A64)</f>
        <v>1</v>
      </c>
      <c r="AI64" s="1704">
        <f>SUMIFS(srpro!$F$10:$F$3010,srpro!$B$10:$B$3010,ProH!A64)</f>
        <v>39000</v>
      </c>
      <c r="AJ64" s="1704">
        <f>SUMIFS(srpro!$E$10:$E$3010,srpro!$B$10:$B$3010,ProH!A64)</f>
        <v>15962</v>
      </c>
      <c r="AK64" s="1704"/>
    </row>
    <row r="65" spans="1:37" ht="15.75" customHeight="1">
      <c r="A65" s="1631">
        <v>261</v>
      </c>
      <c r="B65" s="1628" t="s">
        <v>5321</v>
      </c>
      <c r="C65" s="1629" t="s">
        <v>456</v>
      </c>
      <c r="D65" s="1404" t="s">
        <v>328</v>
      </c>
      <c r="E65" s="1404" t="s">
        <v>457</v>
      </c>
      <c r="F65" s="1404"/>
      <c r="G65" s="1404"/>
      <c r="H65" s="1406" t="s">
        <v>459</v>
      </c>
      <c r="I65" s="1404" t="s">
        <v>458</v>
      </c>
      <c r="J65" s="1408">
        <v>230000</v>
      </c>
      <c r="K65" s="1408"/>
      <c r="L65" s="1393"/>
      <c r="M65" s="1393"/>
      <c r="N65" s="1394">
        <v>0.05</v>
      </c>
      <c r="O65" s="1394">
        <v>0.15</v>
      </c>
      <c r="P65" s="1394">
        <v>0</v>
      </c>
      <c r="Q65" s="1396" t="s">
        <v>242</v>
      </c>
      <c r="R65" s="1396" t="s">
        <v>244</v>
      </c>
      <c r="S65" s="1396" t="s">
        <v>245</v>
      </c>
      <c r="T65" s="1396" t="s">
        <v>246</v>
      </c>
      <c r="U65" s="1396" t="s">
        <v>5585</v>
      </c>
      <c r="V65" s="1396"/>
      <c r="W65" s="1396">
        <v>25</v>
      </c>
      <c r="X65" s="1396">
        <v>30</v>
      </c>
      <c r="Y65" s="1396">
        <v>35</v>
      </c>
      <c r="Z65" s="1396">
        <v>7</v>
      </c>
      <c r="AA65" s="1396">
        <v>3</v>
      </c>
      <c r="AB65" s="1396"/>
      <c r="AC65" s="1701" t="str">
        <f>IFERROR(VLOOKUP(A65,salesInv!$D$8:$AM$494,35,FALSE),"-")</f>
        <v>H/M/35/2024</v>
      </c>
      <c r="AD65" s="1702" t="s">
        <v>1500</v>
      </c>
      <c r="AE65" s="1703">
        <f>IFERROR(VLOOKUP(A65,salesInv!$D$8:$I$494,3,FALSE),"-")</f>
        <v>34500</v>
      </c>
      <c r="AF65" s="1703">
        <f>IFERROR(VLOOKUP(A65,salesInv!$D$8:$I$494,4,FALSE),"-")</f>
        <v>1725</v>
      </c>
      <c r="AG65" s="1703">
        <f>IFERROR(VLOOKUP(A65,salesInv!$D$8:$I$494,6,FALSE),"-")</f>
        <v>36225</v>
      </c>
      <c r="AH65" s="1703">
        <f>COUNTIF(salesInv!$D$8:$D$494,ProH!A65)</f>
        <v>1</v>
      </c>
      <c r="AI65" s="1704">
        <f>SUMIFS(srpro!$F$10:$F$3010,srpro!$B$10:$B$3010,ProH!A65)</f>
        <v>34500</v>
      </c>
      <c r="AJ65" s="1704">
        <f>SUMIFS(srpro!$E$10:$E$3010,srpro!$B$10:$B$3010,ProH!A65)</f>
        <v>18267.689999999999</v>
      </c>
      <c r="AK65" s="1704"/>
    </row>
    <row r="66" spans="1:37" ht="15.75" customHeight="1">
      <c r="A66" s="1631">
        <v>262</v>
      </c>
      <c r="B66" s="1628" t="s">
        <v>275</v>
      </c>
      <c r="C66" s="1629" t="s">
        <v>319</v>
      </c>
      <c r="D66" s="1407" t="s">
        <v>326</v>
      </c>
      <c r="E66" s="1404" t="s">
        <v>337</v>
      </c>
      <c r="F66" s="1404">
        <v>4161553</v>
      </c>
      <c r="G66" s="1404"/>
      <c r="H66" s="1406" t="s">
        <v>448</v>
      </c>
      <c r="I66" s="1407" t="s">
        <v>447</v>
      </c>
      <c r="J66" s="1408">
        <v>153000</v>
      </c>
      <c r="K66" s="1408"/>
      <c r="L66" s="1393" t="s">
        <v>449</v>
      </c>
      <c r="M66" s="1393"/>
      <c r="N66" s="1394">
        <v>0.05</v>
      </c>
      <c r="O66" s="1394">
        <v>0.1</v>
      </c>
      <c r="P66" s="1394">
        <v>0</v>
      </c>
      <c r="Q66" s="1396" t="s">
        <v>242</v>
      </c>
      <c r="R66" s="1396" t="s">
        <v>244</v>
      </c>
      <c r="S66" s="1396" t="s">
        <v>245</v>
      </c>
      <c r="T66" s="1396" t="s">
        <v>246</v>
      </c>
      <c r="U66" s="1396" t="s">
        <v>5585</v>
      </c>
      <c r="V66" s="1396"/>
      <c r="W66" s="1396">
        <v>25</v>
      </c>
      <c r="X66" s="1396">
        <v>30</v>
      </c>
      <c r="Y66" s="1396">
        <v>35</v>
      </c>
      <c r="Z66" s="1396">
        <v>7</v>
      </c>
      <c r="AA66" s="1396">
        <v>3</v>
      </c>
      <c r="AB66" s="1396"/>
      <c r="AC66" s="1701" t="str">
        <f>IFERROR(VLOOKUP(A66,salesInv!$D$8:$AM$494,35,FALSE),"-")</f>
        <v>H/M/22/2024</v>
      </c>
      <c r="AD66" s="1702" t="s">
        <v>1500</v>
      </c>
      <c r="AE66" s="1703">
        <f>IFERROR(VLOOKUP(A66,salesInv!$D$8:$I$494,3,FALSE),"-")</f>
        <v>15300</v>
      </c>
      <c r="AF66" s="1703">
        <f>IFERROR(VLOOKUP(A66,salesInv!$D$8:$I$494,4,FALSE),"-")</f>
        <v>765</v>
      </c>
      <c r="AG66" s="1703">
        <f>IFERROR(VLOOKUP(A66,salesInv!$D$8:$I$494,6,FALSE),"-")</f>
        <v>16065</v>
      </c>
      <c r="AH66" s="1703">
        <f>COUNTIF(salesInv!$D$8:$D$494,ProH!A66)</f>
        <v>1</v>
      </c>
      <c r="AI66" s="1704">
        <f>SUMIFS(srpro!$F$10:$F$3010,srpro!$B$10:$B$3010,ProH!A66)</f>
        <v>152235</v>
      </c>
      <c r="AJ66" s="1704">
        <f>SUMIFS(srpro!$E$10:$E$3010,srpro!$B$10:$B$3010,ProH!A66)</f>
        <v>70125.703999999998</v>
      </c>
      <c r="AK66" s="1704"/>
    </row>
    <row r="67" spans="1:37" ht="15.75" customHeight="1">
      <c r="A67" s="1631">
        <v>264</v>
      </c>
      <c r="B67" s="1628" t="s">
        <v>5334</v>
      </c>
      <c r="C67" s="1629" t="s">
        <v>526</v>
      </c>
      <c r="D67" s="1407" t="s">
        <v>330</v>
      </c>
      <c r="E67" s="1404" t="s">
        <v>331</v>
      </c>
      <c r="F67" s="1404">
        <v>9130926</v>
      </c>
      <c r="G67" s="1404"/>
      <c r="H67" s="1406" t="s">
        <v>527</v>
      </c>
      <c r="I67" s="1404" t="s">
        <v>525</v>
      </c>
      <c r="J67" s="1408">
        <v>185000</v>
      </c>
      <c r="K67" s="1408">
        <v>22000</v>
      </c>
      <c r="L67" s="1393"/>
      <c r="M67" s="1393" t="s">
        <v>5510</v>
      </c>
      <c r="N67" s="1394">
        <v>0.05</v>
      </c>
      <c r="O67" s="1394">
        <v>0.15</v>
      </c>
      <c r="P67" s="1394">
        <v>0</v>
      </c>
      <c r="Q67" s="1396"/>
      <c r="R67" s="1396"/>
      <c r="S67" s="1396"/>
      <c r="T67" s="1396"/>
      <c r="U67" s="1396"/>
      <c r="V67" s="1396"/>
      <c r="W67" s="1396"/>
      <c r="X67" s="1396"/>
      <c r="Y67" s="1396"/>
      <c r="Z67" s="1396"/>
      <c r="AA67" s="1396"/>
      <c r="AB67" s="1396"/>
      <c r="AC67" s="1701" t="str">
        <f>IFERROR(VLOOKUP(A67,salesInv!$D$8:$AM$494,35,FALSE),"-")</f>
        <v>H/M/37/2024</v>
      </c>
      <c r="AD67" s="1702" t="str">
        <f>IFERROR(VLOOKUP(A67,salesInv!$D$8:$AM$494,36,FALSE),"-")</f>
        <v>-</v>
      </c>
      <c r="AE67" s="1703">
        <f>IFERROR(VLOOKUP(A67,salesInv!$D$8:$I$494,3,FALSE),"-")</f>
        <v>28571.43</v>
      </c>
      <c r="AF67" s="1703">
        <f>IFERROR(VLOOKUP(A67,salesInv!$D$8:$I$494,4,FALSE),"-")</f>
        <v>1428.5715</v>
      </c>
      <c r="AG67" s="1703">
        <f>IFERROR(VLOOKUP(A67,salesInv!$D$8:$I$494,6,FALSE),"-")</f>
        <v>30000</v>
      </c>
      <c r="AH67" s="1703">
        <f>COUNTIF(salesInv!$D$8:$D$494,ProH!A67)</f>
        <v>2</v>
      </c>
      <c r="AI67" s="1704">
        <f>SUMIFS(srpro!$F$10:$F$3010,srpro!$B$10:$B$3010,ProH!A67)</f>
        <v>106571.43</v>
      </c>
      <c r="AJ67" s="1704">
        <f>SUMIFS(srpro!$E$10:$E$3010,srpro!$B$10:$B$3010,ProH!A67)</f>
        <v>48746.06</v>
      </c>
      <c r="AK67" s="1704"/>
    </row>
    <row r="68" spans="1:37" ht="15.75" customHeight="1">
      <c r="A68" s="1631">
        <v>265</v>
      </c>
      <c r="B68" s="1628" t="s">
        <v>5327</v>
      </c>
      <c r="C68" s="1629" t="s">
        <v>317</v>
      </c>
      <c r="D68" s="1404" t="s">
        <v>326</v>
      </c>
      <c r="E68" s="1404" t="s">
        <v>335</v>
      </c>
      <c r="F68" s="1404">
        <v>7118668</v>
      </c>
      <c r="G68" s="1404"/>
      <c r="H68" s="1406" t="s">
        <v>699</v>
      </c>
      <c r="I68" s="1404" t="s">
        <v>698</v>
      </c>
      <c r="J68" s="1408">
        <v>235000</v>
      </c>
      <c r="K68" s="1408"/>
      <c r="L68" s="1393"/>
      <c r="M68" s="1393" t="s">
        <v>700</v>
      </c>
      <c r="N68" s="1394"/>
      <c r="O68" s="1394"/>
      <c r="P68" s="1394"/>
      <c r="Q68" s="1396" t="s">
        <v>242</v>
      </c>
      <c r="R68" s="1396" t="s">
        <v>244</v>
      </c>
      <c r="S68" s="1396" t="s">
        <v>245</v>
      </c>
      <c r="T68" s="1396" t="s">
        <v>246</v>
      </c>
      <c r="U68" s="1396" t="s">
        <v>5585</v>
      </c>
      <c r="V68" s="1396"/>
      <c r="W68" s="1396">
        <v>15</v>
      </c>
      <c r="X68" s="1396">
        <v>25</v>
      </c>
      <c r="Y68" s="1396">
        <v>30</v>
      </c>
      <c r="Z68" s="1396">
        <v>10</v>
      </c>
      <c r="AA68" s="1396">
        <v>5</v>
      </c>
      <c r="AB68" s="1396"/>
      <c r="AC68" s="1701" t="str">
        <f>IFERROR(VLOOKUP(A68,salesInv!$D$8:$AM$494,35,FALSE),"-")</f>
        <v>H/M/36/2024</v>
      </c>
      <c r="AD68" s="1702" t="s">
        <v>1500</v>
      </c>
      <c r="AE68" s="1703">
        <f>IFERROR(VLOOKUP(A68,salesInv!$D$8:$I$494,3,FALSE),"-")</f>
        <v>35250</v>
      </c>
      <c r="AF68" s="1703">
        <f>IFERROR(VLOOKUP(A68,salesInv!$D$8:$I$494,4,FALSE),"-")</f>
        <v>1762.5</v>
      </c>
      <c r="AG68" s="1703">
        <f>IFERROR(VLOOKUP(A68,salesInv!$D$8:$I$494,6,FALSE),"-")</f>
        <v>37012.5</v>
      </c>
      <c r="AH68" s="1703">
        <f>COUNTIF(salesInv!$D$8:$D$494,ProH!A68)</f>
        <v>3</v>
      </c>
      <c r="AI68" s="1704">
        <f>SUMIFS(srpro!$F$10:$F$3010,srpro!$B$10:$B$3010,ProH!A68)</f>
        <v>11500</v>
      </c>
      <c r="AJ68" s="1704">
        <f>SUMIFS(srpro!$E$10:$E$3010,srpro!$B$10:$B$3010,ProH!A68)</f>
        <v>778.53</v>
      </c>
      <c r="AK68" s="1704"/>
    </row>
    <row r="69" spans="1:37" ht="15.75" customHeight="1">
      <c r="A69" s="1631">
        <v>275</v>
      </c>
      <c r="B69" s="1628" t="s">
        <v>320</v>
      </c>
      <c r="C69" s="1629" t="s">
        <v>320</v>
      </c>
      <c r="D69" s="1404" t="s">
        <v>1419</v>
      </c>
      <c r="E69" s="1404" t="s">
        <v>338</v>
      </c>
      <c r="F69" s="1404">
        <v>7114544</v>
      </c>
      <c r="G69" s="1404"/>
      <c r="H69" s="1406" t="s">
        <v>373</v>
      </c>
      <c r="I69" s="1404" t="s">
        <v>637</v>
      </c>
      <c r="J69" s="1408">
        <v>118000</v>
      </c>
      <c r="K69" s="1408">
        <v>9550</v>
      </c>
      <c r="L69" s="1393"/>
      <c r="M69" s="1393" t="s">
        <v>5582</v>
      </c>
      <c r="N69" s="1394">
        <v>0.05</v>
      </c>
      <c r="O69" s="1394">
        <v>0.15</v>
      </c>
      <c r="P69" s="1394">
        <v>0</v>
      </c>
      <c r="Q69" s="1396"/>
      <c r="R69" s="1396"/>
      <c r="S69" s="1396"/>
      <c r="T69" s="1396"/>
      <c r="U69" s="1396"/>
      <c r="V69" s="1396"/>
      <c r="W69" s="1396"/>
      <c r="X69" s="1396"/>
      <c r="Y69" s="1396"/>
      <c r="Z69" s="1396"/>
      <c r="AA69" s="1396"/>
      <c r="AB69" s="1396"/>
      <c r="AC69" s="1701" t="str">
        <f>IFERROR(VLOOKUP(A69,salesInv!$D$8:$AM$494,35,FALSE),"-")</f>
        <v>H/M/57/2024</v>
      </c>
      <c r="AD69" s="1702" t="str">
        <f>IFERROR(VLOOKUP(A69,salesInv!$D$8:$AM$494,36,FALSE),"-")</f>
        <v>-</v>
      </c>
      <c r="AE69" s="1703">
        <f>IFERROR(VLOOKUP(A69,salesInv!$D$8:$I$494,3,FALSE),"-")</f>
        <v>17700</v>
      </c>
      <c r="AF69" s="1703">
        <f>IFERROR(VLOOKUP(A69,salesInv!$D$8:$I$494,4,FALSE),"-")</f>
        <v>885</v>
      </c>
      <c r="AG69" s="1703">
        <f>IFERROR(VLOOKUP(A69,salesInv!$D$8:$I$494,6,FALSE),"-")</f>
        <v>18585</v>
      </c>
      <c r="AH69" s="1703">
        <f>COUNTIF(salesInv!$D$8:$D$494,ProH!A69)</f>
        <v>3</v>
      </c>
      <c r="AI69" s="1704">
        <f>SUMIFS(srpro!$F$10:$F$3010,srpro!$B$10:$B$3010,ProH!A69)</f>
        <v>71450</v>
      </c>
      <c r="AJ69" s="1704">
        <f>SUMIFS(srpro!$E$10:$E$3010,srpro!$B$10:$B$3010,ProH!A69)</f>
        <v>39685.880000000005</v>
      </c>
      <c r="AK69" s="1704"/>
    </row>
    <row r="70" spans="1:37" ht="15.75" customHeight="1">
      <c r="A70" s="1631">
        <v>276</v>
      </c>
      <c r="B70" s="1628" t="s">
        <v>283</v>
      </c>
      <c r="C70" s="1629" t="s">
        <v>597</v>
      </c>
      <c r="D70" s="1404" t="s">
        <v>598</v>
      </c>
      <c r="E70" s="1404" t="s">
        <v>340</v>
      </c>
      <c r="F70" s="1404">
        <v>71114728</v>
      </c>
      <c r="G70" s="1404"/>
      <c r="H70" s="1406" t="s">
        <v>600</v>
      </c>
      <c r="I70" s="1404" t="s">
        <v>599</v>
      </c>
      <c r="J70" s="1408">
        <v>92000</v>
      </c>
      <c r="K70" s="1408">
        <v>9000</v>
      </c>
      <c r="L70" s="1393"/>
      <c r="M70" s="1393" t="s">
        <v>2988</v>
      </c>
      <c r="N70" s="1394">
        <v>0.05</v>
      </c>
      <c r="O70" s="1394">
        <v>0.05</v>
      </c>
      <c r="P70" s="1394">
        <v>0</v>
      </c>
      <c r="Q70" s="1396" t="s">
        <v>242</v>
      </c>
      <c r="R70" s="1396" t="s">
        <v>244</v>
      </c>
      <c r="S70" s="1396" t="s">
        <v>245</v>
      </c>
      <c r="T70" s="1396" t="s">
        <v>246</v>
      </c>
      <c r="U70" s="1396" t="s">
        <v>5585</v>
      </c>
      <c r="V70" s="1396"/>
      <c r="W70" s="1396">
        <v>25</v>
      </c>
      <c r="X70" s="1396">
        <v>30</v>
      </c>
      <c r="Y70" s="1396">
        <v>35</v>
      </c>
      <c r="Z70" s="1396">
        <v>7</v>
      </c>
      <c r="AA70" s="1396">
        <v>3</v>
      </c>
      <c r="AB70" s="1396"/>
      <c r="AC70" s="1701" t="str">
        <f>IFERROR(VLOOKUP(A70,salesInv!$D$8:$AM$494,35,FALSE),"-")</f>
        <v>H/M/68/2024</v>
      </c>
      <c r="AD70" s="1702" t="s">
        <v>1500</v>
      </c>
      <c r="AE70" s="1703">
        <f>IFERROR(VLOOKUP(A70,salesInv!$D$8:$I$494,3,FALSE),"-")</f>
        <v>4600</v>
      </c>
      <c r="AF70" s="1703">
        <f>IFERROR(VLOOKUP(A70,salesInv!$D$8:$I$494,4,FALSE),"-")</f>
        <v>230</v>
      </c>
      <c r="AG70" s="1703">
        <f>IFERROR(VLOOKUP(A70,salesInv!$D$8:$I$494,6,FALSE),"-")</f>
        <v>4830</v>
      </c>
      <c r="AH70" s="1703">
        <f>COUNTIF(salesInv!$D$8:$D$494,ProH!A70)</f>
        <v>3</v>
      </c>
      <c r="AI70" s="1704">
        <f>SUMIFS(srpro!$F$10:$F$3010,srpro!$B$10:$B$3010,ProH!A70)</f>
        <v>50600</v>
      </c>
      <c r="AJ70" s="1704">
        <f>SUMIFS(srpro!$E$10:$E$3010,srpro!$B$10:$B$3010,ProH!A70)</f>
        <v>28779.29</v>
      </c>
      <c r="AK70" s="1704"/>
    </row>
    <row r="71" spans="1:37" ht="15.75" customHeight="1">
      <c r="A71" s="1631">
        <v>277</v>
      </c>
      <c r="B71" s="1628" t="s">
        <v>268</v>
      </c>
      <c r="C71" s="1628" t="s">
        <v>396</v>
      </c>
      <c r="D71" s="1404" t="s">
        <v>341</v>
      </c>
      <c r="E71" s="1404" t="s">
        <v>340</v>
      </c>
      <c r="F71" s="1404">
        <v>71114734</v>
      </c>
      <c r="G71" s="1404"/>
      <c r="H71" s="1406" t="s">
        <v>398</v>
      </c>
      <c r="I71" s="1404" t="s">
        <v>397</v>
      </c>
      <c r="J71" s="1408">
        <v>135000</v>
      </c>
      <c r="K71" s="1408">
        <v>13000</v>
      </c>
      <c r="L71" s="1393"/>
      <c r="M71" s="1393" t="s">
        <v>2988</v>
      </c>
      <c r="N71" s="1394">
        <v>0.05</v>
      </c>
      <c r="O71" s="1394">
        <v>0.05</v>
      </c>
      <c r="P71" s="1394">
        <v>0</v>
      </c>
      <c r="Q71" s="1396"/>
      <c r="R71" s="1396"/>
      <c r="S71" s="1396"/>
      <c r="T71" s="1396"/>
      <c r="U71" s="1396"/>
      <c r="V71" s="1396"/>
      <c r="W71" s="1396"/>
      <c r="X71" s="1396"/>
      <c r="Y71" s="1396"/>
      <c r="Z71" s="1396"/>
      <c r="AA71" s="1396"/>
      <c r="AB71" s="1396"/>
      <c r="AC71" s="1701" t="s">
        <v>5159</v>
      </c>
      <c r="AD71" s="1702" t="s">
        <v>1500</v>
      </c>
      <c r="AE71" s="1703">
        <v>6750</v>
      </c>
      <c r="AF71" s="1703">
        <v>337.5</v>
      </c>
      <c r="AG71" s="1703">
        <v>7087.5</v>
      </c>
      <c r="AH71" s="1703">
        <v>2</v>
      </c>
      <c r="AI71" s="1704">
        <v>33750</v>
      </c>
      <c r="AJ71" s="1704">
        <v>836.48</v>
      </c>
      <c r="AK71" s="1704"/>
    </row>
    <row r="72" spans="1:37" ht="15.75" customHeight="1">
      <c r="A72" s="1631">
        <v>278</v>
      </c>
      <c r="B72" s="1628" t="s">
        <v>2845</v>
      </c>
      <c r="C72" s="1629" t="s">
        <v>2846</v>
      </c>
      <c r="D72" s="1410" t="s">
        <v>330</v>
      </c>
      <c r="E72" s="1415" t="s">
        <v>343</v>
      </c>
      <c r="F72" s="1415">
        <v>6713324</v>
      </c>
      <c r="G72" s="1404" t="s">
        <v>785</v>
      </c>
      <c r="H72" s="1411" t="s">
        <v>784</v>
      </c>
      <c r="I72" s="1417" t="s">
        <v>783</v>
      </c>
      <c r="J72" s="1408">
        <v>220000</v>
      </c>
      <c r="K72" s="1408">
        <v>20000</v>
      </c>
      <c r="L72" s="1393"/>
      <c r="M72" s="1400" t="s">
        <v>1755</v>
      </c>
      <c r="N72" s="1394">
        <v>0.05</v>
      </c>
      <c r="O72" s="1394">
        <v>0.15</v>
      </c>
      <c r="P72" s="1394">
        <v>0.05</v>
      </c>
      <c r="Q72" s="1396" t="s">
        <v>242</v>
      </c>
      <c r="R72" s="1396" t="s">
        <v>244</v>
      </c>
      <c r="S72" s="1396" t="s">
        <v>245</v>
      </c>
      <c r="T72" s="1396" t="s">
        <v>246</v>
      </c>
      <c r="U72" s="1396" t="s">
        <v>5585</v>
      </c>
      <c r="V72" s="1396"/>
      <c r="W72" s="1396">
        <v>25</v>
      </c>
      <c r="X72" s="1396">
        <v>30</v>
      </c>
      <c r="Y72" s="1396">
        <v>35</v>
      </c>
      <c r="Z72" s="1396">
        <v>7</v>
      </c>
      <c r="AA72" s="1396">
        <v>3</v>
      </c>
      <c r="AB72" s="1396"/>
      <c r="AC72" s="1701" t="str">
        <f>IFERROR(VLOOKUP(A72,salesInv!$D$8:$AM$494,35,FALSE),"-")</f>
        <v>H/M/113/2024</v>
      </c>
      <c r="AD72" s="1702">
        <v>45453</v>
      </c>
      <c r="AE72" s="1703">
        <f>IFERROR(VLOOKUP(A72,salesInv!$D$8:$I$494,3,FALSE),"-")</f>
        <v>82500</v>
      </c>
      <c r="AF72" s="1703">
        <f>IFERROR(VLOOKUP(A72,salesInv!$D$8:$I$494,4,FALSE),"-")</f>
        <v>4125</v>
      </c>
      <c r="AG72" s="1703">
        <f>IFERROR(VLOOKUP(A72,salesInv!$D$8:$I$494,6,FALSE),"-")</f>
        <v>44000</v>
      </c>
      <c r="AH72" s="1703">
        <f>COUNTIF(salesInv!$D$8:$D$494,ProH!A72)</f>
        <v>1</v>
      </c>
      <c r="AI72" s="1704">
        <f>SUMIFS(srpro!$F$10:$F$3010,srpro!$B$10:$B$3010,ProH!A72)</f>
        <v>77000</v>
      </c>
      <c r="AJ72" s="1704">
        <f>SUMIFS(srpro!$E$10:$E$3010,srpro!$B$10:$B$3010,ProH!A72)</f>
        <v>30184.62545</v>
      </c>
      <c r="AK72" s="1704"/>
    </row>
    <row r="73" spans="1:37" ht="15.75" customHeight="1">
      <c r="A73" s="1631">
        <v>279</v>
      </c>
      <c r="B73" s="1628" t="s">
        <v>307</v>
      </c>
      <c r="C73" s="1629" t="s">
        <v>307</v>
      </c>
      <c r="D73" s="1410" t="s">
        <v>339</v>
      </c>
      <c r="E73" s="1411" t="s">
        <v>5392</v>
      </c>
      <c r="F73" s="1415">
        <v>315050180</v>
      </c>
      <c r="G73" s="1404"/>
      <c r="H73" s="1419" t="s">
        <v>781</v>
      </c>
      <c r="I73" s="1404" t="s">
        <v>780</v>
      </c>
      <c r="J73" s="1408">
        <v>96000</v>
      </c>
      <c r="K73" s="1408">
        <v>16000</v>
      </c>
      <c r="L73" s="1393"/>
      <c r="M73" s="1393"/>
      <c r="N73" s="1394">
        <v>0.05</v>
      </c>
      <c r="O73" s="1394">
        <v>0.2</v>
      </c>
      <c r="P73" s="1394">
        <v>0</v>
      </c>
      <c r="Q73" s="1396" t="s">
        <v>242</v>
      </c>
      <c r="R73" s="1396" t="s">
        <v>244</v>
      </c>
      <c r="S73" s="1396" t="s">
        <v>245</v>
      </c>
      <c r="T73" s="1396" t="s">
        <v>246</v>
      </c>
      <c r="U73" s="1396" t="s">
        <v>5585</v>
      </c>
      <c r="V73" s="1396"/>
      <c r="W73" s="1396">
        <v>25</v>
      </c>
      <c r="X73" s="1396">
        <v>30</v>
      </c>
      <c r="Y73" s="1396">
        <v>35</v>
      </c>
      <c r="Z73" s="1396">
        <v>7</v>
      </c>
      <c r="AA73" s="1396">
        <v>3</v>
      </c>
      <c r="AB73" s="1396"/>
      <c r="AC73" s="1701" t="str">
        <f>IFERROR(VLOOKUP(A73,salesInv!$D$8:$AM$494,35,FALSE),"-")</f>
        <v>H/M/82/2024</v>
      </c>
      <c r="AD73" s="1702" t="s">
        <v>1500</v>
      </c>
      <c r="AE73" s="1703">
        <f>IFERROR(VLOOKUP(A73,salesInv!$D$8:$I$494,3,FALSE),"-")</f>
        <v>19200</v>
      </c>
      <c r="AF73" s="1703">
        <f>IFERROR(VLOOKUP(A73,salesInv!$D$8:$I$494,4,FALSE),"-")</f>
        <v>960</v>
      </c>
      <c r="AG73" s="1703">
        <f>IFERROR(VLOOKUP(A73,salesInv!$D$8:$I$494,6,FALSE),"-")</f>
        <v>20160</v>
      </c>
      <c r="AH73" s="1703">
        <f>COUNTIF(salesInv!$D$8:$D$494,ProH!A73)</f>
        <v>3</v>
      </c>
      <c r="AI73" s="1704">
        <f>SUMIFS(srpro!$F$10:$F$3010,srpro!$B$10:$B$3010,ProH!A73)</f>
        <v>107200</v>
      </c>
      <c r="AJ73" s="1704">
        <f>SUMIFS(srpro!$E$10:$E$3010,srpro!$B$10:$B$3010,ProH!A73)</f>
        <v>77028.160000000003</v>
      </c>
      <c r="AK73" s="1704"/>
    </row>
    <row r="74" spans="1:37" ht="15.75" customHeight="1">
      <c r="A74" s="1631">
        <v>280</v>
      </c>
      <c r="B74" s="1628" t="s">
        <v>869</v>
      </c>
      <c r="C74" s="1629" t="s">
        <v>869</v>
      </c>
      <c r="D74" s="1404" t="s">
        <v>326</v>
      </c>
      <c r="E74" s="1404" t="s">
        <v>870</v>
      </c>
      <c r="F74" s="1404">
        <v>4314217</v>
      </c>
      <c r="G74" s="1404"/>
      <c r="H74" s="1404"/>
      <c r="I74" s="1404"/>
      <c r="J74" s="1408">
        <v>140000</v>
      </c>
      <c r="K74" s="1408"/>
      <c r="L74" s="1393"/>
      <c r="M74" s="1393"/>
      <c r="N74" s="1394"/>
      <c r="O74" s="1394">
        <v>0.1</v>
      </c>
      <c r="P74" s="1394">
        <v>0</v>
      </c>
      <c r="Q74" s="1396"/>
      <c r="R74" s="1396"/>
      <c r="S74" s="1396"/>
      <c r="T74" s="1396"/>
      <c r="U74" s="1396"/>
      <c r="V74" s="1396"/>
      <c r="W74" s="1396"/>
      <c r="X74" s="1396"/>
      <c r="Y74" s="1396"/>
      <c r="Z74" s="1396"/>
      <c r="AA74" s="1396"/>
      <c r="AB74" s="1396"/>
      <c r="AC74" s="1701" t="str">
        <f>IFERROR(VLOOKUP(A74,salesInv!$D$8:$AM$494,35,FALSE),"-")</f>
        <v>H/M/70/2024</v>
      </c>
      <c r="AD74" s="1702" t="str">
        <f>IFERROR(VLOOKUP(A74,salesInv!$D$8:$AM$494,36,FALSE),"-")</f>
        <v>-</v>
      </c>
      <c r="AE74" s="1703">
        <f>IFERROR(VLOOKUP(A74,salesInv!$D$8:$I$494,3,FALSE),"-")</f>
        <v>14000</v>
      </c>
      <c r="AF74" s="1703">
        <f>IFERROR(VLOOKUP(A74,salesInv!$D$8:$I$494,4,FALSE),"-")</f>
        <v>700</v>
      </c>
      <c r="AG74" s="1703">
        <f>IFERROR(VLOOKUP(A74,salesInv!$D$8:$I$494,6,FALSE),"-")</f>
        <v>14700</v>
      </c>
      <c r="AH74" s="1703">
        <f>COUNTIF(salesInv!$D$8:$D$494,ProH!A74)</f>
        <v>2</v>
      </c>
      <c r="AI74" s="1704">
        <f>SUMIFS(srpro!$F$10:$F$3010,srpro!$B$10:$B$3010,ProH!A74)</f>
        <v>14000</v>
      </c>
      <c r="AJ74" s="1704">
        <f>SUMIFS(srpro!$E$10:$E$3010,srpro!$B$10:$B$3010,ProH!A74)</f>
        <v>4469.8500000000004</v>
      </c>
      <c r="AK74" s="1704"/>
    </row>
    <row r="75" spans="1:37" ht="15.75">
      <c r="A75" s="1631">
        <v>281</v>
      </c>
      <c r="B75" s="1628" t="s">
        <v>866</v>
      </c>
      <c r="C75" s="1629" t="s">
        <v>866</v>
      </c>
      <c r="D75" s="1404" t="s">
        <v>867</v>
      </c>
      <c r="E75" s="1404" t="s">
        <v>868</v>
      </c>
      <c r="F75" s="1404">
        <v>7115417</v>
      </c>
      <c r="G75" s="1404"/>
      <c r="H75" s="1404"/>
      <c r="I75" s="1404"/>
      <c r="J75" s="1408">
        <v>127000</v>
      </c>
      <c r="K75" s="1408"/>
      <c r="L75" s="1393"/>
      <c r="M75" s="1393"/>
      <c r="N75" s="1394"/>
      <c r="O75" s="1394"/>
      <c r="P75" s="1394"/>
      <c r="Q75" s="1396" t="s">
        <v>242</v>
      </c>
      <c r="R75" s="1396" t="s">
        <v>244</v>
      </c>
      <c r="S75" s="1396" t="s">
        <v>245</v>
      </c>
      <c r="T75" s="1396" t="s">
        <v>246</v>
      </c>
      <c r="U75" s="1396" t="s">
        <v>5585</v>
      </c>
      <c r="V75" s="1396"/>
      <c r="W75" s="1396">
        <v>25</v>
      </c>
      <c r="X75" s="1396">
        <v>30</v>
      </c>
      <c r="Y75" s="1396">
        <v>35</v>
      </c>
      <c r="Z75" s="1396">
        <v>7</v>
      </c>
      <c r="AA75" s="1396">
        <v>3</v>
      </c>
      <c r="AB75" s="1396"/>
      <c r="AC75" s="1701" t="str">
        <f>IFERROR(VLOOKUP(A75,salesInv!$D$8:$AM$494,35,FALSE),"-")</f>
        <v>-</v>
      </c>
      <c r="AD75" s="1702" t="s">
        <v>1500</v>
      </c>
      <c r="AE75" s="1703" t="str">
        <f>IFERROR(VLOOKUP(A75,salesInv!$D$8:$I$494,3,FALSE),"-")</f>
        <v>-</v>
      </c>
      <c r="AF75" s="1703" t="str">
        <f>IFERROR(VLOOKUP(A75,salesInv!$D$8:$I$494,4,FALSE),"-")</f>
        <v>-</v>
      </c>
      <c r="AG75" s="1703" t="str">
        <f>IFERROR(VLOOKUP(A75,salesInv!$D$8:$I$494,6,FALSE),"-")</f>
        <v>-</v>
      </c>
      <c r="AH75" s="1703">
        <f>COUNTIF(salesInv!$D$8:$D$494,ProH!A75)</f>
        <v>0</v>
      </c>
      <c r="AI75" s="1704">
        <f>SUMIFS(srpro!$F$10:$F$3010,srpro!$B$10:$B$3010,ProH!A75)</f>
        <v>6350</v>
      </c>
      <c r="AJ75" s="1704">
        <f>SUMIFS(srpro!$E$10:$E$3010,srpro!$B$10:$B$3010,ProH!A75)</f>
        <v>1980.5</v>
      </c>
      <c r="AK75" s="1704"/>
    </row>
    <row r="76" spans="1:37" ht="15.75">
      <c r="A76" s="1631">
        <v>284</v>
      </c>
      <c r="B76" s="1628" t="s">
        <v>1834</v>
      </c>
      <c r="C76" s="1629" t="s">
        <v>5931</v>
      </c>
      <c r="D76" s="1404" t="s">
        <v>370</v>
      </c>
      <c r="E76" s="1404" t="s">
        <v>1032</v>
      </c>
      <c r="F76" s="1404">
        <v>4312426</v>
      </c>
      <c r="G76" s="1404"/>
      <c r="H76" s="1406"/>
      <c r="I76" s="1404" t="s">
        <v>1033</v>
      </c>
      <c r="J76" s="1408">
        <v>75000</v>
      </c>
      <c r="K76" s="1408"/>
      <c r="L76" s="1393"/>
      <c r="M76" s="1393"/>
      <c r="N76" s="1394">
        <v>0.05</v>
      </c>
      <c r="O76" s="1394">
        <v>0.2</v>
      </c>
      <c r="P76" s="1394">
        <v>0</v>
      </c>
      <c r="Q76" s="1396"/>
      <c r="R76" s="1396"/>
      <c r="S76" s="1396"/>
      <c r="T76" s="1396"/>
      <c r="U76" s="1396"/>
      <c r="V76" s="1396"/>
      <c r="W76" s="1396"/>
      <c r="X76" s="1396"/>
      <c r="Y76" s="1396"/>
      <c r="Z76" s="1396"/>
      <c r="AA76" s="1396"/>
      <c r="AB76" s="1396"/>
      <c r="AC76" s="1701" t="str">
        <f>IFERROR(VLOOKUP(A76,salesInv!$D$8:$AM$494,35,FALSE),"-")</f>
        <v>H/M/96/2024</v>
      </c>
      <c r="AD76" s="1702">
        <f>IFERROR(VLOOKUP(A76,salesInv!$D$8:$AM$494,36,FALSE),"-")</f>
        <v>45511</v>
      </c>
      <c r="AE76" s="1703">
        <f>IFERROR(VLOOKUP(A76,salesInv!$D$8:$I$494,3,FALSE),"-")</f>
        <v>15000</v>
      </c>
      <c r="AF76" s="1703">
        <f>IFERROR(VLOOKUP(A76,salesInv!$D$8:$I$494,4,FALSE),"-")</f>
        <v>750</v>
      </c>
      <c r="AG76" s="1703">
        <f>IFERROR(VLOOKUP(A76,salesInv!$D$8:$I$494,6,FALSE),"-")</f>
        <v>15750</v>
      </c>
      <c r="AH76" s="1703">
        <f>COUNTIF(salesInv!$D$8:$D$494,ProH!A76)</f>
        <v>2</v>
      </c>
      <c r="AI76" s="1704">
        <f>SUMIFS(srpro!$F$10:$F$3010,srpro!$B$10:$B$3010,ProH!A76)</f>
        <v>15000</v>
      </c>
      <c r="AJ76" s="1704">
        <f>SUMIFS(srpro!$E$10:$E$3010,srpro!$B$10:$B$3010,ProH!A76)</f>
        <v>4278.33</v>
      </c>
      <c r="AK76" s="1704"/>
    </row>
    <row r="77" spans="1:37" ht="15.75">
      <c r="A77" s="1631">
        <v>282</v>
      </c>
      <c r="B77" s="1628" t="s">
        <v>1213</v>
      </c>
      <c r="C77" s="1629" t="s">
        <v>1213</v>
      </c>
      <c r="D77" s="1404" t="s">
        <v>1220</v>
      </c>
      <c r="E77" s="1404" t="s">
        <v>1217</v>
      </c>
      <c r="F77" s="1404">
        <v>2631465</v>
      </c>
      <c r="G77" s="1404"/>
      <c r="H77" s="1406" t="s">
        <v>1219</v>
      </c>
      <c r="I77" s="1407" t="s">
        <v>1218</v>
      </c>
      <c r="J77" s="1408">
        <v>240000</v>
      </c>
      <c r="K77" s="1408"/>
      <c r="L77" s="1393"/>
      <c r="M77" s="1393"/>
      <c r="N77" s="1394">
        <v>0.05</v>
      </c>
      <c r="O77" s="1394">
        <v>0.15</v>
      </c>
      <c r="P77" s="1394">
        <v>0</v>
      </c>
      <c r="Q77" s="1396" t="s">
        <v>242</v>
      </c>
      <c r="R77" s="1396" t="s">
        <v>244</v>
      </c>
      <c r="S77" s="1396" t="s">
        <v>245</v>
      </c>
      <c r="T77" s="1396" t="s">
        <v>246</v>
      </c>
      <c r="U77" s="1396" t="s">
        <v>5585</v>
      </c>
      <c r="V77" s="1396"/>
      <c r="W77" s="1396">
        <v>25</v>
      </c>
      <c r="X77" s="1396">
        <v>30</v>
      </c>
      <c r="Y77" s="1396">
        <v>35</v>
      </c>
      <c r="Z77" s="1396">
        <v>7</v>
      </c>
      <c r="AA77" s="1396">
        <v>3</v>
      </c>
      <c r="AB77" s="1396"/>
      <c r="AC77" s="1701" t="str">
        <f>IFERROR(VLOOKUP(A77,salesInv!$D$8:$AM$494,35,FALSE),"-")</f>
        <v>H/M/95/2024</v>
      </c>
      <c r="AD77" s="1702">
        <v>45390</v>
      </c>
      <c r="AE77" s="1703">
        <f>IFERROR(VLOOKUP(A77,salesInv!$D$8:$I$494,3,FALSE),"-")</f>
        <v>36000</v>
      </c>
      <c r="AF77" s="1703">
        <f>IFERROR(VLOOKUP(A77,salesInv!$D$8:$I$494,4,FALSE),"-")</f>
        <v>1800</v>
      </c>
      <c r="AG77" s="1703">
        <f>IFERROR(VLOOKUP(A77,salesInv!$D$8:$I$494,6,FALSE),"-")</f>
        <v>37800</v>
      </c>
      <c r="AH77" s="1703">
        <f>COUNTIF(salesInv!$D$8:$D$494,ProH!A77)</f>
        <v>1</v>
      </c>
      <c r="AI77" s="1704">
        <f>SUMIFS(srpro!$F$10:$F$3010,srpro!$B$10:$B$3010,ProH!A77)</f>
        <v>36000</v>
      </c>
      <c r="AJ77" s="1704">
        <f>SUMIFS(srpro!$E$10:$E$3010,srpro!$B$10:$B$3010,ProH!A77)</f>
        <v>15901.23</v>
      </c>
      <c r="AK77" s="1704"/>
    </row>
    <row r="78" spans="1:37" ht="15.75">
      <c r="A78" s="1631">
        <v>283</v>
      </c>
      <c r="B78" s="1628" t="s">
        <v>1262</v>
      </c>
      <c r="C78" s="1629"/>
      <c r="D78" s="1404"/>
      <c r="E78" s="1404"/>
      <c r="F78" s="1404"/>
      <c r="G78" s="1404"/>
      <c r="H78" s="1406"/>
      <c r="I78" s="1407"/>
      <c r="J78" s="1408"/>
      <c r="K78" s="1408"/>
      <c r="L78" s="1393"/>
      <c r="M78" s="1393"/>
      <c r="N78" s="1394"/>
      <c r="O78" s="1394"/>
      <c r="P78" s="1394"/>
      <c r="Q78" s="1396"/>
      <c r="R78" s="1396"/>
      <c r="S78" s="1396"/>
      <c r="T78" s="1396"/>
      <c r="U78" s="1396"/>
      <c r="V78" s="1396"/>
      <c r="W78" s="1396"/>
      <c r="X78" s="1396"/>
      <c r="Y78" s="1396"/>
      <c r="Z78" s="1396"/>
      <c r="AA78" s="1396"/>
      <c r="AB78" s="1396"/>
      <c r="AC78" s="1701" t="str">
        <f>IFERROR(VLOOKUP(A78,salesInv!$D$8:$AM$494,35,FALSE),"-")</f>
        <v>H/M/144/2024</v>
      </c>
      <c r="AD78" s="1702">
        <f>IFERROR(VLOOKUP(A78,salesInv!$D$8:$AM$494,36,FALSE),"-")</f>
        <v>45630</v>
      </c>
      <c r="AE78" s="1703">
        <f>IFERROR(VLOOKUP(A78,salesInv!$D$8:$I$494,3,FALSE),"-")</f>
        <v>27750</v>
      </c>
      <c r="AF78" s="1703">
        <f>IFERROR(VLOOKUP(A78,salesInv!$D$8:$I$494,4,FALSE),"-")</f>
        <v>1387.5</v>
      </c>
      <c r="AG78" s="1703">
        <f>IFERROR(VLOOKUP(A78,salesInv!$D$8:$I$494,6,FALSE),"-")</f>
        <v>29137.5</v>
      </c>
      <c r="AH78" s="1703">
        <f>COUNTIF(salesInv!$D$8:$D$494,ProH!A78)</f>
        <v>1</v>
      </c>
      <c r="AI78" s="1704">
        <f>SUMIFS(srpro!$F$10:$F$3010,srpro!$B$10:$B$3010,ProH!A78)</f>
        <v>27750</v>
      </c>
      <c r="AJ78" s="1704">
        <f>SUMIFS(srpro!$E$10:$E$3010,srpro!$B$10:$B$3010,ProH!A78)</f>
        <v>27617.5</v>
      </c>
      <c r="AK78" s="1704"/>
    </row>
    <row r="79" spans="1:37" ht="15.75">
      <c r="A79" s="1631">
        <v>285</v>
      </c>
      <c r="B79" s="1628" t="s">
        <v>1356</v>
      </c>
      <c r="C79" s="1629" t="s">
        <v>1356</v>
      </c>
      <c r="D79" s="1404" t="s">
        <v>974</v>
      </c>
      <c r="E79" s="1404" t="s">
        <v>977</v>
      </c>
      <c r="F79" s="1404">
        <v>9140401</v>
      </c>
      <c r="G79" s="1404" t="s">
        <v>1792</v>
      </c>
      <c r="H79" s="1406" t="s">
        <v>1357</v>
      </c>
      <c r="I79" s="1407" t="s">
        <v>1358</v>
      </c>
      <c r="J79" s="1408">
        <v>100000</v>
      </c>
      <c r="K79" s="1408"/>
      <c r="L79" s="1393"/>
      <c r="M79" s="1393"/>
      <c r="N79" s="1394">
        <v>0.05</v>
      </c>
      <c r="O79" s="1394">
        <v>0.15</v>
      </c>
      <c r="P79" s="1394">
        <v>0.05</v>
      </c>
      <c r="Q79" s="1396" t="s">
        <v>242</v>
      </c>
      <c r="R79" s="1396" t="s">
        <v>244</v>
      </c>
      <c r="S79" s="1396" t="s">
        <v>245</v>
      </c>
      <c r="T79" s="1396" t="s">
        <v>246</v>
      </c>
      <c r="U79" s="1396" t="s">
        <v>5585</v>
      </c>
      <c r="V79" s="1396"/>
      <c r="W79" s="1396">
        <v>25</v>
      </c>
      <c r="X79" s="1396">
        <v>30</v>
      </c>
      <c r="Y79" s="1396">
        <v>35</v>
      </c>
      <c r="Z79" s="1396">
        <v>7</v>
      </c>
      <c r="AA79" s="1396">
        <v>3</v>
      </c>
      <c r="AB79" s="1396"/>
      <c r="AC79" s="1701" t="str">
        <f>IFERROR(VLOOKUP(A79,salesInv!$D$8:$AM$494,35,FALSE),"-")</f>
        <v>H/M/101/2024</v>
      </c>
      <c r="AD79" s="1702" t="s">
        <v>6155</v>
      </c>
      <c r="AE79" s="1703">
        <f>IFERROR(VLOOKUP(A79,salesInv!$D$8:$I$494,3,FALSE),"-")</f>
        <v>15000</v>
      </c>
      <c r="AF79" s="1703">
        <f>IFERROR(VLOOKUP(A79,salesInv!$D$8:$I$494,4,FALSE),"-")</f>
        <v>750</v>
      </c>
      <c r="AG79" s="1703">
        <f>IFERROR(VLOOKUP(A79,salesInv!$D$8:$I$494,6,FALSE),"-")</f>
        <v>15750</v>
      </c>
      <c r="AH79" s="1703">
        <f>COUNTIF(salesInv!$D$8:$D$494,ProH!A79)</f>
        <v>1</v>
      </c>
      <c r="AI79" s="1704">
        <f>SUMIFS(srpro!$F$10:$F$3010,srpro!$B$10:$B$3010,ProH!A79)</f>
        <v>15750</v>
      </c>
      <c r="AJ79" s="1704">
        <f>SUMIFS(srpro!$E$10:$E$3010,srpro!$B$10:$B$3010,ProH!A79)</f>
        <v>400</v>
      </c>
      <c r="AK79" s="1704"/>
    </row>
    <row r="80" spans="1:37" ht="15.75">
      <c r="A80" s="1631">
        <v>286</v>
      </c>
      <c r="B80" s="1628" t="s">
        <v>978</v>
      </c>
      <c r="C80" s="1629" t="s">
        <v>978</v>
      </c>
      <c r="D80" s="1404" t="s">
        <v>975</v>
      </c>
      <c r="E80" s="1404" t="s">
        <v>976</v>
      </c>
      <c r="F80" s="1404">
        <v>2661233</v>
      </c>
      <c r="G80" s="1404"/>
      <c r="H80" s="1406"/>
      <c r="I80" s="1407"/>
      <c r="J80" s="1408">
        <v>150000</v>
      </c>
      <c r="K80" s="1408"/>
      <c r="L80" s="1393"/>
      <c r="M80" s="1393"/>
      <c r="N80" s="1394">
        <v>0.05</v>
      </c>
      <c r="O80" s="1394">
        <v>0.15</v>
      </c>
      <c r="P80" s="1394">
        <v>0</v>
      </c>
      <c r="Q80" s="1396" t="s">
        <v>242</v>
      </c>
      <c r="R80" s="1396" t="s">
        <v>244</v>
      </c>
      <c r="S80" s="1396" t="s">
        <v>245</v>
      </c>
      <c r="T80" s="1396" t="s">
        <v>246</v>
      </c>
      <c r="U80" s="1396" t="s">
        <v>5585</v>
      </c>
      <c r="V80" s="1396"/>
      <c r="W80" s="1396">
        <v>25</v>
      </c>
      <c r="X80" s="1396">
        <v>30</v>
      </c>
      <c r="Y80" s="1396">
        <v>35</v>
      </c>
      <c r="Z80" s="1396">
        <v>7</v>
      </c>
      <c r="AA80" s="1396">
        <v>3</v>
      </c>
      <c r="AB80" s="1396"/>
      <c r="AC80" s="1701" t="str">
        <f>IFERROR(VLOOKUP(A80,salesInv!$D$8:$AM$494,35,FALSE),"-")</f>
        <v>H/M/109/2024</v>
      </c>
      <c r="AD80" s="1702" t="s">
        <v>6157</v>
      </c>
      <c r="AE80" s="1703">
        <f>IFERROR(VLOOKUP(A80,salesInv!$D$8:$I$494,3,FALSE),"-")</f>
        <v>22500</v>
      </c>
      <c r="AF80" s="1703">
        <f>IFERROR(VLOOKUP(A80,salesInv!$D$8:$I$494,4,FALSE),"-")</f>
        <v>1125</v>
      </c>
      <c r="AG80" s="1703">
        <f>IFERROR(VLOOKUP(A80,salesInv!$D$8:$I$494,6,FALSE),"-")</f>
        <v>23625</v>
      </c>
      <c r="AH80" s="1703">
        <f>COUNTIF(salesInv!$D$8:$D$494,ProH!A80)</f>
        <v>2</v>
      </c>
      <c r="AI80" s="1704">
        <f>SUMIFS(srpro!$F$10:$F$3010,srpro!$B$10:$B$3010,ProH!A80)</f>
        <v>23625</v>
      </c>
      <c r="AJ80" s="1704">
        <f>SUMIFS(srpro!$E$10:$E$3010,srpro!$B$10:$B$3010,ProH!A80)</f>
        <v>589.32999999999993</v>
      </c>
      <c r="AK80" s="1704"/>
    </row>
    <row r="81" spans="1:37" ht="15.75">
      <c r="A81" s="1631">
        <v>287</v>
      </c>
      <c r="B81" s="1628" t="s">
        <v>5005</v>
      </c>
      <c r="C81" s="1629" t="s">
        <v>5005</v>
      </c>
      <c r="D81" s="1404" t="s">
        <v>5008</v>
      </c>
      <c r="E81" s="1404" t="s">
        <v>5007</v>
      </c>
      <c r="F81" s="1404">
        <v>6317174</v>
      </c>
      <c r="G81" s="1404" t="s">
        <v>785</v>
      </c>
      <c r="H81" s="1406" t="s">
        <v>5006</v>
      </c>
      <c r="I81" s="1407" t="s">
        <v>1094</v>
      </c>
      <c r="J81" s="1408">
        <v>330000</v>
      </c>
      <c r="K81" s="1408"/>
      <c r="L81" s="1393"/>
      <c r="M81" s="1393"/>
      <c r="N81" s="1394">
        <v>0.05</v>
      </c>
      <c r="O81" s="1394">
        <v>0.1</v>
      </c>
      <c r="P81" s="1394">
        <v>0.05</v>
      </c>
      <c r="Q81" s="1396"/>
      <c r="R81" s="1396"/>
      <c r="S81" s="1396"/>
      <c r="T81" s="1396"/>
      <c r="U81" s="1396"/>
      <c r="V81" s="1396"/>
      <c r="W81" s="1396"/>
      <c r="X81" s="1396"/>
      <c r="Y81" s="1396"/>
      <c r="Z81" s="1396"/>
      <c r="AA81" s="1396"/>
      <c r="AB81" s="1396"/>
      <c r="AC81" s="1701" t="str">
        <f>IFERROR(VLOOKUP(A81,salesInv!$D$8:$AM$494,35,FALSE),"-")</f>
        <v>H/M/123/2024</v>
      </c>
      <c r="AD81" s="1702">
        <f>IFERROR(VLOOKUP(A81,salesInv!$D$8:$AM$494,36,FALSE),"-")</f>
        <v>45631</v>
      </c>
      <c r="AE81" s="1703">
        <f>IFERROR(VLOOKUP(A81,salesInv!$D$8:$I$494,3,FALSE),"-")</f>
        <v>42000</v>
      </c>
      <c r="AF81" s="1703">
        <f>IFERROR(VLOOKUP(A81,salesInv!$D$8:$I$494,4,FALSE),"-")</f>
        <v>2100</v>
      </c>
      <c r="AG81" s="1703">
        <f>IFERROR(VLOOKUP(A81,salesInv!$D$8:$I$494,6,FALSE),"-")</f>
        <v>0</v>
      </c>
      <c r="AH81" s="1703">
        <f>COUNTIF(salesInv!$D$8:$D$494,ProH!A81)</f>
        <v>1</v>
      </c>
      <c r="AI81" s="1704">
        <f>SUMIFS(srpro!$F$10:$F$3010,srpro!$B$10:$B$3010,ProH!A81)</f>
        <v>0</v>
      </c>
      <c r="AJ81" s="1704">
        <f>SUMIFS(srpro!$E$10:$E$3010,srpro!$B$10:$B$3010,ProH!A81)</f>
        <v>0</v>
      </c>
      <c r="AK81" s="1704"/>
    </row>
    <row r="82" spans="1:37" ht="15.75">
      <c r="A82" s="1631">
        <v>288</v>
      </c>
      <c r="B82" s="1628" t="s">
        <v>5045</v>
      </c>
      <c r="C82" s="1629" t="s">
        <v>5045</v>
      </c>
      <c r="D82" s="1404" t="s">
        <v>326</v>
      </c>
      <c r="E82" s="1404" t="s">
        <v>5046</v>
      </c>
      <c r="F82" s="1404">
        <v>6720346</v>
      </c>
      <c r="G82" s="1404"/>
      <c r="H82" s="1406" t="s">
        <v>29</v>
      </c>
      <c r="I82" s="1407" t="s">
        <v>5047</v>
      </c>
      <c r="J82" s="1408">
        <v>75000</v>
      </c>
      <c r="K82" s="1408"/>
      <c r="L82" s="1393"/>
      <c r="M82" s="1393"/>
      <c r="N82" s="1394">
        <v>0.05</v>
      </c>
      <c r="O82" s="1394">
        <v>0.2</v>
      </c>
      <c r="P82" s="1394">
        <v>0</v>
      </c>
      <c r="Q82" s="1396"/>
      <c r="R82" s="1396"/>
      <c r="S82" s="1396"/>
      <c r="T82" s="1396"/>
      <c r="U82" s="1396"/>
      <c r="V82" s="1396"/>
      <c r="W82" s="1396"/>
      <c r="X82" s="1396"/>
      <c r="Y82" s="1396"/>
      <c r="Z82" s="1396"/>
      <c r="AA82" s="1396"/>
      <c r="AB82" s="1396"/>
      <c r="AC82" s="1701" t="str">
        <f>IFERROR(VLOOKUP(A82,salesInv!$D$8:$AM$494,35,FALSE),"-")</f>
        <v>H/M/124/2024</v>
      </c>
      <c r="AD82" s="1702">
        <f>IFERROR(VLOOKUP(A82,salesInv!$D$8:$AM$494,36,FALSE),"-")</f>
        <v>45606</v>
      </c>
      <c r="AE82" s="1703">
        <f>IFERROR(VLOOKUP(A82,salesInv!$D$8:$I$494,3,FALSE),"-")</f>
        <v>15000</v>
      </c>
      <c r="AF82" s="1703">
        <f>IFERROR(VLOOKUP(A82,salesInv!$D$8:$I$494,4,FALSE),"-")</f>
        <v>750</v>
      </c>
      <c r="AG82" s="1703">
        <f>IFERROR(VLOOKUP(A82,salesInv!$D$8:$I$494,6,FALSE),"-")</f>
        <v>10000</v>
      </c>
      <c r="AH82" s="1703">
        <f>COUNTIF(salesInv!$D$8:$D$494,ProH!A82)</f>
        <v>1</v>
      </c>
      <c r="AI82" s="1704">
        <f>SUMIFS(srpro!$F$10:$F$3010,srpro!$B$10:$B$3010,ProH!A82)</f>
        <v>10000</v>
      </c>
      <c r="AJ82" s="1704">
        <f>SUMIFS(srpro!$E$10:$E$3010,srpro!$B$10:$B$3010,ProH!A82)</f>
        <v>0</v>
      </c>
      <c r="AK82" s="1704"/>
    </row>
    <row r="83" spans="1:37" ht="15.75">
      <c r="A83" s="1631">
        <v>289</v>
      </c>
      <c r="B83" s="1628" t="s">
        <v>5260</v>
      </c>
      <c r="C83" s="1628" t="s">
        <v>5260</v>
      </c>
      <c r="D83" s="1404" t="s">
        <v>5261</v>
      </c>
      <c r="E83" s="1404" t="s">
        <v>5262</v>
      </c>
      <c r="F83" s="1404">
        <v>4314295</v>
      </c>
      <c r="G83" s="1404"/>
      <c r="H83" s="1406" t="s">
        <v>5263</v>
      </c>
      <c r="I83" s="1406" t="s">
        <v>1249</v>
      </c>
      <c r="J83" s="1408">
        <v>131000</v>
      </c>
      <c r="K83" s="1408"/>
      <c r="L83" s="1393"/>
      <c r="M83" s="1393" t="s">
        <v>5691</v>
      </c>
      <c r="N83" s="1394">
        <v>0.05</v>
      </c>
      <c r="O83" s="1394">
        <v>0.15</v>
      </c>
      <c r="P83" s="1394">
        <v>0</v>
      </c>
      <c r="Q83" s="1396" t="s">
        <v>242</v>
      </c>
      <c r="R83" s="1396" t="s">
        <v>244</v>
      </c>
      <c r="S83" s="1396" t="s">
        <v>245</v>
      </c>
      <c r="T83" s="1396" t="s">
        <v>246</v>
      </c>
      <c r="U83" s="1396" t="s">
        <v>5585</v>
      </c>
      <c r="V83" s="1396"/>
      <c r="W83" s="1396">
        <v>25</v>
      </c>
      <c r="X83" s="1396">
        <v>30</v>
      </c>
      <c r="Y83" s="1396">
        <v>35</v>
      </c>
      <c r="Z83" s="1396">
        <v>7</v>
      </c>
      <c r="AA83" s="1396">
        <v>3</v>
      </c>
      <c r="AB83" s="1396"/>
      <c r="AC83" s="1701" t="str">
        <f>IFERROR(VLOOKUP(A83,salesInv!$D$8:$AM$494,35,FALSE),"-")</f>
        <v>-</v>
      </c>
      <c r="AD83" s="1702" t="s">
        <v>1500</v>
      </c>
      <c r="AE83" s="1703" t="str">
        <f>IFERROR(VLOOKUP(A83,salesInv!$D$8:$I$494,3,FALSE),"-")</f>
        <v>-</v>
      </c>
      <c r="AF83" s="1703" t="str">
        <f>IFERROR(VLOOKUP(A83,salesInv!$D$8:$I$494,4,FALSE),"-")</f>
        <v>-</v>
      </c>
      <c r="AG83" s="1703" t="str">
        <f>IFERROR(VLOOKUP(A83,salesInv!$D$8:$I$494,6,FALSE),"-")</f>
        <v>-</v>
      </c>
      <c r="AH83" s="1703">
        <f>COUNTIF(salesInv!$D$8:$D$494,ProH!A83)</f>
        <v>0</v>
      </c>
      <c r="AI83" s="1704">
        <f>SUMIFS(srpro!$F$10:$F$3010,srpro!$B$10:$B$3010,ProH!A83)</f>
        <v>0</v>
      </c>
      <c r="AJ83" s="1704">
        <f>SUMIFS(srpro!$E$10:$E$3010,srpro!$B$10:$B$3010,ProH!A83)</f>
        <v>500</v>
      </c>
      <c r="AK83" s="1704"/>
    </row>
    <row r="84" spans="1:37" ht="15.75">
      <c r="A84" s="1631">
        <v>290</v>
      </c>
      <c r="B84" s="1628" t="s">
        <v>5367</v>
      </c>
      <c r="C84" s="1628" t="s">
        <v>5367</v>
      </c>
      <c r="D84" s="1404" t="s">
        <v>5368</v>
      </c>
      <c r="E84" s="1404" t="s">
        <v>5348</v>
      </c>
      <c r="F84" s="1404">
        <v>71111015</v>
      </c>
      <c r="G84" s="1404"/>
      <c r="H84" s="1406" t="s">
        <v>5350</v>
      </c>
      <c r="I84" s="1406" t="s">
        <v>5349</v>
      </c>
      <c r="J84" s="1408">
        <v>135000</v>
      </c>
      <c r="K84" s="1408"/>
      <c r="L84" s="1393"/>
      <c r="M84" s="1393"/>
      <c r="N84" s="1394">
        <v>0.05</v>
      </c>
      <c r="O84" s="1394">
        <v>0.1</v>
      </c>
      <c r="P84" s="1394">
        <v>0</v>
      </c>
      <c r="Q84" s="1396" t="s">
        <v>242</v>
      </c>
      <c r="R84" s="1396" t="s">
        <v>244</v>
      </c>
      <c r="S84" s="1396" t="s">
        <v>245</v>
      </c>
      <c r="T84" s="1396" t="s">
        <v>246</v>
      </c>
      <c r="U84" s="1396" t="s">
        <v>5585</v>
      </c>
      <c r="V84" s="1396"/>
      <c r="W84" s="1396">
        <v>25</v>
      </c>
      <c r="X84" s="1396">
        <v>30</v>
      </c>
      <c r="Y84" s="1396">
        <v>35</v>
      </c>
      <c r="Z84" s="1396">
        <v>7</v>
      </c>
      <c r="AA84" s="1396">
        <v>3</v>
      </c>
      <c r="AB84" s="1396"/>
      <c r="AC84" s="1701" t="str">
        <f>IFERROR(VLOOKUP(A84,salesInv!$D$8:$AM$494,35,FALSE),"-")</f>
        <v>H/M/130/2024</v>
      </c>
      <c r="AD84" s="1702">
        <v>45393</v>
      </c>
      <c r="AE84" s="1703">
        <f>IFERROR(VLOOKUP(A84,salesInv!$D$8:$I$494,3,FALSE),"-")</f>
        <v>13500</v>
      </c>
      <c r="AF84" s="1703">
        <f>IFERROR(VLOOKUP(A84,salesInv!$D$8:$I$494,4,FALSE),"-")</f>
        <v>675</v>
      </c>
      <c r="AG84" s="1703">
        <f>IFERROR(VLOOKUP(A84,salesInv!$D$8:$I$494,6,FALSE),"-")</f>
        <v>14175</v>
      </c>
      <c r="AH84" s="1703">
        <f>COUNTIF(salesInv!$D$8:$D$494,ProH!A84)</f>
        <v>1</v>
      </c>
      <c r="AI84" s="1704">
        <f>SUMIFS(srpro!$F$10:$F$3010,srpro!$B$10:$B$3010,ProH!A84)</f>
        <v>13500</v>
      </c>
      <c r="AJ84" s="1704">
        <f>SUMIFS(srpro!$E$10:$E$3010,srpro!$B$10:$B$3010,ProH!A84)</f>
        <v>7300</v>
      </c>
      <c r="AK84" s="1704"/>
    </row>
    <row r="85" spans="1:37" ht="15.75">
      <c r="A85" s="1631">
        <v>291</v>
      </c>
      <c r="B85" s="1628" t="s">
        <v>5362</v>
      </c>
      <c r="C85" s="1629" t="s">
        <v>5362</v>
      </c>
      <c r="D85" s="1404" t="s">
        <v>326</v>
      </c>
      <c r="E85" s="1404" t="s">
        <v>5363</v>
      </c>
      <c r="F85" s="1404">
        <v>71110868</v>
      </c>
      <c r="G85" s="1404"/>
      <c r="H85" s="1406" t="s">
        <v>5364</v>
      </c>
      <c r="I85" s="1406" t="s">
        <v>5365</v>
      </c>
      <c r="J85" s="1408">
        <v>170000</v>
      </c>
      <c r="K85" s="1408"/>
      <c r="L85" s="1393"/>
      <c r="M85" s="1393"/>
      <c r="N85" s="1394">
        <v>0.05</v>
      </c>
      <c r="O85" s="1394">
        <v>0.1</v>
      </c>
      <c r="P85" s="1394">
        <v>0</v>
      </c>
      <c r="Q85" s="1396" t="s">
        <v>242</v>
      </c>
      <c r="R85" s="1396" t="s">
        <v>244</v>
      </c>
      <c r="S85" s="1396" t="s">
        <v>245</v>
      </c>
      <c r="T85" s="1396" t="s">
        <v>246</v>
      </c>
      <c r="U85" s="1396" t="s">
        <v>5585</v>
      </c>
      <c r="V85" s="1396"/>
      <c r="W85" s="1396">
        <v>25</v>
      </c>
      <c r="X85" s="1396">
        <v>30</v>
      </c>
      <c r="Y85" s="1396">
        <v>35</v>
      </c>
      <c r="Z85" s="1396">
        <v>7</v>
      </c>
      <c r="AA85" s="1396">
        <v>3</v>
      </c>
      <c r="AB85" s="1396"/>
      <c r="AC85" s="1701" t="str">
        <f>IFERROR(VLOOKUP(A85,salesInv!$D$8:$AM$494,35,FALSE),"-")</f>
        <v>H/M/131/2024</v>
      </c>
      <c r="AD85" s="1702">
        <v>45393</v>
      </c>
      <c r="AE85" s="1703">
        <f>IFERROR(VLOOKUP(A85,salesInv!$D$8:$I$494,3,FALSE),"-")</f>
        <v>34000</v>
      </c>
      <c r="AF85" s="1703">
        <f>IFERROR(VLOOKUP(A85,salesInv!$D$8:$I$494,4,FALSE),"-")</f>
        <v>1700</v>
      </c>
      <c r="AG85" s="1703">
        <f>IFERROR(VLOOKUP(A85,salesInv!$D$8:$I$494,6,FALSE),"-")</f>
        <v>35700</v>
      </c>
      <c r="AH85" s="1703">
        <f>COUNTIF(salesInv!$D$8:$D$494,ProH!A85)</f>
        <v>1</v>
      </c>
      <c r="AI85" s="1704">
        <f>SUMIFS(srpro!$F$10:$F$3010,srpro!$B$10:$B$3010,ProH!A85)</f>
        <v>34000</v>
      </c>
      <c r="AJ85" s="1704">
        <f>SUMIFS(srpro!$E$10:$E$3010,srpro!$B$10:$B$3010,ProH!A85)</f>
        <v>9000</v>
      </c>
      <c r="AK85" s="1704"/>
    </row>
    <row r="86" spans="1:37" ht="15.75">
      <c r="A86" s="1631">
        <v>292</v>
      </c>
      <c r="B86" s="1628" t="s">
        <v>5586</v>
      </c>
      <c r="C86" s="1628" t="s">
        <v>5586</v>
      </c>
      <c r="D86" s="1404" t="s">
        <v>5587</v>
      </c>
      <c r="E86" s="1404" t="s">
        <v>5588</v>
      </c>
      <c r="F86" s="1404">
        <v>9130970</v>
      </c>
      <c r="G86" s="1404"/>
      <c r="H86" s="1406" t="s">
        <v>5589</v>
      </c>
      <c r="I86" s="1407" t="s">
        <v>5590</v>
      </c>
      <c r="J86" s="1408">
        <v>225000</v>
      </c>
      <c r="K86" s="1408"/>
      <c r="L86" s="1393"/>
      <c r="M86" s="1393"/>
      <c r="N86" s="1394">
        <v>0.05</v>
      </c>
      <c r="O86" s="1394">
        <v>0.2</v>
      </c>
      <c r="P86" s="1394">
        <v>0</v>
      </c>
      <c r="Q86" s="1396" t="s">
        <v>242</v>
      </c>
      <c r="R86" s="1396" t="s">
        <v>244</v>
      </c>
      <c r="S86" s="1396" t="s">
        <v>245</v>
      </c>
      <c r="T86" s="1396" t="s">
        <v>246</v>
      </c>
      <c r="U86" s="1396" t="s">
        <v>5585</v>
      </c>
      <c r="V86" s="1396"/>
      <c r="W86" s="1396">
        <v>25</v>
      </c>
      <c r="X86" s="1396">
        <v>30</v>
      </c>
      <c r="Y86" s="1396">
        <v>35</v>
      </c>
      <c r="Z86" s="1396">
        <v>7</v>
      </c>
      <c r="AA86" s="1396">
        <v>3</v>
      </c>
      <c r="AB86" s="1396"/>
      <c r="AC86" s="1701" t="str">
        <f>IFERROR(VLOOKUP(A86,salesInv!$D$8:$AM$494,35,FALSE),"-")</f>
        <v>H/M/136/2024</v>
      </c>
      <c r="AD86" s="1702" t="s">
        <v>6156</v>
      </c>
      <c r="AE86" s="1703">
        <f>IFERROR(VLOOKUP(A86,salesInv!$D$8:$I$494,3,FALSE),"-")</f>
        <v>22500</v>
      </c>
      <c r="AF86" s="1703">
        <f>IFERROR(VLOOKUP(A86,salesInv!$D$8:$I$494,4,FALSE),"-")</f>
        <v>1125</v>
      </c>
      <c r="AG86" s="1703">
        <f>IFERROR(VLOOKUP(A86,salesInv!$D$8:$I$494,6,FALSE),"-")</f>
        <v>23625</v>
      </c>
      <c r="AH86" s="1703">
        <f>COUNTIF(salesInv!$D$8:$D$494,ProH!A86)</f>
        <v>2</v>
      </c>
      <c r="AI86" s="1704">
        <f>SUMIFS(srpro!$F$10:$F$3010,srpro!$B$10:$B$3010,ProH!A86)</f>
        <v>22500</v>
      </c>
      <c r="AJ86" s="1704">
        <f>SUMIFS(srpro!$E$10:$E$3010,srpro!$B$10:$B$3010,ProH!A86)</f>
        <v>11100</v>
      </c>
      <c r="AK86" s="1704"/>
    </row>
    <row r="87" spans="1:37" ht="15.75">
      <c r="A87" s="1631">
        <v>293</v>
      </c>
      <c r="B87" s="1628" t="s">
        <v>5610</v>
      </c>
      <c r="C87" s="1629" t="s">
        <v>5610</v>
      </c>
      <c r="D87" s="1404" t="s">
        <v>5600</v>
      </c>
      <c r="E87" s="1404" t="s">
        <v>5601</v>
      </c>
      <c r="F87" s="1404">
        <v>99</v>
      </c>
      <c r="G87" s="1404"/>
      <c r="H87" s="1406" t="s">
        <v>5602</v>
      </c>
      <c r="I87" s="1407" t="s">
        <v>5603</v>
      </c>
      <c r="J87" s="1408">
        <v>410000</v>
      </c>
      <c r="K87" s="1408">
        <v>95000</v>
      </c>
      <c r="L87" s="1393"/>
      <c r="M87" s="1393" t="s">
        <v>5799</v>
      </c>
      <c r="N87" s="1394">
        <v>0</v>
      </c>
      <c r="O87" s="1394">
        <v>0.8</v>
      </c>
      <c r="P87" s="1394">
        <v>0.1</v>
      </c>
      <c r="Q87" s="1396" t="s">
        <v>242</v>
      </c>
      <c r="R87" s="1396" t="s">
        <v>244</v>
      </c>
      <c r="S87" s="1396" t="s">
        <v>245</v>
      </c>
      <c r="T87" s="1396" t="s">
        <v>246</v>
      </c>
      <c r="U87" s="1396" t="s">
        <v>5585</v>
      </c>
      <c r="V87" s="1396"/>
      <c r="W87" s="1396">
        <v>0.25</v>
      </c>
      <c r="X87" s="1396">
        <v>0.3</v>
      </c>
      <c r="Y87" s="1396">
        <v>0.35</v>
      </c>
      <c r="Z87" s="1396">
        <v>7.0000000000000007E-2</v>
      </c>
      <c r="AA87" s="1396">
        <v>0.03</v>
      </c>
      <c r="AB87" s="1396"/>
      <c r="AC87" s="1701" t="str">
        <f>IFERROR(VLOOKUP(A87,salesInv!$D$8:$AM$494,35,FALSE),"-")</f>
        <v>H/M/137/2024</v>
      </c>
      <c r="AD87" s="1702" t="s">
        <v>6154</v>
      </c>
      <c r="AE87" s="1703">
        <f>IFERROR(VLOOKUP(A87,salesInv!$D$8:$I$494,3,FALSE),"-")</f>
        <v>328000</v>
      </c>
      <c r="AF87" s="1703">
        <f>IFERROR(VLOOKUP(A87,salesInv!$D$8:$I$494,4,FALSE),"-")</f>
        <v>16400</v>
      </c>
      <c r="AG87" s="1703">
        <f>IFERROR(VLOOKUP(A87,salesInv!$D$8:$I$494,6,FALSE),"-")</f>
        <v>328000</v>
      </c>
      <c r="AH87" s="1703">
        <f>COUNTIF(salesInv!$D$8:$D$494,ProH!A87)</f>
        <v>3</v>
      </c>
      <c r="AI87" s="1704">
        <f>SUMIFS(srpro!$F$10:$F$3010,srpro!$B$10:$B$3010,ProH!A87)</f>
        <v>423000</v>
      </c>
      <c r="AJ87" s="1704">
        <f>SUMIFS(srpro!$E$10:$E$3010,srpro!$B$10:$B$3010,ProH!A87)</f>
        <v>113224.33504999999</v>
      </c>
      <c r="AK87" s="1704"/>
    </row>
    <row r="88" spans="1:37" ht="15.75">
      <c r="A88" s="1631">
        <v>294</v>
      </c>
      <c r="B88" s="1628" t="s">
        <v>5732</v>
      </c>
      <c r="C88" s="1629" t="s">
        <v>5732</v>
      </c>
      <c r="D88" s="1404"/>
      <c r="E88" s="1404"/>
      <c r="F88" s="1404"/>
      <c r="G88" s="1404"/>
      <c r="H88" s="1406"/>
      <c r="I88" s="1407"/>
      <c r="J88" s="1408"/>
      <c r="K88" s="1408"/>
      <c r="L88" s="1393"/>
      <c r="M88" s="1393"/>
      <c r="N88" s="1394"/>
      <c r="O88" s="1394"/>
      <c r="P88" s="1394"/>
      <c r="Q88" s="1396"/>
      <c r="R88" s="1396"/>
      <c r="S88" s="1396"/>
      <c r="T88" s="1396"/>
      <c r="U88" s="1396"/>
      <c r="V88" s="1396"/>
      <c r="W88" s="1396"/>
      <c r="X88" s="1396"/>
      <c r="Y88" s="1396"/>
      <c r="Z88" s="1396"/>
      <c r="AA88" s="1396"/>
      <c r="AB88" s="1396"/>
      <c r="AC88" s="1701" t="str">
        <f>IFERROR(VLOOKUP(A88,salesInv!$D$8:$AM$494,35,FALSE),"-")</f>
        <v>-</v>
      </c>
      <c r="AD88" s="1702" t="str">
        <f>IFERROR(VLOOKUP(A88,salesInv!$D$8:$AM$494,36,FALSE),"-")</f>
        <v>-</v>
      </c>
      <c r="AE88" s="1703" t="str">
        <f>IFERROR(VLOOKUP(A88,salesInv!$D$8:$I$494,3,FALSE),"-")</f>
        <v>-</v>
      </c>
      <c r="AF88" s="1703" t="str">
        <f>IFERROR(VLOOKUP(A88,salesInv!$D$8:$I$494,4,FALSE),"-")</f>
        <v>-</v>
      </c>
      <c r="AG88" s="1703" t="str">
        <f>IFERROR(VLOOKUP(A88,salesInv!$D$8:$I$494,6,FALSE),"-")</f>
        <v>-</v>
      </c>
      <c r="AH88" s="1703">
        <f>COUNTIF(salesInv!$D$8:$D$494,ProH!A88)</f>
        <v>0</v>
      </c>
      <c r="AI88" s="1704">
        <f>SUMIFS(srpro!$F$10:$F$3010,srpro!$B$10:$B$3010,ProH!A88)</f>
        <v>2500</v>
      </c>
      <c r="AJ88" s="1704">
        <f>SUMIFS(srpro!$E$10:$E$3010,srpro!$B$10:$B$3010,ProH!A88)</f>
        <v>0</v>
      </c>
      <c r="AK88" s="1704"/>
    </row>
    <row r="89" spans="1:37" ht="15.75">
      <c r="A89" s="1631">
        <v>295</v>
      </c>
      <c r="B89" s="1628" t="s">
        <v>5852</v>
      </c>
      <c r="C89" s="1629" t="s">
        <v>5852</v>
      </c>
      <c r="D89" s="1404" t="s">
        <v>5853</v>
      </c>
      <c r="E89" s="1404" t="s">
        <v>5854</v>
      </c>
      <c r="F89" s="1404">
        <v>2827623</v>
      </c>
      <c r="G89" s="1404"/>
      <c r="H89" s="1406" t="s">
        <v>5855</v>
      </c>
      <c r="I89" s="1407" t="s">
        <v>5856</v>
      </c>
      <c r="J89" s="1408">
        <v>165000</v>
      </c>
      <c r="K89" s="1408"/>
      <c r="L89" s="1393"/>
      <c r="M89" s="1393" t="s">
        <v>430</v>
      </c>
      <c r="N89" s="1394">
        <v>0.05</v>
      </c>
      <c r="O89" s="1394">
        <v>0.1</v>
      </c>
      <c r="P89" s="1394">
        <v>0</v>
      </c>
      <c r="Q89" s="1396">
        <v>45624</v>
      </c>
      <c r="R89" s="1396"/>
      <c r="S89" s="1396"/>
      <c r="T89" s="1396"/>
      <c r="U89" s="1396"/>
      <c r="V89" s="1396"/>
      <c r="W89" s="1396"/>
      <c r="X89" s="1396"/>
      <c r="Y89" s="1396"/>
      <c r="Z89" s="1396"/>
      <c r="AA89" s="1396"/>
      <c r="AB89" s="1396"/>
      <c r="AC89" s="1701" t="str">
        <f>IFERROR(VLOOKUP(A89,salesInv!$D$8:$AM$494,35,FALSE),"-")</f>
        <v>H/M/141/2024</v>
      </c>
      <c r="AD89" s="1702">
        <f>IFERROR(VLOOKUP(A89,salesInv!$D$8:$AM$494,36,FALSE),"-")</f>
        <v>45624</v>
      </c>
      <c r="AE89" s="1703">
        <f>IFERROR(VLOOKUP(A89,salesInv!$D$8:$I$494,3,FALSE),"-")</f>
        <v>16500</v>
      </c>
      <c r="AF89" s="1703">
        <f>IFERROR(VLOOKUP(A89,salesInv!$D$8:$I$494,4,FALSE),"-")</f>
        <v>825</v>
      </c>
      <c r="AG89" s="1703">
        <f>IFERROR(VLOOKUP(A89,salesInv!$D$8:$I$494,6,FALSE),"-")</f>
        <v>0</v>
      </c>
      <c r="AH89" s="1703">
        <f>COUNTIF(salesInv!$D$8:$D$494,ProH!A89)</f>
        <v>1</v>
      </c>
      <c r="AI89" s="1704">
        <f>SUMIFS(srpro!$F$10:$F$3010,srpro!$B$10:$B$3010,ProH!A89)</f>
        <v>0</v>
      </c>
      <c r="AJ89" s="1704">
        <f>SUMIFS(srpro!$E$10:$E$3010,srpro!$B$10:$B$3010,ProH!A89)</f>
        <v>0</v>
      </c>
      <c r="AK89" s="1704"/>
    </row>
    <row r="90" spans="1:37" ht="15.75">
      <c r="A90" s="1631">
        <v>296</v>
      </c>
      <c r="B90" s="1628" t="s">
        <v>5941</v>
      </c>
      <c r="C90" s="1629" t="s">
        <v>5941</v>
      </c>
      <c r="D90" s="1404" t="s">
        <v>5933</v>
      </c>
      <c r="E90" s="1404" t="s">
        <v>5934</v>
      </c>
      <c r="F90" s="1404">
        <v>7118549</v>
      </c>
      <c r="G90" s="1404"/>
      <c r="H90" s="1406" t="s">
        <v>5935</v>
      </c>
      <c r="I90" s="1407" t="s">
        <v>5936</v>
      </c>
      <c r="J90" s="1408">
        <v>155000</v>
      </c>
      <c r="K90" s="1408"/>
      <c r="L90" s="1393"/>
      <c r="M90" s="1393" t="s">
        <v>430</v>
      </c>
      <c r="N90" s="1394">
        <v>0.05</v>
      </c>
      <c r="O90" s="1394">
        <v>0.2</v>
      </c>
      <c r="P90" s="1394">
        <v>0</v>
      </c>
      <c r="Q90" s="1396">
        <v>45626</v>
      </c>
      <c r="R90" s="1396"/>
      <c r="S90" s="1396"/>
      <c r="T90" s="1396"/>
      <c r="U90" s="1396"/>
      <c r="V90" s="1396"/>
      <c r="W90" s="1396"/>
      <c r="X90" s="1396"/>
      <c r="Y90" s="1396"/>
      <c r="Z90" s="1396"/>
      <c r="AA90" s="1396"/>
      <c r="AB90" s="1396"/>
      <c r="AC90" s="1701" t="str">
        <f>IFERROR(VLOOKUP(A90,salesInv!$D$8:$AM$494,35,FALSE),"-")</f>
        <v>H/M/142/2024</v>
      </c>
      <c r="AD90" s="1702">
        <f>IFERROR(VLOOKUP(A90,salesInv!$D$8:$AM$494,36,FALSE),"-")</f>
        <v>45626</v>
      </c>
      <c r="AE90" s="1703">
        <f>IFERROR(VLOOKUP(A90,salesInv!$D$8:$I$494,3,FALSE),"-")</f>
        <v>31000</v>
      </c>
      <c r="AF90" s="1703">
        <f>IFERROR(VLOOKUP(A90,salesInv!$D$8:$I$494,4,FALSE),"-")</f>
        <v>1550</v>
      </c>
      <c r="AG90" s="1703">
        <f>IFERROR(VLOOKUP(A90,salesInv!$D$8:$I$494,6,FALSE),"-")</f>
        <v>0</v>
      </c>
      <c r="AH90" s="1703">
        <f>COUNTIF(salesInv!$D$8:$D$494,ProH!A90)</f>
        <v>1</v>
      </c>
      <c r="AI90" s="1704">
        <f>SUMIFS(srpro!$F$10:$F$3010,srpro!$B$10:$B$3010,ProH!A90)</f>
        <v>0</v>
      </c>
      <c r="AJ90" s="1704">
        <f>SUMIFS(srpro!$E$10:$E$3010,srpro!$B$10:$B$3010,ProH!A90)</f>
        <v>0</v>
      </c>
      <c r="AK90" s="1704"/>
    </row>
    <row r="91" spans="1:37" ht="15.75">
      <c r="A91" s="1631">
        <v>297</v>
      </c>
      <c r="B91" s="1628" t="s">
        <v>6035</v>
      </c>
      <c r="C91" s="1628" t="s">
        <v>6035</v>
      </c>
      <c r="D91" s="1404" t="s">
        <v>6037</v>
      </c>
      <c r="E91" s="1404" t="s">
        <v>6036</v>
      </c>
      <c r="F91" s="1404" t="s">
        <v>6038</v>
      </c>
      <c r="G91" s="1404"/>
      <c r="H91" s="1406" t="s">
        <v>6039</v>
      </c>
      <c r="I91" s="1407" t="s">
        <v>6040</v>
      </c>
      <c r="J91" s="1408">
        <v>90000</v>
      </c>
      <c r="K91" s="1408"/>
      <c r="L91" s="1393"/>
      <c r="M91" s="1393" t="s">
        <v>6041</v>
      </c>
      <c r="N91" s="1394">
        <v>0.05</v>
      </c>
      <c r="O91" s="1394">
        <v>0</v>
      </c>
      <c r="P91" s="1394">
        <v>0</v>
      </c>
      <c r="Q91" s="1396"/>
      <c r="R91" s="1396"/>
      <c r="S91" s="1396"/>
      <c r="T91" s="1396"/>
      <c r="U91" s="1396"/>
      <c r="V91" s="1396"/>
      <c r="W91" s="1396"/>
      <c r="X91" s="1396"/>
      <c r="Y91" s="1396"/>
      <c r="Z91" s="1396"/>
      <c r="AA91" s="1396"/>
      <c r="AB91" s="1396"/>
      <c r="AC91" s="1701" t="str">
        <f>IFERROR(VLOOKUP(A91,salesInv!$D$8:$AM$494,35,FALSE),"-")</f>
        <v>-</v>
      </c>
      <c r="AD91" s="1702" t="str">
        <f>IFERROR(VLOOKUP(A91,salesInv!$D$8:$AM$494,36,FALSE),"-")</f>
        <v>-</v>
      </c>
      <c r="AE91" s="1703" t="str">
        <f>IFERROR(VLOOKUP(A91,salesInv!$D$8:$I$494,3,FALSE),"-")</f>
        <v>-</v>
      </c>
      <c r="AF91" s="1703" t="str">
        <f>IFERROR(VLOOKUP(A91,salesInv!$D$8:$I$494,4,FALSE),"-")</f>
        <v>-</v>
      </c>
      <c r="AG91" s="1703" t="str">
        <f>IFERROR(VLOOKUP(A91,salesInv!$D$8:$I$494,6,FALSE),"-")</f>
        <v>-</v>
      </c>
      <c r="AH91" s="1703">
        <f>COUNTIF(salesInv!$D$8:$D$494,ProH!A91)</f>
        <v>0</v>
      </c>
      <c r="AI91" s="1704"/>
      <c r="AJ91" s="1704"/>
      <c r="AK91" s="1704"/>
    </row>
    <row r="92" spans="1:37" ht="15.75">
      <c r="A92" s="1631">
        <v>298</v>
      </c>
      <c r="B92" s="1628" t="s">
        <v>6042</v>
      </c>
      <c r="C92" s="1628" t="s">
        <v>6042</v>
      </c>
      <c r="D92" s="1404"/>
      <c r="E92" s="1404"/>
      <c r="F92" s="1404"/>
      <c r="G92" s="1404"/>
      <c r="H92" s="1406" t="s">
        <v>6043</v>
      </c>
      <c r="I92" s="1407"/>
      <c r="J92" s="1408"/>
      <c r="K92" s="1408"/>
      <c r="L92" s="1393"/>
      <c r="M92" s="1393"/>
      <c r="N92" s="1394"/>
      <c r="O92" s="1394"/>
      <c r="P92" s="1394"/>
      <c r="Q92" s="1396"/>
      <c r="R92" s="1396"/>
      <c r="S92" s="1396"/>
      <c r="T92" s="1396"/>
      <c r="U92" s="1396"/>
      <c r="V92" s="1396"/>
      <c r="W92" s="1396"/>
      <c r="X92" s="1396"/>
      <c r="Y92" s="1396"/>
      <c r="Z92" s="1396"/>
      <c r="AA92" s="1396"/>
      <c r="AB92" s="1396"/>
      <c r="AC92" s="1701" t="str">
        <f>IFERROR(VLOOKUP(A92,salesInv!$D$8:$AM$494,35,FALSE),"-")</f>
        <v>-</v>
      </c>
      <c r="AD92" s="1702" t="str">
        <f>IFERROR(VLOOKUP(A92,salesInv!$D$8:$AM$494,36,FALSE),"-")</f>
        <v>-</v>
      </c>
      <c r="AE92" s="1703" t="str">
        <f>IFERROR(VLOOKUP(A92,salesInv!$D$8:$I$494,3,FALSE),"-")</f>
        <v>-</v>
      </c>
      <c r="AF92" s="1703" t="str">
        <f>IFERROR(VLOOKUP(A92,salesInv!$D$8:$I$494,4,FALSE),"-")</f>
        <v>-</v>
      </c>
      <c r="AG92" s="1703" t="str">
        <f>IFERROR(VLOOKUP(A92,salesInv!$D$8:$I$494,6,FALSE),"-")</f>
        <v>-</v>
      </c>
      <c r="AH92" s="1703">
        <f>COUNTIF(salesInv!$D$8:$D$494,ProH!A92)</f>
        <v>0</v>
      </c>
      <c r="AI92" s="1704"/>
      <c r="AJ92" s="1704"/>
      <c r="AK92" s="1704"/>
    </row>
    <row r="93" spans="1:37">
      <c r="A93" s="1401">
        <v>299</v>
      </c>
      <c r="B93" s="1402" t="s">
        <v>6045</v>
      </c>
      <c r="C93" s="1403" t="s">
        <v>6046</v>
      </c>
      <c r="D93" s="1404"/>
      <c r="E93" s="1404"/>
      <c r="F93" s="1404"/>
      <c r="G93" s="1404"/>
      <c r="H93" s="1406" t="s">
        <v>6044</v>
      </c>
      <c r="I93" s="1407"/>
      <c r="J93" s="1408"/>
      <c r="K93" s="1408"/>
      <c r="L93" s="1393"/>
      <c r="M93" s="1393"/>
      <c r="N93" s="1394"/>
      <c r="O93" s="1394"/>
      <c r="P93" s="1394"/>
      <c r="Q93" s="1396" t="s">
        <v>242</v>
      </c>
      <c r="R93" s="1396" t="s">
        <v>244</v>
      </c>
      <c r="S93" s="1396" t="s">
        <v>245</v>
      </c>
      <c r="T93" s="1396" t="s">
        <v>246</v>
      </c>
      <c r="U93" s="1396" t="s">
        <v>5585</v>
      </c>
      <c r="V93" s="1396"/>
      <c r="W93" s="1396">
        <v>0.25</v>
      </c>
      <c r="X93" s="1396">
        <v>0.3</v>
      </c>
      <c r="Y93" s="1396">
        <v>0.35</v>
      </c>
      <c r="Z93" s="1396">
        <v>7.0000000000000007E-2</v>
      </c>
      <c r="AA93" s="1396">
        <v>0.03</v>
      </c>
      <c r="AB93" s="1396"/>
      <c r="AC93" s="1701" t="str">
        <f>IFERROR(VLOOKUP(A93,salesInv!$D$8:$AM$494,35,FALSE),"-")</f>
        <v>-</v>
      </c>
      <c r="AD93" s="1702">
        <v>45516</v>
      </c>
      <c r="AE93" s="1703" t="str">
        <f>IFERROR(VLOOKUP(A93,salesInv!$D$8:$I$494,3,FALSE),"-")</f>
        <v>-</v>
      </c>
      <c r="AF93" s="1703" t="str">
        <f>IFERROR(VLOOKUP(A93,salesInv!$D$8:$I$494,4,FALSE),"-")</f>
        <v>-</v>
      </c>
      <c r="AG93" s="1703" t="str">
        <f>IFERROR(VLOOKUP(A93,salesInv!$D$8:$I$494,6,FALSE),"-")</f>
        <v>-</v>
      </c>
      <c r="AH93" s="1703">
        <f>COUNTIF(salesInv!$D$8:$D$494,ProH!A93)</f>
        <v>0</v>
      </c>
      <c r="AI93" s="1704"/>
      <c r="AJ93" s="1704"/>
      <c r="AK93" s="1704"/>
    </row>
    <row r="94" spans="1:37">
      <c r="A94" s="1401"/>
      <c r="B94" s="1402"/>
      <c r="C94" s="1403"/>
      <c r="D94" s="1404"/>
      <c r="E94" s="1404"/>
      <c r="F94" s="1404"/>
      <c r="G94" s="1404"/>
      <c r="H94" s="1406"/>
      <c r="I94" s="1407"/>
      <c r="J94" s="1408"/>
      <c r="K94" s="1408"/>
      <c r="L94" s="1393"/>
      <c r="M94" s="1393"/>
      <c r="N94" s="1394"/>
      <c r="O94" s="1394"/>
      <c r="P94" s="1394"/>
      <c r="Q94" s="1396"/>
      <c r="R94" s="1396"/>
      <c r="S94" s="1396"/>
      <c r="T94" s="1396"/>
      <c r="U94" s="1396"/>
      <c r="V94" s="1396"/>
      <c r="W94" s="1396"/>
      <c r="X94" s="1396"/>
      <c r="Y94" s="1396"/>
      <c r="Z94" s="1396"/>
      <c r="AA94" s="1396"/>
      <c r="AB94" s="1396"/>
      <c r="AC94" s="1701" t="str">
        <f>IFERROR(VLOOKUP(A94,salesInv!$D$8:$AM$494,35,FALSE),"-")</f>
        <v>-</v>
      </c>
      <c r="AD94" s="1702" t="str">
        <f>IFERROR(VLOOKUP(A94,salesInv!$D$8:$AM$494,36,FALSE),"-")</f>
        <v>-</v>
      </c>
      <c r="AE94" s="1703" t="str">
        <f>IFERROR(VLOOKUP(A94,salesInv!$D$8:$I$494,3,FALSE),"-")</f>
        <v>-</v>
      </c>
      <c r="AF94" s="1703" t="str">
        <f>IFERROR(VLOOKUP(A94,salesInv!$D$8:$I$494,4,FALSE),"-")</f>
        <v>-</v>
      </c>
      <c r="AG94" s="1703" t="str">
        <f>IFERROR(VLOOKUP(A94,salesInv!$D$8:$I$494,6,FALSE),"-")</f>
        <v>-</v>
      </c>
      <c r="AH94" s="1703">
        <f>COUNTIF(salesInv!$D$8:$D$494,ProH!A94)</f>
        <v>0</v>
      </c>
      <c r="AI94" s="1704"/>
      <c r="AJ94" s="1704"/>
      <c r="AK94" s="1704"/>
    </row>
    <row r="95" spans="1:37">
      <c r="A95" s="1401"/>
      <c r="B95" s="1402"/>
      <c r="C95" s="1403"/>
      <c r="D95" s="1404"/>
      <c r="E95" s="1404"/>
      <c r="F95" s="1404"/>
      <c r="G95" s="1404"/>
      <c r="H95" s="1406"/>
      <c r="I95" s="1407"/>
      <c r="J95" s="1408"/>
      <c r="K95" s="1408"/>
      <c r="L95" s="1393"/>
      <c r="M95" s="1393"/>
      <c r="N95" s="1394"/>
      <c r="O95" s="1394"/>
      <c r="P95" s="1394"/>
      <c r="Q95" s="1396"/>
      <c r="R95" s="1396"/>
      <c r="S95" s="1396"/>
      <c r="T95" s="1396"/>
      <c r="U95" s="1396"/>
      <c r="V95" s="1396"/>
      <c r="W95" s="1396"/>
      <c r="X95" s="1396"/>
      <c r="Y95" s="1396"/>
      <c r="Z95" s="1396"/>
      <c r="AA95" s="1396"/>
      <c r="AB95" s="1396"/>
      <c r="AC95" s="1701" t="str">
        <f>IFERROR(VLOOKUP(A95,salesInv!$D$8:$AM$494,35,FALSE),"-")</f>
        <v>-</v>
      </c>
      <c r="AD95" s="1702" t="str">
        <f>IFERROR(VLOOKUP(A95,salesInv!$D$8:$AM$494,36,FALSE),"-")</f>
        <v>-</v>
      </c>
      <c r="AE95" s="1703" t="str">
        <f>IFERROR(VLOOKUP(A95,salesInv!$D$8:$I$494,3,FALSE),"-")</f>
        <v>-</v>
      </c>
      <c r="AF95" s="1703" t="str">
        <f>IFERROR(VLOOKUP(A95,salesInv!$D$8:$I$494,4,FALSE),"-")</f>
        <v>-</v>
      </c>
      <c r="AG95" s="1703" t="str">
        <f>IFERROR(VLOOKUP(A95,salesInv!$D$8:$I$494,6,FALSE),"-")</f>
        <v>-</v>
      </c>
      <c r="AH95" s="1703">
        <f>COUNTIF(salesInv!$D$8:$D$494,ProH!A95)</f>
        <v>0</v>
      </c>
      <c r="AI95" s="1704"/>
      <c r="AJ95" s="1704"/>
      <c r="AK95" s="1704"/>
    </row>
    <row r="96" spans="1:37">
      <c r="A96" s="1401"/>
      <c r="B96" s="1402"/>
      <c r="C96" s="1403"/>
      <c r="D96" s="1404"/>
      <c r="E96" s="1404"/>
      <c r="F96" s="1404"/>
      <c r="G96" s="1404"/>
      <c r="H96" s="1406"/>
      <c r="I96" s="1407"/>
      <c r="J96" s="1408"/>
      <c r="K96" s="1408"/>
      <c r="L96" s="1393"/>
      <c r="M96" s="1393"/>
      <c r="N96" s="1394"/>
      <c r="O96" s="1394"/>
      <c r="P96" s="1394"/>
      <c r="Q96" s="1396"/>
      <c r="R96" s="1396"/>
      <c r="S96" s="1396"/>
      <c r="T96" s="1396"/>
      <c r="U96" s="1396"/>
      <c r="V96" s="1396"/>
      <c r="W96" s="1396"/>
      <c r="X96" s="1396"/>
      <c r="Y96" s="1396"/>
      <c r="Z96" s="1396"/>
      <c r="AA96" s="1396"/>
      <c r="AB96" s="1396"/>
      <c r="AC96" s="1701" t="str">
        <f>IFERROR(VLOOKUP(A96,salesInv!$D$8:$AM$494,35,FALSE),"-")</f>
        <v>-</v>
      </c>
      <c r="AD96" s="1702" t="str">
        <f>IFERROR(VLOOKUP(A96,salesInv!$D$8:$AM$494,36,FALSE),"-")</f>
        <v>-</v>
      </c>
      <c r="AE96" s="1703" t="str">
        <f>IFERROR(VLOOKUP(A96,salesInv!$D$8:$I$494,3,FALSE),"-")</f>
        <v>-</v>
      </c>
      <c r="AF96" s="1703" t="str">
        <f>IFERROR(VLOOKUP(A96,salesInv!$D$8:$I$494,4,FALSE),"-")</f>
        <v>-</v>
      </c>
      <c r="AG96" s="1703" t="str">
        <f>IFERROR(VLOOKUP(A96,salesInv!$D$8:$I$494,6,FALSE),"-")</f>
        <v>-</v>
      </c>
      <c r="AH96" s="1703">
        <f>COUNTIF(salesInv!$D$8:$D$494,ProH!A96)</f>
        <v>0</v>
      </c>
      <c r="AI96" s="1704"/>
      <c r="AJ96" s="1704"/>
      <c r="AK96" s="1704"/>
    </row>
    <row r="97" spans="1:37">
      <c r="A97" s="1401"/>
      <c r="B97" s="1402"/>
      <c r="C97" s="1403"/>
      <c r="D97" s="1404"/>
      <c r="E97" s="1404"/>
      <c r="F97" s="1404"/>
      <c r="G97" s="1404"/>
      <c r="H97" s="1406"/>
      <c r="I97" s="1407"/>
      <c r="J97" s="1408"/>
      <c r="K97" s="1408"/>
      <c r="L97" s="1393"/>
      <c r="M97" s="1393"/>
      <c r="N97" s="1394"/>
      <c r="O97" s="1394"/>
      <c r="P97" s="1394"/>
      <c r="Q97" s="1396"/>
      <c r="R97" s="1396"/>
      <c r="S97" s="1396"/>
      <c r="T97" s="1396"/>
      <c r="U97" s="1396"/>
      <c r="V97" s="1396"/>
      <c r="W97" s="1396"/>
      <c r="X97" s="1396"/>
      <c r="Y97" s="1396"/>
      <c r="Z97" s="1396"/>
      <c r="AA97" s="1396"/>
      <c r="AB97" s="1396"/>
      <c r="AC97" s="1701" t="str">
        <f>IFERROR(VLOOKUP(A97,salesInv!$D$8:$AM$494,35,FALSE),"-")</f>
        <v>-</v>
      </c>
      <c r="AD97" s="1702" t="str">
        <f>IFERROR(VLOOKUP(A97,salesInv!$D$8:$AM$494,36,FALSE),"-")</f>
        <v>-</v>
      </c>
      <c r="AE97" s="1703" t="str">
        <f>IFERROR(VLOOKUP(A97,salesInv!$D$8:$I$494,3,FALSE),"-")</f>
        <v>-</v>
      </c>
      <c r="AF97" s="1703" t="str">
        <f>IFERROR(VLOOKUP(A97,salesInv!$D$8:$I$494,4,FALSE),"-")</f>
        <v>-</v>
      </c>
      <c r="AG97" s="1703" t="str">
        <f>IFERROR(VLOOKUP(A97,salesInv!$D$8:$I$494,6,FALSE),"-")</f>
        <v>-</v>
      </c>
      <c r="AH97" s="1703">
        <f>COUNTIF(salesInv!$D$8:$D$494,ProH!A97)</f>
        <v>0</v>
      </c>
      <c r="AI97" s="1704"/>
      <c r="AJ97" s="1704"/>
      <c r="AK97" s="1704"/>
    </row>
    <row r="98" spans="1:37">
      <c r="A98" s="1401"/>
      <c r="B98" s="1402"/>
      <c r="C98" s="1403"/>
      <c r="D98" s="1404"/>
      <c r="E98" s="1404"/>
      <c r="F98" s="1404"/>
      <c r="G98" s="1404"/>
      <c r="H98" s="1406"/>
      <c r="I98" s="1407"/>
      <c r="J98" s="1408"/>
      <c r="K98" s="1408"/>
      <c r="L98" s="1393"/>
      <c r="M98" s="1393"/>
      <c r="N98" s="1394"/>
      <c r="O98" s="1394"/>
      <c r="P98" s="1394"/>
      <c r="Q98" s="1396"/>
      <c r="R98" s="1396"/>
      <c r="S98" s="1396"/>
      <c r="T98" s="1396"/>
      <c r="U98" s="1396"/>
      <c r="V98" s="1396"/>
      <c r="W98" s="1396"/>
      <c r="X98" s="1396"/>
      <c r="Y98" s="1396"/>
      <c r="Z98" s="1396"/>
      <c r="AA98" s="1396"/>
      <c r="AB98" s="1396"/>
      <c r="AC98" s="1701" t="str">
        <f>IFERROR(VLOOKUP(A98,salesInv!$D$8:$AM$494,35,FALSE),"-")</f>
        <v>-</v>
      </c>
      <c r="AD98" s="1702" t="str">
        <f>IFERROR(VLOOKUP(A98,salesInv!$D$8:$AM$494,36,FALSE),"-")</f>
        <v>-</v>
      </c>
      <c r="AE98" s="1703" t="str">
        <f>IFERROR(VLOOKUP(A98,salesInv!$D$8:$I$494,3,FALSE),"-")</f>
        <v>-</v>
      </c>
      <c r="AF98" s="1703" t="str">
        <f>IFERROR(VLOOKUP(A98,salesInv!$D$8:$I$494,4,FALSE),"-")</f>
        <v>-</v>
      </c>
      <c r="AG98" s="1703" t="str">
        <f>IFERROR(VLOOKUP(A98,salesInv!$D$8:$I$494,6,FALSE),"-")</f>
        <v>-</v>
      </c>
      <c r="AH98" s="1703">
        <f>COUNTIF(salesInv!$D$8:$D$494,ProH!A98)</f>
        <v>0</v>
      </c>
      <c r="AI98" s="1704"/>
      <c r="AJ98" s="1704"/>
      <c r="AK98" s="1704"/>
    </row>
    <row r="99" spans="1:37">
      <c r="A99" s="1401"/>
      <c r="B99" s="1402"/>
      <c r="C99" s="1403"/>
      <c r="D99" s="1404"/>
      <c r="E99" s="1404"/>
      <c r="F99" s="1404"/>
      <c r="G99" s="1404"/>
      <c r="H99" s="1406"/>
      <c r="I99" s="1407"/>
      <c r="J99" s="1408"/>
      <c r="K99" s="1408"/>
      <c r="L99" s="1393"/>
      <c r="M99" s="1393"/>
      <c r="N99" s="1394"/>
      <c r="O99" s="1394"/>
      <c r="P99" s="1394"/>
      <c r="Q99" s="1396"/>
      <c r="R99" s="1396"/>
      <c r="S99" s="1396"/>
      <c r="T99" s="1396"/>
      <c r="U99" s="1396"/>
      <c r="V99" s="1396"/>
      <c r="W99" s="1396"/>
      <c r="X99" s="1396"/>
      <c r="Y99" s="1396"/>
      <c r="Z99" s="1396"/>
      <c r="AA99" s="1396"/>
      <c r="AB99" s="1396"/>
      <c r="AC99" s="1701" t="str">
        <f>IFERROR(VLOOKUP(A99,salesInv!$D$8:$AM$494,35,FALSE),"-")</f>
        <v>-</v>
      </c>
      <c r="AD99" s="1702" t="str">
        <f>IFERROR(VLOOKUP(A99,salesInv!$D$8:$AM$494,36,FALSE),"-")</f>
        <v>-</v>
      </c>
      <c r="AE99" s="1703" t="str">
        <f>IFERROR(VLOOKUP(A99,salesInv!$D$8:$I$494,3,FALSE),"-")</f>
        <v>-</v>
      </c>
      <c r="AF99" s="1703" t="str">
        <f>IFERROR(VLOOKUP(A99,salesInv!$D$8:$I$494,4,FALSE),"-")</f>
        <v>-</v>
      </c>
      <c r="AG99" s="1703" t="str">
        <f>IFERROR(VLOOKUP(A99,salesInv!$D$8:$I$494,6,FALSE),"-")</f>
        <v>-</v>
      </c>
      <c r="AH99" s="1703">
        <f>COUNTIF(salesInv!$D$8:$D$494,ProH!A99)</f>
        <v>0</v>
      </c>
      <c r="AI99" s="1704"/>
      <c r="AJ99" s="1704"/>
      <c r="AK99" s="1704"/>
    </row>
    <row r="100" spans="1:37">
      <c r="A100" s="1401"/>
      <c r="B100" s="1402"/>
      <c r="C100" s="1403"/>
      <c r="D100" s="1404"/>
      <c r="E100" s="1404"/>
      <c r="F100" s="1404"/>
      <c r="G100" s="1404"/>
      <c r="H100" s="1406"/>
      <c r="I100" s="1407"/>
      <c r="J100" s="1408"/>
      <c r="K100" s="1408"/>
      <c r="L100" s="1393"/>
      <c r="M100" s="1393"/>
      <c r="N100" s="1394"/>
      <c r="O100" s="1394"/>
      <c r="P100" s="1394"/>
      <c r="Q100" s="1396"/>
      <c r="R100" s="1396"/>
      <c r="S100" s="1396"/>
      <c r="T100" s="1396"/>
      <c r="U100" s="1396"/>
      <c r="V100" s="1396"/>
      <c r="W100" s="1396"/>
      <c r="X100" s="1396"/>
      <c r="Y100" s="1396"/>
      <c r="Z100" s="1396"/>
      <c r="AA100" s="1396"/>
      <c r="AB100" s="1396"/>
      <c r="AC100" s="1701" t="str">
        <f>IFERROR(VLOOKUP(A100,salesInv!$D$8:$AM$494,35,FALSE),"-")</f>
        <v>-</v>
      </c>
      <c r="AD100" s="1702" t="str">
        <f>IFERROR(VLOOKUP(A100,salesInv!$D$8:$AM$494,36,FALSE),"-")</f>
        <v>-</v>
      </c>
      <c r="AE100" s="1703" t="str">
        <f>IFERROR(VLOOKUP(A100,salesInv!$D$8:$I$494,3,FALSE),"-")</f>
        <v>-</v>
      </c>
      <c r="AF100" s="1703" t="str">
        <f>IFERROR(VLOOKUP(A100,salesInv!$D$8:$I$494,4,FALSE),"-")</f>
        <v>-</v>
      </c>
      <c r="AG100" s="1703" t="str">
        <f>IFERROR(VLOOKUP(A100,salesInv!$D$8:$I$494,6,FALSE),"-")</f>
        <v>-</v>
      </c>
      <c r="AH100" s="1703">
        <f>COUNTIF(salesInv!$D$8:$D$494,ProH!A100)</f>
        <v>0</v>
      </c>
      <c r="AI100" s="1704"/>
      <c r="AJ100" s="1704"/>
      <c r="AK100" s="1704"/>
    </row>
    <row r="101" spans="1:37">
      <c r="A101" s="1401"/>
      <c r="B101" s="1402"/>
      <c r="C101" s="1403"/>
      <c r="D101" s="1404"/>
      <c r="E101" s="1404"/>
      <c r="F101" s="1404"/>
      <c r="G101" s="1404"/>
      <c r="H101" s="1406"/>
      <c r="I101" s="1407"/>
      <c r="J101" s="1408"/>
      <c r="K101" s="1408"/>
      <c r="L101" s="1393"/>
      <c r="M101" s="1393"/>
      <c r="N101" s="1394"/>
      <c r="O101" s="1394"/>
      <c r="P101" s="1394"/>
      <c r="Q101" s="1396"/>
      <c r="R101" s="1396"/>
      <c r="S101" s="1396"/>
      <c r="T101" s="1396"/>
      <c r="U101" s="1396"/>
      <c r="V101" s="1396"/>
      <c r="W101" s="1396"/>
      <c r="X101" s="1396"/>
      <c r="Y101" s="1396"/>
      <c r="Z101" s="1396"/>
      <c r="AA101" s="1396"/>
      <c r="AB101" s="1396"/>
      <c r="AC101" s="1701" t="str">
        <f>IFERROR(VLOOKUP(A101,salesInv!$D$8:$AM$494,35,FALSE),"-")</f>
        <v>-</v>
      </c>
      <c r="AD101" s="1702" t="str">
        <f>IFERROR(VLOOKUP(A101,salesInv!$D$8:$AM$494,36,FALSE),"-")</f>
        <v>-</v>
      </c>
      <c r="AE101" s="1703" t="str">
        <f>IFERROR(VLOOKUP(A101,salesInv!$D$8:$I$494,3,FALSE),"-")</f>
        <v>-</v>
      </c>
      <c r="AF101" s="1703" t="str">
        <f>IFERROR(VLOOKUP(A101,salesInv!$D$8:$I$494,4,FALSE),"-")</f>
        <v>-</v>
      </c>
      <c r="AG101" s="1703" t="str">
        <f>IFERROR(VLOOKUP(A101,salesInv!$D$8:$I$494,6,FALSE),"-")</f>
        <v>-</v>
      </c>
      <c r="AH101" s="1703">
        <f>COUNTIF(salesInv!$D$8:$D$494,ProH!A101)</f>
        <v>0</v>
      </c>
      <c r="AI101" s="1704"/>
      <c r="AJ101" s="1704"/>
      <c r="AK101" s="1704"/>
    </row>
    <row r="102" spans="1:37">
      <c r="A102" s="1401"/>
      <c r="B102" s="1402"/>
      <c r="C102" s="1403"/>
      <c r="D102" s="1404"/>
      <c r="E102" s="1404"/>
      <c r="F102" s="1404"/>
      <c r="G102" s="1404"/>
      <c r="H102" s="1406"/>
      <c r="I102" s="1407"/>
      <c r="J102" s="1408"/>
      <c r="K102" s="1408"/>
      <c r="L102" s="1393"/>
      <c r="M102" s="1393"/>
      <c r="N102" s="1394"/>
      <c r="O102" s="1394"/>
      <c r="P102" s="1394"/>
      <c r="Q102" s="1396"/>
      <c r="R102" s="1396"/>
      <c r="S102" s="1396"/>
      <c r="T102" s="1396"/>
      <c r="U102" s="1396"/>
      <c r="V102" s="1396"/>
      <c r="W102" s="1396"/>
      <c r="X102" s="1396"/>
      <c r="Y102" s="1396"/>
      <c r="Z102" s="1396"/>
      <c r="AA102" s="1396"/>
      <c r="AB102" s="1396"/>
      <c r="AC102" s="1701" t="str">
        <f>IFERROR(VLOOKUP(A102,salesInv!$D$8:$AM$494,35,FALSE),"-")</f>
        <v>-</v>
      </c>
      <c r="AD102" s="1702" t="str">
        <f>IFERROR(VLOOKUP(A102,salesInv!$D$8:$AM$494,36,FALSE),"-")</f>
        <v>-</v>
      </c>
      <c r="AE102" s="1703" t="str">
        <f>IFERROR(VLOOKUP(A102,salesInv!$D$8:$I$494,3,FALSE),"-")</f>
        <v>-</v>
      </c>
      <c r="AF102" s="1703" t="str">
        <f>IFERROR(VLOOKUP(A102,salesInv!$D$8:$I$494,4,FALSE),"-")</f>
        <v>-</v>
      </c>
      <c r="AG102" s="1703" t="str">
        <f>IFERROR(VLOOKUP(A102,salesInv!$D$8:$I$494,6,FALSE),"-")</f>
        <v>-</v>
      </c>
      <c r="AH102" s="1703">
        <f>COUNTIF(salesInv!$D$8:$D$494,ProH!A102)</f>
        <v>0</v>
      </c>
      <c r="AI102" s="1704"/>
      <c r="AJ102" s="1704"/>
      <c r="AK102" s="1704"/>
    </row>
    <row r="103" spans="1:37">
      <c r="A103" s="1401"/>
      <c r="B103" s="1402"/>
      <c r="C103" s="1403"/>
      <c r="D103" s="1404"/>
      <c r="E103" s="1404"/>
      <c r="F103" s="1404"/>
      <c r="G103" s="1404"/>
      <c r="H103" s="1406"/>
      <c r="I103" s="1407"/>
      <c r="J103" s="1408"/>
      <c r="K103" s="1408"/>
      <c r="L103" s="1393"/>
      <c r="M103" s="1393"/>
      <c r="N103" s="1394"/>
      <c r="O103" s="1394"/>
      <c r="P103" s="1394"/>
      <c r="Q103" s="1396"/>
      <c r="R103" s="1396"/>
      <c r="S103" s="1396"/>
      <c r="T103" s="1396"/>
      <c r="U103" s="1396"/>
      <c r="V103" s="1396"/>
      <c r="W103" s="1396"/>
      <c r="X103" s="1396"/>
      <c r="Y103" s="1396"/>
      <c r="Z103" s="1396"/>
      <c r="AA103" s="1396"/>
      <c r="AB103" s="1396"/>
      <c r="AC103" s="1701" t="str">
        <f>IFERROR(VLOOKUP(A103,salesInv!$D$8:$AM$494,35,FALSE),"-")</f>
        <v>-</v>
      </c>
      <c r="AD103" s="1702" t="str">
        <f>IFERROR(VLOOKUP(A103,salesInv!$D$8:$AM$494,36,FALSE),"-")</f>
        <v>-</v>
      </c>
      <c r="AE103" s="1703" t="str">
        <f>IFERROR(VLOOKUP(A103,salesInv!$D$8:$I$494,3,FALSE),"-")</f>
        <v>-</v>
      </c>
      <c r="AF103" s="1703" t="str">
        <f>IFERROR(VLOOKUP(A103,salesInv!$D$8:$I$494,4,FALSE),"-")</f>
        <v>-</v>
      </c>
      <c r="AG103" s="1703" t="str">
        <f>IFERROR(VLOOKUP(A103,salesInv!$D$8:$I$494,6,FALSE),"-")</f>
        <v>-</v>
      </c>
      <c r="AH103" s="1703">
        <f>COUNTIF(salesInv!$D$8:$D$494,ProH!A103)</f>
        <v>0</v>
      </c>
      <c r="AI103" s="1704"/>
      <c r="AJ103" s="1704"/>
      <c r="AK103" s="1704"/>
    </row>
    <row r="104" spans="1:37">
      <c r="A104" s="1401"/>
      <c r="B104" s="1402"/>
      <c r="C104" s="1403"/>
      <c r="D104" s="1404"/>
      <c r="E104" s="1404"/>
      <c r="F104" s="1404"/>
      <c r="G104" s="1404"/>
      <c r="H104" s="1406"/>
      <c r="I104" s="1407"/>
      <c r="J104" s="1408"/>
      <c r="K104" s="1408"/>
      <c r="L104" s="1393"/>
      <c r="M104" s="1393"/>
      <c r="N104" s="1394"/>
      <c r="O104" s="1394"/>
      <c r="P104" s="1394"/>
      <c r="Q104" s="1396"/>
      <c r="R104" s="1396"/>
      <c r="S104" s="1396"/>
      <c r="T104" s="1396"/>
      <c r="U104" s="1396"/>
      <c r="V104" s="1396"/>
      <c r="W104" s="1396"/>
      <c r="X104" s="1396"/>
      <c r="Y104" s="1396"/>
      <c r="Z104" s="1396"/>
      <c r="AA104" s="1396"/>
      <c r="AB104" s="1396"/>
      <c r="AC104" s="1701" t="str">
        <f>IFERROR(VLOOKUP(A104,salesInv!$D$8:$AM$494,35,FALSE),"-")</f>
        <v>-</v>
      </c>
      <c r="AD104" s="1702" t="str">
        <f>IFERROR(VLOOKUP(A104,salesInv!$D$8:$AM$494,36,FALSE),"-")</f>
        <v>-</v>
      </c>
      <c r="AE104" s="1703" t="str">
        <f>IFERROR(VLOOKUP(A104,salesInv!$D$8:$I$494,3,FALSE),"-")</f>
        <v>-</v>
      </c>
      <c r="AF104" s="1703" t="str">
        <f>IFERROR(VLOOKUP(A104,salesInv!$D$8:$I$494,4,FALSE),"-")</f>
        <v>-</v>
      </c>
      <c r="AG104" s="1703" t="str">
        <f>IFERROR(VLOOKUP(A104,salesInv!$D$8:$I$494,6,FALSE),"-")</f>
        <v>-</v>
      </c>
      <c r="AH104" s="1703">
        <f>COUNTIF(salesInv!$D$8:$D$494,ProH!A104)</f>
        <v>0</v>
      </c>
      <c r="AI104" s="1704"/>
      <c r="AJ104" s="1704"/>
      <c r="AK104" s="1704"/>
    </row>
    <row r="105" spans="1:37">
      <c r="A105" s="1401"/>
      <c r="B105" s="1402"/>
      <c r="C105" s="1403"/>
      <c r="D105" s="1404"/>
      <c r="E105" s="1404"/>
      <c r="F105" s="1404"/>
      <c r="G105" s="1404"/>
      <c r="H105" s="1406"/>
      <c r="I105" s="1407"/>
      <c r="J105" s="1408"/>
      <c r="K105" s="1408"/>
      <c r="L105" s="1393"/>
      <c r="M105" s="1393"/>
      <c r="N105" s="1394"/>
      <c r="O105" s="1394"/>
      <c r="P105" s="1394"/>
      <c r="Q105" s="1396"/>
      <c r="R105" s="1396"/>
      <c r="S105" s="1396"/>
      <c r="T105" s="1396"/>
      <c r="U105" s="1396"/>
      <c r="V105" s="1396"/>
      <c r="W105" s="1396"/>
      <c r="X105" s="1396"/>
      <c r="Y105" s="1396"/>
      <c r="Z105" s="1396"/>
      <c r="AA105" s="1396"/>
      <c r="AB105" s="1396"/>
      <c r="AC105" s="1701" t="str">
        <f>IFERROR(VLOOKUP(A105,salesInv!$D$8:$AM$494,35,FALSE),"-")</f>
        <v>-</v>
      </c>
      <c r="AD105" s="1702" t="str">
        <f>IFERROR(VLOOKUP(A105,salesInv!$D$8:$AM$494,36,FALSE),"-")</f>
        <v>-</v>
      </c>
      <c r="AE105" s="1703" t="str">
        <f>IFERROR(VLOOKUP(A105,salesInv!$D$8:$I$494,3,FALSE),"-")</f>
        <v>-</v>
      </c>
      <c r="AF105" s="1703" t="str">
        <f>IFERROR(VLOOKUP(A105,salesInv!$D$8:$I$494,4,FALSE),"-")</f>
        <v>-</v>
      </c>
      <c r="AG105" s="1703" t="str">
        <f>IFERROR(VLOOKUP(A105,salesInv!$D$8:$I$494,6,FALSE),"-")</f>
        <v>-</v>
      </c>
      <c r="AH105" s="1703">
        <f>COUNTIF(salesInv!$D$8:$D$494,ProH!A105)</f>
        <v>0</v>
      </c>
      <c r="AI105" s="1704"/>
      <c r="AJ105" s="1704"/>
      <c r="AK105" s="1704"/>
    </row>
    <row r="106" spans="1:37">
      <c r="A106" s="1401"/>
      <c r="B106" s="1402"/>
      <c r="C106" s="1403"/>
      <c r="D106" s="1404"/>
      <c r="E106" s="1404"/>
      <c r="F106" s="1404"/>
      <c r="G106" s="1404"/>
      <c r="H106" s="1406"/>
      <c r="I106" s="1407"/>
      <c r="J106" s="1408"/>
      <c r="K106" s="1408"/>
      <c r="L106" s="1393"/>
      <c r="M106" s="1393"/>
      <c r="N106" s="1394"/>
      <c r="O106" s="1394"/>
      <c r="P106" s="1394"/>
      <c r="Q106" s="1396"/>
      <c r="R106" s="1396"/>
      <c r="S106" s="1396"/>
      <c r="T106" s="1396"/>
      <c r="U106" s="1396"/>
      <c r="V106" s="1396"/>
      <c r="W106" s="1396"/>
      <c r="X106" s="1396"/>
      <c r="Y106" s="1396"/>
      <c r="Z106" s="1396"/>
      <c r="AA106" s="1396"/>
      <c r="AB106" s="1396"/>
      <c r="AC106" s="1701" t="str">
        <f>IFERROR(VLOOKUP(A106,salesInv!$D$8:$AM$494,35,FALSE),"-")</f>
        <v>-</v>
      </c>
      <c r="AD106" s="1702" t="str">
        <f>IFERROR(VLOOKUP(A106,salesInv!$D$8:$AM$494,36,FALSE),"-")</f>
        <v>-</v>
      </c>
      <c r="AE106" s="1703" t="str">
        <f>IFERROR(VLOOKUP(A106,salesInv!$D$8:$I$494,3,FALSE),"-")</f>
        <v>-</v>
      </c>
      <c r="AF106" s="1703" t="str">
        <f>IFERROR(VLOOKUP(A106,salesInv!$D$8:$I$494,4,FALSE),"-")</f>
        <v>-</v>
      </c>
      <c r="AG106" s="1703" t="str">
        <f>IFERROR(VLOOKUP(A106,salesInv!$D$8:$I$494,6,FALSE),"-")</f>
        <v>-</v>
      </c>
      <c r="AH106" s="1703">
        <f>COUNTIF(salesInv!$D$8:$D$494,ProH!A106)</f>
        <v>0</v>
      </c>
      <c r="AI106" s="1704"/>
      <c r="AJ106" s="1704"/>
      <c r="AK106" s="1704"/>
    </row>
    <row r="107" spans="1:37">
      <c r="A107" s="1401"/>
      <c r="B107" s="1402"/>
      <c r="C107" s="1403"/>
      <c r="D107" s="1404"/>
      <c r="E107" s="1404"/>
      <c r="F107" s="1404"/>
      <c r="G107" s="1404"/>
      <c r="H107" s="1406"/>
      <c r="I107" s="1407"/>
      <c r="J107" s="1408"/>
      <c r="K107" s="1408"/>
      <c r="L107" s="1393"/>
      <c r="M107" s="1393"/>
      <c r="N107" s="1394"/>
      <c r="O107" s="1394"/>
      <c r="P107" s="1394"/>
      <c r="Q107" s="1396"/>
      <c r="R107" s="1396"/>
      <c r="S107" s="1396"/>
      <c r="T107" s="1396"/>
      <c r="U107" s="1396"/>
      <c r="V107" s="1396"/>
      <c r="W107" s="1396"/>
      <c r="X107" s="1396"/>
      <c r="Y107" s="1396"/>
      <c r="Z107" s="1396"/>
      <c r="AA107" s="1396"/>
      <c r="AB107" s="1396"/>
      <c r="AC107" s="1701" t="str">
        <f>IFERROR(VLOOKUP(A107,salesInv!$D$8:$AM$494,35,FALSE),"-")</f>
        <v>-</v>
      </c>
      <c r="AD107" s="1702" t="str">
        <f>IFERROR(VLOOKUP(A107,salesInv!$D$8:$AM$494,36,FALSE),"-")</f>
        <v>-</v>
      </c>
      <c r="AE107" s="1703" t="str">
        <f>IFERROR(VLOOKUP(A107,salesInv!$D$8:$I$494,3,FALSE),"-")</f>
        <v>-</v>
      </c>
      <c r="AF107" s="1703" t="str">
        <f>IFERROR(VLOOKUP(A107,salesInv!$D$8:$I$494,4,FALSE),"-")</f>
        <v>-</v>
      </c>
      <c r="AG107" s="1703" t="str">
        <f>IFERROR(VLOOKUP(A107,salesInv!$D$8:$I$494,6,FALSE),"-")</f>
        <v>-</v>
      </c>
      <c r="AH107" s="1703">
        <f>COUNTIF(salesInv!$D$8:$D$494,ProH!A107)</f>
        <v>0</v>
      </c>
      <c r="AI107" s="1704"/>
      <c r="AJ107" s="1704"/>
      <c r="AK107" s="1704"/>
    </row>
    <row r="108" spans="1:37">
      <c r="A108" s="1401"/>
      <c r="B108" s="1402"/>
      <c r="C108" s="1403"/>
      <c r="D108" s="1404"/>
      <c r="E108" s="1404"/>
      <c r="F108" s="1404"/>
      <c r="G108" s="1404"/>
      <c r="H108" s="1406"/>
      <c r="I108" s="1407"/>
      <c r="J108" s="1408"/>
      <c r="K108" s="1408"/>
      <c r="L108" s="1393"/>
      <c r="M108" s="1393"/>
      <c r="N108" s="1394"/>
      <c r="O108" s="1394"/>
      <c r="P108" s="1394"/>
      <c r="Q108" s="1396"/>
      <c r="R108" s="1396"/>
      <c r="S108" s="1396"/>
      <c r="T108" s="1396"/>
      <c r="U108" s="1396"/>
      <c r="V108" s="1396"/>
      <c r="W108" s="1396"/>
      <c r="X108" s="1396"/>
      <c r="Y108" s="1396"/>
      <c r="Z108" s="1396"/>
      <c r="AA108" s="1396"/>
      <c r="AB108" s="1396"/>
      <c r="AC108" s="1701" t="str">
        <f>IFERROR(VLOOKUP(A108,salesInv!$D$8:$AM$494,35,FALSE),"-")</f>
        <v>-</v>
      </c>
      <c r="AD108" s="1702" t="str">
        <f>IFERROR(VLOOKUP(A108,salesInv!$D$8:$AM$494,36,FALSE),"-")</f>
        <v>-</v>
      </c>
      <c r="AE108" s="1703" t="str">
        <f>IFERROR(VLOOKUP(A108,salesInv!$D$8:$I$494,3,FALSE),"-")</f>
        <v>-</v>
      </c>
      <c r="AF108" s="1703" t="str">
        <f>IFERROR(VLOOKUP(A108,salesInv!$D$8:$I$494,4,FALSE),"-")</f>
        <v>-</v>
      </c>
      <c r="AG108" s="1703" t="str">
        <f>IFERROR(VLOOKUP(A108,salesInv!$D$8:$I$494,6,FALSE),"-")</f>
        <v>-</v>
      </c>
      <c r="AH108" s="1703">
        <f>COUNTIF(salesInv!$D$8:$D$494,ProH!A108)</f>
        <v>0</v>
      </c>
      <c r="AI108" s="1704"/>
      <c r="AJ108" s="1704"/>
      <c r="AK108" s="1704"/>
    </row>
    <row r="109" spans="1:37">
      <c r="A109" s="1401"/>
      <c r="B109" s="1402"/>
      <c r="C109" s="1403"/>
      <c r="D109" s="1404"/>
      <c r="E109" s="1404"/>
      <c r="F109" s="1404"/>
      <c r="G109" s="1404"/>
      <c r="H109" s="1406"/>
      <c r="I109" s="1407"/>
      <c r="J109" s="1408"/>
      <c r="K109" s="1408"/>
      <c r="L109" s="1393"/>
      <c r="M109" s="1393"/>
      <c r="N109" s="1394"/>
      <c r="O109" s="1394"/>
      <c r="P109" s="1394"/>
      <c r="Q109" s="1396"/>
      <c r="R109" s="1396"/>
      <c r="S109" s="1396"/>
      <c r="T109" s="1396"/>
      <c r="U109" s="1396"/>
      <c r="V109" s="1396"/>
      <c r="W109" s="1396"/>
      <c r="X109" s="1396"/>
      <c r="Y109" s="1396"/>
      <c r="Z109" s="1396"/>
      <c r="AA109" s="1396"/>
      <c r="AB109" s="1396"/>
      <c r="AC109" s="1701" t="str">
        <f>IFERROR(VLOOKUP(A109,salesInv!$D$8:$AM$494,35,FALSE),"-")</f>
        <v>-</v>
      </c>
      <c r="AD109" s="1702" t="str">
        <f>IFERROR(VLOOKUP(A109,salesInv!$D$8:$AM$494,36,FALSE),"-")</f>
        <v>-</v>
      </c>
      <c r="AE109" s="1703" t="str">
        <f>IFERROR(VLOOKUP(A109,salesInv!$D$8:$I$494,3,FALSE),"-")</f>
        <v>-</v>
      </c>
      <c r="AF109" s="1703" t="str">
        <f>IFERROR(VLOOKUP(A109,salesInv!$D$8:$I$494,4,FALSE),"-")</f>
        <v>-</v>
      </c>
      <c r="AG109" s="1703" t="str">
        <f>IFERROR(VLOOKUP(A109,salesInv!$D$8:$I$494,6,FALSE),"-")</f>
        <v>-</v>
      </c>
      <c r="AH109" s="1703">
        <f>COUNTIF(salesInv!$D$8:$D$494,ProH!A109)</f>
        <v>0</v>
      </c>
      <c r="AI109" s="1704"/>
      <c r="AJ109" s="1704"/>
      <c r="AK109" s="1704"/>
    </row>
    <row r="110" spans="1:37">
      <c r="A110" s="1401"/>
      <c r="B110" s="1402"/>
      <c r="C110" s="1403"/>
      <c r="D110" s="1404"/>
      <c r="E110" s="1404"/>
      <c r="F110" s="1404"/>
      <c r="G110" s="1404"/>
      <c r="H110" s="1406"/>
      <c r="I110" s="1407"/>
      <c r="J110" s="1408"/>
      <c r="K110" s="1408"/>
      <c r="L110" s="1393"/>
      <c r="M110" s="1393"/>
      <c r="N110" s="1394"/>
      <c r="O110" s="1394"/>
      <c r="P110" s="1394"/>
      <c r="Q110" s="1396"/>
      <c r="R110" s="1396"/>
      <c r="S110" s="1396"/>
      <c r="T110" s="1396"/>
      <c r="U110" s="1396"/>
      <c r="V110" s="1396"/>
      <c r="W110" s="1396"/>
      <c r="X110" s="1396"/>
      <c r="Y110" s="1396"/>
      <c r="Z110" s="1396"/>
      <c r="AA110" s="1396"/>
      <c r="AB110" s="1396"/>
      <c r="AC110" s="1701" t="str">
        <f>IFERROR(VLOOKUP(A110,salesInv!$D$8:$AM$494,35,FALSE),"-")</f>
        <v>-</v>
      </c>
      <c r="AD110" s="1702" t="str">
        <f>IFERROR(VLOOKUP(A110,salesInv!$D$8:$AM$494,36,FALSE),"-")</f>
        <v>-</v>
      </c>
      <c r="AE110" s="1703" t="str">
        <f>IFERROR(VLOOKUP(A110,salesInv!$D$8:$I$494,3,FALSE),"-")</f>
        <v>-</v>
      </c>
      <c r="AF110" s="1703" t="str">
        <f>IFERROR(VLOOKUP(A110,salesInv!$D$8:$I$494,4,FALSE),"-")</f>
        <v>-</v>
      </c>
      <c r="AG110" s="1703" t="str">
        <f>IFERROR(VLOOKUP(A110,salesInv!$D$8:$I$494,6,FALSE),"-")</f>
        <v>-</v>
      </c>
      <c r="AH110" s="1703">
        <f>COUNTIF(salesInv!$D$8:$D$494,ProH!A110)</f>
        <v>0</v>
      </c>
      <c r="AI110" s="1704"/>
      <c r="AJ110" s="1704"/>
      <c r="AK110" s="1704"/>
    </row>
    <row r="111" spans="1:37">
      <c r="A111" s="1401"/>
      <c r="B111" s="1402"/>
      <c r="C111" s="1403"/>
      <c r="D111" s="1404"/>
      <c r="E111" s="1404"/>
      <c r="F111" s="1404"/>
      <c r="G111" s="1404"/>
      <c r="H111" s="1406"/>
      <c r="I111" s="1407"/>
      <c r="J111" s="1408"/>
      <c r="K111" s="1408"/>
      <c r="L111" s="1393"/>
      <c r="M111" s="1393"/>
      <c r="N111" s="1394"/>
      <c r="O111" s="1394"/>
      <c r="P111" s="1394"/>
      <c r="Q111" s="1396"/>
      <c r="R111" s="1396"/>
      <c r="S111" s="1396"/>
      <c r="T111" s="1396"/>
      <c r="U111" s="1396"/>
      <c r="V111" s="1396"/>
      <c r="W111" s="1396"/>
      <c r="X111" s="1396"/>
      <c r="Y111" s="1396"/>
      <c r="Z111" s="1396"/>
      <c r="AA111" s="1396"/>
      <c r="AB111" s="1396"/>
      <c r="AC111" s="1701" t="str">
        <f>IFERROR(VLOOKUP(A111,salesInv!$D$8:$AM$494,35,FALSE),"-")</f>
        <v>-</v>
      </c>
      <c r="AD111" s="1702" t="str">
        <f>IFERROR(VLOOKUP(A111,salesInv!$D$8:$AM$494,36,FALSE),"-")</f>
        <v>-</v>
      </c>
      <c r="AE111" s="1703" t="str">
        <f>IFERROR(VLOOKUP(A111,salesInv!$D$8:$I$494,3,FALSE),"-")</f>
        <v>-</v>
      </c>
      <c r="AF111" s="1703" t="str">
        <f>IFERROR(VLOOKUP(A111,salesInv!$D$8:$I$494,4,FALSE),"-")</f>
        <v>-</v>
      </c>
      <c r="AG111" s="1703" t="str">
        <f>IFERROR(VLOOKUP(A111,salesInv!$D$8:$I$494,6,FALSE),"-")</f>
        <v>-</v>
      </c>
      <c r="AH111" s="1703">
        <f>COUNTIF(salesInv!$D$8:$D$494,ProH!A111)</f>
        <v>0</v>
      </c>
      <c r="AI111" s="1704"/>
      <c r="AJ111" s="1704"/>
      <c r="AK111" s="1704"/>
    </row>
    <row r="112" spans="1:37">
      <c r="A112" s="1401"/>
      <c r="B112" s="1402"/>
      <c r="C112" s="1403"/>
      <c r="D112" s="1404"/>
      <c r="E112" s="1404"/>
      <c r="F112" s="1404"/>
      <c r="G112" s="1404"/>
      <c r="H112" s="1406"/>
      <c r="I112" s="1407"/>
      <c r="J112" s="1408"/>
      <c r="K112" s="1408"/>
      <c r="L112" s="1393"/>
      <c r="M112" s="1393"/>
      <c r="N112" s="1394"/>
      <c r="O112" s="1394"/>
      <c r="P112" s="1394"/>
      <c r="Q112" s="1396"/>
      <c r="R112" s="1396"/>
      <c r="S112" s="1396"/>
      <c r="T112" s="1396"/>
      <c r="U112" s="1396"/>
      <c r="V112" s="1396"/>
      <c r="W112" s="1396"/>
      <c r="X112" s="1396"/>
      <c r="Y112" s="1396"/>
      <c r="Z112" s="1396"/>
      <c r="AA112" s="1396"/>
      <c r="AB112" s="1396"/>
      <c r="AC112" s="1701" t="str">
        <f>IFERROR(VLOOKUP(A112,salesInv!$D$8:$AM$494,35,FALSE),"-")</f>
        <v>-</v>
      </c>
      <c r="AD112" s="1702" t="str">
        <f>IFERROR(VLOOKUP(A112,salesInv!$D$8:$AM$494,36,FALSE),"-")</f>
        <v>-</v>
      </c>
      <c r="AE112" s="1703" t="str">
        <f>IFERROR(VLOOKUP(A112,salesInv!$D$8:$I$494,3,FALSE),"-")</f>
        <v>-</v>
      </c>
      <c r="AF112" s="1703" t="str">
        <f>IFERROR(VLOOKUP(A112,salesInv!$D$8:$I$494,4,FALSE),"-")</f>
        <v>-</v>
      </c>
      <c r="AG112" s="1703" t="str">
        <f>IFERROR(VLOOKUP(A112,salesInv!$D$8:$I$494,6,FALSE),"-")</f>
        <v>-</v>
      </c>
      <c r="AH112" s="1703"/>
      <c r="AI112" s="1704"/>
      <c r="AJ112" s="1704"/>
      <c r="AK112" s="1704"/>
    </row>
    <row r="113" spans="1:37">
      <c r="A113" s="1401"/>
      <c r="B113" s="1402"/>
      <c r="C113" s="1403"/>
      <c r="D113" s="1404"/>
      <c r="E113" s="1404"/>
      <c r="F113" s="1404"/>
      <c r="G113" s="1404"/>
      <c r="H113" s="1406"/>
      <c r="I113" s="1407"/>
      <c r="J113" s="1408"/>
      <c r="K113" s="1408"/>
      <c r="L113" s="1393"/>
      <c r="M113" s="1393"/>
      <c r="N113" s="1394"/>
      <c r="O113" s="1394"/>
      <c r="P113" s="1394"/>
      <c r="Q113" s="1396"/>
      <c r="R113" s="1396"/>
      <c r="S113" s="1396"/>
      <c r="T113" s="1396"/>
      <c r="U113" s="1396"/>
      <c r="V113" s="1396"/>
      <c r="W113" s="1396"/>
      <c r="X113" s="1396"/>
      <c r="Y113" s="1396"/>
      <c r="Z113" s="1396"/>
      <c r="AA113" s="1396"/>
      <c r="AB113" s="1396"/>
      <c r="AC113" s="1701" t="str">
        <f>IFERROR(VLOOKUP(A113,salesInv!$D$8:$AM$494,35,FALSE),"-")</f>
        <v>-</v>
      </c>
      <c r="AD113" s="1702" t="str">
        <f>IFERROR(VLOOKUP(A113,salesInv!$D$8:$AM$494,36,FALSE),"-")</f>
        <v>-</v>
      </c>
      <c r="AE113" s="1703" t="str">
        <f>IFERROR(VLOOKUP(A113,salesInv!$D$8:$I$494,3,FALSE),"-")</f>
        <v>-</v>
      </c>
      <c r="AF113" s="1703" t="str">
        <f>IFERROR(VLOOKUP(A113,salesInv!$D$8:$I$494,4,FALSE),"-")</f>
        <v>-</v>
      </c>
      <c r="AG113" s="1703" t="str">
        <f>IFERROR(VLOOKUP(A113,salesInv!$D$8:$I$494,6,FALSE),"-")</f>
        <v>-</v>
      </c>
      <c r="AH113" s="1703"/>
      <c r="AI113" s="1704"/>
      <c r="AJ113" s="1704"/>
      <c r="AK113" s="1704"/>
    </row>
    <row r="114" spans="1:37">
      <c r="A114" s="1401"/>
      <c r="B114" s="1402"/>
      <c r="C114" s="1403"/>
      <c r="D114" s="1404"/>
      <c r="E114" s="1404"/>
      <c r="F114" s="1404"/>
      <c r="G114" s="1404"/>
      <c r="H114" s="1406"/>
      <c r="I114" s="1407"/>
      <c r="J114" s="1408"/>
      <c r="K114" s="1408"/>
      <c r="L114" s="1393"/>
      <c r="M114" s="1393"/>
      <c r="N114" s="1394"/>
      <c r="O114" s="1394"/>
      <c r="P114" s="1394"/>
      <c r="Q114" s="1396"/>
      <c r="R114" s="1396"/>
      <c r="S114" s="1396"/>
      <c r="T114" s="1396"/>
      <c r="U114" s="1396"/>
      <c r="V114" s="1396"/>
      <c r="W114" s="1396"/>
      <c r="X114" s="1396"/>
      <c r="Y114" s="1396"/>
      <c r="Z114" s="1396"/>
      <c r="AA114" s="1396"/>
      <c r="AB114" s="1396"/>
      <c r="AC114" s="1701" t="str">
        <f>IFERROR(VLOOKUP(A114,salesInv!$D$8:$AM$494,35,FALSE),"-")</f>
        <v>-</v>
      </c>
      <c r="AD114" s="1702" t="str">
        <f>IFERROR(VLOOKUP(A114,salesInv!$D$8:$AM$494,36,FALSE),"-")</f>
        <v>-</v>
      </c>
      <c r="AE114" s="1703" t="str">
        <f>IFERROR(VLOOKUP(A114,salesInv!$D$8:$I$494,3,FALSE),"-")</f>
        <v>-</v>
      </c>
      <c r="AF114" s="1703" t="str">
        <f>IFERROR(VLOOKUP(A114,salesInv!$D$8:$I$494,4,FALSE),"-")</f>
        <v>-</v>
      </c>
      <c r="AG114" s="1703" t="str">
        <f>IFERROR(VLOOKUP(A114,salesInv!$D$8:$I$494,6,FALSE),"-")</f>
        <v>-</v>
      </c>
      <c r="AH114" s="1703"/>
      <c r="AI114" s="1704"/>
      <c r="AJ114" s="1704"/>
      <c r="AK114" s="1704"/>
    </row>
    <row r="115" spans="1:37">
      <c r="A115" s="1401"/>
      <c r="B115" s="1402"/>
      <c r="C115" s="1403"/>
      <c r="D115" s="1404"/>
      <c r="E115" s="1404"/>
      <c r="F115" s="1404"/>
      <c r="G115" s="1404"/>
      <c r="H115" s="1406"/>
      <c r="I115" s="1407"/>
      <c r="J115" s="1408"/>
      <c r="K115" s="1408"/>
      <c r="L115" s="1393"/>
      <c r="M115" s="1393"/>
      <c r="N115" s="1394"/>
      <c r="O115" s="1394"/>
      <c r="P115" s="1394"/>
      <c r="Q115" s="1396"/>
      <c r="R115" s="1396"/>
      <c r="S115" s="1396"/>
      <c r="T115" s="1396"/>
      <c r="U115" s="1396"/>
      <c r="V115" s="1396"/>
      <c r="W115" s="1396"/>
      <c r="X115" s="1396"/>
      <c r="Y115" s="1396"/>
      <c r="Z115" s="1396"/>
      <c r="AA115" s="1396"/>
      <c r="AB115" s="1396"/>
      <c r="AC115" s="1701" t="str">
        <f>IFERROR(VLOOKUP(A115,salesInv!$D$8:$AM$494,35,FALSE),"-")</f>
        <v>-</v>
      </c>
      <c r="AD115" s="1702" t="str">
        <f>IFERROR(VLOOKUP(A115,salesInv!$D$8:$AM$494,36,FALSE),"-")</f>
        <v>-</v>
      </c>
      <c r="AE115" s="1703" t="str">
        <f>IFERROR(VLOOKUP(A115,salesInv!$D$8:$I$494,3,FALSE),"-")</f>
        <v>-</v>
      </c>
      <c r="AF115" s="1703" t="str">
        <f>IFERROR(VLOOKUP(A115,salesInv!$D$8:$I$494,4,FALSE),"-")</f>
        <v>-</v>
      </c>
      <c r="AG115" s="1703" t="str">
        <f>IFERROR(VLOOKUP(A115,salesInv!$D$8:$I$494,6,FALSE),"-")</f>
        <v>-</v>
      </c>
      <c r="AH115" s="1703"/>
      <c r="AI115" s="1704"/>
      <c r="AJ115" s="1704"/>
      <c r="AK115" s="1704"/>
    </row>
  </sheetData>
  <conditionalFormatting sqref="A11 A13:A36">
    <cfRule type="duplicateValues" dxfId="95" priority="24"/>
  </conditionalFormatting>
  <conditionalFormatting sqref="A37:A46 A48:A51 A53:A57 A59:A63">
    <cfRule type="duplicateValues" dxfId="94" priority="23"/>
  </conditionalFormatting>
  <conditionalFormatting sqref="A64:A70">
    <cfRule type="duplicateValues" dxfId="93" priority="22"/>
  </conditionalFormatting>
  <conditionalFormatting sqref="A10">
    <cfRule type="duplicateValues" dxfId="92" priority="21"/>
  </conditionalFormatting>
  <conditionalFormatting sqref="A12">
    <cfRule type="duplicateValues" dxfId="91" priority="20"/>
  </conditionalFormatting>
  <conditionalFormatting sqref="A77:A79 A81:A82">
    <cfRule type="duplicateValues" dxfId="90" priority="18"/>
  </conditionalFormatting>
  <conditionalFormatting sqref="A80">
    <cfRule type="duplicateValues" dxfId="89" priority="17"/>
  </conditionalFormatting>
  <conditionalFormatting sqref="A47">
    <cfRule type="duplicateValues" dxfId="88" priority="16"/>
  </conditionalFormatting>
  <conditionalFormatting sqref="A52">
    <cfRule type="duplicateValues" dxfId="87" priority="15"/>
  </conditionalFormatting>
  <conditionalFormatting sqref="A58">
    <cfRule type="duplicateValues" dxfId="86" priority="14"/>
  </conditionalFormatting>
  <conditionalFormatting sqref="A71">
    <cfRule type="duplicateValues" dxfId="85" priority="13"/>
  </conditionalFormatting>
  <conditionalFormatting sqref="A84">
    <cfRule type="duplicateValues" dxfId="84" priority="9"/>
  </conditionalFormatting>
  <conditionalFormatting sqref="A88">
    <cfRule type="duplicateValues" dxfId="83" priority="8"/>
  </conditionalFormatting>
  <conditionalFormatting sqref="A89">
    <cfRule type="duplicateValues" dxfId="82" priority="7"/>
  </conditionalFormatting>
  <conditionalFormatting sqref="A90">
    <cfRule type="duplicateValues" dxfId="81" priority="5"/>
  </conditionalFormatting>
  <conditionalFormatting sqref="A91">
    <cfRule type="duplicateValues" dxfId="80" priority="3"/>
  </conditionalFormatting>
  <conditionalFormatting sqref="A92">
    <cfRule type="duplicateValues" dxfId="79" priority="1"/>
  </conditionalFormatting>
  <conditionalFormatting sqref="A83 A85:A87 A93:A115">
    <cfRule type="duplicateValues" dxfId="78" priority="72"/>
  </conditionalFormatting>
  <pageMargins left="0.16" right="0.11" top="0.18" bottom="0.16" header="0.3" footer="0.3"/>
  <pageSetup paperSize="9" scale="32" orientation="portrait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425985" r:id="rId4" name="CommandButton1">
          <controlPr defaultSize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457200</xdr:colOff>
                <xdr:row>1</xdr:row>
                <xdr:rowOff>57150</xdr:rowOff>
              </to>
            </anchor>
          </controlPr>
        </control>
      </mc:Choice>
      <mc:Fallback>
        <control shapeId="42598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1EAFF-1784-4306-9D1A-C9EE5D581D19}">
  <sheetPr codeName="Sheet32">
    <tabColor theme="0" tint="-0.499984740745262"/>
  </sheetPr>
  <dimension ref="A1:BA117"/>
  <sheetViews>
    <sheetView zoomScale="85" zoomScaleNormal="85" zoomScaleSheetLayoutView="25" workbookViewId="0">
      <pane ySplit="8" topLeftCell="A69" activePane="bottomLeft" state="frozen"/>
      <selection activeCell="E30" sqref="E30"/>
      <selection pane="bottomLeft" activeCell="L92" sqref="L92"/>
    </sheetView>
  </sheetViews>
  <sheetFormatPr defaultRowHeight="15"/>
  <cols>
    <col min="1" max="1" width="6.140625" customWidth="1"/>
    <col min="2" max="2" width="3.5703125" bestFit="1" customWidth="1"/>
    <col min="3" max="3" width="5" customWidth="1"/>
    <col min="4" max="4" width="41.140625" customWidth="1"/>
    <col min="5" max="5" width="49" bestFit="1" customWidth="1"/>
    <col min="6" max="6" width="7.42578125" customWidth="1"/>
    <col min="7" max="7" width="28.140625" bestFit="1" customWidth="1"/>
    <col min="8" max="9" width="7.42578125" customWidth="1"/>
    <col min="10" max="10" width="11.7109375" customWidth="1"/>
    <col min="11" max="11" width="12.140625" customWidth="1"/>
    <col min="12" max="13" width="7.42578125" customWidth="1"/>
    <col min="14" max="15" width="10.5703125" customWidth="1"/>
    <col min="16" max="22" width="10.140625" customWidth="1"/>
    <col min="23" max="25" width="6.85546875" customWidth="1"/>
    <col min="26" max="27" width="7.7109375" customWidth="1"/>
    <col min="28" max="29" width="7.5703125" customWidth="1"/>
    <col min="30" max="30" width="8.140625" customWidth="1"/>
    <col min="31" max="31" width="10.42578125" customWidth="1"/>
    <col min="32" max="32" width="8.85546875" customWidth="1"/>
    <col min="35" max="36" width="10.85546875" customWidth="1"/>
    <col min="40" max="52" width="8.7109375" customWidth="1"/>
    <col min="53" max="53" width="10.85546875" bestFit="1" customWidth="1"/>
  </cols>
  <sheetData>
    <row r="1" spans="1:52" ht="25.5" customHeight="1">
      <c r="A1" s="1347" t="s">
        <v>1453</v>
      </c>
      <c r="B1" s="1347"/>
      <c r="C1" s="1342"/>
      <c r="D1" s="1342"/>
      <c r="E1" s="1342"/>
      <c r="F1" s="1342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52"/>
      <c r="W1" s="452"/>
      <c r="X1" s="452"/>
      <c r="Y1" s="452"/>
      <c r="Z1" s="452"/>
      <c r="AA1" s="452"/>
      <c r="AB1" s="452"/>
      <c r="AC1" s="452"/>
      <c r="AD1" s="452"/>
      <c r="AE1" s="452" t="s">
        <v>1454</v>
      </c>
      <c r="AF1" s="452"/>
      <c r="AG1" s="452"/>
      <c r="AH1" s="452"/>
      <c r="AI1" s="452"/>
      <c r="AJ1" s="452"/>
      <c r="AK1" s="452"/>
      <c r="AL1" s="452"/>
      <c r="AM1" s="452"/>
      <c r="AN1" s="452"/>
      <c r="AO1" s="452"/>
      <c r="AP1" s="452"/>
      <c r="AQ1" s="452"/>
      <c r="AR1" s="452"/>
      <c r="AS1" s="452"/>
      <c r="AT1" s="452"/>
      <c r="AU1" s="452"/>
      <c r="AV1" s="452"/>
      <c r="AW1" s="452"/>
      <c r="AX1" s="452"/>
      <c r="AY1" s="452"/>
      <c r="AZ1" s="452"/>
    </row>
    <row r="2" spans="1:52" ht="17.25" customHeight="1">
      <c r="A2" s="1687"/>
      <c r="B2" s="1687"/>
      <c r="C2" s="1687" t="s">
        <v>0</v>
      </c>
      <c r="D2" s="1687" t="s">
        <v>5958</v>
      </c>
      <c r="E2" s="1687" t="s">
        <v>5957</v>
      </c>
      <c r="F2" s="1687" t="s">
        <v>5959</v>
      </c>
      <c r="G2" s="1687" t="s">
        <v>27</v>
      </c>
      <c r="H2" s="1687" t="s">
        <v>344</v>
      </c>
      <c r="I2" s="1687" t="s">
        <v>345</v>
      </c>
      <c r="J2" s="1687" t="s">
        <v>5960</v>
      </c>
      <c r="K2" s="1687" t="s">
        <v>5961</v>
      </c>
      <c r="L2" s="1687" t="s">
        <v>5984</v>
      </c>
      <c r="M2" s="1687" t="s">
        <v>221</v>
      </c>
      <c r="N2" s="1687"/>
      <c r="O2" s="1687"/>
      <c r="P2" s="1687" t="s">
        <v>5962</v>
      </c>
      <c r="Q2" s="1687"/>
      <c r="R2" s="1687"/>
      <c r="S2" s="1687"/>
      <c r="T2" s="1687"/>
      <c r="U2" s="1687"/>
      <c r="V2" s="1687" t="s">
        <v>5963</v>
      </c>
      <c r="W2" s="1687" t="s">
        <v>5964</v>
      </c>
      <c r="X2" s="1687" t="s">
        <v>5965</v>
      </c>
      <c r="Y2" s="1687" t="s">
        <v>5966</v>
      </c>
      <c r="Z2" s="1687" t="s">
        <v>1326</v>
      </c>
      <c r="AA2" s="1687"/>
      <c r="AB2" s="1687"/>
      <c r="AC2" s="1687"/>
      <c r="AD2" s="1687"/>
      <c r="AE2" s="1687"/>
      <c r="AF2" s="1687"/>
      <c r="AG2" s="1687"/>
      <c r="AH2" s="1687"/>
      <c r="AI2" s="1687" t="s">
        <v>5967</v>
      </c>
      <c r="AJ2" s="1687" t="s">
        <v>5968</v>
      </c>
      <c r="AK2" s="1687" t="s">
        <v>5969</v>
      </c>
      <c r="AL2" s="1687"/>
      <c r="AM2" s="1687" t="s">
        <v>5970</v>
      </c>
      <c r="AN2" s="1687" t="s">
        <v>5971</v>
      </c>
      <c r="AO2" s="1687" t="s">
        <v>5972</v>
      </c>
      <c r="AP2" s="1687" t="s">
        <v>5973</v>
      </c>
      <c r="AQ2" s="1687" t="s">
        <v>5974</v>
      </c>
      <c r="AR2" s="1687" t="s">
        <v>5975</v>
      </c>
      <c r="AS2" s="1687" t="s">
        <v>5976</v>
      </c>
      <c r="AT2" s="1687" t="s">
        <v>5977</v>
      </c>
      <c r="AU2" s="1687" t="s">
        <v>5978</v>
      </c>
      <c r="AV2" s="1687" t="s">
        <v>5979</v>
      </c>
      <c r="AW2" s="1687" t="s">
        <v>5980</v>
      </c>
      <c r="AX2" s="1687" t="s">
        <v>5981</v>
      </c>
      <c r="AY2" s="1687" t="s">
        <v>5982</v>
      </c>
      <c r="AZ2" s="1687" t="s">
        <v>5983</v>
      </c>
    </row>
    <row r="3" spans="1:52" ht="19.5" customHeight="1">
      <c r="A3" s="1688"/>
      <c r="B3" s="1688"/>
      <c r="C3" s="1688"/>
      <c r="D3" s="1688"/>
      <c r="E3" s="1688"/>
      <c r="F3" s="1688"/>
      <c r="G3" s="1688"/>
      <c r="H3" s="1688"/>
      <c r="I3" s="1688"/>
      <c r="J3" s="1688"/>
      <c r="K3" s="1688"/>
      <c r="L3" s="1688"/>
      <c r="M3" s="1688"/>
      <c r="N3" s="1688"/>
      <c r="O3" s="1688"/>
      <c r="P3" s="1688"/>
      <c r="Q3" s="1688"/>
      <c r="R3" s="1688"/>
      <c r="S3" s="1688"/>
      <c r="T3" s="1688"/>
      <c r="U3" s="1688"/>
      <c r="V3" s="1688"/>
      <c r="W3" s="1688"/>
      <c r="X3" s="1688"/>
      <c r="Y3" s="1688"/>
      <c r="Z3" s="1688"/>
      <c r="AA3" s="1688"/>
      <c r="AB3" s="1688"/>
      <c r="AC3" s="1688"/>
      <c r="AD3" s="1688"/>
      <c r="AE3" s="1688"/>
      <c r="AF3" s="1688"/>
      <c r="AG3" s="1688"/>
      <c r="AH3" s="1688"/>
      <c r="AI3" s="1688"/>
      <c r="AJ3" s="1688"/>
      <c r="AK3" s="1688"/>
      <c r="AL3" s="1688"/>
      <c r="AM3" s="1688"/>
      <c r="AN3" s="1688"/>
      <c r="AO3" s="1688"/>
      <c r="AP3" s="1688"/>
      <c r="AQ3" s="1688"/>
      <c r="AR3" s="1688"/>
      <c r="AS3" s="1688"/>
      <c r="AT3" s="1688"/>
      <c r="AU3" s="1688"/>
      <c r="AV3" s="1688"/>
      <c r="AW3" s="1688"/>
      <c r="AX3" s="1688"/>
      <c r="AY3" s="1688"/>
      <c r="AZ3" s="1688"/>
    </row>
    <row r="4" spans="1:52" ht="19.5" customHeight="1">
      <c r="A4" s="1688"/>
      <c r="B4" s="1688"/>
      <c r="C4" s="1688"/>
      <c r="D4" s="1688"/>
      <c r="E4" s="1688"/>
      <c r="F4" s="1688"/>
      <c r="G4" s="1688"/>
      <c r="H4" s="1688"/>
      <c r="I4" s="1688"/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</row>
    <row r="5" spans="1:52" ht="19.5" customHeight="1">
      <c r="A5" s="1688"/>
      <c r="B5" s="1688"/>
      <c r="C5" s="1688"/>
      <c r="D5" s="1688"/>
      <c r="E5" s="1688"/>
      <c r="F5" s="1688"/>
      <c r="G5" s="1688"/>
      <c r="H5" s="1688"/>
      <c r="I5" s="1688"/>
      <c r="J5" s="1688"/>
      <c r="K5" s="1688"/>
      <c r="L5" s="1688"/>
      <c r="M5" s="1688"/>
      <c r="N5" s="1688"/>
      <c r="O5" s="1688"/>
      <c r="P5" s="1688"/>
      <c r="Q5" s="1688"/>
      <c r="R5" s="1688"/>
      <c r="S5" s="1688"/>
      <c r="T5" s="1688"/>
      <c r="U5" s="1688"/>
      <c r="V5" s="1688"/>
      <c r="W5" s="1688"/>
      <c r="X5" s="1688"/>
      <c r="Y5" s="1688"/>
      <c r="Z5" s="1688"/>
      <c r="AA5" s="1688"/>
      <c r="AB5" s="1688"/>
      <c r="AC5" s="1688"/>
      <c r="AD5" s="1688"/>
      <c r="AE5" s="1688"/>
      <c r="AF5" s="1688"/>
      <c r="AG5" s="1688"/>
      <c r="AH5" s="1688"/>
      <c r="AI5" s="1688"/>
      <c r="AJ5" s="1688"/>
      <c r="AK5" s="1688"/>
      <c r="AL5" s="1688"/>
      <c r="AM5" s="1688"/>
      <c r="AN5" s="1688"/>
      <c r="AO5" s="1688"/>
      <c r="AP5" s="1688"/>
      <c r="AQ5" s="1688"/>
      <c r="AR5" s="1688"/>
      <c r="AS5" s="1688"/>
      <c r="AT5" s="1688"/>
      <c r="AU5" s="1688"/>
      <c r="AV5" s="1688"/>
      <c r="AW5" s="1688"/>
      <c r="AX5" s="1688"/>
      <c r="AY5" s="1688"/>
      <c r="AZ5" s="1688"/>
    </row>
    <row r="6" spans="1:52" ht="19.5" customHeight="1">
      <c r="A6" s="1688"/>
      <c r="B6" s="1688"/>
      <c r="C6" s="1688"/>
      <c r="D6" s="1688"/>
      <c r="E6" s="1688"/>
      <c r="F6" s="1688"/>
      <c r="G6" s="1688"/>
      <c r="H6" s="1688"/>
      <c r="I6" s="1688"/>
      <c r="J6" s="1688"/>
      <c r="K6" s="1688"/>
      <c r="L6" s="1688"/>
      <c r="M6" s="1688"/>
      <c r="N6" s="1688"/>
      <c r="O6" s="1688"/>
      <c r="P6" s="1688"/>
      <c r="Q6" s="1688"/>
      <c r="R6" s="1688"/>
      <c r="S6" s="1688"/>
      <c r="T6" s="1688"/>
      <c r="U6" s="1688"/>
      <c r="V6" s="1688"/>
      <c r="W6" s="1688"/>
      <c r="X6" s="1688"/>
      <c r="Y6" s="1688"/>
      <c r="Z6" s="1688"/>
      <c r="AA6" s="1688"/>
      <c r="AB6" s="1688"/>
      <c r="AC6" s="1688"/>
      <c r="AD6" s="1688"/>
      <c r="AE6" s="1688"/>
      <c r="AF6" s="1688"/>
      <c r="AG6" s="1688"/>
      <c r="AH6" s="1688"/>
      <c r="AI6" s="1688"/>
      <c r="AJ6" s="1688"/>
      <c r="AK6" s="1688"/>
      <c r="AL6" s="1688"/>
      <c r="AM6" s="1688"/>
      <c r="AN6" s="1688"/>
      <c r="AO6" s="1688"/>
      <c r="AP6" s="1688"/>
      <c r="AQ6" s="1688"/>
      <c r="AR6" s="1688"/>
      <c r="AS6" s="1688"/>
      <c r="AT6" s="1688"/>
      <c r="AU6" s="1688"/>
      <c r="AV6" s="1688"/>
      <c r="AW6" s="1688"/>
      <c r="AX6" s="1688"/>
      <c r="AY6" s="1688"/>
      <c r="AZ6" s="1688"/>
    </row>
    <row r="7" spans="1:52" ht="19.5" customHeight="1" thickBot="1">
      <c r="A7" s="1688"/>
      <c r="B7" s="1688"/>
      <c r="C7" s="1688"/>
      <c r="D7" s="1688"/>
      <c r="E7" s="1688"/>
      <c r="F7" s="1688"/>
      <c r="G7" s="1688"/>
      <c r="H7" s="1688"/>
      <c r="I7" s="1688"/>
      <c r="J7" s="1688"/>
      <c r="K7" s="1688"/>
      <c r="L7" s="1688"/>
      <c r="M7" s="1688"/>
      <c r="N7" s="1688"/>
      <c r="O7" s="1688"/>
      <c r="P7" s="1688"/>
      <c r="Q7" s="1688"/>
      <c r="R7" s="1688"/>
      <c r="S7" s="1688"/>
      <c r="T7" s="1688"/>
      <c r="U7" s="1688"/>
      <c r="V7" s="1688"/>
      <c r="W7" s="1688"/>
      <c r="X7" s="1688"/>
      <c r="Y7" s="1688"/>
      <c r="Z7" s="1688"/>
      <c r="AA7" s="1688"/>
      <c r="AB7" s="1688"/>
      <c r="AC7" s="1688"/>
      <c r="AD7" s="1688"/>
      <c r="AE7" s="1688"/>
      <c r="AF7" s="1688"/>
      <c r="AG7" s="1688"/>
      <c r="AH7" s="1688"/>
      <c r="AI7" s="1688"/>
      <c r="AJ7" s="1688"/>
      <c r="AK7" s="1688"/>
      <c r="AL7" s="1688"/>
      <c r="AM7" s="1688"/>
      <c r="AN7" s="1688"/>
      <c r="AO7" s="1688"/>
      <c r="AP7" s="1688"/>
      <c r="AQ7" s="1688"/>
      <c r="AR7" s="1688"/>
      <c r="AS7" s="1688"/>
      <c r="AT7" s="1688"/>
      <c r="AU7" s="1688"/>
      <c r="AV7" s="1688"/>
      <c r="AW7" s="1688"/>
      <c r="AX7" s="1688"/>
      <c r="AY7" s="1688"/>
      <c r="AZ7" s="1688"/>
    </row>
    <row r="8" spans="1:52" ht="42" customHeight="1" thickTop="1" thickBot="1">
      <c r="A8" s="1633"/>
      <c r="B8" s="1634"/>
      <c r="C8" s="1423"/>
      <c r="D8" s="1423" t="s">
        <v>315</v>
      </c>
      <c r="E8" s="1423" t="s">
        <v>315</v>
      </c>
      <c r="F8" s="1421" t="s">
        <v>5152</v>
      </c>
      <c r="G8" s="1421" t="s">
        <v>27</v>
      </c>
      <c r="H8" s="1421" t="s">
        <v>344</v>
      </c>
      <c r="I8" s="1421" t="s">
        <v>345</v>
      </c>
      <c r="J8" s="1421" t="s">
        <v>363</v>
      </c>
      <c r="K8" s="1421" t="s">
        <v>364</v>
      </c>
      <c r="L8" s="1421" t="s">
        <v>222</v>
      </c>
      <c r="M8" s="1421" t="s">
        <v>221</v>
      </c>
      <c r="N8" s="1632" t="s">
        <v>5654</v>
      </c>
      <c r="O8" s="1422" t="s">
        <v>347</v>
      </c>
      <c r="P8" s="1424" t="s">
        <v>348</v>
      </c>
      <c r="Q8" s="1424" t="s">
        <v>349</v>
      </c>
      <c r="R8" s="1424" t="s">
        <v>350</v>
      </c>
      <c r="S8" s="1424" t="s">
        <v>348</v>
      </c>
      <c r="T8" s="1424" t="s">
        <v>349</v>
      </c>
      <c r="U8" s="1424" t="s">
        <v>350</v>
      </c>
      <c r="V8" s="1424" t="s">
        <v>351</v>
      </c>
      <c r="W8" s="1424" t="s">
        <v>223</v>
      </c>
      <c r="X8" s="1425" t="s">
        <v>856</v>
      </c>
      <c r="Y8" s="1425" t="s">
        <v>1328</v>
      </c>
      <c r="Z8" s="1425" t="s">
        <v>1329</v>
      </c>
      <c r="AA8" s="1424"/>
      <c r="AB8" s="1424"/>
      <c r="AC8" s="1424"/>
      <c r="AD8" s="1424" t="s">
        <v>222</v>
      </c>
      <c r="AE8" s="1424" t="s">
        <v>346</v>
      </c>
      <c r="AF8" s="1424" t="s">
        <v>347</v>
      </c>
      <c r="AG8" s="1424" t="s">
        <v>1451</v>
      </c>
      <c r="AH8" s="1424" t="s">
        <v>1452</v>
      </c>
      <c r="AI8" s="1424" t="s">
        <v>1504</v>
      </c>
      <c r="AJ8" s="1424" t="s">
        <v>1505</v>
      </c>
      <c r="AK8" s="1424" t="s">
        <v>1509</v>
      </c>
      <c r="AL8" s="1424" t="s">
        <v>1510</v>
      </c>
      <c r="AM8" s="1424" t="s">
        <v>1511</v>
      </c>
      <c r="AN8" s="1424" t="s">
        <v>1513</v>
      </c>
      <c r="AO8" s="1424" t="s">
        <v>5949</v>
      </c>
      <c r="AP8" s="1424" t="s">
        <v>5950</v>
      </c>
      <c r="AQ8" s="1424" t="s">
        <v>5951</v>
      </c>
      <c r="AR8" s="1424" t="s">
        <v>5952</v>
      </c>
      <c r="AS8" s="1424" t="s">
        <v>5953</v>
      </c>
      <c r="AT8" s="1424" t="s">
        <v>5954</v>
      </c>
      <c r="AU8" s="1424" t="s">
        <v>5955</v>
      </c>
      <c r="AV8" s="1424" t="s">
        <v>5956</v>
      </c>
      <c r="AW8" s="1424" t="s">
        <v>5955</v>
      </c>
      <c r="AX8" s="1424" t="s">
        <v>5956</v>
      </c>
      <c r="AY8" s="1424" t="s">
        <v>5955</v>
      </c>
      <c r="AZ8" s="1424" t="s">
        <v>5956</v>
      </c>
    </row>
    <row r="9" spans="1:52" ht="16.5" thickTop="1">
      <c r="A9" s="1420"/>
      <c r="B9" s="425"/>
      <c r="C9" s="1631">
        <v>142</v>
      </c>
      <c r="D9" s="1628" t="s">
        <v>289</v>
      </c>
      <c r="E9" s="1629" t="s">
        <v>749</v>
      </c>
      <c r="F9" s="1404" t="s">
        <v>750</v>
      </c>
      <c r="G9" s="1405" t="s">
        <v>751</v>
      </c>
      <c r="H9" s="1404">
        <v>5021711</v>
      </c>
      <c r="I9" s="1404"/>
      <c r="J9" s="1406" t="s">
        <v>738</v>
      </c>
      <c r="K9" s="1407" t="s">
        <v>739</v>
      </c>
      <c r="L9" s="1408">
        <v>210000</v>
      </c>
      <c r="M9" s="1408">
        <v>10867</v>
      </c>
      <c r="N9" s="1409">
        <f>SUMIFS(srpro!$F$10:$F$3010,srpro!$B$10:$B$3010,ProHeader!C9)</f>
        <v>201325</v>
      </c>
      <c r="O9" s="1409">
        <f>SUMIFS(srpro!$E$10:$E$3010,srpro!$B$10:$B$3010,ProHeader!C9)</f>
        <v>156599.74</v>
      </c>
      <c r="P9" s="1393"/>
      <c r="Q9" s="1393">
        <v>114975</v>
      </c>
      <c r="R9" s="1393">
        <v>114972.74</v>
      </c>
      <c r="S9" s="1393"/>
      <c r="T9" s="1393"/>
      <c r="U9" s="1393"/>
      <c r="V9" s="1393"/>
      <c r="W9" s="1393"/>
      <c r="X9" s="1394"/>
      <c r="Y9" s="1394"/>
      <c r="Z9" s="1394"/>
      <c r="AA9" s="1395">
        <f>IFERROR(Z9*L9,0)</f>
        <v>0</v>
      </c>
      <c r="AB9" s="1393" t="str">
        <f>D9</f>
        <v>khalaf Falasi</v>
      </c>
      <c r="AC9" s="1393">
        <f t="shared" ref="AC9:AC40" si="0">C9</f>
        <v>142</v>
      </c>
      <c r="AD9" s="1396">
        <f>L9+M9</f>
        <v>220867</v>
      </c>
      <c r="AE9" s="1396">
        <f>N9</f>
        <v>201325</v>
      </c>
      <c r="AF9" s="1396">
        <f>O9</f>
        <v>156599.74</v>
      </c>
      <c r="AG9" s="1397">
        <f>IFERROR((O9- (O9*5%))/(L9+M9),0)</f>
        <v>0.67357166530083712</v>
      </c>
      <c r="AH9" s="1397">
        <f>IFERROR((N9-(N9*5%))/(L9+M9),0)</f>
        <v>0.86594534267228696</v>
      </c>
      <c r="AI9" s="1393" t="str">
        <f>IFERROR(VLOOKUP(C9,salesInv!$D$8:$AM$494,35,FALSE),"-")</f>
        <v>-</v>
      </c>
      <c r="AJ9" s="1398" t="str">
        <f>IFERROR(VLOOKUP(C9,salesInv!$D$8:$AM$494,36,FALSE),"-")</f>
        <v>-</v>
      </c>
      <c r="AK9" s="1396" t="str">
        <f>IFERROR(VLOOKUP(C9,salesInv!$D$8:$I$494,3,FALSE),"-")</f>
        <v>-</v>
      </c>
      <c r="AL9" s="1396" t="str">
        <f>IFERROR(VLOOKUP(C9,salesInv!$D$8:$I$494,4,FALSE),"-")</f>
        <v>-</v>
      </c>
      <c r="AM9" s="1396" t="str">
        <f>IFERROR(VLOOKUP(C9,salesInv!$D$8:$I$494,6,FALSE),"-")</f>
        <v>-</v>
      </c>
      <c r="AN9" s="1396">
        <f>COUNTIF(salesInv!$D$8:$D$494,ProHeader!C9)</f>
        <v>0</v>
      </c>
      <c r="AO9" s="1396"/>
      <c r="AP9" s="1396"/>
      <c r="AQ9" s="1396"/>
      <c r="AR9" s="1396"/>
      <c r="AS9" s="1396"/>
      <c r="AT9" s="1396"/>
      <c r="AU9" s="1396"/>
      <c r="AV9" s="1396"/>
      <c r="AW9" s="1396"/>
      <c r="AX9" s="1396"/>
      <c r="AY9" s="1396"/>
      <c r="AZ9" s="1396"/>
    </row>
    <row r="10" spans="1:52" ht="15.75">
      <c r="A10" s="1420"/>
      <c r="B10" s="425"/>
      <c r="C10" s="1631">
        <v>182</v>
      </c>
      <c r="D10" s="1628" t="s">
        <v>279</v>
      </c>
      <c r="E10" s="1629" t="s">
        <v>568</v>
      </c>
      <c r="F10" s="1404" t="s">
        <v>326</v>
      </c>
      <c r="G10" s="1404" t="s">
        <v>5125</v>
      </c>
      <c r="H10" s="1404">
        <v>2812052</v>
      </c>
      <c r="I10" s="1404"/>
      <c r="J10" s="1406" t="s">
        <v>570</v>
      </c>
      <c r="K10" s="1407" t="s">
        <v>569</v>
      </c>
      <c r="L10" s="1408">
        <v>215000</v>
      </c>
      <c r="M10" s="1408"/>
      <c r="N10" s="1409">
        <f>SUMIFS(srpro!$F$10:$F$3010,srpro!$B$10:$B$3010,ProHeader!C10)</f>
        <v>21500</v>
      </c>
      <c r="O10" s="1409">
        <f>SUMIFS(srpro!$E$10:$E$3010,srpro!$B$10:$B$3010,ProHeader!C10)</f>
        <v>500</v>
      </c>
      <c r="P10" s="1393"/>
      <c r="Q10" s="1393"/>
      <c r="R10" s="1393"/>
      <c r="S10" s="1393"/>
      <c r="T10" s="1393"/>
      <c r="U10" s="1393"/>
      <c r="V10" s="1393"/>
      <c r="W10" s="1393"/>
      <c r="X10" s="1394"/>
      <c r="Y10" s="1394"/>
      <c r="Z10" s="1394"/>
      <c r="AA10" s="1395">
        <f t="shared" ref="AA10:AA74" si="1">IFERROR(Z10*L10,0)</f>
        <v>0</v>
      </c>
      <c r="AB10" s="1393" t="str">
        <f t="shared" ref="AB10:AB74" si="2">D10</f>
        <v>faisal egy build</v>
      </c>
      <c r="AC10" s="1393">
        <f t="shared" si="0"/>
        <v>182</v>
      </c>
      <c r="AD10" s="1396">
        <f t="shared" ref="AD10:AD74" si="3">L10+M10</f>
        <v>215000</v>
      </c>
      <c r="AE10" s="1396">
        <f t="shared" ref="AE10:AE74" si="4">N10</f>
        <v>21500</v>
      </c>
      <c r="AF10" s="1396">
        <f t="shared" ref="AF10:AF74" si="5">O10</f>
        <v>500</v>
      </c>
      <c r="AG10" s="1397">
        <f t="shared" ref="AG10:AG74" si="6">IFERROR((O10- (O10*5%))/(L10+M10),0)</f>
        <v>2.2093023255813954E-3</v>
      </c>
      <c r="AH10" s="1397">
        <f t="shared" ref="AH10:AH74" si="7">IFERROR((N10-(N10*5%))/(L10+M10),0)</f>
        <v>9.5000000000000001E-2</v>
      </c>
      <c r="AI10" s="1393" t="str">
        <f>IFERROR(VLOOKUP(C10,salesInv!$D$8:$AM$494,35,FALSE),"-")</f>
        <v>-</v>
      </c>
      <c r="AJ10" s="1398" t="str">
        <f>IFERROR(VLOOKUP(C10,salesInv!$D$8:$AM$494,36,FALSE),"-")</f>
        <v>-</v>
      </c>
      <c r="AK10" s="1396" t="str">
        <f>IFERROR(VLOOKUP(C10,salesInv!$D$8:$I$494,3,FALSE),"-")</f>
        <v>-</v>
      </c>
      <c r="AL10" s="1396" t="str">
        <f>IFERROR(VLOOKUP(C10,salesInv!$D$8:$I$494,4,FALSE),"-")</f>
        <v>-</v>
      </c>
      <c r="AM10" s="1396" t="str">
        <f>IFERROR(VLOOKUP(C10,salesInv!$D$8:$I$494,6,FALSE),"-")</f>
        <v>-</v>
      </c>
      <c r="AN10" s="1396">
        <f>COUNTIF(salesInv!$D$8:$D$494,ProHeader!C10)</f>
        <v>0</v>
      </c>
      <c r="AO10" s="1396"/>
      <c r="AP10" s="1396"/>
      <c r="AQ10" s="1396"/>
      <c r="AR10" s="1396"/>
      <c r="AS10" s="1396"/>
      <c r="AT10" s="1396"/>
      <c r="AU10" s="1396"/>
      <c r="AV10" s="1396"/>
      <c r="AW10" s="1396"/>
      <c r="AX10" s="1396"/>
      <c r="AY10" s="1396"/>
      <c r="AZ10" s="1396"/>
    </row>
    <row r="11" spans="1:52" ht="15.75">
      <c r="A11" s="1420"/>
      <c r="B11" s="425"/>
      <c r="C11" s="1631">
        <v>194</v>
      </c>
      <c r="D11" s="1628" t="s">
        <v>314</v>
      </c>
      <c r="E11" s="1629" t="s">
        <v>3032</v>
      </c>
      <c r="F11" s="1410" t="s">
        <v>339</v>
      </c>
      <c r="G11" s="1410" t="s">
        <v>5126</v>
      </c>
      <c r="H11" s="1404">
        <v>2827675</v>
      </c>
      <c r="I11" s="1404"/>
      <c r="J11" s="1411" t="s">
        <v>815</v>
      </c>
      <c r="K11" s="1404" t="s">
        <v>814</v>
      </c>
      <c r="L11" s="1408">
        <v>106000</v>
      </c>
      <c r="M11" s="1408">
        <v>5300</v>
      </c>
      <c r="N11" s="1409">
        <f>SUMIFS(srpro!$F$10:$F$3010,srpro!$B$10:$B$3010,ProHeader!C11)</f>
        <v>105500</v>
      </c>
      <c r="O11" s="1409">
        <f>SUMIFS(srpro!$E$10:$E$3010,srpro!$B$10:$B$3010,ProHeader!C11)</f>
        <v>85163.99</v>
      </c>
      <c r="P11" s="1393"/>
      <c r="Q11" s="1393"/>
      <c r="R11" s="1393"/>
      <c r="S11" s="1393"/>
      <c r="T11" s="1393"/>
      <c r="U11" s="1393"/>
      <c r="V11" s="1393"/>
      <c r="W11" s="1393"/>
      <c r="X11" s="1394"/>
      <c r="Y11" s="1394"/>
      <c r="Z11" s="1394"/>
      <c r="AA11" s="1395">
        <f t="shared" si="1"/>
        <v>0</v>
      </c>
      <c r="AB11" s="1393" t="str">
        <f t="shared" si="2"/>
        <v xml:space="preserve">TCC . MARIAM </v>
      </c>
      <c r="AC11" s="1393">
        <f t="shared" si="0"/>
        <v>194</v>
      </c>
      <c r="AD11" s="1396">
        <f t="shared" si="3"/>
        <v>111300</v>
      </c>
      <c r="AE11" s="1396">
        <f t="shared" si="4"/>
        <v>105500</v>
      </c>
      <c r="AF11" s="1396">
        <f t="shared" si="5"/>
        <v>85163.99</v>
      </c>
      <c r="AG11" s="1397">
        <f t="shared" si="6"/>
        <v>0.72691635669362087</v>
      </c>
      <c r="AH11" s="1397">
        <f t="shared" si="7"/>
        <v>0.90049415992812221</v>
      </c>
      <c r="AI11" s="1393" t="str">
        <f>IFERROR(VLOOKUP(C11,salesInv!$D$8:$AM$494,35,FALSE),"-")</f>
        <v>-</v>
      </c>
      <c r="AJ11" s="1398" t="str">
        <f>IFERROR(VLOOKUP(C11,salesInv!$D$8:$AM$494,36,FALSE),"-")</f>
        <v>-</v>
      </c>
      <c r="AK11" s="1396" t="str">
        <f>IFERROR(VLOOKUP(C11,salesInv!$D$8:$I$494,3,FALSE),"-")</f>
        <v>-</v>
      </c>
      <c r="AL11" s="1396" t="str">
        <f>IFERROR(VLOOKUP(C11,salesInv!$D$8:$I$494,4,FALSE),"-")</f>
        <v>-</v>
      </c>
      <c r="AM11" s="1396" t="str">
        <f>IFERROR(VLOOKUP(C11,salesInv!$D$8:$I$494,6,FALSE),"-")</f>
        <v>-</v>
      </c>
      <c r="AN11" s="1396">
        <f>COUNTIF(salesInv!$D$8:$D$494,ProHeader!C11)</f>
        <v>0</v>
      </c>
      <c r="AO11" s="1396"/>
      <c r="AP11" s="1396"/>
      <c r="AQ11" s="1396"/>
      <c r="AR11" s="1396"/>
      <c r="AS11" s="1396"/>
      <c r="AT11" s="1396"/>
      <c r="AU11" s="1396"/>
      <c r="AV11" s="1396"/>
      <c r="AW11" s="1396"/>
      <c r="AX11" s="1396"/>
      <c r="AY11" s="1396"/>
      <c r="AZ11" s="1396"/>
    </row>
    <row r="12" spans="1:52" ht="15.75">
      <c r="A12" s="1420"/>
      <c r="B12" s="425"/>
      <c r="C12" s="1631">
        <v>197</v>
      </c>
      <c r="D12" s="1628" t="s">
        <v>151</v>
      </c>
      <c r="E12" s="1630" t="s">
        <v>540</v>
      </c>
      <c r="F12" s="1404" t="s">
        <v>323</v>
      </c>
      <c r="G12" s="1404" t="s">
        <v>5127</v>
      </c>
      <c r="H12" s="1404">
        <v>2662391</v>
      </c>
      <c r="I12" s="1404"/>
      <c r="J12" s="1406" t="s">
        <v>542</v>
      </c>
      <c r="K12" s="1407" t="s">
        <v>541</v>
      </c>
      <c r="L12" s="1408">
        <v>185000</v>
      </c>
      <c r="M12" s="1408">
        <v>10000</v>
      </c>
      <c r="N12" s="1409">
        <f>SUMIFS(srpro!$F$10:$F$3010,srpro!$B$10:$B$3010,ProHeader!C12)</f>
        <v>169047.61904761905</v>
      </c>
      <c r="O12" s="1409">
        <f>SUMIFS(srpro!$E$10:$E$3010,srpro!$B$10:$B$3010,ProHeader!C12)</f>
        <v>125656.24</v>
      </c>
      <c r="P12" s="1393" t="s">
        <v>543</v>
      </c>
      <c r="Q12" s="1393">
        <v>107100</v>
      </c>
      <c r="R12" s="1393">
        <v>85994</v>
      </c>
      <c r="S12" s="1393"/>
      <c r="T12" s="1393"/>
      <c r="U12" s="1393"/>
      <c r="V12" s="1393"/>
      <c r="W12" s="1393" t="s">
        <v>544</v>
      </c>
      <c r="X12" s="1394">
        <v>0.05</v>
      </c>
      <c r="Y12" s="1394">
        <v>0.24</v>
      </c>
      <c r="Z12" s="1394">
        <v>0</v>
      </c>
      <c r="AA12" s="1395">
        <f t="shared" si="1"/>
        <v>0</v>
      </c>
      <c r="AB12" s="1393" t="str">
        <f t="shared" si="2"/>
        <v>OSMAN AHLI</v>
      </c>
      <c r="AC12" s="1393">
        <f t="shared" si="0"/>
        <v>197</v>
      </c>
      <c r="AD12" s="1396">
        <f t="shared" si="3"/>
        <v>195000</v>
      </c>
      <c r="AE12" s="1396">
        <f t="shared" si="4"/>
        <v>169047.61904761905</v>
      </c>
      <c r="AF12" s="1396">
        <f t="shared" si="5"/>
        <v>125656.24</v>
      </c>
      <c r="AG12" s="1397">
        <f t="shared" si="6"/>
        <v>0.61217142564102567</v>
      </c>
      <c r="AH12" s="1397">
        <f t="shared" si="7"/>
        <v>0.82356532356532364</v>
      </c>
      <c r="AI12" s="1393" t="str">
        <f>IFERROR(VLOOKUP(C12,salesInv!$D$8:$AM$494,35,FALSE),"-")</f>
        <v>H/M/67/2024</v>
      </c>
      <c r="AJ12" s="1398" t="str">
        <f>IFERROR(VLOOKUP(C12,salesInv!$D$8:$AM$494,36,FALSE),"-")</f>
        <v>-</v>
      </c>
      <c r="AK12" s="1396">
        <f>IFERROR(VLOOKUP(C12,salesInv!$D$8:$I$494,3,FALSE),"-")</f>
        <v>24338.32</v>
      </c>
      <c r="AL12" s="1396">
        <f>IFERROR(VLOOKUP(C12,salesInv!$D$8:$I$494,4,FALSE),"-")</f>
        <v>6466.62</v>
      </c>
      <c r="AM12" s="1396">
        <f>IFERROR(VLOOKUP(C12,salesInv!$D$8:$I$494,6,FALSE),"-")</f>
        <v>20000</v>
      </c>
      <c r="AN12" s="1396">
        <f>COUNTIF(salesInv!$D$8:$D$494,ProHeader!C12)</f>
        <v>1</v>
      </c>
      <c r="AO12" s="1396"/>
      <c r="AP12" s="1396"/>
      <c r="AQ12" s="1396"/>
      <c r="AR12" s="1396"/>
      <c r="AS12" s="1396"/>
      <c r="AT12" s="1396"/>
      <c r="AU12" s="1396"/>
      <c r="AV12" s="1396"/>
      <c r="AW12" s="1396"/>
      <c r="AX12" s="1396"/>
      <c r="AY12" s="1396"/>
      <c r="AZ12" s="1396"/>
    </row>
    <row r="13" spans="1:52" ht="15.75">
      <c r="A13" s="1420"/>
      <c r="B13" s="425"/>
      <c r="C13" s="1631">
        <v>200</v>
      </c>
      <c r="D13" s="1628" t="s">
        <v>313</v>
      </c>
      <c r="E13" s="1629" t="s">
        <v>701</v>
      </c>
      <c r="F13" s="1404" t="s">
        <v>702</v>
      </c>
      <c r="G13" s="1404" t="s">
        <v>5128</v>
      </c>
      <c r="H13" s="1404">
        <v>2824694</v>
      </c>
      <c r="I13" s="1404"/>
      <c r="J13" s="1406" t="s">
        <v>704</v>
      </c>
      <c r="K13" s="1407" t="s">
        <v>703</v>
      </c>
      <c r="L13" s="1408">
        <v>30000</v>
      </c>
      <c r="M13" s="1408"/>
      <c r="N13" s="1409">
        <f>SUMIFS(srpro!$F$10:$F$3010,srpro!$B$10:$B$3010,ProHeader!C13)</f>
        <v>5000</v>
      </c>
      <c r="O13" s="1409">
        <f>SUMIFS(srpro!$E$10:$E$3010,srpro!$B$10:$B$3010,ProHeader!C13)</f>
        <v>846</v>
      </c>
      <c r="P13" s="1393"/>
      <c r="Q13" s="1393"/>
      <c r="R13" s="1393"/>
      <c r="S13" s="1393"/>
      <c r="T13" s="1393"/>
      <c r="U13" s="1393"/>
      <c r="V13" s="1393"/>
      <c r="W13" s="1393"/>
      <c r="X13" s="1394"/>
      <c r="Y13" s="1394"/>
      <c r="Z13" s="1394"/>
      <c r="AA13" s="1395">
        <f t="shared" si="1"/>
        <v>0</v>
      </c>
      <c r="AB13" s="1393" t="str">
        <f t="shared" si="2"/>
        <v>SULTAN. IBTESAM</v>
      </c>
      <c r="AC13" s="1393">
        <f t="shared" si="0"/>
        <v>200</v>
      </c>
      <c r="AD13" s="1396">
        <f t="shared" si="3"/>
        <v>30000</v>
      </c>
      <c r="AE13" s="1396">
        <f t="shared" si="4"/>
        <v>5000</v>
      </c>
      <c r="AF13" s="1396">
        <f t="shared" si="5"/>
        <v>846</v>
      </c>
      <c r="AG13" s="1397">
        <f t="shared" si="6"/>
        <v>2.6790000000000001E-2</v>
      </c>
      <c r="AH13" s="1397">
        <f t="shared" si="7"/>
        <v>0.15833333333333333</v>
      </c>
      <c r="AI13" s="1393" t="str">
        <f>IFERROR(VLOOKUP(C13,salesInv!$D$8:$AM$494,35,FALSE),"-")</f>
        <v>-</v>
      </c>
      <c r="AJ13" s="1398" t="str">
        <f>IFERROR(VLOOKUP(C13,salesInv!$D$8:$AM$494,36,FALSE),"-")</f>
        <v>-</v>
      </c>
      <c r="AK13" s="1396" t="str">
        <f>IFERROR(VLOOKUP(C13,salesInv!$D$8:$I$494,3,FALSE),"-")</f>
        <v>-</v>
      </c>
      <c r="AL13" s="1396" t="str">
        <f>IFERROR(VLOOKUP(C13,salesInv!$D$8:$I$494,4,FALSE),"-")</f>
        <v>-</v>
      </c>
      <c r="AM13" s="1396" t="str">
        <f>IFERROR(VLOOKUP(C13,salesInv!$D$8:$I$494,6,FALSE),"-")</f>
        <v>-</v>
      </c>
      <c r="AN13" s="1396">
        <f>COUNTIF(salesInv!$D$8:$D$494,ProHeader!C13)</f>
        <v>0</v>
      </c>
      <c r="AO13" s="1396"/>
      <c r="AP13" s="1396"/>
      <c r="AQ13" s="1396"/>
      <c r="AR13" s="1396"/>
      <c r="AS13" s="1396"/>
      <c r="AT13" s="1396"/>
      <c r="AU13" s="1396"/>
      <c r="AV13" s="1396"/>
      <c r="AW13" s="1396"/>
      <c r="AX13" s="1396"/>
      <c r="AY13" s="1396"/>
      <c r="AZ13" s="1396"/>
    </row>
    <row r="14" spans="1:52" ht="15.75">
      <c r="A14" s="1420"/>
      <c r="B14" s="425"/>
      <c r="C14" s="1631">
        <v>202</v>
      </c>
      <c r="D14" s="1628" t="s">
        <v>2883</v>
      </c>
      <c r="E14" s="1629" t="s">
        <v>2882</v>
      </c>
      <c r="F14" s="1404" t="s">
        <v>460</v>
      </c>
      <c r="G14" s="1407" t="s">
        <v>5129</v>
      </c>
      <c r="H14" s="1404">
        <v>6180172</v>
      </c>
      <c r="I14" s="1404"/>
      <c r="J14" s="1406" t="s">
        <v>462</v>
      </c>
      <c r="K14" s="1404" t="s">
        <v>461</v>
      </c>
      <c r="L14" s="1408">
        <v>565000</v>
      </c>
      <c r="M14" s="1408">
        <v>40000</v>
      </c>
      <c r="N14" s="1409">
        <f>SUMIFS(srpro!$F$10:$F$3010,srpro!$B$10:$B$3010,ProHeader!C14)</f>
        <v>606872.76</v>
      </c>
      <c r="O14" s="1409">
        <f>SUMIFS(srpro!$E$10:$E$3010,srpro!$B$10:$B$3010,ProHeader!C14)</f>
        <v>486701.42</v>
      </c>
      <c r="P14" s="1393" t="s">
        <v>230</v>
      </c>
      <c r="Q14" s="1393">
        <v>316680</v>
      </c>
      <c r="R14" s="1393">
        <v>315800</v>
      </c>
      <c r="S14" s="1393"/>
      <c r="T14" s="1393"/>
      <c r="U14" s="1393"/>
      <c r="V14" s="1393"/>
      <c r="W14" s="1393" t="s">
        <v>463</v>
      </c>
      <c r="X14" s="1394">
        <v>0.05</v>
      </c>
      <c r="Y14" s="1394">
        <v>0.05</v>
      </c>
      <c r="Z14" s="1394">
        <v>0</v>
      </c>
      <c r="AA14" s="1395">
        <f t="shared" si="1"/>
        <v>0</v>
      </c>
      <c r="AB14" s="1393" t="str">
        <f t="shared" si="2"/>
        <v xml:space="preserve"> AHMED HELAL -ERTIKAZ </v>
      </c>
      <c r="AC14" s="1393">
        <f t="shared" si="0"/>
        <v>202</v>
      </c>
      <c r="AD14" s="1396">
        <f t="shared" si="3"/>
        <v>605000</v>
      </c>
      <c r="AE14" s="1396">
        <f t="shared" si="4"/>
        <v>606872.76</v>
      </c>
      <c r="AF14" s="1396">
        <f t="shared" si="5"/>
        <v>486701.42</v>
      </c>
      <c r="AG14" s="1397">
        <f t="shared" si="6"/>
        <v>0.76424189917355367</v>
      </c>
      <c r="AH14" s="1397">
        <f t="shared" si="7"/>
        <v>0.95294069752066113</v>
      </c>
      <c r="AI14" s="1393" t="str">
        <f>IFERROR(VLOOKUP(C14,salesInv!$D$8:$AM$494,35,FALSE),"-")</f>
        <v>H/M/55/2024</v>
      </c>
      <c r="AJ14" s="1398">
        <f>IFERROR(VLOOKUP(C14,salesInv!$D$8:$AM$494,36,FALSE),"-")</f>
        <v>45423</v>
      </c>
      <c r="AK14" s="1396">
        <f>IFERROR(VLOOKUP(C14,salesInv!$D$8:$I$494,3,FALSE),"-")</f>
        <v>10000</v>
      </c>
      <c r="AL14" s="1396">
        <f>IFERROR(VLOOKUP(C14,salesInv!$D$8:$I$494,4,FALSE),"-")</f>
        <v>500</v>
      </c>
      <c r="AM14" s="1396">
        <f>IFERROR(VLOOKUP(C14,salesInv!$D$8:$I$494,6,FALSE),"-")</f>
        <v>10500</v>
      </c>
      <c r="AN14" s="1396">
        <f>COUNTIF(salesInv!$D$8:$D$494,ProHeader!C14)</f>
        <v>2</v>
      </c>
      <c r="AO14" s="1396"/>
      <c r="AP14" s="1396"/>
      <c r="AQ14" s="1396"/>
      <c r="AR14" s="1396"/>
      <c r="AS14" s="1396"/>
      <c r="AT14" s="1396"/>
      <c r="AU14" s="1396"/>
      <c r="AV14" s="1396"/>
      <c r="AW14" s="1396"/>
      <c r="AX14" s="1396"/>
      <c r="AY14" s="1396"/>
      <c r="AZ14" s="1396"/>
    </row>
    <row r="15" spans="1:52" ht="15.75">
      <c r="A15" s="1420"/>
      <c r="B15" s="425"/>
      <c r="C15" s="1631">
        <v>204</v>
      </c>
      <c r="D15" s="1628" t="s">
        <v>266</v>
      </c>
      <c r="E15" s="1629" t="s">
        <v>998</v>
      </c>
      <c r="F15" s="1404" t="s">
        <v>999</v>
      </c>
      <c r="G15" s="1404" t="s">
        <v>342</v>
      </c>
      <c r="H15" s="1404">
        <v>7117665</v>
      </c>
      <c r="I15" s="1404"/>
      <c r="J15" s="1406" t="s">
        <v>1000</v>
      </c>
      <c r="K15" s="1404" t="s">
        <v>1001</v>
      </c>
      <c r="L15" s="1408">
        <v>205000</v>
      </c>
      <c r="M15" s="1408">
        <v>24000</v>
      </c>
      <c r="N15" s="1409">
        <f>SUMIFS(srpro!$F$10:$F$3010,srpro!$B$10:$B$3010,ProHeader!C15)</f>
        <v>233075</v>
      </c>
      <c r="O15" s="1409">
        <f>SUMIFS(srpro!$E$10:$E$3010,srpro!$B$10:$B$3010,ProHeader!C15)</f>
        <v>151483</v>
      </c>
      <c r="P15" s="1393">
        <v>97562</v>
      </c>
      <c r="Q15" s="1393">
        <v>85806</v>
      </c>
      <c r="R15" s="1393"/>
      <c r="S15" s="1393"/>
      <c r="T15" s="1393"/>
      <c r="U15" s="1393"/>
      <c r="V15" s="1393"/>
      <c r="W15" s="1393"/>
      <c r="X15" s="1394"/>
      <c r="Y15" s="1394"/>
      <c r="Z15" s="1394"/>
      <c r="AA15" s="1395">
        <f t="shared" si="1"/>
        <v>0</v>
      </c>
      <c r="AB15" s="1393" t="str">
        <f t="shared" si="2"/>
        <v>ABDULLAH JUMA  . DAR</v>
      </c>
      <c r="AC15" s="1393">
        <f t="shared" si="0"/>
        <v>204</v>
      </c>
      <c r="AD15" s="1396">
        <f t="shared" si="3"/>
        <v>229000</v>
      </c>
      <c r="AE15" s="1396">
        <f t="shared" si="4"/>
        <v>233075</v>
      </c>
      <c r="AF15" s="1396">
        <f t="shared" si="5"/>
        <v>151483</v>
      </c>
      <c r="AG15" s="1397">
        <f t="shared" si="6"/>
        <v>0.62842292576419212</v>
      </c>
      <c r="AH15" s="1397">
        <f t="shared" si="7"/>
        <v>0.96690502183406113</v>
      </c>
      <c r="AI15" s="1393" t="str">
        <f>IFERROR(VLOOKUP(C15,salesInv!$D$8:$AM$494,35,FALSE),"-")</f>
        <v>-</v>
      </c>
      <c r="AJ15" s="1398" t="str">
        <f>IFERROR(VLOOKUP(C15,salesInv!$D$8:$AM$494,36,FALSE),"-")</f>
        <v>-</v>
      </c>
      <c r="AK15" s="1396" t="str">
        <f>IFERROR(VLOOKUP(C15,salesInv!$D$8:$I$494,3,FALSE),"-")</f>
        <v>-</v>
      </c>
      <c r="AL15" s="1396" t="str">
        <f>IFERROR(VLOOKUP(C15,salesInv!$D$8:$I$494,4,FALSE),"-")</f>
        <v>-</v>
      </c>
      <c r="AM15" s="1396" t="str">
        <f>IFERROR(VLOOKUP(C15,salesInv!$D$8:$I$494,6,FALSE),"-")</f>
        <v>-</v>
      </c>
      <c r="AN15" s="1396">
        <f>COUNTIF(salesInv!$D$8:$D$494,ProHeader!C15)</f>
        <v>0</v>
      </c>
      <c r="AO15" s="1396"/>
      <c r="AP15" s="1396"/>
      <c r="AQ15" s="1396"/>
      <c r="AR15" s="1396"/>
      <c r="AS15" s="1396"/>
      <c r="AT15" s="1396"/>
      <c r="AU15" s="1396"/>
      <c r="AV15" s="1396"/>
      <c r="AW15" s="1396"/>
      <c r="AX15" s="1396"/>
      <c r="AY15" s="1396"/>
      <c r="AZ15" s="1396"/>
    </row>
    <row r="16" spans="1:52" ht="15.75">
      <c r="A16" s="1420"/>
      <c r="B16" s="425"/>
      <c r="C16" s="1631">
        <v>206</v>
      </c>
      <c r="D16" s="1628" t="s">
        <v>187</v>
      </c>
      <c r="E16" s="1629" t="s">
        <v>354</v>
      </c>
      <c r="F16" s="1404" t="s">
        <v>355</v>
      </c>
      <c r="G16" s="1404" t="s">
        <v>356</v>
      </c>
      <c r="H16" s="1404">
        <v>2610630</v>
      </c>
      <c r="I16" s="1404" t="s">
        <v>357</v>
      </c>
      <c r="J16" s="1404"/>
      <c r="K16" s="1404"/>
      <c r="L16" s="1408">
        <v>290000</v>
      </c>
      <c r="M16" s="1408">
        <f>22000+3700</f>
        <v>25700</v>
      </c>
      <c r="N16" s="1409">
        <f>SUMIFS(srpro!$F$10:$F$3010,srpro!$B$10:$B$3010,ProHeader!C16)</f>
        <v>315698</v>
      </c>
      <c r="O16" s="1409">
        <f>SUMIFS(srpro!$E$10:$E$3010,srpro!$B$10:$B$3010,ProHeader!C16)</f>
        <v>230517.85</v>
      </c>
      <c r="P16" s="1393" t="s">
        <v>255</v>
      </c>
      <c r="Q16" s="1393">
        <v>150176</v>
      </c>
      <c r="R16" s="1393">
        <f>20695+1970+46825+37689+46825+154004</f>
        <v>308008</v>
      </c>
      <c r="S16" s="1393"/>
      <c r="T16" s="1393"/>
      <c r="U16" s="1393"/>
      <c r="V16" s="1393"/>
      <c r="W16" s="1393"/>
      <c r="X16" s="1394">
        <v>0.05</v>
      </c>
      <c r="Y16" s="1394">
        <v>0.21</v>
      </c>
      <c r="Z16" s="1394">
        <v>0</v>
      </c>
      <c r="AA16" s="1395">
        <f t="shared" si="1"/>
        <v>0</v>
      </c>
      <c r="AB16" s="1393" t="str">
        <f t="shared" si="2"/>
        <v>MATROSHI</v>
      </c>
      <c r="AC16" s="1393">
        <f t="shared" si="0"/>
        <v>206</v>
      </c>
      <c r="AD16" s="1396">
        <f t="shared" si="3"/>
        <v>315700</v>
      </c>
      <c r="AE16" s="1396">
        <f t="shared" si="4"/>
        <v>315698</v>
      </c>
      <c r="AF16" s="1396">
        <f t="shared" si="5"/>
        <v>230517.85</v>
      </c>
      <c r="AG16" s="1397">
        <f t="shared" si="6"/>
        <v>0.69367107222046254</v>
      </c>
      <c r="AH16" s="1397">
        <f t="shared" si="7"/>
        <v>0.94999398162812787</v>
      </c>
      <c r="AI16" s="1393" t="str">
        <f>IFERROR(VLOOKUP(C16,salesInv!$D$8:$AM$494,35,FALSE),"-")</f>
        <v>H/M/09R/2024</v>
      </c>
      <c r="AJ16" s="1398" t="str">
        <f>IFERROR(VLOOKUP(C16,salesInv!$D$8:$AM$494,36,FALSE),"-")</f>
        <v>-</v>
      </c>
      <c r="AK16" s="1396">
        <f>IFERROR(VLOOKUP(C16,salesInv!$D$8:$I$494,3,FALSE),"-")</f>
        <v>34768</v>
      </c>
      <c r="AL16" s="1396">
        <f>IFERROR(VLOOKUP(C16,salesInv!$D$8:$I$494,4,FALSE),"-")</f>
        <v>1738.4</v>
      </c>
      <c r="AM16" s="1396">
        <f>IFERROR(VLOOKUP(C16,salesInv!$D$8:$I$494,6,FALSE),"-")</f>
        <v>36506.400000000001</v>
      </c>
      <c r="AN16" s="1396">
        <f>COUNTIF(salesInv!$D$8:$D$494,ProHeader!C16)</f>
        <v>1</v>
      </c>
      <c r="AO16" s="1396"/>
      <c r="AP16" s="1396"/>
      <c r="AQ16" s="1396"/>
      <c r="AR16" s="1396"/>
      <c r="AS16" s="1396"/>
      <c r="AT16" s="1396"/>
      <c r="AU16" s="1396"/>
      <c r="AV16" s="1396"/>
      <c r="AW16" s="1396"/>
      <c r="AX16" s="1396"/>
      <c r="AY16" s="1396"/>
      <c r="AZ16" s="1396"/>
    </row>
    <row r="17" spans="1:52" ht="15.75">
      <c r="A17" s="1420"/>
      <c r="B17" s="425"/>
      <c r="C17" s="1631">
        <v>210</v>
      </c>
      <c r="D17" s="1628" t="s">
        <v>310</v>
      </c>
      <c r="E17" s="1629"/>
      <c r="F17" s="1404"/>
      <c r="G17" s="1404"/>
      <c r="H17" s="1404"/>
      <c r="I17" s="1404"/>
      <c r="J17" s="1406"/>
      <c r="K17" s="1404"/>
      <c r="L17" s="1408"/>
      <c r="M17" s="1408"/>
      <c r="N17" s="1409">
        <f>SUMIFS(srpro!$F$10:$F$3010,srpro!$B$10:$B$3010,ProHeader!C17)</f>
        <v>0</v>
      </c>
      <c r="O17" s="1409">
        <f>SUMIFS(srpro!$E$10:$E$3010,srpro!$B$10:$B$3010,ProHeader!C17)</f>
        <v>45</v>
      </c>
      <c r="P17" s="1393"/>
      <c r="Q17" s="1393"/>
      <c r="R17" s="1393"/>
      <c r="S17" s="1393"/>
      <c r="T17" s="1393"/>
      <c r="U17" s="1393"/>
      <c r="V17" s="1393"/>
      <c r="W17" s="1393"/>
      <c r="X17" s="1394"/>
      <c r="Y17" s="1394"/>
      <c r="Z17" s="1394"/>
      <c r="AA17" s="1395">
        <f t="shared" si="1"/>
        <v>0</v>
      </c>
      <c r="AB17" s="1393" t="str">
        <f t="shared" si="2"/>
        <v xml:space="preserve">SUHAIL MAJLIS   </v>
      </c>
      <c r="AC17" s="1393">
        <f t="shared" si="0"/>
        <v>210</v>
      </c>
      <c r="AD17" s="1396">
        <f t="shared" si="3"/>
        <v>0</v>
      </c>
      <c r="AE17" s="1396">
        <f t="shared" si="4"/>
        <v>0</v>
      </c>
      <c r="AF17" s="1396">
        <f t="shared" si="5"/>
        <v>45</v>
      </c>
      <c r="AG17" s="1397">
        <f t="shared" si="6"/>
        <v>0</v>
      </c>
      <c r="AH17" s="1397">
        <f t="shared" si="7"/>
        <v>0</v>
      </c>
      <c r="AI17" s="1393" t="str">
        <f>IFERROR(VLOOKUP(C17,salesInv!$D$8:$AM$494,35,FALSE),"-")</f>
        <v>-</v>
      </c>
      <c r="AJ17" s="1398" t="str">
        <f>IFERROR(VLOOKUP(C17,salesInv!$D$8:$AM$494,36,FALSE),"-")</f>
        <v>-</v>
      </c>
      <c r="AK17" s="1396" t="str">
        <f>IFERROR(VLOOKUP(C17,salesInv!$D$8:$I$494,3,FALSE),"-")</f>
        <v>-</v>
      </c>
      <c r="AL17" s="1396" t="str">
        <f>IFERROR(VLOOKUP(C17,salesInv!$D$8:$I$494,4,FALSE),"-")</f>
        <v>-</v>
      </c>
      <c r="AM17" s="1396" t="str">
        <f>IFERROR(VLOOKUP(C17,salesInv!$D$8:$I$494,6,FALSE),"-")</f>
        <v>-</v>
      </c>
      <c r="AN17" s="1396">
        <f>COUNTIF(salesInv!$D$8:$D$494,ProHeader!C17)</f>
        <v>0</v>
      </c>
      <c r="AO17" s="1396"/>
      <c r="AP17" s="1396"/>
      <c r="AQ17" s="1396"/>
      <c r="AR17" s="1396"/>
      <c r="AS17" s="1396"/>
      <c r="AT17" s="1396"/>
      <c r="AU17" s="1396"/>
      <c r="AV17" s="1396"/>
      <c r="AW17" s="1396"/>
      <c r="AX17" s="1396"/>
      <c r="AY17" s="1396"/>
      <c r="AZ17" s="1396"/>
    </row>
    <row r="18" spans="1:52" ht="15.75">
      <c r="A18" s="1420"/>
      <c r="B18" s="425"/>
      <c r="C18" s="1631">
        <v>210</v>
      </c>
      <c r="D18" s="1628" t="s">
        <v>311</v>
      </c>
      <c r="E18" s="1629"/>
      <c r="F18" s="1404"/>
      <c r="G18" s="1404"/>
      <c r="H18" s="1404"/>
      <c r="I18" s="1404"/>
      <c r="J18" s="1406"/>
      <c r="K18" s="1404"/>
      <c r="L18" s="1408"/>
      <c r="M18" s="1408"/>
      <c r="N18" s="1409">
        <f>SUMIFS(srpro!$F$10:$F$3010,srpro!$B$10:$B$3010,ProHeader!C18)</f>
        <v>0</v>
      </c>
      <c r="O18" s="1409">
        <f>SUMIFS(srpro!$E$10:$E$3010,srpro!$B$10:$B$3010,ProHeader!C18)</f>
        <v>45</v>
      </c>
      <c r="P18" s="1393"/>
      <c r="Q18" s="1393"/>
      <c r="R18" s="1393"/>
      <c r="S18" s="1393"/>
      <c r="T18" s="1393"/>
      <c r="U18" s="1393"/>
      <c r="V18" s="1393"/>
      <c r="W18" s="1393"/>
      <c r="X18" s="1394">
        <v>0.05</v>
      </c>
      <c r="Y18" s="1394">
        <v>0.2</v>
      </c>
      <c r="Z18" s="1394">
        <v>0</v>
      </c>
      <c r="AA18" s="1395">
        <f t="shared" si="1"/>
        <v>0</v>
      </c>
      <c r="AB18" s="1393" t="str">
        <f t="shared" si="2"/>
        <v>SUHAIL VILLA</v>
      </c>
      <c r="AC18" s="1393">
        <f t="shared" si="0"/>
        <v>210</v>
      </c>
      <c r="AD18" s="1396">
        <f t="shared" si="3"/>
        <v>0</v>
      </c>
      <c r="AE18" s="1396">
        <f t="shared" si="4"/>
        <v>0</v>
      </c>
      <c r="AF18" s="1396">
        <f t="shared" si="5"/>
        <v>45</v>
      </c>
      <c r="AG18" s="1397">
        <f t="shared" si="6"/>
        <v>0</v>
      </c>
      <c r="AH18" s="1397">
        <f t="shared" si="7"/>
        <v>0</v>
      </c>
      <c r="AI18" s="1393" t="str">
        <f>IFERROR(VLOOKUP(C18,salesInv!$D$8:$AM$494,35,FALSE),"-")</f>
        <v>-</v>
      </c>
      <c r="AJ18" s="1398" t="str">
        <f>IFERROR(VLOOKUP(C18,salesInv!$D$8:$AM$494,36,FALSE),"-")</f>
        <v>-</v>
      </c>
      <c r="AK18" s="1396" t="str">
        <f>IFERROR(VLOOKUP(C18,salesInv!$D$8:$I$494,3,FALSE),"-")</f>
        <v>-</v>
      </c>
      <c r="AL18" s="1396" t="str">
        <f>IFERROR(VLOOKUP(C18,salesInv!$D$8:$I$494,4,FALSE),"-")</f>
        <v>-</v>
      </c>
      <c r="AM18" s="1396" t="str">
        <f>IFERROR(VLOOKUP(C18,salesInv!$D$8:$I$494,6,FALSE),"-")</f>
        <v>-</v>
      </c>
      <c r="AN18" s="1396">
        <f>COUNTIF(salesInv!$D$8:$D$494,ProHeader!C18)</f>
        <v>0</v>
      </c>
      <c r="AO18" s="1396"/>
      <c r="AP18" s="1396"/>
      <c r="AQ18" s="1396"/>
      <c r="AR18" s="1396"/>
      <c r="AS18" s="1396"/>
      <c r="AT18" s="1396"/>
      <c r="AU18" s="1396"/>
      <c r="AV18" s="1396"/>
      <c r="AW18" s="1396"/>
      <c r="AX18" s="1396"/>
      <c r="AY18" s="1396"/>
      <c r="AZ18" s="1396"/>
    </row>
    <row r="19" spans="1:52" ht="15.75">
      <c r="A19" s="1420"/>
      <c r="B19" s="425"/>
      <c r="C19" s="1631">
        <v>211</v>
      </c>
      <c r="D19" s="1628" t="s">
        <v>270</v>
      </c>
      <c r="E19" s="1629" t="s">
        <v>718</v>
      </c>
      <c r="F19" s="1404" t="s">
        <v>719</v>
      </c>
      <c r="G19" s="1404" t="s">
        <v>5130</v>
      </c>
      <c r="H19" s="1404">
        <v>2630983</v>
      </c>
      <c r="I19" s="1404"/>
      <c r="J19" s="1406" t="s">
        <v>721</v>
      </c>
      <c r="K19" s="1407" t="s">
        <v>720</v>
      </c>
      <c r="L19" s="1408">
        <v>310000</v>
      </c>
      <c r="M19" s="1408">
        <v>27500</v>
      </c>
      <c r="N19" s="1409">
        <f>SUMIFS(srpro!$F$10:$F$3010,srpro!$B$10:$B$3010,ProHeader!C19)</f>
        <v>339240</v>
      </c>
      <c r="O19" s="1409">
        <f>SUMIFS(srpro!$E$10:$E$3010,srpro!$B$10:$B$3010,ProHeader!C19)</f>
        <v>240007.87999999998</v>
      </c>
      <c r="P19" s="1393" t="s">
        <v>722</v>
      </c>
      <c r="Q19" s="1393">
        <v>165207</v>
      </c>
      <c r="R19" s="1393">
        <v>165389</v>
      </c>
      <c r="S19" s="1393"/>
      <c r="T19" s="1393"/>
      <c r="U19" s="1393"/>
      <c r="V19" s="1393"/>
      <c r="W19" s="1393"/>
      <c r="X19" s="1394">
        <v>0.05</v>
      </c>
      <c r="Y19" s="1394">
        <v>0.2</v>
      </c>
      <c r="Z19" s="1394">
        <v>0.05</v>
      </c>
      <c r="AA19" s="1395">
        <f t="shared" si="1"/>
        <v>15500</v>
      </c>
      <c r="AB19" s="1393" t="str">
        <f t="shared" si="2"/>
        <v>AHMED GHANIM</v>
      </c>
      <c r="AC19" s="1393">
        <f t="shared" si="0"/>
        <v>211</v>
      </c>
      <c r="AD19" s="1396">
        <f t="shared" si="3"/>
        <v>337500</v>
      </c>
      <c r="AE19" s="1396">
        <f t="shared" si="4"/>
        <v>339240</v>
      </c>
      <c r="AF19" s="1396">
        <f t="shared" si="5"/>
        <v>240007.87999999998</v>
      </c>
      <c r="AG19" s="1397">
        <f t="shared" si="6"/>
        <v>0.67557773629629625</v>
      </c>
      <c r="AH19" s="1397">
        <f t="shared" si="7"/>
        <v>0.95489777777777773</v>
      </c>
      <c r="AI19" s="1393" t="str">
        <f>IFERROR(VLOOKUP(C19,salesInv!$D$8:$AM$494,35,FALSE),"-")</f>
        <v>H/M/31R/2024</v>
      </c>
      <c r="AJ19" s="1398" t="str">
        <f>IFERROR(VLOOKUP(C19,salesInv!$D$8:$AM$494,36,FALSE),"-")</f>
        <v>-</v>
      </c>
      <c r="AK19" s="1396">
        <f>IFERROR(VLOOKUP(C19,salesInv!$D$8:$I$494,3,FALSE),"-")</f>
        <v>34148</v>
      </c>
      <c r="AL19" s="1396">
        <f>IFERROR(VLOOKUP(C19,salesInv!$D$8:$I$494,4,FALSE),"-")</f>
        <v>1707.4</v>
      </c>
      <c r="AM19" s="1396">
        <f>IFERROR(VLOOKUP(C19,salesInv!$D$8:$I$494,6,FALSE),"-")</f>
        <v>35000</v>
      </c>
      <c r="AN19" s="1396">
        <f>COUNTIF(salesInv!$D$8:$D$494,ProHeader!C19)</f>
        <v>2</v>
      </c>
      <c r="AO19" s="1396"/>
      <c r="AP19" s="1396"/>
      <c r="AQ19" s="1396"/>
      <c r="AR19" s="1396"/>
      <c r="AS19" s="1396"/>
      <c r="AT19" s="1396"/>
      <c r="AU19" s="1396"/>
      <c r="AV19" s="1396"/>
      <c r="AW19" s="1396"/>
      <c r="AX19" s="1396"/>
      <c r="AY19" s="1396"/>
      <c r="AZ19" s="1396"/>
    </row>
    <row r="20" spans="1:52" ht="15.75">
      <c r="A20" s="1420"/>
      <c r="B20" s="425"/>
      <c r="C20" s="1631">
        <v>212</v>
      </c>
      <c r="D20" s="1628" t="s">
        <v>312</v>
      </c>
      <c r="E20" s="1630" t="s">
        <v>706</v>
      </c>
      <c r="F20" s="1404" t="s">
        <v>323</v>
      </c>
      <c r="G20" s="1407" t="s">
        <v>5131</v>
      </c>
      <c r="H20" s="1404">
        <v>7112758</v>
      </c>
      <c r="I20" s="1404"/>
      <c r="J20" s="1404" t="s">
        <v>708</v>
      </c>
      <c r="K20" s="1407" t="s">
        <v>707</v>
      </c>
      <c r="L20" s="1408">
        <v>205000</v>
      </c>
      <c r="M20" s="1408">
        <v>4300</v>
      </c>
      <c r="N20" s="1409">
        <f>SUMIFS(srpro!$F$10:$F$3010,srpro!$B$10:$B$3010,ProHeader!C20)</f>
        <v>209300.5</v>
      </c>
      <c r="O20" s="1409">
        <f>SUMIFS(srpro!$E$10:$E$3010,srpro!$B$10:$B$3010,ProHeader!C20)</f>
        <v>157115.99</v>
      </c>
      <c r="P20" s="1393"/>
      <c r="Q20" s="1393"/>
      <c r="R20" s="1393">
        <v>103319.5</v>
      </c>
      <c r="S20" s="1393"/>
      <c r="T20" s="1393"/>
      <c r="U20" s="1393"/>
      <c r="V20" s="1393"/>
      <c r="W20" s="1393"/>
      <c r="X20" s="1394">
        <v>0.05</v>
      </c>
      <c r="Y20" s="1394">
        <v>0.1</v>
      </c>
      <c r="Z20" s="1394">
        <v>0</v>
      </c>
      <c r="AA20" s="1395">
        <f t="shared" si="1"/>
        <v>0</v>
      </c>
      <c r="AB20" s="1393" t="str">
        <f t="shared" si="2"/>
        <v>SULTAN .DYNAMIC</v>
      </c>
      <c r="AC20" s="1393">
        <f t="shared" si="0"/>
        <v>212</v>
      </c>
      <c r="AD20" s="1396">
        <f t="shared" si="3"/>
        <v>209300</v>
      </c>
      <c r="AE20" s="1396">
        <f t="shared" si="4"/>
        <v>209300.5</v>
      </c>
      <c r="AF20" s="1396">
        <f t="shared" si="5"/>
        <v>157115.99</v>
      </c>
      <c r="AG20" s="1397">
        <f t="shared" si="6"/>
        <v>0.71313994505494505</v>
      </c>
      <c r="AH20" s="1397">
        <f t="shared" si="7"/>
        <v>0.95000226946966082</v>
      </c>
      <c r="AI20" s="1393" t="str">
        <f>IFERROR(VLOOKUP(C20,salesInv!$D$8:$AM$494,35,FALSE),"-")</f>
        <v>H/M/62/2024</v>
      </c>
      <c r="AJ20" s="1398" t="str">
        <f>IFERROR(VLOOKUP(C20,salesInv!$D$8:$AM$494,36,FALSE),"-")</f>
        <v>-</v>
      </c>
      <c r="AK20" s="1396">
        <f>IFERROR(VLOOKUP(C20,salesInv!$D$8:$I$494,3,FALSE),"-")</f>
        <v>10250</v>
      </c>
      <c r="AL20" s="1396">
        <f>IFERROR(VLOOKUP(C20,salesInv!$D$8:$I$494,4,FALSE),"-")</f>
        <v>512.5</v>
      </c>
      <c r="AM20" s="1396">
        <f>IFERROR(VLOOKUP(C20,salesInv!$D$8:$I$494,6,FALSE),"-")</f>
        <v>10762.5</v>
      </c>
      <c r="AN20" s="1396">
        <f>COUNTIF(salesInv!$D$8:$D$494,ProHeader!C20)</f>
        <v>2</v>
      </c>
      <c r="AO20" s="1396"/>
      <c r="AP20" s="1396"/>
      <c r="AQ20" s="1396"/>
      <c r="AR20" s="1396"/>
      <c r="AS20" s="1396"/>
      <c r="AT20" s="1396"/>
      <c r="AU20" s="1396"/>
      <c r="AV20" s="1396"/>
      <c r="AW20" s="1396"/>
      <c r="AX20" s="1396"/>
      <c r="AY20" s="1396"/>
      <c r="AZ20" s="1396"/>
    </row>
    <row r="21" spans="1:52" ht="15.75">
      <c r="A21" s="1420"/>
      <c r="B21" s="425"/>
      <c r="C21" s="1631">
        <v>213</v>
      </c>
      <c r="D21" s="1628" t="s">
        <v>298</v>
      </c>
      <c r="E21" s="1629" t="s">
        <v>779</v>
      </c>
      <c r="F21" s="1405" t="s">
        <v>5132</v>
      </c>
      <c r="G21" s="1404" t="s">
        <v>659</v>
      </c>
      <c r="H21" s="1404">
        <v>2270341</v>
      </c>
      <c r="I21" s="1404"/>
      <c r="J21" s="1404" t="s">
        <v>658</v>
      </c>
      <c r="K21" s="1404" t="s">
        <v>657</v>
      </c>
      <c r="L21" s="1408">
        <v>370000</v>
      </c>
      <c r="M21" s="1408">
        <v>6404</v>
      </c>
      <c r="N21" s="1409">
        <f>SUMIFS(srpro!$F$10:$F$3010,srpro!$B$10:$B$3010,ProHeader!C21)</f>
        <v>376404.5</v>
      </c>
      <c r="O21" s="1409">
        <f>SUMIFS(srpro!$E$10:$E$3010,srpro!$B$10:$B$3010,ProHeader!C21)</f>
        <v>229674.12</v>
      </c>
      <c r="P21" s="1393" t="s">
        <v>660</v>
      </c>
      <c r="Q21" s="1393">
        <v>163123</v>
      </c>
      <c r="R21" s="1393">
        <v>163123</v>
      </c>
      <c r="S21" s="1393"/>
      <c r="T21" s="1393"/>
      <c r="U21" s="1393"/>
      <c r="V21" s="1393"/>
      <c r="W21" s="1393"/>
      <c r="X21" s="1394">
        <v>0.05</v>
      </c>
      <c r="Y21" s="1394">
        <v>0.2</v>
      </c>
      <c r="Z21" s="1394">
        <v>0</v>
      </c>
      <c r="AA21" s="1395">
        <f t="shared" si="1"/>
        <v>0</v>
      </c>
      <c r="AB21" s="1393" t="str">
        <f t="shared" si="2"/>
        <v>MOZA IBTESAM</v>
      </c>
      <c r="AC21" s="1393">
        <f t="shared" si="0"/>
        <v>213</v>
      </c>
      <c r="AD21" s="1396">
        <f t="shared" si="3"/>
        <v>376404</v>
      </c>
      <c r="AE21" s="1396">
        <f t="shared" si="4"/>
        <v>376404.5</v>
      </c>
      <c r="AF21" s="1396">
        <f t="shared" si="5"/>
        <v>229674.12</v>
      </c>
      <c r="AG21" s="1397">
        <f t="shared" si="6"/>
        <v>0.57967081646316188</v>
      </c>
      <c r="AH21" s="1397">
        <f t="shared" si="7"/>
        <v>0.950001261941956</v>
      </c>
      <c r="AI21" s="1393" t="str">
        <f>IFERROR(VLOOKUP(C21,salesInv!$D$8:$AM$494,35,FALSE),"-")</f>
        <v>H/M/01/2024</v>
      </c>
      <c r="AJ21" s="1398" t="str">
        <f>IFERROR(VLOOKUP(C21,salesInv!$D$8:$AM$494,36,FALSE),"-")</f>
        <v>-</v>
      </c>
      <c r="AK21" s="1396">
        <f>IFERROR(VLOOKUP(C21,salesInv!$D$8:$I$494,3,FALSE),"-")</f>
        <v>30000</v>
      </c>
      <c r="AL21" s="1396">
        <f>IFERROR(VLOOKUP(C21,salesInv!$D$8:$I$494,4,FALSE),"-")</f>
        <v>1500</v>
      </c>
      <c r="AM21" s="1396">
        <f>IFERROR(VLOOKUP(C21,salesInv!$D$8:$I$494,6,FALSE),"-")</f>
        <v>31500</v>
      </c>
      <c r="AN21" s="1396">
        <f>COUNTIF(salesInv!$D$8:$D$494,ProHeader!C21)</f>
        <v>1</v>
      </c>
      <c r="AO21" s="1396"/>
      <c r="AP21" s="1396"/>
      <c r="AQ21" s="1396"/>
      <c r="AR21" s="1396"/>
      <c r="AS21" s="1396"/>
      <c r="AT21" s="1396"/>
      <c r="AU21" s="1396"/>
      <c r="AV21" s="1396"/>
      <c r="AW21" s="1396"/>
      <c r="AX21" s="1396"/>
      <c r="AY21" s="1396"/>
      <c r="AZ21" s="1396"/>
    </row>
    <row r="22" spans="1:52" ht="15.75">
      <c r="A22" s="1420"/>
      <c r="B22" s="425"/>
      <c r="C22" s="1631">
        <v>214</v>
      </c>
      <c r="D22" s="1628" t="s">
        <v>273</v>
      </c>
      <c r="E22" s="1629" t="s">
        <v>778</v>
      </c>
      <c r="F22" s="1407" t="s">
        <v>326</v>
      </c>
      <c r="G22" s="1404" t="s">
        <v>5133</v>
      </c>
      <c r="H22" s="1404" t="s">
        <v>5134</v>
      </c>
      <c r="I22" s="1404"/>
      <c r="J22" s="1406" t="s">
        <v>425</v>
      </c>
      <c r="K22" s="1404" t="s">
        <v>424</v>
      </c>
      <c r="L22" s="1408">
        <v>90000</v>
      </c>
      <c r="M22" s="1408">
        <v>2119</v>
      </c>
      <c r="N22" s="1409">
        <f>SUMIFS(srpro!$F$10:$F$3010,srpro!$B$10:$B$3010,ProHeader!C22)</f>
        <v>91200</v>
      </c>
      <c r="O22" s="1409">
        <f>SUMIFS(srpro!$E$10:$E$3010,srpro!$B$10:$B$3010,ProHeader!C22)</f>
        <v>63327</v>
      </c>
      <c r="P22" s="1393" t="s">
        <v>433</v>
      </c>
      <c r="Q22" s="1393">
        <v>50058</v>
      </c>
      <c r="R22" s="1393">
        <v>50057</v>
      </c>
      <c r="S22" s="1393"/>
      <c r="T22" s="1393"/>
      <c r="U22" s="1393"/>
      <c r="V22" s="1393"/>
      <c r="W22" s="1393" t="s">
        <v>434</v>
      </c>
      <c r="X22" s="1394"/>
      <c r="Y22" s="1394"/>
      <c r="Z22" s="1394"/>
      <c r="AA22" s="1395">
        <f t="shared" si="1"/>
        <v>0</v>
      </c>
      <c r="AB22" s="1393" t="str">
        <f t="shared" si="2"/>
        <v>ALI SHEHI</v>
      </c>
      <c r="AC22" s="1393">
        <f t="shared" si="0"/>
        <v>214</v>
      </c>
      <c r="AD22" s="1396">
        <f t="shared" si="3"/>
        <v>92119</v>
      </c>
      <c r="AE22" s="1396">
        <f t="shared" si="4"/>
        <v>91200</v>
      </c>
      <c r="AF22" s="1396">
        <f t="shared" si="5"/>
        <v>63327</v>
      </c>
      <c r="AG22" s="1397">
        <f t="shared" si="6"/>
        <v>0.65307536990197468</v>
      </c>
      <c r="AH22" s="1397">
        <f t="shared" si="7"/>
        <v>0.9405225849173352</v>
      </c>
      <c r="AI22" s="1393" t="str">
        <f>IFERROR(VLOOKUP(C22,salesInv!$D$8:$AM$494,35,FALSE),"-")</f>
        <v>-</v>
      </c>
      <c r="AJ22" s="1398" t="str">
        <f>IFERROR(VLOOKUP(C22,salesInv!$D$8:$AM$494,36,FALSE),"-")</f>
        <v>-</v>
      </c>
      <c r="AK22" s="1396" t="str">
        <f>IFERROR(VLOOKUP(C22,salesInv!$D$8:$I$494,3,FALSE),"-")</f>
        <v>-</v>
      </c>
      <c r="AL22" s="1396" t="str">
        <f>IFERROR(VLOOKUP(C22,salesInv!$D$8:$I$494,4,FALSE),"-")</f>
        <v>-</v>
      </c>
      <c r="AM22" s="1396" t="str">
        <f>IFERROR(VLOOKUP(C22,salesInv!$D$8:$I$494,6,FALSE),"-")</f>
        <v>-</v>
      </c>
      <c r="AN22" s="1396">
        <f>COUNTIF(salesInv!$D$8:$D$494,ProHeader!C22)</f>
        <v>0</v>
      </c>
      <c r="AO22" s="1396"/>
      <c r="AP22" s="1396"/>
      <c r="AQ22" s="1396"/>
      <c r="AR22" s="1396"/>
      <c r="AS22" s="1396"/>
      <c r="AT22" s="1396"/>
      <c r="AU22" s="1396"/>
      <c r="AV22" s="1396"/>
      <c r="AW22" s="1396"/>
      <c r="AX22" s="1396"/>
      <c r="AY22" s="1396"/>
      <c r="AZ22" s="1396"/>
    </row>
    <row r="23" spans="1:52" ht="15.75">
      <c r="A23" s="1420"/>
      <c r="B23" s="425"/>
      <c r="C23" s="1631">
        <v>215</v>
      </c>
      <c r="D23" s="1628" t="s">
        <v>850</v>
      </c>
      <c r="E23" s="1629" t="s">
        <v>2999</v>
      </c>
      <c r="F23" s="1404" t="s">
        <v>3000</v>
      </c>
      <c r="G23" s="1404" t="s">
        <v>3001</v>
      </c>
      <c r="H23" s="1404">
        <v>4310154</v>
      </c>
      <c r="I23" s="1404"/>
      <c r="J23" s="1406" t="s">
        <v>795</v>
      </c>
      <c r="K23" s="1404" t="s">
        <v>794</v>
      </c>
      <c r="L23" s="1408">
        <v>425000</v>
      </c>
      <c r="M23" s="1408"/>
      <c r="N23" s="1409">
        <f>SUMIFS(srpro!$F$10:$F$3010,srpro!$B$10:$B$3010,ProHeader!C23)</f>
        <v>337500.47142857139</v>
      </c>
      <c r="O23" s="1409">
        <f>SUMIFS(srpro!$E$10:$E$3010,srpro!$B$10:$B$3010,ProHeader!C23)</f>
        <v>300709.17</v>
      </c>
      <c r="P23" s="1393" t="s">
        <v>796</v>
      </c>
      <c r="Q23" s="1393">
        <v>210147</v>
      </c>
      <c r="R23" s="1393">
        <v>170141</v>
      </c>
      <c r="S23" s="1393" t="s">
        <v>852</v>
      </c>
      <c r="T23" s="1393"/>
      <c r="U23" s="1393"/>
      <c r="V23" s="1393"/>
      <c r="W23" s="1393" t="s">
        <v>3002</v>
      </c>
      <c r="X23" s="1394">
        <v>0.05</v>
      </c>
      <c r="Y23" s="1394">
        <v>0.17</v>
      </c>
      <c r="Z23" s="1394">
        <v>0.05</v>
      </c>
      <c r="AA23" s="1395">
        <f t="shared" si="1"/>
        <v>21250</v>
      </c>
      <c r="AB23" s="1393" t="str">
        <f t="shared" si="2"/>
        <v>SAIF . IDEAL Abbas</v>
      </c>
      <c r="AC23" s="1393">
        <f t="shared" si="0"/>
        <v>215</v>
      </c>
      <c r="AD23" s="1396">
        <f t="shared" si="3"/>
        <v>425000</v>
      </c>
      <c r="AE23" s="1396">
        <f t="shared" si="4"/>
        <v>337500.47142857139</v>
      </c>
      <c r="AF23" s="1396">
        <f t="shared" si="5"/>
        <v>300709.17</v>
      </c>
      <c r="AG23" s="1397">
        <f t="shared" si="6"/>
        <v>0.67217343882352931</v>
      </c>
      <c r="AH23" s="1397">
        <f t="shared" si="7"/>
        <v>0.75441281848739494</v>
      </c>
      <c r="AI23" s="1393" t="str">
        <f>IFERROR(VLOOKUP(C23,salesInv!$D$8:$AM$494,35,FALSE),"-")</f>
        <v>H/M/44/2024</v>
      </c>
      <c r="AJ23" s="1398" t="str">
        <f>IFERROR(VLOOKUP(C23,salesInv!$D$8:$AM$494,36,FALSE),"-")</f>
        <v>-</v>
      </c>
      <c r="AK23" s="1396">
        <f>IFERROR(VLOOKUP(C23,salesInv!$D$8:$I$494,3,FALSE),"-")</f>
        <v>45000</v>
      </c>
      <c r="AL23" s="1396">
        <f>IFERROR(VLOOKUP(C23,salesInv!$D$8:$I$494,4,FALSE),"-")</f>
        <v>2250</v>
      </c>
      <c r="AM23" s="1396">
        <f>IFERROR(VLOOKUP(C23,salesInv!$D$8:$I$494,6,FALSE),"-")</f>
        <v>0</v>
      </c>
      <c r="AN23" s="1396">
        <f>COUNTIF(salesInv!$D$8:$D$494,ProHeader!C23)</f>
        <v>1</v>
      </c>
      <c r="AO23" s="1396"/>
      <c r="AP23" s="1396"/>
      <c r="AQ23" s="1396"/>
      <c r="AR23" s="1396"/>
      <c r="AS23" s="1396"/>
      <c r="AT23" s="1396"/>
      <c r="AU23" s="1396"/>
      <c r="AV23" s="1396"/>
      <c r="AW23" s="1396"/>
      <c r="AX23" s="1396"/>
      <c r="AY23" s="1396"/>
      <c r="AZ23" s="1396"/>
    </row>
    <row r="24" spans="1:52" ht="15.75">
      <c r="A24" s="1420"/>
      <c r="B24" s="425"/>
      <c r="C24" s="1631">
        <v>216</v>
      </c>
      <c r="D24" s="1628" t="s">
        <v>300</v>
      </c>
      <c r="E24" s="1629" t="s">
        <v>671</v>
      </c>
      <c r="F24" s="1407" t="s">
        <v>672</v>
      </c>
      <c r="G24" s="1407" t="s">
        <v>5135</v>
      </c>
      <c r="H24" s="1404">
        <v>2827625</v>
      </c>
      <c r="I24" s="1404"/>
      <c r="J24" s="1404" t="s">
        <v>674</v>
      </c>
      <c r="K24" s="1407" t="s">
        <v>673</v>
      </c>
      <c r="L24" s="1408">
        <v>165000</v>
      </c>
      <c r="M24" s="1408">
        <v>30000</v>
      </c>
      <c r="N24" s="1409">
        <f>SUMIFS(srpro!$F$10:$F$3010,srpro!$B$10:$B$3010,ProHeader!C24)</f>
        <v>188250</v>
      </c>
      <c r="O24" s="1409">
        <f>SUMIFS(srpro!$E$10:$E$3010,srpro!$B$10:$B$3010,ProHeader!C24)</f>
        <v>142979.09</v>
      </c>
      <c r="P24" s="1393" t="s">
        <v>675</v>
      </c>
      <c r="Q24" s="1393">
        <v>85344</v>
      </c>
      <c r="R24" s="1393">
        <v>74267</v>
      </c>
      <c r="S24" s="1393"/>
      <c r="T24" s="1393"/>
      <c r="U24" s="1393"/>
      <c r="V24" s="1393"/>
      <c r="W24" s="1393"/>
      <c r="X24" s="1394">
        <v>0.05</v>
      </c>
      <c r="Y24" s="1394">
        <v>0.15</v>
      </c>
      <c r="Z24" s="1394">
        <v>0</v>
      </c>
      <c r="AA24" s="1395">
        <f t="shared" si="1"/>
        <v>0</v>
      </c>
      <c r="AB24" s="1393" t="str">
        <f t="shared" si="2"/>
        <v>MUHAIR . AREEJ</v>
      </c>
      <c r="AC24" s="1393">
        <f t="shared" si="0"/>
        <v>216</v>
      </c>
      <c r="AD24" s="1396">
        <f t="shared" si="3"/>
        <v>195000</v>
      </c>
      <c r="AE24" s="1396">
        <f t="shared" si="4"/>
        <v>188250</v>
      </c>
      <c r="AF24" s="1396">
        <f t="shared" si="5"/>
        <v>142979.09</v>
      </c>
      <c r="AG24" s="1397">
        <f t="shared" si="6"/>
        <v>0.6965647974358975</v>
      </c>
      <c r="AH24" s="1397">
        <f t="shared" si="7"/>
        <v>0.91711538461538467</v>
      </c>
      <c r="AI24" s="1393" t="str">
        <f>IFERROR(VLOOKUP(C24,salesInv!$D$8:$AM$494,35,FALSE),"-")</f>
        <v>H/M/03/2024</v>
      </c>
      <c r="AJ24" s="1398" t="str">
        <f>IFERROR(VLOOKUP(C24,salesInv!$D$8:$AM$494,36,FALSE),"-")</f>
        <v>-</v>
      </c>
      <c r="AK24" s="1396">
        <f>IFERROR(VLOOKUP(C24,salesInv!$D$8:$I$494,3,FALSE),"-")</f>
        <v>60720</v>
      </c>
      <c r="AL24" s="1396">
        <f>IFERROR(VLOOKUP(C24,salesInv!$D$8:$I$494,4,FALSE),"-")</f>
        <v>3036</v>
      </c>
      <c r="AM24" s="1396">
        <f>IFERROR(VLOOKUP(C24,salesInv!$D$8:$I$494,6,FALSE),"-")</f>
        <v>63756</v>
      </c>
      <c r="AN24" s="1396">
        <f>COUNTIF(salesInv!$D$8:$D$494,ProHeader!C24)</f>
        <v>5</v>
      </c>
      <c r="AO24" s="1396"/>
      <c r="AP24" s="1396"/>
      <c r="AQ24" s="1396"/>
      <c r="AR24" s="1396"/>
      <c r="AS24" s="1396"/>
      <c r="AT24" s="1396"/>
      <c r="AU24" s="1396"/>
      <c r="AV24" s="1396"/>
      <c r="AW24" s="1396"/>
      <c r="AX24" s="1396"/>
      <c r="AY24" s="1396"/>
      <c r="AZ24" s="1396"/>
    </row>
    <row r="25" spans="1:52" ht="15.75" customHeight="1">
      <c r="A25" s="1420"/>
      <c r="B25" s="425"/>
      <c r="C25" s="1631">
        <v>217</v>
      </c>
      <c r="D25" s="1628" t="s">
        <v>296</v>
      </c>
      <c r="E25" s="1629" t="s">
        <v>649</v>
      </c>
      <c r="F25" s="1404" t="s">
        <v>323</v>
      </c>
      <c r="G25" s="1407" t="s">
        <v>5135</v>
      </c>
      <c r="H25" s="1404">
        <v>2827624</v>
      </c>
      <c r="I25" s="1404"/>
      <c r="J25" s="1406" t="s">
        <v>651</v>
      </c>
      <c r="K25" s="1407" t="s">
        <v>650</v>
      </c>
      <c r="L25" s="1408">
        <v>175000</v>
      </c>
      <c r="M25" s="1408">
        <v>3000</v>
      </c>
      <c r="N25" s="1409">
        <f>SUMIFS(srpro!$F$10:$F$3010,srpro!$B$10:$B$3010,ProHeader!C25)</f>
        <v>179077.5</v>
      </c>
      <c r="O25" s="1409">
        <f>SUMIFS(srpro!$E$10:$E$3010,srpro!$B$10:$B$3010,ProHeader!C25)</f>
        <v>152930.56599999999</v>
      </c>
      <c r="P25" s="1393" t="s">
        <v>652</v>
      </c>
      <c r="Q25" s="1393">
        <v>96631</v>
      </c>
      <c r="R25" s="1393">
        <v>85622</v>
      </c>
      <c r="S25" s="1393"/>
      <c r="T25" s="1393"/>
      <c r="U25" s="1393"/>
      <c r="V25" s="1393"/>
      <c r="W25" s="1393"/>
      <c r="X25" s="1394">
        <v>0.05</v>
      </c>
      <c r="Y25" s="1394">
        <v>0.15</v>
      </c>
      <c r="Z25" s="1394">
        <v>0</v>
      </c>
      <c r="AA25" s="1395">
        <f t="shared" si="1"/>
        <v>0</v>
      </c>
      <c r="AB25" s="1393" t="str">
        <f t="shared" si="2"/>
        <v xml:space="preserve">MOHAMED MUHAIR . AREEJ </v>
      </c>
      <c r="AC25" s="1393">
        <f t="shared" si="0"/>
        <v>217</v>
      </c>
      <c r="AD25" s="1396">
        <f t="shared" si="3"/>
        <v>178000</v>
      </c>
      <c r="AE25" s="1396">
        <f t="shared" si="4"/>
        <v>179077.5</v>
      </c>
      <c r="AF25" s="1396">
        <f t="shared" si="5"/>
        <v>152930.56599999999</v>
      </c>
      <c r="AG25" s="1397">
        <f t="shared" si="6"/>
        <v>0.81620245898876398</v>
      </c>
      <c r="AH25" s="1397">
        <f t="shared" si="7"/>
        <v>0.95575070224719105</v>
      </c>
      <c r="AI25" s="1393" t="str">
        <f>IFERROR(VLOOKUP(C25,salesInv!$D$8:$AM$494,35,FALSE),"-")</f>
        <v>H/M/46/2024</v>
      </c>
      <c r="AJ25" s="1398" t="str">
        <f>IFERROR(VLOOKUP(C25,salesInv!$D$8:$AM$494,36,FALSE),"-")</f>
        <v>-</v>
      </c>
      <c r="AK25" s="1396">
        <f>IFERROR(VLOOKUP(C25,salesInv!$D$8:$I$494,3,FALSE),"-")</f>
        <v>65800</v>
      </c>
      <c r="AL25" s="1396">
        <f>IFERROR(VLOOKUP(C25,salesInv!$D$8:$I$494,4,FALSE),"-")</f>
        <v>3290</v>
      </c>
      <c r="AM25" s="1396">
        <f>IFERROR(VLOOKUP(C25,salesInv!$D$8:$I$494,6,FALSE),"-")</f>
        <v>69090</v>
      </c>
      <c r="AN25" s="1396">
        <f>COUNTIF(salesInv!$D$8:$D$494,ProHeader!C25)</f>
        <v>4</v>
      </c>
      <c r="AO25" s="1396"/>
      <c r="AP25" s="1396"/>
      <c r="AQ25" s="1396"/>
      <c r="AR25" s="1396"/>
      <c r="AS25" s="1396"/>
      <c r="AT25" s="1396"/>
      <c r="AU25" s="1396"/>
      <c r="AV25" s="1396"/>
      <c r="AW25" s="1396"/>
      <c r="AX25" s="1396"/>
      <c r="AY25" s="1396"/>
      <c r="AZ25" s="1396"/>
    </row>
    <row r="26" spans="1:52" ht="15.75" customHeight="1">
      <c r="A26" s="1420"/>
      <c r="B26" s="425"/>
      <c r="C26" s="1631">
        <v>218</v>
      </c>
      <c r="D26" s="1628" t="s">
        <v>153</v>
      </c>
      <c r="E26" s="1630" t="s">
        <v>528</v>
      </c>
      <c r="F26" s="1404" t="s">
        <v>529</v>
      </c>
      <c r="G26" s="1404" t="s">
        <v>5136</v>
      </c>
      <c r="H26" s="1404">
        <v>2822704</v>
      </c>
      <c r="I26" s="1404"/>
      <c r="J26" s="1404" t="s">
        <v>531</v>
      </c>
      <c r="K26" s="1404" t="s">
        <v>530</v>
      </c>
      <c r="L26" s="1408">
        <v>160000</v>
      </c>
      <c r="M26" s="1408">
        <v>9000</v>
      </c>
      <c r="N26" s="1409">
        <f>SUMIFS(srpro!$F$10:$F$3010,srpro!$B$10:$B$3010,ProHeader!C26)</f>
        <v>158894.76</v>
      </c>
      <c r="O26" s="1409">
        <f>SUMIFS(srpro!$E$10:$E$3010,srpro!$B$10:$B$3010,ProHeader!C26)</f>
        <v>121187.35250000001</v>
      </c>
      <c r="P26" s="1393" t="s">
        <v>532</v>
      </c>
      <c r="Q26" s="1393">
        <v>94668</v>
      </c>
      <c r="R26" s="1393">
        <v>74902</v>
      </c>
      <c r="S26" s="1393" t="s">
        <v>533</v>
      </c>
      <c r="T26" s="1393">
        <v>15445</v>
      </c>
      <c r="U26" s="1393">
        <v>15445</v>
      </c>
      <c r="V26" s="1393"/>
      <c r="W26" s="1393"/>
      <c r="X26" s="1394">
        <v>0.05</v>
      </c>
      <c r="Y26" s="1394">
        <v>0.2</v>
      </c>
      <c r="Z26" s="1394">
        <v>0</v>
      </c>
      <c r="AA26" s="1395">
        <f t="shared" si="1"/>
        <v>0</v>
      </c>
      <c r="AB26" s="1393" t="str">
        <f t="shared" si="2"/>
        <v>RASHED FALASI - AREEJ</v>
      </c>
      <c r="AC26" s="1393">
        <f t="shared" si="0"/>
        <v>218</v>
      </c>
      <c r="AD26" s="1396">
        <f t="shared" si="3"/>
        <v>169000</v>
      </c>
      <c r="AE26" s="1396">
        <f t="shared" si="4"/>
        <v>158894.76</v>
      </c>
      <c r="AF26" s="1396">
        <f t="shared" si="5"/>
        <v>121187.35250000001</v>
      </c>
      <c r="AG26" s="1397">
        <f t="shared" si="6"/>
        <v>0.68123067973372786</v>
      </c>
      <c r="AH26" s="1397">
        <f t="shared" si="7"/>
        <v>0.89319539644970414</v>
      </c>
      <c r="AI26" s="1393" t="str">
        <f>IFERROR(VLOOKUP(C26,salesInv!$D$8:$AM$494,35,FALSE),"-")</f>
        <v>H/M/20/2024</v>
      </c>
      <c r="AJ26" s="1398" t="str">
        <f>IFERROR(VLOOKUP(C26,salesInv!$D$8:$AM$494,36,FALSE),"-")</f>
        <v>-</v>
      </c>
      <c r="AK26" s="1396">
        <f>IFERROR(VLOOKUP(C26,salesInv!$D$8:$I$494,3,FALSE),"-")</f>
        <v>61645</v>
      </c>
      <c r="AL26" s="1396">
        <f>IFERROR(VLOOKUP(C26,salesInv!$D$8:$I$494,4,FALSE),"-")</f>
        <v>3082.25</v>
      </c>
      <c r="AM26" s="1396">
        <f>IFERROR(VLOOKUP(C26,salesInv!$D$8:$I$494,6,FALSE),"-")</f>
        <v>64727.25</v>
      </c>
      <c r="AN26" s="1396">
        <f>COUNTIF(salesInv!$D$8:$D$494,ProHeader!C26)</f>
        <v>1</v>
      </c>
      <c r="AO26" s="1396"/>
      <c r="AP26" s="1396"/>
      <c r="AQ26" s="1396"/>
      <c r="AR26" s="1396"/>
      <c r="AS26" s="1396"/>
      <c r="AT26" s="1396"/>
      <c r="AU26" s="1396"/>
      <c r="AV26" s="1396"/>
      <c r="AW26" s="1396"/>
      <c r="AX26" s="1396"/>
      <c r="AY26" s="1396"/>
      <c r="AZ26" s="1396"/>
    </row>
    <row r="27" spans="1:52" ht="15.75" customHeight="1">
      <c r="A27" s="1420"/>
      <c r="B27" s="425"/>
      <c r="C27" s="1631">
        <v>219</v>
      </c>
      <c r="D27" s="1628" t="s">
        <v>5680</v>
      </c>
      <c r="E27" s="1629" t="s">
        <v>369</v>
      </c>
      <c r="F27" s="1404" t="s">
        <v>370</v>
      </c>
      <c r="G27" s="1404" t="s">
        <v>371</v>
      </c>
      <c r="H27" s="1404">
        <v>71110925</v>
      </c>
      <c r="I27" s="1404"/>
      <c r="J27" s="1406" t="s">
        <v>373</v>
      </c>
      <c r="K27" s="1404" t="s">
        <v>372</v>
      </c>
      <c r="L27" s="1408">
        <v>135000</v>
      </c>
      <c r="M27" s="1408"/>
      <c r="N27" s="1409">
        <f>SUMIFS(srpro!$F$10:$F$3010,srpro!$B$10:$B$3010,ProHeader!C27)</f>
        <v>123250</v>
      </c>
      <c r="O27" s="1409">
        <f>SUMIFS(srpro!$E$10:$E$3010,srpro!$B$10:$B$3010,ProHeader!C27)</f>
        <v>96470.75</v>
      </c>
      <c r="P27" s="1393" t="s">
        <v>374</v>
      </c>
      <c r="Q27" s="1393">
        <v>75216</v>
      </c>
      <c r="R27" s="1393">
        <v>75217</v>
      </c>
      <c r="S27" s="1393" t="s">
        <v>375</v>
      </c>
      <c r="T27" s="1393"/>
      <c r="U27" s="1393"/>
      <c r="V27" s="1393"/>
      <c r="W27" s="1393"/>
      <c r="X27" s="1394"/>
      <c r="Y27" s="1394"/>
      <c r="Z27" s="1394"/>
      <c r="AA27" s="1395">
        <f t="shared" si="1"/>
        <v>0</v>
      </c>
      <c r="AB27" s="1393" t="str">
        <f t="shared" si="2"/>
        <v>abdullah Ghuloom ertikaz</v>
      </c>
      <c r="AC27" s="1393">
        <f t="shared" si="0"/>
        <v>219</v>
      </c>
      <c r="AD27" s="1396">
        <f t="shared" si="3"/>
        <v>135000</v>
      </c>
      <c r="AE27" s="1396">
        <f t="shared" si="4"/>
        <v>123250</v>
      </c>
      <c r="AF27" s="1396">
        <f t="shared" si="5"/>
        <v>96470.75</v>
      </c>
      <c r="AG27" s="1397">
        <f t="shared" si="6"/>
        <v>0.6788682407407407</v>
      </c>
      <c r="AH27" s="1397">
        <f t="shared" si="7"/>
        <v>0.86731481481481476</v>
      </c>
      <c r="AI27" s="1393" t="str">
        <f>IFERROR(VLOOKUP(C27,salesInv!$D$8:$AM$494,35,FALSE),"-")</f>
        <v>H/M/114/2024</v>
      </c>
      <c r="AJ27" s="1398">
        <f>IFERROR(VLOOKUP(C27,salesInv!$D$8:$AM$494,36,FALSE),"-")</f>
        <v>45571</v>
      </c>
      <c r="AK27" s="1396">
        <f>IFERROR(VLOOKUP(C27,salesInv!$D$8:$I$494,3,FALSE),"-")</f>
        <v>6750</v>
      </c>
      <c r="AL27" s="1396">
        <f>IFERROR(VLOOKUP(C27,salesInv!$D$8:$I$494,4,FALSE),"-")</f>
        <v>337.5</v>
      </c>
      <c r="AM27" s="1396">
        <f>IFERROR(VLOOKUP(C27,salesInv!$D$8:$I$494,6,FALSE),"-")</f>
        <v>7087.5</v>
      </c>
      <c r="AN27" s="1396">
        <f>COUNTIF(salesInv!$D$8:$D$494,ProHeader!C27)</f>
        <v>1</v>
      </c>
      <c r="AO27" s="1396"/>
      <c r="AP27" s="1396"/>
      <c r="AQ27" s="1396"/>
      <c r="AR27" s="1396"/>
      <c r="AS27" s="1396"/>
      <c r="AT27" s="1396"/>
      <c r="AU27" s="1396"/>
      <c r="AV27" s="1396"/>
      <c r="AW27" s="1396"/>
      <c r="AX27" s="1396"/>
      <c r="AY27" s="1396"/>
      <c r="AZ27" s="1396"/>
    </row>
    <row r="28" spans="1:52" ht="15.75" customHeight="1">
      <c r="A28" s="1420"/>
      <c r="B28" s="425"/>
      <c r="C28" s="1631">
        <v>220</v>
      </c>
      <c r="D28" s="1628" t="s">
        <v>290</v>
      </c>
      <c r="E28" s="1629" t="s">
        <v>754</v>
      </c>
      <c r="F28" s="1404"/>
      <c r="G28" s="1404" t="s">
        <v>585</v>
      </c>
      <c r="H28" s="1404">
        <v>9310127</v>
      </c>
      <c r="I28" s="1404"/>
      <c r="J28" s="1404" t="s">
        <v>753</v>
      </c>
      <c r="K28" s="1404" t="s">
        <v>752</v>
      </c>
      <c r="L28" s="1408">
        <v>165000</v>
      </c>
      <c r="M28" s="1408"/>
      <c r="N28" s="1409">
        <f>SUMIFS(srpro!$F$10:$F$3010,srpro!$B$10:$B$3010,ProHeader!C28)</f>
        <v>104875</v>
      </c>
      <c r="O28" s="1409">
        <f>SUMIFS(srpro!$E$10:$E$3010,srpro!$B$10:$B$3010,ProHeader!C28)</f>
        <v>65281.450000000004</v>
      </c>
      <c r="P28" s="1393" t="s">
        <v>755</v>
      </c>
      <c r="Q28" s="1393">
        <v>92232</v>
      </c>
      <c r="R28" s="1393">
        <v>36073</v>
      </c>
      <c r="S28" s="1393"/>
      <c r="T28" s="1393"/>
      <c r="U28" s="1393"/>
      <c r="V28" s="1393"/>
      <c r="W28" s="1393" t="s">
        <v>756</v>
      </c>
      <c r="X28" s="1394">
        <v>0.05</v>
      </c>
      <c r="Y28" s="1394">
        <v>0.2</v>
      </c>
      <c r="Z28" s="1394">
        <v>0</v>
      </c>
      <c r="AA28" s="1395">
        <f t="shared" si="1"/>
        <v>0</v>
      </c>
      <c r="AB28" s="1393" t="str">
        <f t="shared" si="2"/>
        <v xml:space="preserve">KHALFAN  VILLA  </v>
      </c>
      <c r="AC28" s="1393">
        <f t="shared" si="0"/>
        <v>220</v>
      </c>
      <c r="AD28" s="1396">
        <f t="shared" si="3"/>
        <v>165000</v>
      </c>
      <c r="AE28" s="1396">
        <f t="shared" si="4"/>
        <v>104875</v>
      </c>
      <c r="AF28" s="1396">
        <f t="shared" si="5"/>
        <v>65281.450000000004</v>
      </c>
      <c r="AG28" s="1397">
        <f t="shared" si="6"/>
        <v>0.37586289393939393</v>
      </c>
      <c r="AH28" s="1397">
        <f t="shared" si="7"/>
        <v>0.60382575757575763</v>
      </c>
      <c r="AI28" s="1393" t="str">
        <f>IFERROR(VLOOKUP(C28,salesInv!$D$8:$AM$494,35,FALSE),"-")</f>
        <v>-</v>
      </c>
      <c r="AJ28" s="1398" t="str">
        <f>IFERROR(VLOOKUP(C28,salesInv!$D$8:$AM$494,36,FALSE),"-")</f>
        <v>-</v>
      </c>
      <c r="AK28" s="1396" t="str">
        <f>IFERROR(VLOOKUP(C28,salesInv!$D$8:$I$494,3,FALSE),"-")</f>
        <v>-</v>
      </c>
      <c r="AL28" s="1396" t="str">
        <f>IFERROR(VLOOKUP(C28,salesInv!$D$8:$I$494,4,FALSE),"-")</f>
        <v>-</v>
      </c>
      <c r="AM28" s="1396" t="str">
        <f>IFERROR(VLOOKUP(C28,salesInv!$D$8:$I$494,6,FALSE),"-")</f>
        <v>-</v>
      </c>
      <c r="AN28" s="1396">
        <f>COUNTIF(salesInv!$D$8:$D$494,ProHeader!C28)</f>
        <v>0</v>
      </c>
      <c r="AO28" s="1396"/>
      <c r="AP28" s="1396"/>
      <c r="AQ28" s="1396"/>
      <c r="AR28" s="1396"/>
      <c r="AS28" s="1396"/>
      <c r="AT28" s="1396"/>
      <c r="AU28" s="1396"/>
      <c r="AV28" s="1396"/>
      <c r="AW28" s="1396"/>
      <c r="AX28" s="1396"/>
      <c r="AY28" s="1396"/>
      <c r="AZ28" s="1396"/>
    </row>
    <row r="29" spans="1:52" ht="15.75" customHeight="1">
      <c r="A29" s="1420"/>
      <c r="B29" s="425"/>
      <c r="C29" s="1631">
        <v>221</v>
      </c>
      <c r="D29" s="1628" t="s">
        <v>305</v>
      </c>
      <c r="E29" s="1629" t="s">
        <v>501</v>
      </c>
      <c r="F29" s="1404" t="s">
        <v>323</v>
      </c>
      <c r="G29" s="1404" t="s">
        <v>5137</v>
      </c>
      <c r="H29" s="1404">
        <v>7115084</v>
      </c>
      <c r="I29" s="1404"/>
      <c r="J29" s="1406" t="s">
        <v>503</v>
      </c>
      <c r="K29" s="1404" t="s">
        <v>502</v>
      </c>
      <c r="L29" s="1408">
        <v>135000</v>
      </c>
      <c r="M29" s="1408">
        <v>9000</v>
      </c>
      <c r="N29" s="1409">
        <f>SUMIFS(srpro!$F$10:$F$3010,srpro!$B$10:$B$3010,ProHeader!C29)</f>
        <v>144270</v>
      </c>
      <c r="O29" s="1409">
        <f>SUMIFS(srpro!$E$10:$E$3010,srpro!$B$10:$B$3010,ProHeader!C29)</f>
        <v>117426.29750000002</v>
      </c>
      <c r="P29" s="1393" t="s">
        <v>504</v>
      </c>
      <c r="Q29" s="1393">
        <v>76335</v>
      </c>
      <c r="R29" s="1393">
        <v>76335</v>
      </c>
      <c r="S29" s="1393"/>
      <c r="T29" s="1393"/>
      <c r="U29" s="1393"/>
      <c r="V29" s="1393"/>
      <c r="W29" s="1393" t="s">
        <v>505</v>
      </c>
      <c r="X29" s="1394">
        <v>0.05</v>
      </c>
      <c r="Y29" s="1394">
        <v>0.2</v>
      </c>
      <c r="Z29" s="1394">
        <v>0</v>
      </c>
      <c r="AA29" s="1395">
        <f t="shared" si="1"/>
        <v>0</v>
      </c>
      <c r="AB29" s="1393" t="str">
        <f t="shared" si="2"/>
        <v>Saeed . Archpix</v>
      </c>
      <c r="AC29" s="1393">
        <f t="shared" si="0"/>
        <v>221</v>
      </c>
      <c r="AD29" s="1396">
        <f t="shared" si="3"/>
        <v>144000</v>
      </c>
      <c r="AE29" s="1396">
        <f t="shared" si="4"/>
        <v>144270</v>
      </c>
      <c r="AF29" s="1396">
        <f t="shared" si="5"/>
        <v>117426.29750000002</v>
      </c>
      <c r="AG29" s="1397">
        <f t="shared" si="6"/>
        <v>0.77468737934027787</v>
      </c>
      <c r="AH29" s="1397">
        <f t="shared" si="7"/>
        <v>0.95178125000000002</v>
      </c>
      <c r="AI29" s="1393" t="str">
        <f>IFERROR(VLOOKUP(C29,salesInv!$D$8:$AM$494,35,FALSE),"-")</f>
        <v>H/M/21/2024</v>
      </c>
      <c r="AJ29" s="1398" t="str">
        <f>IFERROR(VLOOKUP(C29,salesInv!$D$8:$AM$494,36,FALSE),"-")</f>
        <v>-</v>
      </c>
      <c r="AK29" s="1396">
        <f>IFERROR(VLOOKUP(C29,salesInv!$D$8:$I$494,3,FALSE),"-")</f>
        <v>50670</v>
      </c>
      <c r="AL29" s="1396">
        <f>IFERROR(VLOOKUP(C29,salesInv!$D$8:$I$494,4,FALSE),"-")</f>
        <v>2533.5</v>
      </c>
      <c r="AM29" s="1396">
        <f>IFERROR(VLOOKUP(C29,salesInv!$D$8:$I$494,6,FALSE),"-")</f>
        <v>53300</v>
      </c>
      <c r="AN29" s="1396">
        <f>COUNTIF(salesInv!$D$8:$D$494,ProHeader!C29)</f>
        <v>3</v>
      </c>
      <c r="AO29" s="1396"/>
      <c r="AP29" s="1396"/>
      <c r="AQ29" s="1396"/>
      <c r="AR29" s="1396"/>
      <c r="AS29" s="1396"/>
      <c r="AT29" s="1396"/>
      <c r="AU29" s="1396"/>
      <c r="AV29" s="1396"/>
      <c r="AW29" s="1396"/>
      <c r="AX29" s="1396"/>
      <c r="AY29" s="1396"/>
      <c r="AZ29" s="1396"/>
    </row>
    <row r="30" spans="1:52" ht="15.75" customHeight="1">
      <c r="A30" s="1420"/>
      <c r="B30" s="425"/>
      <c r="C30" s="1631">
        <v>207</v>
      </c>
      <c r="D30" s="1628" t="s">
        <v>1349</v>
      </c>
      <c r="E30" s="1629" t="s">
        <v>501</v>
      </c>
      <c r="F30" s="1404" t="s">
        <v>323</v>
      </c>
      <c r="G30" s="1404" t="s">
        <v>1007</v>
      </c>
      <c r="H30" s="1404">
        <v>7115084</v>
      </c>
      <c r="I30" s="1404"/>
      <c r="J30" s="1406" t="s">
        <v>1009</v>
      </c>
      <c r="K30" s="1404" t="s">
        <v>1008</v>
      </c>
      <c r="L30" s="1408">
        <v>135000</v>
      </c>
      <c r="M30" s="1408">
        <v>9000</v>
      </c>
      <c r="N30" s="1409">
        <f>SUMIFS(srpro!$F$10:$F$3010,srpro!$B$10:$B$3010,ProHeader!C30)</f>
        <v>9750</v>
      </c>
      <c r="O30" s="1409">
        <f>SUMIFS(srpro!$E$10:$E$3010,srpro!$B$10:$B$3010,ProHeader!C30)</f>
        <v>0</v>
      </c>
      <c r="P30" s="1393"/>
      <c r="Q30" s="1393"/>
      <c r="R30" s="1393"/>
      <c r="S30" s="1393"/>
      <c r="T30" s="1393"/>
      <c r="U30" s="1393"/>
      <c r="V30" s="1393"/>
      <c r="W30" s="1393"/>
      <c r="X30" s="1394">
        <v>0.05</v>
      </c>
      <c r="Y30" s="1394">
        <v>0.2</v>
      </c>
      <c r="Z30" s="1394">
        <v>0</v>
      </c>
      <c r="AA30" s="1395">
        <f t="shared" si="1"/>
        <v>0</v>
      </c>
      <c r="AB30" s="1393" t="str">
        <f t="shared" si="2"/>
        <v>SAEED BELOSHI Dynamic</v>
      </c>
      <c r="AC30" s="1393">
        <f t="shared" si="0"/>
        <v>207</v>
      </c>
      <c r="AD30" s="1396">
        <f t="shared" si="3"/>
        <v>144000</v>
      </c>
      <c r="AE30" s="1396">
        <f t="shared" si="4"/>
        <v>9750</v>
      </c>
      <c r="AF30" s="1396">
        <f t="shared" si="5"/>
        <v>0</v>
      </c>
      <c r="AG30" s="1397">
        <f t="shared" si="6"/>
        <v>0</v>
      </c>
      <c r="AH30" s="1397">
        <f t="shared" si="7"/>
        <v>6.432291666666666E-2</v>
      </c>
      <c r="AI30" s="1393" t="str">
        <f>IFERROR(VLOOKUP(C30,salesInv!$D$8:$AM$494,35,FALSE),"-")</f>
        <v>-</v>
      </c>
      <c r="AJ30" s="1398" t="str">
        <f>IFERROR(VLOOKUP(C30,salesInv!$D$8:$AM$494,36,FALSE),"-")</f>
        <v>-</v>
      </c>
      <c r="AK30" s="1396" t="str">
        <f>IFERROR(VLOOKUP(C30,salesInv!$D$8:$I$494,3,FALSE),"-")</f>
        <v>-</v>
      </c>
      <c r="AL30" s="1396" t="str">
        <f>IFERROR(VLOOKUP(C30,salesInv!$D$8:$I$494,4,FALSE),"-")</f>
        <v>-</v>
      </c>
      <c r="AM30" s="1396" t="str">
        <f>IFERROR(VLOOKUP(C30,salesInv!$D$8:$I$494,6,FALSE),"-")</f>
        <v>-</v>
      </c>
      <c r="AN30" s="1396">
        <f>COUNTIF(salesInv!$D$8:$D$494,ProHeader!C30)</f>
        <v>0</v>
      </c>
      <c r="AO30" s="1396"/>
      <c r="AP30" s="1396"/>
      <c r="AQ30" s="1396"/>
      <c r="AR30" s="1396"/>
      <c r="AS30" s="1396"/>
      <c r="AT30" s="1396"/>
      <c r="AU30" s="1396"/>
      <c r="AV30" s="1396"/>
      <c r="AW30" s="1396"/>
      <c r="AX30" s="1396"/>
      <c r="AY30" s="1396"/>
      <c r="AZ30" s="1396"/>
    </row>
    <row r="31" spans="1:52" ht="15.75" customHeight="1">
      <c r="A31" s="1420"/>
      <c r="B31" s="425"/>
      <c r="C31" s="1631">
        <v>222</v>
      </c>
      <c r="D31" s="1628" t="s">
        <v>306</v>
      </c>
      <c r="E31" s="1629" t="s">
        <v>489</v>
      </c>
      <c r="F31" s="1404" t="s">
        <v>490</v>
      </c>
      <c r="G31" s="1404" t="s">
        <v>5136</v>
      </c>
      <c r="H31" s="1404">
        <v>2822300</v>
      </c>
      <c r="I31" s="1404"/>
      <c r="J31" s="1406" t="s">
        <v>492</v>
      </c>
      <c r="K31" s="1407" t="s">
        <v>491</v>
      </c>
      <c r="L31" s="1408">
        <v>170000</v>
      </c>
      <c r="M31" s="1408"/>
      <c r="N31" s="1409">
        <f>SUMIFS(srpro!$F$10:$F$3010,srpro!$B$10:$B$3010,ProHeader!C31)</f>
        <v>170000</v>
      </c>
      <c r="O31" s="1409">
        <f>SUMIFS(srpro!$E$10:$E$3010,srpro!$B$10:$B$3010,ProHeader!C31)</f>
        <v>133707.19</v>
      </c>
      <c r="P31" s="1393" t="s">
        <v>493</v>
      </c>
      <c r="Q31" s="1393">
        <v>93513</v>
      </c>
      <c r="R31" s="1393">
        <v>93513.75</v>
      </c>
      <c r="S31" s="1393"/>
      <c r="T31" s="1393"/>
      <c r="U31" s="1393"/>
      <c r="V31" s="1393"/>
      <c r="W31" s="1393"/>
      <c r="X31" s="1394">
        <v>0.05</v>
      </c>
      <c r="Y31" s="1394">
        <v>0.15</v>
      </c>
      <c r="Z31" s="1394">
        <v>0</v>
      </c>
      <c r="AA31" s="1395">
        <f t="shared" si="1"/>
        <v>0</v>
      </c>
      <c r="AB31" s="1393" t="str">
        <f t="shared" si="2"/>
        <v>Samah . Archpix (2)</v>
      </c>
      <c r="AC31" s="1393">
        <f t="shared" si="0"/>
        <v>222</v>
      </c>
      <c r="AD31" s="1396">
        <f t="shared" si="3"/>
        <v>170000</v>
      </c>
      <c r="AE31" s="1396">
        <f t="shared" si="4"/>
        <v>170000</v>
      </c>
      <c r="AF31" s="1396">
        <f t="shared" si="5"/>
        <v>133707.19</v>
      </c>
      <c r="AG31" s="1397">
        <f t="shared" si="6"/>
        <v>0.74718723823529409</v>
      </c>
      <c r="AH31" s="1397">
        <f t="shared" si="7"/>
        <v>0.95</v>
      </c>
      <c r="AI31" s="1393" t="str">
        <f>IFERROR(VLOOKUP(C31,salesInv!$D$8:$AM$494,35,FALSE),"-")</f>
        <v>H/M/11/2024</v>
      </c>
      <c r="AJ31" s="1398" t="str">
        <f>IFERROR(VLOOKUP(C31,salesInv!$D$8:$AM$494,36,FALSE),"-")</f>
        <v>-</v>
      </c>
      <c r="AK31" s="1396">
        <f>IFERROR(VLOOKUP(C31,salesInv!$D$8:$I$494,3,FALSE),"-")</f>
        <v>62016</v>
      </c>
      <c r="AL31" s="1396">
        <f>IFERROR(VLOOKUP(C31,salesInv!$D$8:$I$494,4,FALSE),"-")</f>
        <v>3100.8</v>
      </c>
      <c r="AM31" s="1396">
        <f>IFERROR(VLOOKUP(C31,salesInv!$D$8:$I$494,6,FALSE),"-")</f>
        <v>65116.800000000003</v>
      </c>
      <c r="AN31" s="1396">
        <f>COUNTIF(salesInv!$D$8:$D$494,ProHeader!C31)</f>
        <v>2</v>
      </c>
      <c r="AO31" s="1396"/>
      <c r="AP31" s="1396"/>
      <c r="AQ31" s="1396"/>
      <c r="AR31" s="1396"/>
      <c r="AS31" s="1396"/>
      <c r="AT31" s="1396"/>
      <c r="AU31" s="1396"/>
      <c r="AV31" s="1396"/>
      <c r="AW31" s="1396"/>
      <c r="AX31" s="1396"/>
      <c r="AY31" s="1396"/>
      <c r="AZ31" s="1396"/>
    </row>
    <row r="32" spans="1:52" ht="15.75" customHeight="1">
      <c r="A32" s="1420"/>
      <c r="B32" s="425"/>
      <c r="C32" s="1631">
        <v>223</v>
      </c>
      <c r="D32" s="1628" t="s">
        <v>292</v>
      </c>
      <c r="E32" s="1629" t="s">
        <v>770</v>
      </c>
      <c r="F32" s="1404" t="s">
        <v>323</v>
      </c>
      <c r="G32" s="1404" t="s">
        <v>5138</v>
      </c>
      <c r="H32" s="1404">
        <v>71111233</v>
      </c>
      <c r="I32" s="1404"/>
      <c r="J32" s="1406" t="s">
        <v>771</v>
      </c>
      <c r="K32" s="1406" t="s">
        <v>415</v>
      </c>
      <c r="L32" s="1408">
        <v>100000</v>
      </c>
      <c r="M32" s="1408"/>
      <c r="N32" s="1409">
        <f>SUMIFS(srpro!$F$10:$F$3010,srpro!$B$10:$B$3010,ProHeader!C32)</f>
        <v>100102</v>
      </c>
      <c r="O32" s="1409">
        <f>SUMIFS(srpro!$E$10:$E$3010,srpro!$B$10:$B$3010,ProHeader!C32)</f>
        <v>70915.75</v>
      </c>
      <c r="P32" s="1393" t="s">
        <v>491</v>
      </c>
      <c r="Q32" s="1393">
        <v>52363</v>
      </c>
      <c r="R32" s="1393">
        <v>52363</v>
      </c>
      <c r="S32" s="1393"/>
      <c r="T32" s="1393"/>
      <c r="U32" s="1393"/>
      <c r="V32" s="1393"/>
      <c r="W32" s="1393"/>
      <c r="X32" s="1394">
        <v>0</v>
      </c>
      <c r="Y32" s="1394">
        <v>0.1</v>
      </c>
      <c r="Z32" s="1394">
        <v>0</v>
      </c>
      <c r="AA32" s="1395">
        <f t="shared" si="1"/>
        <v>0</v>
      </c>
      <c r="AB32" s="1393" t="str">
        <f t="shared" si="2"/>
        <v>MARWAN IBTESAM</v>
      </c>
      <c r="AC32" s="1393">
        <f t="shared" si="0"/>
        <v>223</v>
      </c>
      <c r="AD32" s="1396">
        <f t="shared" si="3"/>
        <v>100000</v>
      </c>
      <c r="AE32" s="1396">
        <f t="shared" si="4"/>
        <v>100102</v>
      </c>
      <c r="AF32" s="1396">
        <f t="shared" si="5"/>
        <v>70915.75</v>
      </c>
      <c r="AG32" s="1397">
        <f t="shared" si="6"/>
        <v>0.67369962499999991</v>
      </c>
      <c r="AH32" s="1397">
        <f t="shared" si="7"/>
        <v>0.95096899999999995</v>
      </c>
      <c r="AI32" s="1393" t="str">
        <f>IFERROR(VLOOKUP(C32,salesInv!$D$8:$AM$494,35,FALSE),"-")</f>
        <v>H/M/30/2024</v>
      </c>
      <c r="AJ32" s="1398" t="str">
        <f>IFERROR(VLOOKUP(C32,salesInv!$D$8:$AM$494,36,FALSE),"-")</f>
        <v>-</v>
      </c>
      <c r="AK32" s="1396">
        <f>IFERROR(VLOOKUP(C32,salesInv!$D$8:$I$494,3,FALSE),"-")</f>
        <v>4062.6</v>
      </c>
      <c r="AL32" s="1396">
        <f>IFERROR(VLOOKUP(C32,salesInv!$D$8:$I$494,4,FALSE),"-")</f>
        <v>203.13</v>
      </c>
      <c r="AM32" s="1396">
        <f>IFERROR(VLOOKUP(C32,salesInv!$D$8:$I$494,6,FALSE),"-")</f>
        <v>4265.7299999999996</v>
      </c>
      <c r="AN32" s="1396">
        <f>COUNTIF(salesInv!$D$8:$D$494,ProHeader!C32)</f>
        <v>1</v>
      </c>
      <c r="AO32" s="1396"/>
      <c r="AP32" s="1396"/>
      <c r="AQ32" s="1396"/>
      <c r="AR32" s="1396"/>
      <c r="AS32" s="1396"/>
      <c r="AT32" s="1396"/>
      <c r="AU32" s="1396"/>
      <c r="AV32" s="1396"/>
      <c r="AW32" s="1396"/>
      <c r="AX32" s="1396"/>
      <c r="AY32" s="1396"/>
      <c r="AZ32" s="1396"/>
    </row>
    <row r="33" spans="1:52" ht="15.75" customHeight="1">
      <c r="A33" s="1420"/>
      <c r="B33" s="425"/>
      <c r="C33" s="1631">
        <v>225</v>
      </c>
      <c r="D33" s="1628" t="s">
        <v>626</v>
      </c>
      <c r="E33" s="1628" t="s">
        <v>626</v>
      </c>
      <c r="F33" s="1404" t="s">
        <v>627</v>
      </c>
      <c r="G33" s="1407" t="s">
        <v>5138</v>
      </c>
      <c r="H33" s="1404">
        <v>7116001</v>
      </c>
      <c r="I33" s="1404"/>
      <c r="J33" s="1406" t="s">
        <v>629</v>
      </c>
      <c r="K33" s="1412" t="s">
        <v>628</v>
      </c>
      <c r="L33" s="1413">
        <v>155000</v>
      </c>
      <c r="M33" s="1408">
        <v>10500</v>
      </c>
      <c r="N33" s="1409">
        <f>SUMIFS(srpro!$F$10:$F$3010,srpro!$B$10:$B$3010,ProHeader!C33)</f>
        <v>157749.96904761906</v>
      </c>
      <c r="O33" s="1409">
        <f>SUMIFS(srpro!$E$10:$E$3010,srpro!$B$10:$B$3010,ProHeader!C33)</f>
        <v>122126.06000000001</v>
      </c>
      <c r="P33" s="1393" t="s">
        <v>29</v>
      </c>
      <c r="Q33" s="1393">
        <v>89738</v>
      </c>
      <c r="R33" s="1393">
        <v>67645.5</v>
      </c>
      <c r="S33" s="1393"/>
      <c r="T33" s="1393"/>
      <c r="U33" s="1393"/>
      <c r="V33" s="1393"/>
      <c r="W33" s="1393"/>
      <c r="X33" s="1394">
        <v>0.05</v>
      </c>
      <c r="Y33" s="1394">
        <v>0.12</v>
      </c>
      <c r="Z33" s="1394">
        <v>0</v>
      </c>
      <c r="AA33" s="1395">
        <f t="shared" si="1"/>
        <v>0</v>
      </c>
      <c r="AB33" s="1393" t="str">
        <f t="shared" si="2"/>
        <v>Hessa Ahmed Juma El Beloshi</v>
      </c>
      <c r="AC33" s="1393">
        <f t="shared" si="0"/>
        <v>225</v>
      </c>
      <c r="AD33" s="1396">
        <f t="shared" si="3"/>
        <v>165500</v>
      </c>
      <c r="AE33" s="1396">
        <f t="shared" si="4"/>
        <v>157749.96904761906</v>
      </c>
      <c r="AF33" s="1396">
        <f t="shared" si="5"/>
        <v>122126.06000000001</v>
      </c>
      <c r="AG33" s="1397">
        <f t="shared" si="6"/>
        <v>0.70102572205438074</v>
      </c>
      <c r="AH33" s="1397">
        <f t="shared" si="7"/>
        <v>0.90551341749388592</v>
      </c>
      <c r="AI33" s="1393" t="str">
        <f>IFERROR(VLOOKUP(C33,salesInv!$D$8:$AM$494,35,FALSE),"-")</f>
        <v>H/M/06/2024</v>
      </c>
      <c r="AJ33" s="1398" t="str">
        <f>IFERROR(VLOOKUP(C33,salesInv!$D$8:$AM$494,36,FALSE),"-")</f>
        <v>-</v>
      </c>
      <c r="AK33" s="1396">
        <f>IFERROR(VLOOKUP(C33,salesInv!$D$8:$I$494,3,FALSE),"-")</f>
        <v>64092</v>
      </c>
      <c r="AL33" s="1396">
        <f>IFERROR(VLOOKUP(C33,salesInv!$D$8:$I$494,4,FALSE),"-")</f>
        <v>3204.6000000000004</v>
      </c>
      <c r="AM33" s="1396">
        <f>IFERROR(VLOOKUP(C33,salesInv!$D$8:$I$494,6,FALSE),"-")</f>
        <v>67296.600000000006</v>
      </c>
      <c r="AN33" s="1396">
        <f>COUNTIF(salesInv!$D$8:$D$494,ProHeader!C33)</f>
        <v>3</v>
      </c>
      <c r="AO33" s="1396"/>
      <c r="AP33" s="1396"/>
      <c r="AQ33" s="1396"/>
      <c r="AR33" s="1396"/>
      <c r="AS33" s="1396"/>
      <c r="AT33" s="1396"/>
      <c r="AU33" s="1396"/>
      <c r="AV33" s="1396"/>
      <c r="AW33" s="1396"/>
      <c r="AX33" s="1396"/>
      <c r="AY33" s="1396"/>
      <c r="AZ33" s="1396"/>
    </row>
    <row r="34" spans="1:52" ht="15.75" customHeight="1">
      <c r="A34" s="1420"/>
      <c r="B34" s="425"/>
      <c r="C34" s="1631">
        <v>226</v>
      </c>
      <c r="D34" s="1628" t="s">
        <v>809</v>
      </c>
      <c r="E34" s="1629" t="s">
        <v>810</v>
      </c>
      <c r="F34" s="1410" t="s">
        <v>323</v>
      </c>
      <c r="G34" s="1414" t="s">
        <v>5139</v>
      </c>
      <c r="H34" s="1415">
        <v>7116022</v>
      </c>
      <c r="I34" s="1404"/>
      <c r="J34" s="1416" t="s">
        <v>812</v>
      </c>
      <c r="K34" s="1417" t="s">
        <v>811</v>
      </c>
      <c r="L34" s="1408">
        <v>100000</v>
      </c>
      <c r="M34" s="1408">
        <v>5000</v>
      </c>
      <c r="N34" s="1409">
        <f>SUMIFS(srpro!$F$10:$F$3010,srpro!$B$10:$B$3010,ProHeader!C34)</f>
        <v>19047.619047619046</v>
      </c>
      <c r="O34" s="1409">
        <f>SUMIFS(srpro!$E$10:$E$3010,srpro!$B$10:$B$3010,ProHeader!C34)</f>
        <v>9232.24</v>
      </c>
      <c r="P34" s="1393" t="s">
        <v>813</v>
      </c>
      <c r="Q34" s="1393">
        <v>53077</v>
      </c>
      <c r="R34" s="1393"/>
      <c r="S34" s="1393"/>
      <c r="T34" s="1393"/>
      <c r="U34" s="1393"/>
      <c r="V34" s="1393"/>
      <c r="W34" s="1393"/>
      <c r="X34" s="1394">
        <v>0.05</v>
      </c>
      <c r="Y34" s="1394">
        <v>0.19</v>
      </c>
      <c r="Z34" s="1394">
        <v>0</v>
      </c>
      <c r="AA34" s="1395">
        <f t="shared" si="1"/>
        <v>0</v>
      </c>
      <c r="AB34" s="1393" t="str">
        <f t="shared" si="2"/>
        <v>SALEM  HESSA</v>
      </c>
      <c r="AC34" s="1393">
        <f t="shared" si="0"/>
        <v>226</v>
      </c>
      <c r="AD34" s="1396">
        <f t="shared" si="3"/>
        <v>105000</v>
      </c>
      <c r="AE34" s="1396">
        <f t="shared" si="4"/>
        <v>19047.619047619046</v>
      </c>
      <c r="AF34" s="1396">
        <f t="shared" si="5"/>
        <v>9232.24</v>
      </c>
      <c r="AG34" s="1397">
        <f t="shared" si="6"/>
        <v>8.3529790476190482E-2</v>
      </c>
      <c r="AH34" s="1397">
        <f t="shared" si="7"/>
        <v>0.17233560090702946</v>
      </c>
      <c r="AI34" s="1393" t="str">
        <f>IFERROR(VLOOKUP(C34,salesInv!$D$8:$AM$494,35,FALSE),"-")</f>
        <v>-</v>
      </c>
      <c r="AJ34" s="1398" t="str">
        <f>IFERROR(VLOOKUP(C34,salesInv!$D$8:$AM$494,36,FALSE),"-")</f>
        <v>-</v>
      </c>
      <c r="AK34" s="1396" t="str">
        <f>IFERROR(VLOOKUP(C34,salesInv!$D$8:$I$494,3,FALSE),"-")</f>
        <v>-</v>
      </c>
      <c r="AL34" s="1396" t="str">
        <f>IFERROR(VLOOKUP(C34,salesInv!$D$8:$I$494,4,FALSE),"-")</f>
        <v>-</v>
      </c>
      <c r="AM34" s="1396" t="str">
        <f>IFERROR(VLOOKUP(C34,salesInv!$D$8:$I$494,6,FALSE),"-")</f>
        <v>-</v>
      </c>
      <c r="AN34" s="1396">
        <f>COUNTIF(salesInv!$D$8:$D$494,ProHeader!C34)</f>
        <v>0</v>
      </c>
      <c r="AO34" s="1396"/>
      <c r="AP34" s="1396"/>
      <c r="AQ34" s="1396"/>
      <c r="AR34" s="1396"/>
      <c r="AS34" s="1396"/>
      <c r="AT34" s="1396"/>
      <c r="AU34" s="1396"/>
      <c r="AV34" s="1396"/>
      <c r="AW34" s="1396"/>
      <c r="AX34" s="1396"/>
      <c r="AY34" s="1396"/>
      <c r="AZ34" s="1396"/>
    </row>
    <row r="35" spans="1:52" ht="15.75" customHeight="1">
      <c r="A35" s="1420"/>
      <c r="B35" s="425"/>
      <c r="C35" s="1631">
        <v>227</v>
      </c>
      <c r="D35" s="1628" t="s">
        <v>272</v>
      </c>
      <c r="E35" s="1629" t="s">
        <v>413</v>
      </c>
      <c r="F35" s="1407" t="s">
        <v>5140</v>
      </c>
      <c r="G35" s="1407" t="s">
        <v>5141</v>
      </c>
      <c r="H35" s="1404">
        <v>9131306</v>
      </c>
      <c r="I35" s="1404"/>
      <c r="J35" s="1406" t="s">
        <v>415</v>
      </c>
      <c r="K35" s="1407" t="s">
        <v>414</v>
      </c>
      <c r="L35" s="1408" t="s">
        <v>416</v>
      </c>
      <c r="M35" s="1408"/>
      <c r="N35" s="1409">
        <f>SUMIFS(srpro!$F$10:$F$3010,srpro!$B$10:$B$3010,ProHeader!C35)</f>
        <v>284144.33</v>
      </c>
      <c r="O35" s="1409">
        <f>SUMIFS(srpro!$E$10:$E$3010,srpro!$B$10:$B$3010,ProHeader!C35)</f>
        <v>202185.33</v>
      </c>
      <c r="P35" s="1393" t="s">
        <v>417</v>
      </c>
      <c r="Q35" s="1393">
        <v>161988</v>
      </c>
      <c r="R35" s="1393">
        <v>161988.5</v>
      </c>
      <c r="S35" s="1393"/>
      <c r="T35" s="1393"/>
      <c r="U35" s="1393"/>
      <c r="V35" s="1393"/>
      <c r="W35" s="1393"/>
      <c r="X35" s="1394">
        <v>0.05</v>
      </c>
      <c r="Y35" s="1394">
        <v>0.19</v>
      </c>
      <c r="Z35" s="1394">
        <v>0</v>
      </c>
      <c r="AA35" s="1395">
        <f t="shared" si="1"/>
        <v>0</v>
      </c>
      <c r="AB35" s="1393" t="str">
        <f t="shared" si="2"/>
        <v>AHMED SAIF</v>
      </c>
      <c r="AC35" s="1393">
        <f t="shared" si="0"/>
        <v>227</v>
      </c>
      <c r="AD35" s="1396" t="e">
        <f t="shared" si="3"/>
        <v>#VALUE!</v>
      </c>
      <c r="AE35" s="1396">
        <f t="shared" si="4"/>
        <v>284144.33</v>
      </c>
      <c r="AF35" s="1396">
        <f t="shared" si="5"/>
        <v>202185.33</v>
      </c>
      <c r="AG35" s="1397">
        <f t="shared" si="6"/>
        <v>0</v>
      </c>
      <c r="AH35" s="1397">
        <f t="shared" si="7"/>
        <v>0</v>
      </c>
      <c r="AI35" s="1393" t="str">
        <f>IFERROR(VLOOKUP(C35,salesInv!$D$8:$AM$494,35,FALSE),"-")</f>
        <v>H/M/13/2024</v>
      </c>
      <c r="AJ35" s="1398" t="str">
        <f>IFERROR(VLOOKUP(C35,salesInv!$D$8:$AM$494,36,FALSE),"-")</f>
        <v>-</v>
      </c>
      <c r="AK35" s="1396">
        <f>IFERROR(VLOOKUP(C35,salesInv!$D$8:$I$494,3,FALSE),"-")</f>
        <v>117753.5</v>
      </c>
      <c r="AL35" s="1396">
        <f>IFERROR(VLOOKUP(C35,salesInv!$D$8:$I$494,4,FALSE),"-")</f>
        <v>5887.6750000000002</v>
      </c>
      <c r="AM35" s="1396">
        <f>IFERROR(VLOOKUP(C35,salesInv!$D$8:$I$494,6,FALSE),"-")</f>
        <v>123641.18</v>
      </c>
      <c r="AN35" s="1396">
        <f>COUNTIF(salesInv!$D$8:$D$494,ProHeader!C35)</f>
        <v>2</v>
      </c>
      <c r="AO35" s="1396"/>
      <c r="AP35" s="1396"/>
      <c r="AQ35" s="1396"/>
      <c r="AR35" s="1396"/>
      <c r="AS35" s="1396"/>
      <c r="AT35" s="1396"/>
      <c r="AU35" s="1396"/>
      <c r="AV35" s="1396"/>
      <c r="AW35" s="1396"/>
      <c r="AX35" s="1396"/>
      <c r="AY35" s="1396"/>
      <c r="AZ35" s="1396"/>
    </row>
    <row r="36" spans="1:52" ht="15.75" customHeight="1">
      <c r="A36" s="1420"/>
      <c r="B36" s="425"/>
      <c r="C36" s="1631">
        <v>228</v>
      </c>
      <c r="D36" s="1628" t="s">
        <v>297</v>
      </c>
      <c r="E36" s="1629" t="s">
        <v>1337</v>
      </c>
      <c r="F36" s="1404"/>
      <c r="G36" s="1404"/>
      <c r="H36" s="1404"/>
      <c r="I36" s="1404"/>
      <c r="J36" s="1406"/>
      <c r="K36" s="1404"/>
      <c r="L36" s="1408">
        <v>39000</v>
      </c>
      <c r="M36" s="1408"/>
      <c r="N36" s="1409">
        <f>SUMIFS(srpro!$F$10:$F$3010,srpro!$B$10:$B$3010,ProHeader!C36)</f>
        <v>33150</v>
      </c>
      <c r="O36" s="1409">
        <f>SUMIFS(srpro!$E$10:$E$3010,srpro!$B$10:$B$3010,ProHeader!C36)</f>
        <v>28561.81</v>
      </c>
      <c r="P36" s="1393" t="s">
        <v>873</v>
      </c>
      <c r="Q36" s="1393">
        <v>24885</v>
      </c>
      <c r="R36" s="1393"/>
      <c r="S36" s="1393"/>
      <c r="T36" s="1393"/>
      <c r="U36" s="1393"/>
      <c r="V36" s="1393"/>
      <c r="W36" s="1393" t="s">
        <v>874</v>
      </c>
      <c r="X36" s="1394">
        <v>0.15</v>
      </c>
      <c r="Y36" s="1394">
        <v>0.85</v>
      </c>
      <c r="Z36" s="1394">
        <v>0</v>
      </c>
      <c r="AA36" s="1395">
        <f t="shared" si="1"/>
        <v>0</v>
      </c>
      <c r="AB36" s="1393" t="str">
        <f t="shared" si="2"/>
        <v xml:space="preserve">MOHAMED SAIF </v>
      </c>
      <c r="AC36" s="1393">
        <f t="shared" si="0"/>
        <v>228</v>
      </c>
      <c r="AD36" s="1396">
        <f t="shared" si="3"/>
        <v>39000</v>
      </c>
      <c r="AE36" s="1396">
        <f t="shared" si="4"/>
        <v>33150</v>
      </c>
      <c r="AF36" s="1396">
        <f t="shared" si="5"/>
        <v>28561.81</v>
      </c>
      <c r="AG36" s="1397">
        <f t="shared" si="6"/>
        <v>0.69573639743589744</v>
      </c>
      <c r="AH36" s="1397">
        <f t="shared" si="7"/>
        <v>0.8075</v>
      </c>
      <c r="AI36" s="1393" t="str">
        <f>IFERROR(VLOOKUP(C36,salesInv!$D$8:$AM$494,35,FALSE),"-")</f>
        <v>H/M/73/2024</v>
      </c>
      <c r="AJ36" s="1398" t="str">
        <f>IFERROR(VLOOKUP(C36,salesInv!$D$8:$AM$494,36,FALSE),"-")</f>
        <v>-</v>
      </c>
      <c r="AK36" s="1396">
        <f>IFERROR(VLOOKUP(C36,salesInv!$D$8:$I$494,3,FALSE),"-")</f>
        <v>21150</v>
      </c>
      <c r="AL36" s="1396">
        <f>IFERROR(VLOOKUP(C36,salesInv!$D$8:$I$494,4,FALSE),"-")</f>
        <v>1057.5</v>
      </c>
      <c r="AM36" s="1396">
        <f>IFERROR(VLOOKUP(C36,salesInv!$D$8:$I$494,6,FALSE),"-")</f>
        <v>22200</v>
      </c>
      <c r="AN36" s="1396">
        <f>COUNTIF(salesInv!$D$8:$D$494,ProHeader!C36)</f>
        <v>1</v>
      </c>
      <c r="AO36" s="1396"/>
      <c r="AP36" s="1396"/>
      <c r="AQ36" s="1396"/>
      <c r="AR36" s="1396"/>
      <c r="AS36" s="1396"/>
      <c r="AT36" s="1396"/>
      <c r="AU36" s="1396"/>
      <c r="AV36" s="1396"/>
      <c r="AW36" s="1396"/>
      <c r="AX36" s="1396"/>
      <c r="AY36" s="1396"/>
      <c r="AZ36" s="1396"/>
    </row>
    <row r="37" spans="1:52" ht="15.75" customHeight="1">
      <c r="A37" s="1420"/>
      <c r="B37" s="425"/>
      <c r="C37" s="1631">
        <v>229</v>
      </c>
      <c r="D37" s="1628" t="s">
        <v>1022</v>
      </c>
      <c r="E37" s="1629" t="s">
        <v>1015</v>
      </c>
      <c r="F37" s="1404" t="s">
        <v>1018</v>
      </c>
      <c r="G37" s="1404" t="s">
        <v>1017</v>
      </c>
      <c r="H37" s="1404">
        <v>9310131</v>
      </c>
      <c r="I37" s="1404" t="s">
        <v>1019</v>
      </c>
      <c r="J37" s="1406" t="s">
        <v>1016</v>
      </c>
      <c r="K37" s="1404" t="s">
        <v>1020</v>
      </c>
      <c r="L37" s="1408">
        <v>197000</v>
      </c>
      <c r="M37" s="1408">
        <v>15000</v>
      </c>
      <c r="N37" s="1409">
        <f>SUMIFS(srpro!$F$10:$F$3010,srpro!$B$10:$B$3010,ProHeader!C37)</f>
        <v>113275</v>
      </c>
      <c r="O37" s="1409">
        <f>SUMIFS(srpro!$E$10:$E$3010,srpro!$B$10:$B$3010,ProHeader!C37)</f>
        <v>59384</v>
      </c>
      <c r="P37" s="1393" t="s">
        <v>1021</v>
      </c>
      <c r="Q37" s="1393">
        <v>114838.5</v>
      </c>
      <c r="R37" s="1393">
        <v>38089</v>
      </c>
      <c r="S37" s="1393"/>
      <c r="T37" s="1393"/>
      <c r="U37" s="1393"/>
      <c r="V37" s="1393"/>
      <c r="W37" s="1393"/>
      <c r="X37" s="1394">
        <v>0.05</v>
      </c>
      <c r="Y37" s="1394">
        <v>0.2</v>
      </c>
      <c r="Z37" s="1394">
        <v>0</v>
      </c>
      <c r="AA37" s="1395">
        <f t="shared" si="1"/>
        <v>0</v>
      </c>
      <c r="AB37" s="1393" t="str">
        <f t="shared" si="2"/>
        <v>Ahmed villa</v>
      </c>
      <c r="AC37" s="1393">
        <f t="shared" si="0"/>
        <v>229</v>
      </c>
      <c r="AD37" s="1396">
        <f t="shared" si="3"/>
        <v>212000</v>
      </c>
      <c r="AE37" s="1396">
        <f t="shared" si="4"/>
        <v>113275</v>
      </c>
      <c r="AF37" s="1396">
        <f t="shared" si="5"/>
        <v>59384</v>
      </c>
      <c r="AG37" s="1397">
        <f t="shared" si="6"/>
        <v>0.26610754716981133</v>
      </c>
      <c r="AH37" s="1397">
        <f t="shared" si="7"/>
        <v>0.50760023584905656</v>
      </c>
      <c r="AI37" s="1393" t="str">
        <f>IFERROR(VLOOKUP(C37,salesInv!$D$8:$AM$494,35,FALSE),"-")</f>
        <v>-</v>
      </c>
      <c r="AJ37" s="1398" t="str">
        <f>IFERROR(VLOOKUP(C37,salesInv!$D$8:$AM$494,36,FALSE),"-")</f>
        <v>-</v>
      </c>
      <c r="AK37" s="1396" t="str">
        <f>IFERROR(VLOOKUP(C37,salesInv!$D$8:$I$494,3,FALSE),"-")</f>
        <v>-</v>
      </c>
      <c r="AL37" s="1396" t="str">
        <f>IFERROR(VLOOKUP(C37,salesInv!$D$8:$I$494,4,FALSE),"-")</f>
        <v>-</v>
      </c>
      <c r="AM37" s="1396" t="str">
        <f>IFERROR(VLOOKUP(C37,salesInv!$D$8:$I$494,6,FALSE),"-")</f>
        <v>-</v>
      </c>
      <c r="AN37" s="1396">
        <f>COUNTIF(salesInv!$D$8:$D$494,ProHeader!C37)</f>
        <v>0</v>
      </c>
      <c r="AO37" s="1396"/>
      <c r="AP37" s="1396"/>
      <c r="AQ37" s="1396"/>
      <c r="AR37" s="1396"/>
      <c r="AS37" s="1396"/>
      <c r="AT37" s="1396"/>
      <c r="AU37" s="1396"/>
      <c r="AV37" s="1396"/>
      <c r="AW37" s="1396"/>
      <c r="AX37" s="1396"/>
      <c r="AY37" s="1396"/>
      <c r="AZ37" s="1396"/>
    </row>
    <row r="38" spans="1:52" ht="15.75" customHeight="1">
      <c r="A38" s="1420"/>
      <c r="B38" s="425"/>
      <c r="C38" s="1631">
        <v>230</v>
      </c>
      <c r="D38" s="1628" t="s">
        <v>5401</v>
      </c>
      <c r="E38" s="1629" t="s">
        <v>5402</v>
      </c>
      <c r="F38" s="1407" t="s">
        <v>326</v>
      </c>
      <c r="G38" s="1404" t="s">
        <v>5403</v>
      </c>
      <c r="H38" s="1404">
        <v>9310128</v>
      </c>
      <c r="I38" s="1404"/>
      <c r="J38" s="1404" t="s">
        <v>584</v>
      </c>
      <c r="K38" s="1404" t="s">
        <v>583</v>
      </c>
      <c r="L38" s="1408">
        <v>151000</v>
      </c>
      <c r="M38" s="1408"/>
      <c r="N38" s="1409">
        <f>SUMIFS(srpro!$F$10:$F$3010,srpro!$B$10:$B$3010,ProHeader!C38)</f>
        <v>86825</v>
      </c>
      <c r="O38" s="1409">
        <f>SUMIFS(srpro!$E$10:$E$3010,srpro!$B$10:$B$3010,ProHeader!C38)</f>
        <v>59944.47</v>
      </c>
      <c r="P38" s="1393" t="s">
        <v>224</v>
      </c>
      <c r="Q38" s="1393">
        <v>86604</v>
      </c>
      <c r="R38" s="1393">
        <v>31054</v>
      </c>
      <c r="S38" s="1393"/>
      <c r="T38" s="1393"/>
      <c r="U38" s="1393"/>
      <c r="V38" s="1393"/>
      <c r="W38" s="1393" t="s">
        <v>587</v>
      </c>
      <c r="X38" s="1394">
        <v>0.05</v>
      </c>
      <c r="Y38" s="1394">
        <v>0.2</v>
      </c>
      <c r="Z38" s="1394">
        <v>0</v>
      </c>
      <c r="AA38" s="1395">
        <f t="shared" si="1"/>
        <v>0</v>
      </c>
      <c r="AB38" s="1393" t="str">
        <f t="shared" si="2"/>
        <v>Faris Mohamed Faris Al Mazrouie</v>
      </c>
      <c r="AC38" s="1393">
        <f t="shared" si="0"/>
        <v>230</v>
      </c>
      <c r="AD38" s="1396">
        <f t="shared" si="3"/>
        <v>151000</v>
      </c>
      <c r="AE38" s="1396">
        <f t="shared" si="4"/>
        <v>86825</v>
      </c>
      <c r="AF38" s="1396">
        <f t="shared" si="5"/>
        <v>59944.47</v>
      </c>
      <c r="AG38" s="1397">
        <f t="shared" si="6"/>
        <v>0.37713408278145694</v>
      </c>
      <c r="AH38" s="1397">
        <f t="shared" si="7"/>
        <v>0.54625000000000001</v>
      </c>
      <c r="AI38" s="1393" t="str">
        <f>IFERROR(VLOOKUP(C38,salesInv!$D$8:$AM$494,35,FALSE),"-")</f>
        <v>-</v>
      </c>
      <c r="AJ38" s="1398" t="str">
        <f>IFERROR(VLOOKUP(C38,salesInv!$D$8:$AM$494,36,FALSE),"-")</f>
        <v>-</v>
      </c>
      <c r="AK38" s="1396" t="str">
        <f>IFERROR(VLOOKUP(C38,salesInv!$D$8:$I$494,3,FALSE),"-")</f>
        <v>-</v>
      </c>
      <c r="AL38" s="1396" t="str">
        <f>IFERROR(VLOOKUP(C38,salesInv!$D$8:$I$494,4,FALSE),"-")</f>
        <v>-</v>
      </c>
      <c r="AM38" s="1396" t="str">
        <f>IFERROR(VLOOKUP(C38,salesInv!$D$8:$I$494,6,FALSE),"-")</f>
        <v>-</v>
      </c>
      <c r="AN38" s="1396">
        <f>COUNTIF(salesInv!$D$8:$D$494,ProHeader!C38)</f>
        <v>0</v>
      </c>
      <c r="AO38" s="1396"/>
      <c r="AP38" s="1396"/>
      <c r="AQ38" s="1396"/>
      <c r="AR38" s="1396"/>
      <c r="AS38" s="1396"/>
      <c r="AT38" s="1396"/>
      <c r="AU38" s="1396"/>
      <c r="AV38" s="1396"/>
      <c r="AW38" s="1396"/>
      <c r="AX38" s="1396"/>
      <c r="AY38" s="1396"/>
      <c r="AZ38" s="1396"/>
    </row>
    <row r="39" spans="1:52" ht="15.75" customHeight="1">
      <c r="A39" s="1420"/>
      <c r="B39" s="425"/>
      <c r="C39" s="1631">
        <v>231</v>
      </c>
      <c r="D39" s="1628" t="s">
        <v>186</v>
      </c>
      <c r="E39" s="1629" t="s">
        <v>638</v>
      </c>
      <c r="F39" s="1404" t="s">
        <v>323</v>
      </c>
      <c r="G39" s="1404" t="s">
        <v>5142</v>
      </c>
      <c r="H39" s="1404">
        <v>4240894</v>
      </c>
      <c r="I39" s="1404"/>
      <c r="J39" s="1404" t="s">
        <v>640</v>
      </c>
      <c r="K39" s="1407" t="s">
        <v>639</v>
      </c>
      <c r="L39" s="1408">
        <v>130000</v>
      </c>
      <c r="M39" s="1408">
        <v>5250</v>
      </c>
      <c r="N39" s="1409">
        <f>SUMIFS(srpro!$F$10:$F$3010,srpro!$B$10:$B$3010,ProHeader!C39)</f>
        <v>135250</v>
      </c>
      <c r="O39" s="1409">
        <f>SUMIFS(srpro!$E$10:$E$3010,srpro!$B$10:$B$3010,ProHeader!C39)</f>
        <v>101227.06</v>
      </c>
      <c r="P39" s="1393" t="s">
        <v>641</v>
      </c>
      <c r="Q39" s="1393">
        <v>71961</v>
      </c>
      <c r="R39" s="1393">
        <v>70649</v>
      </c>
      <c r="S39" s="1393"/>
      <c r="T39" s="1393"/>
      <c r="U39" s="1393"/>
      <c r="V39" s="1393"/>
      <c r="W39" s="1393" t="s">
        <v>642</v>
      </c>
      <c r="X39" s="1394">
        <v>0.05</v>
      </c>
      <c r="Y39" s="1394">
        <v>0.2</v>
      </c>
      <c r="Z39" s="1394">
        <v>0</v>
      </c>
      <c r="AA39" s="1395">
        <f t="shared" si="1"/>
        <v>0</v>
      </c>
      <c r="AB39" s="1393" t="str">
        <f t="shared" si="2"/>
        <v>MOHAMED KHAMIS</v>
      </c>
      <c r="AC39" s="1393">
        <f t="shared" si="0"/>
        <v>231</v>
      </c>
      <c r="AD39" s="1396">
        <f t="shared" si="3"/>
        <v>135250</v>
      </c>
      <c r="AE39" s="1396">
        <f t="shared" si="4"/>
        <v>135250</v>
      </c>
      <c r="AF39" s="1396">
        <f t="shared" si="5"/>
        <v>101227.06</v>
      </c>
      <c r="AG39" s="1397">
        <f t="shared" si="6"/>
        <v>0.71102186321626615</v>
      </c>
      <c r="AH39" s="1397">
        <f t="shared" si="7"/>
        <v>0.95</v>
      </c>
      <c r="AI39" s="1393" t="str">
        <f>IFERROR(VLOOKUP(C39,salesInv!$D$8:$AM$494,35,FALSE),"-")</f>
        <v>H/M/29/2024</v>
      </c>
      <c r="AJ39" s="1398" t="str">
        <f>IFERROR(VLOOKUP(C39,salesInv!$D$8:$AM$494,36,FALSE),"-")</f>
        <v>-</v>
      </c>
      <c r="AK39" s="1396">
        <f>IFERROR(VLOOKUP(C39,salesInv!$D$8:$I$494,3,FALSE),"-")</f>
        <v>16040</v>
      </c>
      <c r="AL39" s="1396">
        <f>IFERROR(VLOOKUP(C39,salesInv!$D$8:$I$494,4,FALSE),"-")</f>
        <v>802</v>
      </c>
      <c r="AM39" s="1396">
        <f>IFERROR(VLOOKUP(C39,salesInv!$D$8:$I$494,6,FALSE),"-")</f>
        <v>16842</v>
      </c>
      <c r="AN39" s="1396">
        <f>COUNTIF(salesInv!$D$8:$D$494,ProHeader!C39)</f>
        <v>1</v>
      </c>
      <c r="AO39" s="1396"/>
      <c r="AP39" s="1396"/>
      <c r="AQ39" s="1396"/>
      <c r="AR39" s="1396"/>
      <c r="AS39" s="1396"/>
      <c r="AT39" s="1396"/>
      <c r="AU39" s="1396"/>
      <c r="AV39" s="1396"/>
      <c r="AW39" s="1396"/>
      <c r="AX39" s="1396"/>
      <c r="AY39" s="1396"/>
      <c r="AZ39" s="1396"/>
    </row>
    <row r="40" spans="1:52" ht="15.75" customHeight="1">
      <c r="A40" s="1420"/>
      <c r="B40" s="425"/>
      <c r="C40" s="1631">
        <v>233</v>
      </c>
      <c r="D40" s="1628" t="s">
        <v>299</v>
      </c>
      <c r="E40" s="1629" t="s">
        <v>1003</v>
      </c>
      <c r="F40" s="1404" t="s">
        <v>1004</v>
      </c>
      <c r="G40" s="1404" t="s">
        <v>356</v>
      </c>
      <c r="H40" s="1404">
        <v>2610984</v>
      </c>
      <c r="I40" s="1404"/>
      <c r="J40" s="1406" t="s">
        <v>1006</v>
      </c>
      <c r="K40" s="1404" t="s">
        <v>1005</v>
      </c>
      <c r="L40" s="1408">
        <v>230000</v>
      </c>
      <c r="M40" s="1408"/>
      <c r="N40" s="1409">
        <f>SUMIFS(srpro!$F$10:$F$3010,srpro!$B$10:$B$3010,ProHeader!C40)</f>
        <v>229999.2</v>
      </c>
      <c r="O40" s="1409">
        <f>SUMIFS(srpro!$E$10:$E$3010,srpro!$B$10:$B$3010,ProHeader!C40)</f>
        <v>187050.36</v>
      </c>
      <c r="P40" s="1393" t="s">
        <v>841</v>
      </c>
      <c r="Q40" s="1393">
        <v>129675</v>
      </c>
      <c r="R40" s="1393">
        <v>129675</v>
      </c>
      <c r="S40" s="1393"/>
      <c r="T40" s="1393"/>
      <c r="U40" s="1393"/>
      <c r="V40" s="1393"/>
      <c r="W40" s="1393" t="s">
        <v>1090</v>
      </c>
      <c r="X40" s="1394">
        <v>0.05</v>
      </c>
      <c r="Y40" s="1394">
        <v>0.15</v>
      </c>
      <c r="Z40" s="1394">
        <v>0</v>
      </c>
      <c r="AA40" s="1395">
        <f t="shared" si="1"/>
        <v>0</v>
      </c>
      <c r="AB40" s="1393" t="str">
        <f t="shared" si="2"/>
        <v>MUBARK . ARCHPIX</v>
      </c>
      <c r="AC40" s="1393">
        <f t="shared" si="0"/>
        <v>233</v>
      </c>
      <c r="AD40" s="1396">
        <f t="shared" si="3"/>
        <v>230000</v>
      </c>
      <c r="AE40" s="1396">
        <f t="shared" si="4"/>
        <v>229999.2</v>
      </c>
      <c r="AF40" s="1396">
        <f t="shared" si="5"/>
        <v>187050.36</v>
      </c>
      <c r="AG40" s="1397">
        <f t="shared" si="6"/>
        <v>0.77259931304347818</v>
      </c>
      <c r="AH40" s="1397">
        <f t="shared" si="7"/>
        <v>0.94999669565217404</v>
      </c>
      <c r="AI40" s="1393" t="str">
        <f>IFERROR(VLOOKUP(C40,salesInv!$D$8:$AM$494,35,FALSE),"-")</f>
        <v>H/M/10/2024</v>
      </c>
      <c r="AJ40" s="1398" t="str">
        <f>IFERROR(VLOOKUP(C40,salesInv!$D$8:$AM$494,36,FALSE),"-")</f>
        <v>-</v>
      </c>
      <c r="AK40" s="1396">
        <f>IFERROR(VLOOKUP(C40,salesInv!$D$8:$I$494,3,FALSE),"-")</f>
        <v>83904</v>
      </c>
      <c r="AL40" s="1396">
        <f>IFERROR(VLOOKUP(C40,salesInv!$D$8:$I$494,4,FALSE),"-")</f>
        <v>4195.2</v>
      </c>
      <c r="AM40" s="1396">
        <f>IFERROR(VLOOKUP(C40,salesInv!$D$8:$I$494,6,FALSE),"-")</f>
        <v>88100</v>
      </c>
      <c r="AN40" s="1396">
        <f>COUNTIF(salesInv!$D$8:$D$494,ProHeader!C40)</f>
        <v>2</v>
      </c>
      <c r="AO40" s="1396"/>
      <c r="AP40" s="1396"/>
      <c r="AQ40" s="1396"/>
      <c r="AR40" s="1396"/>
      <c r="AS40" s="1396"/>
      <c r="AT40" s="1396"/>
      <c r="AU40" s="1396"/>
      <c r="AV40" s="1396"/>
      <c r="AW40" s="1396"/>
      <c r="AX40" s="1396"/>
      <c r="AY40" s="1396"/>
      <c r="AZ40" s="1396"/>
    </row>
    <row r="41" spans="1:52" ht="15.75" customHeight="1">
      <c r="A41" s="1420"/>
      <c r="B41" s="425"/>
      <c r="C41" s="1631">
        <v>234</v>
      </c>
      <c r="D41" s="1628" t="s">
        <v>286</v>
      </c>
      <c r="E41" s="1629" t="s">
        <v>3031</v>
      </c>
      <c r="F41" s="1407" t="s">
        <v>610</v>
      </c>
      <c r="G41" s="1407" t="s">
        <v>5143</v>
      </c>
      <c r="H41" s="1404">
        <v>4247060</v>
      </c>
      <c r="I41" s="1404"/>
      <c r="J41" s="1406" t="s">
        <v>491</v>
      </c>
      <c r="K41" s="1407" t="s">
        <v>611</v>
      </c>
      <c r="L41" s="1408">
        <v>130000</v>
      </c>
      <c r="M41" s="1408">
        <v>4500</v>
      </c>
      <c r="N41" s="1409">
        <f>SUMIFS(srpro!$F$10:$F$3010,srpro!$B$10:$B$3010,ProHeader!C41)</f>
        <v>134500</v>
      </c>
      <c r="O41" s="1409">
        <f>SUMIFS(srpro!$E$10:$E$3010,srpro!$B$10:$B$3010,ProHeader!C41)</f>
        <v>101865.81999999999</v>
      </c>
      <c r="P41" s="1393" t="s">
        <v>612</v>
      </c>
      <c r="Q41" s="1393">
        <v>70696.5</v>
      </c>
      <c r="R41" s="1393">
        <v>69054</v>
      </c>
      <c r="S41" s="1393"/>
      <c r="T41" s="1393"/>
      <c r="U41" s="1393"/>
      <c r="V41" s="1393"/>
      <c r="W41" s="1393"/>
      <c r="X41" s="1394">
        <v>0.05</v>
      </c>
      <c r="Y41" s="1394">
        <v>0.2</v>
      </c>
      <c r="Z41" s="1394">
        <v>0</v>
      </c>
      <c r="AA41" s="1395">
        <f t="shared" si="1"/>
        <v>0</v>
      </c>
      <c r="AB41" s="1393" t="str">
        <f t="shared" si="2"/>
        <v>HASSAN NAQIB</v>
      </c>
      <c r="AC41" s="1393">
        <f t="shared" ref="AC41:AC73" si="8">C41</f>
        <v>234</v>
      </c>
      <c r="AD41" s="1396">
        <f t="shared" si="3"/>
        <v>134500</v>
      </c>
      <c r="AE41" s="1396">
        <f t="shared" si="4"/>
        <v>134500</v>
      </c>
      <c r="AF41" s="1396">
        <f t="shared" si="5"/>
        <v>101865.81999999999</v>
      </c>
      <c r="AG41" s="1397">
        <f t="shared" si="6"/>
        <v>0.71949835687732333</v>
      </c>
      <c r="AH41" s="1397">
        <f t="shared" si="7"/>
        <v>0.95</v>
      </c>
      <c r="AI41" s="1393" t="str">
        <f>IFERROR(VLOOKUP(C41,salesInv!$D$8:$AM$494,35,FALSE),"-")</f>
        <v>H/M/19/2024</v>
      </c>
      <c r="AJ41" s="1398" t="str">
        <f>IFERROR(VLOOKUP(C41,salesInv!$D$8:$AM$494,36,FALSE),"-")</f>
        <v>-</v>
      </c>
      <c r="AK41" s="1396">
        <f>IFERROR(VLOOKUP(C41,salesInv!$D$8:$I$494,3,FALSE),"-")</f>
        <v>44460</v>
      </c>
      <c r="AL41" s="1396">
        <f>IFERROR(VLOOKUP(C41,salesInv!$D$8:$I$494,4,FALSE),"-")</f>
        <v>2223</v>
      </c>
      <c r="AM41" s="1396">
        <f>IFERROR(VLOOKUP(C41,salesInv!$D$8:$I$494,6,FALSE),"-")</f>
        <v>46683</v>
      </c>
      <c r="AN41" s="1396">
        <f>COUNTIF(salesInv!$D$8:$D$494,ProHeader!C41)</f>
        <v>3</v>
      </c>
      <c r="AO41" s="1396"/>
      <c r="AP41" s="1396"/>
      <c r="AQ41" s="1396"/>
      <c r="AR41" s="1396"/>
      <c r="AS41" s="1396"/>
      <c r="AT41" s="1396"/>
      <c r="AU41" s="1396"/>
      <c r="AV41" s="1396"/>
      <c r="AW41" s="1396"/>
      <c r="AX41" s="1396"/>
      <c r="AY41" s="1396"/>
      <c r="AZ41" s="1396"/>
    </row>
    <row r="42" spans="1:52" ht="15.75" customHeight="1">
      <c r="A42" s="1420"/>
      <c r="B42" s="425"/>
      <c r="C42" s="1631">
        <v>235</v>
      </c>
      <c r="D42" s="1628" t="s">
        <v>271</v>
      </c>
      <c r="E42" s="1629" t="s">
        <v>407</v>
      </c>
      <c r="F42" s="1404" t="s">
        <v>408</v>
      </c>
      <c r="G42" s="1404" t="s">
        <v>5144</v>
      </c>
      <c r="H42" s="1404">
        <v>4238244</v>
      </c>
      <c r="I42" s="1404"/>
      <c r="J42" s="1406" t="s">
        <v>410</v>
      </c>
      <c r="K42" s="1404" t="s">
        <v>409</v>
      </c>
      <c r="L42" s="1408">
        <v>250000</v>
      </c>
      <c r="M42" s="1408">
        <f>21500+5000</f>
        <v>26500</v>
      </c>
      <c r="N42" s="1409">
        <f>SUMIFS(srpro!$F$10:$F$3010,srpro!$B$10:$B$3010,ProHeader!C42)</f>
        <v>25000</v>
      </c>
      <c r="O42" s="1409">
        <f>SUMIFS(srpro!$E$10:$E$3010,srpro!$B$10:$B$3010,ProHeader!C42)</f>
        <v>10626</v>
      </c>
      <c r="P42" s="1393" t="s">
        <v>411</v>
      </c>
      <c r="Q42" s="1393">
        <v>141765</v>
      </c>
      <c r="R42" s="1393"/>
      <c r="S42" s="1393"/>
      <c r="T42" s="1393"/>
      <c r="U42" s="1393"/>
      <c r="V42" s="1393"/>
      <c r="W42" s="1393" t="s">
        <v>5238</v>
      </c>
      <c r="X42" s="1394">
        <v>0.05</v>
      </c>
      <c r="Y42" s="1394">
        <v>0.1</v>
      </c>
      <c r="Z42" s="1394">
        <v>0</v>
      </c>
      <c r="AA42" s="1395">
        <f t="shared" si="1"/>
        <v>0</v>
      </c>
      <c r="AB42" s="1393" t="str">
        <f t="shared" si="2"/>
        <v>Ahmed malik</v>
      </c>
      <c r="AC42" s="1393">
        <f t="shared" si="8"/>
        <v>235</v>
      </c>
      <c r="AD42" s="1396">
        <f t="shared" si="3"/>
        <v>276500</v>
      </c>
      <c r="AE42" s="1396">
        <f t="shared" si="4"/>
        <v>25000</v>
      </c>
      <c r="AF42" s="1396">
        <f t="shared" si="5"/>
        <v>10626</v>
      </c>
      <c r="AG42" s="1397">
        <f t="shared" si="6"/>
        <v>3.6508860759493673E-2</v>
      </c>
      <c r="AH42" s="1397">
        <f t="shared" si="7"/>
        <v>8.5895117540687155E-2</v>
      </c>
      <c r="AI42" s="1393" t="str">
        <f>IFERROR(VLOOKUP(C42,salesInv!$D$8:$AM$494,35,FALSE),"-")</f>
        <v>-</v>
      </c>
      <c r="AJ42" s="1398" t="str">
        <f>IFERROR(VLOOKUP(C42,salesInv!$D$8:$AM$494,36,FALSE),"-")</f>
        <v>-</v>
      </c>
      <c r="AK42" s="1396" t="str">
        <f>IFERROR(VLOOKUP(C42,salesInv!$D$8:$I$494,3,FALSE),"-")</f>
        <v>-</v>
      </c>
      <c r="AL42" s="1396" t="str">
        <f>IFERROR(VLOOKUP(C42,salesInv!$D$8:$I$494,4,FALSE),"-")</f>
        <v>-</v>
      </c>
      <c r="AM42" s="1396" t="str">
        <f>IFERROR(VLOOKUP(C42,salesInv!$D$8:$I$494,6,FALSE),"-")</f>
        <v>-</v>
      </c>
      <c r="AN42" s="1396">
        <f>COUNTIF(salesInv!$D$8:$D$494,ProHeader!C42)</f>
        <v>0</v>
      </c>
      <c r="AO42" s="1396"/>
      <c r="AP42" s="1396"/>
      <c r="AQ42" s="1396"/>
      <c r="AR42" s="1396"/>
      <c r="AS42" s="1396"/>
      <c r="AT42" s="1396"/>
      <c r="AU42" s="1396"/>
      <c r="AV42" s="1396"/>
      <c r="AW42" s="1396"/>
      <c r="AX42" s="1396"/>
      <c r="AY42" s="1396"/>
      <c r="AZ42" s="1396"/>
    </row>
    <row r="43" spans="1:52" ht="15.75" customHeight="1">
      <c r="A43" s="1420"/>
      <c r="B43" s="425"/>
      <c r="C43" s="1631">
        <v>236</v>
      </c>
      <c r="D43" s="1628" t="s">
        <v>157</v>
      </c>
      <c r="E43" s="1629" t="s">
        <v>519</v>
      </c>
      <c r="F43" s="1404"/>
      <c r="G43" s="1404" t="s">
        <v>520</v>
      </c>
      <c r="H43" s="1404">
        <v>71110059</v>
      </c>
      <c r="I43" s="1404"/>
      <c r="J43" s="1406" t="s">
        <v>522</v>
      </c>
      <c r="K43" s="1407" t="s">
        <v>521</v>
      </c>
      <c r="L43" s="1408">
        <v>135000</v>
      </c>
      <c r="M43" s="1408"/>
      <c r="N43" s="1409">
        <f>SUMIFS(srpro!$F$10:$F$3010,srpro!$B$10:$B$3010,ProHeader!C43)</f>
        <v>27000</v>
      </c>
      <c r="O43" s="1409">
        <f>SUMIFS(srpro!$E$10:$E$3010,srpro!$B$10:$B$3010,ProHeader!C43)</f>
        <v>19528</v>
      </c>
      <c r="P43" s="1393" t="s">
        <v>523</v>
      </c>
      <c r="Q43" s="1393">
        <v>65546</v>
      </c>
      <c r="R43" s="1393"/>
      <c r="S43" s="1393"/>
      <c r="T43" s="1393"/>
      <c r="U43" s="1393"/>
      <c r="V43" s="1393"/>
      <c r="W43" s="1393"/>
      <c r="X43" s="1394"/>
      <c r="Y43" s="1394"/>
      <c r="Z43" s="1394"/>
      <c r="AA43" s="1395">
        <f t="shared" si="1"/>
        <v>0</v>
      </c>
      <c r="AB43" s="1393" t="str">
        <f t="shared" si="2"/>
        <v>RASHED MARZOKI</v>
      </c>
      <c r="AC43" s="1393">
        <f t="shared" si="8"/>
        <v>236</v>
      </c>
      <c r="AD43" s="1396">
        <f t="shared" si="3"/>
        <v>135000</v>
      </c>
      <c r="AE43" s="1396">
        <f t="shared" si="4"/>
        <v>27000</v>
      </c>
      <c r="AF43" s="1396">
        <f t="shared" si="5"/>
        <v>19528</v>
      </c>
      <c r="AG43" s="1397">
        <f t="shared" si="6"/>
        <v>0.13741925925925924</v>
      </c>
      <c r="AH43" s="1397">
        <f t="shared" si="7"/>
        <v>0.19</v>
      </c>
      <c r="AI43" s="1393" t="str">
        <f>IFERROR(VLOOKUP(C43,salesInv!$D$8:$AM$494,35,FALSE),"-")</f>
        <v>-</v>
      </c>
      <c r="AJ43" s="1398" t="str">
        <f>IFERROR(VLOOKUP(C43,salesInv!$D$8:$AM$494,36,FALSE),"-")</f>
        <v>-</v>
      </c>
      <c r="AK43" s="1396" t="str">
        <f>IFERROR(VLOOKUP(C43,salesInv!$D$8:$I$494,3,FALSE),"-")</f>
        <v>-</v>
      </c>
      <c r="AL43" s="1396" t="str">
        <f>IFERROR(VLOOKUP(C43,salesInv!$D$8:$I$494,4,FALSE),"-")</f>
        <v>-</v>
      </c>
      <c r="AM43" s="1396" t="str">
        <f>IFERROR(VLOOKUP(C43,salesInv!$D$8:$I$494,6,FALSE),"-")</f>
        <v>-</v>
      </c>
      <c r="AN43" s="1396">
        <f>COUNTIF(salesInv!$D$8:$D$494,ProHeader!C43)</f>
        <v>0</v>
      </c>
      <c r="AO43" s="1396"/>
      <c r="AP43" s="1396"/>
      <c r="AQ43" s="1396"/>
      <c r="AR43" s="1396"/>
      <c r="AS43" s="1396"/>
      <c r="AT43" s="1396"/>
      <c r="AU43" s="1396"/>
      <c r="AV43" s="1396"/>
      <c r="AW43" s="1396"/>
      <c r="AX43" s="1396"/>
      <c r="AY43" s="1396"/>
      <c r="AZ43" s="1396"/>
    </row>
    <row r="44" spans="1:52" ht="15.75" customHeight="1">
      <c r="A44" s="1420"/>
      <c r="B44" s="425"/>
      <c r="C44" s="1631">
        <v>237</v>
      </c>
      <c r="D44" s="1628" t="s">
        <v>284</v>
      </c>
      <c r="E44" s="1629" t="s">
        <v>1503</v>
      </c>
      <c r="F44" s="1404" t="s">
        <v>1012</v>
      </c>
      <c r="G44" s="1404" t="s">
        <v>1011</v>
      </c>
      <c r="H44" s="1404">
        <v>3556019</v>
      </c>
      <c r="I44" s="1404"/>
      <c r="J44" s="1406" t="s">
        <v>1010</v>
      </c>
      <c r="K44" s="1404" t="s">
        <v>1013</v>
      </c>
      <c r="L44" s="1408">
        <v>145000</v>
      </c>
      <c r="M44" s="1408">
        <v>15000</v>
      </c>
      <c r="N44" s="1409">
        <f>SUMIFS(srpro!$F$10:$F$3010,srpro!$B$10:$B$3010,ProHeader!C44)</f>
        <v>140465</v>
      </c>
      <c r="O44" s="1409">
        <f>SUMIFS(srpro!$E$10:$E$3010,srpro!$B$10:$B$3010,ProHeader!C44)</f>
        <v>115519.94000000002</v>
      </c>
      <c r="P44" s="1393" t="s">
        <v>1014</v>
      </c>
      <c r="Q44" s="1393">
        <v>82183.5</v>
      </c>
      <c r="R44" s="1393">
        <v>82183.25</v>
      </c>
      <c r="S44" s="1393"/>
      <c r="T44" s="1393"/>
      <c r="U44" s="1393"/>
      <c r="V44" s="1393"/>
      <c r="W44" s="1393"/>
      <c r="X44" s="1394">
        <v>0.05</v>
      </c>
      <c r="Y44" s="1394">
        <v>0.2</v>
      </c>
      <c r="Z44" s="1394">
        <v>0</v>
      </c>
      <c r="AA44" s="1395">
        <f t="shared" si="1"/>
        <v>0</v>
      </c>
      <c r="AB44" s="1393" t="str">
        <f t="shared" si="2"/>
        <v>HAMID . IBTESAM</v>
      </c>
      <c r="AC44" s="1393">
        <f t="shared" si="8"/>
        <v>237</v>
      </c>
      <c r="AD44" s="1396">
        <f t="shared" si="3"/>
        <v>160000</v>
      </c>
      <c r="AE44" s="1396">
        <f t="shared" si="4"/>
        <v>140465</v>
      </c>
      <c r="AF44" s="1396">
        <f t="shared" si="5"/>
        <v>115519.94000000002</v>
      </c>
      <c r="AG44" s="1397">
        <f t="shared" si="6"/>
        <v>0.68589964375000012</v>
      </c>
      <c r="AH44" s="1397">
        <f t="shared" si="7"/>
        <v>0.83401093749999999</v>
      </c>
      <c r="AI44" s="1393" t="str">
        <f>IFERROR(VLOOKUP(C44,salesInv!$D$8:$AM$494,35,FALSE),"-")</f>
        <v>H/M/02/2024</v>
      </c>
      <c r="AJ44" s="1398" t="str">
        <f>IFERROR(VLOOKUP(C44,salesInv!$D$8:$AM$494,36,FALSE),"-")</f>
        <v>-</v>
      </c>
      <c r="AK44" s="1396">
        <f>IFERROR(VLOOKUP(C44,salesInv!$D$8:$I$494,3,FALSE),"-")</f>
        <v>54375</v>
      </c>
      <c r="AL44" s="1396">
        <f>IFERROR(VLOOKUP(C44,salesInv!$D$8:$I$494,4,FALSE),"-")</f>
        <v>2718.75</v>
      </c>
      <c r="AM44" s="1396">
        <f>IFERROR(VLOOKUP(C44,salesInv!$D$8:$I$494,6,FALSE),"-")</f>
        <v>57003</v>
      </c>
      <c r="AN44" s="1396">
        <f>COUNTIF(salesInv!$D$8:$D$494,ProHeader!C44)</f>
        <v>3</v>
      </c>
      <c r="AO44" s="1396"/>
      <c r="AP44" s="1396"/>
      <c r="AQ44" s="1396"/>
      <c r="AR44" s="1396"/>
      <c r="AS44" s="1396"/>
      <c r="AT44" s="1396"/>
      <c r="AU44" s="1396"/>
      <c r="AV44" s="1396"/>
      <c r="AW44" s="1396"/>
      <c r="AX44" s="1396"/>
      <c r="AY44" s="1396"/>
      <c r="AZ44" s="1396"/>
    </row>
    <row r="45" spans="1:52" ht="15.75" customHeight="1">
      <c r="A45" s="1420"/>
      <c r="B45" s="425"/>
      <c r="C45" s="1631">
        <v>238</v>
      </c>
      <c r="D45" s="1628" t="s">
        <v>285</v>
      </c>
      <c r="E45" s="1629" t="s">
        <v>601</v>
      </c>
      <c r="F45" s="1404" t="s">
        <v>332</v>
      </c>
      <c r="G45" s="1404" t="s">
        <v>5145</v>
      </c>
      <c r="H45" s="1404">
        <v>7115010</v>
      </c>
      <c r="I45" s="1404"/>
      <c r="J45" s="1404" t="s">
        <v>603</v>
      </c>
      <c r="K45" s="1407" t="s">
        <v>602</v>
      </c>
      <c r="L45" s="1408">
        <v>220000</v>
      </c>
      <c r="M45" s="1408"/>
      <c r="N45" s="1409">
        <f>SUMIFS(srpro!$F$10:$F$3010,srpro!$B$10:$B$3010,ProHeader!C45)</f>
        <v>121000</v>
      </c>
      <c r="O45" s="1409">
        <f>SUMIFS(srpro!$E$10:$E$3010,srpro!$B$10:$B$3010,ProHeader!C45)</f>
        <v>61059.53</v>
      </c>
      <c r="P45" s="1393" t="s">
        <v>604</v>
      </c>
      <c r="Q45" s="1393">
        <v>96815</v>
      </c>
      <c r="R45" s="1393">
        <v>23982</v>
      </c>
      <c r="S45" s="1393"/>
      <c r="T45" s="1393"/>
      <c r="U45" s="1393"/>
      <c r="V45" s="1393"/>
      <c r="W45" s="1393"/>
      <c r="X45" s="1394">
        <v>0.05</v>
      </c>
      <c r="Y45" s="1394">
        <v>0.15</v>
      </c>
      <c r="Z45" s="1394">
        <v>0</v>
      </c>
      <c r="AA45" s="1395">
        <f t="shared" si="1"/>
        <v>0</v>
      </c>
      <c r="AB45" s="1393" t="str">
        <f t="shared" si="2"/>
        <v>HARITH - AREEJ (2)</v>
      </c>
      <c r="AC45" s="1393">
        <f t="shared" si="8"/>
        <v>238</v>
      </c>
      <c r="AD45" s="1396">
        <f t="shared" si="3"/>
        <v>220000</v>
      </c>
      <c r="AE45" s="1396">
        <f t="shared" si="4"/>
        <v>121000</v>
      </c>
      <c r="AF45" s="1396">
        <f t="shared" si="5"/>
        <v>61059.53</v>
      </c>
      <c r="AG45" s="1397">
        <f t="shared" si="6"/>
        <v>0.26366615227272727</v>
      </c>
      <c r="AH45" s="1397">
        <f t="shared" si="7"/>
        <v>0.52249999999999996</v>
      </c>
      <c r="AI45" s="1393" t="str">
        <f>IFERROR(VLOOKUP(C45,salesInv!$D$8:$AM$494,35,FALSE),"-")</f>
        <v>H/M/32/2024</v>
      </c>
      <c r="AJ45" s="1398" t="str">
        <f>IFERROR(VLOOKUP(C45,salesInv!$D$8:$AM$494,36,FALSE),"-")</f>
        <v>-</v>
      </c>
      <c r="AK45" s="1396">
        <f>IFERROR(VLOOKUP(C45,salesInv!$D$8:$I$494,3,FALSE),"-")</f>
        <v>22000</v>
      </c>
      <c r="AL45" s="1396">
        <f>IFERROR(VLOOKUP(C45,salesInv!$D$8:$I$494,4,FALSE),"-")</f>
        <v>1100</v>
      </c>
      <c r="AM45" s="1396">
        <f>IFERROR(VLOOKUP(C45,salesInv!$D$8:$I$494,6,FALSE),"-")</f>
        <v>23100</v>
      </c>
      <c r="AN45" s="1396">
        <f>COUNTIF(salesInv!$D$8:$D$494,ProHeader!C45)</f>
        <v>3</v>
      </c>
      <c r="AO45" s="1396"/>
      <c r="AP45" s="1396"/>
      <c r="AQ45" s="1396"/>
      <c r="AR45" s="1396"/>
      <c r="AS45" s="1396"/>
      <c r="AT45" s="1396"/>
      <c r="AU45" s="1396"/>
      <c r="AV45" s="1396"/>
      <c r="AW45" s="1396"/>
      <c r="AX45" s="1396"/>
      <c r="AY45" s="1396"/>
      <c r="AZ45" s="1396"/>
    </row>
    <row r="46" spans="1:52" ht="15.75" customHeight="1">
      <c r="A46" s="1420"/>
      <c r="B46" s="425"/>
      <c r="C46" s="1631">
        <v>239</v>
      </c>
      <c r="D46" s="1628" t="s">
        <v>280</v>
      </c>
      <c r="E46" s="1629" t="s">
        <v>573</v>
      </c>
      <c r="F46" s="1404" t="s">
        <v>574</v>
      </c>
      <c r="G46" s="1404" t="s">
        <v>5146</v>
      </c>
      <c r="H46" s="1404">
        <v>7116512</v>
      </c>
      <c r="I46" s="1404"/>
      <c r="J46" s="1404" t="s">
        <v>576</v>
      </c>
      <c r="K46" s="1404" t="s">
        <v>575</v>
      </c>
      <c r="L46" s="1408">
        <v>95000</v>
      </c>
      <c r="M46" s="1408">
        <v>10000</v>
      </c>
      <c r="N46" s="1409">
        <f>SUMIFS(srpro!$F$10:$F$3010,srpro!$B$10:$B$3010,ProHeader!C46)</f>
        <v>105000</v>
      </c>
      <c r="O46" s="1409">
        <f>SUMIFS(srpro!$E$10:$E$3010,srpro!$B$10:$B$3010,ProHeader!C46)</f>
        <v>74580</v>
      </c>
      <c r="P46" s="1393" t="s">
        <v>577</v>
      </c>
      <c r="Q46" s="1393">
        <v>51918</v>
      </c>
      <c r="R46" s="1393">
        <v>51918</v>
      </c>
      <c r="S46" s="1393"/>
      <c r="T46" s="1393"/>
      <c r="U46" s="1393"/>
      <c r="V46" s="1393"/>
      <c r="W46" s="1393"/>
      <c r="X46" s="1394">
        <v>0.05</v>
      </c>
      <c r="Y46" s="1394">
        <v>0.1</v>
      </c>
      <c r="Z46" s="1394">
        <v>0</v>
      </c>
      <c r="AA46" s="1395">
        <f t="shared" si="1"/>
        <v>0</v>
      </c>
      <c r="AB46" s="1393" t="str">
        <f t="shared" si="2"/>
        <v>FAISAL JASEEM - AREEJ</v>
      </c>
      <c r="AC46" s="1393">
        <f t="shared" si="8"/>
        <v>239</v>
      </c>
      <c r="AD46" s="1396">
        <f t="shared" si="3"/>
        <v>105000</v>
      </c>
      <c r="AE46" s="1396">
        <f t="shared" si="4"/>
        <v>105000</v>
      </c>
      <c r="AF46" s="1396">
        <f t="shared" si="5"/>
        <v>74580</v>
      </c>
      <c r="AG46" s="1397">
        <f t="shared" si="6"/>
        <v>0.67477142857142858</v>
      </c>
      <c r="AH46" s="1397">
        <f t="shared" si="7"/>
        <v>0.95</v>
      </c>
      <c r="AI46" s="1393" t="str">
        <f>IFERROR(VLOOKUP(C46,salesInv!$D$8:$AM$494,35,FALSE),"-")</f>
        <v>-</v>
      </c>
      <c r="AJ46" s="1398" t="str">
        <f>IFERROR(VLOOKUP(C46,salesInv!$D$8:$AM$494,36,FALSE),"-")</f>
        <v>-</v>
      </c>
      <c r="AK46" s="1396" t="str">
        <f>IFERROR(VLOOKUP(C46,salesInv!$D$8:$I$494,3,FALSE),"-")</f>
        <v>-</v>
      </c>
      <c r="AL46" s="1396" t="str">
        <f>IFERROR(VLOOKUP(C46,salesInv!$D$8:$I$494,4,FALSE),"-")</f>
        <v>-</v>
      </c>
      <c r="AM46" s="1396" t="str">
        <f>IFERROR(VLOOKUP(C46,salesInv!$D$8:$I$494,6,FALSE),"-")</f>
        <v>-</v>
      </c>
      <c r="AN46" s="1396">
        <f>COUNTIF(salesInv!$D$8:$D$494,ProHeader!C46)</f>
        <v>0</v>
      </c>
      <c r="AO46" s="1396"/>
      <c r="AP46" s="1396"/>
      <c r="AQ46" s="1396"/>
      <c r="AR46" s="1396"/>
      <c r="AS46" s="1396"/>
      <c r="AT46" s="1396"/>
      <c r="AU46" s="1396"/>
      <c r="AV46" s="1396"/>
      <c r="AW46" s="1396"/>
      <c r="AX46" s="1396"/>
      <c r="AY46" s="1396"/>
      <c r="AZ46" s="1396"/>
    </row>
    <row r="47" spans="1:52" ht="15.75" customHeight="1">
      <c r="A47" s="1420"/>
      <c r="B47" s="425"/>
      <c r="C47" s="1631">
        <v>241</v>
      </c>
      <c r="D47" s="1628" t="s">
        <v>158</v>
      </c>
      <c r="E47" s="1628" t="s">
        <v>762</v>
      </c>
      <c r="F47" s="1404" t="s">
        <v>763</v>
      </c>
      <c r="G47" s="1404" t="s">
        <v>5155</v>
      </c>
      <c r="H47" s="1404">
        <v>9131520</v>
      </c>
      <c r="I47" s="1404"/>
      <c r="J47" s="1406" t="s">
        <v>765</v>
      </c>
      <c r="K47" s="1404" t="s">
        <v>764</v>
      </c>
      <c r="L47" s="1408">
        <v>170000</v>
      </c>
      <c r="M47" s="1408"/>
      <c r="N47" s="1409">
        <v>93500</v>
      </c>
      <c r="O47" s="1409">
        <v>66762.73</v>
      </c>
      <c r="P47" s="1393" t="s">
        <v>766</v>
      </c>
      <c r="Q47" s="1393">
        <v>100196</v>
      </c>
      <c r="R47" s="1393">
        <v>33936</v>
      </c>
      <c r="S47" s="1393"/>
      <c r="T47" s="1393"/>
      <c r="U47" s="1393"/>
      <c r="V47" s="1393"/>
      <c r="W47" s="1393"/>
      <c r="X47" s="1394">
        <v>0.05</v>
      </c>
      <c r="Y47" s="1394">
        <v>0.15</v>
      </c>
      <c r="Z47" s="1394">
        <v>0</v>
      </c>
      <c r="AA47" s="1395">
        <v>0</v>
      </c>
      <c r="AB47" s="1393" t="s">
        <v>158</v>
      </c>
      <c r="AC47" s="1393">
        <v>241</v>
      </c>
      <c r="AD47" s="1396">
        <v>170000</v>
      </c>
      <c r="AE47" s="1396">
        <v>93500</v>
      </c>
      <c r="AF47" s="1396">
        <v>66762.73</v>
      </c>
      <c r="AG47" s="1397">
        <v>0.37308584411764706</v>
      </c>
      <c r="AH47" s="1397">
        <v>0.52249999999999996</v>
      </c>
      <c r="AI47" s="1393" t="s">
        <v>5156</v>
      </c>
      <c r="AJ47" s="1398" t="s">
        <v>1500</v>
      </c>
      <c r="AK47" s="1396">
        <v>68000</v>
      </c>
      <c r="AL47" s="1396">
        <v>3400</v>
      </c>
      <c r="AM47" s="1396">
        <v>65000</v>
      </c>
      <c r="AN47" s="1396">
        <v>1</v>
      </c>
      <c r="AO47" s="1396"/>
      <c r="AP47" s="1396"/>
      <c r="AQ47" s="1396"/>
      <c r="AR47" s="1396"/>
      <c r="AS47" s="1396"/>
      <c r="AT47" s="1396"/>
      <c r="AU47" s="1396"/>
      <c r="AV47" s="1396"/>
      <c r="AW47" s="1396"/>
      <c r="AX47" s="1396"/>
      <c r="AY47" s="1396"/>
      <c r="AZ47" s="1396"/>
    </row>
    <row r="48" spans="1:52" ht="15.75" customHeight="1">
      <c r="A48" s="1420"/>
      <c r="B48" s="425"/>
      <c r="C48" s="1631">
        <v>242</v>
      </c>
      <c r="D48" s="1628" t="s">
        <v>274</v>
      </c>
      <c r="E48" s="1629" t="s">
        <v>435</v>
      </c>
      <c r="F48" s="1404" t="s">
        <v>436</v>
      </c>
      <c r="G48" s="1407" t="s">
        <v>437</v>
      </c>
      <c r="H48" s="1404" t="s">
        <v>438</v>
      </c>
      <c r="I48" s="1404"/>
      <c r="J48" s="1406" t="s">
        <v>440</v>
      </c>
      <c r="K48" s="1407" t="s">
        <v>439</v>
      </c>
      <c r="L48" s="1408">
        <v>210000</v>
      </c>
      <c r="M48" s="1408">
        <f>3000+6000+2000+1500+4500</f>
        <v>17000</v>
      </c>
      <c r="N48" s="1409">
        <f>SUMIFS(srpro!$F$10:$F$3010,srpro!$B$10:$B$3010,ProHeader!C48)</f>
        <v>201500</v>
      </c>
      <c r="O48" s="1409">
        <f>SUMIFS(srpro!$E$10:$E$3010,srpro!$B$10:$B$3010,ProHeader!C48)</f>
        <v>171087.4155</v>
      </c>
      <c r="P48" s="1393" t="s">
        <v>441</v>
      </c>
      <c r="Q48" s="1393">
        <v>106460</v>
      </c>
      <c r="R48" s="1393">
        <v>35307</v>
      </c>
      <c r="S48" s="1393"/>
      <c r="T48" s="1393"/>
      <c r="U48" s="1393"/>
      <c r="V48" s="1393"/>
      <c r="W48" s="1399" t="s">
        <v>5580</v>
      </c>
      <c r="X48" s="1394"/>
      <c r="Y48" s="1394"/>
      <c r="Z48" s="1394"/>
      <c r="AA48" s="1395">
        <f t="shared" si="1"/>
        <v>0</v>
      </c>
      <c r="AB48" s="1393" t="str">
        <f t="shared" si="2"/>
        <v xml:space="preserve">AMMAR . ARCHPIX  </v>
      </c>
      <c r="AC48" s="1393">
        <f t="shared" si="8"/>
        <v>242</v>
      </c>
      <c r="AD48" s="1396">
        <f t="shared" si="3"/>
        <v>227000</v>
      </c>
      <c r="AE48" s="1396">
        <f t="shared" si="4"/>
        <v>201500</v>
      </c>
      <c r="AF48" s="1396">
        <f t="shared" si="5"/>
        <v>171087.4155</v>
      </c>
      <c r="AG48" s="1397">
        <f t="shared" si="6"/>
        <v>0.71600460231277541</v>
      </c>
      <c r="AH48" s="1397">
        <f t="shared" si="7"/>
        <v>0.84328193832599119</v>
      </c>
      <c r="AI48" s="1393" t="str">
        <f>IFERROR(VLOOKUP(C48,salesInv!$D$8:$AM$494,35,FALSE),"-")</f>
        <v>H/M/58/2024</v>
      </c>
      <c r="AJ48" s="1398" t="str">
        <f>IFERROR(VLOOKUP(C48,salesInv!$D$8:$AM$494,36,FALSE),"-")</f>
        <v>-</v>
      </c>
      <c r="AK48" s="1396">
        <f>IFERROR(VLOOKUP(C48,salesInv!$D$8:$I$494,3,FALSE),"-")</f>
        <v>80850</v>
      </c>
      <c r="AL48" s="1396">
        <f>IFERROR(VLOOKUP(C48,salesInv!$D$8:$I$494,4,FALSE),"-")</f>
        <v>4042.5</v>
      </c>
      <c r="AM48" s="1396">
        <f>IFERROR(VLOOKUP(C48,salesInv!$D$8:$I$494,6,FALSE),"-")</f>
        <v>84892.5</v>
      </c>
      <c r="AN48" s="1396">
        <f>COUNTIF(salesInv!$D$8:$D$494,ProHeader!C48)</f>
        <v>8</v>
      </c>
      <c r="AO48" s="1396"/>
      <c r="AP48" s="1396"/>
      <c r="AQ48" s="1396"/>
      <c r="AR48" s="1396"/>
      <c r="AS48" s="1396"/>
      <c r="AT48" s="1396"/>
      <c r="AU48" s="1396"/>
      <c r="AV48" s="1396"/>
      <c r="AW48" s="1396"/>
      <c r="AX48" s="1396"/>
      <c r="AY48" s="1396"/>
      <c r="AZ48" s="1396"/>
    </row>
    <row r="49" spans="1:53" ht="15.75" customHeight="1">
      <c r="A49" s="1420"/>
      <c r="B49" s="425"/>
      <c r="C49" s="1631">
        <v>243</v>
      </c>
      <c r="D49" s="1628" t="s">
        <v>308</v>
      </c>
      <c r="E49" s="1629" t="s">
        <v>843</v>
      </c>
      <c r="F49" s="1404" t="s">
        <v>591</v>
      </c>
      <c r="G49" s="1404" t="s">
        <v>5663</v>
      </c>
      <c r="H49" s="1404">
        <v>9130424</v>
      </c>
      <c r="I49" s="1404"/>
      <c r="J49" s="1404"/>
      <c r="K49" s="1404"/>
      <c r="L49" s="1408">
        <v>130000</v>
      </c>
      <c r="M49" s="1408"/>
      <c r="N49" s="1409">
        <f>SUMIFS(srpro!$F$10:$F$3010,srpro!$B$10:$B$3010,ProHeader!C49)</f>
        <v>130000</v>
      </c>
      <c r="O49" s="1409">
        <f>SUMIFS(srpro!$E$10:$E$3010,srpro!$B$10:$B$3010,ProHeader!C49)</f>
        <v>93685.36</v>
      </c>
      <c r="P49" s="1393" t="s">
        <v>190</v>
      </c>
      <c r="Q49" s="1393">
        <v>72435</v>
      </c>
      <c r="R49" s="1393">
        <f>17772+27043</f>
        <v>44815</v>
      </c>
      <c r="S49" s="1393"/>
      <c r="T49" s="1393"/>
      <c r="U49" s="1393"/>
      <c r="V49" s="1393"/>
      <c r="W49" s="1393" t="s">
        <v>991</v>
      </c>
      <c r="X49" s="1394">
        <v>0.05</v>
      </c>
      <c r="Y49" s="1394">
        <v>0.15</v>
      </c>
      <c r="Z49" s="1394">
        <v>0</v>
      </c>
      <c r="AA49" s="1395">
        <f t="shared" si="1"/>
        <v>0</v>
      </c>
      <c r="AB49" s="1393" t="str">
        <f t="shared" si="2"/>
        <v xml:space="preserve">SHIHAB . ARCHPIX </v>
      </c>
      <c r="AC49" s="1393">
        <f t="shared" si="8"/>
        <v>243</v>
      </c>
      <c r="AD49" s="1396">
        <f t="shared" si="3"/>
        <v>130000</v>
      </c>
      <c r="AE49" s="1396">
        <f t="shared" si="4"/>
        <v>130000</v>
      </c>
      <c r="AF49" s="1396">
        <f t="shared" si="5"/>
        <v>93685.36</v>
      </c>
      <c r="AG49" s="1397">
        <f t="shared" si="6"/>
        <v>0.68462378461538465</v>
      </c>
      <c r="AH49" s="1397">
        <f t="shared" si="7"/>
        <v>0.95</v>
      </c>
      <c r="AI49" s="1393" t="str">
        <f>IFERROR(VLOOKUP(C49,salesInv!$D$8:$AM$494,35,FALSE),"-")</f>
        <v>H/M/15/2024</v>
      </c>
      <c r="AJ49" s="1398" t="str">
        <f>IFERROR(VLOOKUP(C49,salesInv!$D$8:$AM$494,36,FALSE),"-")</f>
        <v>-</v>
      </c>
      <c r="AK49" s="1396">
        <f>IFERROR(VLOOKUP(C49,salesInv!$D$8:$I$494,3,FALSE),"-")</f>
        <v>52000</v>
      </c>
      <c r="AL49" s="1396">
        <f>IFERROR(VLOOKUP(C49,salesInv!$D$8:$I$494,4,FALSE),"-")</f>
        <v>2600</v>
      </c>
      <c r="AM49" s="1396">
        <f>IFERROR(VLOOKUP(C49,salesInv!$D$8:$I$494,6,FALSE),"-")</f>
        <v>54600</v>
      </c>
      <c r="AN49" s="1396">
        <f>COUNTIF(salesInv!$D$8:$D$494,ProHeader!C49)</f>
        <v>3</v>
      </c>
      <c r="AO49" s="1396"/>
      <c r="AP49" s="1396"/>
      <c r="AQ49" s="1396"/>
      <c r="AR49" s="1396"/>
      <c r="AS49" s="1396"/>
      <c r="AT49" s="1396"/>
      <c r="AU49" s="1396"/>
      <c r="AV49" s="1396"/>
      <c r="AW49" s="1396"/>
      <c r="AX49" s="1396"/>
      <c r="AY49" s="1396"/>
      <c r="AZ49" s="1396"/>
    </row>
    <row r="50" spans="1:53" ht="15.75" customHeight="1">
      <c r="A50" s="1420"/>
      <c r="B50" s="425"/>
      <c r="C50" s="1631">
        <v>244</v>
      </c>
      <c r="D50" s="1628" t="s">
        <v>6073</v>
      </c>
      <c r="E50" s="1629" t="s">
        <v>6074</v>
      </c>
      <c r="F50" s="1404" t="s">
        <v>5933</v>
      </c>
      <c r="G50" s="1404" t="s">
        <v>342</v>
      </c>
      <c r="H50" s="1404">
        <v>7116021</v>
      </c>
      <c r="I50" s="1404"/>
      <c r="J50" s="1404" t="s">
        <v>6075</v>
      </c>
      <c r="K50" s="1404" t="s">
        <v>6076</v>
      </c>
      <c r="L50" s="1408">
        <v>110000</v>
      </c>
      <c r="M50" s="1408"/>
      <c r="N50" s="1409">
        <f>SUMIFS(srpro!$F$10:$F$3010,srpro!$B$10:$B$3010,ProHeader!C50)</f>
        <v>0</v>
      </c>
      <c r="O50" s="1409">
        <f>SUMIFS(srpro!$E$10:$E$3010,srpro!$B$10:$B$3010,ProHeader!C50)</f>
        <v>0</v>
      </c>
      <c r="P50" s="1393"/>
      <c r="Q50" s="1393"/>
      <c r="R50" s="1393"/>
      <c r="S50" s="1393"/>
      <c r="T50" s="1393"/>
      <c r="U50" s="1393"/>
      <c r="V50" s="1393"/>
      <c r="W50" s="1393" t="s">
        <v>6077</v>
      </c>
      <c r="X50" s="1394">
        <v>0.05</v>
      </c>
      <c r="Y50" s="1394">
        <v>0.2</v>
      </c>
      <c r="Z50" s="1394">
        <v>0</v>
      </c>
      <c r="AA50" s="1395">
        <f t="shared" si="1"/>
        <v>0</v>
      </c>
      <c r="AB50" s="1393" t="str">
        <f t="shared" si="2"/>
        <v>Majed Sultan Salem Bilal</v>
      </c>
      <c r="AC50" s="1393">
        <f t="shared" si="8"/>
        <v>244</v>
      </c>
      <c r="AD50" s="1396">
        <f t="shared" si="3"/>
        <v>110000</v>
      </c>
      <c r="AE50" s="1396">
        <f t="shared" ref="AE50" si="9">N50</f>
        <v>0</v>
      </c>
      <c r="AF50" s="1396">
        <f t="shared" ref="AF50" si="10">O50</f>
        <v>0</v>
      </c>
      <c r="AG50" s="1397">
        <f t="shared" ref="AG50" si="11">IFERROR((O50- (O50*5%))/(L50+M50),0)</f>
        <v>0</v>
      </c>
      <c r="AH50" s="1397">
        <f t="shared" ref="AH50" si="12">IFERROR((N50-(N50*5%))/(L50+M50),0)</f>
        <v>0</v>
      </c>
      <c r="AI50" s="1393" t="str">
        <f>IFERROR(VLOOKUP(C50,salesInv!$D$8:$AM$494,35,FALSE),"-")</f>
        <v>-</v>
      </c>
      <c r="AJ50" s="1398" t="str">
        <f>IFERROR(VLOOKUP(C50,salesInv!$D$8:$AM$494,36,FALSE),"-")</f>
        <v>-</v>
      </c>
      <c r="AK50" s="1396" t="str">
        <f>IFERROR(VLOOKUP(C50,salesInv!$D$8:$I$494,3,FALSE),"-")</f>
        <v>-</v>
      </c>
      <c r="AL50" s="1396" t="str">
        <f>IFERROR(VLOOKUP(C50,salesInv!$D$8:$I$494,4,FALSE),"-")</f>
        <v>-</v>
      </c>
      <c r="AM50" s="1396" t="str">
        <f>IFERROR(VLOOKUP(C50,salesInv!$D$8:$I$494,6,FALSE),"-")</f>
        <v>-</v>
      </c>
      <c r="AN50" s="1396">
        <f>COUNTIF(salesInv!$D$8:$D$494,ProHeader!C50)</f>
        <v>0</v>
      </c>
      <c r="AO50" s="1396"/>
      <c r="AP50" s="1396"/>
      <c r="AQ50" s="1396"/>
      <c r="AR50" s="1396"/>
      <c r="AS50" s="1396"/>
      <c r="AT50" s="1396"/>
      <c r="AU50" s="1396"/>
      <c r="AV50" s="1396"/>
      <c r="AW50" s="1396"/>
      <c r="AX50" s="1396"/>
      <c r="AY50" s="1396"/>
      <c r="AZ50" s="1396"/>
      <c r="BA50" s="44">
        <v>45224</v>
      </c>
    </row>
    <row r="51" spans="1:53" ht="15.75" customHeight="1">
      <c r="A51" s="1420"/>
      <c r="B51" s="425"/>
      <c r="C51" s="1631">
        <v>245</v>
      </c>
      <c r="D51" s="1628" t="s">
        <v>192</v>
      </c>
      <c r="E51" s="1629" t="s">
        <v>788</v>
      </c>
      <c r="F51" s="1410" t="s">
        <v>323</v>
      </c>
      <c r="G51" s="1415" t="s">
        <v>5147</v>
      </c>
      <c r="H51" s="1415">
        <v>4240951</v>
      </c>
      <c r="I51" s="1404"/>
      <c r="J51" s="1406" t="s">
        <v>628</v>
      </c>
      <c r="K51" s="1417" t="s">
        <v>789</v>
      </c>
      <c r="L51" s="1408">
        <v>200000</v>
      </c>
      <c r="M51" s="1408">
        <v>8400</v>
      </c>
      <c r="N51" s="1409">
        <f>SUMIFS(srpro!$F$10:$F$3010,srpro!$B$10:$B$3010,ProHeader!C51)</f>
        <v>100000</v>
      </c>
      <c r="O51" s="1409">
        <f>SUMIFS(srpro!$E$10:$E$3010,srpro!$B$10:$B$3010,ProHeader!C51)</f>
        <v>63736.28</v>
      </c>
      <c r="P51" s="1393" t="s">
        <v>790</v>
      </c>
      <c r="Q51" s="1393">
        <v>103587</v>
      </c>
      <c r="R51" s="1393">
        <f>28980+2430.75</f>
        <v>31410.75</v>
      </c>
      <c r="S51" s="1393"/>
      <c r="T51" s="1393"/>
      <c r="U51" s="1393"/>
      <c r="V51" s="1393"/>
      <c r="W51" s="1393" t="s">
        <v>990</v>
      </c>
      <c r="X51" s="1394">
        <v>0.05</v>
      </c>
      <c r="Y51" s="1394">
        <v>0.2</v>
      </c>
      <c r="Z51" s="1394">
        <v>0</v>
      </c>
      <c r="AA51" s="1395">
        <f t="shared" si="1"/>
        <v>0</v>
      </c>
      <c r="AB51" s="1393" t="str">
        <f t="shared" si="2"/>
        <v>SALIM SALMIN</v>
      </c>
      <c r="AC51" s="1393">
        <f t="shared" si="8"/>
        <v>245</v>
      </c>
      <c r="AD51" s="1396">
        <f t="shared" si="3"/>
        <v>208400</v>
      </c>
      <c r="AE51" s="1396">
        <f t="shared" si="4"/>
        <v>100000</v>
      </c>
      <c r="AF51" s="1396">
        <f t="shared" si="5"/>
        <v>63736.28</v>
      </c>
      <c r="AG51" s="1397">
        <f t="shared" si="6"/>
        <v>0.29054446257197697</v>
      </c>
      <c r="AH51" s="1397">
        <f t="shared" si="7"/>
        <v>0.45585412667946257</v>
      </c>
      <c r="AI51" s="1393" t="str">
        <f>IFERROR(VLOOKUP(C51,salesInv!$D$8:$AM$494,35,FALSE),"-")</f>
        <v>H/M/05/2024</v>
      </c>
      <c r="AJ51" s="1398" t="str">
        <f>IFERROR(VLOOKUP(C51,salesInv!$D$8:$AM$494,36,FALSE),"-")</f>
        <v>-</v>
      </c>
      <c r="AK51" s="1396">
        <f>IFERROR(VLOOKUP(C51,salesInv!$D$8:$I$494,3,FALSE),"-")</f>
        <v>60000</v>
      </c>
      <c r="AL51" s="1396">
        <f>IFERROR(VLOOKUP(C51,salesInv!$D$8:$I$494,4,FALSE),"-")</f>
        <v>3000</v>
      </c>
      <c r="AM51" s="1396">
        <f>IFERROR(VLOOKUP(C51,salesInv!$D$8:$I$494,6,FALSE),"-")</f>
        <v>63000</v>
      </c>
      <c r="AN51" s="1396">
        <f>COUNTIF(salesInv!$D$8:$D$494,ProHeader!C51)</f>
        <v>2</v>
      </c>
      <c r="AO51" s="1396"/>
      <c r="AP51" s="1396"/>
      <c r="AQ51" s="1396"/>
      <c r="AR51" s="1396"/>
      <c r="AS51" s="1396"/>
      <c r="AT51" s="1396"/>
      <c r="AU51" s="1396"/>
      <c r="AV51" s="1396"/>
      <c r="AW51" s="1396"/>
      <c r="AX51" s="1396"/>
      <c r="AY51" s="1396"/>
      <c r="AZ51" s="1396"/>
    </row>
    <row r="52" spans="1:53" ht="15.75" customHeight="1">
      <c r="A52" s="1420"/>
      <c r="B52" s="425"/>
      <c r="C52" s="1631">
        <v>246</v>
      </c>
      <c r="D52" s="1628" t="s">
        <v>293</v>
      </c>
      <c r="E52" s="1629" t="s">
        <v>554</v>
      </c>
      <c r="F52" s="1404" t="s">
        <v>555</v>
      </c>
      <c r="G52" s="1404" t="s">
        <v>5148</v>
      </c>
      <c r="H52" s="1404">
        <v>2822361</v>
      </c>
      <c r="I52" s="1404"/>
      <c r="J52" s="1404" t="s">
        <v>557</v>
      </c>
      <c r="K52" s="1404" t="s">
        <v>556</v>
      </c>
      <c r="L52" s="1408">
        <v>180000</v>
      </c>
      <c r="M52" s="1408">
        <v>18000</v>
      </c>
      <c r="N52" s="1409">
        <f>SUMIFS(srpro!$F$10:$F$3010,srpro!$B$10:$B$3010,ProHeader!C52)</f>
        <v>170000</v>
      </c>
      <c r="O52" s="1409">
        <f>SUMIFS(srpro!$E$10:$E$3010,srpro!$B$10:$B$3010,ProHeader!C52)</f>
        <v>80599.550000000017</v>
      </c>
      <c r="P52" s="1393" t="s">
        <v>558</v>
      </c>
      <c r="Q52" s="1393">
        <v>98857</v>
      </c>
      <c r="R52" s="1393">
        <v>32892</v>
      </c>
      <c r="S52" s="1393"/>
      <c r="T52" s="1393"/>
      <c r="U52" s="1393"/>
      <c r="V52" s="1393"/>
      <c r="W52" s="1393"/>
      <c r="X52" s="1394">
        <v>0.05</v>
      </c>
      <c r="Y52" s="1394">
        <v>0.15</v>
      </c>
      <c r="Z52" s="1394">
        <v>0</v>
      </c>
      <c r="AA52" s="1395">
        <f t="shared" si="1"/>
        <v>0</v>
      </c>
      <c r="AB52" s="1393" t="str">
        <f t="shared" si="2"/>
        <v>MARZOK MATROSHI-ARCHPIX</v>
      </c>
      <c r="AC52" s="1393">
        <f t="shared" si="8"/>
        <v>246</v>
      </c>
      <c r="AD52" s="1396">
        <f t="shared" si="3"/>
        <v>198000</v>
      </c>
      <c r="AE52" s="1396">
        <f t="shared" si="4"/>
        <v>170000</v>
      </c>
      <c r="AF52" s="1396">
        <f t="shared" si="5"/>
        <v>80599.550000000017</v>
      </c>
      <c r="AG52" s="1397">
        <f t="shared" si="6"/>
        <v>0.38671501262626268</v>
      </c>
      <c r="AH52" s="1397">
        <f t="shared" si="7"/>
        <v>0.81565656565656564</v>
      </c>
      <c r="AI52" s="1393" t="str">
        <f>IFERROR(VLOOKUP(C52,salesInv!$D$8:$AM$494,35,FALSE),"-")</f>
        <v>H/M/53/2024</v>
      </c>
      <c r="AJ52" s="1398" t="str">
        <f>IFERROR(VLOOKUP(C52,salesInv!$D$8:$AM$494,36,FALSE),"-")</f>
        <v>-</v>
      </c>
      <c r="AK52" s="1396">
        <f>IFERROR(VLOOKUP(C52,salesInv!$D$8:$I$494,3,FALSE),"-")</f>
        <v>72000</v>
      </c>
      <c r="AL52" s="1396">
        <f>IFERROR(VLOOKUP(C52,salesInv!$D$8:$I$494,4,FALSE),"-")</f>
        <v>3600</v>
      </c>
      <c r="AM52" s="1396">
        <f>IFERROR(VLOOKUP(C52,salesInv!$D$8:$I$494,6,FALSE),"-")</f>
        <v>75600</v>
      </c>
      <c r="AN52" s="1396">
        <f>COUNTIF(salesInv!$D$8:$D$494,ProHeader!C52)</f>
        <v>2</v>
      </c>
      <c r="AO52" s="1396"/>
      <c r="AP52" s="1396"/>
      <c r="AQ52" s="1396"/>
      <c r="AR52" s="1396"/>
      <c r="AS52" s="1396"/>
      <c r="AT52" s="1396"/>
      <c r="AU52" s="1396"/>
      <c r="AV52" s="1396"/>
      <c r="AW52" s="1396"/>
      <c r="AX52" s="1396"/>
      <c r="AY52" s="1396"/>
      <c r="AZ52" s="1396"/>
    </row>
    <row r="53" spans="1:53" ht="15.75" customHeight="1">
      <c r="A53" s="1420"/>
      <c r="B53" s="425"/>
      <c r="C53" s="1631">
        <v>247</v>
      </c>
      <c r="D53" s="1628" t="s">
        <v>731</v>
      </c>
      <c r="E53" s="1628" t="s">
        <v>731</v>
      </c>
      <c r="F53" s="1404" t="s">
        <v>328</v>
      </c>
      <c r="G53" s="1404" t="s">
        <v>732</v>
      </c>
      <c r="H53" s="1404">
        <v>9132570</v>
      </c>
      <c r="I53" s="1404"/>
      <c r="J53" s="1404" t="s">
        <v>734</v>
      </c>
      <c r="K53" s="1404" t="s">
        <v>733</v>
      </c>
      <c r="L53" s="1408">
        <v>160000</v>
      </c>
      <c r="M53" s="1408"/>
      <c r="N53" s="1409">
        <v>24000</v>
      </c>
      <c r="O53" s="1409">
        <v>14756</v>
      </c>
      <c r="P53" s="1393"/>
      <c r="Q53" s="1393"/>
      <c r="R53" s="1393"/>
      <c r="S53" s="1393"/>
      <c r="T53" s="1393"/>
      <c r="U53" s="1393"/>
      <c r="V53" s="1393"/>
      <c r="W53" s="1393"/>
      <c r="X53" s="1394">
        <v>0.05</v>
      </c>
      <c r="Y53" s="1394">
        <v>0.15</v>
      </c>
      <c r="Z53" s="1394">
        <v>0</v>
      </c>
      <c r="AA53" s="1395">
        <v>0</v>
      </c>
      <c r="AB53" s="1393" t="s">
        <v>267</v>
      </c>
      <c r="AC53" s="1393">
        <v>247</v>
      </c>
      <c r="AD53" s="1396">
        <v>160000</v>
      </c>
      <c r="AE53" s="1396">
        <v>24000</v>
      </c>
      <c r="AF53" s="1396">
        <v>14756</v>
      </c>
      <c r="AG53" s="1397">
        <v>8.7613750000000004E-2</v>
      </c>
      <c r="AH53" s="1397">
        <v>0.14249999999999999</v>
      </c>
      <c r="AI53" s="1393" t="s">
        <v>5157</v>
      </c>
      <c r="AJ53" s="1398" t="s">
        <v>1500</v>
      </c>
      <c r="AK53" s="1396">
        <v>24000</v>
      </c>
      <c r="AL53" s="1396">
        <v>1200</v>
      </c>
      <c r="AM53" s="1396">
        <v>25200</v>
      </c>
      <c r="AN53" s="1396">
        <v>2</v>
      </c>
      <c r="AO53" s="1396"/>
      <c r="AP53" s="1396"/>
      <c r="AQ53" s="1396"/>
      <c r="AR53" s="1396"/>
      <c r="AS53" s="1396"/>
      <c r="AT53" s="1396"/>
      <c r="AU53" s="1396"/>
      <c r="AV53" s="1396"/>
      <c r="AW53" s="1396"/>
      <c r="AX53" s="1396"/>
      <c r="AY53" s="1396"/>
      <c r="AZ53" s="1396"/>
    </row>
    <row r="54" spans="1:53" ht="15.75" customHeight="1">
      <c r="A54" s="1420"/>
      <c r="B54" s="425"/>
      <c r="C54" s="1631">
        <v>249</v>
      </c>
      <c r="D54" s="1628" t="s">
        <v>282</v>
      </c>
      <c r="E54" s="1629" t="s">
        <v>590</v>
      </c>
      <c r="F54" s="1407" t="s">
        <v>591</v>
      </c>
      <c r="G54" s="1404" t="s">
        <v>5149</v>
      </c>
      <c r="H54" s="1404">
        <v>4220118</v>
      </c>
      <c r="I54" s="1404"/>
      <c r="J54" s="1404" t="s">
        <v>592</v>
      </c>
      <c r="K54" s="1404" t="s">
        <v>589</v>
      </c>
      <c r="L54" s="1408">
        <v>240000</v>
      </c>
      <c r="M54" s="1408"/>
      <c r="N54" s="1409">
        <f>SUMIFS(srpro!$F$10:$F$3010,srpro!$B$10:$B$3010,ProHeader!C54)</f>
        <v>220080</v>
      </c>
      <c r="O54" s="1409">
        <f>SUMIFS(srpro!$E$10:$E$3010,srpro!$B$10:$B$3010,ProHeader!C54)</f>
        <v>193054.14</v>
      </c>
      <c r="P54" s="1393" t="s">
        <v>593</v>
      </c>
      <c r="Q54" s="1393">
        <v>137938</v>
      </c>
      <c r="R54" s="1393">
        <v>51492</v>
      </c>
      <c r="S54" s="1393"/>
      <c r="T54" s="1393"/>
      <c r="U54" s="1393"/>
      <c r="V54" s="1393"/>
      <c r="W54" s="1393"/>
      <c r="X54" s="1394">
        <v>0.05</v>
      </c>
      <c r="Y54" s="1394">
        <v>0.2</v>
      </c>
      <c r="Z54" s="1394">
        <v>0</v>
      </c>
      <c r="AA54" s="1395">
        <f t="shared" si="1"/>
        <v>0</v>
      </c>
      <c r="AB54" s="1393" t="str">
        <f t="shared" si="2"/>
        <v>FAROUQ MARZOKI</v>
      </c>
      <c r="AC54" s="1393">
        <f t="shared" si="8"/>
        <v>249</v>
      </c>
      <c r="AD54" s="1396">
        <f t="shared" si="3"/>
        <v>240000</v>
      </c>
      <c r="AE54" s="1396">
        <f t="shared" si="4"/>
        <v>220080</v>
      </c>
      <c r="AF54" s="1396">
        <f t="shared" si="5"/>
        <v>193054.14</v>
      </c>
      <c r="AG54" s="1397">
        <f t="shared" si="6"/>
        <v>0.76417263750000008</v>
      </c>
      <c r="AH54" s="1397">
        <f t="shared" si="7"/>
        <v>0.87114999999999998</v>
      </c>
      <c r="AI54" s="1393" t="str">
        <f>IFERROR(VLOOKUP(C54,salesInv!$D$8:$AM$494,35,FALSE),"-")</f>
        <v>H/M/54/2024</v>
      </c>
      <c r="AJ54" s="1398" t="str">
        <f>IFERROR(VLOOKUP(C54,salesInv!$D$8:$AM$494,36,FALSE),"-")</f>
        <v>-</v>
      </c>
      <c r="AK54" s="1396">
        <f>IFERROR(VLOOKUP(C54,salesInv!$D$8:$I$494,3,FALSE),"-")</f>
        <v>90000</v>
      </c>
      <c r="AL54" s="1396">
        <f>IFERROR(VLOOKUP(C54,salesInv!$D$8:$I$494,4,FALSE),"-")</f>
        <v>4500</v>
      </c>
      <c r="AM54" s="1396">
        <f>IFERROR(VLOOKUP(C54,salesInv!$D$8:$I$494,6,FALSE),"-")</f>
        <v>94500</v>
      </c>
      <c r="AN54" s="1396">
        <f>COUNTIF(salesInv!$D$8:$D$494,ProHeader!C54)</f>
        <v>2</v>
      </c>
      <c r="AO54" s="1396"/>
      <c r="AP54" s="1396"/>
      <c r="AQ54" s="1396"/>
      <c r="AR54" s="1396"/>
      <c r="AS54" s="1396"/>
      <c r="AT54" s="1396"/>
      <c r="AU54" s="1396"/>
      <c r="AV54" s="1396"/>
      <c r="AW54" s="1396"/>
      <c r="AX54" s="1396"/>
      <c r="AY54" s="1396"/>
      <c r="AZ54" s="1396"/>
    </row>
    <row r="55" spans="1:53" ht="15.75" customHeight="1">
      <c r="A55" s="1420"/>
      <c r="B55" s="425"/>
      <c r="C55" s="1631">
        <v>250</v>
      </c>
      <c r="D55" s="1628" t="s">
        <v>295</v>
      </c>
      <c r="E55" s="1629" t="s">
        <v>1330</v>
      </c>
      <c r="F55" s="1404" t="s">
        <v>1331</v>
      </c>
      <c r="G55" s="1404" t="s">
        <v>5138</v>
      </c>
      <c r="H55" s="1404">
        <v>71114197</v>
      </c>
      <c r="I55" s="1404"/>
      <c r="J55" s="1406"/>
      <c r="K55" s="1404"/>
      <c r="L55" s="1408">
        <v>85000</v>
      </c>
      <c r="M55" s="1408">
        <v>8000</v>
      </c>
      <c r="N55" s="1409">
        <f>SUMIFS(srpro!$F$10:$F$3010,srpro!$B$10:$B$3010,ProHeader!C55)</f>
        <v>93000</v>
      </c>
      <c r="O55" s="1409">
        <f>SUMIFS(srpro!$E$10:$E$3010,srpro!$B$10:$B$3010,ProHeader!C55)</f>
        <v>66666.66</v>
      </c>
      <c r="P55" s="1393" t="s">
        <v>842</v>
      </c>
      <c r="Q55" s="1393">
        <v>48153</v>
      </c>
      <c r="R55" s="1393">
        <v>37160</v>
      </c>
      <c r="S55" s="1393"/>
      <c r="T55" s="1393"/>
      <c r="U55" s="1393"/>
      <c r="V55" s="1393"/>
      <c r="W55" s="1393"/>
      <c r="X55" s="1394">
        <v>0.05</v>
      </c>
      <c r="Y55" s="1394">
        <v>0.1</v>
      </c>
      <c r="Z55" s="1394">
        <v>0</v>
      </c>
      <c r="AA55" s="1395">
        <f t="shared" si="1"/>
        <v>0</v>
      </c>
      <c r="AB55" s="1393" t="str">
        <f t="shared" si="2"/>
        <v>mohamed ABDULLAH Jassem</v>
      </c>
      <c r="AC55" s="1393">
        <f t="shared" si="8"/>
        <v>250</v>
      </c>
      <c r="AD55" s="1396">
        <f t="shared" si="3"/>
        <v>93000</v>
      </c>
      <c r="AE55" s="1396">
        <f t="shared" si="4"/>
        <v>93000</v>
      </c>
      <c r="AF55" s="1396">
        <f t="shared" si="5"/>
        <v>66666.66</v>
      </c>
      <c r="AG55" s="1397">
        <f t="shared" si="6"/>
        <v>0.68100351612903232</v>
      </c>
      <c r="AH55" s="1397">
        <f t="shared" si="7"/>
        <v>0.95</v>
      </c>
      <c r="AI55" s="1393" t="str">
        <f>IFERROR(VLOOKUP(C55,salesInv!$D$8:$AM$494,35,FALSE),"-")</f>
        <v>H/M/26/2024</v>
      </c>
      <c r="AJ55" s="1398" t="str">
        <f>IFERROR(VLOOKUP(C55,salesInv!$D$8:$AM$494,36,FALSE),"-")</f>
        <v>-</v>
      </c>
      <c r="AK55" s="1396">
        <f>IFERROR(VLOOKUP(C55,salesInv!$D$8:$I$494,3,FALSE),"-")</f>
        <v>40125</v>
      </c>
      <c r="AL55" s="1396">
        <f>IFERROR(VLOOKUP(C55,salesInv!$D$8:$I$494,4,FALSE),"-")</f>
        <v>2006.25</v>
      </c>
      <c r="AM55" s="1396">
        <f>IFERROR(VLOOKUP(C55,salesInv!$D$8:$I$494,6,FALSE),"-")</f>
        <v>42131.25</v>
      </c>
      <c r="AN55" s="1396">
        <f>COUNTIF(salesInv!$D$8:$D$494,ProHeader!C55)</f>
        <v>2</v>
      </c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396"/>
      <c r="AY55" s="1396"/>
      <c r="AZ55" s="1396"/>
    </row>
    <row r="56" spans="1:53" ht="15.75" customHeight="1">
      <c r="A56" s="1420"/>
      <c r="B56" s="425"/>
      <c r="C56" s="1631">
        <v>251</v>
      </c>
      <c r="D56" s="1628" t="s">
        <v>304</v>
      </c>
      <c r="E56" s="1629" t="s">
        <v>511</v>
      </c>
      <c r="F56" s="1407" t="s">
        <v>512</v>
      </c>
      <c r="G56" s="1404" t="s">
        <v>324</v>
      </c>
      <c r="H56" s="1404">
        <v>7112760</v>
      </c>
      <c r="I56" s="1404"/>
      <c r="J56" s="1406" t="s">
        <v>514</v>
      </c>
      <c r="K56" s="1407" t="s">
        <v>513</v>
      </c>
      <c r="L56" s="1408">
        <v>170000</v>
      </c>
      <c r="M56" s="1408"/>
      <c r="N56" s="1409">
        <f>SUMIFS(srpro!$F$10:$F$3010,srpro!$B$10:$B$3010,ProHeader!C56)</f>
        <v>85000</v>
      </c>
      <c r="O56" s="1409">
        <f>SUMIFS(srpro!$E$10:$E$3010,srpro!$B$10:$B$3010,ProHeader!C56)</f>
        <v>57848.76</v>
      </c>
      <c r="P56" s="1393" t="s">
        <v>515</v>
      </c>
      <c r="Q56" s="1393">
        <v>97335</v>
      </c>
      <c r="R56" s="1393">
        <v>32776</v>
      </c>
      <c r="S56" s="1393"/>
      <c r="T56" s="1393"/>
      <c r="U56" s="1393"/>
      <c r="V56" s="1393"/>
      <c r="W56" s="1393" t="s">
        <v>516</v>
      </c>
      <c r="X56" s="1394">
        <v>0.05</v>
      </c>
      <c r="Y56" s="1394">
        <v>0.2</v>
      </c>
      <c r="Z56" s="1394">
        <v>0</v>
      </c>
      <c r="AA56" s="1395">
        <f t="shared" si="1"/>
        <v>0</v>
      </c>
      <c r="AB56" s="1393" t="str">
        <f t="shared" si="2"/>
        <v>Rashed salem. Jumairah</v>
      </c>
      <c r="AC56" s="1393">
        <f t="shared" si="8"/>
        <v>251</v>
      </c>
      <c r="AD56" s="1396">
        <f t="shared" si="3"/>
        <v>170000</v>
      </c>
      <c r="AE56" s="1396">
        <f t="shared" si="4"/>
        <v>85000</v>
      </c>
      <c r="AF56" s="1396">
        <f t="shared" si="5"/>
        <v>57848.76</v>
      </c>
      <c r="AG56" s="1397">
        <f t="shared" si="6"/>
        <v>0.3232724823529412</v>
      </c>
      <c r="AH56" s="1397">
        <f t="shared" si="7"/>
        <v>0.47499999999999998</v>
      </c>
      <c r="AI56" s="1393" t="str">
        <f>IFERROR(VLOOKUP(C56,salesInv!$D$8:$AM$494,35,FALSE),"-")</f>
        <v>H/M/04/2024</v>
      </c>
      <c r="AJ56" s="1398" t="str">
        <f>IFERROR(VLOOKUP(C56,salesInv!$D$8:$AM$494,36,FALSE),"-")</f>
        <v>-</v>
      </c>
      <c r="AK56" s="1396">
        <f>IFERROR(VLOOKUP(C56,salesInv!$D$8:$I$494,3,FALSE),"-")</f>
        <v>51000</v>
      </c>
      <c r="AL56" s="1396">
        <f>IFERROR(VLOOKUP(C56,salesInv!$D$8:$I$494,4,FALSE),"-")</f>
        <v>2550</v>
      </c>
      <c r="AM56" s="1396">
        <f>IFERROR(VLOOKUP(C56,salesInv!$D$8:$I$494,6,FALSE),"-")</f>
        <v>53550</v>
      </c>
      <c r="AN56" s="1396">
        <f>COUNTIF(salesInv!$D$8:$D$494,ProHeader!C56)</f>
        <v>2</v>
      </c>
      <c r="AO56" s="1396"/>
      <c r="AP56" s="1396"/>
      <c r="AQ56" s="1396"/>
      <c r="AR56" s="1396"/>
      <c r="AS56" s="1396"/>
      <c r="AT56" s="1396"/>
      <c r="AU56" s="1396"/>
      <c r="AV56" s="1396"/>
      <c r="AW56" s="1396"/>
      <c r="AX56" s="1396"/>
      <c r="AY56" s="1396"/>
      <c r="AZ56" s="1396"/>
    </row>
    <row r="57" spans="1:53" ht="15.75" customHeight="1">
      <c r="A57" s="1420"/>
      <c r="B57" s="425"/>
      <c r="C57" s="1631">
        <v>252</v>
      </c>
      <c r="D57" s="1628" t="s">
        <v>287</v>
      </c>
      <c r="E57" s="1629" t="s">
        <v>620</v>
      </c>
      <c r="F57" s="1404" t="s">
        <v>621</v>
      </c>
      <c r="G57" s="1404" t="s">
        <v>5138</v>
      </c>
      <c r="H57" s="1404">
        <v>7118410</v>
      </c>
      <c r="I57" s="1404"/>
      <c r="J57" s="1406" t="s">
        <v>623</v>
      </c>
      <c r="K57" s="1407" t="s">
        <v>622</v>
      </c>
      <c r="L57" s="1408">
        <v>215000</v>
      </c>
      <c r="M57" s="1408">
        <v>3500</v>
      </c>
      <c r="N57" s="1409">
        <f>SUMIFS(srpro!$F$10:$F$3010,srpro!$B$10:$B$3010,ProHeader!C57)</f>
        <v>197000</v>
      </c>
      <c r="O57" s="1409">
        <f>SUMIFS(srpro!$E$10:$E$3010,srpro!$B$10:$B$3010,ProHeader!C57)</f>
        <v>154116.9325</v>
      </c>
      <c r="P57" s="1393" t="s">
        <v>459</v>
      </c>
      <c r="Q57" s="1393">
        <v>100947</v>
      </c>
      <c r="R57" s="1393">
        <f>36598+12060</f>
        <v>48658</v>
      </c>
      <c r="S57" s="1393"/>
      <c r="T57" s="1393"/>
      <c r="U57" s="1393"/>
      <c r="V57" s="1393"/>
      <c r="W57" s="1393" t="s">
        <v>1221</v>
      </c>
      <c r="X57" s="1394">
        <v>0.05</v>
      </c>
      <c r="Y57" s="1394">
        <v>0.1</v>
      </c>
      <c r="Z57" s="1394">
        <v>0</v>
      </c>
      <c r="AA57" s="1395">
        <f t="shared" si="1"/>
        <v>0</v>
      </c>
      <c r="AB57" s="1393" t="str">
        <f t="shared" si="2"/>
        <v>HBC MOHAMED SAIF</v>
      </c>
      <c r="AC57" s="1393">
        <f t="shared" si="8"/>
        <v>252</v>
      </c>
      <c r="AD57" s="1396">
        <f t="shared" si="3"/>
        <v>218500</v>
      </c>
      <c r="AE57" s="1396">
        <f t="shared" si="4"/>
        <v>197000</v>
      </c>
      <c r="AF57" s="1396">
        <f t="shared" si="5"/>
        <v>154116.9325</v>
      </c>
      <c r="AG57" s="1397">
        <f t="shared" si="6"/>
        <v>0.67007361956521738</v>
      </c>
      <c r="AH57" s="1397">
        <f t="shared" si="7"/>
        <v>0.85652173913043483</v>
      </c>
      <c r="AI57" s="1393" t="str">
        <f>IFERROR(VLOOKUP(C57,salesInv!$D$8:$AM$494,35,FALSE),"-")</f>
        <v>H/M/07/2024</v>
      </c>
      <c r="AJ57" s="1398" t="str">
        <f>IFERROR(VLOOKUP(C57,salesInv!$D$8:$AM$494,36,FALSE),"-")</f>
        <v>-</v>
      </c>
      <c r="AK57" s="1396">
        <f>IFERROR(VLOOKUP(C57,salesInv!$D$8:$I$494,3,FALSE),"-")</f>
        <v>21500</v>
      </c>
      <c r="AL57" s="1396">
        <f>IFERROR(VLOOKUP(C57,salesInv!$D$8:$I$494,4,FALSE),"-")</f>
        <v>1075</v>
      </c>
      <c r="AM57" s="1396">
        <f>IFERROR(VLOOKUP(C57,salesInv!$D$8:$I$494,6,FALSE),"-")</f>
        <v>22575</v>
      </c>
      <c r="AN57" s="1396">
        <f>COUNTIF(salesInv!$D$8:$D$494,ProHeader!C57)</f>
        <v>4</v>
      </c>
      <c r="AO57" s="1396"/>
      <c r="AP57" s="1396"/>
      <c r="AQ57" s="1396"/>
      <c r="AR57" s="1396"/>
      <c r="AS57" s="1396"/>
      <c r="AT57" s="1396"/>
      <c r="AU57" s="1396"/>
      <c r="AV57" s="1396"/>
      <c r="AW57" s="1396"/>
      <c r="AX57" s="1396"/>
      <c r="AY57" s="1396"/>
      <c r="AZ57" s="1396"/>
    </row>
    <row r="58" spans="1:53" ht="15.75" customHeight="1">
      <c r="A58" s="1420"/>
      <c r="B58" s="425"/>
      <c r="C58" s="1631">
        <v>253</v>
      </c>
      <c r="D58" s="1628" t="s">
        <v>309</v>
      </c>
      <c r="E58" s="1629" t="s">
        <v>482</v>
      </c>
      <c r="F58" s="1404" t="s">
        <v>483</v>
      </c>
      <c r="G58" s="1404" t="s">
        <v>5138</v>
      </c>
      <c r="H58" s="1404">
        <v>71112212</v>
      </c>
      <c r="I58" s="1404"/>
      <c r="J58" s="1406" t="s">
        <v>485</v>
      </c>
      <c r="K58" s="1404" t="s">
        <v>484</v>
      </c>
      <c r="L58" s="1408">
        <v>49000</v>
      </c>
      <c r="M58" s="1408"/>
      <c r="N58" s="1409">
        <f>SUMIFS(srpro!$F$10:$F$3010,srpro!$B$10:$B$3010,ProHeader!C58)</f>
        <v>27899</v>
      </c>
      <c r="O58" s="1409">
        <f>SUMIFS(srpro!$E$10:$E$3010,srpro!$B$10:$B$3010,ProHeader!C58)</f>
        <v>12544.85</v>
      </c>
      <c r="P58" s="1393" t="s">
        <v>486</v>
      </c>
      <c r="Q58" s="1393">
        <v>23200</v>
      </c>
      <c r="R58" s="1393">
        <v>7188</v>
      </c>
      <c r="S58" s="1393"/>
      <c r="T58" s="1393"/>
      <c r="U58" s="1393"/>
      <c r="V58" s="1393"/>
      <c r="W58" s="1393"/>
      <c r="X58" s="1394">
        <v>0.05</v>
      </c>
      <c r="Y58" s="1394">
        <v>0.2</v>
      </c>
      <c r="Z58" s="1394">
        <v>0</v>
      </c>
      <c r="AA58" s="1395">
        <f t="shared" si="1"/>
        <v>0</v>
      </c>
      <c r="AB58" s="1393" t="str">
        <f t="shared" si="2"/>
        <v>shihab anab</v>
      </c>
      <c r="AC58" s="1393">
        <f t="shared" si="8"/>
        <v>253</v>
      </c>
      <c r="AD58" s="1396">
        <f t="shared" si="3"/>
        <v>49000</v>
      </c>
      <c r="AE58" s="1396">
        <f t="shared" si="4"/>
        <v>27899</v>
      </c>
      <c r="AF58" s="1396">
        <f t="shared" si="5"/>
        <v>12544.85</v>
      </c>
      <c r="AG58" s="1397">
        <f t="shared" si="6"/>
        <v>0.24321647959183673</v>
      </c>
      <c r="AH58" s="1397">
        <f t="shared" si="7"/>
        <v>0.54089897959183675</v>
      </c>
      <c r="AI58" s="1393" t="str">
        <f>IFERROR(VLOOKUP(C58,salesInv!$D$8:$AM$494,35,FALSE),"-")</f>
        <v>H/M/16/2024</v>
      </c>
      <c r="AJ58" s="1398" t="str">
        <f>IFERROR(VLOOKUP(C58,salesInv!$D$8:$AM$494,36,FALSE),"-")</f>
        <v>-</v>
      </c>
      <c r="AK58" s="1396">
        <f>IFERROR(VLOOKUP(C58,salesInv!$D$8:$I$494,3,FALSE),"-")</f>
        <v>9800</v>
      </c>
      <c r="AL58" s="1396">
        <f>IFERROR(VLOOKUP(C58,salesInv!$D$8:$I$494,4,FALSE),"-")</f>
        <v>490</v>
      </c>
      <c r="AM58" s="1396">
        <f>IFERROR(VLOOKUP(C58,salesInv!$D$8:$I$494,6,FALSE),"-")</f>
        <v>10000</v>
      </c>
      <c r="AN58" s="1396">
        <f>COUNTIF(salesInv!$D$8:$D$494,ProHeader!C58)</f>
        <v>2</v>
      </c>
      <c r="AO58" s="1396"/>
      <c r="AP58" s="1396"/>
      <c r="AQ58" s="1396"/>
      <c r="AR58" s="1396"/>
      <c r="AS58" s="1396"/>
      <c r="AT58" s="1396"/>
      <c r="AU58" s="1396"/>
      <c r="AV58" s="1396"/>
      <c r="AW58" s="1396"/>
      <c r="AX58" s="1396"/>
      <c r="AY58" s="1396"/>
      <c r="AZ58" s="1396"/>
    </row>
    <row r="59" spans="1:53" ht="15.75" customHeight="1">
      <c r="A59" s="1420"/>
      <c r="B59" s="425"/>
      <c r="C59" s="1631">
        <v>254</v>
      </c>
      <c r="D59" s="1628" t="s">
        <v>1338</v>
      </c>
      <c r="E59" s="1628" t="s">
        <v>681</v>
      </c>
      <c r="F59" s="1407" t="s">
        <v>326</v>
      </c>
      <c r="G59" s="1404" t="s">
        <v>682</v>
      </c>
      <c r="H59" s="1404">
        <v>2827634</v>
      </c>
      <c r="I59" s="1404"/>
      <c r="J59" s="1406" t="s">
        <v>684</v>
      </c>
      <c r="K59" s="1404" t="s">
        <v>683</v>
      </c>
      <c r="L59" s="1408">
        <v>230000</v>
      </c>
      <c r="M59" s="1408"/>
      <c r="N59" s="1409">
        <v>120750</v>
      </c>
      <c r="O59" s="1409">
        <v>71060.219999999987</v>
      </c>
      <c r="P59" s="1393" t="s">
        <v>685</v>
      </c>
      <c r="Q59" s="1393">
        <v>137828</v>
      </c>
      <c r="R59" s="1393">
        <v>49487</v>
      </c>
      <c r="S59" s="1393"/>
      <c r="T59" s="1393"/>
      <c r="U59" s="1393"/>
      <c r="V59" s="1393"/>
      <c r="W59" s="1393"/>
      <c r="X59" s="1394">
        <v>0.05</v>
      </c>
      <c r="Y59" s="1394">
        <v>0.1</v>
      </c>
      <c r="Z59" s="1394">
        <v>0</v>
      </c>
      <c r="AA59" s="1395">
        <v>0</v>
      </c>
      <c r="AB59" s="1393" t="s">
        <v>1338</v>
      </c>
      <c r="AC59" s="1393">
        <v>254</v>
      </c>
      <c r="AD59" s="1396">
        <v>230000</v>
      </c>
      <c r="AE59" s="1396">
        <v>120750</v>
      </c>
      <c r="AF59" s="1396">
        <v>71060.219999999987</v>
      </c>
      <c r="AG59" s="1397">
        <v>0.29350960434782603</v>
      </c>
      <c r="AH59" s="1397">
        <v>0.49875000000000003</v>
      </c>
      <c r="AI59" s="1393" t="s">
        <v>5158</v>
      </c>
      <c r="AJ59" s="1398" t="s">
        <v>1500</v>
      </c>
      <c r="AK59" s="1396">
        <v>97750</v>
      </c>
      <c r="AL59" s="1396">
        <v>4887.5</v>
      </c>
      <c r="AM59" s="1396">
        <v>102637.5</v>
      </c>
      <c r="AN59" s="1396">
        <v>2</v>
      </c>
      <c r="AO59" s="1396"/>
      <c r="AP59" s="1396"/>
      <c r="AQ59" s="1396"/>
      <c r="AR59" s="1396"/>
      <c r="AS59" s="1396"/>
      <c r="AT59" s="1396"/>
      <c r="AU59" s="1396"/>
      <c r="AV59" s="1396"/>
      <c r="AW59" s="1396"/>
      <c r="AX59" s="1396"/>
      <c r="AY59" s="1396"/>
      <c r="AZ59" s="1396"/>
    </row>
    <row r="60" spans="1:53" ht="15.75" customHeight="1">
      <c r="A60" s="1420"/>
      <c r="B60" s="425"/>
      <c r="C60" s="1631">
        <v>255</v>
      </c>
      <c r="D60" s="1628" t="s">
        <v>278</v>
      </c>
      <c r="E60" s="1629" t="s">
        <v>564</v>
      </c>
      <c r="F60" s="1404" t="s">
        <v>326</v>
      </c>
      <c r="G60" s="1404" t="s">
        <v>327</v>
      </c>
      <c r="H60" s="1404">
        <v>7114991</v>
      </c>
      <c r="I60" s="1404"/>
      <c r="J60" s="1406" t="s">
        <v>566</v>
      </c>
      <c r="K60" s="1404" t="s">
        <v>565</v>
      </c>
      <c r="L60" s="1408">
        <v>145000</v>
      </c>
      <c r="M60" s="1408"/>
      <c r="N60" s="1409">
        <f>SUMIFS(srpro!$F$10:$F$3010,srpro!$B$10:$B$3010,ProHeader!C60)</f>
        <v>136315.25</v>
      </c>
      <c r="O60" s="1409">
        <f>SUMIFS(srpro!$E$10:$E$3010,srpro!$B$10:$B$3010,ProHeader!C60)</f>
        <v>69759.67</v>
      </c>
      <c r="P60" s="1393"/>
      <c r="Q60" s="1393"/>
      <c r="R60" s="1393"/>
      <c r="S60" s="1393"/>
      <c r="T60" s="1393"/>
      <c r="U60" s="1393"/>
      <c r="V60" s="1393"/>
      <c r="W60" s="1393"/>
      <c r="X60" s="1394">
        <v>0.05</v>
      </c>
      <c r="Y60" s="1394">
        <v>0.2</v>
      </c>
      <c r="Z60" s="1394">
        <v>0.05</v>
      </c>
      <c r="AA60" s="1395">
        <f t="shared" si="1"/>
        <v>7250</v>
      </c>
      <c r="AB60" s="1393" t="str">
        <f t="shared" si="2"/>
        <v>Essa KHALIFA</v>
      </c>
      <c r="AC60" s="1393">
        <f t="shared" si="8"/>
        <v>255</v>
      </c>
      <c r="AD60" s="1396">
        <f t="shared" si="3"/>
        <v>145000</v>
      </c>
      <c r="AE60" s="1396">
        <f t="shared" si="4"/>
        <v>136315.25</v>
      </c>
      <c r="AF60" s="1396">
        <f t="shared" si="5"/>
        <v>69759.67</v>
      </c>
      <c r="AG60" s="1397">
        <f t="shared" si="6"/>
        <v>0.45704611379310345</v>
      </c>
      <c r="AH60" s="1397">
        <f t="shared" si="7"/>
        <v>0.89309991379310349</v>
      </c>
      <c r="AI60" s="1393" t="str">
        <f>IFERROR(VLOOKUP(C60,salesInv!$D$8:$AM$494,35,FALSE),"-")</f>
        <v>H/M/08/2024</v>
      </c>
      <c r="AJ60" s="1398" t="str">
        <f>IFERROR(VLOOKUP(C60,salesInv!$D$8:$AM$494,36,FALSE),"-")</f>
        <v>-</v>
      </c>
      <c r="AK60" s="1396">
        <f>IFERROR(VLOOKUP(C60,salesInv!$D$8:$I$494,3,FALSE),"-")</f>
        <v>29000</v>
      </c>
      <c r="AL60" s="1396">
        <f>IFERROR(VLOOKUP(C60,salesInv!$D$8:$I$494,4,FALSE),"-")</f>
        <v>1450</v>
      </c>
      <c r="AM60" s="1396">
        <f>IFERROR(VLOOKUP(C60,salesInv!$D$8:$I$494,6,FALSE),"-")</f>
        <v>30450</v>
      </c>
      <c r="AN60" s="1396">
        <f>COUNTIF(salesInv!$D$8:$D$494,ProHeader!C60)</f>
        <v>3</v>
      </c>
      <c r="AO60" s="1396"/>
      <c r="AP60" s="1396"/>
      <c r="AQ60" s="1396"/>
      <c r="AR60" s="1396"/>
      <c r="AS60" s="1396"/>
      <c r="AT60" s="1396"/>
      <c r="AU60" s="1396"/>
      <c r="AV60" s="1396"/>
      <c r="AW60" s="1396"/>
      <c r="AX60" s="1396"/>
      <c r="AY60" s="1396"/>
      <c r="AZ60" s="1396"/>
    </row>
    <row r="61" spans="1:53" ht="15.75" customHeight="1">
      <c r="A61" s="1420"/>
      <c r="B61" s="425"/>
      <c r="C61" s="1631">
        <v>256</v>
      </c>
      <c r="D61" s="1628" t="s">
        <v>269</v>
      </c>
      <c r="E61" s="1629" t="s">
        <v>400</v>
      </c>
      <c r="F61" s="1404" t="s">
        <v>401</v>
      </c>
      <c r="G61" s="1404" t="s">
        <v>325</v>
      </c>
      <c r="H61" s="1404">
        <v>3521086</v>
      </c>
      <c r="I61" s="1404"/>
      <c r="J61" s="1406" t="s">
        <v>403</v>
      </c>
      <c r="K61" s="1404" t="s">
        <v>402</v>
      </c>
      <c r="L61" s="1408">
        <v>455000</v>
      </c>
      <c r="M61" s="1408"/>
      <c r="N61" s="1409">
        <f>SUMIFS(srpro!$F$10:$F$3010,srpro!$B$10:$B$3010,ProHeader!C61)</f>
        <v>198744</v>
      </c>
      <c r="O61" s="1409">
        <f>SUMIFS(srpro!$E$10:$E$3010,srpro!$B$10:$B$3010,ProHeader!C61)</f>
        <v>160237.02905000001</v>
      </c>
      <c r="P61" s="1393"/>
      <c r="Q61" s="1393"/>
      <c r="R61" s="1393"/>
      <c r="S61" s="1393"/>
      <c r="T61" s="1393"/>
      <c r="U61" s="1393"/>
      <c r="V61" s="1393"/>
      <c r="W61" s="1393"/>
      <c r="X61" s="1394">
        <v>0.05</v>
      </c>
      <c r="Y61" s="1394">
        <v>0.1</v>
      </c>
      <c r="Z61" s="1394">
        <v>0</v>
      </c>
      <c r="AA61" s="1395">
        <f t="shared" si="1"/>
        <v>0</v>
      </c>
      <c r="AB61" s="1393" t="str">
        <f t="shared" si="2"/>
        <v>ADNAN 4 VILLA</v>
      </c>
      <c r="AC61" s="1393">
        <f t="shared" si="8"/>
        <v>256</v>
      </c>
      <c r="AD61" s="1396">
        <f t="shared" si="3"/>
        <v>455000</v>
      </c>
      <c r="AE61" s="1396">
        <f t="shared" si="4"/>
        <v>198744</v>
      </c>
      <c r="AF61" s="1396">
        <f t="shared" si="5"/>
        <v>160237.02905000001</v>
      </c>
      <c r="AG61" s="1397">
        <f t="shared" si="6"/>
        <v>0.33456082988461538</v>
      </c>
      <c r="AH61" s="1397">
        <f t="shared" si="7"/>
        <v>0.41496</v>
      </c>
      <c r="AI61" s="1393" t="str">
        <f>IFERROR(VLOOKUP(C61,salesInv!$D$8:$AM$494,35,FALSE),"-")</f>
        <v>H/M/100/2024</v>
      </c>
      <c r="AJ61" s="1398">
        <f>IFERROR(VLOOKUP(C61,salesInv!$D$8:$AM$494,36,FALSE),"-")</f>
        <v>45518</v>
      </c>
      <c r="AK61" s="1396">
        <f>IFERROR(VLOOKUP(C61,salesInv!$D$8:$I$494,3,FALSE),"-")</f>
        <v>153244</v>
      </c>
      <c r="AL61" s="1396">
        <f>IFERROR(VLOOKUP(C61,salesInv!$D$8:$I$494,4,FALSE),"-")</f>
        <v>7662.2</v>
      </c>
      <c r="AM61" s="1396">
        <f>IFERROR(VLOOKUP(C61,salesInv!$D$8:$I$494,6,FALSE),"-")</f>
        <v>160906</v>
      </c>
      <c r="AN61" s="1396">
        <f>COUNTIF(salesInv!$D$8:$D$494,ProHeader!C61)</f>
        <v>1</v>
      </c>
      <c r="AO61" s="1396"/>
      <c r="AP61" s="1396"/>
      <c r="AQ61" s="1396"/>
      <c r="AR61" s="1396"/>
      <c r="AS61" s="1396"/>
      <c r="AT61" s="1396"/>
      <c r="AU61" s="1396"/>
      <c r="AV61" s="1396"/>
      <c r="AW61" s="1396"/>
      <c r="AX61" s="1396"/>
      <c r="AY61" s="1396"/>
      <c r="AZ61" s="1396"/>
    </row>
    <row r="62" spans="1:53" ht="15.75" customHeight="1">
      <c r="A62" s="1420"/>
      <c r="B62" s="425"/>
      <c r="C62" s="1631">
        <v>257</v>
      </c>
      <c r="D62" s="1628" t="s">
        <v>301</v>
      </c>
      <c r="E62" s="1629" t="s">
        <v>690</v>
      </c>
      <c r="F62" s="1404" t="s">
        <v>691</v>
      </c>
      <c r="G62" s="1404" t="s">
        <v>692</v>
      </c>
      <c r="H62" s="1404">
        <v>4318280</v>
      </c>
      <c r="I62" s="1404"/>
      <c r="J62" s="1406" t="s">
        <v>694</v>
      </c>
      <c r="K62" s="1407" t="s">
        <v>693</v>
      </c>
      <c r="L62" s="1408">
        <v>166000</v>
      </c>
      <c r="M62" s="1408">
        <v>8500</v>
      </c>
      <c r="N62" s="1409">
        <f>SUMIFS(srpro!$F$10:$F$3010,srpro!$B$10:$B$3010,ProHeader!C62)</f>
        <v>156107</v>
      </c>
      <c r="O62" s="1409">
        <f>SUMIFS(srpro!$E$10:$E$3010,srpro!$B$10:$B$3010,ProHeader!C62)</f>
        <v>137097.81</v>
      </c>
      <c r="P62" s="1393" t="s">
        <v>695</v>
      </c>
      <c r="Q62" s="1393">
        <v>97744</v>
      </c>
      <c r="R62" s="1393">
        <v>33968</v>
      </c>
      <c r="S62" s="1393"/>
      <c r="T62" s="1393"/>
      <c r="U62" s="1393"/>
      <c r="V62" s="1393"/>
      <c r="W62" s="1393"/>
      <c r="X62" s="1394">
        <v>0.05</v>
      </c>
      <c r="Y62" s="1394">
        <v>0.15</v>
      </c>
      <c r="Z62" s="1394">
        <v>0</v>
      </c>
      <c r="AA62" s="1395">
        <f t="shared" si="1"/>
        <v>0</v>
      </c>
      <c r="AB62" s="1393" t="str">
        <f t="shared" si="2"/>
        <v>NAEEMA ERTIKAZ</v>
      </c>
      <c r="AC62" s="1393">
        <f t="shared" si="8"/>
        <v>257</v>
      </c>
      <c r="AD62" s="1396">
        <f t="shared" si="3"/>
        <v>174500</v>
      </c>
      <c r="AE62" s="1396">
        <f t="shared" si="4"/>
        <v>156107</v>
      </c>
      <c r="AF62" s="1396">
        <f t="shared" si="5"/>
        <v>137097.81</v>
      </c>
      <c r="AG62" s="1397">
        <f t="shared" si="6"/>
        <v>0.74637776217765051</v>
      </c>
      <c r="AH62" s="1397">
        <f t="shared" si="7"/>
        <v>0.84986618911174783</v>
      </c>
      <c r="AI62" s="1393" t="str">
        <f>IFERROR(VLOOKUP(C62,salesInv!$D$8:$AM$494,35,FALSE),"-")</f>
        <v>H/M/18/2024</v>
      </c>
      <c r="AJ62" s="1398" t="str">
        <f>IFERROR(VLOOKUP(C62,salesInv!$D$8:$AM$494,36,FALSE),"-")</f>
        <v>-</v>
      </c>
      <c r="AK62" s="1396">
        <f>IFERROR(VLOOKUP(C62,salesInv!$D$8:$I$494,3,FALSE),"-")</f>
        <v>24900</v>
      </c>
      <c r="AL62" s="1396">
        <f>IFERROR(VLOOKUP(C62,salesInv!$D$8:$I$494,4,FALSE),"-")</f>
        <v>1245</v>
      </c>
      <c r="AM62" s="1396">
        <f>IFERROR(VLOOKUP(C62,salesInv!$D$8:$I$494,6,FALSE),"-")</f>
        <v>26145</v>
      </c>
      <c r="AN62" s="1396">
        <f>COUNTIF(salesInv!$D$8:$D$494,ProHeader!C62)</f>
        <v>3</v>
      </c>
      <c r="AO62" s="1396"/>
      <c r="AP62" s="1396"/>
      <c r="AQ62" s="1396"/>
      <c r="AR62" s="1396"/>
      <c r="AS62" s="1396"/>
      <c r="AT62" s="1396"/>
      <c r="AU62" s="1396"/>
      <c r="AV62" s="1396"/>
      <c r="AW62" s="1396"/>
      <c r="AX62" s="1396"/>
      <c r="AY62" s="1396"/>
      <c r="AZ62" s="1396"/>
    </row>
    <row r="63" spans="1:53" ht="15.75" customHeight="1">
      <c r="A63" s="1420"/>
      <c r="B63" s="425"/>
      <c r="C63" s="1631">
        <v>258</v>
      </c>
      <c r="D63" s="1628" t="s">
        <v>1851</v>
      </c>
      <c r="E63" s="1629" t="s">
        <v>318</v>
      </c>
      <c r="F63" s="1407" t="s">
        <v>5150</v>
      </c>
      <c r="G63" s="1404" t="s">
        <v>336</v>
      </c>
      <c r="H63" s="1404">
        <v>2826592</v>
      </c>
      <c r="I63" s="1404"/>
      <c r="J63" s="1406" t="s">
        <v>635</v>
      </c>
      <c r="K63" s="1404" t="s">
        <v>634</v>
      </c>
      <c r="L63" s="1408">
        <v>136000</v>
      </c>
      <c r="M63" s="1408"/>
      <c r="N63" s="1409">
        <f>SUMIFS(srpro!$F$10:$F$3010,srpro!$B$10:$B$3010,ProHeader!C63)</f>
        <v>74800</v>
      </c>
      <c r="O63" s="1409">
        <f>SUMIFS(srpro!$E$10:$E$3010,srpro!$B$10:$B$3010,ProHeader!C63)</f>
        <v>54143.607499999998</v>
      </c>
      <c r="P63" s="1393"/>
      <c r="Q63" s="1393"/>
      <c r="R63" s="1393"/>
      <c r="S63" s="1393"/>
      <c r="T63" s="1393"/>
      <c r="U63" s="1393"/>
      <c r="V63" s="1393"/>
      <c r="W63" s="1393"/>
      <c r="X63" s="1394">
        <v>0.05</v>
      </c>
      <c r="Y63" s="1394">
        <v>0.15</v>
      </c>
      <c r="Z63" s="1394">
        <v>0</v>
      </c>
      <c r="AA63" s="1395">
        <f t="shared" si="1"/>
        <v>0</v>
      </c>
      <c r="AB63" s="1393" t="str">
        <f t="shared" si="2"/>
        <v>MAJID Al shehhi</v>
      </c>
      <c r="AC63" s="1393">
        <f t="shared" si="8"/>
        <v>258</v>
      </c>
      <c r="AD63" s="1396">
        <f t="shared" si="3"/>
        <v>136000</v>
      </c>
      <c r="AE63" s="1396">
        <f t="shared" si="4"/>
        <v>74800</v>
      </c>
      <c r="AF63" s="1396">
        <f t="shared" si="5"/>
        <v>54143.607499999998</v>
      </c>
      <c r="AG63" s="1397">
        <f t="shared" si="6"/>
        <v>0.37820902297794118</v>
      </c>
      <c r="AH63" s="1397">
        <f t="shared" si="7"/>
        <v>0.52249999999999996</v>
      </c>
      <c r="AI63" s="1393" t="str">
        <f>IFERROR(VLOOKUP(C63,salesInv!$D$8:$AM$494,35,FALSE),"-")</f>
        <v>H/M/24/2024</v>
      </c>
      <c r="AJ63" s="1398" t="str">
        <f>IFERROR(VLOOKUP(C63,salesInv!$D$8:$AM$494,36,FALSE),"-")</f>
        <v>-</v>
      </c>
      <c r="AK63" s="1396">
        <f>IFERROR(VLOOKUP(C63,salesInv!$D$8:$I$494,3,FALSE),"-")</f>
        <v>20400</v>
      </c>
      <c r="AL63" s="1396">
        <f>IFERROR(VLOOKUP(C63,salesInv!$D$8:$I$494,4,FALSE),"-")</f>
        <v>1020</v>
      </c>
      <c r="AM63" s="1396">
        <f>IFERROR(VLOOKUP(C63,salesInv!$D$8:$I$494,6,FALSE),"-")</f>
        <v>21420</v>
      </c>
      <c r="AN63" s="1396">
        <f>COUNTIF(salesInv!$D$8:$D$494,ProHeader!C63)</f>
        <v>3</v>
      </c>
      <c r="AO63" s="1396"/>
      <c r="AP63" s="1396"/>
      <c r="AQ63" s="1396"/>
      <c r="AR63" s="1396"/>
      <c r="AS63" s="1396"/>
      <c r="AT63" s="1396"/>
      <c r="AU63" s="1396"/>
      <c r="AV63" s="1396"/>
      <c r="AW63" s="1396"/>
      <c r="AX63" s="1396"/>
      <c r="AY63" s="1396"/>
      <c r="AZ63" s="1396"/>
    </row>
    <row r="64" spans="1:53" ht="15.75" customHeight="1">
      <c r="A64" s="1420"/>
      <c r="B64" s="425"/>
      <c r="C64" s="1631">
        <v>259</v>
      </c>
      <c r="D64" s="1628" t="s">
        <v>264</v>
      </c>
      <c r="E64" s="1629" t="s">
        <v>361</v>
      </c>
      <c r="F64" s="1404" t="s">
        <v>362</v>
      </c>
      <c r="G64" s="1404" t="s">
        <v>333</v>
      </c>
      <c r="H64" s="1404">
        <v>9132544</v>
      </c>
      <c r="I64" s="1418"/>
      <c r="J64" s="1406" t="s">
        <v>365</v>
      </c>
      <c r="K64" s="1418"/>
      <c r="L64" s="1408">
        <v>195000</v>
      </c>
      <c r="M64" s="1408"/>
      <c r="N64" s="1409">
        <f>SUMIFS(srpro!$F$10:$F$3010,srpro!$B$10:$B$3010,ProHeader!C64)</f>
        <v>29250</v>
      </c>
      <c r="O64" s="1409">
        <f>SUMIFS(srpro!$E$10:$E$3010,srpro!$B$10:$B$3010,ProHeader!C64)</f>
        <v>13089</v>
      </c>
      <c r="P64" s="1393"/>
      <c r="Q64" s="1393"/>
      <c r="R64" s="1393"/>
      <c r="S64" s="1393"/>
      <c r="T64" s="1393"/>
      <c r="U64" s="1393"/>
      <c r="V64" s="1393"/>
      <c r="W64" s="1393"/>
      <c r="X64" s="1394"/>
      <c r="Y64" s="1394"/>
      <c r="Z64" s="1394"/>
      <c r="AA64" s="1395">
        <f t="shared" si="1"/>
        <v>0</v>
      </c>
      <c r="AB64" s="1393" t="str">
        <f t="shared" si="2"/>
        <v>ABDULLA MIZAR</v>
      </c>
      <c r="AC64" s="1393">
        <f t="shared" si="8"/>
        <v>259</v>
      </c>
      <c r="AD64" s="1396">
        <f t="shared" si="3"/>
        <v>195000</v>
      </c>
      <c r="AE64" s="1396">
        <f t="shared" si="4"/>
        <v>29250</v>
      </c>
      <c r="AF64" s="1396">
        <f t="shared" si="5"/>
        <v>13089</v>
      </c>
      <c r="AG64" s="1397">
        <f t="shared" si="6"/>
        <v>6.3766923076923068E-2</v>
      </c>
      <c r="AH64" s="1397">
        <f t="shared" si="7"/>
        <v>0.14249999999999999</v>
      </c>
      <c r="AI64" s="1393" t="str">
        <f>IFERROR(VLOOKUP(C64,salesInv!$D$8:$AM$494,35,FALSE),"-")</f>
        <v>H/M/28/2024</v>
      </c>
      <c r="AJ64" s="1398" t="str">
        <f>IFERROR(VLOOKUP(C64,salesInv!$D$8:$AM$494,36,FALSE),"-")</f>
        <v>-</v>
      </c>
      <c r="AK64" s="1396">
        <f>IFERROR(VLOOKUP(C64,salesInv!$D$8:$I$494,3,FALSE),"-")</f>
        <v>29250</v>
      </c>
      <c r="AL64" s="1396">
        <f>IFERROR(VLOOKUP(C64,salesInv!$D$8:$I$494,4,FALSE),"-")</f>
        <v>1462.5</v>
      </c>
      <c r="AM64" s="1396">
        <f>IFERROR(VLOOKUP(C64,salesInv!$D$8:$I$494,6,FALSE),"-")</f>
        <v>30712.5</v>
      </c>
      <c r="AN64" s="1396">
        <f>COUNTIF(salesInv!$D$8:$D$494,ProHeader!C64)</f>
        <v>1</v>
      </c>
      <c r="AO64" s="1396"/>
      <c r="AP64" s="1396"/>
      <c r="AQ64" s="1396"/>
      <c r="AR64" s="1396"/>
      <c r="AS64" s="1396"/>
      <c r="AT64" s="1396"/>
      <c r="AU64" s="1396"/>
      <c r="AV64" s="1396"/>
      <c r="AW64" s="1396"/>
      <c r="AX64" s="1396"/>
      <c r="AY64" s="1396"/>
      <c r="AZ64" s="1396"/>
    </row>
    <row r="65" spans="1:52" ht="15.75" customHeight="1">
      <c r="A65" s="1420"/>
      <c r="B65" s="425"/>
      <c r="C65" s="1631">
        <v>260</v>
      </c>
      <c r="D65" s="1628" t="s">
        <v>5324</v>
      </c>
      <c r="E65" s="1629" t="s">
        <v>316</v>
      </c>
      <c r="F65" s="1407" t="s">
        <v>329</v>
      </c>
      <c r="G65" s="1407" t="s">
        <v>334</v>
      </c>
      <c r="H65" s="1404">
        <v>4312238</v>
      </c>
      <c r="I65" s="1404"/>
      <c r="J65" s="1406" t="s">
        <v>633</v>
      </c>
      <c r="K65" s="1407" t="s">
        <v>632</v>
      </c>
      <c r="L65" s="1408">
        <v>260000</v>
      </c>
      <c r="M65" s="1408"/>
      <c r="N65" s="1409">
        <f>SUMIFS(srpro!$F$10:$F$3010,srpro!$B$10:$B$3010,ProHeader!C65)</f>
        <v>39000</v>
      </c>
      <c r="O65" s="1409">
        <f>SUMIFS(srpro!$E$10:$E$3010,srpro!$B$10:$B$3010,ProHeader!C65)</f>
        <v>15962</v>
      </c>
      <c r="P65" s="1393"/>
      <c r="Q65" s="1393"/>
      <c r="R65" s="1393"/>
      <c r="S65" s="1393"/>
      <c r="T65" s="1393"/>
      <c r="U65" s="1393"/>
      <c r="V65" s="1393"/>
      <c r="W65" s="1393"/>
      <c r="X65" s="1394">
        <v>0.05</v>
      </c>
      <c r="Y65" s="1394">
        <v>0.15</v>
      </c>
      <c r="Z65" s="1394">
        <v>0</v>
      </c>
      <c r="AA65" s="1395">
        <f t="shared" si="1"/>
        <v>0</v>
      </c>
      <c r="AB65" s="1393" t="str">
        <f t="shared" si="2"/>
        <v>Ismail Abdullrahman Ahmed-  archpix</v>
      </c>
      <c r="AC65" s="1393">
        <f t="shared" si="8"/>
        <v>260</v>
      </c>
      <c r="AD65" s="1396">
        <f t="shared" si="3"/>
        <v>260000</v>
      </c>
      <c r="AE65" s="1396">
        <f t="shared" si="4"/>
        <v>39000</v>
      </c>
      <c r="AF65" s="1396">
        <f t="shared" si="5"/>
        <v>15962</v>
      </c>
      <c r="AG65" s="1397">
        <f t="shared" si="6"/>
        <v>5.8322692307692305E-2</v>
      </c>
      <c r="AH65" s="1397">
        <f t="shared" si="7"/>
        <v>0.14249999999999999</v>
      </c>
      <c r="AI65" s="1393" t="str">
        <f>IFERROR(VLOOKUP(C65,salesInv!$D$8:$AM$494,35,FALSE),"-")</f>
        <v>H/M/34/2024</v>
      </c>
      <c r="AJ65" s="1398" t="str">
        <f>IFERROR(VLOOKUP(C65,salesInv!$D$8:$AM$494,36,FALSE),"-")</f>
        <v>-</v>
      </c>
      <c r="AK65" s="1396">
        <f>IFERROR(VLOOKUP(C65,salesInv!$D$8:$I$494,3,FALSE),"-")</f>
        <v>39000</v>
      </c>
      <c r="AL65" s="1396">
        <f>IFERROR(VLOOKUP(C65,salesInv!$D$8:$I$494,4,FALSE),"-")</f>
        <v>1950</v>
      </c>
      <c r="AM65" s="1396">
        <f>IFERROR(VLOOKUP(C65,salesInv!$D$8:$I$494,6,FALSE),"-")</f>
        <v>40950</v>
      </c>
      <c r="AN65" s="1396">
        <f>COUNTIF(salesInv!$D$8:$D$494,ProHeader!C65)</f>
        <v>1</v>
      </c>
      <c r="AO65" s="1396"/>
      <c r="AP65" s="1396"/>
      <c r="AQ65" s="1396"/>
      <c r="AR65" s="1396"/>
      <c r="AS65" s="1396"/>
      <c r="AT65" s="1396"/>
      <c r="AU65" s="1396"/>
      <c r="AV65" s="1396"/>
      <c r="AW65" s="1396"/>
      <c r="AX65" s="1396"/>
      <c r="AY65" s="1396"/>
      <c r="AZ65" s="1396"/>
    </row>
    <row r="66" spans="1:52" ht="15.75" customHeight="1">
      <c r="A66" s="1420"/>
      <c r="B66" s="425"/>
      <c r="C66" s="1631">
        <v>261</v>
      </c>
      <c r="D66" s="1628" t="s">
        <v>5321</v>
      </c>
      <c r="E66" s="1629" t="s">
        <v>456</v>
      </c>
      <c r="F66" s="1404" t="s">
        <v>328</v>
      </c>
      <c r="G66" s="1404" t="s">
        <v>457</v>
      </c>
      <c r="H66" s="1404"/>
      <c r="I66" s="1404"/>
      <c r="J66" s="1406" t="s">
        <v>459</v>
      </c>
      <c r="K66" s="1404" t="s">
        <v>458</v>
      </c>
      <c r="L66" s="1408">
        <v>230000</v>
      </c>
      <c r="M66" s="1408"/>
      <c r="N66" s="1409">
        <f>SUMIFS(srpro!$F$10:$F$3010,srpro!$B$10:$B$3010,ProHeader!C66)</f>
        <v>34500</v>
      </c>
      <c r="O66" s="1409">
        <f>SUMIFS(srpro!$E$10:$E$3010,srpro!$B$10:$B$3010,ProHeader!C66)</f>
        <v>18267.689999999999</v>
      </c>
      <c r="P66" s="1393"/>
      <c r="Q66" s="1393"/>
      <c r="R66" s="1393"/>
      <c r="S66" s="1393"/>
      <c r="T66" s="1393"/>
      <c r="U66" s="1393"/>
      <c r="V66" s="1393"/>
      <c r="W66" s="1393"/>
      <c r="X66" s="1394">
        <v>0.05</v>
      </c>
      <c r="Y66" s="1394">
        <v>0.15</v>
      </c>
      <c r="Z66" s="1394">
        <v>0</v>
      </c>
      <c r="AA66" s="1395">
        <f t="shared" si="1"/>
        <v>0</v>
      </c>
      <c r="AB66" s="1393" t="str">
        <f t="shared" si="2"/>
        <v>AREEFA  ABDULAZIZ ESHAQ</v>
      </c>
      <c r="AC66" s="1393">
        <f t="shared" si="8"/>
        <v>261</v>
      </c>
      <c r="AD66" s="1396">
        <f t="shared" si="3"/>
        <v>230000</v>
      </c>
      <c r="AE66" s="1396">
        <f t="shared" si="4"/>
        <v>34500</v>
      </c>
      <c r="AF66" s="1396">
        <f t="shared" si="5"/>
        <v>18267.689999999999</v>
      </c>
      <c r="AG66" s="1397">
        <f t="shared" si="6"/>
        <v>7.5453502173913042E-2</v>
      </c>
      <c r="AH66" s="1397">
        <f t="shared" si="7"/>
        <v>0.14249999999999999</v>
      </c>
      <c r="AI66" s="1393" t="str">
        <f>IFERROR(VLOOKUP(C66,salesInv!$D$8:$AM$494,35,FALSE),"-")</f>
        <v>H/M/35/2024</v>
      </c>
      <c r="AJ66" s="1398" t="str">
        <f>IFERROR(VLOOKUP(C66,salesInv!$D$8:$AM$494,36,FALSE),"-")</f>
        <v>-</v>
      </c>
      <c r="AK66" s="1396">
        <f>IFERROR(VLOOKUP(C66,salesInv!$D$8:$I$494,3,FALSE),"-")</f>
        <v>34500</v>
      </c>
      <c r="AL66" s="1396">
        <f>IFERROR(VLOOKUP(C66,salesInv!$D$8:$I$494,4,FALSE),"-")</f>
        <v>1725</v>
      </c>
      <c r="AM66" s="1396">
        <f>IFERROR(VLOOKUP(C66,salesInv!$D$8:$I$494,6,FALSE),"-")</f>
        <v>36225</v>
      </c>
      <c r="AN66" s="1396">
        <f>COUNTIF(salesInv!$D$8:$D$494,ProHeader!C66)</f>
        <v>1</v>
      </c>
      <c r="AO66" s="1396"/>
      <c r="AP66" s="1396"/>
      <c r="AQ66" s="1396"/>
      <c r="AR66" s="1396"/>
      <c r="AS66" s="1396"/>
      <c r="AT66" s="1396"/>
      <c r="AU66" s="1396"/>
      <c r="AV66" s="1396"/>
      <c r="AW66" s="1396"/>
      <c r="AX66" s="1396"/>
      <c r="AY66" s="1396"/>
      <c r="AZ66" s="1396"/>
    </row>
    <row r="67" spans="1:52" ht="15.75" customHeight="1">
      <c r="A67" s="1420"/>
      <c r="B67" s="425"/>
      <c r="C67" s="1631">
        <v>262</v>
      </c>
      <c r="D67" s="1628" t="s">
        <v>275</v>
      </c>
      <c r="E67" s="1629" t="s">
        <v>319</v>
      </c>
      <c r="F67" s="1407" t="s">
        <v>326</v>
      </c>
      <c r="G67" s="1404" t="s">
        <v>337</v>
      </c>
      <c r="H67" s="1404">
        <v>4161553</v>
      </c>
      <c r="I67" s="1404"/>
      <c r="J67" s="1406" t="s">
        <v>448</v>
      </c>
      <c r="K67" s="1407" t="s">
        <v>447</v>
      </c>
      <c r="L67" s="1408">
        <v>153000</v>
      </c>
      <c r="M67" s="1408"/>
      <c r="N67" s="1409">
        <f>SUMIFS(srpro!$F$10:$F$3010,srpro!$B$10:$B$3010,ProHeader!C67)</f>
        <v>152235</v>
      </c>
      <c r="O67" s="1409">
        <f>SUMIFS(srpro!$E$10:$E$3010,srpro!$B$10:$B$3010,ProHeader!C67)</f>
        <v>70125.703999999998</v>
      </c>
      <c r="P67" s="1393" t="s">
        <v>449</v>
      </c>
      <c r="Q67" s="1393">
        <v>79233</v>
      </c>
      <c r="R67" s="1393">
        <v>26056</v>
      </c>
      <c r="S67" s="1393"/>
      <c r="T67" s="1393"/>
      <c r="U67" s="1393"/>
      <c r="V67" s="1393"/>
      <c r="W67" s="1393"/>
      <c r="X67" s="1394">
        <v>0.05</v>
      </c>
      <c r="Y67" s="1394">
        <v>0.1</v>
      </c>
      <c r="Z67" s="1394">
        <v>0</v>
      </c>
      <c r="AA67" s="1395">
        <f t="shared" si="1"/>
        <v>0</v>
      </c>
      <c r="AB67" s="1393" t="str">
        <f t="shared" si="2"/>
        <v xml:space="preserve">AMNA </v>
      </c>
      <c r="AC67" s="1393">
        <f t="shared" si="8"/>
        <v>262</v>
      </c>
      <c r="AD67" s="1396">
        <f t="shared" si="3"/>
        <v>153000</v>
      </c>
      <c r="AE67" s="1396">
        <f t="shared" si="4"/>
        <v>152235</v>
      </c>
      <c r="AF67" s="1396">
        <f t="shared" si="5"/>
        <v>70125.703999999998</v>
      </c>
      <c r="AG67" s="1397">
        <f t="shared" si="6"/>
        <v>0.43542103790849673</v>
      </c>
      <c r="AH67" s="1397">
        <f t="shared" si="7"/>
        <v>0.94525000000000003</v>
      </c>
      <c r="AI67" s="1393" t="str">
        <f>IFERROR(VLOOKUP(C67,salesInv!$D$8:$AM$494,35,FALSE),"-")</f>
        <v>H/M/22/2024</v>
      </c>
      <c r="AJ67" s="1398" t="str">
        <f>IFERROR(VLOOKUP(C67,salesInv!$D$8:$AM$494,36,FALSE),"-")</f>
        <v>-</v>
      </c>
      <c r="AK67" s="1396">
        <f>IFERROR(VLOOKUP(C67,salesInv!$D$8:$I$494,3,FALSE),"-")</f>
        <v>15300</v>
      </c>
      <c r="AL67" s="1396">
        <f>IFERROR(VLOOKUP(C67,salesInv!$D$8:$I$494,4,FALSE),"-")</f>
        <v>765</v>
      </c>
      <c r="AM67" s="1396">
        <f>IFERROR(VLOOKUP(C67,salesInv!$D$8:$I$494,6,FALSE),"-")</f>
        <v>16065</v>
      </c>
      <c r="AN67" s="1396">
        <f>COUNTIF(salesInv!$D$8:$D$494,ProHeader!C67)</f>
        <v>1</v>
      </c>
      <c r="AO67" s="1396"/>
      <c r="AP67" s="1396"/>
      <c r="AQ67" s="1396"/>
      <c r="AR67" s="1396"/>
      <c r="AS67" s="1396"/>
      <c r="AT67" s="1396"/>
      <c r="AU67" s="1396"/>
      <c r="AV67" s="1396"/>
      <c r="AW67" s="1396"/>
      <c r="AX67" s="1396"/>
      <c r="AY67" s="1396"/>
      <c r="AZ67" s="1396"/>
    </row>
    <row r="68" spans="1:52" ht="15.75" customHeight="1">
      <c r="A68" s="1420"/>
      <c r="B68" s="425"/>
      <c r="C68" s="1631">
        <v>264</v>
      </c>
      <c r="D68" s="1628" t="s">
        <v>5334</v>
      </c>
      <c r="E68" s="1629" t="s">
        <v>526</v>
      </c>
      <c r="F68" s="1407" t="s">
        <v>330</v>
      </c>
      <c r="G68" s="1404" t="s">
        <v>331</v>
      </c>
      <c r="H68" s="1404">
        <v>9130926</v>
      </c>
      <c r="I68" s="1404"/>
      <c r="J68" s="1406" t="s">
        <v>527</v>
      </c>
      <c r="K68" s="1404" t="s">
        <v>525</v>
      </c>
      <c r="L68" s="1408">
        <v>185000</v>
      </c>
      <c r="M68" s="1408">
        <v>22000</v>
      </c>
      <c r="N68" s="1409">
        <f>SUMIFS(srpro!$F$10:$F$3010,srpro!$B$10:$B$3010,ProHeader!C68)</f>
        <v>106571.43</v>
      </c>
      <c r="O68" s="1409">
        <f>SUMIFS(srpro!$E$10:$E$3010,srpro!$B$10:$B$3010,ProHeader!C68)</f>
        <v>48746.06</v>
      </c>
      <c r="P68" s="1393"/>
      <c r="Q68" s="1393"/>
      <c r="R68" s="1393"/>
      <c r="S68" s="1393"/>
      <c r="T68" s="1393"/>
      <c r="U68" s="1393"/>
      <c r="V68" s="1393"/>
      <c r="W68" s="1393" t="s">
        <v>5510</v>
      </c>
      <c r="X68" s="1394">
        <v>0.05</v>
      </c>
      <c r="Y68" s="1394">
        <v>0.15</v>
      </c>
      <c r="Z68" s="1394">
        <v>0</v>
      </c>
      <c r="AA68" s="1395">
        <f t="shared" si="1"/>
        <v>0</v>
      </c>
      <c r="AB68" s="1393" t="str">
        <f t="shared" si="2"/>
        <v>RASHED KHALIFA Obaid</v>
      </c>
      <c r="AC68" s="1393">
        <f t="shared" si="8"/>
        <v>264</v>
      </c>
      <c r="AD68" s="1396">
        <f t="shared" si="3"/>
        <v>207000</v>
      </c>
      <c r="AE68" s="1396">
        <f t="shared" si="4"/>
        <v>106571.43</v>
      </c>
      <c r="AF68" s="1396">
        <f t="shared" si="5"/>
        <v>48746.06</v>
      </c>
      <c r="AG68" s="1397">
        <f t="shared" si="6"/>
        <v>0.22371380193236715</v>
      </c>
      <c r="AH68" s="1397">
        <f t="shared" si="7"/>
        <v>0.48909593478260865</v>
      </c>
      <c r="AI68" s="1393" t="str">
        <f>IFERROR(VLOOKUP(C68,salesInv!$D$8:$AM$494,35,FALSE),"-")</f>
        <v>H/M/37/2024</v>
      </c>
      <c r="AJ68" s="1398" t="str">
        <f>IFERROR(VLOOKUP(C68,salesInv!$D$8:$AM$494,36,FALSE),"-")</f>
        <v>-</v>
      </c>
      <c r="AK68" s="1396">
        <f>IFERROR(VLOOKUP(C68,salesInv!$D$8:$I$494,3,FALSE),"-")</f>
        <v>28571.43</v>
      </c>
      <c r="AL68" s="1396">
        <f>IFERROR(VLOOKUP(C68,salesInv!$D$8:$I$494,4,FALSE),"-")</f>
        <v>1428.5715</v>
      </c>
      <c r="AM68" s="1396">
        <f>IFERROR(VLOOKUP(C68,salesInv!$D$8:$I$494,6,FALSE),"-")</f>
        <v>30000</v>
      </c>
      <c r="AN68" s="1396">
        <f>COUNTIF(salesInv!$D$8:$D$494,ProHeader!C68)</f>
        <v>2</v>
      </c>
      <c r="AO68" s="1396"/>
      <c r="AP68" s="1396"/>
      <c r="AQ68" s="1396"/>
      <c r="AR68" s="1396"/>
      <c r="AS68" s="1396"/>
      <c r="AT68" s="1396"/>
      <c r="AU68" s="1396"/>
      <c r="AV68" s="1396"/>
      <c r="AW68" s="1396"/>
      <c r="AX68" s="1396"/>
      <c r="AY68" s="1396"/>
      <c r="AZ68" s="1396"/>
    </row>
    <row r="69" spans="1:52" ht="15.75" customHeight="1">
      <c r="A69" s="1420"/>
      <c r="B69" s="425"/>
      <c r="C69" s="1631">
        <v>265</v>
      </c>
      <c r="D69" s="1628" t="s">
        <v>5327</v>
      </c>
      <c r="E69" s="1629" t="s">
        <v>317</v>
      </c>
      <c r="F69" s="1404" t="s">
        <v>326</v>
      </c>
      <c r="G69" s="1404" t="s">
        <v>335</v>
      </c>
      <c r="H69" s="1404">
        <v>7118668</v>
      </c>
      <c r="I69" s="1404"/>
      <c r="J69" s="1406" t="s">
        <v>699</v>
      </c>
      <c r="K69" s="1404" t="s">
        <v>698</v>
      </c>
      <c r="L69" s="1408">
        <v>235000</v>
      </c>
      <c r="M69" s="1408"/>
      <c r="N69" s="1409">
        <f>SUMIFS(srpro!$F$10:$F$3010,srpro!$B$10:$B$3010,ProHeader!C69)</f>
        <v>11500</v>
      </c>
      <c r="O69" s="1409">
        <f>SUMIFS(srpro!$E$10:$E$3010,srpro!$B$10:$B$3010,ProHeader!C69)</f>
        <v>778.53</v>
      </c>
      <c r="P69" s="1393"/>
      <c r="Q69" s="1393"/>
      <c r="R69" s="1393"/>
      <c r="S69" s="1393"/>
      <c r="T69" s="1393"/>
      <c r="U69" s="1393"/>
      <c r="V69" s="1393"/>
      <c r="W69" s="1393" t="s">
        <v>700</v>
      </c>
      <c r="X69" s="1394"/>
      <c r="Y69" s="1394"/>
      <c r="Z69" s="1394"/>
      <c r="AA69" s="1395">
        <f t="shared" si="1"/>
        <v>0</v>
      </c>
      <c r="AB69" s="1393" t="str">
        <f t="shared" si="2"/>
        <v>OMAR SULTAN Mohammad</v>
      </c>
      <c r="AC69" s="1393">
        <f t="shared" si="8"/>
        <v>265</v>
      </c>
      <c r="AD69" s="1396">
        <f t="shared" si="3"/>
        <v>235000</v>
      </c>
      <c r="AE69" s="1396">
        <f t="shared" si="4"/>
        <v>11500</v>
      </c>
      <c r="AF69" s="1396">
        <f t="shared" si="5"/>
        <v>778.53</v>
      </c>
      <c r="AG69" s="1397">
        <f t="shared" si="6"/>
        <v>3.1472489361702126E-3</v>
      </c>
      <c r="AH69" s="1397">
        <f t="shared" si="7"/>
        <v>4.6489361702127661E-2</v>
      </c>
      <c r="AI69" s="1393" t="str">
        <f>IFERROR(VLOOKUP(C69,salesInv!$D$8:$AM$494,35,FALSE),"-")</f>
        <v>H/M/36/2024</v>
      </c>
      <c r="AJ69" s="1398" t="str">
        <f>IFERROR(VLOOKUP(C69,salesInv!$D$8:$AM$494,36,FALSE),"-")</f>
        <v>-</v>
      </c>
      <c r="AK69" s="1396">
        <f>IFERROR(VLOOKUP(C69,salesInv!$D$8:$I$494,3,FALSE),"-")</f>
        <v>35250</v>
      </c>
      <c r="AL69" s="1396">
        <f>IFERROR(VLOOKUP(C69,salesInv!$D$8:$I$494,4,FALSE),"-")</f>
        <v>1762.5</v>
      </c>
      <c r="AM69" s="1396">
        <f>IFERROR(VLOOKUP(C69,salesInv!$D$8:$I$494,6,FALSE),"-")</f>
        <v>37012.5</v>
      </c>
      <c r="AN69" s="1396">
        <f>COUNTIF(salesInv!$D$8:$D$494,ProHeader!C69)</f>
        <v>3</v>
      </c>
      <c r="AO69" s="1396"/>
      <c r="AP69" s="1396"/>
      <c r="AQ69" s="1396"/>
      <c r="AR69" s="1396"/>
      <c r="AS69" s="1396"/>
      <c r="AT69" s="1396"/>
      <c r="AU69" s="1396"/>
      <c r="AV69" s="1396"/>
      <c r="AW69" s="1396"/>
      <c r="AX69" s="1396"/>
      <c r="AY69" s="1396"/>
      <c r="AZ69" s="1396"/>
    </row>
    <row r="70" spans="1:52" ht="15.75" customHeight="1">
      <c r="A70" s="1420"/>
      <c r="B70" s="425"/>
      <c r="C70" s="1631">
        <v>275</v>
      </c>
      <c r="D70" s="1628" t="s">
        <v>320</v>
      </c>
      <c r="E70" s="1629" t="s">
        <v>320</v>
      </c>
      <c r="F70" s="1404" t="s">
        <v>1419</v>
      </c>
      <c r="G70" s="1404" t="s">
        <v>338</v>
      </c>
      <c r="H70" s="1404">
        <v>7114544</v>
      </c>
      <c r="I70" s="1404"/>
      <c r="J70" s="1406" t="s">
        <v>373</v>
      </c>
      <c r="K70" s="1404" t="s">
        <v>637</v>
      </c>
      <c r="L70" s="1408">
        <v>118000</v>
      </c>
      <c r="M70" s="1408">
        <v>9550</v>
      </c>
      <c r="N70" s="1409">
        <f>SUMIFS(srpro!$F$10:$F$3010,srpro!$B$10:$B$3010,ProHeader!C70)</f>
        <v>71450</v>
      </c>
      <c r="O70" s="1409">
        <f>SUMIFS(srpro!$E$10:$E$3010,srpro!$B$10:$B$3010,ProHeader!C70)</f>
        <v>39685.880000000005</v>
      </c>
      <c r="P70" s="1393"/>
      <c r="Q70" s="1393"/>
      <c r="R70" s="1393"/>
      <c r="S70" s="1393"/>
      <c r="T70" s="1393"/>
      <c r="U70" s="1393"/>
      <c r="V70" s="1393"/>
      <c r="W70" s="1393" t="s">
        <v>5582</v>
      </c>
      <c r="X70" s="1394">
        <v>0.05</v>
      </c>
      <c r="Y70" s="1394">
        <v>0.15</v>
      </c>
      <c r="Z70" s="1394">
        <v>0</v>
      </c>
      <c r="AA70" s="1395">
        <f t="shared" si="1"/>
        <v>0</v>
      </c>
      <c r="AB70" s="1393" t="str">
        <f t="shared" si="2"/>
        <v>Meshal Mohammad Saqer Ismail Harqoos</v>
      </c>
      <c r="AC70" s="1393">
        <f t="shared" si="8"/>
        <v>275</v>
      </c>
      <c r="AD70" s="1396">
        <f t="shared" si="3"/>
        <v>127550</v>
      </c>
      <c r="AE70" s="1396">
        <f t="shared" si="4"/>
        <v>71450</v>
      </c>
      <c r="AF70" s="1396">
        <f t="shared" si="5"/>
        <v>39685.880000000005</v>
      </c>
      <c r="AG70" s="1397">
        <f t="shared" si="6"/>
        <v>0.29558279890239125</v>
      </c>
      <c r="AH70" s="1397">
        <f t="shared" si="7"/>
        <v>0.53216385731085847</v>
      </c>
      <c r="AI70" s="1393" t="str">
        <f>IFERROR(VLOOKUP(C70,salesInv!$D$8:$AM$494,35,FALSE),"-")</f>
        <v>H/M/57/2024</v>
      </c>
      <c r="AJ70" s="1398" t="str">
        <f>IFERROR(VLOOKUP(C70,salesInv!$D$8:$AM$494,36,FALSE),"-")</f>
        <v>-</v>
      </c>
      <c r="AK70" s="1396">
        <f>IFERROR(VLOOKUP(C70,salesInv!$D$8:$I$494,3,FALSE),"-")</f>
        <v>17700</v>
      </c>
      <c r="AL70" s="1396">
        <f>IFERROR(VLOOKUP(C70,salesInv!$D$8:$I$494,4,FALSE),"-")</f>
        <v>885</v>
      </c>
      <c r="AM70" s="1396">
        <f>IFERROR(VLOOKUP(C70,salesInv!$D$8:$I$494,6,FALSE),"-")</f>
        <v>18585</v>
      </c>
      <c r="AN70" s="1396">
        <f>COUNTIF(salesInv!$D$8:$D$494,ProHeader!C70)</f>
        <v>3</v>
      </c>
      <c r="AO70" s="1396"/>
      <c r="AP70" s="1396"/>
      <c r="AQ70" s="1396"/>
      <c r="AR70" s="1396"/>
      <c r="AS70" s="1396"/>
      <c r="AT70" s="1396"/>
      <c r="AU70" s="1396"/>
      <c r="AV70" s="1396"/>
      <c r="AW70" s="1396"/>
      <c r="AX70" s="1396"/>
      <c r="AY70" s="1396"/>
      <c r="AZ70" s="1396"/>
    </row>
    <row r="71" spans="1:52" ht="15.75" customHeight="1">
      <c r="A71" s="1420"/>
      <c r="B71" s="425"/>
      <c r="C71" s="1631">
        <v>276</v>
      </c>
      <c r="D71" s="1628" t="s">
        <v>283</v>
      </c>
      <c r="E71" s="1629" t="s">
        <v>597</v>
      </c>
      <c r="F71" s="1404" t="s">
        <v>598</v>
      </c>
      <c r="G71" s="1404" t="s">
        <v>340</v>
      </c>
      <c r="H71" s="1404">
        <v>71114728</v>
      </c>
      <c r="I71" s="1404"/>
      <c r="J71" s="1406" t="s">
        <v>600</v>
      </c>
      <c r="K71" s="1404" t="s">
        <v>599</v>
      </c>
      <c r="L71" s="1408">
        <v>92000</v>
      </c>
      <c r="M71" s="1408">
        <v>9000</v>
      </c>
      <c r="N71" s="1409">
        <f>SUMIFS(srpro!$F$10:$F$3010,srpro!$B$10:$B$3010,ProHeader!C71)</f>
        <v>50600</v>
      </c>
      <c r="O71" s="1409">
        <f>SUMIFS(srpro!$E$10:$E$3010,srpro!$B$10:$B$3010,ProHeader!C71)</f>
        <v>28779.29</v>
      </c>
      <c r="P71" s="1393"/>
      <c r="Q71" s="1393"/>
      <c r="R71" s="1393"/>
      <c r="S71" s="1393"/>
      <c r="T71" s="1393"/>
      <c r="U71" s="1393"/>
      <c r="V71" s="1393"/>
      <c r="W71" s="1393" t="s">
        <v>2988</v>
      </c>
      <c r="X71" s="1394">
        <v>0.05</v>
      </c>
      <c r="Y71" s="1394">
        <v>0.05</v>
      </c>
      <c r="Z71" s="1394">
        <v>0</v>
      </c>
      <c r="AA71" s="1395">
        <f t="shared" si="1"/>
        <v>0</v>
      </c>
      <c r="AB71" s="1393" t="str">
        <f t="shared" si="2"/>
        <v>FATMA ESSA</v>
      </c>
      <c r="AC71" s="1393">
        <f t="shared" si="8"/>
        <v>276</v>
      </c>
      <c r="AD71" s="1396">
        <f t="shared" si="3"/>
        <v>101000</v>
      </c>
      <c r="AE71" s="1396">
        <f t="shared" si="4"/>
        <v>50600</v>
      </c>
      <c r="AF71" s="1396">
        <f t="shared" si="5"/>
        <v>28779.29</v>
      </c>
      <c r="AG71" s="1397">
        <f t="shared" si="6"/>
        <v>0.27069629207920792</v>
      </c>
      <c r="AH71" s="1397">
        <f t="shared" si="7"/>
        <v>0.47594059405940592</v>
      </c>
      <c r="AI71" s="1393" t="str">
        <f>IFERROR(VLOOKUP(C71,salesInv!$D$8:$AM$494,35,FALSE),"-")</f>
        <v>H/M/68/2024</v>
      </c>
      <c r="AJ71" s="1398" t="str">
        <f>IFERROR(VLOOKUP(C71,salesInv!$D$8:$AM$494,36,FALSE),"-")</f>
        <v>-</v>
      </c>
      <c r="AK71" s="1396">
        <f>IFERROR(VLOOKUP(C71,salesInv!$D$8:$I$494,3,FALSE),"-")</f>
        <v>4600</v>
      </c>
      <c r="AL71" s="1396">
        <f>IFERROR(VLOOKUP(C71,salesInv!$D$8:$I$494,4,FALSE),"-")</f>
        <v>230</v>
      </c>
      <c r="AM71" s="1396">
        <f>IFERROR(VLOOKUP(C71,salesInv!$D$8:$I$494,6,FALSE),"-")</f>
        <v>4830</v>
      </c>
      <c r="AN71" s="1396">
        <f>COUNTIF(salesInv!$D$8:$D$494,ProHeader!C71)</f>
        <v>3</v>
      </c>
      <c r="AO71" s="1396"/>
      <c r="AP71" s="1396"/>
      <c r="AQ71" s="1396"/>
      <c r="AR71" s="1396"/>
      <c r="AS71" s="1396"/>
      <c r="AT71" s="1396"/>
      <c r="AU71" s="1396"/>
      <c r="AV71" s="1396"/>
      <c r="AW71" s="1396"/>
      <c r="AX71" s="1396"/>
      <c r="AY71" s="1396"/>
      <c r="AZ71" s="1396"/>
    </row>
    <row r="72" spans="1:52" ht="15.75" customHeight="1">
      <c r="A72" s="1420"/>
      <c r="B72" s="425"/>
      <c r="C72" s="1631">
        <v>277</v>
      </c>
      <c r="D72" s="1628" t="s">
        <v>268</v>
      </c>
      <c r="E72" s="1628" t="s">
        <v>396</v>
      </c>
      <c r="F72" s="1404" t="s">
        <v>341</v>
      </c>
      <c r="G72" s="1404" t="s">
        <v>340</v>
      </c>
      <c r="H72" s="1404">
        <v>71114734</v>
      </c>
      <c r="I72" s="1404"/>
      <c r="J72" s="1406" t="s">
        <v>398</v>
      </c>
      <c r="K72" s="1404" t="s">
        <v>397</v>
      </c>
      <c r="L72" s="1408">
        <v>135000</v>
      </c>
      <c r="M72" s="1408">
        <v>13000</v>
      </c>
      <c r="N72" s="1409">
        <v>33750</v>
      </c>
      <c r="O72" s="1409">
        <v>836.48</v>
      </c>
      <c r="P72" s="1393"/>
      <c r="Q72" s="1393"/>
      <c r="R72" s="1393"/>
      <c r="S72" s="1393"/>
      <c r="T72" s="1393"/>
      <c r="U72" s="1393"/>
      <c r="V72" s="1393"/>
      <c r="W72" s="1393" t="s">
        <v>2988</v>
      </c>
      <c r="X72" s="1394">
        <v>0.05</v>
      </c>
      <c r="Y72" s="1394">
        <v>0.05</v>
      </c>
      <c r="Z72" s="1394">
        <v>0</v>
      </c>
      <c r="AA72" s="1395">
        <v>0</v>
      </c>
      <c r="AB72" s="1393" t="s">
        <v>268</v>
      </c>
      <c r="AC72" s="1393">
        <v>277</v>
      </c>
      <c r="AD72" s="1396">
        <v>148000</v>
      </c>
      <c r="AE72" s="1396">
        <v>33750</v>
      </c>
      <c r="AF72" s="1396">
        <v>836.48</v>
      </c>
      <c r="AG72" s="1397">
        <v>5.3692972972972973E-3</v>
      </c>
      <c r="AH72" s="1397">
        <v>0.21663851351351351</v>
      </c>
      <c r="AI72" s="1393" t="s">
        <v>5159</v>
      </c>
      <c r="AJ72" s="1398" t="s">
        <v>1500</v>
      </c>
      <c r="AK72" s="1396">
        <v>6750</v>
      </c>
      <c r="AL72" s="1396">
        <v>337.5</v>
      </c>
      <c r="AM72" s="1396">
        <v>7087.5</v>
      </c>
      <c r="AN72" s="1396">
        <v>2</v>
      </c>
      <c r="AO72" s="1396"/>
      <c r="AP72" s="1396"/>
      <c r="AQ72" s="1396"/>
      <c r="AR72" s="1396"/>
      <c r="AS72" s="1396"/>
      <c r="AT72" s="1396"/>
      <c r="AU72" s="1396"/>
      <c r="AV72" s="1396"/>
      <c r="AW72" s="1396"/>
      <c r="AX72" s="1396"/>
      <c r="AY72" s="1396"/>
      <c r="AZ72" s="1396"/>
    </row>
    <row r="73" spans="1:52" ht="15.75" customHeight="1">
      <c r="A73" s="1420"/>
      <c r="B73" s="425"/>
      <c r="C73" s="1631">
        <v>278</v>
      </c>
      <c r="D73" s="1628" t="s">
        <v>2845</v>
      </c>
      <c r="E73" s="1629" t="s">
        <v>2846</v>
      </c>
      <c r="F73" s="1410" t="s">
        <v>330</v>
      </c>
      <c r="G73" s="1415" t="s">
        <v>343</v>
      </c>
      <c r="H73" s="1415">
        <v>6713324</v>
      </c>
      <c r="I73" s="1404" t="s">
        <v>785</v>
      </c>
      <c r="J73" s="1411" t="s">
        <v>784</v>
      </c>
      <c r="K73" s="1417" t="s">
        <v>783</v>
      </c>
      <c r="L73" s="1408">
        <v>220000</v>
      </c>
      <c r="M73" s="1408">
        <v>20000</v>
      </c>
      <c r="N73" s="1409">
        <f>SUMIFS(srpro!$F$10:$F$3010,srpro!$B$10:$B$3010,ProHeader!C73)</f>
        <v>77000</v>
      </c>
      <c r="O73" s="1409">
        <f>SUMIFS(srpro!$E$10:$E$3010,srpro!$B$10:$B$3010,ProHeader!C73)</f>
        <v>30184.62545</v>
      </c>
      <c r="P73" s="1393"/>
      <c r="Q73" s="1393"/>
      <c r="R73" s="1393"/>
      <c r="S73" s="1393"/>
      <c r="T73" s="1393"/>
      <c r="U73" s="1393"/>
      <c r="V73" s="1393"/>
      <c r="W73" s="1400" t="s">
        <v>1755</v>
      </c>
      <c r="X73" s="1394">
        <v>0.05</v>
      </c>
      <c r="Y73" s="1394">
        <v>0.15</v>
      </c>
      <c r="Z73" s="1394">
        <v>0.05</v>
      </c>
      <c r="AA73" s="1395">
        <f t="shared" si="1"/>
        <v>11000</v>
      </c>
      <c r="AB73" s="1393" t="str">
        <f t="shared" si="2"/>
        <v>Rashed Ahmed Yousef Mohamed Al Balooshi- Archpix</v>
      </c>
      <c r="AC73" s="1393">
        <f t="shared" si="8"/>
        <v>278</v>
      </c>
      <c r="AD73" s="1396">
        <f t="shared" si="3"/>
        <v>240000</v>
      </c>
      <c r="AE73" s="1396">
        <f t="shared" si="4"/>
        <v>77000</v>
      </c>
      <c r="AF73" s="1396">
        <f t="shared" si="5"/>
        <v>30184.62545</v>
      </c>
      <c r="AG73" s="1397">
        <f t="shared" si="6"/>
        <v>0.11948080907291667</v>
      </c>
      <c r="AH73" s="1397">
        <f t="shared" si="7"/>
        <v>0.30479166666666668</v>
      </c>
      <c r="AI73" s="1393" t="str">
        <f>IFERROR(VLOOKUP(C73,salesInv!$D$8:$AM$494,35,FALSE),"-")</f>
        <v>H/M/113/2024</v>
      </c>
      <c r="AJ73" s="1398">
        <f>IFERROR(VLOOKUP(C73,salesInv!$D$8:$AM$494,36,FALSE),"-")</f>
        <v>45571</v>
      </c>
      <c r="AK73" s="1396">
        <f>IFERROR(VLOOKUP(C73,salesInv!$D$8:$I$494,3,FALSE),"-")</f>
        <v>82500</v>
      </c>
      <c r="AL73" s="1396">
        <f>IFERROR(VLOOKUP(C73,salesInv!$D$8:$I$494,4,FALSE),"-")</f>
        <v>4125</v>
      </c>
      <c r="AM73" s="1396">
        <f>IFERROR(VLOOKUP(C73,salesInv!$D$8:$I$494,6,FALSE),"-")</f>
        <v>44000</v>
      </c>
      <c r="AN73" s="1396">
        <f>COUNTIF(salesInv!$D$8:$D$494,ProHeader!C73)</f>
        <v>1</v>
      </c>
      <c r="AO73" s="1396"/>
      <c r="AP73" s="1396"/>
      <c r="AQ73" s="1396"/>
      <c r="AR73" s="1396"/>
      <c r="AS73" s="1396"/>
      <c r="AT73" s="1396"/>
      <c r="AU73" s="1396"/>
      <c r="AV73" s="1396"/>
      <c r="AW73" s="1396"/>
      <c r="AX73" s="1396"/>
      <c r="AY73" s="1396"/>
      <c r="AZ73" s="1396"/>
    </row>
    <row r="74" spans="1:52" ht="15.75" customHeight="1">
      <c r="A74" s="1420"/>
      <c r="B74" s="425"/>
      <c r="C74" s="1631">
        <v>279</v>
      </c>
      <c r="D74" s="1628" t="s">
        <v>307</v>
      </c>
      <c r="E74" s="1629" t="s">
        <v>307</v>
      </c>
      <c r="F74" s="1410" t="s">
        <v>339</v>
      </c>
      <c r="G74" s="1411" t="s">
        <v>5151</v>
      </c>
      <c r="H74" s="1415">
        <v>315050180</v>
      </c>
      <c r="I74" s="1404"/>
      <c r="J74" s="1419" t="s">
        <v>781</v>
      </c>
      <c r="K74" s="1404" t="s">
        <v>780</v>
      </c>
      <c r="L74" s="1408">
        <v>96000</v>
      </c>
      <c r="M74" s="1408">
        <v>16000</v>
      </c>
      <c r="N74" s="1409">
        <f>SUMIFS(srpro!$F$10:$F$3010,srpro!$B$10:$B$3010,ProHeader!C74)</f>
        <v>107200</v>
      </c>
      <c r="O74" s="1409">
        <f>SUMIFS(srpro!$E$10:$E$3010,srpro!$B$10:$B$3010,ProHeader!C74)</f>
        <v>77028.160000000003</v>
      </c>
      <c r="P74" s="1393"/>
      <c r="Q74" s="1393"/>
      <c r="R74" s="1393"/>
      <c r="S74" s="1393"/>
      <c r="T74" s="1393"/>
      <c r="U74" s="1393"/>
      <c r="V74" s="1393"/>
      <c r="W74" s="1393"/>
      <c r="X74" s="1394">
        <v>0.05</v>
      </c>
      <c r="Y74" s="1394">
        <v>0.2</v>
      </c>
      <c r="Z74" s="1394">
        <v>0</v>
      </c>
      <c r="AA74" s="1395">
        <f t="shared" si="1"/>
        <v>0</v>
      </c>
      <c r="AB74" s="1393" t="str">
        <f t="shared" si="2"/>
        <v>Shams Saeed Sultan AL Kitbee</v>
      </c>
      <c r="AC74" s="1393">
        <f t="shared" ref="AC74:AC80" si="13">C74</f>
        <v>279</v>
      </c>
      <c r="AD74" s="1396">
        <f t="shared" si="3"/>
        <v>112000</v>
      </c>
      <c r="AE74" s="1396">
        <f t="shared" si="4"/>
        <v>107200</v>
      </c>
      <c r="AF74" s="1396">
        <f t="shared" si="5"/>
        <v>77028.160000000003</v>
      </c>
      <c r="AG74" s="1397">
        <f t="shared" si="6"/>
        <v>0.65336385714285716</v>
      </c>
      <c r="AH74" s="1397">
        <f t="shared" si="7"/>
        <v>0.90928571428571425</v>
      </c>
      <c r="AI74" s="1393" t="str">
        <f>IFERROR(VLOOKUP(C74,salesInv!$D$8:$AM$494,35,FALSE),"-")</f>
        <v>H/M/82/2024</v>
      </c>
      <c r="AJ74" s="1398" t="str">
        <f>IFERROR(VLOOKUP(C74,salesInv!$D$8:$AM$494,36,FALSE),"-")</f>
        <v>-</v>
      </c>
      <c r="AK74" s="1396">
        <f>IFERROR(VLOOKUP(C74,salesInv!$D$8:$I$494,3,FALSE),"-")</f>
        <v>19200</v>
      </c>
      <c r="AL74" s="1396">
        <f>IFERROR(VLOOKUP(C74,salesInv!$D$8:$I$494,4,FALSE),"-")</f>
        <v>960</v>
      </c>
      <c r="AM74" s="1396">
        <f>IFERROR(VLOOKUP(C74,salesInv!$D$8:$I$494,6,FALSE),"-")</f>
        <v>20160</v>
      </c>
      <c r="AN74" s="1396">
        <f>COUNTIF(salesInv!$D$8:$D$494,ProHeader!C74)</f>
        <v>3</v>
      </c>
      <c r="AO74" s="1396"/>
      <c r="AP74" s="1396"/>
      <c r="AQ74" s="1396"/>
      <c r="AR74" s="1396"/>
      <c r="AS74" s="1396"/>
      <c r="AT74" s="1396"/>
      <c r="AU74" s="1396"/>
      <c r="AV74" s="1396"/>
      <c r="AW74" s="1396"/>
      <c r="AX74" s="1396"/>
      <c r="AY74" s="1396"/>
      <c r="AZ74" s="1396"/>
    </row>
    <row r="75" spans="1:52" ht="15.75" customHeight="1">
      <c r="A75" s="1420"/>
      <c r="B75" s="425"/>
      <c r="C75" s="1631">
        <v>280</v>
      </c>
      <c r="D75" s="1628" t="s">
        <v>869</v>
      </c>
      <c r="E75" s="1629" t="s">
        <v>869</v>
      </c>
      <c r="F75" s="1404" t="s">
        <v>326</v>
      </c>
      <c r="G75" s="1404" t="s">
        <v>870</v>
      </c>
      <c r="H75" s="1404">
        <v>4314217</v>
      </c>
      <c r="I75" s="1404"/>
      <c r="J75" s="1404"/>
      <c r="K75" s="1404"/>
      <c r="L75" s="1408">
        <v>140000</v>
      </c>
      <c r="M75" s="1408"/>
      <c r="N75" s="1409">
        <f>SUMIFS(srpro!$F$10:$F$3010,srpro!$B$10:$B$3010,ProHeader!C75)</f>
        <v>14000</v>
      </c>
      <c r="O75" s="1409">
        <f>SUMIFS(srpro!$E$10:$E$3010,srpro!$B$10:$B$3010,ProHeader!C75)</f>
        <v>4469.8500000000004</v>
      </c>
      <c r="P75" s="1393"/>
      <c r="Q75" s="1393"/>
      <c r="R75" s="1393"/>
      <c r="S75" s="1393"/>
      <c r="T75" s="1393"/>
      <c r="U75" s="1393"/>
      <c r="V75" s="1393"/>
      <c r="W75" s="1393"/>
      <c r="X75" s="1394"/>
      <c r="Y75" s="1394">
        <v>0.1</v>
      </c>
      <c r="Z75" s="1394">
        <v>0</v>
      </c>
      <c r="AA75" s="1395">
        <f t="shared" ref="AA75:AA98" si="14">IFERROR(Z75*L75,0)</f>
        <v>0</v>
      </c>
      <c r="AB75" s="1393" t="str">
        <f t="shared" ref="AB75:AB80" si="15">D75</f>
        <v>Gaith Mohammad Aiahli</v>
      </c>
      <c r="AC75" s="1393">
        <f t="shared" si="13"/>
        <v>280</v>
      </c>
      <c r="AD75" s="1396">
        <f t="shared" ref="AD75:AD80" si="16">L75+M75</f>
        <v>140000</v>
      </c>
      <c r="AE75" s="1396">
        <f t="shared" ref="AE75:AE80" si="17">N75</f>
        <v>14000</v>
      </c>
      <c r="AF75" s="1396">
        <f t="shared" ref="AF75:AF80" si="18">O75</f>
        <v>4469.8500000000004</v>
      </c>
      <c r="AG75" s="1397">
        <f t="shared" ref="AG75:AG94" si="19">IFERROR((O75- (O75*5%))/(L75+M75),0)</f>
        <v>3.0331125E-2</v>
      </c>
      <c r="AH75" s="1397">
        <f t="shared" ref="AH75:AH94" si="20">IFERROR((N75-(N75*5%))/(L75+M75),0)</f>
        <v>9.5000000000000001E-2</v>
      </c>
      <c r="AI75" s="1393" t="str">
        <f>IFERROR(VLOOKUP(C75,salesInv!$D$8:$AM$494,35,FALSE),"-")</f>
        <v>H/M/70/2024</v>
      </c>
      <c r="AJ75" s="1398" t="str">
        <f>IFERROR(VLOOKUP(C75,salesInv!$D$8:$AM$494,36,FALSE),"-")</f>
        <v>-</v>
      </c>
      <c r="AK75" s="1396">
        <f>IFERROR(VLOOKUP(C75,salesInv!$D$8:$I$494,3,FALSE),"-")</f>
        <v>14000</v>
      </c>
      <c r="AL75" s="1396">
        <f>IFERROR(VLOOKUP(C75,salesInv!$D$8:$I$494,4,FALSE),"-")</f>
        <v>700</v>
      </c>
      <c r="AM75" s="1396">
        <f>IFERROR(VLOOKUP(C75,salesInv!$D$8:$I$494,6,FALSE),"-")</f>
        <v>14700</v>
      </c>
      <c r="AN75" s="1396">
        <f>COUNTIF(salesInv!$D$8:$D$494,ProHeader!C75)</f>
        <v>2</v>
      </c>
      <c r="AO75" s="1396"/>
      <c r="AP75" s="1396"/>
      <c r="AQ75" s="1396"/>
      <c r="AR75" s="1396"/>
      <c r="AS75" s="1396"/>
      <c r="AT75" s="1396"/>
      <c r="AU75" s="1396"/>
      <c r="AV75" s="1396"/>
      <c r="AW75" s="1396"/>
      <c r="AX75" s="1396"/>
      <c r="AY75" s="1396"/>
      <c r="AZ75" s="1396"/>
    </row>
    <row r="76" spans="1:52" ht="15.75">
      <c r="A76" s="1420"/>
      <c r="B76" s="425"/>
      <c r="C76" s="1631">
        <v>281</v>
      </c>
      <c r="D76" s="1628" t="s">
        <v>866</v>
      </c>
      <c r="E76" s="1629" t="s">
        <v>866</v>
      </c>
      <c r="F76" s="1404" t="s">
        <v>867</v>
      </c>
      <c r="G76" s="1404" t="s">
        <v>868</v>
      </c>
      <c r="H76" s="1404">
        <v>7115417</v>
      </c>
      <c r="I76" s="1404"/>
      <c r="J76" s="1404"/>
      <c r="K76" s="1404"/>
      <c r="L76" s="1408">
        <v>127000</v>
      </c>
      <c r="M76" s="1408"/>
      <c r="N76" s="1409">
        <f>SUMIFS(srpro!$F$10:$F$3010,srpro!$B$10:$B$3010,ProHeader!C76)</f>
        <v>6350</v>
      </c>
      <c r="O76" s="1409">
        <f>SUMIFS(srpro!$E$10:$E$3010,srpro!$B$10:$B$3010,ProHeader!C76)</f>
        <v>1980.5</v>
      </c>
      <c r="P76" s="1393"/>
      <c r="Q76" s="1393"/>
      <c r="R76" s="1393"/>
      <c r="S76" s="1393"/>
      <c r="T76" s="1393"/>
      <c r="U76" s="1393"/>
      <c r="V76" s="1393"/>
      <c r="W76" s="1393"/>
      <c r="X76" s="1394"/>
      <c r="Y76" s="1394"/>
      <c r="Z76" s="1394"/>
      <c r="AA76" s="1395">
        <f t="shared" si="14"/>
        <v>0</v>
      </c>
      <c r="AB76" s="1393" t="str">
        <f t="shared" si="15"/>
        <v>Mohamed Abbas Al Bloushi</v>
      </c>
      <c r="AC76" s="1393">
        <f t="shared" si="13"/>
        <v>281</v>
      </c>
      <c r="AD76" s="1396">
        <f t="shared" si="16"/>
        <v>127000</v>
      </c>
      <c r="AE76" s="1396">
        <f t="shared" si="17"/>
        <v>6350</v>
      </c>
      <c r="AF76" s="1396">
        <f t="shared" si="18"/>
        <v>1980.5</v>
      </c>
      <c r="AG76" s="1397">
        <f t="shared" si="19"/>
        <v>1.4814763779527559E-2</v>
      </c>
      <c r="AH76" s="1397">
        <f t="shared" si="20"/>
        <v>4.7500000000000001E-2</v>
      </c>
      <c r="AI76" s="1393" t="str">
        <f>IFERROR(VLOOKUP(C76,salesInv!$D$8:$AM$494,35,FALSE),"-")</f>
        <v>-</v>
      </c>
      <c r="AJ76" s="1398" t="str">
        <f>IFERROR(VLOOKUP(C76,salesInv!$D$8:$AM$494,36,FALSE),"-")</f>
        <v>-</v>
      </c>
      <c r="AK76" s="1396" t="str">
        <f>IFERROR(VLOOKUP(C76,salesInv!$D$8:$I$494,3,FALSE),"-")</f>
        <v>-</v>
      </c>
      <c r="AL76" s="1396" t="str">
        <f>IFERROR(VLOOKUP(C76,salesInv!$D$8:$I$494,4,FALSE),"-")</f>
        <v>-</v>
      </c>
      <c r="AM76" s="1396" t="str">
        <f>IFERROR(VLOOKUP(C76,salesInv!$D$8:$I$494,6,FALSE),"-")</f>
        <v>-</v>
      </c>
      <c r="AN76" s="1396">
        <f>COUNTIF(salesInv!$D$8:$D$494,ProHeader!C76)</f>
        <v>0</v>
      </c>
      <c r="AO76" s="1396"/>
      <c r="AP76" s="1396"/>
      <c r="AQ76" s="1396"/>
      <c r="AR76" s="1396"/>
      <c r="AS76" s="1396"/>
      <c r="AT76" s="1396"/>
      <c r="AU76" s="1396"/>
      <c r="AV76" s="1396"/>
      <c r="AW76" s="1396"/>
      <c r="AX76" s="1396"/>
      <c r="AY76" s="1396"/>
      <c r="AZ76" s="1396"/>
    </row>
    <row r="77" spans="1:52" ht="15.75">
      <c r="A77" s="1420"/>
      <c r="B77" s="425"/>
      <c r="C77" s="1631">
        <v>284</v>
      </c>
      <c r="D77" s="1628" t="s">
        <v>1834</v>
      </c>
      <c r="E77" s="1629" t="s">
        <v>5931</v>
      </c>
      <c r="F77" s="1404" t="s">
        <v>370</v>
      </c>
      <c r="G77" s="1404" t="s">
        <v>1032</v>
      </c>
      <c r="H77" s="1404">
        <v>4312426</v>
      </c>
      <c r="I77" s="1404"/>
      <c r="J77" s="1406"/>
      <c r="K77" s="1404" t="s">
        <v>1033</v>
      </c>
      <c r="L77" s="1408">
        <v>75000</v>
      </c>
      <c r="M77" s="1408"/>
      <c r="N77" s="1409">
        <f>SUMIFS(srpro!$F$10:$F$3010,srpro!$B$10:$B$3010,ProHeader!C77)</f>
        <v>15000</v>
      </c>
      <c r="O77" s="1409">
        <f>SUMIFS(srpro!$E$10:$E$3010,srpro!$B$10:$B$3010,ProHeader!C77)</f>
        <v>4278.33</v>
      </c>
      <c r="P77" s="1393"/>
      <c r="Q77" s="1393"/>
      <c r="R77" s="1393"/>
      <c r="S77" s="1393"/>
      <c r="T77" s="1393"/>
      <c r="U77" s="1393"/>
      <c r="V77" s="1393"/>
      <c r="W77" s="1393"/>
      <c r="X77" s="1394">
        <v>0.05</v>
      </c>
      <c r="Y77" s="1394">
        <v>0.2</v>
      </c>
      <c r="Z77" s="1394">
        <v>0</v>
      </c>
      <c r="AA77" s="1395">
        <f t="shared" si="14"/>
        <v>0</v>
      </c>
      <c r="AB77" s="1393" t="str">
        <f t="shared" si="15"/>
        <v xml:space="preserve">ABDULLAH . EBTESAM بدون عقد موقع </v>
      </c>
      <c r="AC77" s="1393">
        <f t="shared" si="13"/>
        <v>284</v>
      </c>
      <c r="AD77" s="1396">
        <f t="shared" si="16"/>
        <v>75000</v>
      </c>
      <c r="AE77" s="1396">
        <f t="shared" si="17"/>
        <v>15000</v>
      </c>
      <c r="AF77" s="1396">
        <f t="shared" si="18"/>
        <v>4278.33</v>
      </c>
      <c r="AG77" s="1397">
        <f t="shared" si="19"/>
        <v>5.419218E-2</v>
      </c>
      <c r="AH77" s="1397">
        <f t="shared" si="20"/>
        <v>0.19</v>
      </c>
      <c r="AI77" s="1393" t="str">
        <f>IFERROR(VLOOKUP(C77,salesInv!$D$8:$AM$494,35,FALSE),"-")</f>
        <v>H/M/96/2024</v>
      </c>
      <c r="AJ77" s="1398">
        <f>IFERROR(VLOOKUP(C77,salesInv!$D$8:$AM$494,36,FALSE),"-")</f>
        <v>45511</v>
      </c>
      <c r="AK77" s="1396">
        <f>IFERROR(VLOOKUP(C77,salesInv!$D$8:$I$494,3,FALSE),"-")</f>
        <v>15000</v>
      </c>
      <c r="AL77" s="1396">
        <f>IFERROR(VLOOKUP(C77,salesInv!$D$8:$I$494,4,FALSE),"-")</f>
        <v>750</v>
      </c>
      <c r="AM77" s="1396">
        <f>IFERROR(VLOOKUP(C77,salesInv!$D$8:$I$494,6,FALSE),"-")</f>
        <v>15750</v>
      </c>
      <c r="AN77" s="1396">
        <f>COUNTIF(salesInv!$D$8:$D$494,ProHeader!C77)</f>
        <v>2</v>
      </c>
      <c r="AO77" s="1396"/>
      <c r="AP77" s="1396"/>
      <c r="AQ77" s="1396"/>
      <c r="AR77" s="1396"/>
      <c r="AS77" s="1396"/>
      <c r="AT77" s="1396"/>
      <c r="AU77" s="1396"/>
      <c r="AV77" s="1396"/>
      <c r="AW77" s="1396"/>
      <c r="AX77" s="1396"/>
      <c r="AY77" s="1396"/>
      <c r="AZ77" s="1396"/>
    </row>
    <row r="78" spans="1:52" ht="15.75">
      <c r="A78" s="1420"/>
      <c r="B78" s="425"/>
      <c r="C78" s="1631">
        <v>282</v>
      </c>
      <c r="D78" s="1628" t="s">
        <v>1213</v>
      </c>
      <c r="E78" s="1629" t="s">
        <v>1213</v>
      </c>
      <c r="F78" s="1404" t="s">
        <v>1220</v>
      </c>
      <c r="G78" s="1404" t="s">
        <v>1217</v>
      </c>
      <c r="H78" s="1404">
        <v>2631465</v>
      </c>
      <c r="I78" s="1404"/>
      <c r="J78" s="1406" t="s">
        <v>1219</v>
      </c>
      <c r="K78" s="1407" t="s">
        <v>1218</v>
      </c>
      <c r="L78" s="1408">
        <v>240000</v>
      </c>
      <c r="M78" s="1408"/>
      <c r="N78" s="1409">
        <f>SUMIFS(srpro!$F$10:$F$3010,srpro!$B$10:$B$3010,ProHeader!C78)</f>
        <v>36000</v>
      </c>
      <c r="O78" s="1409">
        <f>SUMIFS(srpro!$E$10:$E$3010,srpro!$B$10:$B$3010,ProHeader!C78)</f>
        <v>15901.23</v>
      </c>
      <c r="P78" s="1393"/>
      <c r="Q78" s="1393"/>
      <c r="R78" s="1393"/>
      <c r="S78" s="1393"/>
      <c r="T78" s="1393"/>
      <c r="U78" s="1393"/>
      <c r="V78" s="1393"/>
      <c r="W78" s="1393"/>
      <c r="X78" s="1394">
        <v>0.05</v>
      </c>
      <c r="Y78" s="1394">
        <v>0.15</v>
      </c>
      <c r="Z78" s="1394">
        <v>0</v>
      </c>
      <c r="AA78" s="1395">
        <f t="shared" si="14"/>
        <v>0</v>
      </c>
      <c r="AB78" s="1393" t="str">
        <f t="shared" si="15"/>
        <v>Omar Yousuf Mohamed Al Hajji Al Falasi</v>
      </c>
      <c r="AC78" s="1393">
        <f t="shared" si="13"/>
        <v>282</v>
      </c>
      <c r="AD78" s="1396">
        <f t="shared" si="16"/>
        <v>240000</v>
      </c>
      <c r="AE78" s="1396">
        <f t="shared" si="17"/>
        <v>36000</v>
      </c>
      <c r="AF78" s="1396">
        <f t="shared" si="18"/>
        <v>15901.23</v>
      </c>
      <c r="AG78" s="1397">
        <f t="shared" si="19"/>
        <v>6.2942368750000005E-2</v>
      </c>
      <c r="AH78" s="1397">
        <f t="shared" si="20"/>
        <v>0.14249999999999999</v>
      </c>
      <c r="AI78" s="1393" t="str">
        <f>IFERROR(VLOOKUP(C78,salesInv!$D$8:$AM$494,35,FALSE),"-")</f>
        <v>H/M/95/2024</v>
      </c>
      <c r="AJ78" s="1398">
        <f>IFERROR(VLOOKUP(C78,salesInv!$D$8:$AM$494,36,FALSE),"-")</f>
        <v>45508</v>
      </c>
      <c r="AK78" s="1396">
        <f>IFERROR(VLOOKUP(C78,salesInv!$D$8:$I$494,3,FALSE),"-")</f>
        <v>36000</v>
      </c>
      <c r="AL78" s="1396">
        <f>IFERROR(VLOOKUP(C78,salesInv!$D$8:$I$494,4,FALSE),"-")</f>
        <v>1800</v>
      </c>
      <c r="AM78" s="1396">
        <f>IFERROR(VLOOKUP(C78,salesInv!$D$8:$I$494,6,FALSE),"-")</f>
        <v>37800</v>
      </c>
      <c r="AN78" s="1396">
        <f>COUNTIF(salesInv!$D$8:$D$494,ProHeader!C78)</f>
        <v>1</v>
      </c>
      <c r="AO78" s="1396"/>
      <c r="AP78" s="1396"/>
      <c r="AQ78" s="1396"/>
      <c r="AR78" s="1396"/>
      <c r="AS78" s="1396"/>
      <c r="AT78" s="1396"/>
      <c r="AU78" s="1396"/>
      <c r="AV78" s="1396"/>
      <c r="AW78" s="1396"/>
      <c r="AX78" s="1396"/>
      <c r="AY78" s="1396"/>
      <c r="AZ78" s="1396"/>
    </row>
    <row r="79" spans="1:52" ht="15.75">
      <c r="A79" s="1420"/>
      <c r="B79" s="425"/>
      <c r="C79" s="1631">
        <v>283</v>
      </c>
      <c r="D79" s="1628" t="s">
        <v>1262</v>
      </c>
      <c r="E79" s="1629"/>
      <c r="F79" s="1404"/>
      <c r="G79" s="1404"/>
      <c r="H79" s="1404"/>
      <c r="I79" s="1404"/>
      <c r="J79" s="1406"/>
      <c r="K79" s="1407"/>
      <c r="L79" s="1408"/>
      <c r="M79" s="1408"/>
      <c r="N79" s="1409">
        <f>SUMIFS(srpro!$F$10:$F$3010,srpro!$B$10:$B$3010,ProHeader!C79)</f>
        <v>27750</v>
      </c>
      <c r="O79" s="1409">
        <f>SUMIFS(srpro!$E$10:$E$3010,srpro!$B$10:$B$3010,ProHeader!C79)</f>
        <v>27617.5</v>
      </c>
      <c r="P79" s="1393"/>
      <c r="Q79" s="1393"/>
      <c r="R79" s="1393"/>
      <c r="S79" s="1393"/>
      <c r="T79" s="1393"/>
      <c r="U79" s="1393"/>
      <c r="V79" s="1393"/>
      <c r="W79" s="1393"/>
      <c r="X79" s="1394"/>
      <c r="Y79" s="1394"/>
      <c r="Z79" s="1394"/>
      <c r="AA79" s="1395">
        <f t="shared" si="14"/>
        <v>0</v>
      </c>
      <c r="AB79" s="1393" t="str">
        <f t="shared" si="15"/>
        <v>stroe</v>
      </c>
      <c r="AC79" s="1393">
        <f t="shared" si="13"/>
        <v>283</v>
      </c>
      <c r="AD79" s="1396">
        <f t="shared" si="16"/>
        <v>0</v>
      </c>
      <c r="AE79" s="1396">
        <f t="shared" si="17"/>
        <v>27750</v>
      </c>
      <c r="AF79" s="1396">
        <f t="shared" si="18"/>
        <v>27617.5</v>
      </c>
      <c r="AG79" s="1397">
        <f t="shared" si="19"/>
        <v>0</v>
      </c>
      <c r="AH79" s="1397">
        <f t="shared" si="20"/>
        <v>0</v>
      </c>
      <c r="AI79" s="1393" t="str">
        <f>IFERROR(VLOOKUP(C79,salesInv!$D$8:$AM$494,35,FALSE),"-")</f>
        <v>H/M/144/2024</v>
      </c>
      <c r="AJ79" s="1398">
        <f>IFERROR(VLOOKUP(C79,salesInv!$D$8:$AM$494,36,FALSE),"-")</f>
        <v>45630</v>
      </c>
      <c r="AK79" s="1396">
        <f>IFERROR(VLOOKUP(C79,salesInv!$D$8:$I$494,3,FALSE),"-")</f>
        <v>27750</v>
      </c>
      <c r="AL79" s="1396">
        <f>IFERROR(VLOOKUP(C79,salesInv!$D$8:$I$494,4,FALSE),"-")</f>
        <v>1387.5</v>
      </c>
      <c r="AM79" s="1396">
        <f>IFERROR(VLOOKUP(C79,salesInv!$D$8:$I$494,6,FALSE),"-")</f>
        <v>29137.5</v>
      </c>
      <c r="AN79" s="1396">
        <f>COUNTIF(salesInv!$D$8:$D$494,ProHeader!C79)</f>
        <v>1</v>
      </c>
      <c r="AO79" s="1396"/>
      <c r="AP79" s="1396"/>
      <c r="AQ79" s="1396"/>
      <c r="AR79" s="1396"/>
      <c r="AS79" s="1396"/>
      <c r="AT79" s="1396"/>
      <c r="AU79" s="1396"/>
      <c r="AV79" s="1396"/>
      <c r="AW79" s="1396"/>
      <c r="AX79" s="1396"/>
      <c r="AY79" s="1396"/>
      <c r="AZ79" s="1396"/>
    </row>
    <row r="80" spans="1:52" ht="15.75">
      <c r="A80" s="1420"/>
      <c r="B80" s="425"/>
      <c r="C80" s="1631">
        <v>285</v>
      </c>
      <c r="D80" s="1628" t="s">
        <v>1356</v>
      </c>
      <c r="E80" s="1629" t="s">
        <v>1356</v>
      </c>
      <c r="F80" s="1404" t="s">
        <v>974</v>
      </c>
      <c r="G80" s="1404" t="s">
        <v>977</v>
      </c>
      <c r="H80" s="1404">
        <v>9140401</v>
      </c>
      <c r="I80" s="1404" t="s">
        <v>1792</v>
      </c>
      <c r="J80" s="1406" t="s">
        <v>1357</v>
      </c>
      <c r="K80" s="1407" t="s">
        <v>1358</v>
      </c>
      <c r="L80" s="1408">
        <v>100000</v>
      </c>
      <c r="M80" s="1408"/>
      <c r="N80" s="1409">
        <f>SUMIFS(srpro!$F$10:$F$3010,srpro!$B$10:$B$3010,ProHeader!C80)</f>
        <v>15750</v>
      </c>
      <c r="O80" s="1409">
        <f>SUMIFS(srpro!$E$10:$E$3010,srpro!$B$10:$B$3010,ProHeader!C80)</f>
        <v>400</v>
      </c>
      <c r="P80" s="1393"/>
      <c r="Q80" s="1393"/>
      <c r="R80" s="1393"/>
      <c r="S80" s="1393"/>
      <c r="T80" s="1393"/>
      <c r="U80" s="1393"/>
      <c r="V80" s="1393"/>
      <c r="W80" s="1393"/>
      <c r="X80" s="1394">
        <v>0.05</v>
      </c>
      <c r="Y80" s="1394">
        <v>0.15</v>
      </c>
      <c r="Z80" s="1394">
        <v>0.05</v>
      </c>
      <c r="AA80" s="1395">
        <f t="shared" si="14"/>
        <v>5000</v>
      </c>
      <c r="AB80" s="1393" t="str">
        <f t="shared" si="15"/>
        <v>ADEL DEELEB AHMAD MOHAMMED</v>
      </c>
      <c r="AC80" s="1393">
        <f t="shared" si="13"/>
        <v>285</v>
      </c>
      <c r="AD80" s="1396">
        <f t="shared" si="16"/>
        <v>100000</v>
      </c>
      <c r="AE80" s="1396">
        <f t="shared" si="17"/>
        <v>15750</v>
      </c>
      <c r="AF80" s="1396">
        <f t="shared" si="18"/>
        <v>400</v>
      </c>
      <c r="AG80" s="1397">
        <f t="shared" si="19"/>
        <v>3.8E-3</v>
      </c>
      <c r="AH80" s="1397">
        <f t="shared" si="20"/>
        <v>0.14962500000000001</v>
      </c>
      <c r="AI80" s="1393" t="str">
        <f>IFERROR(VLOOKUP(C80,salesInv!$D$8:$AM$494,35,FALSE),"-")</f>
        <v>H/M/101/2024</v>
      </c>
      <c r="AJ80" s="1398">
        <f>IFERROR(VLOOKUP(C80,salesInv!$D$8:$AM$494,36,FALSE),"-")</f>
        <v>45519</v>
      </c>
      <c r="AK80" s="1396">
        <f>IFERROR(VLOOKUP(C80,salesInv!$D$8:$I$494,3,FALSE),"-")</f>
        <v>15000</v>
      </c>
      <c r="AL80" s="1396">
        <f>IFERROR(VLOOKUP(C80,salesInv!$D$8:$I$494,4,FALSE),"-")</f>
        <v>750</v>
      </c>
      <c r="AM80" s="1396">
        <f>IFERROR(VLOOKUP(C80,salesInv!$D$8:$I$494,6,FALSE),"-")</f>
        <v>15750</v>
      </c>
      <c r="AN80" s="1396">
        <f>COUNTIF(salesInv!$D$8:$D$494,ProHeader!C80)</f>
        <v>1</v>
      </c>
      <c r="AO80" s="1396"/>
      <c r="AP80" s="1396"/>
      <c r="AQ80" s="1396"/>
      <c r="AR80" s="1396"/>
      <c r="AS80" s="1396"/>
      <c r="AT80" s="1396"/>
      <c r="AU80" s="1396"/>
      <c r="AV80" s="1396"/>
      <c r="AW80" s="1396"/>
      <c r="AX80" s="1396"/>
      <c r="AY80" s="1396"/>
      <c r="AZ80" s="1396"/>
    </row>
    <row r="81" spans="1:52" ht="15.75">
      <c r="A81" s="1420"/>
      <c r="B81" s="425"/>
      <c r="C81" s="1631">
        <v>286</v>
      </c>
      <c r="D81" s="1628" t="s">
        <v>978</v>
      </c>
      <c r="E81" s="1629" t="s">
        <v>978</v>
      </c>
      <c r="F81" s="1404" t="s">
        <v>975</v>
      </c>
      <c r="G81" s="1404" t="s">
        <v>976</v>
      </c>
      <c r="H81" s="1404">
        <v>2661233</v>
      </c>
      <c r="I81" s="1404"/>
      <c r="J81" s="1406"/>
      <c r="K81" s="1407"/>
      <c r="L81" s="1408">
        <v>150000</v>
      </c>
      <c r="M81" s="1408"/>
      <c r="N81" s="1409">
        <f>SUMIFS(srpro!$F$10:$F$3010,srpro!$B$10:$B$3010,ProHeader!C81)</f>
        <v>23625</v>
      </c>
      <c r="O81" s="1409">
        <f>SUMIFS(srpro!$E$10:$E$3010,srpro!$B$10:$B$3010,ProHeader!C81)</f>
        <v>589.32999999999993</v>
      </c>
      <c r="P81" s="1393"/>
      <c r="Q81" s="1393"/>
      <c r="R81" s="1393"/>
      <c r="S81" s="1393"/>
      <c r="T81" s="1393"/>
      <c r="U81" s="1393"/>
      <c r="V81" s="1393"/>
      <c r="W81" s="1393"/>
      <c r="X81" s="1394">
        <v>0.05</v>
      </c>
      <c r="Y81" s="1394">
        <v>0.15</v>
      </c>
      <c r="Z81" s="1394">
        <v>0</v>
      </c>
      <c r="AA81" s="1395">
        <f t="shared" si="14"/>
        <v>0</v>
      </c>
      <c r="AB81" s="1393" t="str">
        <f t="shared" ref="AB81:AB94" si="21">D81</f>
        <v>Omar Mohamed Abdullah Ahli</v>
      </c>
      <c r="AC81" s="1393">
        <f t="shared" ref="AC81:AC94" si="22">C81</f>
        <v>286</v>
      </c>
      <c r="AD81" s="1396">
        <f t="shared" ref="AD81:AD94" si="23">L81+M81</f>
        <v>150000</v>
      </c>
      <c r="AE81" s="1396">
        <f t="shared" ref="AE81:AE94" si="24">N81</f>
        <v>23625</v>
      </c>
      <c r="AF81" s="1396">
        <f t="shared" ref="AF81:AF94" si="25">O81</f>
        <v>589.32999999999993</v>
      </c>
      <c r="AG81" s="1397">
        <f t="shared" si="19"/>
        <v>3.7324233333333331E-3</v>
      </c>
      <c r="AH81" s="1397">
        <f t="shared" si="20"/>
        <v>0.14962500000000001</v>
      </c>
      <c r="AI81" s="1393" t="str">
        <f>IFERROR(VLOOKUP(C81,salesInv!$D$8:$AM$494,35,FALSE),"-")</f>
        <v>H/M/109/2024</v>
      </c>
      <c r="AJ81" s="1398">
        <f>IFERROR(VLOOKUP(C81,salesInv!$D$8:$AM$494,36,FALSE),"-")</f>
        <v>45549</v>
      </c>
      <c r="AK81" s="1396">
        <f>IFERROR(VLOOKUP(C81,salesInv!$D$8:$I$494,3,FALSE),"-")</f>
        <v>22500</v>
      </c>
      <c r="AL81" s="1396">
        <f>IFERROR(VLOOKUP(C81,salesInv!$D$8:$I$494,4,FALSE),"-")</f>
        <v>1125</v>
      </c>
      <c r="AM81" s="1396">
        <f>IFERROR(VLOOKUP(C81,salesInv!$D$8:$I$494,6,FALSE),"-")</f>
        <v>23625</v>
      </c>
      <c r="AN81" s="1396">
        <f>COUNTIF(salesInv!$D$8:$D$494,ProHeader!C81)</f>
        <v>2</v>
      </c>
      <c r="AO81" s="1396"/>
      <c r="AP81" s="1396"/>
      <c r="AQ81" s="1396"/>
      <c r="AR81" s="1396"/>
      <c r="AS81" s="1396"/>
      <c r="AT81" s="1396"/>
      <c r="AU81" s="1396"/>
      <c r="AV81" s="1396"/>
      <c r="AW81" s="1396"/>
      <c r="AX81" s="1396"/>
      <c r="AY81" s="1396"/>
      <c r="AZ81" s="1396"/>
    </row>
    <row r="82" spans="1:52" ht="15.75">
      <c r="A82" s="1420"/>
      <c r="B82" s="425"/>
      <c r="C82" s="1631">
        <v>287</v>
      </c>
      <c r="D82" s="1628" t="s">
        <v>5005</v>
      </c>
      <c r="E82" s="1629" t="s">
        <v>5005</v>
      </c>
      <c r="F82" s="1404" t="s">
        <v>5008</v>
      </c>
      <c r="G82" s="1404" t="s">
        <v>5007</v>
      </c>
      <c r="H82" s="1404">
        <v>6317174</v>
      </c>
      <c r="I82" s="1404" t="s">
        <v>785</v>
      </c>
      <c r="J82" s="1406" t="s">
        <v>5006</v>
      </c>
      <c r="K82" s="1407" t="s">
        <v>1094</v>
      </c>
      <c r="L82" s="1408">
        <v>420000</v>
      </c>
      <c r="M82" s="1408"/>
      <c r="N82" s="1409">
        <f>SUMIFS(srpro!$F$10:$F$3010,srpro!$B$10:$B$3010,ProHeader!C82)</f>
        <v>0</v>
      </c>
      <c r="O82" s="1409">
        <f>SUMIFS(srpro!$E$10:$E$3010,srpro!$B$10:$B$3010,ProHeader!C82)</f>
        <v>0</v>
      </c>
      <c r="P82" s="1393"/>
      <c r="Q82" s="1393"/>
      <c r="R82" s="1393"/>
      <c r="S82" s="1393"/>
      <c r="T82" s="1393"/>
      <c r="U82" s="1393"/>
      <c r="V82" s="1393"/>
      <c r="W82" s="1393"/>
      <c r="X82" s="1394">
        <v>0.05</v>
      </c>
      <c r="Y82" s="1394">
        <v>0.1</v>
      </c>
      <c r="Z82" s="1394">
        <v>0.05</v>
      </c>
      <c r="AA82" s="1395">
        <f t="shared" si="14"/>
        <v>21000</v>
      </c>
      <c r="AB82" s="1393" t="str">
        <f t="shared" si="21"/>
        <v>Yasser Ahmed Ibrahim Al Satry</v>
      </c>
      <c r="AC82" s="1393">
        <f t="shared" si="22"/>
        <v>287</v>
      </c>
      <c r="AD82" s="1396">
        <f>L82+M82</f>
        <v>420000</v>
      </c>
      <c r="AE82" s="1396">
        <f>N82</f>
        <v>0</v>
      </c>
      <c r="AF82" s="1396">
        <f t="shared" si="25"/>
        <v>0</v>
      </c>
      <c r="AG82" s="1397">
        <f t="shared" si="19"/>
        <v>0</v>
      </c>
      <c r="AH82" s="1397">
        <f t="shared" si="20"/>
        <v>0</v>
      </c>
      <c r="AI82" s="1393" t="str">
        <f>IFERROR(VLOOKUP(C82,salesInv!$D$8:$AM$494,35,FALSE),"-")</f>
        <v>H/M/123/2024</v>
      </c>
      <c r="AJ82" s="1398">
        <f>IFERROR(VLOOKUP(C82,salesInv!$D$8:$AM$494,36,FALSE),"-")</f>
        <v>45631</v>
      </c>
      <c r="AK82" s="1396">
        <f>IFERROR(VLOOKUP(C82,salesInv!$D$8:$I$494,3,FALSE),"-")</f>
        <v>42000</v>
      </c>
      <c r="AL82" s="1396">
        <f>IFERROR(VLOOKUP(C82,salesInv!$D$8:$I$494,4,FALSE),"-")</f>
        <v>2100</v>
      </c>
      <c r="AM82" s="1396">
        <f>IFERROR(VLOOKUP(C82,salesInv!$D$8:$I$494,6,FALSE),"-")</f>
        <v>0</v>
      </c>
      <c r="AN82" s="1396">
        <f>COUNTIF(salesInv!$D$8:$D$494,ProHeader!C82)</f>
        <v>1</v>
      </c>
      <c r="AO82" s="1396"/>
      <c r="AP82" s="1396"/>
      <c r="AQ82" s="1396"/>
      <c r="AR82" s="1396"/>
      <c r="AS82" s="1396"/>
      <c r="AT82" s="1396"/>
      <c r="AU82" s="1396"/>
      <c r="AV82" s="1396"/>
      <c r="AW82" s="1396"/>
      <c r="AX82" s="1396"/>
      <c r="AY82" s="1396"/>
      <c r="AZ82" s="1396"/>
    </row>
    <row r="83" spans="1:52" ht="15.75">
      <c r="A83" s="1420"/>
      <c r="B83" s="425"/>
      <c r="C83" s="1631">
        <v>288</v>
      </c>
      <c r="D83" s="1628" t="s">
        <v>5045</v>
      </c>
      <c r="E83" s="1629" t="s">
        <v>5045</v>
      </c>
      <c r="F83" s="1404" t="s">
        <v>326</v>
      </c>
      <c r="G83" s="1404" t="s">
        <v>5046</v>
      </c>
      <c r="H83" s="1404">
        <v>6720346</v>
      </c>
      <c r="I83" s="1404"/>
      <c r="J83" s="1406" t="s">
        <v>29</v>
      </c>
      <c r="K83" s="1407" t="s">
        <v>5047</v>
      </c>
      <c r="L83" s="1408">
        <v>75000</v>
      </c>
      <c r="M83" s="1408"/>
      <c r="N83" s="1409">
        <f>SUMIFS(srpro!$F$10:$F$3010,srpro!$B$10:$B$3010,ProHeader!C83)</f>
        <v>10000</v>
      </c>
      <c r="O83" s="1409">
        <f>SUMIFS(srpro!$E$10:$E$3010,srpro!$B$10:$B$3010,ProHeader!C83)</f>
        <v>0</v>
      </c>
      <c r="P83" s="1393"/>
      <c r="Q83" s="1393"/>
      <c r="R83" s="1393"/>
      <c r="S83" s="1393"/>
      <c r="T83" s="1393"/>
      <c r="U83" s="1393"/>
      <c r="V83" s="1393"/>
      <c r="W83" s="1393"/>
      <c r="X83" s="1394">
        <v>0.05</v>
      </c>
      <c r="Y83" s="1394">
        <v>0.2</v>
      </c>
      <c r="Z83" s="1394">
        <v>0</v>
      </c>
      <c r="AA83" s="1395">
        <f t="shared" si="14"/>
        <v>0</v>
      </c>
      <c r="AB83" s="1393" t="str">
        <f t="shared" si="21"/>
        <v>Hussan Ali Butti Mohammad Al Suwaidi</v>
      </c>
      <c r="AC83" s="1393">
        <f t="shared" si="22"/>
        <v>288</v>
      </c>
      <c r="AD83" s="1396">
        <f t="shared" si="23"/>
        <v>75000</v>
      </c>
      <c r="AE83" s="1396">
        <f t="shared" si="24"/>
        <v>10000</v>
      </c>
      <c r="AF83" s="1396">
        <f t="shared" si="25"/>
        <v>0</v>
      </c>
      <c r="AG83" s="1397">
        <f t="shared" si="19"/>
        <v>0</v>
      </c>
      <c r="AH83" s="1397">
        <f t="shared" si="20"/>
        <v>0.12666666666666668</v>
      </c>
      <c r="AI83" s="1393" t="str">
        <f>IFERROR(VLOOKUP(C83,salesInv!$D$8:$AM$494,35,FALSE),"-")</f>
        <v>H/M/124/2024</v>
      </c>
      <c r="AJ83" s="1398">
        <f>IFERROR(VLOOKUP(C83,salesInv!$D$8:$AM$494,36,FALSE),"-")</f>
        <v>45606</v>
      </c>
      <c r="AK83" s="1396">
        <f>IFERROR(VLOOKUP(C83,salesInv!$D$8:$I$494,3,FALSE),"-")</f>
        <v>15000</v>
      </c>
      <c r="AL83" s="1396">
        <f>IFERROR(VLOOKUP(C83,salesInv!$D$8:$I$494,4,FALSE),"-")</f>
        <v>750</v>
      </c>
      <c r="AM83" s="1396">
        <f>IFERROR(VLOOKUP(C83,salesInv!$D$8:$I$494,6,FALSE),"-")</f>
        <v>10000</v>
      </c>
      <c r="AN83" s="1396">
        <f>COUNTIF(salesInv!$D$8:$D$494,ProHeader!C83)</f>
        <v>1</v>
      </c>
      <c r="AO83" s="1396"/>
      <c r="AP83" s="1396"/>
      <c r="AQ83" s="1396"/>
      <c r="AR83" s="1396"/>
      <c r="AS83" s="1396"/>
      <c r="AT83" s="1396"/>
      <c r="AU83" s="1396"/>
      <c r="AV83" s="1396"/>
      <c r="AW83" s="1396"/>
      <c r="AX83" s="1396"/>
      <c r="AY83" s="1396"/>
      <c r="AZ83" s="1396"/>
    </row>
    <row r="84" spans="1:52" ht="15.75">
      <c r="A84" s="1420"/>
      <c r="B84" s="425"/>
      <c r="C84" s="1631">
        <v>289</v>
      </c>
      <c r="D84" s="1628" t="s">
        <v>5260</v>
      </c>
      <c r="E84" s="1628" t="s">
        <v>5260</v>
      </c>
      <c r="F84" s="1404" t="s">
        <v>5261</v>
      </c>
      <c r="G84" s="1404" t="s">
        <v>5262</v>
      </c>
      <c r="H84" s="1404">
        <v>4314295</v>
      </c>
      <c r="I84" s="1404"/>
      <c r="J84" s="1406" t="s">
        <v>5263</v>
      </c>
      <c r="K84" s="1406" t="s">
        <v>1249</v>
      </c>
      <c r="L84" s="1408">
        <v>131000</v>
      </c>
      <c r="M84" s="1408"/>
      <c r="N84" s="1409">
        <f>SUMIFS(srpro!$F$10:$F$3010,srpro!$B$10:$B$3010,ProHeader!C84)</f>
        <v>0</v>
      </c>
      <c r="O84" s="1409">
        <f>SUMIFS(srpro!$E$10:$E$3010,srpro!$B$10:$B$3010,ProHeader!C84)</f>
        <v>500</v>
      </c>
      <c r="P84" s="1393"/>
      <c r="Q84" s="1393"/>
      <c r="R84" s="1393"/>
      <c r="S84" s="1393"/>
      <c r="T84" s="1393"/>
      <c r="U84" s="1393"/>
      <c r="V84" s="1393"/>
      <c r="W84" s="1393" t="s">
        <v>5691</v>
      </c>
      <c r="X84" s="1394">
        <v>0.05</v>
      </c>
      <c r="Y84" s="1394">
        <v>0.15</v>
      </c>
      <c r="Z84" s="1394">
        <v>0</v>
      </c>
      <c r="AA84" s="1395">
        <f t="shared" si="14"/>
        <v>0</v>
      </c>
      <c r="AB84" s="1393" t="str">
        <f t="shared" si="21"/>
        <v>Mohamed Khamis Saad Mubarak Al Abdla</v>
      </c>
      <c r="AC84" s="1393">
        <f t="shared" si="22"/>
        <v>289</v>
      </c>
      <c r="AD84" s="1396">
        <f t="shared" si="23"/>
        <v>131000</v>
      </c>
      <c r="AE84" s="1396">
        <f t="shared" si="24"/>
        <v>0</v>
      </c>
      <c r="AF84" s="1396">
        <f t="shared" si="25"/>
        <v>500</v>
      </c>
      <c r="AG84" s="1397">
        <f t="shared" si="19"/>
        <v>3.6259541984732823E-3</v>
      </c>
      <c r="AH84" s="1397">
        <f t="shared" si="20"/>
        <v>0</v>
      </c>
      <c r="AI84" s="1393" t="str">
        <f>IFERROR(VLOOKUP(C84,salesInv!$D$8:$AM$494,35,FALSE),"-")</f>
        <v>-</v>
      </c>
      <c r="AJ84" s="1398" t="str">
        <f>IFERROR(VLOOKUP(C84,salesInv!$D$8:$AM$494,36,FALSE),"-")</f>
        <v>-</v>
      </c>
      <c r="AK84" s="1396" t="str">
        <f>IFERROR(VLOOKUP(C84,salesInv!$D$8:$I$494,3,FALSE),"-")</f>
        <v>-</v>
      </c>
      <c r="AL84" s="1396" t="str">
        <f>IFERROR(VLOOKUP(C84,salesInv!$D$8:$I$494,4,FALSE),"-")</f>
        <v>-</v>
      </c>
      <c r="AM84" s="1396" t="str">
        <f>IFERROR(VLOOKUP(C84,salesInv!$D$8:$I$494,6,FALSE),"-")</f>
        <v>-</v>
      </c>
      <c r="AN84" s="1396">
        <f>COUNTIF(salesInv!$D$8:$D$494,ProHeader!C84)</f>
        <v>0</v>
      </c>
      <c r="AO84" s="1396"/>
      <c r="AP84" s="1396"/>
      <c r="AQ84" s="1396"/>
      <c r="AR84" s="1396"/>
      <c r="AS84" s="1396"/>
      <c r="AT84" s="1396"/>
      <c r="AU84" s="1396"/>
      <c r="AV84" s="1396"/>
      <c r="AW84" s="1396"/>
      <c r="AX84" s="1396"/>
      <c r="AY84" s="1396"/>
      <c r="AZ84" s="1396"/>
    </row>
    <row r="85" spans="1:52" ht="15.75">
      <c r="A85" s="1420"/>
      <c r="B85" s="425"/>
      <c r="C85" s="1631">
        <v>290</v>
      </c>
      <c r="D85" s="1628" t="s">
        <v>5367</v>
      </c>
      <c r="E85" s="1628" t="s">
        <v>5367</v>
      </c>
      <c r="F85" s="1404" t="s">
        <v>5368</v>
      </c>
      <c r="G85" s="1404" t="s">
        <v>5348</v>
      </c>
      <c r="H85" s="1404">
        <v>71111015</v>
      </c>
      <c r="I85" s="1404"/>
      <c r="J85" s="1406" t="s">
        <v>5350</v>
      </c>
      <c r="K85" s="1406" t="s">
        <v>5349</v>
      </c>
      <c r="L85" s="1408">
        <v>135000</v>
      </c>
      <c r="M85" s="1408"/>
      <c r="N85" s="1409">
        <f>SUMIFS(srpro!$F$10:$F$3010,srpro!$B$10:$B$3010,ProHeader!C85)</f>
        <v>13500</v>
      </c>
      <c r="O85" s="1409">
        <f>SUMIFS(srpro!$E$10:$E$3010,srpro!$B$10:$B$3010,ProHeader!C85)</f>
        <v>7300</v>
      </c>
      <c r="P85" s="1393"/>
      <c r="Q85" s="1393"/>
      <c r="R85" s="1393"/>
      <c r="S85" s="1393"/>
      <c r="T85" s="1393"/>
      <c r="U85" s="1393"/>
      <c r="V85" s="1393"/>
      <c r="W85" s="1393"/>
      <c r="X85" s="1394">
        <v>0.05</v>
      </c>
      <c r="Y85" s="1394">
        <v>0.1</v>
      </c>
      <c r="Z85" s="1394">
        <v>0</v>
      </c>
      <c r="AA85" s="1395">
        <f>IFERROR(Z85*L85,0)</f>
        <v>0</v>
      </c>
      <c r="AB85" s="1393" t="str">
        <f>D85</f>
        <v>Ali Hassan Mohammed Ali AlShammar</v>
      </c>
      <c r="AC85" s="1393">
        <f>C85</f>
        <v>290</v>
      </c>
      <c r="AD85" s="1396">
        <f>L85+M85</f>
        <v>135000</v>
      </c>
      <c r="AE85" s="1396">
        <f>N85</f>
        <v>13500</v>
      </c>
      <c r="AF85" s="1396">
        <f>O85</f>
        <v>7300</v>
      </c>
      <c r="AG85" s="1397">
        <f>IFERROR((O85- (O85*5%))/(L85+M85),0)</f>
        <v>5.1370370370370372E-2</v>
      </c>
      <c r="AH85" s="1397">
        <f>IFERROR((N85-(N85*5%))/(L85+M85),0)</f>
        <v>9.5000000000000001E-2</v>
      </c>
      <c r="AI85" s="1393" t="str">
        <f>IFERROR(VLOOKUP(C85,salesInv!$D$8:$AM$494,35,FALSE),"-")</f>
        <v>H/M/130/2024</v>
      </c>
      <c r="AJ85" s="1398">
        <f>IFERROR(VLOOKUP(C85,salesInv!$D$8:$AM$494,36,FALSE),"-")</f>
        <v>45600</v>
      </c>
      <c r="AK85" s="1396">
        <f>IFERROR(VLOOKUP(C85,salesInv!$D$8:$I$494,3,FALSE),"-")</f>
        <v>13500</v>
      </c>
      <c r="AL85" s="1396">
        <f>IFERROR(VLOOKUP(C85,salesInv!$D$8:$I$494,4,FALSE),"-")</f>
        <v>675</v>
      </c>
      <c r="AM85" s="1396">
        <f>IFERROR(VLOOKUP(C85,salesInv!$D$8:$I$494,6,FALSE),"-")</f>
        <v>14175</v>
      </c>
      <c r="AN85" s="1396">
        <f>COUNTIF(salesInv!$D$8:$D$494,ProHeader!C85)</f>
        <v>1</v>
      </c>
      <c r="AO85" s="1396"/>
      <c r="AP85" s="1396"/>
      <c r="AQ85" s="1396"/>
      <c r="AR85" s="1396"/>
      <c r="AS85" s="1396"/>
      <c r="AT85" s="1396"/>
      <c r="AU85" s="1396"/>
      <c r="AV85" s="1396"/>
      <c r="AW85" s="1396"/>
      <c r="AX85" s="1396"/>
      <c r="AY85" s="1396"/>
      <c r="AZ85" s="1396"/>
    </row>
    <row r="86" spans="1:52" ht="15.75">
      <c r="A86" s="1420"/>
      <c r="B86" s="425"/>
      <c r="C86" s="1631">
        <v>291</v>
      </c>
      <c r="D86" s="1628" t="s">
        <v>5362</v>
      </c>
      <c r="E86" s="1629" t="s">
        <v>5362</v>
      </c>
      <c r="F86" s="1404" t="s">
        <v>326</v>
      </c>
      <c r="G86" s="1404" t="s">
        <v>5363</v>
      </c>
      <c r="H86" s="1404">
        <v>71110868</v>
      </c>
      <c r="I86" s="1404"/>
      <c r="J86" s="1406" t="s">
        <v>5364</v>
      </c>
      <c r="K86" s="1406" t="s">
        <v>5365</v>
      </c>
      <c r="L86" s="1408">
        <v>170000</v>
      </c>
      <c r="M86" s="1408"/>
      <c r="N86" s="1409">
        <f>SUMIFS(srpro!$F$10:$F$3010,srpro!$B$10:$B$3010,ProHeader!C86)</f>
        <v>34000</v>
      </c>
      <c r="O86" s="1409">
        <f>SUMIFS(srpro!$E$10:$E$3010,srpro!$B$10:$B$3010,ProHeader!C86)</f>
        <v>9000</v>
      </c>
      <c r="P86" s="1393"/>
      <c r="Q86" s="1393"/>
      <c r="R86" s="1393"/>
      <c r="S86" s="1393"/>
      <c r="T86" s="1393"/>
      <c r="U86" s="1393"/>
      <c r="V86" s="1393"/>
      <c r="W86" s="1393"/>
      <c r="X86" s="1394">
        <v>0.05</v>
      </c>
      <c r="Y86" s="1394">
        <v>0.1</v>
      </c>
      <c r="Z86" s="1394">
        <v>0</v>
      </c>
      <c r="AA86" s="1395">
        <f t="shared" si="14"/>
        <v>0</v>
      </c>
      <c r="AB86" s="1393" t="str">
        <f t="shared" si="21"/>
        <v>OBAID NASSER OBAID MAHMOOD ASHOOR</v>
      </c>
      <c r="AC86" s="1393">
        <f t="shared" si="22"/>
        <v>291</v>
      </c>
      <c r="AD86" s="1396">
        <f t="shared" si="23"/>
        <v>170000</v>
      </c>
      <c r="AE86" s="1396">
        <f t="shared" si="24"/>
        <v>34000</v>
      </c>
      <c r="AF86" s="1396">
        <f t="shared" si="25"/>
        <v>9000</v>
      </c>
      <c r="AG86" s="1397">
        <f t="shared" si="19"/>
        <v>5.0294117647058822E-2</v>
      </c>
      <c r="AH86" s="1397">
        <f t="shared" si="20"/>
        <v>0.19</v>
      </c>
      <c r="AI86" s="1393" t="str">
        <f>IFERROR(VLOOKUP(C86,salesInv!$D$8:$AM$494,35,FALSE),"-")</f>
        <v>H/M/131/2024</v>
      </c>
      <c r="AJ86" s="1398">
        <f>IFERROR(VLOOKUP(C86,salesInv!$D$8:$AM$494,36,FALSE),"-")</f>
        <v>45600</v>
      </c>
      <c r="AK86" s="1396">
        <f>IFERROR(VLOOKUP(C86,salesInv!$D$8:$I$494,3,FALSE),"-")</f>
        <v>34000</v>
      </c>
      <c r="AL86" s="1396">
        <f>IFERROR(VLOOKUP(C86,salesInv!$D$8:$I$494,4,FALSE),"-")</f>
        <v>1700</v>
      </c>
      <c r="AM86" s="1396">
        <f>IFERROR(VLOOKUP(C86,salesInv!$D$8:$I$494,6,FALSE),"-")</f>
        <v>35700</v>
      </c>
      <c r="AN86" s="1396">
        <f>COUNTIF(salesInv!$D$8:$D$494,ProHeader!C86)</f>
        <v>1</v>
      </c>
      <c r="AO86" s="1396"/>
      <c r="AP86" s="1396"/>
      <c r="AQ86" s="1396"/>
      <c r="AR86" s="1396"/>
      <c r="AS86" s="1396"/>
      <c r="AT86" s="1396"/>
      <c r="AU86" s="1396"/>
      <c r="AV86" s="1396"/>
      <c r="AW86" s="1396"/>
      <c r="AX86" s="1396"/>
      <c r="AY86" s="1396"/>
      <c r="AZ86" s="1396"/>
    </row>
    <row r="87" spans="1:52" ht="15.75">
      <c r="A87" s="1420"/>
      <c r="B87" s="425"/>
      <c r="C87" s="1631">
        <v>292</v>
      </c>
      <c r="D87" s="1628" t="s">
        <v>5586</v>
      </c>
      <c r="E87" s="1628" t="s">
        <v>5586</v>
      </c>
      <c r="F87" s="1404" t="s">
        <v>5587</v>
      </c>
      <c r="G87" s="1404" t="s">
        <v>5588</v>
      </c>
      <c r="H87" s="1404">
        <v>9130970</v>
      </c>
      <c r="I87" s="1404"/>
      <c r="J87" s="1406" t="s">
        <v>5589</v>
      </c>
      <c r="K87" s="1407" t="s">
        <v>5590</v>
      </c>
      <c r="L87" s="1408">
        <v>225000</v>
      </c>
      <c r="M87" s="1408"/>
      <c r="N87" s="1409">
        <f>SUMIFS(srpro!$F$10:$F$3010,srpro!$B$10:$B$3010,ProHeader!C87)</f>
        <v>22500</v>
      </c>
      <c r="O87" s="1409">
        <f>SUMIFS(srpro!$E$10:$E$3010,srpro!$B$10:$B$3010,ProHeader!C87)</f>
        <v>11100</v>
      </c>
      <c r="P87" s="1393"/>
      <c r="Q87" s="1393"/>
      <c r="R87" s="1393"/>
      <c r="S87" s="1393"/>
      <c r="T87" s="1393"/>
      <c r="U87" s="1393"/>
      <c r="V87" s="1393"/>
      <c r="W87" s="1393"/>
      <c r="X87" s="1394">
        <v>0.05</v>
      </c>
      <c r="Y87" s="1394">
        <v>0.2</v>
      </c>
      <c r="Z87" s="1394">
        <v>0</v>
      </c>
      <c r="AA87" s="1395">
        <f t="shared" si="14"/>
        <v>0</v>
      </c>
      <c r="AB87" s="1393" t="str">
        <f t="shared" si="21"/>
        <v>ISMAIL MOHAMMAD ISMAIL ABDULGHAFOOR ALTAMIMI</v>
      </c>
      <c r="AC87" s="1393">
        <f t="shared" si="22"/>
        <v>292</v>
      </c>
      <c r="AD87" s="1396">
        <f t="shared" si="23"/>
        <v>225000</v>
      </c>
      <c r="AE87" s="1396">
        <f t="shared" si="24"/>
        <v>22500</v>
      </c>
      <c r="AF87" s="1396">
        <f t="shared" si="25"/>
        <v>11100</v>
      </c>
      <c r="AG87" s="1397">
        <f t="shared" si="19"/>
        <v>4.6866666666666668E-2</v>
      </c>
      <c r="AH87" s="1397">
        <f t="shared" si="20"/>
        <v>9.5000000000000001E-2</v>
      </c>
      <c r="AI87" s="1393" t="str">
        <f>IFERROR(VLOOKUP(C87,salesInv!$D$8:$AM$494,35,FALSE),"-")</f>
        <v>H/M/136/2024</v>
      </c>
      <c r="AJ87" s="1398">
        <f>IFERROR(VLOOKUP(C87,salesInv!$D$8:$AM$494,36,FALSE),"-")</f>
        <v>45610</v>
      </c>
      <c r="AK87" s="1396">
        <f>IFERROR(VLOOKUP(C87,salesInv!$D$8:$I$494,3,FALSE),"-")</f>
        <v>22500</v>
      </c>
      <c r="AL87" s="1396">
        <f>IFERROR(VLOOKUP(C87,salesInv!$D$8:$I$494,4,FALSE),"-")</f>
        <v>1125</v>
      </c>
      <c r="AM87" s="1396">
        <f>IFERROR(VLOOKUP(C87,salesInv!$D$8:$I$494,6,FALSE),"-")</f>
        <v>23625</v>
      </c>
      <c r="AN87" s="1396">
        <f>COUNTIF(salesInv!$D$8:$D$494,ProHeader!C87)</f>
        <v>2</v>
      </c>
      <c r="AO87" s="1396">
        <v>45609</v>
      </c>
      <c r="AP87" s="1396"/>
      <c r="AQ87" s="1396"/>
      <c r="AR87" s="1396"/>
      <c r="AS87" s="1396"/>
      <c r="AT87" s="1396"/>
      <c r="AU87" s="1396"/>
      <c r="AV87" s="1396"/>
      <c r="AW87" s="1396"/>
      <c r="AX87" s="1396"/>
      <c r="AY87" s="1396"/>
      <c r="AZ87" s="1396"/>
    </row>
    <row r="88" spans="1:52" ht="15.75">
      <c r="A88" s="1420"/>
      <c r="B88" s="425"/>
      <c r="C88" s="1631">
        <v>293</v>
      </c>
      <c r="D88" s="1628" t="s">
        <v>5610</v>
      </c>
      <c r="E88" s="1629" t="s">
        <v>5610</v>
      </c>
      <c r="F88" s="1404" t="s">
        <v>5600</v>
      </c>
      <c r="G88" s="1404" t="s">
        <v>5601</v>
      </c>
      <c r="H88" s="1404" t="s">
        <v>4809</v>
      </c>
      <c r="I88" s="1404"/>
      <c r="J88" s="1406" t="s">
        <v>5602</v>
      </c>
      <c r="K88" s="1407" t="s">
        <v>5603</v>
      </c>
      <c r="L88" s="1408">
        <v>410000</v>
      </c>
      <c r="M88" s="1408">
        <v>95000</v>
      </c>
      <c r="N88" s="1409">
        <f>SUMIFS(srpro!$F$10:$F$3010,srpro!$B$10:$B$3010,ProHeader!C88)</f>
        <v>423000</v>
      </c>
      <c r="O88" s="1409">
        <f>SUMIFS(srpro!$E$10:$E$3010,srpro!$B$10:$B$3010,ProHeader!C88)</f>
        <v>113224.33504999999</v>
      </c>
      <c r="P88" s="1393"/>
      <c r="Q88" s="1393"/>
      <c r="R88" s="1393"/>
      <c r="S88" s="1393"/>
      <c r="T88" s="1393"/>
      <c r="U88" s="1393"/>
      <c r="V88" s="1393"/>
      <c r="W88" s="1393" t="s">
        <v>5799</v>
      </c>
      <c r="X88" s="1394">
        <v>0</v>
      </c>
      <c r="Y88" s="1394">
        <v>0.8</v>
      </c>
      <c r="Z88" s="1394">
        <v>0.1</v>
      </c>
      <c r="AA88" s="1395">
        <f t="shared" si="14"/>
        <v>41000</v>
      </c>
      <c r="AB88" s="1393" t="str">
        <f t="shared" si="21"/>
        <v>Federal  Youth  Authority  - Sharjah</v>
      </c>
      <c r="AC88" s="1393">
        <f t="shared" si="22"/>
        <v>293</v>
      </c>
      <c r="AD88" s="1396">
        <f t="shared" si="23"/>
        <v>505000</v>
      </c>
      <c r="AE88" s="1396">
        <f t="shared" si="24"/>
        <v>423000</v>
      </c>
      <c r="AF88" s="1396">
        <f t="shared" si="25"/>
        <v>113224.33504999999</v>
      </c>
      <c r="AG88" s="1397">
        <f t="shared" si="19"/>
        <v>0.21299627385643563</v>
      </c>
      <c r="AH88" s="1397">
        <f t="shared" si="20"/>
        <v>0.79574257425742578</v>
      </c>
      <c r="AI88" s="1393" t="str">
        <f>IFERROR(VLOOKUP(C88,salesInv!$D$8:$AM$494,35,FALSE),"-")</f>
        <v>H/M/137/2024</v>
      </c>
      <c r="AJ88" s="1398">
        <f>IFERROR(VLOOKUP(C88,salesInv!$D$8:$AM$494,36,FALSE),"-")</f>
        <v>45615</v>
      </c>
      <c r="AK88" s="1396">
        <f>IFERROR(VLOOKUP(C88,salesInv!$D$8:$I$494,3,FALSE),"-")</f>
        <v>328000</v>
      </c>
      <c r="AL88" s="1396">
        <f>IFERROR(VLOOKUP(C88,salesInv!$D$8:$I$494,4,FALSE),"-")</f>
        <v>16400</v>
      </c>
      <c r="AM88" s="1396">
        <f>IFERROR(VLOOKUP(C88,salesInv!$D$8:$I$494,6,FALSE),"-")</f>
        <v>328000</v>
      </c>
      <c r="AN88" s="1396">
        <f>COUNTIF(salesInv!$D$8:$D$494,ProHeader!C88)</f>
        <v>3</v>
      </c>
      <c r="AO88" s="1396">
        <v>45610</v>
      </c>
      <c r="AP88" s="1396"/>
      <c r="AQ88" s="1396"/>
      <c r="AR88" s="1396"/>
      <c r="AS88" s="1396"/>
      <c r="AT88" s="1396"/>
      <c r="AU88" s="1396"/>
      <c r="AV88" s="1396"/>
      <c r="AW88" s="1396"/>
      <c r="AX88" s="1396"/>
      <c r="AY88" s="1396"/>
      <c r="AZ88" s="1396"/>
    </row>
    <row r="89" spans="1:52" ht="15.75">
      <c r="A89" s="1420"/>
      <c r="B89" s="425"/>
      <c r="C89" s="1631">
        <v>294</v>
      </c>
      <c r="D89" s="1628" t="s">
        <v>5732</v>
      </c>
      <c r="E89" s="1629" t="s">
        <v>5732</v>
      </c>
      <c r="F89" s="1404"/>
      <c r="G89" s="1404"/>
      <c r="H89" s="1404"/>
      <c r="I89" s="1404"/>
      <c r="J89" s="1406"/>
      <c r="K89" s="1407"/>
      <c r="L89" s="1408"/>
      <c r="M89" s="1408"/>
      <c r="N89" s="1409">
        <f>SUMIFS(srpro!$F$10:$F$3010,srpro!$B$10:$B$3010,ProHeader!C89)</f>
        <v>2500</v>
      </c>
      <c r="O89" s="1409">
        <f>SUMIFS(srpro!$E$10:$E$3010,srpro!$B$10:$B$3010,ProHeader!C89)</f>
        <v>0</v>
      </c>
      <c r="P89" s="1393"/>
      <c r="Q89" s="1393"/>
      <c r="R89" s="1393"/>
      <c r="S89" s="1393"/>
      <c r="T89" s="1393"/>
      <c r="U89" s="1393"/>
      <c r="V89" s="1393"/>
      <c r="W89" s="1393"/>
      <c r="X89" s="1394"/>
      <c r="Y89" s="1394"/>
      <c r="Z89" s="1394"/>
      <c r="AA89" s="1395">
        <f t="shared" si="14"/>
        <v>0</v>
      </c>
      <c r="AB89" s="1393" t="str">
        <f t="shared" si="21"/>
        <v xml:space="preserve">Maintenance - General </v>
      </c>
      <c r="AC89" s="1393">
        <f t="shared" si="22"/>
        <v>294</v>
      </c>
      <c r="AD89" s="1396">
        <f t="shared" si="23"/>
        <v>0</v>
      </c>
      <c r="AE89" s="1396">
        <f t="shared" si="24"/>
        <v>2500</v>
      </c>
      <c r="AF89" s="1396">
        <f t="shared" si="25"/>
        <v>0</v>
      </c>
      <c r="AG89" s="1397">
        <f t="shared" si="19"/>
        <v>0</v>
      </c>
      <c r="AH89" s="1397">
        <f t="shared" si="20"/>
        <v>0</v>
      </c>
      <c r="AI89" s="1393" t="str">
        <f>IFERROR(VLOOKUP(C89,salesInv!$D$8:$AM$494,35,FALSE),"-")</f>
        <v>-</v>
      </c>
      <c r="AJ89" s="1398" t="str">
        <f>IFERROR(VLOOKUP(C89,salesInv!$D$8:$AM$494,36,FALSE),"-")</f>
        <v>-</v>
      </c>
      <c r="AK89" s="1396" t="str">
        <f>IFERROR(VLOOKUP(C89,salesInv!$D$8:$I$494,3,FALSE),"-")</f>
        <v>-</v>
      </c>
      <c r="AL89" s="1396" t="str">
        <f>IFERROR(VLOOKUP(C89,salesInv!$D$8:$I$494,4,FALSE),"-")</f>
        <v>-</v>
      </c>
      <c r="AM89" s="1396" t="str">
        <f>IFERROR(VLOOKUP(C89,salesInv!$D$8:$I$494,6,FALSE),"-")</f>
        <v>-</v>
      </c>
      <c r="AN89" s="1396">
        <f>COUNTIF(salesInv!$D$8:$D$494,ProHeader!C89)</f>
        <v>0</v>
      </c>
      <c r="AO89" s="1396"/>
      <c r="AP89" s="1396"/>
      <c r="AQ89" s="1396"/>
      <c r="AR89" s="1396"/>
      <c r="AS89" s="1396"/>
      <c r="AT89" s="1396"/>
      <c r="AU89" s="1396"/>
      <c r="AV89" s="1396"/>
      <c r="AW89" s="1396"/>
      <c r="AX89" s="1396"/>
      <c r="AY89" s="1396"/>
      <c r="AZ89" s="1396"/>
    </row>
    <row r="90" spans="1:52" ht="15.75">
      <c r="A90" s="1420"/>
      <c r="B90" s="425"/>
      <c r="C90" s="1631">
        <v>295</v>
      </c>
      <c r="D90" s="1628" t="s">
        <v>5852</v>
      </c>
      <c r="E90" s="1629" t="s">
        <v>5852</v>
      </c>
      <c r="F90" s="1404" t="s">
        <v>5853</v>
      </c>
      <c r="G90" s="1404" t="s">
        <v>5854</v>
      </c>
      <c r="H90" s="1404">
        <v>2827623</v>
      </c>
      <c r="I90" s="1404"/>
      <c r="J90" s="1406" t="s">
        <v>5855</v>
      </c>
      <c r="K90" s="1407" t="s">
        <v>5856</v>
      </c>
      <c r="L90" s="1408">
        <v>165000</v>
      </c>
      <c r="M90" s="1408"/>
      <c r="N90" s="1409">
        <f>SUMIFS(srpro!$F$10:$F$3010,srpro!$B$10:$B$3010,ProHeader!C90)</f>
        <v>0</v>
      </c>
      <c r="O90" s="1409">
        <f>SUMIFS(srpro!$E$10:$E$3010,srpro!$B$10:$B$3010,ProHeader!C90)</f>
        <v>0</v>
      </c>
      <c r="P90" s="1393"/>
      <c r="Q90" s="1393"/>
      <c r="R90" s="1393"/>
      <c r="S90" s="1393"/>
      <c r="T90" s="1393"/>
      <c r="U90" s="1393"/>
      <c r="V90" s="1393"/>
      <c r="W90" s="1393" t="s">
        <v>430</v>
      </c>
      <c r="X90" s="1394">
        <v>0.05</v>
      </c>
      <c r="Y90" s="1394">
        <v>0.1</v>
      </c>
      <c r="Z90" s="1394">
        <v>0</v>
      </c>
      <c r="AA90" s="1395">
        <f t="shared" si="14"/>
        <v>0</v>
      </c>
      <c r="AB90" s="1393" t="str">
        <f t="shared" si="21"/>
        <v>Rashid Ateeq Salim Balabd Al Ketbi - dynamic</v>
      </c>
      <c r="AC90" s="1393">
        <f t="shared" si="22"/>
        <v>295</v>
      </c>
      <c r="AD90" s="1396">
        <f t="shared" si="23"/>
        <v>165000</v>
      </c>
      <c r="AE90" s="1396">
        <f t="shared" si="24"/>
        <v>0</v>
      </c>
      <c r="AF90" s="1396">
        <f t="shared" si="25"/>
        <v>0</v>
      </c>
      <c r="AG90" s="1397">
        <f t="shared" si="19"/>
        <v>0</v>
      </c>
      <c r="AH90" s="1397">
        <f t="shared" si="20"/>
        <v>0</v>
      </c>
      <c r="AI90" s="1393" t="str">
        <f>IFERROR(VLOOKUP(C90,salesInv!$D$8:$AM$494,35,FALSE),"-")</f>
        <v>H/M/141/2024</v>
      </c>
      <c r="AJ90" s="1398">
        <f>IFERROR(VLOOKUP(C90,salesInv!$D$8:$AM$494,36,FALSE),"-")</f>
        <v>45624</v>
      </c>
      <c r="AK90" s="1396">
        <f>IFERROR(VLOOKUP(C90,salesInv!$D$8:$I$494,3,FALSE),"-")</f>
        <v>16500</v>
      </c>
      <c r="AL90" s="1396">
        <f>IFERROR(VLOOKUP(C90,salesInv!$D$8:$I$494,4,FALSE),"-")</f>
        <v>825</v>
      </c>
      <c r="AM90" s="1396">
        <f>IFERROR(VLOOKUP(C90,salesInv!$D$8:$I$494,6,FALSE),"-")</f>
        <v>0</v>
      </c>
      <c r="AN90" s="1396">
        <f>COUNTIF(salesInv!$D$8:$D$494,ProHeader!C90)</f>
        <v>1</v>
      </c>
      <c r="AO90" s="1396">
        <v>45624</v>
      </c>
      <c r="AP90" s="1396"/>
      <c r="AQ90" s="1396"/>
      <c r="AR90" s="1396"/>
      <c r="AS90" s="1396"/>
      <c r="AT90" s="1396"/>
      <c r="AU90" s="1396"/>
      <c r="AV90" s="1396"/>
      <c r="AW90" s="1396"/>
      <c r="AX90" s="1396"/>
      <c r="AY90" s="1396"/>
      <c r="AZ90" s="1396"/>
    </row>
    <row r="91" spans="1:52" ht="15.75">
      <c r="A91" s="1420"/>
      <c r="B91" s="425"/>
      <c r="C91" s="1631">
        <v>296</v>
      </c>
      <c r="D91" s="1628" t="s">
        <v>5941</v>
      </c>
      <c r="E91" s="1629" t="s">
        <v>5941</v>
      </c>
      <c r="F91" s="1404" t="s">
        <v>5933</v>
      </c>
      <c r="G91" s="1404" t="s">
        <v>5934</v>
      </c>
      <c r="H91" s="1404">
        <v>7118549</v>
      </c>
      <c r="I91" s="1404"/>
      <c r="J91" s="1406" t="s">
        <v>5935</v>
      </c>
      <c r="K91" s="1407" t="s">
        <v>5936</v>
      </c>
      <c r="L91" s="1408">
        <v>155000</v>
      </c>
      <c r="M91" s="1408"/>
      <c r="N91" s="1409">
        <f>SUMIFS(srpro!$F$10:$F$3010,srpro!$B$10:$B$3010,ProHeader!C91)</f>
        <v>0</v>
      </c>
      <c r="O91" s="1409">
        <f>SUMIFS(srpro!$E$10:$E$3010,srpro!$B$10:$B$3010,ProHeader!C91)</f>
        <v>0</v>
      </c>
      <c r="P91" s="1393"/>
      <c r="Q91" s="1393"/>
      <c r="R91" s="1393"/>
      <c r="S91" s="1393"/>
      <c r="T91" s="1393"/>
      <c r="U91" s="1393"/>
      <c r="V91" s="1393"/>
      <c r="W91" s="1393" t="s">
        <v>430</v>
      </c>
      <c r="X91" s="1394">
        <v>0.05</v>
      </c>
      <c r="Y91" s="1394">
        <v>0.2</v>
      </c>
      <c r="Z91" s="1394">
        <v>0</v>
      </c>
      <c r="AA91" s="1395">
        <f t="shared" si="14"/>
        <v>0</v>
      </c>
      <c r="AB91" s="1393" t="str">
        <f t="shared" si="21"/>
        <v>Golden Horse Technical Service LLC        // Khalid Juma Mubarak Al Suwaidi</v>
      </c>
      <c r="AC91" s="1393">
        <f t="shared" si="22"/>
        <v>296</v>
      </c>
      <c r="AD91" s="1396">
        <f t="shared" si="23"/>
        <v>155000</v>
      </c>
      <c r="AE91" s="1396">
        <f t="shared" si="24"/>
        <v>0</v>
      </c>
      <c r="AF91" s="1396">
        <f t="shared" si="25"/>
        <v>0</v>
      </c>
      <c r="AG91" s="1397">
        <f t="shared" si="19"/>
        <v>0</v>
      </c>
      <c r="AH91" s="1397">
        <f t="shared" si="20"/>
        <v>0</v>
      </c>
      <c r="AI91" s="1393" t="str">
        <f>IFERROR(VLOOKUP(C91,salesInv!$D$8:$AM$494,35,FALSE),"-")</f>
        <v>H/M/142/2024</v>
      </c>
      <c r="AJ91" s="1398">
        <f>IFERROR(VLOOKUP(C91,salesInv!$D$8:$AM$494,36,FALSE),"-")</f>
        <v>45626</v>
      </c>
      <c r="AK91" s="1396">
        <f>IFERROR(VLOOKUP(C91,salesInv!$D$8:$I$494,3,FALSE),"-")</f>
        <v>31000</v>
      </c>
      <c r="AL91" s="1396">
        <f>IFERROR(VLOOKUP(C91,salesInv!$D$8:$I$494,4,FALSE),"-")</f>
        <v>1550</v>
      </c>
      <c r="AM91" s="1396">
        <f>IFERROR(VLOOKUP(C91,salesInv!$D$8:$I$494,6,FALSE),"-")</f>
        <v>0</v>
      </c>
      <c r="AN91" s="1396">
        <f>COUNTIF(salesInv!$D$8:$D$494,ProHeader!C91)</f>
        <v>1</v>
      </c>
      <c r="AO91" s="1396">
        <v>45626</v>
      </c>
      <c r="AP91" s="1396"/>
      <c r="AQ91" s="1396"/>
      <c r="AR91" s="1396"/>
      <c r="AS91" s="1396"/>
      <c r="AT91" s="1396"/>
      <c r="AU91" s="1396"/>
      <c r="AV91" s="1396"/>
      <c r="AW91" s="1396"/>
      <c r="AX91" s="1396"/>
      <c r="AY91" s="1396"/>
      <c r="AZ91" s="1396"/>
    </row>
    <row r="92" spans="1:52" ht="15.75">
      <c r="A92" s="1420"/>
      <c r="B92" s="425"/>
      <c r="C92" s="1631">
        <v>297</v>
      </c>
      <c r="D92" s="1628" t="s">
        <v>6035</v>
      </c>
      <c r="E92" s="1628" t="s">
        <v>6035</v>
      </c>
      <c r="F92" s="1404" t="s">
        <v>6037</v>
      </c>
      <c r="G92" s="1404" t="s">
        <v>6036</v>
      </c>
      <c r="H92" s="1404" t="s">
        <v>6038</v>
      </c>
      <c r="I92" s="1404"/>
      <c r="J92" s="1406" t="s">
        <v>6039</v>
      </c>
      <c r="K92" s="1407" t="s">
        <v>6040</v>
      </c>
      <c r="L92" s="1408">
        <v>90000</v>
      </c>
      <c r="M92" s="1408"/>
      <c r="N92" s="1409"/>
      <c r="O92" s="1409"/>
      <c r="P92" s="1393"/>
      <c r="Q92" s="1393"/>
      <c r="R92" s="1393"/>
      <c r="S92" s="1393"/>
      <c r="T92" s="1393"/>
      <c r="U92" s="1393"/>
      <c r="V92" s="1393"/>
      <c r="W92" s="1393" t="s">
        <v>6041</v>
      </c>
      <c r="X92" s="1394">
        <v>0.05</v>
      </c>
      <c r="Y92" s="1394">
        <v>0</v>
      </c>
      <c r="Z92" s="1394">
        <v>0</v>
      </c>
      <c r="AA92" s="1395">
        <f t="shared" si="14"/>
        <v>0</v>
      </c>
      <c r="AB92" s="1393" t="str">
        <f t="shared" si="21"/>
        <v>RASHID AL MARZOUQI</v>
      </c>
      <c r="AC92" s="1393">
        <f t="shared" si="22"/>
        <v>297</v>
      </c>
      <c r="AD92" s="1396">
        <f t="shared" si="23"/>
        <v>90000</v>
      </c>
      <c r="AE92" s="1396">
        <f t="shared" si="24"/>
        <v>0</v>
      </c>
      <c r="AF92" s="1396">
        <f t="shared" si="25"/>
        <v>0</v>
      </c>
      <c r="AG92" s="1397">
        <f t="shared" si="19"/>
        <v>0</v>
      </c>
      <c r="AH92" s="1397">
        <f t="shared" si="20"/>
        <v>0</v>
      </c>
      <c r="AI92" s="1393" t="str">
        <f>IFERROR(VLOOKUP(C92,salesInv!$D$8:$AM$494,35,FALSE),"-")</f>
        <v>-</v>
      </c>
      <c r="AJ92" s="1398" t="str">
        <f>IFERROR(VLOOKUP(C92,salesInv!$D$8:$AM$494,36,FALSE),"-")</f>
        <v>-</v>
      </c>
      <c r="AK92" s="1396" t="str">
        <f>IFERROR(VLOOKUP(C92,salesInv!$D$8:$I$494,3,FALSE),"-")</f>
        <v>-</v>
      </c>
      <c r="AL92" s="1396" t="str">
        <f>IFERROR(VLOOKUP(C92,salesInv!$D$8:$I$494,4,FALSE),"-")</f>
        <v>-</v>
      </c>
      <c r="AM92" s="1396" t="str">
        <f>IFERROR(VLOOKUP(C92,salesInv!$D$8:$I$494,6,FALSE),"-")</f>
        <v>-</v>
      </c>
      <c r="AN92" s="1396">
        <f>COUNTIF(salesInv!$D$8:$D$494,ProHeader!C92)</f>
        <v>0</v>
      </c>
      <c r="AO92" s="1396"/>
      <c r="AP92" s="1396"/>
      <c r="AQ92" s="1396"/>
      <c r="AR92" s="1396"/>
      <c r="AS92" s="1396"/>
      <c r="AT92" s="1396"/>
      <c r="AU92" s="1396"/>
      <c r="AV92" s="1396"/>
      <c r="AW92" s="1396"/>
      <c r="AX92" s="1396"/>
      <c r="AY92" s="1396"/>
      <c r="AZ92" s="1396"/>
    </row>
    <row r="93" spans="1:52" ht="15.75">
      <c r="A93" s="1420"/>
      <c r="B93" s="425"/>
      <c r="C93" s="1631">
        <v>298</v>
      </c>
      <c r="D93" s="1628" t="s">
        <v>6042</v>
      </c>
      <c r="E93" s="1628" t="s">
        <v>6042</v>
      </c>
      <c r="F93" s="1404"/>
      <c r="G93" s="1404"/>
      <c r="H93" s="1404"/>
      <c r="I93" s="1404"/>
      <c r="J93" s="1406"/>
      <c r="K93" s="1407"/>
      <c r="L93" s="1408"/>
      <c r="M93" s="1408"/>
      <c r="N93" s="1409"/>
      <c r="O93" s="1409"/>
      <c r="P93" s="1393"/>
      <c r="Q93" s="1393"/>
      <c r="R93" s="1393"/>
      <c r="S93" s="1393"/>
      <c r="T93" s="1393"/>
      <c r="U93" s="1393"/>
      <c r="V93" s="1393"/>
      <c r="W93" s="1393"/>
      <c r="X93" s="1394"/>
      <c r="Y93" s="1394"/>
      <c r="Z93" s="1394"/>
      <c r="AA93" s="1395">
        <f t="shared" si="14"/>
        <v>0</v>
      </c>
      <c r="AB93" s="1393" t="str">
        <f t="shared" si="21"/>
        <v>Federal Youth Authority  - Fujairah   GIRLS HUB</v>
      </c>
      <c r="AC93" s="1393">
        <f t="shared" si="22"/>
        <v>298</v>
      </c>
      <c r="AD93" s="1396">
        <f t="shared" si="23"/>
        <v>0</v>
      </c>
      <c r="AE93" s="1396">
        <f t="shared" si="24"/>
        <v>0</v>
      </c>
      <c r="AF93" s="1396">
        <f t="shared" si="25"/>
        <v>0</v>
      </c>
      <c r="AG93" s="1397">
        <f t="shared" si="19"/>
        <v>0</v>
      </c>
      <c r="AH93" s="1397">
        <f t="shared" si="20"/>
        <v>0</v>
      </c>
      <c r="AI93" s="1393" t="str">
        <f>IFERROR(VLOOKUP(C93,salesInv!$D$8:$AM$494,35,FALSE),"-")</f>
        <v>-</v>
      </c>
      <c r="AJ93" s="1398" t="str">
        <f>IFERROR(VLOOKUP(C93,salesInv!$D$8:$AM$494,36,FALSE),"-")</f>
        <v>-</v>
      </c>
      <c r="AK93" s="1396" t="str">
        <f>IFERROR(VLOOKUP(C93,salesInv!$D$8:$I$494,3,FALSE),"-")</f>
        <v>-</v>
      </c>
      <c r="AL93" s="1396" t="str">
        <f>IFERROR(VLOOKUP(C93,salesInv!$D$8:$I$494,4,FALSE),"-")</f>
        <v>-</v>
      </c>
      <c r="AM93" s="1396" t="str">
        <f>IFERROR(VLOOKUP(C93,salesInv!$D$8:$I$494,6,FALSE),"-")</f>
        <v>-</v>
      </c>
      <c r="AN93" s="1396">
        <f>COUNTIF(salesInv!$D$8:$D$494,ProHeader!C93)</f>
        <v>0</v>
      </c>
      <c r="AO93" s="1396"/>
      <c r="AP93" s="1396"/>
      <c r="AQ93" s="1396"/>
      <c r="AR93" s="1396"/>
      <c r="AS93" s="1396"/>
      <c r="AT93" s="1396"/>
      <c r="AU93" s="1396"/>
      <c r="AV93" s="1396"/>
      <c r="AW93" s="1396"/>
      <c r="AX93" s="1396"/>
      <c r="AY93" s="1396"/>
      <c r="AZ93" s="1396"/>
    </row>
    <row r="94" spans="1:52">
      <c r="A94" s="1420"/>
      <c r="B94" s="425"/>
      <c r="C94" s="1401"/>
      <c r="D94" s="1402"/>
      <c r="E94" s="1403"/>
      <c r="F94" s="1404"/>
      <c r="G94" s="1404"/>
      <c r="H94" s="1404"/>
      <c r="I94" s="1404"/>
      <c r="J94" s="1406"/>
      <c r="K94" s="1407"/>
      <c r="L94" s="1408"/>
      <c r="M94" s="1408"/>
      <c r="N94" s="1409"/>
      <c r="O94" s="1409"/>
      <c r="P94" s="1393"/>
      <c r="Q94" s="1393"/>
      <c r="R94" s="1393"/>
      <c r="S94" s="1393"/>
      <c r="T94" s="1393"/>
      <c r="U94" s="1393"/>
      <c r="V94" s="1393"/>
      <c r="W94" s="1393"/>
      <c r="X94" s="1394"/>
      <c r="Y94" s="1394"/>
      <c r="Z94" s="1394"/>
      <c r="AA94" s="1395">
        <f t="shared" si="14"/>
        <v>0</v>
      </c>
      <c r="AB94" s="1393">
        <f t="shared" si="21"/>
        <v>0</v>
      </c>
      <c r="AC94" s="1393">
        <f t="shared" si="22"/>
        <v>0</v>
      </c>
      <c r="AD94" s="1396">
        <f t="shared" si="23"/>
        <v>0</v>
      </c>
      <c r="AE94" s="1396">
        <f t="shared" si="24"/>
        <v>0</v>
      </c>
      <c r="AF94" s="1396">
        <f t="shared" si="25"/>
        <v>0</v>
      </c>
      <c r="AG94" s="1397">
        <f t="shared" si="19"/>
        <v>0</v>
      </c>
      <c r="AH94" s="1397">
        <f t="shared" si="20"/>
        <v>0</v>
      </c>
      <c r="AI94" s="1393" t="str">
        <f>IFERROR(VLOOKUP(C94,salesInv!$D$8:$AM$494,35,FALSE),"-")</f>
        <v>-</v>
      </c>
      <c r="AJ94" s="1398" t="str">
        <f>IFERROR(VLOOKUP(C94,salesInv!$D$8:$AM$494,36,FALSE),"-")</f>
        <v>-</v>
      </c>
      <c r="AK94" s="1396" t="str">
        <f>IFERROR(VLOOKUP(C94,salesInv!$D$8:$I$494,3,FALSE),"-")</f>
        <v>-</v>
      </c>
      <c r="AL94" s="1396" t="str">
        <f>IFERROR(VLOOKUP(C94,salesInv!$D$8:$I$494,4,FALSE),"-")</f>
        <v>-</v>
      </c>
      <c r="AM94" s="1396" t="str">
        <f>IFERROR(VLOOKUP(C94,salesInv!$D$8:$I$494,6,FALSE),"-")</f>
        <v>-</v>
      </c>
      <c r="AN94" s="1396">
        <f>COUNTIF(salesInv!$D$8:$D$494,ProHeader!C94)</f>
        <v>0</v>
      </c>
      <c r="AO94" s="1396"/>
      <c r="AP94" s="1396"/>
      <c r="AQ94" s="1396"/>
      <c r="AR94" s="1396"/>
      <c r="AS94" s="1396"/>
      <c r="AT94" s="1396"/>
      <c r="AU94" s="1396"/>
      <c r="AV94" s="1396"/>
      <c r="AW94" s="1396"/>
      <c r="AX94" s="1396"/>
      <c r="AY94" s="1396"/>
      <c r="AZ94" s="1396"/>
    </row>
    <row r="95" spans="1:52">
      <c r="A95" s="1420"/>
      <c r="B95" s="425"/>
      <c r="C95" s="1401"/>
      <c r="D95" s="1402"/>
      <c r="E95" s="1403"/>
      <c r="F95" s="1404"/>
      <c r="G95" s="1404"/>
      <c r="H95" s="1404"/>
      <c r="I95" s="1404"/>
      <c r="J95" s="1406"/>
      <c r="K95" s="1407"/>
      <c r="L95" s="1408"/>
      <c r="M95" s="1408"/>
      <c r="N95" s="1409"/>
      <c r="O95" s="1409"/>
      <c r="P95" s="1393"/>
      <c r="Q95" s="1393"/>
      <c r="R95" s="1393"/>
      <c r="S95" s="1393"/>
      <c r="T95" s="1393"/>
      <c r="U95" s="1393"/>
      <c r="V95" s="1393"/>
      <c r="W95" s="1393"/>
      <c r="X95" s="1394"/>
      <c r="Y95" s="1394"/>
      <c r="Z95" s="1394"/>
      <c r="AA95" s="1395">
        <f t="shared" si="14"/>
        <v>0</v>
      </c>
      <c r="AB95" s="1393"/>
      <c r="AC95" s="1393"/>
      <c r="AD95" s="1396"/>
      <c r="AE95" s="1396"/>
      <c r="AF95" s="1396"/>
      <c r="AG95" s="1397">
        <f>IFERROR((O95- (O95*5%))/(L95+M95),0)</f>
        <v>0</v>
      </c>
      <c r="AH95" s="1397">
        <f>IFERROR(N95/(L95+M95),0)</f>
        <v>0</v>
      </c>
      <c r="AI95" s="1393" t="str">
        <f>IFERROR(VLOOKUP(C95,salesInv!$D$8:$AM$494,35,FALSE),"-")</f>
        <v>-</v>
      </c>
      <c r="AJ95" s="1398" t="str">
        <f>IFERROR(VLOOKUP(C95,salesInv!$D$8:$AM$494,36,FALSE),"-")</f>
        <v>-</v>
      </c>
      <c r="AK95" s="1396" t="str">
        <f>IFERROR(VLOOKUP(C95,salesInv!$D$8:$I$494,3,FALSE),"-")</f>
        <v>-</v>
      </c>
      <c r="AL95" s="1396" t="str">
        <f>IFERROR(VLOOKUP(C95,salesInv!$D$8:$I$494,4,FALSE),"-")</f>
        <v>-</v>
      </c>
      <c r="AM95" s="1396" t="str">
        <f>IFERROR(VLOOKUP(C95,salesInv!$D$8:$I$494,6,FALSE),"-")</f>
        <v>-</v>
      </c>
      <c r="AN95" s="1396">
        <f>COUNTIF(salesInv!$D$8:$D$494,ProHeader!C95)</f>
        <v>0</v>
      </c>
      <c r="AO95" s="1396"/>
      <c r="AP95" s="1396"/>
      <c r="AQ95" s="1396"/>
      <c r="AR95" s="1396"/>
      <c r="AS95" s="1396"/>
      <c r="AT95" s="1396"/>
      <c r="AU95" s="1396"/>
      <c r="AV95" s="1396"/>
      <c r="AW95" s="1396"/>
      <c r="AX95" s="1396"/>
      <c r="AY95" s="1396"/>
      <c r="AZ95" s="1396"/>
    </row>
    <row r="96" spans="1:52">
      <c r="A96" s="1420"/>
      <c r="B96" s="425"/>
      <c r="C96" s="1401"/>
      <c r="D96" s="1402"/>
      <c r="E96" s="1403"/>
      <c r="F96" s="1404"/>
      <c r="G96" s="1404"/>
      <c r="H96" s="1404"/>
      <c r="I96" s="1404"/>
      <c r="J96" s="1406"/>
      <c r="K96" s="1407"/>
      <c r="L96" s="1408"/>
      <c r="M96" s="1408"/>
      <c r="N96" s="1409"/>
      <c r="O96" s="1409"/>
      <c r="P96" s="1393"/>
      <c r="Q96" s="1393"/>
      <c r="R96" s="1393"/>
      <c r="S96" s="1393"/>
      <c r="T96" s="1393"/>
      <c r="U96" s="1393"/>
      <c r="V96" s="1393"/>
      <c r="W96" s="1393"/>
      <c r="X96" s="1394"/>
      <c r="Y96" s="1394"/>
      <c r="Z96" s="1394"/>
      <c r="AA96" s="1395">
        <f t="shared" si="14"/>
        <v>0</v>
      </c>
      <c r="AB96" s="1393"/>
      <c r="AC96" s="1393"/>
      <c r="AD96" s="1396"/>
      <c r="AE96" s="1396"/>
      <c r="AF96" s="1396"/>
      <c r="AG96" s="1397">
        <f>IFERROR((O96- (O96*5%))/(L96+M96),0)</f>
        <v>0</v>
      </c>
      <c r="AH96" s="1397">
        <f>IFERROR(N96/(L96+M96),0)</f>
        <v>0</v>
      </c>
      <c r="AI96" s="1393" t="str">
        <f>IFERROR(VLOOKUP(C96,salesInv!$D$8:$AM$494,35,FALSE),"-")</f>
        <v>-</v>
      </c>
      <c r="AJ96" s="1398" t="str">
        <f>IFERROR(VLOOKUP(C96,salesInv!$D$8:$AM$494,36,FALSE),"-")</f>
        <v>-</v>
      </c>
      <c r="AK96" s="1396" t="str">
        <f>IFERROR(VLOOKUP(C96,salesInv!$D$8:$I$494,3,FALSE),"-")</f>
        <v>-</v>
      </c>
      <c r="AL96" s="1396" t="str">
        <f>IFERROR(VLOOKUP(C96,salesInv!$D$8:$I$494,4,FALSE),"-")</f>
        <v>-</v>
      </c>
      <c r="AM96" s="1396" t="str">
        <f>IFERROR(VLOOKUP(C96,salesInv!$D$8:$I$494,6,FALSE),"-")</f>
        <v>-</v>
      </c>
      <c r="AN96" s="1396">
        <f>COUNTIF(salesInv!$D$8:$D$494,ProHeader!C96)</f>
        <v>0</v>
      </c>
      <c r="AO96" s="1396"/>
      <c r="AP96" s="1396"/>
      <c r="AQ96" s="1396"/>
      <c r="AR96" s="1396"/>
      <c r="AS96" s="1396"/>
      <c r="AT96" s="1396"/>
      <c r="AU96" s="1396"/>
      <c r="AV96" s="1396"/>
      <c r="AW96" s="1396"/>
      <c r="AX96" s="1396"/>
      <c r="AY96" s="1396"/>
      <c r="AZ96" s="1396"/>
    </row>
    <row r="97" spans="1:52">
      <c r="A97" s="1420"/>
      <c r="B97" s="425"/>
      <c r="C97" s="1401"/>
      <c r="D97" s="1402"/>
      <c r="E97" s="1403"/>
      <c r="F97" s="1404"/>
      <c r="G97" s="1404"/>
      <c r="H97" s="1404"/>
      <c r="I97" s="1404"/>
      <c r="J97" s="1406"/>
      <c r="K97" s="1407"/>
      <c r="L97" s="1408"/>
      <c r="M97" s="1408"/>
      <c r="N97" s="1409"/>
      <c r="O97" s="1409"/>
      <c r="P97" s="1393"/>
      <c r="Q97" s="1393"/>
      <c r="R97" s="1393"/>
      <c r="S97" s="1393"/>
      <c r="T97" s="1393"/>
      <c r="U97" s="1393"/>
      <c r="V97" s="1393"/>
      <c r="W97" s="1393"/>
      <c r="X97" s="1394"/>
      <c r="Y97" s="1394"/>
      <c r="Z97" s="1394"/>
      <c r="AA97" s="1395">
        <f t="shared" si="14"/>
        <v>0</v>
      </c>
      <c r="AB97" s="1393"/>
      <c r="AC97" s="1393"/>
      <c r="AD97" s="1396"/>
      <c r="AE97" s="1396"/>
      <c r="AF97" s="1396"/>
      <c r="AG97" s="1397">
        <f>IFERROR((O97- (O97*5%))/(L97+M97),0)</f>
        <v>0</v>
      </c>
      <c r="AH97" s="1397">
        <f>IFERROR(N97/(L97+M97),0)</f>
        <v>0</v>
      </c>
      <c r="AI97" s="1393" t="str">
        <f>IFERROR(VLOOKUP(C97,salesInv!$D$8:$AM$494,35,FALSE),"-")</f>
        <v>-</v>
      </c>
      <c r="AJ97" s="1398" t="str">
        <f>IFERROR(VLOOKUP(C97,salesInv!$D$8:$AM$494,36,FALSE),"-")</f>
        <v>-</v>
      </c>
      <c r="AK97" s="1396" t="str">
        <f>IFERROR(VLOOKUP(C97,salesInv!$D$8:$I$494,3,FALSE),"-")</f>
        <v>-</v>
      </c>
      <c r="AL97" s="1396" t="str">
        <f>IFERROR(VLOOKUP(C97,salesInv!$D$8:$I$494,4,FALSE),"-")</f>
        <v>-</v>
      </c>
      <c r="AM97" s="1396" t="str">
        <f>IFERROR(VLOOKUP(C97,salesInv!$D$8:$I$494,6,FALSE),"-")</f>
        <v>-</v>
      </c>
      <c r="AN97" s="1396">
        <f>COUNTIF(salesInv!$D$8:$D$494,ProHeader!C97)</f>
        <v>0</v>
      </c>
      <c r="AO97" s="1396"/>
      <c r="AP97" s="1396"/>
      <c r="AQ97" s="1396"/>
      <c r="AR97" s="1396"/>
      <c r="AS97" s="1396"/>
      <c r="AT97" s="1396"/>
      <c r="AU97" s="1396"/>
      <c r="AV97" s="1396"/>
      <c r="AW97" s="1396"/>
      <c r="AX97" s="1396"/>
      <c r="AY97" s="1396"/>
      <c r="AZ97" s="1396"/>
    </row>
    <row r="98" spans="1:52">
      <c r="A98" s="1420"/>
      <c r="B98" s="425"/>
      <c r="C98" s="1401"/>
      <c r="D98" s="1402"/>
      <c r="E98" s="1403"/>
      <c r="F98" s="1404"/>
      <c r="G98" s="1404"/>
      <c r="H98" s="1404"/>
      <c r="I98" s="1404"/>
      <c r="J98" s="1406"/>
      <c r="K98" s="1407"/>
      <c r="L98" s="1408"/>
      <c r="M98" s="1408"/>
      <c r="N98" s="1409"/>
      <c r="O98" s="1409"/>
      <c r="P98" s="1393"/>
      <c r="Q98" s="1393"/>
      <c r="R98" s="1393"/>
      <c r="S98" s="1393"/>
      <c r="T98" s="1393"/>
      <c r="U98" s="1393"/>
      <c r="V98" s="1393"/>
      <c r="W98" s="1393"/>
      <c r="X98" s="1394"/>
      <c r="Y98" s="1394"/>
      <c r="Z98" s="1394"/>
      <c r="AA98" s="1395">
        <f t="shared" si="14"/>
        <v>0</v>
      </c>
      <c r="AB98" s="1393"/>
      <c r="AC98" s="1393"/>
      <c r="AD98" s="1396"/>
      <c r="AE98" s="1396"/>
      <c r="AF98" s="1396"/>
      <c r="AG98" s="1397">
        <f>IFERROR((O98- (O98*5%))/(L98+M98),0)</f>
        <v>0</v>
      </c>
      <c r="AH98" s="1397">
        <f>IFERROR(N98/(L98+M98),0)</f>
        <v>0</v>
      </c>
      <c r="AI98" s="1393" t="str">
        <f>IFERROR(VLOOKUP(C98,salesInv!$D$8:$AM$494,35,FALSE),"-")</f>
        <v>-</v>
      </c>
      <c r="AJ98" s="1398" t="str">
        <f>IFERROR(VLOOKUP(C98,salesInv!$D$8:$AM$494,36,FALSE),"-")</f>
        <v>-</v>
      </c>
      <c r="AK98" s="1396" t="str">
        <f>IFERROR(VLOOKUP(C98,salesInv!$D$8:$I$494,3,FALSE),"-")</f>
        <v>-</v>
      </c>
      <c r="AL98" s="1396" t="str">
        <f>IFERROR(VLOOKUP(C98,salesInv!$D$8:$I$494,4,FALSE),"-")</f>
        <v>-</v>
      </c>
      <c r="AM98" s="1396" t="str">
        <f>IFERROR(VLOOKUP(C98,salesInv!$D$8:$I$494,6,FALSE),"-")</f>
        <v>-</v>
      </c>
      <c r="AN98" s="1396">
        <f>COUNTIF(salesInv!$D$8:$D$494,ProHeader!C98)</f>
        <v>0</v>
      </c>
      <c r="AO98" s="1396"/>
      <c r="AP98" s="1396"/>
      <c r="AQ98" s="1396"/>
      <c r="AR98" s="1396"/>
      <c r="AS98" s="1396"/>
      <c r="AT98" s="1396"/>
      <c r="AU98" s="1396"/>
      <c r="AV98" s="1396"/>
      <c r="AW98" s="1396"/>
      <c r="AX98" s="1396"/>
      <c r="AY98" s="1396"/>
      <c r="AZ98" s="1396"/>
    </row>
    <row r="99" spans="1:52">
      <c r="A99" s="1420"/>
      <c r="B99" s="425"/>
      <c r="C99" s="1401"/>
      <c r="D99" s="1402"/>
      <c r="E99" s="1403"/>
      <c r="F99" s="1404"/>
      <c r="G99" s="1404"/>
      <c r="H99" s="1404"/>
      <c r="I99" s="1404"/>
      <c r="J99" s="1406"/>
      <c r="K99" s="1407"/>
      <c r="L99" s="1408"/>
      <c r="M99" s="1408"/>
      <c r="N99" s="1409"/>
      <c r="O99" s="1409"/>
      <c r="P99" s="1393"/>
      <c r="Q99" s="1393"/>
      <c r="R99" s="1393"/>
      <c r="S99" s="1393"/>
      <c r="T99" s="1393"/>
      <c r="U99" s="1393"/>
      <c r="V99" s="1393"/>
      <c r="W99" s="1393"/>
      <c r="X99" s="1394"/>
      <c r="Y99" s="1394"/>
      <c r="Z99" s="1394"/>
      <c r="AA99" s="1395"/>
      <c r="AB99" s="1393"/>
      <c r="AC99" s="1393"/>
      <c r="AD99" s="1396"/>
      <c r="AE99" s="1396"/>
      <c r="AF99" s="1396"/>
      <c r="AG99" s="1397"/>
      <c r="AH99" s="1397"/>
      <c r="AI99" s="1393" t="str">
        <f>IFERROR(VLOOKUP(C99,salesInv!$D$8:$AM$494,35,FALSE),"-")</f>
        <v>-</v>
      </c>
      <c r="AJ99" s="1398" t="str">
        <f>IFERROR(VLOOKUP(C99,salesInv!$D$8:$AM$494,36,FALSE),"-")</f>
        <v>-</v>
      </c>
      <c r="AK99" s="1396" t="str">
        <f>IFERROR(VLOOKUP(C99,salesInv!$D$8:$I$494,3,FALSE),"-")</f>
        <v>-</v>
      </c>
      <c r="AL99" s="1396" t="str">
        <f>IFERROR(VLOOKUP(C99,salesInv!$D$8:$I$494,4,FALSE),"-")</f>
        <v>-</v>
      </c>
      <c r="AM99" s="1396" t="str">
        <f>IFERROR(VLOOKUP(C99,salesInv!$D$8:$I$494,6,FALSE),"-")</f>
        <v>-</v>
      </c>
      <c r="AN99" s="1396">
        <f>COUNTIF(salesInv!$D$8:$D$494,ProHeader!C99)</f>
        <v>0</v>
      </c>
      <c r="AO99" s="1396"/>
      <c r="AP99" s="1396"/>
      <c r="AQ99" s="1396"/>
      <c r="AR99" s="1396"/>
      <c r="AS99" s="1396"/>
      <c r="AT99" s="1396"/>
      <c r="AU99" s="1396"/>
      <c r="AV99" s="1396"/>
      <c r="AW99" s="1396"/>
      <c r="AX99" s="1396"/>
      <c r="AY99" s="1396"/>
      <c r="AZ99" s="1396"/>
    </row>
    <row r="100" spans="1:52">
      <c r="A100" s="1420"/>
      <c r="B100" s="425"/>
      <c r="C100" s="1401"/>
      <c r="D100" s="1402"/>
      <c r="E100" s="1403"/>
      <c r="F100" s="1404"/>
      <c r="G100" s="1404"/>
      <c r="H100" s="1404"/>
      <c r="I100" s="1404"/>
      <c r="J100" s="1406"/>
      <c r="K100" s="1407"/>
      <c r="L100" s="1408"/>
      <c r="M100" s="1408"/>
      <c r="N100" s="1409"/>
      <c r="O100" s="1409"/>
      <c r="P100" s="1393"/>
      <c r="Q100" s="1393"/>
      <c r="R100" s="1393"/>
      <c r="S100" s="1393"/>
      <c r="T100" s="1393"/>
      <c r="U100" s="1393"/>
      <c r="V100" s="1393"/>
      <c r="W100" s="1393"/>
      <c r="X100" s="1394"/>
      <c r="Y100" s="1394"/>
      <c r="Z100" s="1394"/>
      <c r="AA100" s="1395"/>
      <c r="AB100" s="1393"/>
      <c r="AC100" s="1393"/>
      <c r="AD100" s="1396"/>
      <c r="AE100" s="1396"/>
      <c r="AF100" s="1396"/>
      <c r="AG100" s="1397"/>
      <c r="AH100" s="1397"/>
      <c r="AI100" s="1393" t="str">
        <f>IFERROR(VLOOKUP(C100,salesInv!$D$8:$AM$494,35,FALSE),"-")</f>
        <v>-</v>
      </c>
      <c r="AJ100" s="1398" t="str">
        <f>IFERROR(VLOOKUP(C100,salesInv!$D$8:$AM$494,36,FALSE),"-")</f>
        <v>-</v>
      </c>
      <c r="AK100" s="1396" t="str">
        <f>IFERROR(VLOOKUP(C100,salesInv!$D$8:$I$494,3,FALSE),"-")</f>
        <v>-</v>
      </c>
      <c r="AL100" s="1396" t="str">
        <f>IFERROR(VLOOKUP(C100,salesInv!$D$8:$I$494,4,FALSE),"-")</f>
        <v>-</v>
      </c>
      <c r="AM100" s="1396" t="str">
        <f>IFERROR(VLOOKUP(C100,salesInv!$D$8:$I$494,6,FALSE),"-")</f>
        <v>-</v>
      </c>
      <c r="AN100" s="1396">
        <f>COUNTIF(salesInv!$D$8:$D$494,ProHeader!C100)</f>
        <v>0</v>
      </c>
      <c r="AO100" s="1396"/>
      <c r="AP100" s="1396"/>
      <c r="AQ100" s="1396"/>
      <c r="AR100" s="1396"/>
      <c r="AS100" s="1396"/>
      <c r="AT100" s="1396"/>
      <c r="AU100" s="1396"/>
      <c r="AV100" s="1396"/>
      <c r="AW100" s="1396"/>
      <c r="AX100" s="1396"/>
      <c r="AY100" s="1396"/>
      <c r="AZ100" s="1396"/>
    </row>
    <row r="101" spans="1:52">
      <c r="A101" s="1420"/>
      <c r="B101" s="425"/>
      <c r="C101" s="1401"/>
      <c r="D101" s="1402"/>
      <c r="E101" s="1403"/>
      <c r="F101" s="1404"/>
      <c r="G101" s="1404"/>
      <c r="H101" s="1404"/>
      <c r="I101" s="1404"/>
      <c r="J101" s="1406"/>
      <c r="K101" s="1407"/>
      <c r="L101" s="1408"/>
      <c r="M101" s="1408"/>
      <c r="N101" s="1409"/>
      <c r="O101" s="1409"/>
      <c r="P101" s="1393"/>
      <c r="Q101" s="1393"/>
      <c r="R101" s="1393"/>
      <c r="S101" s="1393"/>
      <c r="T101" s="1393"/>
      <c r="U101" s="1393"/>
      <c r="V101" s="1393"/>
      <c r="W101" s="1393"/>
      <c r="X101" s="1394"/>
      <c r="Y101" s="1394"/>
      <c r="Z101" s="1394"/>
      <c r="AA101" s="1395"/>
      <c r="AB101" s="1393"/>
      <c r="AC101" s="1393"/>
      <c r="AD101" s="1396"/>
      <c r="AE101" s="1396"/>
      <c r="AF101" s="1396"/>
      <c r="AG101" s="1397"/>
      <c r="AH101" s="1397"/>
      <c r="AI101" s="1393" t="str">
        <f>IFERROR(VLOOKUP(C101,salesInv!$D$8:$AM$494,35,FALSE),"-")</f>
        <v>-</v>
      </c>
      <c r="AJ101" s="1398" t="str">
        <f>IFERROR(VLOOKUP(C101,salesInv!$D$8:$AM$494,36,FALSE),"-")</f>
        <v>-</v>
      </c>
      <c r="AK101" s="1396" t="str">
        <f>IFERROR(VLOOKUP(C101,salesInv!$D$8:$I$494,3,FALSE),"-")</f>
        <v>-</v>
      </c>
      <c r="AL101" s="1396" t="str">
        <f>IFERROR(VLOOKUP(C101,salesInv!$D$8:$I$494,4,FALSE),"-")</f>
        <v>-</v>
      </c>
      <c r="AM101" s="1396" t="str">
        <f>IFERROR(VLOOKUP(C101,salesInv!$D$8:$I$494,6,FALSE),"-")</f>
        <v>-</v>
      </c>
      <c r="AN101" s="1396">
        <f>COUNTIF(salesInv!$D$8:$D$494,ProHeader!C101)</f>
        <v>0</v>
      </c>
      <c r="AO101" s="1396"/>
      <c r="AP101" s="1396"/>
      <c r="AQ101" s="1396"/>
      <c r="AR101" s="1396"/>
      <c r="AS101" s="1396"/>
      <c r="AT101" s="1396"/>
      <c r="AU101" s="1396"/>
      <c r="AV101" s="1396"/>
      <c r="AW101" s="1396"/>
      <c r="AX101" s="1396"/>
      <c r="AY101" s="1396"/>
      <c r="AZ101" s="1396"/>
    </row>
    <row r="102" spans="1:52">
      <c r="A102" s="1420"/>
      <c r="B102" s="425"/>
      <c r="C102" s="1401"/>
      <c r="D102" s="1402"/>
      <c r="E102" s="1403"/>
      <c r="F102" s="1404"/>
      <c r="G102" s="1404"/>
      <c r="H102" s="1404"/>
      <c r="I102" s="1404"/>
      <c r="J102" s="1406"/>
      <c r="K102" s="1407"/>
      <c r="L102" s="1408"/>
      <c r="M102" s="1408"/>
      <c r="N102" s="1409"/>
      <c r="O102" s="1409"/>
      <c r="P102" s="1393"/>
      <c r="Q102" s="1393"/>
      <c r="R102" s="1393"/>
      <c r="S102" s="1393"/>
      <c r="T102" s="1393"/>
      <c r="U102" s="1393"/>
      <c r="V102" s="1393"/>
      <c r="W102" s="1393"/>
      <c r="X102" s="1394"/>
      <c r="Y102" s="1394"/>
      <c r="Z102" s="1394"/>
      <c r="AA102" s="1395"/>
      <c r="AB102" s="1393"/>
      <c r="AC102" s="1393"/>
      <c r="AD102" s="1396"/>
      <c r="AE102" s="1396"/>
      <c r="AF102" s="1396"/>
      <c r="AG102" s="1397"/>
      <c r="AH102" s="1397"/>
      <c r="AI102" s="1393" t="str">
        <f>IFERROR(VLOOKUP(C102,salesInv!$D$8:$AM$494,35,FALSE),"-")</f>
        <v>-</v>
      </c>
      <c r="AJ102" s="1398" t="str">
        <f>IFERROR(VLOOKUP(C102,salesInv!$D$8:$AM$494,36,FALSE),"-")</f>
        <v>-</v>
      </c>
      <c r="AK102" s="1396" t="str">
        <f>IFERROR(VLOOKUP(C102,salesInv!$D$8:$I$494,3,FALSE),"-")</f>
        <v>-</v>
      </c>
      <c r="AL102" s="1396" t="str">
        <f>IFERROR(VLOOKUP(C102,salesInv!$D$8:$I$494,4,FALSE),"-")</f>
        <v>-</v>
      </c>
      <c r="AM102" s="1396" t="str">
        <f>IFERROR(VLOOKUP(C102,salesInv!$D$8:$I$494,6,FALSE),"-")</f>
        <v>-</v>
      </c>
      <c r="AN102" s="1396">
        <f>COUNTIF(salesInv!$D$8:$D$494,ProHeader!C102)</f>
        <v>0</v>
      </c>
      <c r="AO102" s="1396"/>
      <c r="AP102" s="1396"/>
      <c r="AQ102" s="1396"/>
      <c r="AR102" s="1396"/>
      <c r="AS102" s="1396"/>
      <c r="AT102" s="1396"/>
      <c r="AU102" s="1396"/>
      <c r="AV102" s="1396"/>
      <c r="AW102" s="1396"/>
      <c r="AX102" s="1396"/>
      <c r="AY102" s="1396"/>
      <c r="AZ102" s="1396"/>
    </row>
    <row r="103" spans="1:52">
      <c r="A103" s="1420"/>
      <c r="B103" s="425"/>
      <c r="C103" s="1401"/>
      <c r="D103" s="1402"/>
      <c r="E103" s="1403"/>
      <c r="F103" s="1404"/>
      <c r="G103" s="1404"/>
      <c r="H103" s="1404"/>
      <c r="I103" s="1404"/>
      <c r="J103" s="1406"/>
      <c r="K103" s="1407"/>
      <c r="L103" s="1408"/>
      <c r="M103" s="1408"/>
      <c r="N103" s="1409"/>
      <c r="O103" s="1409"/>
      <c r="P103" s="1393"/>
      <c r="Q103" s="1393"/>
      <c r="R103" s="1393"/>
      <c r="S103" s="1393"/>
      <c r="T103" s="1393"/>
      <c r="U103" s="1393"/>
      <c r="V103" s="1393"/>
      <c r="W103" s="1393"/>
      <c r="X103" s="1394"/>
      <c r="Y103" s="1394"/>
      <c r="Z103" s="1394"/>
      <c r="AA103" s="1395"/>
      <c r="AB103" s="1393"/>
      <c r="AC103" s="1393"/>
      <c r="AD103" s="1396"/>
      <c r="AE103" s="1396"/>
      <c r="AF103" s="1396"/>
      <c r="AG103" s="1397"/>
      <c r="AH103" s="1397"/>
      <c r="AI103" s="1393" t="str">
        <f>IFERROR(VLOOKUP(C103,salesInv!$D$8:$AM$494,35,FALSE),"-")</f>
        <v>-</v>
      </c>
      <c r="AJ103" s="1398" t="str">
        <f>IFERROR(VLOOKUP(C103,salesInv!$D$8:$AM$494,36,FALSE),"-")</f>
        <v>-</v>
      </c>
      <c r="AK103" s="1396" t="str">
        <f>IFERROR(VLOOKUP(C103,salesInv!$D$8:$I$494,3,FALSE),"-")</f>
        <v>-</v>
      </c>
      <c r="AL103" s="1396" t="str">
        <f>IFERROR(VLOOKUP(C103,salesInv!$D$8:$I$494,4,FALSE),"-")</f>
        <v>-</v>
      </c>
      <c r="AM103" s="1396" t="str">
        <f>IFERROR(VLOOKUP(C103,salesInv!$D$8:$I$494,6,FALSE),"-")</f>
        <v>-</v>
      </c>
      <c r="AN103" s="1396">
        <f>COUNTIF(salesInv!$D$8:$D$494,ProHeader!C103)</f>
        <v>0</v>
      </c>
      <c r="AO103" s="1396"/>
      <c r="AP103" s="1396"/>
      <c r="AQ103" s="1396"/>
      <c r="AR103" s="1396"/>
      <c r="AS103" s="1396"/>
      <c r="AT103" s="1396"/>
      <c r="AU103" s="1396"/>
      <c r="AV103" s="1396"/>
      <c r="AW103" s="1396"/>
      <c r="AX103" s="1396"/>
      <c r="AY103" s="1396"/>
      <c r="AZ103" s="1396"/>
    </row>
    <row r="104" spans="1:52">
      <c r="A104" s="1420"/>
      <c r="B104" s="425"/>
      <c r="C104" s="1401"/>
      <c r="D104" s="1402"/>
      <c r="E104" s="1403"/>
      <c r="F104" s="1404"/>
      <c r="G104" s="1404"/>
      <c r="H104" s="1404"/>
      <c r="I104" s="1404"/>
      <c r="J104" s="1406"/>
      <c r="K104" s="1407"/>
      <c r="L104" s="1408"/>
      <c r="M104" s="1408"/>
      <c r="N104" s="1409"/>
      <c r="O104" s="1409"/>
      <c r="P104" s="1393"/>
      <c r="Q104" s="1393"/>
      <c r="R104" s="1393"/>
      <c r="S104" s="1393"/>
      <c r="T104" s="1393"/>
      <c r="U104" s="1393"/>
      <c r="V104" s="1393"/>
      <c r="W104" s="1393"/>
      <c r="X104" s="1394"/>
      <c r="Y104" s="1394"/>
      <c r="Z104" s="1394"/>
      <c r="AA104" s="1395"/>
      <c r="AB104" s="1393"/>
      <c r="AC104" s="1393"/>
      <c r="AD104" s="1396"/>
      <c r="AE104" s="1396"/>
      <c r="AF104" s="1396"/>
      <c r="AG104" s="1397"/>
      <c r="AH104" s="1397"/>
      <c r="AI104" s="1393" t="str">
        <f>IFERROR(VLOOKUP(C104,salesInv!$D$8:$AM$494,35,FALSE),"-")</f>
        <v>-</v>
      </c>
      <c r="AJ104" s="1398" t="str">
        <f>IFERROR(VLOOKUP(C104,salesInv!$D$8:$AM$494,36,FALSE),"-")</f>
        <v>-</v>
      </c>
      <c r="AK104" s="1396" t="str">
        <f>IFERROR(VLOOKUP(C104,salesInv!$D$8:$I$494,3,FALSE),"-")</f>
        <v>-</v>
      </c>
      <c r="AL104" s="1396" t="str">
        <f>IFERROR(VLOOKUP(C104,salesInv!$D$8:$I$494,4,FALSE),"-")</f>
        <v>-</v>
      </c>
      <c r="AM104" s="1396" t="str">
        <f>IFERROR(VLOOKUP(C104,salesInv!$D$8:$I$494,6,FALSE),"-")</f>
        <v>-</v>
      </c>
      <c r="AN104" s="1396">
        <f>COUNTIF(salesInv!$D$8:$D$494,ProHeader!C104)</f>
        <v>0</v>
      </c>
      <c r="AO104" s="1396"/>
      <c r="AP104" s="1396"/>
      <c r="AQ104" s="1396"/>
      <c r="AR104" s="1396"/>
      <c r="AS104" s="1396"/>
      <c r="AT104" s="1396"/>
      <c r="AU104" s="1396"/>
      <c r="AV104" s="1396"/>
      <c r="AW104" s="1396"/>
      <c r="AX104" s="1396"/>
      <c r="AY104" s="1396"/>
      <c r="AZ104" s="1396"/>
    </row>
    <row r="105" spans="1:52">
      <c r="A105" s="1420"/>
      <c r="B105" s="425"/>
      <c r="C105" s="1401"/>
      <c r="D105" s="1402"/>
      <c r="E105" s="1403"/>
      <c r="F105" s="1404"/>
      <c r="G105" s="1404"/>
      <c r="H105" s="1404"/>
      <c r="I105" s="1404"/>
      <c r="J105" s="1406"/>
      <c r="K105" s="1407"/>
      <c r="L105" s="1408"/>
      <c r="M105" s="1408"/>
      <c r="N105" s="1409"/>
      <c r="O105" s="1409"/>
      <c r="P105" s="1393"/>
      <c r="Q105" s="1393"/>
      <c r="R105" s="1393"/>
      <c r="S105" s="1393"/>
      <c r="T105" s="1393"/>
      <c r="U105" s="1393"/>
      <c r="V105" s="1393"/>
      <c r="W105" s="1393"/>
      <c r="X105" s="1394"/>
      <c r="Y105" s="1394"/>
      <c r="Z105" s="1394"/>
      <c r="AA105" s="1395"/>
      <c r="AB105" s="1393"/>
      <c r="AC105" s="1393"/>
      <c r="AD105" s="1396"/>
      <c r="AE105" s="1396"/>
      <c r="AF105" s="1396"/>
      <c r="AG105" s="1397"/>
      <c r="AH105" s="1397"/>
      <c r="AI105" s="1393" t="str">
        <f>IFERROR(VLOOKUP(C105,salesInv!$D$8:$AM$494,35,FALSE),"-")</f>
        <v>-</v>
      </c>
      <c r="AJ105" s="1398" t="str">
        <f>IFERROR(VLOOKUP(C105,salesInv!$D$8:$AM$494,36,FALSE),"-")</f>
        <v>-</v>
      </c>
      <c r="AK105" s="1396" t="str">
        <f>IFERROR(VLOOKUP(C105,salesInv!$D$8:$I$494,3,FALSE),"-")</f>
        <v>-</v>
      </c>
      <c r="AL105" s="1396" t="str">
        <f>IFERROR(VLOOKUP(C105,salesInv!$D$8:$I$494,4,FALSE),"-")</f>
        <v>-</v>
      </c>
      <c r="AM105" s="1396" t="str">
        <f>IFERROR(VLOOKUP(C105,salesInv!$D$8:$I$494,6,FALSE),"-")</f>
        <v>-</v>
      </c>
      <c r="AN105" s="1396">
        <f>COUNTIF(salesInv!$D$8:$D$494,ProHeader!C105)</f>
        <v>0</v>
      </c>
      <c r="AO105" s="1396"/>
      <c r="AP105" s="1396"/>
      <c r="AQ105" s="1396"/>
      <c r="AR105" s="1396"/>
      <c r="AS105" s="1396"/>
      <c r="AT105" s="1396"/>
      <c r="AU105" s="1396"/>
      <c r="AV105" s="1396"/>
      <c r="AW105" s="1396"/>
      <c r="AX105" s="1396"/>
      <c r="AY105" s="1396"/>
      <c r="AZ105" s="1396"/>
    </row>
    <row r="106" spans="1:52">
      <c r="A106" s="1420"/>
      <c r="B106" s="425"/>
      <c r="C106" s="1401"/>
      <c r="D106" s="1402"/>
      <c r="E106" s="1403"/>
      <c r="F106" s="1404"/>
      <c r="G106" s="1404"/>
      <c r="H106" s="1404"/>
      <c r="I106" s="1404"/>
      <c r="J106" s="1406"/>
      <c r="K106" s="1407"/>
      <c r="L106" s="1408"/>
      <c r="M106" s="1408"/>
      <c r="N106" s="1409"/>
      <c r="O106" s="1409"/>
      <c r="P106" s="1393"/>
      <c r="Q106" s="1393"/>
      <c r="R106" s="1393"/>
      <c r="S106" s="1393"/>
      <c r="T106" s="1393"/>
      <c r="U106" s="1393"/>
      <c r="V106" s="1393"/>
      <c r="W106" s="1393"/>
      <c r="X106" s="1394"/>
      <c r="Y106" s="1394"/>
      <c r="Z106" s="1394"/>
      <c r="AA106" s="1395"/>
      <c r="AB106" s="1393"/>
      <c r="AC106" s="1393"/>
      <c r="AD106" s="1396"/>
      <c r="AE106" s="1396"/>
      <c r="AF106" s="1396"/>
      <c r="AG106" s="1397"/>
      <c r="AH106" s="1397"/>
      <c r="AI106" s="1393" t="str">
        <f>IFERROR(VLOOKUP(C106,salesInv!$D$8:$AM$494,35,FALSE),"-")</f>
        <v>-</v>
      </c>
      <c r="AJ106" s="1398" t="str">
        <f>IFERROR(VLOOKUP(C106,salesInv!$D$8:$AM$494,36,FALSE),"-")</f>
        <v>-</v>
      </c>
      <c r="AK106" s="1396" t="str">
        <f>IFERROR(VLOOKUP(C106,salesInv!$D$8:$I$494,3,FALSE),"-")</f>
        <v>-</v>
      </c>
      <c r="AL106" s="1396" t="str">
        <f>IFERROR(VLOOKUP(C106,salesInv!$D$8:$I$494,4,FALSE),"-")</f>
        <v>-</v>
      </c>
      <c r="AM106" s="1396" t="str">
        <f>IFERROR(VLOOKUP(C106,salesInv!$D$8:$I$494,6,FALSE),"-")</f>
        <v>-</v>
      </c>
      <c r="AN106" s="1396">
        <f>COUNTIF(salesInv!$D$8:$D$494,ProHeader!C106)</f>
        <v>0</v>
      </c>
      <c r="AO106" s="1396"/>
      <c r="AP106" s="1396"/>
      <c r="AQ106" s="1396"/>
      <c r="AR106" s="1396"/>
      <c r="AS106" s="1396"/>
      <c r="AT106" s="1396"/>
      <c r="AU106" s="1396"/>
      <c r="AV106" s="1396"/>
      <c r="AW106" s="1396"/>
      <c r="AX106" s="1396"/>
      <c r="AY106" s="1396"/>
      <c r="AZ106" s="1396"/>
    </row>
    <row r="107" spans="1:52">
      <c r="A107" s="1420"/>
      <c r="B107" s="425"/>
      <c r="C107" s="1401"/>
      <c r="D107" s="1402"/>
      <c r="E107" s="1403"/>
      <c r="F107" s="1404"/>
      <c r="G107" s="1404"/>
      <c r="H107" s="1404"/>
      <c r="I107" s="1404"/>
      <c r="J107" s="1406"/>
      <c r="K107" s="1407"/>
      <c r="L107" s="1408"/>
      <c r="M107" s="1408"/>
      <c r="N107" s="1409"/>
      <c r="O107" s="1409"/>
      <c r="P107" s="1393"/>
      <c r="Q107" s="1393"/>
      <c r="R107" s="1393"/>
      <c r="S107" s="1393"/>
      <c r="T107" s="1393"/>
      <c r="U107" s="1393"/>
      <c r="V107" s="1393"/>
      <c r="W107" s="1393"/>
      <c r="X107" s="1394"/>
      <c r="Y107" s="1394"/>
      <c r="Z107" s="1394"/>
      <c r="AA107" s="1395"/>
      <c r="AB107" s="1393"/>
      <c r="AC107" s="1393"/>
      <c r="AD107" s="1396"/>
      <c r="AE107" s="1396"/>
      <c r="AF107" s="1396"/>
      <c r="AG107" s="1397"/>
      <c r="AH107" s="1397"/>
      <c r="AI107" s="1393" t="str">
        <f>IFERROR(VLOOKUP(C107,salesInv!$D$8:$AM$494,35,FALSE),"-")</f>
        <v>-</v>
      </c>
      <c r="AJ107" s="1398" t="str">
        <f>IFERROR(VLOOKUP(C107,salesInv!$D$8:$AM$494,36,FALSE),"-")</f>
        <v>-</v>
      </c>
      <c r="AK107" s="1396" t="str">
        <f>IFERROR(VLOOKUP(C107,salesInv!$D$8:$I$494,3,FALSE),"-")</f>
        <v>-</v>
      </c>
      <c r="AL107" s="1396" t="str">
        <f>IFERROR(VLOOKUP(C107,salesInv!$D$8:$I$494,4,FALSE),"-")</f>
        <v>-</v>
      </c>
      <c r="AM107" s="1396" t="str">
        <f>IFERROR(VLOOKUP(C107,salesInv!$D$8:$I$494,6,FALSE),"-")</f>
        <v>-</v>
      </c>
      <c r="AN107" s="1396">
        <f>COUNTIF(salesInv!$D$8:$D$494,ProHeader!C107)</f>
        <v>0</v>
      </c>
      <c r="AO107" s="1396"/>
      <c r="AP107" s="1396"/>
      <c r="AQ107" s="1396"/>
      <c r="AR107" s="1396"/>
      <c r="AS107" s="1396"/>
      <c r="AT107" s="1396"/>
      <c r="AU107" s="1396"/>
      <c r="AV107" s="1396"/>
      <c r="AW107" s="1396"/>
      <c r="AX107" s="1396"/>
      <c r="AY107" s="1396"/>
      <c r="AZ107" s="1396"/>
    </row>
    <row r="108" spans="1:52">
      <c r="A108" s="1420"/>
      <c r="B108" s="425"/>
      <c r="C108" s="1401"/>
      <c r="D108" s="1402"/>
      <c r="E108" s="1403"/>
      <c r="F108" s="1404"/>
      <c r="G108" s="1404"/>
      <c r="H108" s="1404"/>
      <c r="I108" s="1404"/>
      <c r="J108" s="1406"/>
      <c r="K108" s="1407"/>
      <c r="L108" s="1408"/>
      <c r="M108" s="1408"/>
      <c r="N108" s="1409"/>
      <c r="O108" s="1409"/>
      <c r="P108" s="1393"/>
      <c r="Q108" s="1393"/>
      <c r="R108" s="1393"/>
      <c r="S108" s="1393"/>
      <c r="T108" s="1393"/>
      <c r="U108" s="1393"/>
      <c r="V108" s="1393"/>
      <c r="W108" s="1393"/>
      <c r="X108" s="1394"/>
      <c r="Y108" s="1394"/>
      <c r="Z108" s="1394"/>
      <c r="AA108" s="1395"/>
      <c r="AB108" s="1393"/>
      <c r="AC108" s="1393"/>
      <c r="AD108" s="1396"/>
      <c r="AE108" s="1396"/>
      <c r="AF108" s="1396"/>
      <c r="AG108" s="1397"/>
      <c r="AH108" s="1397"/>
      <c r="AI108" s="1393" t="str">
        <f>IFERROR(VLOOKUP(C108,salesInv!$D$8:$AM$494,35,FALSE),"-")</f>
        <v>-</v>
      </c>
      <c r="AJ108" s="1398" t="str">
        <f>IFERROR(VLOOKUP(C108,salesInv!$D$8:$AM$494,36,FALSE),"-")</f>
        <v>-</v>
      </c>
      <c r="AK108" s="1396" t="str">
        <f>IFERROR(VLOOKUP(C108,salesInv!$D$8:$I$494,3,FALSE),"-")</f>
        <v>-</v>
      </c>
      <c r="AL108" s="1396" t="str">
        <f>IFERROR(VLOOKUP(C108,salesInv!$D$8:$I$494,4,FALSE),"-")</f>
        <v>-</v>
      </c>
      <c r="AM108" s="1396" t="str">
        <f>IFERROR(VLOOKUP(C108,salesInv!$D$8:$I$494,6,FALSE),"-")</f>
        <v>-</v>
      </c>
      <c r="AN108" s="1396">
        <f>COUNTIF(salesInv!$D$8:$D$494,ProHeader!C108)</f>
        <v>0</v>
      </c>
      <c r="AO108" s="1396"/>
      <c r="AP108" s="1396"/>
      <c r="AQ108" s="1396"/>
      <c r="AR108" s="1396"/>
      <c r="AS108" s="1396"/>
      <c r="AT108" s="1396"/>
      <c r="AU108" s="1396"/>
      <c r="AV108" s="1396"/>
      <c r="AW108" s="1396"/>
      <c r="AX108" s="1396"/>
      <c r="AY108" s="1396"/>
      <c r="AZ108" s="1396"/>
    </row>
    <row r="109" spans="1:52">
      <c r="A109" s="1420"/>
      <c r="B109" s="425"/>
      <c r="C109" s="1401"/>
      <c r="D109" s="1402"/>
      <c r="E109" s="1403"/>
      <c r="F109" s="1404"/>
      <c r="G109" s="1404"/>
      <c r="H109" s="1404"/>
      <c r="I109" s="1404"/>
      <c r="J109" s="1406"/>
      <c r="K109" s="1407"/>
      <c r="L109" s="1408"/>
      <c r="M109" s="1408"/>
      <c r="N109" s="1409"/>
      <c r="O109" s="1409"/>
      <c r="P109" s="1393"/>
      <c r="Q109" s="1393"/>
      <c r="R109" s="1393"/>
      <c r="S109" s="1393"/>
      <c r="T109" s="1393"/>
      <c r="U109" s="1393"/>
      <c r="V109" s="1393"/>
      <c r="W109" s="1393"/>
      <c r="X109" s="1394"/>
      <c r="Y109" s="1394"/>
      <c r="Z109" s="1394"/>
      <c r="AA109" s="1395"/>
      <c r="AB109" s="1393"/>
      <c r="AC109" s="1393"/>
      <c r="AD109" s="1396"/>
      <c r="AE109" s="1396"/>
      <c r="AF109" s="1396"/>
      <c r="AG109" s="1397"/>
      <c r="AH109" s="1397"/>
      <c r="AI109" s="1393" t="str">
        <f>IFERROR(VLOOKUP(C109,salesInv!$D$8:$AM$494,35,FALSE),"-")</f>
        <v>-</v>
      </c>
      <c r="AJ109" s="1398" t="str">
        <f>IFERROR(VLOOKUP(C109,salesInv!$D$8:$AM$494,36,FALSE),"-")</f>
        <v>-</v>
      </c>
      <c r="AK109" s="1396" t="str">
        <f>IFERROR(VLOOKUP(C109,salesInv!$D$8:$I$494,3,FALSE),"-")</f>
        <v>-</v>
      </c>
      <c r="AL109" s="1396" t="str">
        <f>IFERROR(VLOOKUP(C109,salesInv!$D$8:$I$494,4,FALSE),"-")</f>
        <v>-</v>
      </c>
      <c r="AM109" s="1396" t="str">
        <f>IFERROR(VLOOKUP(C109,salesInv!$D$8:$I$494,6,FALSE),"-")</f>
        <v>-</v>
      </c>
      <c r="AN109" s="1396">
        <f>COUNTIF(salesInv!$D$8:$D$494,ProHeader!C109)</f>
        <v>0</v>
      </c>
      <c r="AO109" s="1396"/>
      <c r="AP109" s="1396"/>
      <c r="AQ109" s="1396"/>
      <c r="AR109" s="1396"/>
      <c r="AS109" s="1396"/>
      <c r="AT109" s="1396"/>
      <c r="AU109" s="1396"/>
      <c r="AV109" s="1396"/>
      <c r="AW109" s="1396"/>
      <c r="AX109" s="1396"/>
      <c r="AY109" s="1396"/>
      <c r="AZ109" s="1396"/>
    </row>
    <row r="110" spans="1:52">
      <c r="A110" s="1420"/>
      <c r="B110" s="425"/>
      <c r="C110" s="1401"/>
      <c r="D110" s="1402"/>
      <c r="E110" s="1403"/>
      <c r="F110" s="1404"/>
      <c r="G110" s="1404"/>
      <c r="H110" s="1404"/>
      <c r="I110" s="1404"/>
      <c r="J110" s="1406"/>
      <c r="K110" s="1407"/>
      <c r="L110" s="1408"/>
      <c r="M110" s="1408"/>
      <c r="N110" s="1409"/>
      <c r="O110" s="1409"/>
      <c r="P110" s="1393"/>
      <c r="Q110" s="1393"/>
      <c r="R110" s="1393"/>
      <c r="S110" s="1393"/>
      <c r="T110" s="1393"/>
      <c r="U110" s="1393"/>
      <c r="V110" s="1393"/>
      <c r="W110" s="1393"/>
      <c r="X110" s="1394"/>
      <c r="Y110" s="1394"/>
      <c r="Z110" s="1394"/>
      <c r="AA110" s="1395"/>
      <c r="AB110" s="1393"/>
      <c r="AC110" s="1393"/>
      <c r="AD110" s="1396"/>
      <c r="AE110" s="1396"/>
      <c r="AF110" s="1396"/>
      <c r="AG110" s="1397"/>
      <c r="AH110" s="1397"/>
      <c r="AI110" s="1393" t="str">
        <f>IFERROR(VLOOKUP(C110,salesInv!$D$8:$AM$494,35,FALSE),"-")</f>
        <v>-</v>
      </c>
      <c r="AJ110" s="1398" t="str">
        <f>IFERROR(VLOOKUP(C110,salesInv!$D$8:$AM$494,36,FALSE),"-")</f>
        <v>-</v>
      </c>
      <c r="AK110" s="1396" t="str">
        <f>IFERROR(VLOOKUP(C110,salesInv!$D$8:$I$494,3,FALSE),"-")</f>
        <v>-</v>
      </c>
      <c r="AL110" s="1396" t="str">
        <f>IFERROR(VLOOKUP(C110,salesInv!$D$8:$I$494,4,FALSE),"-")</f>
        <v>-</v>
      </c>
      <c r="AM110" s="1396" t="str">
        <f>IFERROR(VLOOKUP(C110,salesInv!$D$8:$I$494,6,FALSE),"-")</f>
        <v>-</v>
      </c>
      <c r="AN110" s="1396">
        <f>COUNTIF(salesInv!$D$8:$D$494,ProHeader!C110)</f>
        <v>0</v>
      </c>
      <c r="AO110" s="1396"/>
      <c r="AP110" s="1396"/>
      <c r="AQ110" s="1396"/>
      <c r="AR110" s="1396"/>
      <c r="AS110" s="1396"/>
      <c r="AT110" s="1396"/>
      <c r="AU110" s="1396"/>
      <c r="AV110" s="1396"/>
      <c r="AW110" s="1396"/>
      <c r="AX110" s="1396"/>
      <c r="AY110" s="1396"/>
      <c r="AZ110" s="1396"/>
    </row>
    <row r="111" spans="1:52">
      <c r="A111" s="1420"/>
      <c r="B111" s="425"/>
      <c r="C111" s="1401"/>
      <c r="D111" s="1402"/>
      <c r="E111" s="1403"/>
      <c r="F111" s="1404"/>
      <c r="G111" s="1404"/>
      <c r="H111" s="1404"/>
      <c r="I111" s="1404"/>
      <c r="J111" s="1406"/>
      <c r="K111" s="1407"/>
      <c r="L111" s="1408"/>
      <c r="M111" s="1408"/>
      <c r="N111" s="1409"/>
      <c r="O111" s="1409"/>
      <c r="P111" s="1393"/>
      <c r="Q111" s="1393"/>
      <c r="R111" s="1393"/>
      <c r="S111" s="1393"/>
      <c r="T111" s="1393"/>
      <c r="U111" s="1393"/>
      <c r="V111" s="1393"/>
      <c r="W111" s="1393"/>
      <c r="X111" s="1394"/>
      <c r="Y111" s="1394"/>
      <c r="Z111" s="1394"/>
      <c r="AA111" s="1395"/>
      <c r="AB111" s="1393"/>
      <c r="AC111" s="1393"/>
      <c r="AD111" s="1396"/>
      <c r="AE111" s="1396"/>
      <c r="AF111" s="1396"/>
      <c r="AG111" s="1397"/>
      <c r="AH111" s="1397"/>
      <c r="AI111" s="1393" t="str">
        <f>IFERROR(VLOOKUP(C111,salesInv!$D$8:$AM$494,35,FALSE),"-")</f>
        <v>-</v>
      </c>
      <c r="AJ111" s="1398" t="str">
        <f>IFERROR(VLOOKUP(C111,salesInv!$D$8:$AM$494,36,FALSE),"-")</f>
        <v>-</v>
      </c>
      <c r="AK111" s="1396" t="str">
        <f>IFERROR(VLOOKUP(C111,salesInv!$D$8:$I$494,3,FALSE),"-")</f>
        <v>-</v>
      </c>
      <c r="AL111" s="1396" t="str">
        <f>IFERROR(VLOOKUP(C111,salesInv!$D$8:$I$494,4,FALSE),"-")</f>
        <v>-</v>
      </c>
      <c r="AM111" s="1396" t="str">
        <f>IFERROR(VLOOKUP(C111,salesInv!$D$8:$I$494,6,FALSE),"-")</f>
        <v>-</v>
      </c>
      <c r="AN111" s="1396">
        <f>COUNTIF(salesInv!$D$8:$D$494,ProHeader!C111)</f>
        <v>0</v>
      </c>
      <c r="AO111" s="1396"/>
      <c r="AP111" s="1396"/>
      <c r="AQ111" s="1396"/>
      <c r="AR111" s="1396"/>
      <c r="AS111" s="1396"/>
      <c r="AT111" s="1396"/>
      <c r="AU111" s="1396"/>
      <c r="AV111" s="1396"/>
      <c r="AW111" s="1396"/>
      <c r="AX111" s="1396"/>
      <c r="AY111" s="1396"/>
      <c r="AZ111" s="1396"/>
    </row>
    <row r="112" spans="1:52">
      <c r="A112" s="1420"/>
      <c r="B112" s="425"/>
      <c r="C112" s="1401"/>
      <c r="D112" s="1402"/>
      <c r="E112" s="1403"/>
      <c r="F112" s="1404"/>
      <c r="G112" s="1404"/>
      <c r="H112" s="1404"/>
      <c r="I112" s="1404"/>
      <c r="J112" s="1406"/>
      <c r="K112" s="1407"/>
      <c r="L112" s="1408"/>
      <c r="M112" s="1408"/>
      <c r="N112" s="1409"/>
      <c r="O112" s="1409"/>
      <c r="P112" s="1393"/>
      <c r="Q112" s="1393"/>
      <c r="R112" s="1393"/>
      <c r="S112" s="1393"/>
      <c r="T112" s="1393"/>
      <c r="U112" s="1393"/>
      <c r="V112" s="1393"/>
      <c r="W112" s="1393"/>
      <c r="X112" s="1394"/>
      <c r="Y112" s="1394"/>
      <c r="Z112" s="1394"/>
      <c r="AA112" s="1395"/>
      <c r="AB112" s="1393"/>
      <c r="AC112" s="1393"/>
      <c r="AD112" s="1396"/>
      <c r="AE112" s="1396"/>
      <c r="AF112" s="1396"/>
      <c r="AG112" s="1397"/>
      <c r="AH112" s="1397"/>
      <c r="AI112" s="1393" t="str">
        <f>IFERROR(VLOOKUP(C112,salesInv!$D$8:$AM$494,35,FALSE),"-")</f>
        <v>-</v>
      </c>
      <c r="AJ112" s="1398" t="str">
        <f>IFERROR(VLOOKUP(C112,salesInv!$D$8:$AM$494,36,FALSE),"-")</f>
        <v>-</v>
      </c>
      <c r="AK112" s="1396" t="str">
        <f>IFERROR(VLOOKUP(C112,salesInv!$D$8:$I$494,3,FALSE),"-")</f>
        <v>-</v>
      </c>
      <c r="AL112" s="1396" t="str">
        <f>IFERROR(VLOOKUP(C112,salesInv!$D$8:$I$494,4,FALSE),"-")</f>
        <v>-</v>
      </c>
      <c r="AM112" s="1396" t="str">
        <f>IFERROR(VLOOKUP(C112,salesInv!$D$8:$I$494,6,FALSE),"-")</f>
        <v>-</v>
      </c>
      <c r="AN112" s="1396">
        <f>COUNTIF(salesInv!$D$8:$D$494,ProHeader!C112)</f>
        <v>0</v>
      </c>
      <c r="AO112" s="1396"/>
      <c r="AP112" s="1396"/>
      <c r="AQ112" s="1396"/>
      <c r="AR112" s="1396"/>
      <c r="AS112" s="1396"/>
      <c r="AT112" s="1396"/>
      <c r="AU112" s="1396"/>
      <c r="AV112" s="1396"/>
      <c r="AW112" s="1396"/>
      <c r="AX112" s="1396"/>
      <c r="AY112" s="1396"/>
      <c r="AZ112" s="1396"/>
    </row>
    <row r="113" spans="1:52">
      <c r="A113" s="1420"/>
      <c r="B113" s="425"/>
      <c r="C113" s="1401"/>
      <c r="D113" s="1402"/>
      <c r="E113" s="1403"/>
      <c r="F113" s="1404"/>
      <c r="G113" s="1404"/>
      <c r="H113" s="1404"/>
      <c r="I113" s="1404"/>
      <c r="J113" s="1406"/>
      <c r="K113" s="1407"/>
      <c r="L113" s="1408"/>
      <c r="M113" s="1408"/>
      <c r="N113" s="1409"/>
      <c r="O113" s="1409"/>
      <c r="P113" s="1393"/>
      <c r="Q113" s="1393"/>
      <c r="R113" s="1393"/>
      <c r="S113" s="1393"/>
      <c r="T113" s="1393"/>
      <c r="U113" s="1393"/>
      <c r="V113" s="1393"/>
      <c r="W113" s="1393"/>
      <c r="X113" s="1394"/>
      <c r="Y113" s="1394"/>
      <c r="Z113" s="1394"/>
      <c r="AA113" s="1395"/>
      <c r="AB113" s="1393"/>
      <c r="AC113" s="1393"/>
      <c r="AD113" s="1396"/>
      <c r="AE113" s="1396"/>
      <c r="AF113" s="1396"/>
      <c r="AG113" s="1397"/>
      <c r="AH113" s="1397"/>
      <c r="AI113" s="1393" t="str">
        <f>IFERROR(VLOOKUP(C113,salesInv!$D$8:$AM$494,35,FALSE),"-")</f>
        <v>-</v>
      </c>
      <c r="AJ113" s="1398" t="str">
        <f>IFERROR(VLOOKUP(C113,salesInv!$D$8:$AM$494,36,FALSE),"-")</f>
        <v>-</v>
      </c>
      <c r="AK113" s="1396" t="str">
        <f>IFERROR(VLOOKUP(C113,salesInv!$D$8:$I$494,3,FALSE),"-")</f>
        <v>-</v>
      </c>
      <c r="AL113" s="1396" t="str">
        <f>IFERROR(VLOOKUP(C113,salesInv!$D$8:$I$494,4,FALSE),"-")</f>
        <v>-</v>
      </c>
      <c r="AM113" s="1396" t="str">
        <f>IFERROR(VLOOKUP(C113,salesInv!$D$8:$I$494,6,FALSE),"-")</f>
        <v>-</v>
      </c>
      <c r="AN113" s="1396">
        <f>COUNTIF(salesInv!$D$8:$D$494,ProHeader!C113)</f>
        <v>0</v>
      </c>
      <c r="AO113" s="1396"/>
      <c r="AP113" s="1396"/>
      <c r="AQ113" s="1396"/>
      <c r="AR113" s="1396"/>
      <c r="AS113" s="1396"/>
      <c r="AT113" s="1396"/>
      <c r="AU113" s="1396"/>
      <c r="AV113" s="1396"/>
      <c r="AW113" s="1396"/>
      <c r="AX113" s="1396"/>
      <c r="AY113" s="1396"/>
      <c r="AZ113" s="1396"/>
    </row>
    <row r="114" spans="1:52">
      <c r="A114" s="1420"/>
      <c r="B114" s="425"/>
      <c r="C114" s="1401"/>
      <c r="D114" s="1402"/>
      <c r="E114" s="1403"/>
      <c r="F114" s="1404"/>
      <c r="G114" s="1404"/>
      <c r="H114" s="1404"/>
      <c r="I114" s="1404"/>
      <c r="J114" s="1406"/>
      <c r="K114" s="1407"/>
      <c r="L114" s="1408"/>
      <c r="M114" s="1408"/>
      <c r="N114" s="1409"/>
      <c r="O114" s="1409"/>
      <c r="P114" s="1393"/>
      <c r="Q114" s="1393"/>
      <c r="R114" s="1393"/>
      <c r="S114" s="1393"/>
      <c r="T114" s="1393"/>
      <c r="U114" s="1393"/>
      <c r="V114" s="1393"/>
      <c r="W114" s="1393"/>
      <c r="X114" s="1394"/>
      <c r="Y114" s="1394"/>
      <c r="Z114" s="1394"/>
      <c r="AA114" s="1395"/>
      <c r="AB114" s="1393"/>
      <c r="AC114" s="1393"/>
      <c r="AD114" s="1396"/>
      <c r="AE114" s="1396"/>
      <c r="AF114" s="1396"/>
      <c r="AG114" s="1397"/>
      <c r="AH114" s="1397"/>
      <c r="AI114" s="1393" t="str">
        <f>IFERROR(VLOOKUP(C114,salesInv!$D$8:$AM$494,35,FALSE),"-")</f>
        <v>-</v>
      </c>
      <c r="AJ114" s="1398" t="str">
        <f>IFERROR(VLOOKUP(C114,salesInv!$D$8:$AM$494,36,FALSE),"-")</f>
        <v>-</v>
      </c>
      <c r="AK114" s="1396" t="str">
        <f>IFERROR(VLOOKUP(C114,salesInv!$D$8:$I$494,3,FALSE),"-")</f>
        <v>-</v>
      </c>
      <c r="AL114" s="1396" t="str">
        <f>IFERROR(VLOOKUP(C114,salesInv!$D$8:$I$494,4,FALSE),"-")</f>
        <v>-</v>
      </c>
      <c r="AM114" s="1396" t="str">
        <f>IFERROR(VLOOKUP(C114,salesInv!$D$8:$I$494,6,FALSE),"-")</f>
        <v>-</v>
      </c>
      <c r="AN114" s="1396"/>
      <c r="AO114" s="1396"/>
      <c r="AP114" s="1396"/>
      <c r="AQ114" s="1396"/>
      <c r="AR114" s="1396"/>
      <c r="AS114" s="1396"/>
      <c r="AT114" s="1396"/>
      <c r="AU114" s="1396"/>
      <c r="AV114" s="1396"/>
      <c r="AW114" s="1396"/>
      <c r="AX114" s="1396"/>
      <c r="AY114" s="1396"/>
      <c r="AZ114" s="1396"/>
    </row>
    <row r="115" spans="1:52">
      <c r="A115" s="1420"/>
      <c r="B115" s="425"/>
      <c r="C115" s="1401"/>
      <c r="D115" s="1402"/>
      <c r="E115" s="1403"/>
      <c r="F115" s="1404"/>
      <c r="G115" s="1404"/>
      <c r="H115" s="1404"/>
      <c r="I115" s="1404"/>
      <c r="J115" s="1406"/>
      <c r="K115" s="1407"/>
      <c r="L115" s="1408"/>
      <c r="M115" s="1408"/>
      <c r="N115" s="1409"/>
      <c r="O115" s="1409"/>
      <c r="P115" s="1393"/>
      <c r="Q115" s="1393"/>
      <c r="R115" s="1393"/>
      <c r="S115" s="1393"/>
      <c r="T115" s="1393"/>
      <c r="U115" s="1393"/>
      <c r="V115" s="1393"/>
      <c r="W115" s="1393"/>
      <c r="X115" s="1394"/>
      <c r="Y115" s="1394"/>
      <c r="Z115" s="1394"/>
      <c r="AA115" s="1395"/>
      <c r="AB115" s="1393"/>
      <c r="AC115" s="1393"/>
      <c r="AD115" s="1396"/>
      <c r="AE115" s="1396"/>
      <c r="AF115" s="1396"/>
      <c r="AG115" s="1397"/>
      <c r="AH115" s="1397"/>
      <c r="AI115" s="1393" t="str">
        <f>IFERROR(VLOOKUP(C115,salesInv!$D$8:$AM$494,35,FALSE),"-")</f>
        <v>-</v>
      </c>
      <c r="AJ115" s="1398" t="str">
        <f>IFERROR(VLOOKUP(C115,salesInv!$D$8:$AM$494,36,FALSE),"-")</f>
        <v>-</v>
      </c>
      <c r="AK115" s="1396" t="str">
        <f>IFERROR(VLOOKUP(C115,salesInv!$D$8:$I$494,3,FALSE),"-")</f>
        <v>-</v>
      </c>
      <c r="AL115" s="1396" t="str">
        <f>IFERROR(VLOOKUP(C115,salesInv!$D$8:$I$494,4,FALSE),"-")</f>
        <v>-</v>
      </c>
      <c r="AM115" s="1396" t="str">
        <f>IFERROR(VLOOKUP(C115,salesInv!$D$8:$I$494,6,FALSE),"-")</f>
        <v>-</v>
      </c>
      <c r="AN115" s="1396"/>
      <c r="AO115" s="1396"/>
      <c r="AP115" s="1396"/>
      <c r="AQ115" s="1396"/>
      <c r="AR115" s="1396"/>
      <c r="AS115" s="1396"/>
      <c r="AT115" s="1396"/>
      <c r="AU115" s="1396"/>
      <c r="AV115" s="1396"/>
      <c r="AW115" s="1396"/>
      <c r="AX115" s="1396"/>
      <c r="AY115" s="1396"/>
      <c r="AZ115" s="1396"/>
    </row>
    <row r="116" spans="1:52">
      <c r="A116" s="1420"/>
      <c r="B116" s="425"/>
      <c r="C116" s="1401"/>
      <c r="D116" s="1402"/>
      <c r="E116" s="1403"/>
      <c r="F116" s="1404"/>
      <c r="G116" s="1404"/>
      <c r="H116" s="1404"/>
      <c r="I116" s="1404"/>
      <c r="J116" s="1406"/>
      <c r="K116" s="1407"/>
      <c r="L116" s="1408"/>
      <c r="M116" s="1408"/>
      <c r="N116" s="1409"/>
      <c r="O116" s="1409"/>
      <c r="P116" s="1393"/>
      <c r="Q116" s="1393"/>
      <c r="R116" s="1393"/>
      <c r="S116" s="1393"/>
      <c r="T116" s="1393"/>
      <c r="U116" s="1393"/>
      <c r="V116" s="1393"/>
      <c r="W116" s="1393"/>
      <c r="X116" s="1394"/>
      <c r="Y116" s="1394"/>
      <c r="Z116" s="1394"/>
      <c r="AA116" s="1395"/>
      <c r="AB116" s="1393"/>
      <c r="AC116" s="1393"/>
      <c r="AD116" s="1396"/>
      <c r="AE116" s="1396"/>
      <c r="AF116" s="1396"/>
      <c r="AG116" s="1397"/>
      <c r="AH116" s="1397"/>
      <c r="AI116" s="1393" t="str">
        <f>IFERROR(VLOOKUP(C116,salesInv!$D$8:$AM$494,35,FALSE),"-")</f>
        <v>-</v>
      </c>
      <c r="AJ116" s="1398" t="str">
        <f>IFERROR(VLOOKUP(C116,salesInv!$D$8:$AM$494,36,FALSE),"-")</f>
        <v>-</v>
      </c>
      <c r="AK116" s="1396" t="str">
        <f>IFERROR(VLOOKUP(C116,salesInv!$D$8:$I$494,3,FALSE),"-")</f>
        <v>-</v>
      </c>
      <c r="AL116" s="1396" t="str">
        <f>IFERROR(VLOOKUP(C116,salesInv!$D$8:$I$494,4,FALSE),"-")</f>
        <v>-</v>
      </c>
      <c r="AM116" s="1396" t="str">
        <f>IFERROR(VLOOKUP(C116,salesInv!$D$8:$I$494,6,FALSE),"-")</f>
        <v>-</v>
      </c>
      <c r="AN116" s="1396"/>
      <c r="AO116" s="1396"/>
      <c r="AP116" s="1396"/>
      <c r="AQ116" s="1396"/>
      <c r="AR116" s="1396"/>
      <c r="AS116" s="1396"/>
      <c r="AT116" s="1396"/>
      <c r="AU116" s="1396"/>
      <c r="AV116" s="1396"/>
      <c r="AW116" s="1396"/>
      <c r="AX116" s="1396"/>
      <c r="AY116" s="1396"/>
      <c r="AZ116" s="1396"/>
    </row>
    <row r="117" spans="1:52">
      <c r="A117" s="1420"/>
      <c r="B117" s="425"/>
      <c r="C117" s="1401"/>
      <c r="D117" s="1402"/>
      <c r="E117" s="1403"/>
      <c r="F117" s="1404"/>
      <c r="G117" s="1404"/>
      <c r="H117" s="1404"/>
      <c r="I117" s="1404"/>
      <c r="J117" s="1406"/>
      <c r="K117" s="1407"/>
      <c r="L117" s="1408"/>
      <c r="M117" s="1408"/>
      <c r="N117" s="1409"/>
      <c r="O117" s="1409"/>
      <c r="P117" s="1393"/>
      <c r="Q117" s="1393"/>
      <c r="R117" s="1393"/>
      <c r="S117" s="1393"/>
      <c r="T117" s="1393"/>
      <c r="U117" s="1393"/>
      <c r="V117" s="1393"/>
      <c r="W117" s="1393"/>
      <c r="X117" s="1394"/>
      <c r="Y117" s="1394"/>
      <c r="Z117" s="1394"/>
      <c r="AA117" s="1395"/>
      <c r="AB117" s="1393"/>
      <c r="AC117" s="1393"/>
      <c r="AD117" s="1396"/>
      <c r="AE117" s="1396"/>
      <c r="AF117" s="1396"/>
      <c r="AG117" s="1397"/>
      <c r="AH117" s="1397"/>
      <c r="AI117" s="1393" t="str">
        <f>IFERROR(VLOOKUP(C117,salesInv!$D$8:$AM$494,35,FALSE),"-")</f>
        <v>-</v>
      </c>
      <c r="AJ117" s="1398" t="str">
        <f>IFERROR(VLOOKUP(C117,salesInv!$D$8:$AM$494,36,FALSE),"-")</f>
        <v>-</v>
      </c>
      <c r="AK117" s="1396" t="str">
        <f>IFERROR(VLOOKUP(C117,salesInv!$D$8:$I$494,3,FALSE),"-")</f>
        <v>-</v>
      </c>
      <c r="AL117" s="1396" t="str">
        <f>IFERROR(VLOOKUP(C117,salesInv!$D$8:$I$494,4,FALSE),"-")</f>
        <v>-</v>
      </c>
      <c r="AM117" s="1396" t="str">
        <f>IFERROR(VLOOKUP(C117,salesInv!$D$8:$I$494,6,FALSE),"-")</f>
        <v>-</v>
      </c>
      <c r="AN117" s="1396"/>
      <c r="AO117" s="1396"/>
      <c r="AP117" s="1396"/>
      <c r="AQ117" s="1396"/>
      <c r="AR117" s="1396"/>
      <c r="AS117" s="1396"/>
      <c r="AT117" s="1396"/>
      <c r="AU117" s="1396"/>
      <c r="AV117" s="1396"/>
      <c r="AW117" s="1396"/>
      <c r="AX117" s="1396"/>
      <c r="AY117" s="1396"/>
      <c r="AZ117" s="1396"/>
    </row>
  </sheetData>
  <autoFilter ref="AH8:AH98" xr:uid="{E821EAFF-1784-4306-9D1A-C9EE5D581D19}"/>
  <sortState xmlns:xlrd2="http://schemas.microsoft.com/office/spreadsheetml/2017/richdata2" ref="C9:AF77">
    <sortCondition ref="C9:C77"/>
  </sortState>
  <customSheetViews>
    <customSheetView guid="{CE7484BD-F9E2-4C03-AA0F-F7057FD8E6EF}" showPageBreaks="1" showAutoFilter="1" view="pageBreakPreview" topLeftCell="H1">
      <pane ySplit="5" topLeftCell="A55" activePane="bottomLeft" state="frozen"/>
      <selection pane="bottomLeft" activeCell="P66" sqref="P66"/>
      <colBreaks count="1" manualBreakCount="1">
        <brk id="34" max="1048575" man="1"/>
      </colBreaks>
      <pageMargins left="0.16" right="0.11" top="0.18" bottom="0.16" header="0.3" footer="0.3"/>
      <pageSetup paperSize="9" scale="32" orientation="portrait" r:id="rId1"/>
      <autoFilter ref="AH5:AH94" xr:uid="{C7385332-98ED-41B1-95EF-3A463DC4818D}"/>
    </customSheetView>
  </customSheetViews>
  <phoneticPr fontId="36" type="noConversion"/>
  <conditionalFormatting sqref="AC8:AC77">
    <cfRule type="duplicateValues" dxfId="77" priority="30"/>
  </conditionalFormatting>
  <conditionalFormatting sqref="C11 C13:C36">
    <cfRule type="duplicateValues" dxfId="76" priority="27"/>
  </conditionalFormatting>
  <conditionalFormatting sqref="C37:C46 C48:C52 C54:C58 C60:C64">
    <cfRule type="duplicateValues" dxfId="75" priority="26"/>
  </conditionalFormatting>
  <conditionalFormatting sqref="C65:C71">
    <cfRule type="duplicateValues" dxfId="74" priority="25"/>
  </conditionalFormatting>
  <conditionalFormatting sqref="C10">
    <cfRule type="duplicateValues" dxfId="73" priority="24"/>
  </conditionalFormatting>
  <conditionalFormatting sqref="C12">
    <cfRule type="duplicateValues" dxfId="72" priority="23"/>
  </conditionalFormatting>
  <conditionalFormatting sqref="AC78:AC83">
    <cfRule type="duplicateValues" dxfId="71" priority="22"/>
  </conditionalFormatting>
  <conditionalFormatting sqref="C78:C80 C82:C83">
    <cfRule type="duplicateValues" dxfId="70" priority="21"/>
  </conditionalFormatting>
  <conditionalFormatting sqref="C81">
    <cfRule type="duplicateValues" dxfId="69" priority="18"/>
  </conditionalFormatting>
  <conditionalFormatting sqref="C47">
    <cfRule type="duplicateValues" dxfId="68" priority="17"/>
  </conditionalFormatting>
  <conditionalFormatting sqref="C53">
    <cfRule type="duplicateValues" dxfId="67" priority="16"/>
  </conditionalFormatting>
  <conditionalFormatting sqref="C59">
    <cfRule type="duplicateValues" dxfId="66" priority="15"/>
  </conditionalFormatting>
  <conditionalFormatting sqref="C72">
    <cfRule type="duplicateValues" dxfId="65" priority="14"/>
  </conditionalFormatting>
  <conditionalFormatting sqref="AC84 AC86:AC90 AC94:AC117">
    <cfRule type="duplicateValues" dxfId="64" priority="12"/>
  </conditionalFormatting>
  <conditionalFormatting sqref="C84 C86:C88 C94:C117">
    <cfRule type="duplicateValues" dxfId="63" priority="11"/>
  </conditionalFormatting>
  <conditionalFormatting sqref="AC85">
    <cfRule type="duplicateValues" dxfId="62" priority="10"/>
  </conditionalFormatting>
  <conditionalFormatting sqref="C85">
    <cfRule type="duplicateValues" dxfId="61" priority="9"/>
  </conditionalFormatting>
  <conditionalFormatting sqref="C89">
    <cfRule type="duplicateValues" dxfId="60" priority="8"/>
  </conditionalFormatting>
  <conditionalFormatting sqref="C90">
    <cfRule type="duplicateValues" dxfId="59" priority="7"/>
  </conditionalFormatting>
  <conditionalFormatting sqref="AC91">
    <cfRule type="duplicateValues" dxfId="58" priority="6"/>
  </conditionalFormatting>
  <conditionalFormatting sqref="C91">
    <cfRule type="duplicateValues" dxfId="57" priority="5"/>
  </conditionalFormatting>
  <conditionalFormatting sqref="AC92">
    <cfRule type="duplicateValues" dxfId="56" priority="4"/>
  </conditionalFormatting>
  <conditionalFormatting sqref="C92">
    <cfRule type="duplicateValues" dxfId="55" priority="3"/>
  </conditionalFormatting>
  <conditionalFormatting sqref="AC93">
    <cfRule type="duplicateValues" dxfId="54" priority="2"/>
  </conditionalFormatting>
  <conditionalFormatting sqref="C93">
    <cfRule type="duplicateValues" dxfId="53" priority="1"/>
  </conditionalFormatting>
  <pageMargins left="0.16" right="0.11" top="0.18" bottom="0.16" header="0.3" footer="0.3"/>
  <pageSetup paperSize="9" scale="32" orientation="portrait" r:id="rId2"/>
  <colBreaks count="1" manualBreakCount="1">
    <brk id="34" max="1048575" man="1"/>
  </colBreaks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28</xdr:col>
                <xdr:colOff>361950</xdr:colOff>
                <xdr:row>0</xdr:row>
                <xdr:rowOff>0</xdr:rowOff>
              </from>
              <to>
                <xdr:col>30</xdr:col>
                <xdr:colOff>352425</xdr:colOff>
                <xdr:row>1</xdr:row>
                <xdr:rowOff>57150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75C4F-EC28-4858-A90C-F549D12381F6}">
  <sheetPr codeName="Sheet8">
    <tabColor theme="0" tint="-0.499984740745262"/>
  </sheetPr>
  <dimension ref="A1:AA723"/>
  <sheetViews>
    <sheetView topLeftCell="A40" workbookViewId="0">
      <selection activeCell="E30" sqref="E30"/>
    </sheetView>
  </sheetViews>
  <sheetFormatPr defaultRowHeight="15"/>
  <cols>
    <col min="3" max="3" width="14" customWidth="1"/>
    <col min="6" max="6" width="33.28515625" customWidth="1"/>
    <col min="9" max="27" width="9.140625" style="1361"/>
  </cols>
  <sheetData>
    <row r="1" spans="1:15" customFormat="1" ht="25.5" customHeight="1">
      <c r="A1" s="1348" t="s">
        <v>315</v>
      </c>
      <c r="B1" s="1348"/>
      <c r="C1" s="1341"/>
      <c r="D1" s="1341"/>
      <c r="E1" s="1341"/>
      <c r="F1" s="1344"/>
    </row>
    <row r="2" spans="1:15" customFormat="1" ht="22.5">
      <c r="A2" s="439">
        <v>237</v>
      </c>
      <c r="B2" s="439" t="s">
        <v>280</v>
      </c>
      <c r="C2" s="1345" t="s">
        <v>315</v>
      </c>
      <c r="D2" s="1345" t="s">
        <v>363</v>
      </c>
      <c r="E2" s="1345" t="s">
        <v>364</v>
      </c>
      <c r="F2" s="1346" t="s">
        <v>348</v>
      </c>
      <c r="G2" s="436" t="s">
        <v>349</v>
      </c>
      <c r="H2" s="436" t="s">
        <v>350</v>
      </c>
      <c r="I2" s="436" t="s">
        <v>348</v>
      </c>
      <c r="J2" s="436" t="s">
        <v>349</v>
      </c>
      <c r="K2" s="436" t="s">
        <v>350</v>
      </c>
      <c r="L2" s="436" t="s">
        <v>351</v>
      </c>
      <c r="M2" s="438" t="s">
        <v>223</v>
      </c>
    </row>
    <row r="3" spans="1:15" customFormat="1" ht="15.75">
      <c r="A3" s="439">
        <v>238</v>
      </c>
      <c r="B3" s="439" t="s">
        <v>280</v>
      </c>
      <c r="C3" s="80" t="s">
        <v>998</v>
      </c>
      <c r="D3" s="81" t="s">
        <v>1000</v>
      </c>
      <c r="E3" s="80" t="s">
        <v>1001</v>
      </c>
      <c r="F3" s="1030">
        <v>97562</v>
      </c>
      <c r="G3" s="444">
        <v>85806</v>
      </c>
      <c r="H3" s="444"/>
      <c r="I3" s="444"/>
      <c r="J3" s="444"/>
      <c r="K3" s="444"/>
      <c r="L3" s="444"/>
      <c r="M3" s="80"/>
      <c r="N3" t="s">
        <v>3036</v>
      </c>
      <c r="O3" t="s">
        <v>3035</v>
      </c>
    </row>
    <row r="4" spans="1:15" customFormat="1" ht="16.5" thickBot="1">
      <c r="A4" s="439">
        <v>239</v>
      </c>
      <c r="B4" s="439" t="s">
        <v>280</v>
      </c>
      <c r="C4" s="1320" t="s">
        <v>573</v>
      </c>
      <c r="D4" s="1321" t="s">
        <v>576</v>
      </c>
      <c r="E4" s="1320" t="s">
        <v>575</v>
      </c>
      <c r="F4" s="1322" t="s">
        <v>577</v>
      </c>
      <c r="G4" s="1323">
        <v>51918</v>
      </c>
      <c r="H4" s="1323">
        <v>51918</v>
      </c>
      <c r="I4" s="1323"/>
      <c r="J4" s="1323"/>
      <c r="K4" s="1323"/>
      <c r="L4" s="1323"/>
      <c r="M4" s="1321"/>
    </row>
    <row r="5" spans="1:15" customFormat="1" ht="17.25" thickTop="1" thickBot="1">
      <c r="A5" s="1333">
        <v>235</v>
      </c>
      <c r="B5" s="1333" t="s">
        <v>271</v>
      </c>
      <c r="C5" s="1334" t="s">
        <v>407</v>
      </c>
      <c r="D5" s="1335" t="s">
        <v>410</v>
      </c>
      <c r="E5" s="1336" t="s">
        <v>409</v>
      </c>
      <c r="F5" s="1337" t="s">
        <v>411</v>
      </c>
      <c r="G5" s="1338">
        <v>141765</v>
      </c>
      <c r="H5" s="1338"/>
      <c r="I5" s="1338"/>
      <c r="J5" s="1338"/>
      <c r="K5" s="1338"/>
      <c r="L5" s="1338"/>
      <c r="M5" s="1336"/>
      <c r="N5" s="1339"/>
      <c r="O5" s="1340"/>
    </row>
    <row r="6" spans="1:15" customFormat="1" ht="17.25" thickTop="1" thickBot="1">
      <c r="A6" s="440">
        <v>237</v>
      </c>
      <c r="B6" s="440" t="s">
        <v>284</v>
      </c>
      <c r="C6" s="1324" t="s">
        <v>1503</v>
      </c>
      <c r="D6" s="1325" t="s">
        <v>1010</v>
      </c>
      <c r="E6" s="1388" t="s">
        <v>1013</v>
      </c>
      <c r="F6" s="1326" t="s">
        <v>1014</v>
      </c>
      <c r="G6" s="1327">
        <v>82183.5</v>
      </c>
      <c r="H6" s="1327">
        <v>82183.25</v>
      </c>
      <c r="I6" s="1327"/>
      <c r="J6" s="1327"/>
      <c r="K6" s="1327"/>
      <c r="L6" s="1327"/>
      <c r="M6" s="1324"/>
      <c r="O6" s="1319"/>
    </row>
    <row r="7" spans="1:15" customFormat="1" ht="17.25" thickTop="1" thickBot="1">
      <c r="A7" s="439">
        <v>228</v>
      </c>
      <c r="B7" s="439" t="s">
        <v>297</v>
      </c>
      <c r="C7" s="80" t="s">
        <v>1337</v>
      </c>
      <c r="D7" s="81"/>
      <c r="E7" s="1388"/>
      <c r="F7" s="1030" t="s">
        <v>873</v>
      </c>
      <c r="G7" s="444">
        <v>24885</v>
      </c>
      <c r="H7" s="444"/>
      <c r="I7" s="444"/>
      <c r="J7" s="444"/>
      <c r="K7" s="444"/>
      <c r="L7" s="444"/>
      <c r="M7" s="80" t="s">
        <v>874</v>
      </c>
      <c r="O7" s="1319"/>
    </row>
    <row r="8" spans="1:15" customFormat="1" ht="17.25" thickTop="1" thickBot="1">
      <c r="A8" s="439">
        <v>218</v>
      </c>
      <c r="B8" s="439" t="s">
        <v>153</v>
      </c>
      <c r="C8" s="83" t="s">
        <v>528</v>
      </c>
      <c r="D8" s="80" t="s">
        <v>531</v>
      </c>
      <c r="E8" s="1388" t="s">
        <v>530</v>
      </c>
      <c r="F8" s="1031" t="s">
        <v>532</v>
      </c>
      <c r="G8" s="444">
        <v>94668</v>
      </c>
      <c r="H8" s="444">
        <v>74902</v>
      </c>
      <c r="I8" s="444" t="s">
        <v>533</v>
      </c>
      <c r="J8" s="444">
        <v>15445</v>
      </c>
      <c r="K8" s="444">
        <v>15445</v>
      </c>
      <c r="L8" s="444"/>
      <c r="M8" s="80"/>
      <c r="O8" s="1319"/>
    </row>
    <row r="9" spans="1:15" customFormat="1" ht="17.25" thickTop="1" thickBot="1">
      <c r="A9" s="439">
        <v>250</v>
      </c>
      <c r="B9" s="439" t="s">
        <v>295</v>
      </c>
      <c r="C9" s="80" t="s">
        <v>1330</v>
      </c>
      <c r="D9" s="81"/>
      <c r="E9" s="1388"/>
      <c r="F9" s="1030" t="s">
        <v>842</v>
      </c>
      <c r="G9" s="444">
        <v>48153</v>
      </c>
      <c r="H9" s="444">
        <v>37160</v>
      </c>
      <c r="I9" s="444"/>
      <c r="J9" s="444"/>
      <c r="K9" s="444"/>
      <c r="L9" s="444"/>
      <c r="M9" s="80"/>
      <c r="O9" s="1319"/>
    </row>
    <row r="10" spans="1:15" customFormat="1" ht="17.25" thickTop="1" thickBot="1">
      <c r="A10" s="439">
        <v>246</v>
      </c>
      <c r="B10" s="439" t="s">
        <v>293</v>
      </c>
      <c r="C10" s="82" t="s">
        <v>554</v>
      </c>
      <c r="D10" s="80" t="s">
        <v>557</v>
      </c>
      <c r="E10" s="1388" t="s">
        <v>556</v>
      </c>
      <c r="F10" s="1030" t="s">
        <v>558</v>
      </c>
      <c r="G10" s="444">
        <v>98857</v>
      </c>
      <c r="H10" s="444">
        <v>32892</v>
      </c>
      <c r="I10" s="444"/>
      <c r="J10" s="444"/>
      <c r="K10" s="444"/>
      <c r="L10" s="444"/>
      <c r="M10" s="80"/>
      <c r="O10" s="1319"/>
    </row>
    <row r="11" spans="1:15" customFormat="1" ht="17.25" thickTop="1" thickBot="1">
      <c r="A11" s="439">
        <v>221</v>
      </c>
      <c r="B11" s="439" t="s">
        <v>305</v>
      </c>
      <c r="C11" s="82" t="s">
        <v>501</v>
      </c>
      <c r="D11" s="81" t="s">
        <v>503</v>
      </c>
      <c r="E11" s="1388" t="s">
        <v>502</v>
      </c>
      <c r="F11" s="1031" t="s">
        <v>504</v>
      </c>
      <c r="G11" s="444">
        <v>76335</v>
      </c>
      <c r="H11" s="444">
        <v>76335</v>
      </c>
      <c r="I11" s="444"/>
      <c r="J11" s="444"/>
      <c r="K11" s="444"/>
      <c r="L11" s="444"/>
      <c r="M11" s="80" t="s">
        <v>505</v>
      </c>
      <c r="O11" s="1319"/>
    </row>
    <row r="12" spans="1:15" customFormat="1" ht="17.25" thickTop="1" thickBot="1">
      <c r="A12" s="439">
        <v>234</v>
      </c>
      <c r="B12" s="439" t="s">
        <v>286</v>
      </c>
      <c r="C12" s="82" t="s">
        <v>3031</v>
      </c>
      <c r="D12" s="81" t="s">
        <v>491</v>
      </c>
      <c r="E12" s="1389" t="s">
        <v>611</v>
      </c>
      <c r="F12" s="1031" t="s">
        <v>612</v>
      </c>
      <c r="G12" s="444">
        <v>70696.5</v>
      </c>
      <c r="H12" s="444">
        <v>69054</v>
      </c>
      <c r="I12" s="444"/>
      <c r="J12" s="444"/>
      <c r="K12" s="444"/>
      <c r="L12" s="444"/>
      <c r="M12" s="80"/>
      <c r="O12" s="1319"/>
    </row>
    <row r="13" spans="1:15" customFormat="1" ht="17.25" thickTop="1" thickBot="1">
      <c r="A13" s="439">
        <v>223</v>
      </c>
      <c r="B13" s="439" t="s">
        <v>292</v>
      </c>
      <c r="C13" s="82" t="s">
        <v>770</v>
      </c>
      <c r="D13" s="81" t="s">
        <v>771</v>
      </c>
      <c r="E13" s="1390" t="s">
        <v>415</v>
      </c>
      <c r="F13" s="1031" t="s">
        <v>491</v>
      </c>
      <c r="G13" s="444">
        <v>52363</v>
      </c>
      <c r="H13" s="444">
        <v>52363</v>
      </c>
      <c r="I13" s="444"/>
      <c r="J13" s="444"/>
      <c r="K13" s="444"/>
      <c r="L13" s="444"/>
      <c r="M13" s="80"/>
      <c r="O13" s="1319"/>
    </row>
    <row r="14" spans="1:15" customFormat="1" ht="17.25" thickTop="1" thickBot="1">
      <c r="A14" s="439">
        <v>216</v>
      </c>
      <c r="B14" s="439" t="s">
        <v>300</v>
      </c>
      <c r="C14" s="82" t="s">
        <v>671</v>
      </c>
      <c r="D14" s="80" t="s">
        <v>674</v>
      </c>
      <c r="E14" s="1389" t="s">
        <v>673</v>
      </c>
      <c r="F14" s="1030" t="s">
        <v>675</v>
      </c>
      <c r="G14" s="444">
        <v>85344</v>
      </c>
      <c r="H14" s="444">
        <v>74267</v>
      </c>
      <c r="I14" s="444"/>
      <c r="J14" s="444"/>
      <c r="K14" s="444"/>
      <c r="L14" s="444"/>
      <c r="M14" s="80"/>
      <c r="O14" s="1319"/>
    </row>
    <row r="15" spans="1:15" customFormat="1" ht="17.25" thickTop="1" thickBot="1">
      <c r="A15" s="439">
        <v>225</v>
      </c>
      <c r="B15" s="439" t="s">
        <v>288</v>
      </c>
      <c r="C15" s="82" t="s">
        <v>626</v>
      </c>
      <c r="D15" s="81" t="s">
        <v>629</v>
      </c>
      <c r="E15" s="1391" t="s">
        <v>628</v>
      </c>
      <c r="F15" s="1030" t="s">
        <v>29</v>
      </c>
      <c r="G15" s="444">
        <v>89738</v>
      </c>
      <c r="H15" s="444">
        <v>67645.5</v>
      </c>
      <c r="I15" s="444"/>
      <c r="J15" s="444"/>
      <c r="K15" s="444"/>
      <c r="L15" s="444"/>
      <c r="M15" s="80"/>
      <c r="O15" s="1319"/>
    </row>
    <row r="16" spans="1:15" customFormat="1" ht="17.25" thickTop="1" thickBot="1">
      <c r="A16" s="439">
        <v>227</v>
      </c>
      <c r="B16" s="439" t="s">
        <v>272</v>
      </c>
      <c r="C16" s="82" t="s">
        <v>413</v>
      </c>
      <c r="D16" s="81" t="s">
        <v>415</v>
      </c>
      <c r="E16" s="1389" t="s">
        <v>414</v>
      </c>
      <c r="F16" s="1031" t="s">
        <v>417</v>
      </c>
      <c r="G16" s="444">
        <v>161988</v>
      </c>
      <c r="H16" s="444">
        <v>161988.5</v>
      </c>
      <c r="I16" s="444"/>
      <c r="J16" s="444"/>
      <c r="K16" s="444"/>
      <c r="L16" s="444"/>
      <c r="M16" s="80"/>
      <c r="O16" s="1319"/>
    </row>
    <row r="17" spans="1:15" customFormat="1" ht="17.25" thickTop="1" thickBot="1">
      <c r="A17" s="439">
        <v>254</v>
      </c>
      <c r="B17" s="439" t="s">
        <v>1338</v>
      </c>
      <c r="C17" s="82" t="s">
        <v>681</v>
      </c>
      <c r="D17" s="81" t="s">
        <v>684</v>
      </c>
      <c r="E17" s="1388" t="s">
        <v>683</v>
      </c>
      <c r="F17" s="1030" t="s">
        <v>685</v>
      </c>
      <c r="G17" s="444">
        <v>137828</v>
      </c>
      <c r="H17" s="444">
        <v>49487</v>
      </c>
      <c r="I17" s="444"/>
      <c r="J17" s="444"/>
      <c r="K17" s="444"/>
      <c r="L17" s="444"/>
      <c r="M17" s="80"/>
      <c r="O17" s="1319"/>
    </row>
    <row r="18" spans="1:15" customFormat="1" ht="17.25" thickTop="1" thickBot="1">
      <c r="A18" s="439">
        <v>231</v>
      </c>
      <c r="B18" s="439" t="s">
        <v>186</v>
      </c>
      <c r="C18" s="82" t="s">
        <v>638</v>
      </c>
      <c r="D18" s="80" t="s">
        <v>640</v>
      </c>
      <c r="E18" s="1389" t="s">
        <v>639</v>
      </c>
      <c r="F18" s="1031" t="s">
        <v>641</v>
      </c>
      <c r="G18" s="444">
        <v>71961</v>
      </c>
      <c r="H18" s="444">
        <v>70649</v>
      </c>
      <c r="I18" s="444"/>
      <c r="J18" s="444"/>
      <c r="K18" s="444"/>
      <c r="L18" s="444"/>
      <c r="M18" s="82" t="s">
        <v>642</v>
      </c>
      <c r="O18" s="1319"/>
    </row>
    <row r="19" spans="1:15" customFormat="1" ht="17.25" thickTop="1" thickBot="1">
      <c r="A19" s="439">
        <v>226</v>
      </c>
      <c r="B19" s="439" t="s">
        <v>809</v>
      </c>
      <c r="C19" s="131" t="s">
        <v>810</v>
      </c>
      <c r="D19" s="130" t="s">
        <v>812</v>
      </c>
      <c r="E19" s="1392" t="s">
        <v>811</v>
      </c>
      <c r="F19" s="1031" t="s">
        <v>813</v>
      </c>
      <c r="G19" s="444">
        <v>53077</v>
      </c>
      <c r="H19" s="444"/>
      <c r="I19" s="444"/>
      <c r="J19" s="444"/>
      <c r="K19" s="444"/>
      <c r="L19" s="444"/>
      <c r="M19" s="80"/>
      <c r="O19" s="1319"/>
    </row>
    <row r="20" spans="1:15" customFormat="1" ht="17.25" thickTop="1" thickBot="1">
      <c r="A20" s="439">
        <v>252</v>
      </c>
      <c r="B20" s="439" t="s">
        <v>287</v>
      </c>
      <c r="C20" s="82" t="s">
        <v>620</v>
      </c>
      <c r="D20" s="81" t="s">
        <v>623</v>
      </c>
      <c r="E20" s="1389" t="s">
        <v>622</v>
      </c>
      <c r="F20" s="1030" t="s">
        <v>459</v>
      </c>
      <c r="G20" s="444">
        <v>100947</v>
      </c>
      <c r="H20" s="444">
        <v>48658</v>
      </c>
      <c r="I20" s="444"/>
      <c r="J20" s="444"/>
      <c r="K20" s="444"/>
      <c r="L20" s="444"/>
      <c r="M20" s="80" t="s">
        <v>1221</v>
      </c>
      <c r="O20" s="1319"/>
    </row>
    <row r="21" spans="1:15" customFormat="1" ht="17.25" thickTop="1" thickBot="1">
      <c r="A21" s="439">
        <v>206</v>
      </c>
      <c r="B21" s="439" t="s">
        <v>187</v>
      </c>
      <c r="C21" s="80" t="s">
        <v>354</v>
      </c>
      <c r="D21" s="80"/>
      <c r="E21" s="1388"/>
      <c r="F21" s="1033" t="s">
        <v>255</v>
      </c>
      <c r="G21" s="444">
        <v>150176</v>
      </c>
      <c r="H21" s="444">
        <v>308008</v>
      </c>
      <c r="I21" s="444"/>
      <c r="J21" s="444"/>
      <c r="K21" s="444"/>
      <c r="L21" s="444"/>
      <c r="M21" s="80"/>
      <c r="O21" s="1319"/>
    </row>
    <row r="22" spans="1:15" customFormat="1" ht="17.25" thickTop="1" thickBot="1">
      <c r="A22" s="439">
        <v>230</v>
      </c>
      <c r="B22" s="439" t="s">
        <v>281</v>
      </c>
      <c r="C22" s="80" t="s">
        <v>586</v>
      </c>
      <c r="D22" s="80" t="s">
        <v>584</v>
      </c>
      <c r="E22" s="1388" t="s">
        <v>583</v>
      </c>
      <c r="F22" s="1030" t="s">
        <v>224</v>
      </c>
      <c r="G22" s="444">
        <v>86604</v>
      </c>
      <c r="H22" s="444">
        <v>31054</v>
      </c>
      <c r="I22" s="444"/>
      <c r="J22" s="444"/>
      <c r="K22" s="444"/>
      <c r="L22" s="444"/>
      <c r="M22" s="80" t="s">
        <v>587</v>
      </c>
      <c r="O22" s="1319"/>
    </row>
    <row r="23" spans="1:15" customFormat="1" ht="17.25" thickTop="1" thickBot="1">
      <c r="A23" s="439">
        <v>214</v>
      </c>
      <c r="B23" s="439" t="s">
        <v>273</v>
      </c>
      <c r="C23" s="80" t="s">
        <v>778</v>
      </c>
      <c r="D23" s="81" t="s">
        <v>425</v>
      </c>
      <c r="E23" s="1388" t="s">
        <v>424</v>
      </c>
      <c r="F23" s="1033" t="s">
        <v>433</v>
      </c>
      <c r="G23" s="444">
        <v>50058</v>
      </c>
      <c r="H23" s="444">
        <v>50057</v>
      </c>
      <c r="I23" s="444"/>
      <c r="J23" s="444"/>
      <c r="K23" s="444"/>
      <c r="L23" s="444"/>
      <c r="M23" s="80" t="s">
        <v>434</v>
      </c>
      <c r="O23" s="1319"/>
    </row>
    <row r="24" spans="1:15" customFormat="1" ht="17.25" thickTop="1" thickBot="1">
      <c r="A24" s="439">
        <v>219</v>
      </c>
      <c r="B24" s="439" t="s">
        <v>265</v>
      </c>
      <c r="C24" s="80" t="s">
        <v>369</v>
      </c>
      <c r="D24" s="81" t="s">
        <v>373</v>
      </c>
      <c r="E24" s="1388" t="s">
        <v>372</v>
      </c>
      <c r="F24" s="1031" t="s">
        <v>374</v>
      </c>
      <c r="G24" s="444">
        <v>75216</v>
      </c>
      <c r="H24" s="444">
        <v>75217</v>
      </c>
      <c r="I24" s="444" t="s">
        <v>375</v>
      </c>
      <c r="J24" s="444"/>
      <c r="K24" s="444"/>
      <c r="L24" s="444"/>
      <c r="M24" s="80"/>
      <c r="O24" s="1319"/>
    </row>
    <row r="25" spans="1:15" customFormat="1" ht="17.25" thickTop="1" thickBot="1">
      <c r="A25" s="439">
        <v>197</v>
      </c>
      <c r="B25" s="439" t="s">
        <v>151</v>
      </c>
      <c r="C25" s="83" t="s">
        <v>540</v>
      </c>
      <c r="D25" s="81" t="s">
        <v>542</v>
      </c>
      <c r="E25" s="1389" t="s">
        <v>541</v>
      </c>
      <c r="F25" s="1033" t="s">
        <v>543</v>
      </c>
      <c r="G25" s="444">
        <v>107100</v>
      </c>
      <c r="H25" s="444">
        <v>85994</v>
      </c>
      <c r="I25" s="444"/>
      <c r="J25" s="444"/>
      <c r="K25" s="444"/>
      <c r="L25" s="444"/>
      <c r="M25" s="80" t="s">
        <v>544</v>
      </c>
      <c r="O25" s="1319"/>
    </row>
    <row r="26" spans="1:15" customFormat="1" ht="17.25" thickTop="1" thickBot="1">
      <c r="A26" s="439">
        <v>213</v>
      </c>
      <c r="B26" s="439" t="s">
        <v>298</v>
      </c>
      <c r="C26" s="80" t="s">
        <v>779</v>
      </c>
      <c r="D26" s="80" t="s">
        <v>658</v>
      </c>
      <c r="E26" s="1388" t="s">
        <v>657</v>
      </c>
      <c r="F26" s="1033" t="s">
        <v>660</v>
      </c>
      <c r="G26" s="444">
        <v>163123</v>
      </c>
      <c r="H26" s="444">
        <v>163123</v>
      </c>
      <c r="I26" s="444"/>
      <c r="J26" s="444"/>
      <c r="K26" s="444"/>
      <c r="L26" s="444"/>
      <c r="M26" s="80"/>
      <c r="O26" s="1319"/>
    </row>
    <row r="27" spans="1:15" customFormat="1" ht="17.25" thickTop="1" thickBot="1">
      <c r="A27" s="439">
        <v>238</v>
      </c>
      <c r="B27" s="439" t="s">
        <v>285</v>
      </c>
      <c r="C27" s="82" t="s">
        <v>601</v>
      </c>
      <c r="D27" s="80" t="s">
        <v>603</v>
      </c>
      <c r="E27" s="1389" t="s">
        <v>602</v>
      </c>
      <c r="F27" s="1031" t="s">
        <v>604</v>
      </c>
      <c r="G27" s="444">
        <v>96815</v>
      </c>
      <c r="H27" s="444">
        <v>23982</v>
      </c>
      <c r="I27" s="444"/>
      <c r="J27" s="444"/>
      <c r="K27" s="444"/>
      <c r="L27" s="444"/>
      <c r="M27" s="80"/>
      <c r="O27" s="1319"/>
    </row>
    <row r="28" spans="1:15" customFormat="1" ht="17.25" thickTop="1" thickBot="1">
      <c r="A28" s="439">
        <v>241</v>
      </c>
      <c r="B28" s="439" t="s">
        <v>158</v>
      </c>
      <c r="C28" s="83" t="s">
        <v>762</v>
      </c>
      <c r="D28" s="81" t="s">
        <v>765</v>
      </c>
      <c r="E28" s="1388" t="s">
        <v>764</v>
      </c>
      <c r="F28" s="1031" t="s">
        <v>766</v>
      </c>
      <c r="G28" s="444">
        <v>100196</v>
      </c>
      <c r="H28" s="444">
        <v>33936</v>
      </c>
      <c r="I28" s="444"/>
      <c r="J28" s="444"/>
      <c r="K28" s="444"/>
      <c r="L28" s="444"/>
      <c r="M28" s="80"/>
      <c r="O28" s="1319"/>
    </row>
    <row r="29" spans="1:15" customFormat="1" ht="17.25" thickTop="1" thickBot="1">
      <c r="A29" s="440">
        <v>229</v>
      </c>
      <c r="B29" s="440" t="s">
        <v>1022</v>
      </c>
      <c r="C29" s="80" t="s">
        <v>1015</v>
      </c>
      <c r="D29" s="81" t="s">
        <v>1016</v>
      </c>
      <c r="E29" s="1388" t="s">
        <v>1020</v>
      </c>
      <c r="F29" s="1033" t="s">
        <v>1021</v>
      </c>
      <c r="G29" s="444">
        <v>114838.5</v>
      </c>
      <c r="H29" s="444">
        <v>38089</v>
      </c>
      <c r="I29" s="444"/>
      <c r="J29" s="444"/>
      <c r="K29" s="444"/>
      <c r="L29" s="444"/>
      <c r="M29" s="80"/>
      <c r="O29" s="1319"/>
    </row>
    <row r="30" spans="1:15" customFormat="1" ht="17.25" thickTop="1" thickBot="1">
      <c r="A30" s="439">
        <v>211</v>
      </c>
      <c r="B30" s="439" t="s">
        <v>270</v>
      </c>
      <c r="C30" s="82" t="s">
        <v>718</v>
      </c>
      <c r="D30" s="81" t="s">
        <v>721</v>
      </c>
      <c r="E30" s="83" t="s">
        <v>720</v>
      </c>
      <c r="F30" s="1033" t="s">
        <v>722</v>
      </c>
      <c r="G30" s="444">
        <v>165207</v>
      </c>
      <c r="H30" s="444">
        <v>165389</v>
      </c>
      <c r="I30" s="444"/>
      <c r="J30" s="444"/>
      <c r="K30" s="444"/>
      <c r="L30" s="444"/>
      <c r="M30" s="80"/>
      <c r="O30" s="1319"/>
    </row>
    <row r="31" spans="1:15" customFormat="1" ht="17.25" thickTop="1" thickBot="1">
      <c r="A31" s="440">
        <v>215</v>
      </c>
      <c r="B31" s="440" t="s">
        <v>850</v>
      </c>
      <c r="C31" s="80" t="s">
        <v>2999</v>
      </c>
      <c r="D31" s="81" t="s">
        <v>795</v>
      </c>
      <c r="E31" s="1389" t="s">
        <v>794</v>
      </c>
      <c r="F31" s="1031" t="s">
        <v>796</v>
      </c>
      <c r="G31" s="444">
        <v>210147</v>
      </c>
      <c r="H31" s="444">
        <v>170141</v>
      </c>
      <c r="I31" s="444" t="s">
        <v>852</v>
      </c>
      <c r="J31" s="444"/>
      <c r="K31" s="444"/>
      <c r="L31" s="444"/>
      <c r="M31" s="80" t="s">
        <v>3002</v>
      </c>
      <c r="O31" s="1319"/>
    </row>
    <row r="32" spans="1:15" customFormat="1" ht="17.25" thickTop="1" thickBot="1">
      <c r="A32" s="440">
        <v>233</v>
      </c>
      <c r="B32" s="440" t="s">
        <v>299</v>
      </c>
      <c r="C32" s="80" t="s">
        <v>1003</v>
      </c>
      <c r="D32" s="81" t="s">
        <v>1006</v>
      </c>
      <c r="E32" s="1389" t="s">
        <v>1005</v>
      </c>
      <c r="F32" s="1031" t="s">
        <v>841</v>
      </c>
      <c r="G32" s="444">
        <v>129675</v>
      </c>
      <c r="H32" s="444">
        <v>129675</v>
      </c>
      <c r="I32" s="444"/>
      <c r="J32" s="444"/>
      <c r="K32" s="444"/>
      <c r="L32" s="444"/>
      <c r="M32" s="80" t="s">
        <v>1090</v>
      </c>
      <c r="O32" s="1319"/>
    </row>
    <row r="33" spans="1:15" customFormat="1" ht="17.25" thickTop="1" thickBot="1">
      <c r="A33" s="440">
        <v>245</v>
      </c>
      <c r="B33" s="440" t="s">
        <v>192</v>
      </c>
      <c r="C33" s="132" t="s">
        <v>788</v>
      </c>
      <c r="D33" s="81" t="s">
        <v>628</v>
      </c>
      <c r="E33" s="1389" t="s">
        <v>789</v>
      </c>
      <c r="F33" s="1031" t="s">
        <v>790</v>
      </c>
      <c r="G33" s="444">
        <v>103587</v>
      </c>
      <c r="H33" s="444">
        <v>31410.75</v>
      </c>
      <c r="I33" s="444"/>
      <c r="J33" s="444"/>
      <c r="K33" s="444"/>
      <c r="L33" s="444"/>
      <c r="M33" s="80" t="s">
        <v>990</v>
      </c>
      <c r="O33" s="1319"/>
    </row>
    <row r="34" spans="1:15" customFormat="1" ht="17.25" thickTop="1" thickBot="1">
      <c r="A34" s="440">
        <v>236</v>
      </c>
      <c r="B34" s="440" t="s">
        <v>157</v>
      </c>
      <c r="C34" s="82" t="s">
        <v>519</v>
      </c>
      <c r="D34" s="81" t="s">
        <v>522</v>
      </c>
      <c r="E34" s="1389" t="s">
        <v>521</v>
      </c>
      <c r="F34" s="1031" t="s">
        <v>523</v>
      </c>
      <c r="G34" s="444">
        <v>65546</v>
      </c>
      <c r="H34" s="444"/>
      <c r="I34" s="444"/>
      <c r="J34" s="444"/>
      <c r="K34" s="444"/>
      <c r="L34" s="444"/>
      <c r="M34" s="80"/>
      <c r="O34" s="1319"/>
    </row>
    <row r="35" spans="1:15" customFormat="1" ht="17.25" thickTop="1" thickBot="1">
      <c r="A35" s="440">
        <v>220</v>
      </c>
      <c r="B35" s="440" t="s">
        <v>290</v>
      </c>
      <c r="C35" s="80" t="s">
        <v>754</v>
      </c>
      <c r="D35" s="80" t="s">
        <v>753</v>
      </c>
      <c r="E35" s="1389" t="s">
        <v>752</v>
      </c>
      <c r="F35" s="1033" t="s">
        <v>755</v>
      </c>
      <c r="G35" s="444">
        <v>92232</v>
      </c>
      <c r="H35" s="444">
        <v>36073</v>
      </c>
      <c r="I35" s="444"/>
      <c r="J35" s="444"/>
      <c r="K35" s="444"/>
      <c r="L35" s="444"/>
      <c r="M35" s="80" t="s">
        <v>756</v>
      </c>
      <c r="O35" s="1319"/>
    </row>
    <row r="36" spans="1:15" customFormat="1" ht="17.25" thickTop="1" thickBot="1">
      <c r="A36" s="440">
        <v>243</v>
      </c>
      <c r="B36" s="440" t="s">
        <v>308</v>
      </c>
      <c r="C36" s="80" t="s">
        <v>843</v>
      </c>
      <c r="D36" s="80"/>
      <c r="E36" s="1389"/>
      <c r="F36" s="1031" t="s">
        <v>190</v>
      </c>
      <c r="G36" s="444">
        <v>72435</v>
      </c>
      <c r="H36" s="444">
        <v>44815</v>
      </c>
      <c r="I36" s="444"/>
      <c r="J36" s="444"/>
      <c r="K36" s="444"/>
      <c r="L36" s="444"/>
      <c r="M36" s="80" t="s">
        <v>991</v>
      </c>
      <c r="O36" s="1319"/>
    </row>
    <row r="37" spans="1:15" customFormat="1" ht="17.25" thickTop="1" thickBot="1">
      <c r="A37" s="440">
        <v>242</v>
      </c>
      <c r="B37" s="440" t="s">
        <v>274</v>
      </c>
      <c r="C37" s="82" t="s">
        <v>435</v>
      </c>
      <c r="D37" s="81" t="s">
        <v>440</v>
      </c>
      <c r="E37" s="1389" t="s">
        <v>439</v>
      </c>
      <c r="F37" s="1031" t="s">
        <v>441</v>
      </c>
      <c r="G37" s="444">
        <v>106460</v>
      </c>
      <c r="H37" s="444">
        <v>35307</v>
      </c>
      <c r="I37" s="444"/>
      <c r="J37" s="444"/>
      <c r="K37" s="444"/>
      <c r="L37" s="444"/>
      <c r="M37" s="80" t="s">
        <v>1857</v>
      </c>
      <c r="O37" s="1319"/>
    </row>
    <row r="38" spans="1:15" customFormat="1" ht="17.25" thickTop="1" thickBot="1">
      <c r="A38" s="440">
        <v>253</v>
      </c>
      <c r="B38" s="440" t="s">
        <v>309</v>
      </c>
      <c r="C38" s="82" t="s">
        <v>482</v>
      </c>
      <c r="D38" s="81" t="s">
        <v>485</v>
      </c>
      <c r="E38" s="1389" t="s">
        <v>484</v>
      </c>
      <c r="F38" s="1031" t="s">
        <v>486</v>
      </c>
      <c r="G38" s="444">
        <v>23200</v>
      </c>
      <c r="H38" s="444">
        <v>7188</v>
      </c>
      <c r="I38" s="444"/>
      <c r="J38" s="444"/>
      <c r="K38" s="444"/>
      <c r="L38" s="444"/>
      <c r="M38" s="80"/>
      <c r="O38" s="1319"/>
    </row>
    <row r="39" spans="1:15" customFormat="1" ht="17.25" thickTop="1" thickBot="1">
      <c r="A39" s="440">
        <v>217</v>
      </c>
      <c r="B39" s="440" t="s">
        <v>296</v>
      </c>
      <c r="C39" s="82" t="s">
        <v>649</v>
      </c>
      <c r="D39" s="81" t="s">
        <v>651</v>
      </c>
      <c r="E39" s="1389" t="s">
        <v>650</v>
      </c>
      <c r="F39" s="1030" t="s">
        <v>652</v>
      </c>
      <c r="G39" s="444">
        <v>96631</v>
      </c>
      <c r="H39" s="444">
        <v>85622</v>
      </c>
      <c r="I39" s="444"/>
      <c r="J39" s="444"/>
      <c r="K39" s="444"/>
      <c r="L39" s="444"/>
      <c r="M39" s="80"/>
      <c r="O39" s="1319"/>
    </row>
    <row r="40" spans="1:15" customFormat="1" ht="17.25" thickTop="1" thickBot="1">
      <c r="A40" s="440">
        <v>222</v>
      </c>
      <c r="B40" s="440" t="s">
        <v>306</v>
      </c>
      <c r="C40" s="82" t="s">
        <v>489</v>
      </c>
      <c r="D40" s="81" t="s">
        <v>492</v>
      </c>
      <c r="E40" s="1389" t="s">
        <v>491</v>
      </c>
      <c r="F40" s="1030" t="s">
        <v>493</v>
      </c>
      <c r="G40" s="444">
        <v>93513</v>
      </c>
      <c r="H40" s="444">
        <v>93513.75</v>
      </c>
      <c r="I40" s="444"/>
      <c r="J40" s="444"/>
      <c r="K40" s="444"/>
      <c r="L40" s="444"/>
      <c r="M40" s="80"/>
      <c r="O40" s="1319"/>
    </row>
    <row r="41" spans="1:15" customFormat="1" ht="17.25" thickTop="1" thickBot="1">
      <c r="A41" s="440">
        <v>251</v>
      </c>
      <c r="B41" s="440" t="s">
        <v>304</v>
      </c>
      <c r="C41" s="82" t="s">
        <v>511</v>
      </c>
      <c r="D41" s="81" t="s">
        <v>514</v>
      </c>
      <c r="E41" s="1389" t="s">
        <v>513</v>
      </c>
      <c r="F41" s="1030" t="s">
        <v>515</v>
      </c>
      <c r="G41" s="444">
        <v>97335</v>
      </c>
      <c r="H41" s="444">
        <v>32776</v>
      </c>
      <c r="I41" s="444"/>
      <c r="J41" s="444"/>
      <c r="K41" s="444"/>
      <c r="L41" s="444"/>
      <c r="M41" s="80" t="s">
        <v>516</v>
      </c>
      <c r="O41" s="1319"/>
    </row>
    <row r="42" spans="1:15" customFormat="1" ht="17.25" thickTop="1" thickBot="1">
      <c r="A42" s="440">
        <v>257</v>
      </c>
      <c r="B42" s="440" t="s">
        <v>301</v>
      </c>
      <c r="C42" s="83" t="s">
        <v>690</v>
      </c>
      <c r="D42" s="81" t="s">
        <v>694</v>
      </c>
      <c r="E42" s="1389" t="s">
        <v>693</v>
      </c>
      <c r="F42" s="1030" t="s">
        <v>695</v>
      </c>
      <c r="G42" s="444">
        <v>97744</v>
      </c>
      <c r="H42" s="444">
        <v>33968</v>
      </c>
      <c r="I42" s="444"/>
      <c r="J42" s="444"/>
      <c r="K42" s="444"/>
      <c r="L42" s="444"/>
      <c r="M42" s="80"/>
      <c r="O42" s="1319"/>
    </row>
    <row r="43" spans="1:15" customFormat="1" ht="17.25" thickTop="1" thickBot="1">
      <c r="A43" s="440">
        <v>249</v>
      </c>
      <c r="B43" s="440" t="s">
        <v>282</v>
      </c>
      <c r="C43" s="82" t="s">
        <v>590</v>
      </c>
      <c r="D43" s="80" t="s">
        <v>592</v>
      </c>
      <c r="E43" s="1389" t="s">
        <v>589</v>
      </c>
      <c r="F43" s="1030" t="s">
        <v>593</v>
      </c>
      <c r="G43" s="444">
        <v>137938</v>
      </c>
      <c r="H43" s="444">
        <v>51492</v>
      </c>
      <c r="I43" s="444"/>
      <c r="J43" s="444"/>
      <c r="K43" s="444"/>
      <c r="L43" s="444"/>
      <c r="M43" s="80"/>
      <c r="O43" s="1319"/>
    </row>
    <row r="44" spans="1:15" customFormat="1" ht="17.25" thickTop="1" thickBot="1">
      <c r="A44" s="439">
        <v>211</v>
      </c>
      <c r="B44" s="439" t="s">
        <v>2892</v>
      </c>
      <c r="C44" s="82" t="s">
        <v>718</v>
      </c>
      <c r="D44" s="81" t="s">
        <v>721</v>
      </c>
      <c r="E44" s="83" t="s">
        <v>720</v>
      </c>
      <c r="F44" s="1030" t="s">
        <v>449</v>
      </c>
      <c r="G44" s="444">
        <v>79233</v>
      </c>
      <c r="H44" s="444">
        <v>26056</v>
      </c>
      <c r="I44" s="444"/>
      <c r="J44" s="444"/>
      <c r="K44" s="444"/>
      <c r="L44" s="444"/>
      <c r="M44" s="80"/>
      <c r="O44" s="1319"/>
    </row>
    <row r="45" spans="1:15" customFormat="1" ht="17.25" thickTop="1" thickBot="1">
      <c r="A45" s="440">
        <v>202</v>
      </c>
      <c r="B45" s="440" t="s">
        <v>2883</v>
      </c>
      <c r="C45" s="82" t="s">
        <v>2882</v>
      </c>
      <c r="D45" s="81" t="s">
        <v>462</v>
      </c>
      <c r="E45" s="1389" t="s">
        <v>461</v>
      </c>
      <c r="F45" s="1030" t="s">
        <v>230</v>
      </c>
      <c r="G45" s="444">
        <v>316680</v>
      </c>
      <c r="H45" s="444">
        <v>315800</v>
      </c>
      <c r="I45" s="444"/>
      <c r="J45" s="444"/>
      <c r="K45" s="444"/>
      <c r="L45" s="444"/>
      <c r="M45" s="80" t="s">
        <v>463</v>
      </c>
      <c r="O45" s="1319"/>
    </row>
    <row r="46" spans="1:15" customFormat="1" ht="17.25" thickTop="1" thickBot="1">
      <c r="A46" s="440">
        <v>142</v>
      </c>
      <c r="B46" s="440" t="s">
        <v>289</v>
      </c>
      <c r="C46" s="80" t="s">
        <v>749</v>
      </c>
      <c r="D46" s="81" t="s">
        <v>738</v>
      </c>
      <c r="E46" s="1389" t="s">
        <v>739</v>
      </c>
      <c r="F46" s="1030"/>
      <c r="G46" s="444">
        <v>114975</v>
      </c>
      <c r="H46" s="444">
        <v>114972.74</v>
      </c>
      <c r="I46" s="444"/>
      <c r="J46" s="444"/>
      <c r="K46" s="444"/>
      <c r="L46" s="444"/>
      <c r="M46" s="80"/>
      <c r="O46" s="1319"/>
    </row>
    <row r="47" spans="1:15" customFormat="1" ht="17.25" thickTop="1" thickBot="1">
      <c r="A47" s="440">
        <v>182</v>
      </c>
      <c r="B47" s="440" t="s">
        <v>279</v>
      </c>
      <c r="C47" s="82" t="s">
        <v>568</v>
      </c>
      <c r="D47" s="81" t="s">
        <v>570</v>
      </c>
      <c r="E47" s="1389" t="s">
        <v>569</v>
      </c>
      <c r="F47" s="1030"/>
      <c r="G47" s="444"/>
      <c r="H47" s="444"/>
      <c r="I47" s="444"/>
      <c r="J47" s="444"/>
      <c r="K47" s="444"/>
      <c r="L47" s="444"/>
      <c r="M47" s="80"/>
      <c r="O47" s="1319"/>
    </row>
    <row r="48" spans="1:15" customFormat="1" ht="17.25" thickTop="1" thickBot="1">
      <c r="A48" s="440">
        <v>194</v>
      </c>
      <c r="B48" s="440" t="s">
        <v>314</v>
      </c>
      <c r="C48" s="139" t="s">
        <v>3032</v>
      </c>
      <c r="D48" s="128" t="s">
        <v>815</v>
      </c>
      <c r="E48" s="1389" t="s">
        <v>814</v>
      </c>
      <c r="F48" s="1030"/>
      <c r="G48" s="444"/>
      <c r="H48" s="444"/>
      <c r="I48" s="444"/>
      <c r="J48" s="444"/>
      <c r="K48" s="444"/>
      <c r="L48" s="444"/>
      <c r="M48" s="141"/>
      <c r="O48" s="1319"/>
    </row>
    <row r="49" spans="1:15" customFormat="1" ht="17.25" thickTop="1" thickBot="1">
      <c r="A49" s="439">
        <v>211</v>
      </c>
      <c r="B49" s="439" t="s">
        <v>822</v>
      </c>
      <c r="C49" s="82" t="s">
        <v>718</v>
      </c>
      <c r="D49" s="81" t="s">
        <v>721</v>
      </c>
      <c r="E49" s="83" t="s">
        <v>720</v>
      </c>
      <c r="F49" s="1030"/>
      <c r="G49" s="444"/>
      <c r="H49" s="444"/>
      <c r="I49" s="444"/>
      <c r="J49" s="444"/>
      <c r="K49" s="444"/>
      <c r="L49" s="444"/>
      <c r="M49" s="80"/>
      <c r="O49" s="1319"/>
    </row>
    <row r="50" spans="1:15" customFormat="1" ht="17.25" thickTop="1" thickBot="1">
      <c r="A50" s="440">
        <v>210</v>
      </c>
      <c r="B50" s="440" t="s">
        <v>310</v>
      </c>
      <c r="C50" s="126"/>
      <c r="D50" s="127"/>
      <c r="E50" s="1389"/>
      <c r="F50" s="1030"/>
      <c r="G50" s="444"/>
      <c r="H50" s="444"/>
      <c r="I50" s="444"/>
      <c r="J50" s="444"/>
      <c r="K50" s="444"/>
      <c r="L50" s="444"/>
      <c r="M50" s="80"/>
      <c r="O50" s="1319"/>
    </row>
    <row r="51" spans="1:15" customFormat="1" ht="17.25" thickTop="1" thickBot="1">
      <c r="A51" s="440">
        <v>210</v>
      </c>
      <c r="B51" s="440" t="s">
        <v>311</v>
      </c>
      <c r="C51" s="80"/>
      <c r="D51" s="81"/>
      <c r="E51" s="1389"/>
      <c r="F51" s="1030"/>
      <c r="G51" s="444"/>
      <c r="H51" s="444"/>
      <c r="I51" s="444"/>
      <c r="J51" s="444"/>
      <c r="K51" s="444"/>
      <c r="L51" s="444"/>
      <c r="M51" s="80"/>
      <c r="O51" s="1319"/>
    </row>
    <row r="52" spans="1:15" customFormat="1" ht="22.5" customHeight="1" thickTop="1" thickBot="1">
      <c r="A52" s="440">
        <v>212</v>
      </c>
      <c r="B52" s="440" t="s">
        <v>312</v>
      </c>
      <c r="C52" s="83" t="s">
        <v>706</v>
      </c>
      <c r="D52" s="80" t="s">
        <v>708</v>
      </c>
      <c r="E52" s="1389" t="s">
        <v>707</v>
      </c>
      <c r="F52" s="1033" t="s">
        <v>3033</v>
      </c>
      <c r="G52" s="444"/>
      <c r="H52" s="444">
        <v>103319.5</v>
      </c>
      <c r="I52" s="444"/>
      <c r="J52" s="444"/>
      <c r="K52" s="444"/>
      <c r="L52" s="444"/>
      <c r="M52" s="80"/>
      <c r="N52" t="s">
        <v>3034</v>
      </c>
      <c r="O52" s="1319"/>
    </row>
    <row r="53" spans="1:15" customFormat="1" ht="17.25" thickTop="1" thickBot="1">
      <c r="A53" s="440">
        <v>207</v>
      </c>
      <c r="B53" s="440" t="s">
        <v>1349</v>
      </c>
      <c r="C53" s="365" t="s">
        <v>501</v>
      </c>
      <c r="D53" s="366" t="s">
        <v>1009</v>
      </c>
      <c r="E53" s="1389" t="s">
        <v>1008</v>
      </c>
      <c r="F53" s="1030"/>
      <c r="G53" s="444"/>
      <c r="H53" s="444"/>
      <c r="I53" s="444"/>
      <c r="J53" s="444"/>
      <c r="K53" s="444"/>
      <c r="L53" s="444"/>
      <c r="M53" s="80"/>
      <c r="O53" s="1319"/>
    </row>
    <row r="54" spans="1:15" customFormat="1" ht="17.25" thickTop="1" thickBot="1">
      <c r="A54" s="440">
        <v>247</v>
      </c>
      <c r="B54" s="440" t="s">
        <v>267</v>
      </c>
      <c r="C54" s="82" t="s">
        <v>731</v>
      </c>
      <c r="D54" s="80" t="s">
        <v>734</v>
      </c>
      <c r="E54" s="1389" t="s">
        <v>733</v>
      </c>
      <c r="F54" s="1030"/>
      <c r="G54" s="444"/>
      <c r="H54" s="444"/>
      <c r="I54" s="444"/>
      <c r="J54" s="444"/>
      <c r="K54" s="444"/>
      <c r="L54" s="444"/>
      <c r="M54" s="80"/>
      <c r="O54" s="1319"/>
    </row>
    <row r="55" spans="1:15" customFormat="1" ht="17.25" thickTop="1" thickBot="1">
      <c r="A55" s="439">
        <v>211</v>
      </c>
      <c r="B55" s="439" t="s">
        <v>1450</v>
      </c>
      <c r="C55" s="82" t="s">
        <v>718</v>
      </c>
      <c r="D55" s="81" t="s">
        <v>721</v>
      </c>
      <c r="E55" s="83" t="s">
        <v>720</v>
      </c>
      <c r="F55" s="1030"/>
      <c r="G55" s="444"/>
      <c r="H55" s="444"/>
      <c r="I55" s="444"/>
      <c r="J55" s="444"/>
      <c r="K55" s="444"/>
      <c r="L55" s="444"/>
      <c r="M55" s="80"/>
      <c r="O55" s="1319"/>
    </row>
    <row r="56" spans="1:15" customFormat="1" ht="17.25" thickTop="1" thickBot="1">
      <c r="A56" s="440">
        <v>256</v>
      </c>
      <c r="B56" s="440" t="s">
        <v>269</v>
      </c>
      <c r="C56" s="80" t="s">
        <v>400</v>
      </c>
      <c r="D56" s="81" t="s">
        <v>403</v>
      </c>
      <c r="E56" s="1389" t="s">
        <v>402</v>
      </c>
      <c r="F56" s="1030"/>
      <c r="G56" s="444"/>
      <c r="H56" s="444"/>
      <c r="I56" s="444"/>
      <c r="J56" s="444"/>
      <c r="K56" s="444"/>
      <c r="L56" s="444"/>
      <c r="M56" s="80"/>
      <c r="O56" s="1319"/>
    </row>
    <row r="57" spans="1:15" customFormat="1" ht="17.25" thickTop="1" thickBot="1">
      <c r="A57" s="440">
        <v>258</v>
      </c>
      <c r="B57" s="440" t="s">
        <v>1851</v>
      </c>
      <c r="C57" s="125" t="s">
        <v>318</v>
      </c>
      <c r="D57" s="127" t="s">
        <v>635</v>
      </c>
      <c r="E57" s="1389" t="s">
        <v>634</v>
      </c>
      <c r="F57" s="1030"/>
      <c r="G57" s="444"/>
      <c r="H57" s="444"/>
      <c r="I57" s="444"/>
      <c r="J57" s="444"/>
      <c r="K57" s="444"/>
      <c r="L57" s="444"/>
      <c r="M57" s="80"/>
      <c r="O57" s="1319"/>
    </row>
    <row r="58" spans="1:15" customFormat="1" ht="17.25" thickTop="1" thickBot="1">
      <c r="A58" s="440">
        <v>259</v>
      </c>
      <c r="B58" s="440" t="s">
        <v>264</v>
      </c>
      <c r="C58" s="80" t="s">
        <v>361</v>
      </c>
      <c r="D58" s="81" t="s">
        <v>365</v>
      </c>
      <c r="E58" s="1389"/>
      <c r="F58" s="1030"/>
      <c r="G58" s="444"/>
      <c r="H58" s="444"/>
      <c r="I58" s="444"/>
      <c r="J58" s="444"/>
      <c r="K58" s="444"/>
      <c r="L58" s="444"/>
      <c r="M58" s="80"/>
      <c r="O58" s="1319"/>
    </row>
    <row r="59" spans="1:15" customFormat="1" ht="17.25" thickTop="1" thickBot="1">
      <c r="A59" s="440">
        <v>260</v>
      </c>
      <c r="B59" s="440" t="s">
        <v>1339</v>
      </c>
      <c r="C59" s="125" t="s">
        <v>316</v>
      </c>
      <c r="D59" s="81" t="s">
        <v>633</v>
      </c>
      <c r="E59" s="1389" t="s">
        <v>632</v>
      </c>
      <c r="F59" s="1030"/>
      <c r="G59" s="444"/>
      <c r="H59" s="444"/>
      <c r="I59" s="444"/>
      <c r="J59" s="444"/>
      <c r="K59" s="444"/>
      <c r="L59" s="444"/>
      <c r="M59" s="80"/>
      <c r="O59" s="1319"/>
    </row>
    <row r="60" spans="1:15" customFormat="1" ht="17.25" thickTop="1" thickBot="1">
      <c r="A60" s="440">
        <v>261</v>
      </c>
      <c r="B60" s="440" t="s">
        <v>276</v>
      </c>
      <c r="C60" s="82" t="s">
        <v>456</v>
      </c>
      <c r="D60" s="81" t="s">
        <v>459</v>
      </c>
      <c r="E60" s="1389" t="s">
        <v>458</v>
      </c>
      <c r="F60" s="1030"/>
      <c r="G60" s="444"/>
      <c r="H60" s="444"/>
      <c r="I60" s="444"/>
      <c r="J60" s="444"/>
      <c r="K60" s="444"/>
      <c r="L60" s="444"/>
      <c r="M60" s="80"/>
      <c r="O60" s="1319"/>
    </row>
    <row r="61" spans="1:15" customFormat="1" ht="17.25" thickTop="1" thickBot="1">
      <c r="A61" s="440">
        <v>264</v>
      </c>
      <c r="B61" s="440" t="s">
        <v>303</v>
      </c>
      <c r="C61" s="125" t="s">
        <v>526</v>
      </c>
      <c r="D61" s="127" t="s">
        <v>527</v>
      </c>
      <c r="E61" s="1389" t="s">
        <v>525</v>
      </c>
      <c r="F61" s="1030"/>
      <c r="G61" s="444"/>
      <c r="H61" s="444"/>
      <c r="I61" s="444"/>
      <c r="J61" s="444"/>
      <c r="K61" s="444"/>
      <c r="L61" s="444"/>
      <c r="M61" s="80"/>
      <c r="O61" s="1319"/>
    </row>
    <row r="62" spans="1:15" customFormat="1" ht="17.25" thickTop="1" thickBot="1">
      <c r="A62" s="440">
        <v>265</v>
      </c>
      <c r="B62" s="440" t="s">
        <v>193</v>
      </c>
      <c r="C62" s="82" t="s">
        <v>317</v>
      </c>
      <c r="D62" s="81" t="s">
        <v>699</v>
      </c>
      <c r="E62" s="1389" t="s">
        <v>698</v>
      </c>
      <c r="F62" s="1030"/>
      <c r="G62" s="444"/>
      <c r="H62" s="444"/>
      <c r="I62" s="444"/>
      <c r="J62" s="444"/>
      <c r="K62" s="444"/>
      <c r="L62" s="444"/>
      <c r="M62" s="80" t="s">
        <v>700</v>
      </c>
      <c r="O62" s="1319"/>
    </row>
    <row r="63" spans="1:15" customFormat="1" ht="17.25" thickTop="1" thickBot="1">
      <c r="A63" s="440">
        <v>275</v>
      </c>
      <c r="B63" s="440" t="s">
        <v>320</v>
      </c>
      <c r="C63" s="82" t="s">
        <v>320</v>
      </c>
      <c r="D63" s="81" t="s">
        <v>373</v>
      </c>
      <c r="E63" s="1389" t="s">
        <v>637</v>
      </c>
      <c r="F63" s="1030"/>
      <c r="G63" s="444"/>
      <c r="H63" s="444"/>
      <c r="I63" s="444"/>
      <c r="J63" s="444"/>
      <c r="K63" s="444"/>
      <c r="L63" s="444"/>
      <c r="M63" s="80" t="s">
        <v>2970</v>
      </c>
      <c r="O63" s="1319"/>
    </row>
    <row r="64" spans="1:15" customFormat="1" ht="17.25" thickTop="1" thickBot="1">
      <c r="A64" s="440">
        <v>276</v>
      </c>
      <c r="B64" s="440" t="s">
        <v>283</v>
      </c>
      <c r="C64" s="82" t="s">
        <v>597</v>
      </c>
      <c r="D64" s="81" t="s">
        <v>600</v>
      </c>
      <c r="E64" s="1389" t="s">
        <v>599</v>
      </c>
      <c r="F64" s="1030"/>
      <c r="G64" s="444"/>
      <c r="H64" s="444"/>
      <c r="I64" s="444"/>
      <c r="J64" s="444"/>
      <c r="K64" s="444"/>
      <c r="L64" s="444"/>
      <c r="M64" s="80" t="s">
        <v>2988</v>
      </c>
      <c r="O64" s="1319"/>
    </row>
    <row r="65" spans="1:15" customFormat="1" ht="17.25" thickTop="1" thickBot="1">
      <c r="A65" s="440">
        <v>277</v>
      </c>
      <c r="B65" s="440" t="s">
        <v>268</v>
      </c>
      <c r="C65" s="80" t="s">
        <v>396</v>
      </c>
      <c r="D65" s="81" t="s">
        <v>398</v>
      </c>
      <c r="E65" s="1389" t="s">
        <v>397</v>
      </c>
      <c r="F65" s="1030"/>
      <c r="G65" s="444"/>
      <c r="H65" s="444"/>
      <c r="I65" s="444"/>
      <c r="J65" s="444"/>
      <c r="K65" s="444"/>
      <c r="L65" s="444"/>
      <c r="M65" s="80" t="s">
        <v>2988</v>
      </c>
      <c r="O65" s="1319"/>
    </row>
    <row r="66" spans="1:15" customFormat="1" ht="17.25" thickTop="1" thickBot="1">
      <c r="A66" s="440">
        <v>278</v>
      </c>
      <c r="B66" s="440" t="s">
        <v>2845</v>
      </c>
      <c r="C66" s="132" t="s">
        <v>2846</v>
      </c>
      <c r="D66" s="128" t="s">
        <v>784</v>
      </c>
      <c r="E66" s="1389" t="s">
        <v>783</v>
      </c>
      <c r="F66" s="1030"/>
      <c r="G66" s="444"/>
      <c r="H66" s="444"/>
      <c r="I66" s="444"/>
      <c r="J66" s="444"/>
      <c r="K66" s="444"/>
      <c r="L66" s="444"/>
      <c r="M66" s="590" t="s">
        <v>1755</v>
      </c>
      <c r="O66" s="1319"/>
    </row>
    <row r="67" spans="1:15" customFormat="1" ht="17.25" thickTop="1" thickBot="1">
      <c r="A67" s="440">
        <v>279</v>
      </c>
      <c r="B67" s="440" t="s">
        <v>307</v>
      </c>
      <c r="C67" s="132" t="s">
        <v>307</v>
      </c>
      <c r="D67" s="129" t="s">
        <v>781</v>
      </c>
      <c r="E67" s="1389" t="s">
        <v>780</v>
      </c>
      <c r="F67" s="1030"/>
      <c r="G67" s="444"/>
      <c r="H67" s="444"/>
      <c r="I67" s="444"/>
      <c r="J67" s="444"/>
      <c r="K67" s="444"/>
      <c r="L67" s="444"/>
      <c r="M67" s="80"/>
      <c r="O67" s="1319"/>
    </row>
    <row r="68" spans="1:15" customFormat="1" ht="17.25" thickTop="1" thickBot="1">
      <c r="A68" s="439">
        <v>211</v>
      </c>
      <c r="B68" s="439" t="s">
        <v>5124</v>
      </c>
      <c r="C68" s="82" t="s">
        <v>718</v>
      </c>
      <c r="D68" s="81" t="s">
        <v>721</v>
      </c>
      <c r="E68" s="83" t="s">
        <v>720</v>
      </c>
      <c r="F68" s="1030"/>
      <c r="G68" s="444"/>
      <c r="H68" s="444"/>
      <c r="I68" s="444"/>
      <c r="J68" s="444"/>
      <c r="K68" s="444"/>
      <c r="L68" s="444"/>
      <c r="M68" s="442"/>
      <c r="O68" s="1319"/>
    </row>
    <row r="69" spans="1:15" customFormat="1" ht="17.25" thickTop="1" thickBot="1">
      <c r="A69" s="440">
        <v>281</v>
      </c>
      <c r="B69" s="440" t="s">
        <v>866</v>
      </c>
      <c r="C69" s="441" t="s">
        <v>866</v>
      </c>
      <c r="D69" s="443"/>
      <c r="E69" s="1389"/>
      <c r="F69" s="1030"/>
      <c r="G69" s="444"/>
      <c r="H69" s="444"/>
      <c r="I69" s="444"/>
      <c r="J69" s="444"/>
      <c r="K69" s="444"/>
      <c r="L69" s="444"/>
      <c r="M69" s="443"/>
      <c r="O69" s="1319"/>
    </row>
    <row r="70" spans="1:15" customFormat="1" ht="17.25" thickTop="1" thickBot="1">
      <c r="A70" s="440">
        <v>284</v>
      </c>
      <c r="B70" s="440" t="s">
        <v>1834</v>
      </c>
      <c r="C70" s="631" t="s">
        <v>1835</v>
      </c>
      <c r="D70" s="632"/>
      <c r="E70" s="1389" t="s">
        <v>1033</v>
      </c>
      <c r="F70" s="1030"/>
      <c r="G70" s="444"/>
      <c r="H70" s="444"/>
      <c r="I70" s="444"/>
      <c r="J70" s="444"/>
      <c r="K70" s="444"/>
      <c r="L70" s="444"/>
      <c r="M70" s="140"/>
      <c r="O70" s="1319"/>
    </row>
    <row r="71" spans="1:15" customFormat="1" ht="17.25" thickTop="1" thickBot="1">
      <c r="A71" s="440">
        <v>282</v>
      </c>
      <c r="B71" s="440" t="s">
        <v>1213</v>
      </c>
      <c r="C71" s="83" t="s">
        <v>1213</v>
      </c>
      <c r="D71" s="81" t="s">
        <v>1219</v>
      </c>
      <c r="E71" s="1389" t="s">
        <v>1218</v>
      </c>
      <c r="F71" s="1030"/>
      <c r="G71" s="444"/>
      <c r="H71" s="444"/>
      <c r="I71" s="444"/>
      <c r="J71" s="444"/>
      <c r="K71" s="444"/>
      <c r="L71" s="444"/>
      <c r="M71" s="80"/>
      <c r="O71" s="1319"/>
    </row>
    <row r="72" spans="1:15" customFormat="1" ht="17.25" thickTop="1" thickBot="1">
      <c r="A72" s="440">
        <v>283</v>
      </c>
      <c r="B72" s="440" t="s">
        <v>1262</v>
      </c>
      <c r="C72" s="83"/>
      <c r="D72" s="81"/>
      <c r="E72" s="1389"/>
      <c r="F72" s="1030"/>
      <c r="G72" s="444"/>
      <c r="H72" s="444"/>
      <c r="I72" s="444"/>
      <c r="J72" s="444"/>
      <c r="K72" s="444"/>
      <c r="L72" s="444"/>
      <c r="M72" s="80"/>
      <c r="O72" s="1319"/>
    </row>
    <row r="73" spans="1:15" customFormat="1" ht="17.25" thickTop="1" thickBot="1">
      <c r="A73" s="440">
        <v>285</v>
      </c>
      <c r="B73" s="440" t="s">
        <v>1356</v>
      </c>
      <c r="C73" s="83" t="s">
        <v>1356</v>
      </c>
      <c r="D73" s="81" t="s">
        <v>1357</v>
      </c>
      <c r="E73" s="1389" t="s">
        <v>1358</v>
      </c>
      <c r="F73" s="1030"/>
      <c r="G73" s="444"/>
      <c r="H73" s="444"/>
      <c r="I73" s="444"/>
      <c r="J73" s="444"/>
      <c r="K73" s="444"/>
      <c r="L73" s="444"/>
      <c r="M73" s="80"/>
      <c r="O73" s="1319"/>
    </row>
    <row r="74" spans="1:15" customFormat="1" ht="17.25" thickTop="1" thickBot="1">
      <c r="A74" s="440">
        <v>286</v>
      </c>
      <c r="B74" s="440" t="s">
        <v>978</v>
      </c>
      <c r="C74" s="83" t="s">
        <v>978</v>
      </c>
      <c r="D74" s="81"/>
      <c r="E74" s="1389"/>
      <c r="F74" s="1030"/>
      <c r="G74" s="444"/>
      <c r="H74" s="444"/>
      <c r="I74" s="444"/>
      <c r="J74" s="444"/>
      <c r="K74" s="444"/>
      <c r="L74" s="444"/>
      <c r="M74" s="80"/>
      <c r="O74" s="1319"/>
    </row>
    <row r="75" spans="1:15" customFormat="1" ht="17.25" thickTop="1" thickBot="1">
      <c r="A75" s="440"/>
      <c r="B75" s="440"/>
      <c r="E75" s="1389"/>
      <c r="F75" s="1032"/>
      <c r="O75" s="1319"/>
    </row>
    <row r="76" spans="1:15" customFormat="1" ht="17.25" thickTop="1" thickBot="1">
      <c r="A76" s="440"/>
      <c r="B76" s="440"/>
      <c r="E76" s="1389"/>
      <c r="F76" s="1032"/>
      <c r="O76" s="1319"/>
    </row>
    <row r="77" spans="1:15" customFormat="1" ht="17.25" thickTop="1" thickBot="1">
      <c r="A77" s="440"/>
      <c r="B77" s="440"/>
      <c r="E77" s="1389"/>
      <c r="F77" s="1032"/>
      <c r="O77" s="1319"/>
    </row>
    <row r="78" spans="1:15" customFormat="1" ht="17.25" thickTop="1" thickBot="1">
      <c r="A78" s="440"/>
      <c r="B78" s="440"/>
      <c r="E78" s="1389"/>
      <c r="F78" s="1032"/>
      <c r="O78" s="1319"/>
    </row>
    <row r="79" spans="1:15" customFormat="1" ht="17.25" thickTop="1" thickBot="1">
      <c r="A79" s="440"/>
      <c r="B79" s="440"/>
      <c r="E79" s="1389"/>
      <c r="F79" s="1032"/>
      <c r="O79" s="1319"/>
    </row>
    <row r="80" spans="1:15" customFormat="1" ht="17.25" thickTop="1" thickBot="1">
      <c r="A80" s="440"/>
      <c r="B80" s="440"/>
      <c r="E80" s="1389"/>
      <c r="F80" s="1032"/>
      <c r="O80" s="1319"/>
    </row>
    <row r="81" spans="1:15" customFormat="1" ht="17.25" thickTop="1" thickBot="1">
      <c r="A81" s="440"/>
      <c r="B81" s="440"/>
      <c r="E81" s="1389"/>
      <c r="F81" s="1032"/>
      <c r="O81" s="1319"/>
    </row>
    <row r="82" spans="1:15" customFormat="1" ht="17.25" thickTop="1" thickBot="1">
      <c r="A82" s="440"/>
      <c r="B82" s="440"/>
      <c r="E82" s="1389"/>
      <c r="F82" s="1032"/>
      <c r="O82" s="1319"/>
    </row>
    <row r="83" spans="1:15" customFormat="1" ht="17.25" thickTop="1" thickBot="1">
      <c r="A83" s="440"/>
      <c r="B83" s="440"/>
      <c r="E83" s="1389"/>
      <c r="F83" s="1032"/>
      <c r="O83" s="1319"/>
    </row>
    <row r="84" spans="1:15" customFormat="1" ht="17.25" thickTop="1" thickBot="1">
      <c r="A84" s="440"/>
      <c r="B84" s="440"/>
      <c r="E84" s="1389"/>
      <c r="F84" s="1032"/>
      <c r="O84" s="1319"/>
    </row>
    <row r="85" spans="1:15" customFormat="1" ht="17.25" thickTop="1" thickBot="1">
      <c r="A85" s="440"/>
      <c r="B85" s="440"/>
      <c r="E85" s="1389"/>
      <c r="F85" s="1032"/>
      <c r="O85" s="1319"/>
    </row>
    <row r="86" spans="1:15" customFormat="1" ht="17.25" thickTop="1" thickBot="1">
      <c r="A86" s="440"/>
      <c r="B86" s="440"/>
      <c r="E86" s="1389"/>
      <c r="F86" s="1032"/>
      <c r="O86" s="1319"/>
    </row>
    <row r="87" spans="1:15" customFormat="1" ht="17.25" thickTop="1" thickBot="1">
      <c r="A87" s="440"/>
      <c r="B87" s="440"/>
      <c r="E87" s="1389"/>
      <c r="F87" s="1032"/>
      <c r="O87" s="1319"/>
    </row>
    <row r="88" spans="1:15" customFormat="1" ht="17.25" thickTop="1" thickBot="1">
      <c r="A88" s="440"/>
      <c r="B88" s="440"/>
      <c r="E88" s="1389"/>
      <c r="F88" s="1032"/>
      <c r="O88" s="1319"/>
    </row>
    <row r="89" spans="1:15" customFormat="1" ht="17.25" thickTop="1" thickBot="1">
      <c r="A89" s="440"/>
      <c r="B89" s="440"/>
      <c r="E89" s="1389"/>
      <c r="F89" s="1032"/>
      <c r="O89" s="1319"/>
    </row>
    <row r="90" spans="1:15" customFormat="1" ht="17.25" thickTop="1" thickBot="1">
      <c r="A90" s="440"/>
      <c r="B90" s="440"/>
      <c r="E90" s="1389"/>
      <c r="F90" s="1032"/>
      <c r="O90" s="1319"/>
    </row>
    <row r="91" spans="1:15" customFormat="1" ht="17.25" thickTop="1" thickBot="1">
      <c r="A91" s="440"/>
      <c r="B91" s="440"/>
      <c r="E91" s="1389"/>
      <c r="F91" s="1032"/>
      <c r="O91" s="1319"/>
    </row>
    <row r="92" spans="1:15" customFormat="1" ht="17.25" thickTop="1" thickBot="1">
      <c r="A92" s="440"/>
      <c r="B92" s="440"/>
      <c r="E92" s="1389"/>
      <c r="F92" s="1032"/>
      <c r="O92" s="1319"/>
    </row>
    <row r="93" spans="1:15" customFormat="1" ht="17.25" thickTop="1" thickBot="1">
      <c r="A93" s="440"/>
      <c r="B93" s="440"/>
      <c r="E93" s="1389"/>
      <c r="F93" s="1032"/>
      <c r="O93" s="1319"/>
    </row>
    <row r="94" spans="1:15" customFormat="1" ht="17.25" thickTop="1" thickBot="1">
      <c r="A94" s="440"/>
      <c r="B94" s="440"/>
      <c r="E94" s="1389"/>
      <c r="F94" s="1032"/>
      <c r="O94" s="1319"/>
    </row>
    <row r="95" spans="1:15" customFormat="1" ht="17.25" thickTop="1" thickBot="1">
      <c r="A95" s="440"/>
      <c r="B95" s="440"/>
      <c r="E95" s="1389"/>
      <c r="F95" s="1032"/>
      <c r="O95" s="1319"/>
    </row>
    <row r="96" spans="1:15" customFormat="1" ht="17.25" thickTop="1" thickBot="1">
      <c r="A96" s="440"/>
      <c r="B96" s="440"/>
      <c r="E96" s="1389"/>
      <c r="F96" s="1032"/>
      <c r="O96" s="1319"/>
    </row>
    <row r="97" spans="1:15" customFormat="1" ht="17.25" thickTop="1" thickBot="1">
      <c r="A97" s="440"/>
      <c r="B97" s="440"/>
      <c r="E97" s="1389"/>
      <c r="F97" s="1032"/>
      <c r="O97" s="1319"/>
    </row>
    <row r="98" spans="1:15" customFormat="1" ht="17.25" thickTop="1" thickBot="1">
      <c r="A98" s="440"/>
      <c r="B98" s="440"/>
      <c r="E98" s="1389"/>
      <c r="F98" s="1032"/>
      <c r="O98" s="1319"/>
    </row>
    <row r="99" spans="1:15" customFormat="1" ht="17.25" thickTop="1" thickBot="1">
      <c r="A99" s="440"/>
      <c r="B99" s="440"/>
      <c r="E99" s="1389"/>
      <c r="F99" s="1032"/>
      <c r="O99" s="1319"/>
    </row>
    <row r="100" spans="1:15" customFormat="1" ht="17.25" thickTop="1" thickBot="1">
      <c r="A100" s="440"/>
      <c r="B100" s="440"/>
      <c r="E100" s="1389"/>
      <c r="F100" s="1032"/>
      <c r="O100" s="1319"/>
    </row>
    <row r="101" spans="1:15" customFormat="1" ht="17.25" thickTop="1" thickBot="1">
      <c r="A101" s="440"/>
      <c r="B101" s="440"/>
      <c r="E101" s="1389"/>
      <c r="F101" s="1032"/>
      <c r="O101" s="1319"/>
    </row>
    <row r="102" spans="1:15" customFormat="1" ht="17.25" thickTop="1" thickBot="1">
      <c r="A102" s="440"/>
      <c r="B102" s="440"/>
      <c r="E102" s="1389"/>
      <c r="F102" s="1032"/>
      <c r="O102" s="1319"/>
    </row>
    <row r="103" spans="1:15" customFormat="1" ht="17.25" thickTop="1" thickBot="1">
      <c r="A103" s="440"/>
      <c r="B103" s="440"/>
      <c r="E103" s="1389"/>
      <c r="F103" s="1032"/>
      <c r="O103" s="1319"/>
    </row>
    <row r="104" spans="1:15" customFormat="1" ht="17.25" thickTop="1" thickBot="1">
      <c r="A104" s="440"/>
      <c r="B104" s="440"/>
      <c r="E104" s="1389"/>
      <c r="F104" s="1032"/>
      <c r="O104" s="1319"/>
    </row>
    <row r="105" spans="1:15" customFormat="1" ht="17.25" thickTop="1" thickBot="1">
      <c r="A105" s="440"/>
      <c r="B105" s="440"/>
      <c r="E105" s="1389"/>
      <c r="F105" s="1032"/>
      <c r="O105" s="1319"/>
    </row>
    <row r="106" spans="1:15" customFormat="1" ht="17.25" thickTop="1" thickBot="1">
      <c r="A106" s="440"/>
      <c r="B106" s="440"/>
      <c r="E106" s="1389"/>
      <c r="F106" s="1032"/>
      <c r="O106" s="1319"/>
    </row>
    <row r="107" spans="1:15" customFormat="1" ht="17.25" thickTop="1" thickBot="1">
      <c r="A107" s="440"/>
      <c r="B107" s="440"/>
      <c r="E107" s="1389"/>
      <c r="F107" s="1032"/>
      <c r="O107" s="1319"/>
    </row>
    <row r="108" spans="1:15" customFormat="1" ht="17.25" thickTop="1" thickBot="1">
      <c r="A108" s="440"/>
      <c r="B108" s="440"/>
      <c r="E108" s="1389"/>
      <c r="F108" s="1032"/>
      <c r="O108" s="1319"/>
    </row>
    <row r="109" spans="1:15" customFormat="1" ht="17.25" thickTop="1" thickBot="1">
      <c r="A109" s="440"/>
      <c r="B109" s="440"/>
      <c r="E109" s="1389"/>
      <c r="F109" s="1032"/>
      <c r="O109" s="1319"/>
    </row>
    <row r="110" spans="1:15" customFormat="1" ht="17.25" thickTop="1" thickBot="1">
      <c r="A110" s="440"/>
      <c r="B110" s="440"/>
      <c r="E110" s="1389"/>
      <c r="F110" s="1032"/>
      <c r="O110" s="1319"/>
    </row>
    <row r="111" spans="1:15" customFormat="1" ht="17.25" thickTop="1" thickBot="1">
      <c r="A111" s="440"/>
      <c r="B111" s="440"/>
      <c r="E111" s="1389"/>
      <c r="F111" s="1032"/>
      <c r="O111" s="1319"/>
    </row>
    <row r="112" spans="1:15" customFormat="1" ht="17.25" thickTop="1" thickBot="1">
      <c r="A112" s="440"/>
      <c r="B112" s="440"/>
      <c r="E112" s="1389"/>
      <c r="F112" s="1032"/>
      <c r="O112" s="1319"/>
    </row>
    <row r="113" spans="1:27" ht="17.25" thickTop="1" thickBot="1">
      <c r="A113" s="440"/>
      <c r="B113" s="440"/>
      <c r="E113" s="1389"/>
      <c r="F113" s="1032"/>
      <c r="I113"/>
      <c r="J113"/>
      <c r="K113"/>
      <c r="L113"/>
      <c r="M113"/>
      <c r="N113"/>
      <c r="O113" s="1319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7.25" thickTop="1" thickBot="1">
      <c r="A114" s="440"/>
      <c r="B114" s="440"/>
      <c r="E114" s="1389"/>
      <c r="F114" s="1032"/>
      <c r="I114"/>
      <c r="J114"/>
      <c r="K114"/>
      <c r="L114"/>
      <c r="M114"/>
      <c r="N114"/>
      <c r="O114" s="1319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7.25" thickTop="1" thickBot="1">
      <c r="A115" s="440"/>
      <c r="B115" s="440"/>
      <c r="E115" s="1389"/>
      <c r="F115" s="1032"/>
      <c r="I115"/>
      <c r="J115"/>
      <c r="K115"/>
      <c r="L115"/>
      <c r="M115"/>
      <c r="N115"/>
      <c r="O115" s="1319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7.25" thickTop="1" thickBot="1">
      <c r="A116" s="440"/>
      <c r="B116" s="440"/>
      <c r="E116" s="1389"/>
      <c r="F116" s="1032"/>
      <c r="I116"/>
      <c r="J116"/>
      <c r="K116"/>
      <c r="L116"/>
      <c r="M116"/>
      <c r="N116"/>
      <c r="O116" s="1319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7.25" thickTop="1" thickBot="1">
      <c r="A117" s="440"/>
      <c r="B117" s="440"/>
      <c r="E117" s="1389"/>
      <c r="F117" s="1032"/>
      <c r="I117"/>
      <c r="J117"/>
      <c r="K117"/>
      <c r="L117"/>
      <c r="M117"/>
      <c r="N117"/>
      <c r="O117" s="1319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7.25" thickTop="1" thickBot="1">
      <c r="A118" s="440"/>
      <c r="B118" s="440"/>
      <c r="E118" s="1389"/>
      <c r="F118" s="1032"/>
      <c r="I118"/>
      <c r="J118"/>
      <c r="K118"/>
      <c r="L118"/>
      <c r="M118"/>
      <c r="N118"/>
      <c r="O118" s="1319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7.25" thickTop="1" thickBot="1">
      <c r="A119" s="440"/>
      <c r="B119" s="440"/>
      <c r="E119" s="1389"/>
      <c r="F119" s="1032"/>
      <c r="I119"/>
      <c r="J119"/>
      <c r="K119"/>
      <c r="L119"/>
      <c r="M119"/>
      <c r="N119"/>
      <c r="O119" s="13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7.25" thickTop="1" thickBot="1">
      <c r="A120" s="440"/>
      <c r="B120" s="440"/>
      <c r="E120" s="1389"/>
      <c r="F120" s="1032"/>
      <c r="I120"/>
      <c r="J120"/>
      <c r="K120"/>
      <c r="L120"/>
      <c r="M120"/>
      <c r="N120"/>
      <c r="O120" s="1319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7.25" thickTop="1" thickBot="1">
      <c r="A121" s="440"/>
      <c r="B121" s="440"/>
      <c r="E121" s="1389"/>
      <c r="F121" s="1032"/>
      <c r="I121"/>
      <c r="J121"/>
      <c r="K121"/>
      <c r="L121"/>
      <c r="M121"/>
      <c r="N121"/>
      <c r="O121" s="1319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7.25" thickTop="1" thickBot="1">
      <c r="A122" s="440"/>
      <c r="B122" s="440"/>
      <c r="E122" s="1389"/>
      <c r="F122" s="1032"/>
      <c r="I122"/>
      <c r="J122"/>
      <c r="K122"/>
      <c r="L122"/>
      <c r="M122"/>
      <c r="N122"/>
      <c r="O122" s="1319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thickTop="1"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>
      <c r="A124" s="1351">
        <v>211</v>
      </c>
      <c r="B124" s="1351" t="s">
        <v>1905</v>
      </c>
      <c r="C124" s="1320"/>
      <c r="D124" s="1364"/>
      <c r="E124" s="1365"/>
      <c r="F124" s="1383"/>
      <c r="G124" s="1383"/>
      <c r="H124" s="1383"/>
      <c r="I124" s="1383"/>
      <c r="J124" s="1383"/>
      <c r="K124" s="1383"/>
      <c r="L124" s="1383"/>
      <c r="M124" s="1383"/>
      <c r="N124" s="1383"/>
      <c r="O124" s="1383"/>
      <c r="P124" s="1383"/>
      <c r="Q124" s="1383"/>
      <c r="R124" s="1383"/>
      <c r="S124" s="1383"/>
      <c r="T124" s="1383"/>
      <c r="U124" s="1383"/>
      <c r="V124" s="1032"/>
      <c r="W124" s="1032"/>
      <c r="X124" s="1032"/>
      <c r="Y124" s="1032"/>
      <c r="Z124" s="1032"/>
      <c r="AA124" s="1032"/>
    </row>
    <row r="125" spans="1:27" ht="15.75">
      <c r="A125" s="1362"/>
      <c r="B125" s="1362"/>
      <c r="C125" s="1361"/>
      <c r="D125" s="1361"/>
      <c r="E125" s="1361"/>
      <c r="F125" s="1383"/>
      <c r="G125" s="1361"/>
      <c r="H125" s="1361"/>
    </row>
    <row r="126" spans="1:27" ht="15.75">
      <c r="A126" s="1362"/>
      <c r="B126" s="1362"/>
      <c r="C126" s="1361"/>
      <c r="D126" s="1361"/>
      <c r="E126" s="1361"/>
      <c r="F126" s="1383"/>
      <c r="G126" s="1361"/>
      <c r="H126" s="1361"/>
    </row>
    <row r="127" spans="1:27" ht="15.75">
      <c r="A127" s="1362"/>
      <c r="B127" s="1362"/>
      <c r="C127" s="1361"/>
      <c r="D127" s="1361"/>
      <c r="E127" s="1361"/>
      <c r="F127" s="1383"/>
      <c r="G127" s="1361"/>
      <c r="H127" s="1361"/>
    </row>
    <row r="128" spans="1:27" ht="15.75">
      <c r="A128" s="1362"/>
      <c r="B128" s="1362"/>
      <c r="C128" s="1361"/>
      <c r="D128" s="1361"/>
      <c r="E128" s="1361"/>
      <c r="F128" s="1383"/>
      <c r="G128" s="1361"/>
      <c r="H128" s="1361"/>
    </row>
    <row r="129" spans="1:8" ht="15.75">
      <c r="A129" s="1362"/>
      <c r="B129" s="1362"/>
      <c r="C129" s="1361"/>
      <c r="D129" s="1361"/>
      <c r="E129" s="1361"/>
      <c r="F129" s="1383"/>
      <c r="G129" s="1361"/>
      <c r="H129" s="1361"/>
    </row>
    <row r="130" spans="1:8" ht="15.75">
      <c r="A130" s="1362"/>
      <c r="B130" s="1362"/>
      <c r="C130" s="1361"/>
      <c r="D130" s="1361"/>
      <c r="E130" s="1361"/>
      <c r="F130" s="1383"/>
      <c r="G130" s="1361"/>
      <c r="H130" s="1361"/>
    </row>
    <row r="131" spans="1:8" ht="15.75">
      <c r="A131" s="1362"/>
      <c r="B131" s="1362"/>
      <c r="C131" s="1361"/>
      <c r="D131" s="1361"/>
      <c r="E131" s="1361"/>
      <c r="F131" s="1383"/>
      <c r="G131" s="1361"/>
      <c r="H131" s="1361"/>
    </row>
    <row r="132" spans="1:8" ht="15.75">
      <c r="A132" s="1362"/>
      <c r="B132" s="1362"/>
      <c r="C132" s="1361"/>
      <c r="D132" s="1361"/>
      <c r="E132" s="1361"/>
      <c r="F132" s="1383"/>
      <c r="G132" s="1361"/>
      <c r="H132" s="1361"/>
    </row>
    <row r="133" spans="1:8" ht="15.75">
      <c r="A133" s="1362"/>
      <c r="B133" s="1362"/>
      <c r="C133" s="1361"/>
      <c r="D133" s="1361"/>
      <c r="E133" s="1361"/>
      <c r="F133" s="1383"/>
      <c r="G133" s="1361"/>
      <c r="H133" s="1361"/>
    </row>
    <row r="134" spans="1:8" ht="15.75">
      <c r="A134" s="1362"/>
      <c r="B134" s="1362"/>
      <c r="C134" s="1361"/>
      <c r="D134" s="1361"/>
      <c r="E134" s="1361"/>
      <c r="F134" s="1383"/>
      <c r="G134" s="1361"/>
      <c r="H134" s="1361"/>
    </row>
    <row r="135" spans="1:8" ht="15.75">
      <c r="A135" s="1362"/>
      <c r="B135" s="1362"/>
      <c r="C135" s="1361"/>
      <c r="D135" s="1361"/>
      <c r="E135" s="1361"/>
      <c r="F135" s="1383"/>
      <c r="G135" s="1361"/>
      <c r="H135" s="1361"/>
    </row>
    <row r="136" spans="1:8" ht="15.75">
      <c r="A136" s="1362"/>
      <c r="B136" s="1362"/>
      <c r="C136" s="1361"/>
      <c r="D136" s="1361"/>
      <c r="E136" s="1361"/>
      <c r="F136" s="1383"/>
      <c r="G136" s="1361"/>
      <c r="H136" s="1361"/>
    </row>
    <row r="137" spans="1:8" ht="15.75">
      <c r="A137" s="1362"/>
      <c r="B137" s="1362"/>
      <c r="C137" s="1361"/>
      <c r="D137" s="1361"/>
      <c r="E137" s="1361"/>
      <c r="F137" s="1383"/>
      <c r="G137" s="1361"/>
      <c r="H137" s="1361"/>
    </row>
    <row r="138" spans="1:8" ht="15.75">
      <c r="A138" s="1362"/>
      <c r="B138" s="1362"/>
      <c r="C138" s="1361"/>
      <c r="D138" s="1361"/>
      <c r="E138" s="1361"/>
      <c r="F138" s="1383"/>
      <c r="G138" s="1361"/>
      <c r="H138" s="1361"/>
    </row>
    <row r="139" spans="1:8" ht="15.75">
      <c r="A139" s="1362"/>
      <c r="B139" s="1362"/>
      <c r="C139" s="1361"/>
      <c r="D139" s="1361"/>
      <c r="E139" s="1361"/>
      <c r="F139" s="1383"/>
      <c r="G139" s="1361"/>
      <c r="H139" s="1361"/>
    </row>
    <row r="140" spans="1:8" ht="15.75">
      <c r="A140" s="1362"/>
      <c r="B140" s="1362"/>
      <c r="C140" s="1361"/>
      <c r="D140" s="1361"/>
      <c r="E140" s="1361"/>
      <c r="F140" s="1383"/>
      <c r="G140" s="1361"/>
      <c r="H140" s="1361"/>
    </row>
    <row r="141" spans="1:8" ht="15.75">
      <c r="A141" s="1362"/>
      <c r="B141" s="1362"/>
      <c r="C141" s="1361"/>
      <c r="D141" s="1361"/>
      <c r="E141" s="1361"/>
      <c r="F141" s="1383"/>
      <c r="G141" s="1361"/>
      <c r="H141" s="1361"/>
    </row>
    <row r="142" spans="1:8" ht="15.75">
      <c r="A142" s="1362"/>
      <c r="B142" s="1362"/>
      <c r="C142" s="1361"/>
      <c r="D142" s="1361"/>
      <c r="E142" s="1361"/>
      <c r="F142" s="1383"/>
      <c r="G142" s="1361"/>
      <c r="H142" s="1361"/>
    </row>
    <row r="143" spans="1:8" ht="15.75">
      <c r="A143" s="1362"/>
      <c r="B143" s="1362"/>
      <c r="C143" s="1361"/>
      <c r="D143" s="1361"/>
      <c r="E143" s="1361"/>
      <c r="F143" s="1383"/>
      <c r="G143" s="1361"/>
      <c r="H143" s="1361"/>
    </row>
    <row r="144" spans="1:8" ht="15.75">
      <c r="A144" s="1362"/>
      <c r="B144" s="1362"/>
      <c r="C144" s="1361"/>
      <c r="D144" s="1361"/>
      <c r="E144" s="1361"/>
      <c r="F144" s="1383"/>
      <c r="G144" s="1361"/>
      <c r="H144" s="1361"/>
    </row>
    <row r="145" spans="1:8" ht="15.75">
      <c r="A145" s="1362"/>
      <c r="B145" s="1362"/>
      <c r="C145" s="1361"/>
      <c r="D145" s="1361"/>
      <c r="E145" s="1361"/>
      <c r="F145" s="1383"/>
      <c r="G145" s="1361"/>
      <c r="H145" s="1361"/>
    </row>
    <row r="146" spans="1:8" ht="15.75">
      <c r="A146" s="1362"/>
      <c r="B146" s="1362"/>
      <c r="C146" s="1361"/>
      <c r="D146" s="1361"/>
      <c r="E146" s="1361"/>
      <c r="F146" s="1383"/>
      <c r="G146" s="1361"/>
      <c r="H146" s="1361"/>
    </row>
    <row r="147" spans="1:8" ht="15.75">
      <c r="A147" s="1362"/>
      <c r="B147" s="1362"/>
      <c r="C147" s="1361"/>
      <c r="D147" s="1361"/>
      <c r="E147" s="1361"/>
      <c r="F147" s="1383"/>
      <c r="G147" s="1361"/>
      <c r="H147" s="1361"/>
    </row>
    <row r="148" spans="1:8" ht="15.75">
      <c r="A148" s="1362"/>
      <c r="B148" s="1362"/>
      <c r="C148" s="1361"/>
      <c r="D148" s="1361"/>
      <c r="E148" s="1361"/>
      <c r="F148" s="1383"/>
      <c r="G148" s="1361"/>
      <c r="H148" s="1361"/>
    </row>
    <row r="149" spans="1:8" ht="15.75">
      <c r="A149" s="1362"/>
      <c r="B149" s="1362"/>
      <c r="C149" s="1361"/>
      <c r="D149" s="1361"/>
      <c r="E149" s="1361"/>
      <c r="F149" s="1383"/>
      <c r="G149" s="1361"/>
      <c r="H149" s="1361"/>
    </row>
    <row r="150" spans="1:8" ht="15.75">
      <c r="A150" s="1362"/>
      <c r="B150" s="1362"/>
      <c r="C150" s="1361"/>
      <c r="D150" s="1361"/>
      <c r="E150" s="1361"/>
      <c r="F150" s="1383"/>
      <c r="G150" s="1361"/>
      <c r="H150" s="1361"/>
    </row>
    <row r="151" spans="1:8" ht="15.75">
      <c r="A151" s="1362"/>
      <c r="B151" s="1362"/>
      <c r="C151" s="1361"/>
      <c r="D151" s="1361"/>
      <c r="E151" s="1361"/>
      <c r="F151" s="1383"/>
      <c r="G151" s="1361"/>
      <c r="H151" s="1361"/>
    </row>
    <row r="152" spans="1:8" ht="15.75">
      <c r="A152" s="1362"/>
      <c r="B152" s="1362"/>
      <c r="C152" s="1361"/>
      <c r="D152" s="1361"/>
      <c r="E152" s="1361"/>
      <c r="F152" s="1383"/>
      <c r="G152" s="1361"/>
      <c r="H152" s="1361"/>
    </row>
    <row r="153" spans="1:8" ht="15.75">
      <c r="A153" s="1362"/>
      <c r="B153" s="1362"/>
      <c r="C153" s="1361"/>
      <c r="D153" s="1361"/>
      <c r="E153" s="1361"/>
      <c r="F153" s="1383"/>
      <c r="G153" s="1361"/>
      <c r="H153" s="1361"/>
    </row>
    <row r="154" spans="1:8" ht="15.75">
      <c r="A154" s="1362"/>
      <c r="B154" s="1362"/>
      <c r="C154" s="1361"/>
      <c r="D154" s="1361"/>
      <c r="E154" s="1361"/>
      <c r="F154" s="1383"/>
      <c r="G154" s="1361"/>
      <c r="H154" s="1361"/>
    </row>
    <row r="155" spans="1:8" ht="15.75">
      <c r="A155" s="1362"/>
      <c r="B155" s="1362"/>
      <c r="C155" s="1361"/>
      <c r="D155" s="1361"/>
      <c r="E155" s="1361"/>
      <c r="F155" s="1383"/>
      <c r="G155" s="1361"/>
      <c r="H155" s="1361"/>
    </row>
    <row r="156" spans="1:8" ht="15.75">
      <c r="A156" s="1362"/>
      <c r="B156" s="1362"/>
      <c r="C156" s="1361"/>
      <c r="D156" s="1361"/>
      <c r="E156" s="1361"/>
      <c r="F156" s="1383"/>
      <c r="G156" s="1361"/>
      <c r="H156" s="1361"/>
    </row>
    <row r="157" spans="1:8" ht="15.75">
      <c r="A157" s="1362"/>
      <c r="B157" s="1362"/>
      <c r="C157" s="1361"/>
      <c r="D157" s="1361"/>
      <c r="E157" s="1361"/>
      <c r="F157" s="1383"/>
      <c r="G157" s="1361"/>
      <c r="H157" s="1361"/>
    </row>
    <row r="158" spans="1:8" ht="15.75">
      <c r="A158" s="1362"/>
      <c r="B158" s="1362"/>
      <c r="C158" s="1361"/>
      <c r="D158" s="1361"/>
      <c r="E158" s="1361"/>
      <c r="F158" s="1383"/>
      <c r="G158" s="1361"/>
      <c r="H158" s="1361"/>
    </row>
    <row r="159" spans="1:8" ht="15.75">
      <c r="A159" s="1362"/>
      <c r="B159" s="1362"/>
      <c r="C159" s="1361"/>
      <c r="D159" s="1361"/>
      <c r="E159" s="1361"/>
      <c r="F159" s="1383"/>
      <c r="G159" s="1361"/>
      <c r="H159" s="1361"/>
    </row>
    <row r="160" spans="1:8" ht="15.75">
      <c r="A160" s="1362"/>
      <c r="B160" s="1362"/>
      <c r="C160" s="1361"/>
      <c r="D160" s="1361"/>
      <c r="E160" s="1361"/>
      <c r="F160" s="1383"/>
      <c r="G160" s="1361"/>
      <c r="H160" s="1361"/>
    </row>
    <row r="161" spans="1:8" ht="15.75">
      <c r="A161" s="1362"/>
      <c r="B161" s="1362"/>
      <c r="C161" s="1361"/>
      <c r="D161" s="1361"/>
      <c r="E161" s="1361"/>
      <c r="F161" s="1383"/>
      <c r="G161" s="1361"/>
      <c r="H161" s="1361"/>
    </row>
    <row r="162" spans="1:8" ht="15.75">
      <c r="A162" s="1362"/>
      <c r="B162" s="1362"/>
      <c r="C162" s="1361"/>
      <c r="D162" s="1361"/>
      <c r="E162" s="1361"/>
      <c r="F162" s="1383"/>
      <c r="G162" s="1361"/>
      <c r="H162" s="1361"/>
    </row>
    <row r="163" spans="1:8" ht="15.75">
      <c r="A163" s="1362"/>
      <c r="B163" s="1362"/>
      <c r="C163" s="1361"/>
      <c r="D163" s="1361"/>
      <c r="E163" s="1361"/>
      <c r="F163" s="1383"/>
      <c r="G163" s="1361"/>
      <c r="H163" s="1361"/>
    </row>
    <row r="164" spans="1:8" ht="15.75">
      <c r="A164" s="1362"/>
      <c r="B164" s="1362"/>
      <c r="C164" s="1361"/>
      <c r="D164" s="1361"/>
      <c r="E164" s="1361"/>
      <c r="F164" s="1383"/>
      <c r="G164" s="1361"/>
      <c r="H164" s="1361"/>
    </row>
    <row r="165" spans="1:8" ht="15.75">
      <c r="A165" s="1362"/>
      <c r="B165" s="1362"/>
      <c r="C165" s="1361"/>
      <c r="D165" s="1361"/>
      <c r="E165" s="1361"/>
      <c r="F165" s="1383"/>
      <c r="G165" s="1361"/>
      <c r="H165" s="1361"/>
    </row>
    <row r="166" spans="1:8" ht="15.75">
      <c r="A166" s="1362"/>
      <c r="B166" s="1362"/>
      <c r="C166" s="1361"/>
      <c r="D166" s="1361"/>
      <c r="E166" s="1361"/>
      <c r="F166" s="1383"/>
      <c r="G166" s="1361"/>
      <c r="H166" s="1361"/>
    </row>
    <row r="167" spans="1:8" ht="15.75">
      <c r="A167" s="1362"/>
      <c r="B167" s="1362"/>
      <c r="C167" s="1361"/>
      <c r="D167" s="1361"/>
      <c r="E167" s="1361"/>
      <c r="F167" s="1383"/>
      <c r="G167" s="1361"/>
      <c r="H167" s="1361"/>
    </row>
    <row r="168" spans="1:8" ht="15.75">
      <c r="A168" s="1362"/>
      <c r="B168" s="1362"/>
      <c r="C168" s="1361"/>
      <c r="D168" s="1361"/>
      <c r="E168" s="1361"/>
      <c r="F168" s="1383"/>
      <c r="G168" s="1361"/>
      <c r="H168" s="1361"/>
    </row>
    <row r="169" spans="1:8" ht="15.75">
      <c r="A169" s="1362"/>
      <c r="B169" s="1362"/>
      <c r="C169" s="1361"/>
      <c r="D169" s="1361"/>
      <c r="E169" s="1361"/>
      <c r="F169" s="1383"/>
      <c r="G169" s="1361"/>
      <c r="H169" s="1361"/>
    </row>
    <row r="170" spans="1:8" ht="15.75">
      <c r="A170" s="1362"/>
      <c r="B170" s="1362"/>
      <c r="C170" s="1361"/>
      <c r="D170" s="1361"/>
      <c r="E170" s="1361"/>
      <c r="F170" s="1383"/>
      <c r="G170" s="1361"/>
      <c r="H170" s="1361"/>
    </row>
    <row r="171" spans="1:8" ht="15.75">
      <c r="A171" s="1362"/>
      <c r="B171" s="1362"/>
      <c r="C171" s="1361"/>
      <c r="D171" s="1361"/>
      <c r="E171" s="1361"/>
      <c r="F171" s="1383"/>
      <c r="G171" s="1361"/>
      <c r="H171" s="1361"/>
    </row>
    <row r="172" spans="1:8" ht="15.75">
      <c r="A172" s="1362"/>
      <c r="B172" s="1362"/>
      <c r="C172" s="1361"/>
      <c r="D172" s="1361"/>
      <c r="E172" s="1361"/>
      <c r="F172" s="1383"/>
      <c r="G172" s="1361"/>
      <c r="H172" s="1361"/>
    </row>
    <row r="173" spans="1:8" ht="15.75">
      <c r="A173" s="1362"/>
      <c r="B173" s="1362"/>
      <c r="C173" s="1361"/>
      <c r="D173" s="1361"/>
      <c r="E173" s="1361"/>
      <c r="F173" s="1383"/>
      <c r="G173" s="1361"/>
      <c r="H173" s="1361"/>
    </row>
    <row r="174" spans="1:8" ht="15.75">
      <c r="A174" s="1362"/>
      <c r="B174" s="1362"/>
      <c r="C174" s="1361"/>
      <c r="D174" s="1361"/>
      <c r="E174" s="1361"/>
      <c r="F174" s="1383"/>
      <c r="G174" s="1361"/>
      <c r="H174" s="1361"/>
    </row>
    <row r="175" spans="1:8" ht="15.75">
      <c r="A175" s="1362"/>
      <c r="B175" s="1362"/>
      <c r="C175" s="1361"/>
      <c r="D175" s="1361"/>
      <c r="E175" s="1361"/>
      <c r="F175" s="1383"/>
      <c r="G175" s="1361"/>
      <c r="H175" s="1361"/>
    </row>
    <row r="176" spans="1:8" ht="15.75">
      <c r="A176" s="1362"/>
      <c r="B176" s="1362"/>
      <c r="C176" s="1361"/>
      <c r="D176" s="1361"/>
      <c r="E176" s="1361"/>
      <c r="F176" s="1383"/>
      <c r="G176" s="1361"/>
      <c r="H176" s="1361"/>
    </row>
    <row r="177" spans="1:8" ht="15.75">
      <c r="A177" s="1362"/>
      <c r="B177" s="1362"/>
      <c r="C177" s="1361"/>
      <c r="D177" s="1361"/>
      <c r="E177" s="1361"/>
      <c r="F177" s="1383"/>
      <c r="G177" s="1361"/>
      <c r="H177" s="1361"/>
    </row>
    <row r="178" spans="1:8" ht="15.75">
      <c r="A178" s="1362"/>
      <c r="B178" s="1362"/>
      <c r="C178" s="1361"/>
      <c r="D178" s="1361"/>
      <c r="E178" s="1361"/>
      <c r="F178" s="1383"/>
      <c r="G178" s="1361"/>
      <c r="H178" s="1361"/>
    </row>
    <row r="179" spans="1:8" ht="15.75">
      <c r="A179" s="1362"/>
      <c r="B179" s="1362"/>
      <c r="C179" s="1361"/>
      <c r="D179" s="1361"/>
      <c r="E179" s="1361"/>
      <c r="F179" s="1383"/>
      <c r="G179" s="1361"/>
      <c r="H179" s="1361"/>
    </row>
    <row r="180" spans="1:8" ht="15.75">
      <c r="A180" s="1362"/>
      <c r="B180" s="1362"/>
      <c r="C180" s="1361"/>
      <c r="D180" s="1361"/>
      <c r="E180" s="1361"/>
      <c r="F180" s="1383"/>
      <c r="G180" s="1361"/>
      <c r="H180" s="1361"/>
    </row>
    <row r="181" spans="1:8" ht="15.75">
      <c r="A181" s="1362"/>
      <c r="B181" s="1362"/>
      <c r="C181" s="1361"/>
      <c r="D181" s="1361"/>
      <c r="E181" s="1361"/>
      <c r="F181" s="1383"/>
      <c r="G181" s="1361"/>
      <c r="H181" s="1361"/>
    </row>
    <row r="182" spans="1:8" ht="15.75">
      <c r="A182" s="1362"/>
      <c r="B182" s="1362"/>
      <c r="C182" s="1361"/>
      <c r="D182" s="1361"/>
      <c r="E182" s="1361"/>
      <c r="F182" s="1383"/>
      <c r="G182" s="1361"/>
      <c r="H182" s="1361"/>
    </row>
    <row r="183" spans="1:8" ht="15.75">
      <c r="A183" s="1362"/>
      <c r="B183" s="1362"/>
      <c r="C183" s="1361"/>
      <c r="D183" s="1361"/>
      <c r="E183" s="1361"/>
      <c r="F183" s="1383"/>
      <c r="G183" s="1361"/>
      <c r="H183" s="1361"/>
    </row>
    <row r="184" spans="1:8" ht="15.75">
      <c r="A184" s="1362"/>
      <c r="B184" s="1362"/>
      <c r="C184" s="1361"/>
      <c r="D184" s="1361"/>
      <c r="E184" s="1361"/>
      <c r="F184" s="1383"/>
      <c r="G184" s="1361"/>
      <c r="H184" s="1361"/>
    </row>
    <row r="185" spans="1:8" ht="15.75">
      <c r="A185" s="1362"/>
      <c r="B185" s="1362"/>
      <c r="C185" s="1361"/>
      <c r="D185" s="1361"/>
      <c r="E185" s="1361"/>
      <c r="F185" s="1383"/>
      <c r="G185" s="1361"/>
      <c r="H185" s="1361"/>
    </row>
    <row r="186" spans="1:8" ht="15.75">
      <c r="A186" s="1362"/>
      <c r="B186" s="1362"/>
      <c r="C186" s="1361"/>
      <c r="D186" s="1361"/>
      <c r="E186" s="1361"/>
      <c r="F186" s="1383"/>
      <c r="G186" s="1361"/>
      <c r="H186" s="1361"/>
    </row>
    <row r="187" spans="1:8" ht="15.75">
      <c r="A187" s="1362"/>
      <c r="B187" s="1362"/>
      <c r="C187" s="1361"/>
      <c r="D187" s="1361"/>
      <c r="E187" s="1361"/>
      <c r="F187" s="1383"/>
      <c r="G187" s="1361"/>
      <c r="H187" s="1361"/>
    </row>
    <row r="188" spans="1:8" ht="15.75">
      <c r="A188" s="1362"/>
      <c r="B188" s="1362"/>
      <c r="C188" s="1361"/>
      <c r="D188" s="1361"/>
      <c r="E188" s="1361"/>
      <c r="F188" s="1383"/>
      <c r="G188" s="1361"/>
      <c r="H188" s="1361"/>
    </row>
    <row r="189" spans="1:8" ht="15.75">
      <c r="A189" s="1362"/>
      <c r="B189" s="1362"/>
      <c r="C189" s="1361"/>
      <c r="D189" s="1361"/>
      <c r="E189" s="1361"/>
      <c r="F189" s="1383"/>
      <c r="G189" s="1361"/>
      <c r="H189" s="1361"/>
    </row>
    <row r="190" spans="1:8" ht="15.75">
      <c r="A190" s="1362"/>
      <c r="B190" s="1362"/>
      <c r="C190" s="1361"/>
      <c r="D190" s="1361"/>
      <c r="E190" s="1361"/>
      <c r="F190" s="1383"/>
      <c r="G190" s="1361"/>
      <c r="H190" s="1361"/>
    </row>
    <row r="191" spans="1:8" ht="15.75">
      <c r="A191" s="1362"/>
      <c r="B191" s="1362"/>
      <c r="C191" s="1361"/>
      <c r="D191" s="1361"/>
      <c r="E191" s="1361"/>
      <c r="F191" s="1383"/>
      <c r="G191" s="1361"/>
      <c r="H191" s="1361"/>
    </row>
    <row r="192" spans="1:8" ht="15.75">
      <c r="A192" s="1362"/>
      <c r="B192" s="1362"/>
      <c r="C192" s="1361"/>
      <c r="D192" s="1361"/>
      <c r="E192" s="1361"/>
      <c r="F192" s="1383"/>
      <c r="G192" s="1361"/>
      <c r="H192" s="1361"/>
    </row>
    <row r="193" spans="1:8" ht="15.75">
      <c r="A193" s="1362"/>
      <c r="B193" s="1362"/>
      <c r="C193" s="1361"/>
      <c r="D193" s="1361"/>
      <c r="E193" s="1361"/>
      <c r="F193" s="1383"/>
      <c r="G193" s="1361"/>
      <c r="H193" s="1361"/>
    </row>
    <row r="194" spans="1:8" ht="15.75">
      <c r="A194" s="1362"/>
      <c r="B194" s="1362"/>
      <c r="C194" s="1361"/>
      <c r="D194" s="1361"/>
      <c r="E194" s="1361"/>
      <c r="F194" s="1383"/>
      <c r="G194" s="1361"/>
      <c r="H194" s="1361"/>
    </row>
    <row r="195" spans="1:8" ht="15.75">
      <c r="A195" s="1362"/>
      <c r="B195" s="1362"/>
      <c r="C195" s="1361"/>
      <c r="D195" s="1361"/>
      <c r="E195" s="1361"/>
      <c r="F195" s="1383"/>
      <c r="G195" s="1361"/>
      <c r="H195" s="1361"/>
    </row>
    <row r="196" spans="1:8" ht="15.75">
      <c r="A196" s="1362"/>
      <c r="B196" s="1362"/>
      <c r="C196" s="1361"/>
      <c r="D196" s="1361"/>
      <c r="E196" s="1361"/>
      <c r="F196" s="1383"/>
      <c r="G196" s="1361"/>
      <c r="H196" s="1361"/>
    </row>
    <row r="197" spans="1:8" ht="15.75">
      <c r="A197" s="1362"/>
      <c r="B197" s="1362"/>
      <c r="C197" s="1361"/>
      <c r="D197" s="1361"/>
      <c r="E197" s="1361"/>
      <c r="F197" s="1383"/>
      <c r="G197" s="1361"/>
      <c r="H197" s="1361"/>
    </row>
    <row r="198" spans="1:8" ht="15.75">
      <c r="A198" s="1362"/>
      <c r="B198" s="1362"/>
      <c r="C198" s="1361"/>
      <c r="D198" s="1361"/>
      <c r="E198" s="1361"/>
      <c r="F198" s="1383"/>
      <c r="G198" s="1361"/>
      <c r="H198" s="1361"/>
    </row>
    <row r="199" spans="1:8" ht="15.75">
      <c r="A199" s="1362"/>
      <c r="B199" s="1362"/>
      <c r="C199" s="1361"/>
      <c r="D199" s="1361"/>
      <c r="E199" s="1361"/>
      <c r="F199" s="1383"/>
      <c r="G199" s="1361"/>
      <c r="H199" s="1361"/>
    </row>
    <row r="200" spans="1:8" ht="15.75">
      <c r="A200" s="1362"/>
      <c r="B200" s="1362"/>
      <c r="C200" s="1361"/>
      <c r="D200" s="1361"/>
      <c r="E200" s="1361"/>
      <c r="F200" s="1383"/>
      <c r="G200" s="1361"/>
      <c r="H200" s="1361"/>
    </row>
    <row r="201" spans="1:8" ht="15.75">
      <c r="A201" s="1362"/>
      <c r="B201" s="1362"/>
      <c r="C201" s="1361"/>
      <c r="D201" s="1361"/>
      <c r="E201" s="1361"/>
      <c r="F201" s="1383"/>
      <c r="G201" s="1361"/>
      <c r="H201" s="1361"/>
    </row>
    <row r="202" spans="1:8" ht="15.75">
      <c r="A202" s="1362"/>
      <c r="B202" s="1362"/>
      <c r="C202" s="1361"/>
      <c r="D202" s="1361"/>
      <c r="E202" s="1361"/>
      <c r="F202" s="1383"/>
      <c r="G202" s="1361"/>
      <c r="H202" s="1361"/>
    </row>
    <row r="203" spans="1:8" ht="15.75">
      <c r="A203" s="1362"/>
      <c r="B203" s="1362"/>
      <c r="C203" s="1361"/>
      <c r="D203" s="1361"/>
      <c r="E203" s="1361"/>
      <c r="F203" s="1383"/>
      <c r="G203" s="1361"/>
      <c r="H203" s="1361"/>
    </row>
    <row r="204" spans="1:8" ht="15.75">
      <c r="A204" s="1362"/>
      <c r="B204" s="1362"/>
      <c r="C204" s="1361"/>
      <c r="D204" s="1361"/>
      <c r="E204" s="1361"/>
      <c r="F204" s="1383"/>
      <c r="G204" s="1361"/>
      <c r="H204" s="1361"/>
    </row>
    <row r="205" spans="1:8" ht="15.75">
      <c r="A205" s="1362"/>
      <c r="B205" s="1362"/>
      <c r="C205" s="1361"/>
      <c r="D205" s="1361"/>
      <c r="E205" s="1361"/>
      <c r="F205" s="1383"/>
      <c r="G205" s="1361"/>
      <c r="H205" s="1361"/>
    </row>
    <row r="206" spans="1:8" ht="15.75">
      <c r="A206" s="1362"/>
      <c r="B206" s="1362"/>
      <c r="C206" s="1361"/>
      <c r="D206" s="1361"/>
      <c r="E206" s="1361"/>
      <c r="F206" s="1383"/>
      <c r="G206" s="1361"/>
      <c r="H206" s="1361"/>
    </row>
    <row r="207" spans="1:8" ht="15.75">
      <c r="A207" s="1362"/>
      <c r="B207" s="1362"/>
      <c r="C207" s="1361"/>
      <c r="D207" s="1361"/>
      <c r="E207" s="1361"/>
      <c r="F207" s="1383"/>
      <c r="G207" s="1361"/>
      <c r="H207" s="1361"/>
    </row>
    <row r="208" spans="1:8" ht="15.75">
      <c r="A208" s="1362"/>
      <c r="B208" s="1362"/>
      <c r="C208" s="1361"/>
      <c r="D208" s="1361"/>
      <c r="E208" s="1361"/>
      <c r="F208" s="1383"/>
      <c r="G208" s="1361"/>
      <c r="H208" s="1361"/>
    </row>
    <row r="209" spans="1:8" ht="15.75">
      <c r="A209" s="1362"/>
      <c r="B209" s="1362"/>
      <c r="C209" s="1361"/>
      <c r="D209" s="1361"/>
      <c r="E209" s="1361"/>
      <c r="F209" s="1383"/>
      <c r="G209" s="1361"/>
      <c r="H209" s="1361"/>
    </row>
    <row r="210" spans="1:8" ht="15.75">
      <c r="A210" s="1362"/>
      <c r="B210" s="1362"/>
      <c r="C210" s="1361"/>
      <c r="D210" s="1361"/>
      <c r="E210" s="1361"/>
      <c r="F210" s="1383"/>
      <c r="G210" s="1361"/>
      <c r="H210" s="1361"/>
    </row>
    <row r="211" spans="1:8" ht="15.75">
      <c r="A211" s="1362"/>
      <c r="B211" s="1362"/>
      <c r="C211" s="1361"/>
      <c r="D211" s="1361"/>
      <c r="E211" s="1361"/>
      <c r="F211" s="1383"/>
      <c r="G211" s="1361"/>
      <c r="H211" s="1361"/>
    </row>
    <row r="212" spans="1:8" ht="15.75">
      <c r="A212" s="1362"/>
      <c r="B212" s="1362"/>
      <c r="C212" s="1361"/>
      <c r="D212" s="1361"/>
      <c r="E212" s="1361"/>
      <c r="F212" s="1383"/>
      <c r="G212" s="1361"/>
      <c r="H212" s="1361"/>
    </row>
    <row r="213" spans="1:8" ht="15.75">
      <c r="A213" s="1362"/>
      <c r="B213" s="1362"/>
      <c r="C213" s="1361"/>
      <c r="D213" s="1361"/>
      <c r="E213" s="1361"/>
      <c r="F213" s="1383"/>
      <c r="G213" s="1361"/>
      <c r="H213" s="1361"/>
    </row>
    <row r="214" spans="1:8" ht="15.75">
      <c r="A214" s="1362"/>
      <c r="B214" s="1362"/>
      <c r="C214" s="1361"/>
      <c r="D214" s="1361"/>
      <c r="E214" s="1361"/>
      <c r="F214" s="1383"/>
      <c r="G214" s="1361"/>
      <c r="H214" s="1361"/>
    </row>
    <row r="215" spans="1:8" ht="15.75">
      <c r="A215" s="1362"/>
      <c r="B215" s="1362"/>
      <c r="C215" s="1361"/>
      <c r="D215" s="1361"/>
      <c r="E215" s="1361"/>
      <c r="F215" s="1383"/>
      <c r="G215" s="1361"/>
      <c r="H215" s="1361"/>
    </row>
    <row r="216" spans="1:8" ht="15.75">
      <c r="A216" s="1362"/>
      <c r="B216" s="1362"/>
      <c r="C216" s="1361"/>
      <c r="D216" s="1361"/>
      <c r="E216" s="1361"/>
      <c r="F216" s="1383"/>
      <c r="G216" s="1361"/>
      <c r="H216" s="1361"/>
    </row>
    <row r="217" spans="1:8" ht="15.75">
      <c r="A217" s="1362"/>
      <c r="B217" s="1362"/>
      <c r="C217" s="1361"/>
      <c r="D217" s="1361"/>
      <c r="E217" s="1361"/>
      <c r="F217" s="1383"/>
      <c r="G217" s="1361"/>
      <c r="H217" s="1361"/>
    </row>
    <row r="218" spans="1:8" ht="15.75">
      <c r="A218" s="1362"/>
      <c r="B218" s="1362"/>
      <c r="C218" s="1361"/>
      <c r="D218" s="1361"/>
      <c r="E218" s="1361"/>
      <c r="F218" s="1383"/>
      <c r="G218" s="1361"/>
      <c r="H218" s="1361"/>
    </row>
    <row r="219" spans="1:8" ht="15.75">
      <c r="A219" s="1362"/>
      <c r="B219" s="1362"/>
      <c r="C219" s="1361"/>
      <c r="D219" s="1361"/>
      <c r="E219" s="1361"/>
      <c r="F219" s="1383"/>
      <c r="G219" s="1361"/>
      <c r="H219" s="1361"/>
    </row>
    <row r="220" spans="1:8" ht="15.75">
      <c r="A220" s="1362"/>
      <c r="B220" s="1362"/>
      <c r="C220" s="1361"/>
      <c r="D220" s="1361"/>
      <c r="E220" s="1361"/>
      <c r="F220" s="1383"/>
      <c r="G220" s="1361"/>
      <c r="H220" s="1361"/>
    </row>
    <row r="221" spans="1:8" ht="15.75">
      <c r="A221" s="1362"/>
      <c r="B221" s="1362"/>
      <c r="C221" s="1361"/>
      <c r="D221" s="1361"/>
      <c r="E221" s="1361"/>
      <c r="F221" s="1383"/>
      <c r="G221" s="1361"/>
      <c r="H221" s="1361"/>
    </row>
    <row r="222" spans="1:8" ht="15.75">
      <c r="A222" s="1362"/>
      <c r="B222" s="1362"/>
      <c r="C222" s="1361"/>
      <c r="D222" s="1361"/>
      <c r="E222" s="1361"/>
      <c r="F222" s="1383"/>
      <c r="G222" s="1361"/>
      <c r="H222" s="1361"/>
    </row>
    <row r="223" spans="1:8" ht="15.75">
      <c r="A223" s="1362"/>
      <c r="B223" s="1362"/>
      <c r="C223" s="1361"/>
      <c r="D223" s="1361"/>
      <c r="E223" s="1361"/>
      <c r="F223" s="1383"/>
      <c r="G223" s="1361"/>
      <c r="H223" s="1361"/>
    </row>
    <row r="224" spans="1:8" ht="15.75">
      <c r="A224" s="1362"/>
      <c r="B224" s="1362"/>
      <c r="C224" s="1361"/>
      <c r="D224" s="1361"/>
      <c r="E224" s="1361"/>
      <c r="F224" s="1383"/>
      <c r="G224" s="1361"/>
      <c r="H224" s="1361"/>
    </row>
    <row r="225" spans="1:8" ht="15.75">
      <c r="A225" s="1362"/>
      <c r="B225" s="1362"/>
      <c r="C225" s="1361"/>
      <c r="D225" s="1361"/>
      <c r="E225" s="1361"/>
      <c r="F225" s="1383"/>
      <c r="G225" s="1361"/>
      <c r="H225" s="1361"/>
    </row>
    <row r="226" spans="1:8" ht="15.75">
      <c r="A226" s="1362"/>
      <c r="B226" s="1362"/>
      <c r="C226" s="1361"/>
      <c r="D226" s="1361"/>
      <c r="E226" s="1361"/>
      <c r="F226" s="1383"/>
      <c r="G226" s="1361"/>
      <c r="H226" s="1361"/>
    </row>
    <row r="227" spans="1:8" ht="15.75">
      <c r="A227" s="1362"/>
      <c r="B227" s="1362"/>
      <c r="C227" s="1361"/>
      <c r="D227" s="1361"/>
      <c r="E227" s="1361"/>
      <c r="F227" s="1383"/>
      <c r="G227" s="1361"/>
      <c r="H227" s="1361"/>
    </row>
    <row r="228" spans="1:8" ht="15.75">
      <c r="A228" s="1362"/>
      <c r="B228" s="1362"/>
      <c r="C228" s="1361"/>
      <c r="D228" s="1361"/>
      <c r="E228" s="1361"/>
      <c r="F228" s="1383"/>
      <c r="G228" s="1361"/>
      <c r="H228" s="1361"/>
    </row>
    <row r="229" spans="1:8" ht="15.75">
      <c r="A229" s="1362"/>
      <c r="B229" s="1362"/>
      <c r="C229" s="1361"/>
      <c r="D229" s="1361"/>
      <c r="E229" s="1361"/>
      <c r="F229" s="1383"/>
      <c r="G229" s="1361"/>
      <c r="H229" s="1361"/>
    </row>
    <row r="230" spans="1:8" ht="15.75">
      <c r="A230" s="1362"/>
      <c r="B230" s="1362"/>
      <c r="C230" s="1361"/>
      <c r="D230" s="1361"/>
      <c r="E230" s="1361"/>
      <c r="F230" s="1383"/>
      <c r="G230" s="1361"/>
      <c r="H230" s="1361"/>
    </row>
    <row r="231" spans="1:8" ht="15.75">
      <c r="A231" s="1362"/>
      <c r="B231" s="1362"/>
      <c r="C231" s="1361"/>
      <c r="D231" s="1361"/>
      <c r="E231" s="1361"/>
      <c r="F231" s="1383"/>
      <c r="G231" s="1361"/>
      <c r="H231" s="1361"/>
    </row>
    <row r="232" spans="1:8" ht="15.75">
      <c r="A232" s="1362"/>
      <c r="B232" s="1362"/>
      <c r="C232" s="1361"/>
      <c r="D232" s="1361"/>
      <c r="E232" s="1361"/>
      <c r="F232" s="1383"/>
      <c r="G232" s="1361"/>
      <c r="H232" s="1361"/>
    </row>
    <row r="233" spans="1:8" ht="15.75">
      <c r="A233" s="1362"/>
      <c r="B233" s="1362"/>
      <c r="C233" s="1361"/>
      <c r="D233" s="1361"/>
      <c r="E233" s="1361"/>
      <c r="F233" s="1383"/>
      <c r="G233" s="1361"/>
      <c r="H233" s="1361"/>
    </row>
    <row r="234" spans="1:8" ht="15.75">
      <c r="A234" s="1362"/>
      <c r="B234" s="1362"/>
      <c r="C234" s="1361"/>
      <c r="D234" s="1361"/>
      <c r="E234" s="1361"/>
      <c r="F234" s="1383"/>
      <c r="G234" s="1361"/>
      <c r="H234" s="1361"/>
    </row>
    <row r="235" spans="1:8" ht="15.75">
      <c r="A235" s="1362"/>
      <c r="B235" s="1362"/>
      <c r="C235" s="1361"/>
      <c r="D235" s="1361"/>
      <c r="E235" s="1361"/>
      <c r="F235" s="1383"/>
      <c r="G235" s="1361"/>
      <c r="H235" s="1361"/>
    </row>
    <row r="236" spans="1:8" ht="15.75">
      <c r="A236" s="1362"/>
      <c r="B236" s="1362"/>
      <c r="C236" s="1361"/>
      <c r="D236" s="1361"/>
      <c r="E236" s="1361"/>
      <c r="F236" s="1383"/>
      <c r="G236" s="1361"/>
      <c r="H236" s="1361"/>
    </row>
    <row r="237" spans="1:8" ht="15.75">
      <c r="A237" s="1362"/>
      <c r="B237" s="1362"/>
      <c r="C237" s="1361"/>
      <c r="D237" s="1361"/>
      <c r="E237" s="1361"/>
      <c r="F237" s="1383"/>
      <c r="G237" s="1361"/>
      <c r="H237" s="1361"/>
    </row>
    <row r="238" spans="1:8" ht="15.75">
      <c r="A238" s="1362"/>
      <c r="B238" s="1362"/>
      <c r="C238" s="1361"/>
      <c r="D238" s="1361"/>
      <c r="E238" s="1361"/>
      <c r="F238" s="1383"/>
      <c r="G238" s="1361"/>
      <c r="H238" s="1361"/>
    </row>
    <row r="239" spans="1:8" ht="15.75">
      <c r="A239" s="1362"/>
      <c r="B239" s="1362"/>
      <c r="C239" s="1361"/>
      <c r="D239" s="1361"/>
      <c r="E239" s="1361"/>
      <c r="F239" s="1383"/>
      <c r="G239" s="1361"/>
      <c r="H239" s="1361"/>
    </row>
    <row r="240" spans="1:8" ht="15.75">
      <c r="A240" s="1362"/>
      <c r="B240" s="1362"/>
      <c r="C240" s="1361"/>
      <c r="D240" s="1361"/>
      <c r="E240" s="1361"/>
      <c r="F240" s="1383"/>
      <c r="G240" s="1361"/>
      <c r="H240" s="1361"/>
    </row>
    <row r="241" spans="1:8" ht="15.75">
      <c r="A241" s="1362"/>
      <c r="B241" s="1362"/>
      <c r="C241" s="1361"/>
      <c r="D241" s="1361"/>
      <c r="E241" s="1361"/>
      <c r="F241" s="1383"/>
      <c r="G241" s="1361"/>
      <c r="H241" s="1361"/>
    </row>
    <row r="242" spans="1:8" ht="15.75">
      <c r="A242" s="1362"/>
      <c r="B242" s="1362"/>
      <c r="C242" s="1361"/>
      <c r="D242" s="1361"/>
      <c r="E242" s="1361"/>
      <c r="F242" s="1383"/>
      <c r="G242" s="1361"/>
      <c r="H242" s="1361"/>
    </row>
    <row r="243" spans="1:8" ht="15.75">
      <c r="A243" s="1362"/>
      <c r="B243" s="1362"/>
      <c r="C243" s="1361"/>
      <c r="D243" s="1361"/>
      <c r="E243" s="1361"/>
      <c r="F243" s="1383"/>
      <c r="G243" s="1361"/>
      <c r="H243" s="1361"/>
    </row>
    <row r="244" spans="1:8" ht="15.75">
      <c r="A244" s="1362"/>
      <c r="B244" s="1362"/>
      <c r="C244" s="1361"/>
      <c r="D244" s="1361"/>
      <c r="E244" s="1361"/>
      <c r="F244" s="1383"/>
      <c r="G244" s="1361"/>
      <c r="H244" s="1361"/>
    </row>
    <row r="245" spans="1:8" ht="15.75">
      <c r="A245" s="1362"/>
      <c r="B245" s="1362"/>
      <c r="C245" s="1361"/>
      <c r="D245" s="1361"/>
      <c r="E245" s="1361"/>
      <c r="F245" s="1383"/>
      <c r="G245" s="1361"/>
      <c r="H245" s="1361"/>
    </row>
    <row r="246" spans="1:8" ht="15.75">
      <c r="A246" s="1362"/>
      <c r="B246" s="1362"/>
      <c r="C246" s="1361"/>
      <c r="D246" s="1361"/>
      <c r="E246" s="1361"/>
      <c r="F246" s="1383"/>
      <c r="G246" s="1361"/>
      <c r="H246" s="1361"/>
    </row>
    <row r="247" spans="1:8" ht="15.75">
      <c r="A247" s="1362"/>
      <c r="B247" s="1362"/>
      <c r="C247" s="1361"/>
      <c r="D247" s="1361"/>
      <c r="E247" s="1361"/>
      <c r="F247" s="1383"/>
      <c r="G247" s="1361"/>
      <c r="H247" s="1361"/>
    </row>
    <row r="248" spans="1:8" ht="15.75">
      <c r="A248" s="1362"/>
      <c r="B248" s="1362"/>
      <c r="C248" s="1361"/>
      <c r="D248" s="1361"/>
      <c r="E248" s="1361"/>
      <c r="F248" s="1383"/>
      <c r="G248" s="1361"/>
      <c r="H248" s="1361"/>
    </row>
    <row r="249" spans="1:8" ht="15.75">
      <c r="A249" s="1362"/>
      <c r="B249" s="1362"/>
      <c r="C249" s="1361"/>
      <c r="D249" s="1361"/>
      <c r="E249" s="1361"/>
      <c r="F249" s="1383"/>
      <c r="G249" s="1361"/>
      <c r="H249" s="1361"/>
    </row>
    <row r="250" spans="1:8" ht="15.75">
      <c r="A250" s="1362"/>
      <c r="B250" s="1362"/>
      <c r="C250" s="1361"/>
      <c r="D250" s="1361"/>
      <c r="E250" s="1361"/>
      <c r="F250" s="1383"/>
      <c r="G250" s="1361"/>
      <c r="H250" s="1361"/>
    </row>
    <row r="251" spans="1:8" ht="15.75">
      <c r="A251" s="1362"/>
      <c r="B251" s="1362"/>
      <c r="C251" s="1361"/>
      <c r="D251" s="1361"/>
      <c r="E251" s="1361"/>
      <c r="F251" s="1383"/>
      <c r="G251" s="1361"/>
      <c r="H251" s="1361"/>
    </row>
    <row r="252" spans="1:8" ht="15.75">
      <c r="A252" s="1362"/>
      <c r="B252" s="1362"/>
      <c r="C252" s="1361"/>
      <c r="D252" s="1361"/>
      <c r="E252" s="1361"/>
      <c r="F252" s="1383"/>
      <c r="G252" s="1361"/>
      <c r="H252" s="1361"/>
    </row>
    <row r="253" spans="1:8" ht="15.75">
      <c r="A253" s="1362"/>
      <c r="B253" s="1362"/>
      <c r="C253" s="1361"/>
      <c r="D253" s="1361"/>
      <c r="E253" s="1361"/>
      <c r="F253" s="1383"/>
      <c r="G253" s="1361"/>
      <c r="H253" s="1361"/>
    </row>
    <row r="254" spans="1:8" ht="15.75">
      <c r="A254" s="1362"/>
      <c r="B254" s="1362"/>
      <c r="C254" s="1361"/>
      <c r="D254" s="1361"/>
      <c r="E254" s="1361"/>
      <c r="F254" s="1383"/>
      <c r="G254" s="1361"/>
      <c r="H254" s="1361"/>
    </row>
    <row r="255" spans="1:8" ht="15.75">
      <c r="A255" s="1362"/>
      <c r="B255" s="1362"/>
      <c r="C255" s="1361"/>
      <c r="D255" s="1361"/>
      <c r="E255" s="1361"/>
      <c r="F255" s="1383"/>
      <c r="G255" s="1361"/>
      <c r="H255" s="1361"/>
    </row>
    <row r="256" spans="1:8" ht="15.75">
      <c r="A256" s="1362"/>
      <c r="B256" s="1362"/>
      <c r="C256" s="1361"/>
      <c r="D256" s="1361"/>
      <c r="E256" s="1361"/>
      <c r="F256" s="1383"/>
      <c r="G256" s="1361"/>
      <c r="H256" s="1361"/>
    </row>
    <row r="257" spans="1:8" ht="15.75">
      <c r="A257" s="1362"/>
      <c r="B257" s="1362"/>
      <c r="C257" s="1361"/>
      <c r="D257" s="1361"/>
      <c r="E257" s="1361"/>
      <c r="F257" s="1383"/>
      <c r="G257" s="1361"/>
      <c r="H257" s="1361"/>
    </row>
    <row r="258" spans="1:8" ht="15.75">
      <c r="A258" s="1362"/>
      <c r="B258" s="1362"/>
      <c r="C258" s="1361"/>
      <c r="D258" s="1361"/>
      <c r="E258" s="1361"/>
      <c r="F258" s="1383"/>
      <c r="G258" s="1361"/>
      <c r="H258" s="1361"/>
    </row>
    <row r="259" spans="1:8" ht="15.75">
      <c r="A259" s="1362"/>
      <c r="B259" s="1362"/>
      <c r="C259" s="1361"/>
      <c r="D259" s="1361"/>
      <c r="E259" s="1361"/>
      <c r="F259" s="1383"/>
      <c r="G259" s="1361"/>
      <c r="H259" s="1361"/>
    </row>
    <row r="260" spans="1:8" ht="15.75">
      <c r="A260" s="1362"/>
      <c r="B260" s="1362"/>
      <c r="C260" s="1361"/>
      <c r="D260" s="1361"/>
      <c r="E260" s="1361"/>
      <c r="F260" s="1383"/>
      <c r="G260" s="1361"/>
      <c r="H260" s="1361"/>
    </row>
    <row r="261" spans="1:8" ht="15.75">
      <c r="A261" s="1362"/>
      <c r="B261" s="1362"/>
      <c r="C261" s="1361"/>
      <c r="D261" s="1361"/>
      <c r="E261" s="1361"/>
      <c r="F261" s="1383"/>
      <c r="G261" s="1361"/>
      <c r="H261" s="1361"/>
    </row>
    <row r="262" spans="1:8" ht="15.75">
      <c r="A262" s="1362"/>
      <c r="B262" s="1362"/>
      <c r="C262" s="1361"/>
      <c r="D262" s="1361"/>
      <c r="E262" s="1361"/>
      <c r="F262" s="1383"/>
      <c r="G262" s="1361"/>
      <c r="H262" s="1361"/>
    </row>
    <row r="263" spans="1:8" ht="15.75">
      <c r="A263" s="1362"/>
      <c r="B263" s="1362"/>
      <c r="C263" s="1361"/>
      <c r="D263" s="1361"/>
      <c r="E263" s="1361"/>
      <c r="F263" s="1383"/>
      <c r="G263" s="1361"/>
      <c r="H263" s="1361"/>
    </row>
    <row r="264" spans="1:8" ht="15.75">
      <c r="A264" s="1362"/>
      <c r="B264" s="1362"/>
      <c r="C264" s="1361"/>
      <c r="D264" s="1361"/>
      <c r="E264" s="1361"/>
      <c r="F264" s="1383"/>
      <c r="G264" s="1361"/>
      <c r="H264" s="1361"/>
    </row>
    <row r="265" spans="1:8" ht="15.75">
      <c r="A265" s="1362"/>
      <c r="B265" s="1362"/>
      <c r="C265" s="1361"/>
      <c r="D265" s="1361"/>
      <c r="E265" s="1361"/>
      <c r="F265" s="1383"/>
      <c r="G265" s="1361"/>
      <c r="H265" s="1361"/>
    </row>
    <row r="266" spans="1:8" ht="15.75">
      <c r="A266" s="1362"/>
      <c r="B266" s="1362"/>
      <c r="C266" s="1361"/>
      <c r="D266" s="1361"/>
      <c r="E266" s="1361"/>
      <c r="F266" s="1383"/>
      <c r="G266" s="1361"/>
      <c r="H266" s="1361"/>
    </row>
    <row r="267" spans="1:8" ht="15.75">
      <c r="A267" s="1362"/>
      <c r="B267" s="1362"/>
      <c r="C267" s="1361"/>
      <c r="D267" s="1361"/>
      <c r="E267" s="1361"/>
      <c r="F267" s="1383"/>
      <c r="G267" s="1361"/>
      <c r="H267" s="1361"/>
    </row>
    <row r="268" spans="1:8" ht="15.75">
      <c r="A268" s="1362"/>
      <c r="B268" s="1362"/>
      <c r="C268" s="1361"/>
      <c r="D268" s="1361"/>
      <c r="E268" s="1361"/>
      <c r="F268" s="1383"/>
      <c r="G268" s="1361"/>
      <c r="H268" s="1361"/>
    </row>
    <row r="269" spans="1:8" ht="15.75">
      <c r="A269" s="1362"/>
      <c r="B269" s="1362"/>
      <c r="C269" s="1361"/>
      <c r="D269" s="1361"/>
      <c r="E269" s="1361"/>
      <c r="F269" s="1383"/>
      <c r="G269" s="1361"/>
      <c r="H269" s="1361"/>
    </row>
    <row r="270" spans="1:8" ht="15.75">
      <c r="A270" s="1362"/>
      <c r="B270" s="1362"/>
      <c r="C270" s="1361"/>
      <c r="D270" s="1361"/>
      <c r="E270" s="1361"/>
      <c r="F270" s="1383"/>
      <c r="G270" s="1361"/>
      <c r="H270" s="1361"/>
    </row>
    <row r="271" spans="1:8" ht="15.75">
      <c r="A271" s="1362"/>
      <c r="B271" s="1362"/>
      <c r="C271" s="1361"/>
      <c r="D271" s="1361"/>
      <c r="E271" s="1361"/>
      <c r="F271" s="1383"/>
      <c r="G271" s="1361"/>
      <c r="H271" s="1361"/>
    </row>
    <row r="272" spans="1:8" ht="15.75">
      <c r="A272" s="1362"/>
      <c r="B272" s="1362"/>
      <c r="C272" s="1361"/>
      <c r="D272" s="1361"/>
      <c r="E272" s="1361"/>
      <c r="F272" s="1383"/>
      <c r="G272" s="1361"/>
      <c r="H272" s="1361"/>
    </row>
    <row r="273" spans="1:8" ht="15.75">
      <c r="A273" s="1362"/>
      <c r="B273" s="1362"/>
      <c r="C273" s="1361"/>
      <c r="D273" s="1361"/>
      <c r="E273" s="1361"/>
      <c r="F273" s="1383"/>
      <c r="G273" s="1361"/>
      <c r="H273" s="1361"/>
    </row>
    <row r="274" spans="1:8" ht="15.75">
      <c r="A274" s="1362"/>
      <c r="B274" s="1362"/>
      <c r="C274" s="1361"/>
      <c r="D274" s="1361"/>
      <c r="E274" s="1361"/>
      <c r="F274" s="1383"/>
      <c r="G274" s="1361"/>
      <c r="H274" s="1361"/>
    </row>
    <row r="275" spans="1:8" ht="15.75">
      <c r="A275" s="1362"/>
      <c r="B275" s="1362"/>
      <c r="C275" s="1361"/>
      <c r="D275" s="1361"/>
      <c r="E275" s="1361"/>
      <c r="F275" s="1383"/>
      <c r="G275" s="1361"/>
      <c r="H275" s="1361"/>
    </row>
    <row r="276" spans="1:8" ht="15.75">
      <c r="A276" s="1362"/>
      <c r="B276" s="1362"/>
      <c r="C276" s="1361"/>
      <c r="D276" s="1361"/>
      <c r="E276" s="1361"/>
      <c r="F276" s="1383"/>
      <c r="G276" s="1361"/>
      <c r="H276" s="1361"/>
    </row>
    <row r="277" spans="1:8" ht="15.75">
      <c r="A277" s="1362"/>
      <c r="B277" s="1362"/>
      <c r="C277" s="1361"/>
      <c r="D277" s="1361"/>
      <c r="E277" s="1361"/>
      <c r="F277" s="1383"/>
      <c r="G277" s="1361"/>
      <c r="H277" s="1361"/>
    </row>
    <row r="278" spans="1:8" ht="15.75">
      <c r="A278" s="1362"/>
      <c r="B278" s="1362"/>
      <c r="C278" s="1361"/>
      <c r="D278" s="1361"/>
      <c r="E278" s="1361"/>
      <c r="F278" s="1383"/>
      <c r="G278" s="1361"/>
      <c r="H278" s="1361"/>
    </row>
    <row r="279" spans="1:8" ht="15.75">
      <c r="A279" s="1362"/>
      <c r="B279" s="1362"/>
      <c r="C279" s="1361"/>
      <c r="D279" s="1361"/>
      <c r="E279" s="1361"/>
      <c r="F279" s="1383"/>
      <c r="G279" s="1361"/>
      <c r="H279" s="1361"/>
    </row>
    <row r="280" spans="1:8" ht="15.75">
      <c r="A280" s="1362"/>
      <c r="B280" s="1362"/>
      <c r="C280" s="1361"/>
      <c r="D280" s="1361"/>
      <c r="E280" s="1361"/>
      <c r="F280" s="1383"/>
      <c r="G280" s="1361"/>
      <c r="H280" s="1361"/>
    </row>
    <row r="281" spans="1:8" ht="15.75">
      <c r="A281" s="1362"/>
      <c r="B281" s="1362"/>
      <c r="C281" s="1361"/>
      <c r="D281" s="1361"/>
      <c r="E281" s="1361"/>
      <c r="F281" s="1383"/>
      <c r="G281" s="1361"/>
      <c r="H281" s="1361"/>
    </row>
    <row r="282" spans="1:8" ht="15.75">
      <c r="A282" s="1362"/>
      <c r="B282" s="1362"/>
      <c r="C282" s="1361"/>
      <c r="D282" s="1361"/>
      <c r="E282" s="1361"/>
      <c r="F282" s="1383"/>
      <c r="G282" s="1361"/>
      <c r="H282" s="1361"/>
    </row>
    <row r="283" spans="1:8" ht="15.75">
      <c r="A283" s="1362"/>
      <c r="B283" s="1362"/>
      <c r="C283" s="1361"/>
      <c r="D283" s="1361"/>
      <c r="E283" s="1361"/>
      <c r="F283" s="1383"/>
      <c r="G283" s="1361"/>
      <c r="H283" s="1361"/>
    </row>
    <row r="284" spans="1:8" ht="15.75">
      <c r="A284" s="1362"/>
      <c r="B284" s="1362"/>
      <c r="C284" s="1361"/>
      <c r="D284" s="1361"/>
      <c r="E284" s="1361"/>
      <c r="F284" s="1383"/>
      <c r="G284" s="1361"/>
      <c r="H284" s="1361"/>
    </row>
    <row r="285" spans="1:8" ht="15.75">
      <c r="A285" s="1362"/>
      <c r="B285" s="1362"/>
      <c r="C285" s="1361"/>
      <c r="D285" s="1361"/>
      <c r="E285" s="1361"/>
      <c r="F285" s="1383"/>
      <c r="G285" s="1361"/>
      <c r="H285" s="1361"/>
    </row>
    <row r="286" spans="1:8" ht="15.75">
      <c r="A286" s="1362"/>
      <c r="B286" s="1362"/>
      <c r="C286" s="1361"/>
      <c r="D286" s="1361"/>
      <c r="E286" s="1361"/>
      <c r="F286" s="1383"/>
      <c r="G286" s="1361"/>
      <c r="H286" s="1361"/>
    </row>
    <row r="287" spans="1:8" ht="15.75">
      <c r="A287" s="1362"/>
      <c r="B287" s="1362"/>
      <c r="C287" s="1361"/>
      <c r="D287" s="1361"/>
      <c r="E287" s="1361"/>
      <c r="F287" s="1383"/>
      <c r="G287" s="1361"/>
      <c r="H287" s="1361"/>
    </row>
    <row r="288" spans="1:8" ht="15.75">
      <c r="A288" s="1362"/>
      <c r="B288" s="1362"/>
      <c r="C288" s="1361"/>
      <c r="D288" s="1361"/>
      <c r="E288" s="1361"/>
      <c r="F288" s="1383"/>
      <c r="G288" s="1361"/>
      <c r="H288" s="1361"/>
    </row>
    <row r="289" spans="1:8" ht="15.75">
      <c r="A289" s="1362"/>
      <c r="B289" s="1362"/>
      <c r="C289" s="1361"/>
      <c r="D289" s="1361"/>
      <c r="E289" s="1361"/>
      <c r="F289" s="1383"/>
      <c r="G289" s="1361"/>
      <c r="H289" s="1361"/>
    </row>
    <row r="290" spans="1:8" ht="15.75">
      <c r="A290" s="1362"/>
      <c r="B290" s="1362"/>
      <c r="C290" s="1361"/>
      <c r="D290" s="1361"/>
      <c r="E290" s="1361"/>
      <c r="F290" s="1383"/>
      <c r="G290" s="1361"/>
      <c r="H290" s="1361"/>
    </row>
    <row r="291" spans="1:8" ht="15.75">
      <c r="A291" s="1362"/>
      <c r="B291" s="1362"/>
      <c r="C291" s="1361"/>
      <c r="D291" s="1361"/>
      <c r="E291" s="1361"/>
      <c r="F291" s="1383"/>
      <c r="G291" s="1361"/>
      <c r="H291" s="1361"/>
    </row>
    <row r="292" spans="1:8" ht="15.75">
      <c r="A292" s="1362"/>
      <c r="B292" s="1362"/>
      <c r="C292" s="1361"/>
      <c r="D292" s="1361"/>
      <c r="E292" s="1361"/>
      <c r="F292" s="1383"/>
      <c r="G292" s="1361"/>
      <c r="H292" s="1361"/>
    </row>
    <row r="293" spans="1:8" ht="15.75">
      <c r="A293" s="1362"/>
      <c r="B293" s="1362"/>
      <c r="C293" s="1361"/>
      <c r="D293" s="1361"/>
      <c r="E293" s="1361"/>
      <c r="F293" s="1383"/>
      <c r="G293" s="1361"/>
      <c r="H293" s="1361"/>
    </row>
    <row r="294" spans="1:8" ht="15.75">
      <c r="A294" s="1362"/>
      <c r="B294" s="1362"/>
      <c r="C294" s="1361"/>
      <c r="D294" s="1361"/>
      <c r="E294" s="1361"/>
      <c r="F294" s="1383"/>
      <c r="G294" s="1361"/>
      <c r="H294" s="1361"/>
    </row>
    <row r="295" spans="1:8" ht="15.75">
      <c r="A295" s="1362"/>
      <c r="B295" s="1362"/>
      <c r="C295" s="1361"/>
      <c r="D295" s="1361"/>
      <c r="E295" s="1361"/>
      <c r="F295" s="1383"/>
      <c r="G295" s="1361"/>
      <c r="H295" s="1361"/>
    </row>
    <row r="296" spans="1:8" ht="15.75">
      <c r="A296" s="1362"/>
      <c r="B296" s="1362"/>
      <c r="C296" s="1361"/>
      <c r="D296" s="1361"/>
      <c r="E296" s="1361"/>
      <c r="F296" s="1383"/>
      <c r="G296" s="1361"/>
      <c r="H296" s="1361"/>
    </row>
    <row r="297" spans="1:8" ht="15.75">
      <c r="A297" s="1362"/>
      <c r="B297" s="1362"/>
      <c r="C297" s="1361"/>
      <c r="D297" s="1361"/>
      <c r="E297" s="1361"/>
      <c r="F297" s="1383"/>
      <c r="G297" s="1361"/>
      <c r="H297" s="1361"/>
    </row>
    <row r="298" spans="1:8" ht="15.75">
      <c r="A298" s="1362"/>
      <c r="B298" s="1362"/>
      <c r="C298" s="1361"/>
      <c r="D298" s="1361"/>
      <c r="E298" s="1361"/>
      <c r="F298" s="1383"/>
      <c r="G298" s="1361"/>
      <c r="H298" s="1361"/>
    </row>
    <row r="299" spans="1:8" ht="15.75">
      <c r="A299" s="1362"/>
      <c r="B299" s="1362"/>
      <c r="C299" s="1361"/>
      <c r="D299" s="1361"/>
      <c r="E299" s="1361"/>
      <c r="F299" s="1383"/>
      <c r="G299" s="1361"/>
      <c r="H299" s="1361"/>
    </row>
    <row r="300" spans="1:8" ht="15.75">
      <c r="A300" s="1362"/>
      <c r="B300" s="1362"/>
      <c r="C300" s="1361"/>
      <c r="D300" s="1361"/>
      <c r="E300" s="1361"/>
      <c r="F300" s="1383"/>
      <c r="G300" s="1361"/>
      <c r="H300" s="1361"/>
    </row>
    <row r="301" spans="1:8" ht="15.75">
      <c r="A301" s="1362"/>
      <c r="B301" s="1362"/>
      <c r="C301" s="1361"/>
      <c r="D301" s="1361"/>
      <c r="E301" s="1361"/>
      <c r="F301" s="1383"/>
      <c r="G301" s="1361"/>
      <c r="H301" s="1361"/>
    </row>
    <row r="302" spans="1:8" ht="15.75">
      <c r="A302" s="1362"/>
      <c r="B302" s="1362"/>
      <c r="C302" s="1361"/>
      <c r="D302" s="1361"/>
      <c r="E302" s="1361"/>
      <c r="F302" s="1383"/>
      <c r="G302" s="1361"/>
      <c r="H302" s="1361"/>
    </row>
    <row r="303" spans="1:8" ht="15.75">
      <c r="A303" s="1362"/>
      <c r="B303" s="1362"/>
      <c r="C303" s="1361"/>
      <c r="D303" s="1361"/>
      <c r="E303" s="1361"/>
      <c r="F303" s="1383"/>
      <c r="G303" s="1361"/>
      <c r="H303" s="1361"/>
    </row>
    <row r="304" spans="1:8" ht="15.75">
      <c r="A304" s="1362"/>
      <c r="B304" s="1362"/>
      <c r="C304" s="1361"/>
      <c r="D304" s="1361"/>
      <c r="E304" s="1361"/>
      <c r="F304" s="1383"/>
      <c r="G304" s="1361"/>
      <c r="H304" s="1361"/>
    </row>
    <row r="305" spans="1:8" ht="15.75">
      <c r="A305" s="1362"/>
      <c r="B305" s="1362"/>
      <c r="C305" s="1361"/>
      <c r="D305" s="1361"/>
      <c r="E305" s="1361"/>
      <c r="F305" s="1383"/>
      <c r="G305" s="1361"/>
      <c r="H305" s="1361"/>
    </row>
    <row r="306" spans="1:8" ht="15.75">
      <c r="A306" s="1362"/>
      <c r="B306" s="1362"/>
      <c r="C306" s="1361"/>
      <c r="D306" s="1361"/>
      <c r="E306" s="1361"/>
      <c r="F306" s="1383"/>
      <c r="G306" s="1361"/>
      <c r="H306" s="1361"/>
    </row>
    <row r="307" spans="1:8" ht="15.75">
      <c r="A307" s="1362"/>
      <c r="B307" s="1362"/>
      <c r="C307" s="1361"/>
      <c r="D307" s="1361"/>
      <c r="E307" s="1361"/>
      <c r="F307" s="1383"/>
      <c r="G307" s="1361"/>
      <c r="H307" s="1361"/>
    </row>
    <row r="308" spans="1:8" ht="15.75">
      <c r="A308" s="1362"/>
      <c r="B308" s="1362"/>
      <c r="C308" s="1361"/>
      <c r="D308" s="1361"/>
      <c r="E308" s="1361"/>
      <c r="F308" s="1383"/>
      <c r="G308" s="1361"/>
      <c r="H308" s="1361"/>
    </row>
    <row r="309" spans="1:8" ht="15.75">
      <c r="A309" s="1362"/>
      <c r="B309" s="1362"/>
      <c r="C309" s="1361"/>
      <c r="D309" s="1361"/>
      <c r="E309" s="1361"/>
      <c r="F309" s="1383"/>
      <c r="G309" s="1361"/>
      <c r="H309" s="1361"/>
    </row>
    <row r="310" spans="1:8" ht="15.75">
      <c r="A310" s="1362"/>
      <c r="B310" s="1362"/>
      <c r="C310" s="1361"/>
      <c r="D310" s="1361"/>
      <c r="E310" s="1361"/>
      <c r="F310" s="1383"/>
      <c r="G310" s="1361"/>
      <c r="H310" s="1361"/>
    </row>
    <row r="311" spans="1:8" ht="15.75">
      <c r="A311" s="1362"/>
      <c r="B311" s="1362"/>
      <c r="C311" s="1361"/>
      <c r="D311" s="1361"/>
      <c r="E311" s="1361"/>
      <c r="F311" s="1383"/>
      <c r="G311" s="1361"/>
      <c r="H311" s="1361"/>
    </row>
    <row r="312" spans="1:8" ht="15.75">
      <c r="A312" s="1362"/>
      <c r="B312" s="1362"/>
      <c r="C312" s="1361"/>
      <c r="D312" s="1361"/>
      <c r="E312" s="1361"/>
      <c r="F312" s="1383"/>
      <c r="G312" s="1361"/>
      <c r="H312" s="1361"/>
    </row>
    <row r="313" spans="1:8" ht="15.75">
      <c r="A313" s="1362"/>
      <c r="B313" s="1362"/>
      <c r="C313" s="1361"/>
      <c r="D313" s="1361"/>
      <c r="E313" s="1361"/>
      <c r="F313" s="1383"/>
      <c r="G313" s="1361"/>
      <c r="H313" s="1361"/>
    </row>
    <row r="314" spans="1:8" ht="15.75">
      <c r="A314" s="1362"/>
      <c r="B314" s="1362"/>
      <c r="C314" s="1361"/>
      <c r="D314" s="1361"/>
      <c r="E314" s="1361"/>
      <c r="F314" s="1383"/>
      <c r="G314" s="1361"/>
      <c r="H314" s="1361"/>
    </row>
    <row r="315" spans="1:8" ht="15.75">
      <c r="A315" s="1362"/>
      <c r="B315" s="1362"/>
      <c r="C315" s="1361"/>
      <c r="D315" s="1361"/>
      <c r="E315" s="1361"/>
      <c r="F315" s="1383"/>
      <c r="G315" s="1361"/>
      <c r="H315" s="1361"/>
    </row>
    <row r="316" spans="1:8" ht="15.75">
      <c r="A316" s="1362"/>
      <c r="B316" s="1362"/>
      <c r="C316" s="1361"/>
      <c r="D316" s="1361"/>
      <c r="E316" s="1361"/>
      <c r="F316" s="1383"/>
      <c r="G316" s="1361"/>
      <c r="H316" s="1361"/>
    </row>
    <row r="317" spans="1:8" ht="15.75">
      <c r="A317" s="1362"/>
      <c r="B317" s="1362"/>
      <c r="C317" s="1361"/>
      <c r="D317" s="1361"/>
      <c r="E317" s="1361"/>
      <c r="F317" s="1383"/>
      <c r="G317" s="1361"/>
      <c r="H317" s="1361"/>
    </row>
    <row r="318" spans="1:8" ht="15.75">
      <c r="A318" s="1362"/>
      <c r="B318" s="1362"/>
      <c r="C318" s="1361"/>
      <c r="D318" s="1361"/>
      <c r="E318" s="1361"/>
      <c r="F318" s="1383"/>
      <c r="G318" s="1361"/>
      <c r="H318" s="1361"/>
    </row>
    <row r="319" spans="1:8" ht="15.75">
      <c r="A319" s="1362"/>
      <c r="B319" s="1362"/>
      <c r="C319" s="1361"/>
      <c r="D319" s="1361"/>
      <c r="E319" s="1361"/>
      <c r="F319" s="1383"/>
      <c r="G319" s="1361"/>
      <c r="H319" s="1361"/>
    </row>
    <row r="320" spans="1:8" ht="15.75">
      <c r="A320" s="1362"/>
      <c r="B320" s="1362"/>
      <c r="C320" s="1361"/>
      <c r="D320" s="1361"/>
      <c r="E320" s="1361"/>
      <c r="F320" s="1383"/>
      <c r="G320" s="1361"/>
      <c r="H320" s="1361"/>
    </row>
    <row r="321" spans="1:8" ht="15.75">
      <c r="A321" s="1362"/>
      <c r="B321" s="1362"/>
      <c r="C321" s="1361"/>
      <c r="D321" s="1361"/>
      <c r="E321" s="1361"/>
      <c r="F321" s="1383"/>
      <c r="G321" s="1361"/>
      <c r="H321" s="1361"/>
    </row>
    <row r="322" spans="1:8" ht="15.75">
      <c r="A322" s="1362"/>
      <c r="B322" s="1362"/>
      <c r="C322" s="1361"/>
      <c r="D322" s="1361"/>
      <c r="E322" s="1361"/>
      <c r="F322" s="1383"/>
      <c r="G322" s="1361"/>
      <c r="H322" s="1361"/>
    </row>
    <row r="323" spans="1:8" ht="15.75">
      <c r="A323" s="1362"/>
      <c r="B323" s="1362"/>
      <c r="C323" s="1361"/>
      <c r="D323" s="1361"/>
      <c r="E323" s="1361"/>
      <c r="F323" s="1383"/>
      <c r="G323" s="1361"/>
      <c r="H323" s="1361"/>
    </row>
    <row r="324" spans="1:8" ht="15.75">
      <c r="A324" s="1362"/>
      <c r="B324" s="1362"/>
      <c r="C324" s="1361"/>
      <c r="D324" s="1361"/>
      <c r="E324" s="1361"/>
      <c r="F324" s="1383"/>
      <c r="G324" s="1361"/>
      <c r="H324" s="1361"/>
    </row>
    <row r="325" spans="1:8" ht="15.75">
      <c r="A325" s="1362"/>
      <c r="B325" s="1362"/>
      <c r="C325" s="1361"/>
      <c r="D325" s="1361"/>
      <c r="E325" s="1361"/>
      <c r="F325" s="1383"/>
      <c r="G325" s="1361"/>
      <c r="H325" s="1361"/>
    </row>
    <row r="326" spans="1:8" ht="15.75">
      <c r="A326" s="1362"/>
      <c r="B326" s="1362"/>
      <c r="C326" s="1361"/>
      <c r="D326" s="1361"/>
      <c r="E326" s="1361"/>
      <c r="F326" s="1383"/>
      <c r="G326" s="1361"/>
      <c r="H326" s="1361"/>
    </row>
    <row r="327" spans="1:8" ht="15.75">
      <c r="A327" s="1362"/>
      <c r="B327" s="1362"/>
      <c r="C327" s="1361"/>
      <c r="D327" s="1361"/>
      <c r="E327" s="1361"/>
      <c r="F327" s="1383"/>
      <c r="G327" s="1361"/>
      <c r="H327" s="1361"/>
    </row>
    <row r="328" spans="1:8" ht="15.75">
      <c r="A328" s="1362"/>
      <c r="B328" s="1362"/>
      <c r="C328" s="1361"/>
      <c r="D328" s="1361"/>
      <c r="E328" s="1361"/>
      <c r="F328" s="1383"/>
      <c r="G328" s="1361"/>
      <c r="H328" s="1361"/>
    </row>
    <row r="329" spans="1:8" ht="15.75">
      <c r="A329" s="1362"/>
      <c r="B329" s="1362"/>
      <c r="C329" s="1361"/>
      <c r="D329" s="1361"/>
      <c r="E329" s="1361"/>
      <c r="F329" s="1383"/>
      <c r="G329" s="1361"/>
      <c r="H329" s="1361"/>
    </row>
    <row r="330" spans="1:8" ht="15.75">
      <c r="A330" s="1362"/>
      <c r="B330" s="1362"/>
      <c r="C330" s="1361"/>
      <c r="D330" s="1361"/>
      <c r="E330" s="1361"/>
      <c r="F330" s="1383"/>
      <c r="G330" s="1361"/>
      <c r="H330" s="1361"/>
    </row>
    <row r="331" spans="1:8" ht="15.75">
      <c r="A331" s="1362"/>
      <c r="B331" s="1362"/>
      <c r="C331" s="1361"/>
      <c r="D331" s="1361"/>
      <c r="E331" s="1361"/>
      <c r="F331" s="1383"/>
      <c r="G331" s="1361"/>
      <c r="H331" s="1361"/>
    </row>
    <row r="332" spans="1:8" ht="15.75">
      <c r="A332" s="1362"/>
      <c r="B332" s="1362"/>
      <c r="C332" s="1361"/>
      <c r="D332" s="1361"/>
      <c r="E332" s="1361"/>
      <c r="F332" s="1383"/>
      <c r="G332" s="1361"/>
      <c r="H332" s="1361"/>
    </row>
    <row r="333" spans="1:8" ht="15.75">
      <c r="A333" s="1362"/>
      <c r="B333" s="1362"/>
      <c r="C333" s="1361"/>
      <c r="D333" s="1361"/>
      <c r="E333" s="1361"/>
      <c r="F333" s="1383"/>
      <c r="G333" s="1361"/>
      <c r="H333" s="1361"/>
    </row>
    <row r="334" spans="1:8" ht="15.75">
      <c r="A334" s="1362"/>
      <c r="B334" s="1362"/>
      <c r="C334" s="1361"/>
      <c r="D334" s="1361"/>
      <c r="E334" s="1361"/>
      <c r="F334" s="1383"/>
      <c r="G334" s="1361"/>
      <c r="H334" s="1361"/>
    </row>
    <row r="335" spans="1:8" ht="15.75">
      <c r="A335" s="1362"/>
      <c r="B335" s="1362"/>
      <c r="C335" s="1361"/>
      <c r="D335" s="1361"/>
      <c r="E335" s="1361"/>
      <c r="F335" s="1383"/>
      <c r="G335" s="1361"/>
      <c r="H335" s="1361"/>
    </row>
    <row r="336" spans="1:8" ht="15.75">
      <c r="A336" s="1362"/>
      <c r="B336" s="1362"/>
      <c r="C336" s="1361"/>
      <c r="D336" s="1361"/>
      <c r="E336" s="1361"/>
      <c r="F336" s="1383"/>
      <c r="G336" s="1361"/>
      <c r="H336" s="1361"/>
    </row>
    <row r="337" spans="1:8" ht="15.75">
      <c r="A337" s="1362"/>
      <c r="B337" s="1362"/>
      <c r="C337" s="1361"/>
      <c r="D337" s="1361"/>
      <c r="E337" s="1361"/>
      <c r="F337" s="1383"/>
      <c r="G337" s="1361"/>
      <c r="H337" s="1361"/>
    </row>
    <row r="338" spans="1:8" ht="15.75">
      <c r="A338" s="1362"/>
      <c r="B338" s="1362"/>
      <c r="C338" s="1361"/>
      <c r="D338" s="1361"/>
      <c r="E338" s="1361"/>
      <c r="F338" s="1383"/>
      <c r="G338" s="1361"/>
      <c r="H338" s="1361"/>
    </row>
    <row r="339" spans="1:8" ht="15.75">
      <c r="A339" s="1362"/>
      <c r="B339" s="1362"/>
      <c r="C339" s="1361"/>
      <c r="D339" s="1361"/>
      <c r="E339" s="1361"/>
      <c r="F339" s="1383"/>
      <c r="G339" s="1361"/>
      <c r="H339" s="1361"/>
    </row>
    <row r="340" spans="1:8" ht="15.75">
      <c r="A340" s="1362"/>
      <c r="B340" s="1362"/>
      <c r="C340" s="1361"/>
      <c r="D340" s="1361"/>
      <c r="E340" s="1361"/>
      <c r="F340" s="1383"/>
      <c r="G340" s="1361"/>
      <c r="H340" s="1361"/>
    </row>
    <row r="341" spans="1:8" ht="15.75">
      <c r="A341" s="1362"/>
      <c r="B341" s="1362"/>
      <c r="C341" s="1361"/>
      <c r="D341" s="1361"/>
      <c r="E341" s="1361"/>
      <c r="F341" s="1383"/>
      <c r="G341" s="1361"/>
      <c r="H341" s="1361"/>
    </row>
    <row r="342" spans="1:8" ht="15.75">
      <c r="A342" s="1362"/>
      <c r="B342" s="1362"/>
      <c r="C342" s="1361"/>
      <c r="D342" s="1361"/>
      <c r="E342" s="1361"/>
      <c r="F342" s="1383"/>
      <c r="G342" s="1361"/>
      <c r="H342" s="1361"/>
    </row>
    <row r="343" spans="1:8" ht="15.75">
      <c r="A343" s="1362"/>
      <c r="B343" s="1362"/>
      <c r="C343" s="1361"/>
      <c r="D343" s="1361"/>
      <c r="E343" s="1361"/>
      <c r="F343" s="1383"/>
      <c r="G343" s="1361"/>
      <c r="H343" s="1361"/>
    </row>
    <row r="344" spans="1:8" ht="15.75">
      <c r="A344" s="1362"/>
      <c r="B344" s="1362"/>
      <c r="C344" s="1361"/>
      <c r="D344" s="1361"/>
      <c r="E344" s="1361"/>
      <c r="F344" s="1383"/>
      <c r="G344" s="1361"/>
      <c r="H344" s="1361"/>
    </row>
    <row r="345" spans="1:8" ht="15.75">
      <c r="A345" s="1362"/>
      <c r="B345" s="1362"/>
      <c r="C345" s="1361"/>
      <c r="D345" s="1361"/>
      <c r="E345" s="1361"/>
      <c r="F345" s="1383"/>
      <c r="G345" s="1361"/>
      <c r="H345" s="1361"/>
    </row>
    <row r="346" spans="1:8" ht="15.75">
      <c r="A346" s="1362"/>
      <c r="B346" s="1362"/>
      <c r="C346" s="1361"/>
      <c r="D346" s="1361"/>
      <c r="E346" s="1361"/>
      <c r="F346" s="1383"/>
      <c r="G346" s="1361"/>
      <c r="H346" s="1361"/>
    </row>
    <row r="347" spans="1:8" ht="15.75">
      <c r="A347" s="1362"/>
      <c r="B347" s="1362"/>
      <c r="C347" s="1361"/>
      <c r="D347" s="1361"/>
      <c r="E347" s="1361"/>
      <c r="F347" s="1383"/>
      <c r="G347" s="1361"/>
      <c r="H347" s="1361"/>
    </row>
    <row r="348" spans="1:8" ht="15.75">
      <c r="A348" s="1362"/>
      <c r="B348" s="1362"/>
      <c r="C348" s="1361"/>
      <c r="D348" s="1361"/>
      <c r="E348" s="1361"/>
      <c r="F348" s="1383"/>
      <c r="G348" s="1361"/>
      <c r="H348" s="1361"/>
    </row>
    <row r="349" spans="1:8" ht="15.75">
      <c r="A349" s="1362"/>
      <c r="B349" s="1362"/>
      <c r="C349" s="1361"/>
      <c r="D349" s="1361"/>
      <c r="E349" s="1361"/>
      <c r="F349" s="1383"/>
      <c r="G349" s="1361"/>
      <c r="H349" s="1361"/>
    </row>
    <row r="350" spans="1:8" ht="15.75">
      <c r="A350" s="1362"/>
      <c r="B350" s="1362"/>
      <c r="C350" s="1361"/>
      <c r="D350" s="1361"/>
      <c r="E350" s="1361"/>
      <c r="F350" s="1383"/>
      <c r="G350" s="1361"/>
      <c r="H350" s="1361"/>
    </row>
    <row r="351" spans="1:8" ht="15.75">
      <c r="A351" s="1362"/>
      <c r="B351" s="1362"/>
      <c r="C351" s="1361"/>
      <c r="D351" s="1361"/>
      <c r="E351" s="1361"/>
      <c r="F351" s="1383"/>
      <c r="G351" s="1361"/>
      <c r="H351" s="1361"/>
    </row>
    <row r="352" spans="1:8" ht="15.75">
      <c r="A352" s="1362"/>
      <c r="B352" s="1362"/>
      <c r="C352" s="1361"/>
      <c r="D352" s="1361"/>
      <c r="E352" s="1361"/>
      <c r="F352" s="1383"/>
      <c r="G352" s="1361"/>
      <c r="H352" s="1361"/>
    </row>
    <row r="353" spans="1:8" ht="15.75">
      <c r="A353" s="1362"/>
      <c r="B353" s="1362"/>
      <c r="C353" s="1361"/>
      <c r="D353" s="1361"/>
      <c r="E353" s="1361"/>
      <c r="F353" s="1383"/>
      <c r="G353" s="1361"/>
      <c r="H353" s="1361"/>
    </row>
    <row r="354" spans="1:8" ht="15.75">
      <c r="A354" s="1362"/>
      <c r="B354" s="1362"/>
      <c r="C354" s="1361"/>
      <c r="D354" s="1361"/>
      <c r="E354" s="1361"/>
      <c r="F354" s="1383"/>
      <c r="G354" s="1361"/>
      <c r="H354" s="1361"/>
    </row>
    <row r="355" spans="1:8" ht="15.75">
      <c r="A355" s="1362"/>
      <c r="B355" s="1362"/>
      <c r="C355" s="1361"/>
      <c r="D355" s="1361"/>
      <c r="E355" s="1361"/>
      <c r="F355" s="1383"/>
      <c r="G355" s="1361"/>
      <c r="H355" s="1361"/>
    </row>
    <row r="356" spans="1:8" ht="15.75">
      <c r="A356" s="1362"/>
      <c r="B356" s="1362"/>
      <c r="C356" s="1361"/>
      <c r="D356" s="1361"/>
      <c r="E356" s="1361"/>
      <c r="F356" s="1383"/>
      <c r="G356" s="1361"/>
      <c r="H356" s="1361"/>
    </row>
    <row r="357" spans="1:8" ht="15.75">
      <c r="A357" s="1362"/>
      <c r="B357" s="1362"/>
      <c r="C357" s="1361"/>
      <c r="D357" s="1361"/>
      <c r="E357" s="1361"/>
      <c r="F357" s="1383"/>
      <c r="G357" s="1361"/>
      <c r="H357" s="1361"/>
    </row>
    <row r="358" spans="1:8" ht="15.75">
      <c r="A358" s="1362"/>
      <c r="B358" s="1362"/>
      <c r="C358" s="1361"/>
      <c r="D358" s="1361"/>
      <c r="E358" s="1361"/>
      <c r="F358" s="1383"/>
      <c r="G358" s="1361"/>
      <c r="H358" s="1361"/>
    </row>
    <row r="359" spans="1:8" ht="15.75">
      <c r="A359" s="1362"/>
      <c r="B359" s="1362"/>
      <c r="C359" s="1361"/>
      <c r="D359" s="1361"/>
      <c r="E359" s="1361"/>
      <c r="F359" s="1383"/>
      <c r="G359" s="1361"/>
      <c r="H359" s="1361"/>
    </row>
    <row r="360" spans="1:8" ht="15.75">
      <c r="A360" s="1362"/>
      <c r="B360" s="1362"/>
      <c r="C360" s="1361"/>
      <c r="D360" s="1361"/>
      <c r="E360" s="1361"/>
      <c r="F360" s="1383"/>
      <c r="G360" s="1361"/>
      <c r="H360" s="1361"/>
    </row>
    <row r="361" spans="1:8" ht="15.75">
      <c r="A361" s="1362"/>
      <c r="B361" s="1362"/>
      <c r="C361" s="1361"/>
      <c r="D361" s="1361"/>
      <c r="E361" s="1361"/>
      <c r="F361" s="1383"/>
      <c r="G361" s="1361"/>
      <c r="H361" s="1361"/>
    </row>
    <row r="362" spans="1:8" ht="15.75">
      <c r="A362" s="1362"/>
      <c r="B362" s="1362"/>
      <c r="C362" s="1361"/>
      <c r="D362" s="1361"/>
      <c r="E362" s="1361"/>
      <c r="F362" s="1383"/>
      <c r="G362" s="1361"/>
      <c r="H362" s="1361"/>
    </row>
    <row r="363" spans="1:8" ht="15.75">
      <c r="A363" s="1362"/>
      <c r="B363" s="1362"/>
      <c r="C363" s="1361"/>
      <c r="D363" s="1361"/>
      <c r="E363" s="1361"/>
      <c r="F363" s="1383"/>
      <c r="G363" s="1361"/>
      <c r="H363" s="1361"/>
    </row>
    <row r="364" spans="1:8" ht="15.75">
      <c r="A364" s="1362"/>
      <c r="B364" s="1362"/>
      <c r="C364" s="1361"/>
      <c r="D364" s="1361"/>
      <c r="E364" s="1361"/>
      <c r="F364" s="1383"/>
      <c r="G364" s="1361"/>
      <c r="H364" s="1361"/>
    </row>
    <row r="365" spans="1:8" ht="15.75">
      <c r="A365" s="1362"/>
      <c r="B365" s="1362"/>
      <c r="C365" s="1361"/>
      <c r="D365" s="1361"/>
      <c r="E365" s="1361"/>
      <c r="F365" s="1383"/>
      <c r="G365" s="1361"/>
      <c r="H365" s="1361"/>
    </row>
    <row r="366" spans="1:8" ht="15.75">
      <c r="A366" s="1362"/>
      <c r="B366" s="1362"/>
      <c r="C366" s="1361"/>
      <c r="D366" s="1361"/>
      <c r="E366" s="1361"/>
      <c r="F366" s="1383"/>
      <c r="G366" s="1361"/>
      <c r="H366" s="1361"/>
    </row>
    <row r="367" spans="1:8" ht="15.75">
      <c r="A367" s="1362"/>
      <c r="B367" s="1362"/>
      <c r="C367" s="1361"/>
      <c r="D367" s="1361"/>
      <c r="E367" s="1361"/>
      <c r="F367" s="1383"/>
      <c r="G367" s="1361"/>
      <c r="H367" s="1361"/>
    </row>
    <row r="368" spans="1:8" ht="15.75">
      <c r="A368" s="1362"/>
      <c r="B368" s="1362"/>
      <c r="C368" s="1361"/>
      <c r="D368" s="1361"/>
      <c r="E368" s="1361"/>
      <c r="F368" s="1383"/>
      <c r="G368" s="1361"/>
      <c r="H368" s="1361"/>
    </row>
    <row r="369" spans="1:8" ht="15.75">
      <c r="A369" s="1362"/>
      <c r="B369" s="1362"/>
      <c r="C369" s="1361"/>
      <c r="D369" s="1361"/>
      <c r="E369" s="1361"/>
      <c r="F369" s="1383"/>
      <c r="G369" s="1361"/>
      <c r="H369" s="1361"/>
    </row>
    <row r="370" spans="1:8" ht="15.75">
      <c r="A370" s="1362"/>
      <c r="B370" s="1362"/>
      <c r="C370" s="1361"/>
      <c r="D370" s="1361"/>
      <c r="E370" s="1361"/>
      <c r="F370" s="1383"/>
      <c r="G370" s="1361"/>
      <c r="H370" s="1361"/>
    </row>
    <row r="371" spans="1:8" ht="15.75">
      <c r="A371" s="1362"/>
      <c r="B371" s="1362"/>
      <c r="C371" s="1361"/>
      <c r="D371" s="1361"/>
      <c r="E371" s="1361"/>
      <c r="F371" s="1383"/>
      <c r="G371" s="1361"/>
      <c r="H371" s="1361"/>
    </row>
    <row r="372" spans="1:8" ht="15.75">
      <c r="A372" s="1362"/>
      <c r="B372" s="1362"/>
      <c r="C372" s="1361"/>
      <c r="D372" s="1361"/>
      <c r="E372" s="1361"/>
      <c r="F372" s="1383"/>
      <c r="G372" s="1361"/>
      <c r="H372" s="1361"/>
    </row>
    <row r="373" spans="1:8" ht="15.75">
      <c r="A373" s="1362"/>
      <c r="B373" s="1362"/>
      <c r="C373" s="1361"/>
      <c r="D373" s="1361"/>
      <c r="E373" s="1361"/>
      <c r="F373" s="1383"/>
      <c r="G373" s="1361"/>
      <c r="H373" s="1361"/>
    </row>
    <row r="374" spans="1:8" ht="15.75">
      <c r="A374" s="1362"/>
      <c r="B374" s="1362"/>
      <c r="C374" s="1361"/>
      <c r="D374" s="1361"/>
      <c r="E374" s="1361"/>
      <c r="F374" s="1383"/>
      <c r="G374" s="1361"/>
      <c r="H374" s="1361"/>
    </row>
    <row r="375" spans="1:8" ht="15.75">
      <c r="A375" s="1362"/>
      <c r="B375" s="1362"/>
      <c r="C375" s="1361"/>
      <c r="D375" s="1361"/>
      <c r="E375" s="1361"/>
      <c r="F375" s="1383"/>
      <c r="G375" s="1361"/>
      <c r="H375" s="1361"/>
    </row>
    <row r="376" spans="1:8" ht="15.75">
      <c r="A376" s="1362"/>
      <c r="B376" s="1362"/>
      <c r="C376" s="1361"/>
      <c r="D376" s="1361"/>
      <c r="E376" s="1361"/>
      <c r="F376" s="1383"/>
      <c r="G376" s="1361"/>
      <c r="H376" s="1361"/>
    </row>
    <row r="377" spans="1:8" ht="15.75">
      <c r="A377" s="1362"/>
      <c r="B377" s="1362"/>
      <c r="C377" s="1361"/>
      <c r="D377" s="1361"/>
      <c r="E377" s="1361"/>
      <c r="F377" s="1383"/>
      <c r="G377" s="1361"/>
      <c r="H377" s="1361"/>
    </row>
    <row r="378" spans="1:8" ht="15.75">
      <c r="A378" s="1362"/>
      <c r="B378" s="1362"/>
      <c r="C378" s="1361"/>
      <c r="D378" s="1361"/>
      <c r="E378" s="1361"/>
      <c r="F378" s="1383"/>
      <c r="G378" s="1361"/>
      <c r="H378" s="1361"/>
    </row>
    <row r="379" spans="1:8" ht="15.75">
      <c r="A379" s="1362"/>
      <c r="B379" s="1362"/>
      <c r="C379" s="1361"/>
      <c r="D379" s="1361"/>
      <c r="E379" s="1361"/>
      <c r="F379" s="1383"/>
      <c r="G379" s="1361"/>
      <c r="H379" s="1361"/>
    </row>
    <row r="380" spans="1:8" ht="15.75">
      <c r="A380" s="1362"/>
      <c r="B380" s="1362"/>
      <c r="C380" s="1361"/>
      <c r="D380" s="1361"/>
      <c r="E380" s="1361"/>
      <c r="F380" s="1383"/>
      <c r="G380" s="1361"/>
      <c r="H380" s="1361"/>
    </row>
    <row r="381" spans="1:8" ht="15.75">
      <c r="A381" s="1362"/>
      <c r="B381" s="1362"/>
      <c r="C381" s="1361"/>
      <c r="D381" s="1361"/>
      <c r="E381" s="1361"/>
      <c r="F381" s="1383"/>
      <c r="G381" s="1361"/>
      <c r="H381" s="1361"/>
    </row>
    <row r="382" spans="1:8" ht="15.75">
      <c r="A382" s="1362"/>
      <c r="B382" s="1362"/>
      <c r="C382" s="1361"/>
      <c r="D382" s="1361"/>
      <c r="E382" s="1361"/>
      <c r="F382" s="1383"/>
      <c r="G382" s="1361"/>
      <c r="H382" s="1361"/>
    </row>
    <row r="383" spans="1:8" ht="15.75">
      <c r="A383" s="1362"/>
      <c r="B383" s="1362"/>
      <c r="C383" s="1361"/>
      <c r="D383" s="1361"/>
      <c r="E383" s="1361"/>
      <c r="F383" s="1383"/>
      <c r="G383" s="1361"/>
      <c r="H383" s="1361"/>
    </row>
    <row r="384" spans="1:8" ht="15.75">
      <c r="A384" s="1362"/>
      <c r="B384" s="1362"/>
      <c r="C384" s="1361"/>
      <c r="D384" s="1361"/>
      <c r="E384" s="1361"/>
      <c r="F384" s="1383"/>
      <c r="G384" s="1361"/>
      <c r="H384" s="1361"/>
    </row>
    <row r="385" spans="1:8" ht="15.75">
      <c r="A385" s="1362"/>
      <c r="B385" s="1362"/>
      <c r="C385" s="1361"/>
      <c r="D385" s="1361"/>
      <c r="E385" s="1361"/>
      <c r="F385" s="1383"/>
      <c r="G385" s="1361"/>
      <c r="H385" s="1361"/>
    </row>
    <row r="386" spans="1:8" ht="15.75">
      <c r="A386" s="1362"/>
      <c r="B386" s="1362"/>
      <c r="C386" s="1361"/>
      <c r="D386" s="1361"/>
      <c r="E386" s="1361"/>
      <c r="F386" s="1383"/>
      <c r="G386" s="1361"/>
      <c r="H386" s="1361"/>
    </row>
    <row r="387" spans="1:8" ht="15.75">
      <c r="A387" s="1362"/>
      <c r="B387" s="1362"/>
      <c r="C387" s="1361"/>
      <c r="D387" s="1361"/>
      <c r="E387" s="1361"/>
      <c r="F387" s="1383"/>
      <c r="G387" s="1361"/>
      <c r="H387" s="1361"/>
    </row>
    <row r="388" spans="1:8" ht="15.75">
      <c r="A388" s="1362"/>
      <c r="B388" s="1362"/>
      <c r="C388" s="1361"/>
      <c r="D388" s="1361"/>
      <c r="E388" s="1361"/>
      <c r="F388" s="1383"/>
      <c r="G388" s="1361"/>
      <c r="H388" s="1361"/>
    </row>
    <row r="389" spans="1:8" ht="15.75">
      <c r="A389" s="1362"/>
      <c r="B389" s="1362"/>
      <c r="C389" s="1361"/>
      <c r="D389" s="1361"/>
      <c r="E389" s="1361"/>
      <c r="F389" s="1383"/>
      <c r="G389" s="1361"/>
      <c r="H389" s="1361"/>
    </row>
    <row r="390" spans="1:8" ht="15.75">
      <c r="A390" s="1362"/>
      <c r="B390" s="1362"/>
      <c r="C390" s="1361"/>
      <c r="D390" s="1361"/>
      <c r="E390" s="1361"/>
      <c r="F390" s="1383"/>
      <c r="G390" s="1361"/>
      <c r="H390" s="1361"/>
    </row>
    <row r="391" spans="1:8" ht="15.75">
      <c r="A391" s="1362"/>
      <c r="B391" s="1362"/>
      <c r="C391" s="1361"/>
      <c r="D391" s="1361"/>
      <c r="E391" s="1361"/>
      <c r="F391" s="1383"/>
      <c r="G391" s="1361"/>
      <c r="H391" s="1361"/>
    </row>
    <row r="392" spans="1:8" ht="15.75">
      <c r="A392" s="1362"/>
      <c r="B392" s="1362"/>
      <c r="C392" s="1361"/>
      <c r="D392" s="1361"/>
      <c r="E392" s="1361"/>
      <c r="F392" s="1383"/>
      <c r="G392" s="1361"/>
      <c r="H392" s="1361"/>
    </row>
    <row r="393" spans="1:8" ht="15.75">
      <c r="A393" s="1362"/>
      <c r="B393" s="1362"/>
      <c r="C393" s="1361"/>
      <c r="D393" s="1361"/>
      <c r="E393" s="1361"/>
      <c r="F393" s="1383"/>
      <c r="G393" s="1361"/>
      <c r="H393" s="1361"/>
    </row>
    <row r="394" spans="1:8" ht="15.75">
      <c r="A394" s="1362"/>
      <c r="B394" s="1362"/>
      <c r="C394" s="1361"/>
      <c r="D394" s="1361"/>
      <c r="E394" s="1361"/>
      <c r="F394" s="1383"/>
      <c r="G394" s="1361"/>
      <c r="H394" s="1361"/>
    </row>
    <row r="395" spans="1:8" ht="15.75">
      <c r="A395" s="1362"/>
      <c r="B395" s="1362"/>
      <c r="C395" s="1361"/>
      <c r="D395" s="1361"/>
      <c r="E395" s="1361"/>
      <c r="F395" s="1383"/>
      <c r="G395" s="1361"/>
      <c r="H395" s="1361"/>
    </row>
    <row r="396" spans="1:8" ht="15.75">
      <c r="A396" s="1362"/>
      <c r="B396" s="1362"/>
      <c r="C396" s="1361"/>
      <c r="D396" s="1361"/>
      <c r="E396" s="1361"/>
      <c r="F396" s="1383"/>
      <c r="G396" s="1361"/>
      <c r="H396" s="1361"/>
    </row>
    <row r="397" spans="1:8" ht="15.75">
      <c r="A397" s="1362"/>
      <c r="B397" s="1362"/>
      <c r="C397" s="1361"/>
      <c r="D397" s="1361"/>
      <c r="E397" s="1361"/>
      <c r="F397" s="1383"/>
      <c r="G397" s="1361"/>
      <c r="H397" s="1361"/>
    </row>
    <row r="398" spans="1:8" ht="15.75">
      <c r="A398" s="1362"/>
      <c r="B398" s="1362"/>
      <c r="C398" s="1361"/>
      <c r="D398" s="1361"/>
      <c r="E398" s="1361"/>
      <c r="F398" s="1383"/>
      <c r="G398" s="1361"/>
      <c r="H398" s="1361"/>
    </row>
    <row r="399" spans="1:8" ht="15.75">
      <c r="A399" s="1362"/>
      <c r="B399" s="1362"/>
      <c r="C399" s="1361"/>
      <c r="D399" s="1361"/>
      <c r="E399" s="1361"/>
      <c r="F399" s="1383"/>
      <c r="G399" s="1361"/>
      <c r="H399" s="1361"/>
    </row>
    <row r="400" spans="1:8" ht="15.75">
      <c r="A400" s="1362"/>
      <c r="B400" s="1362"/>
      <c r="C400" s="1361"/>
      <c r="D400" s="1361"/>
      <c r="E400" s="1361"/>
      <c r="F400" s="1383"/>
      <c r="G400" s="1361"/>
      <c r="H400" s="1361"/>
    </row>
    <row r="401" spans="1:8" ht="15.75">
      <c r="A401" s="1362"/>
      <c r="B401" s="1362"/>
      <c r="C401" s="1361"/>
      <c r="D401" s="1361"/>
      <c r="E401" s="1361"/>
      <c r="F401" s="1383"/>
      <c r="G401" s="1361"/>
      <c r="H401" s="1361"/>
    </row>
    <row r="402" spans="1:8" ht="15.75">
      <c r="A402" s="1362"/>
      <c r="B402" s="1362"/>
      <c r="C402" s="1361"/>
      <c r="D402" s="1361"/>
      <c r="E402" s="1361"/>
      <c r="F402" s="1383"/>
      <c r="G402" s="1361"/>
      <c r="H402" s="1361"/>
    </row>
    <row r="403" spans="1:8" ht="15.75">
      <c r="A403" s="1362"/>
      <c r="B403" s="1362"/>
      <c r="C403" s="1361"/>
      <c r="D403" s="1361"/>
      <c r="E403" s="1361"/>
      <c r="F403" s="1383"/>
      <c r="G403" s="1361"/>
      <c r="H403" s="1361"/>
    </row>
    <row r="404" spans="1:8" ht="15.75">
      <c r="A404" s="1362"/>
      <c r="B404" s="1362"/>
      <c r="C404" s="1361"/>
      <c r="D404" s="1361"/>
      <c r="E404" s="1361"/>
      <c r="F404" s="1383"/>
      <c r="G404" s="1361"/>
      <c r="H404" s="1361"/>
    </row>
    <row r="405" spans="1:8" ht="15.75">
      <c r="A405" s="1362"/>
      <c r="B405" s="1362"/>
      <c r="C405" s="1361"/>
      <c r="D405" s="1361"/>
      <c r="E405" s="1361"/>
      <c r="F405" s="1383"/>
      <c r="G405" s="1361"/>
      <c r="H405" s="1361"/>
    </row>
    <row r="406" spans="1:8" ht="15.75">
      <c r="A406" s="1362"/>
      <c r="B406" s="1362"/>
      <c r="C406" s="1361"/>
      <c r="D406" s="1361"/>
      <c r="E406" s="1361"/>
      <c r="F406" s="1383"/>
      <c r="G406" s="1361"/>
      <c r="H406" s="1361"/>
    </row>
    <row r="407" spans="1:8" ht="15.75">
      <c r="A407" s="1362"/>
      <c r="B407" s="1362"/>
      <c r="C407" s="1361"/>
      <c r="D407" s="1361"/>
      <c r="E407" s="1361"/>
      <c r="F407" s="1383"/>
      <c r="G407" s="1361"/>
      <c r="H407" s="1361"/>
    </row>
    <row r="408" spans="1:8" ht="15.75">
      <c r="A408" s="1362"/>
      <c r="B408" s="1362"/>
      <c r="C408" s="1361"/>
      <c r="D408" s="1361"/>
      <c r="E408" s="1361"/>
      <c r="F408" s="1383"/>
      <c r="G408" s="1361"/>
      <c r="H408" s="1361"/>
    </row>
    <row r="409" spans="1:8" ht="15.75">
      <c r="A409" s="1362"/>
      <c r="B409" s="1362"/>
      <c r="C409" s="1361"/>
      <c r="D409" s="1361"/>
      <c r="E409" s="1361"/>
      <c r="F409" s="1383"/>
      <c r="G409" s="1361"/>
      <c r="H409" s="1361"/>
    </row>
    <row r="410" spans="1:8" ht="15.75">
      <c r="A410" s="1362"/>
      <c r="B410" s="1362"/>
      <c r="C410" s="1361"/>
      <c r="D410" s="1361"/>
      <c r="E410" s="1361"/>
      <c r="F410" s="1383"/>
      <c r="G410" s="1361"/>
      <c r="H410" s="1361"/>
    </row>
    <row r="411" spans="1:8" ht="15.75">
      <c r="A411" s="1362"/>
      <c r="B411" s="1362"/>
      <c r="C411" s="1361"/>
      <c r="D411" s="1361"/>
      <c r="E411" s="1361"/>
      <c r="F411" s="1383"/>
      <c r="G411" s="1361"/>
      <c r="H411" s="1361"/>
    </row>
    <row r="412" spans="1:8" ht="15.75">
      <c r="A412" s="1362"/>
      <c r="B412" s="1362"/>
      <c r="C412" s="1361"/>
      <c r="D412" s="1361"/>
      <c r="E412" s="1361"/>
      <c r="F412" s="1383"/>
      <c r="G412" s="1361"/>
      <c r="H412" s="1361"/>
    </row>
    <row r="413" spans="1:8" ht="15.75">
      <c r="A413" s="1362"/>
      <c r="B413" s="1362"/>
      <c r="C413" s="1361"/>
      <c r="D413" s="1361"/>
      <c r="E413" s="1361"/>
      <c r="F413" s="1383"/>
      <c r="G413" s="1361"/>
      <c r="H413" s="1361"/>
    </row>
    <row r="414" spans="1:8" ht="15.75">
      <c r="A414" s="1362"/>
      <c r="B414" s="1362"/>
      <c r="C414" s="1361"/>
      <c r="D414" s="1361"/>
      <c r="E414" s="1361"/>
      <c r="F414" s="1383"/>
      <c r="G414" s="1361"/>
      <c r="H414" s="1361"/>
    </row>
    <row r="415" spans="1:8" ht="15.75">
      <c r="A415" s="1362"/>
      <c r="B415" s="1362"/>
      <c r="C415" s="1361"/>
      <c r="D415" s="1361"/>
      <c r="E415" s="1361"/>
      <c r="F415" s="1383"/>
      <c r="G415" s="1361"/>
      <c r="H415" s="1361"/>
    </row>
    <row r="416" spans="1:8" ht="15.75">
      <c r="A416" s="1362"/>
      <c r="B416" s="1362"/>
      <c r="C416" s="1361"/>
      <c r="D416" s="1361"/>
      <c r="E416" s="1361"/>
      <c r="F416" s="1383"/>
      <c r="G416" s="1361"/>
      <c r="H416" s="1361"/>
    </row>
    <row r="417" spans="1:8" ht="15.75">
      <c r="A417" s="1362"/>
      <c r="B417" s="1362"/>
      <c r="C417" s="1361"/>
      <c r="D417" s="1361"/>
      <c r="E417" s="1361"/>
      <c r="F417" s="1383"/>
      <c r="G417" s="1361"/>
      <c r="H417" s="1361"/>
    </row>
    <row r="418" spans="1:8" ht="15.75">
      <c r="A418" s="1362"/>
      <c r="B418" s="1362"/>
      <c r="C418" s="1361"/>
      <c r="D418" s="1361"/>
      <c r="E418" s="1361"/>
      <c r="F418" s="1383"/>
      <c r="G418" s="1361"/>
      <c r="H418" s="1361"/>
    </row>
    <row r="419" spans="1:8" ht="15.75">
      <c r="A419" s="1362"/>
      <c r="B419" s="1362"/>
      <c r="C419" s="1361"/>
      <c r="D419" s="1361"/>
      <c r="E419" s="1361"/>
      <c r="F419" s="1383"/>
      <c r="G419" s="1361"/>
      <c r="H419" s="1361"/>
    </row>
    <row r="420" spans="1:8" ht="15.75">
      <c r="A420" s="1362"/>
      <c r="B420" s="1362"/>
      <c r="C420" s="1361"/>
      <c r="D420" s="1361"/>
      <c r="E420" s="1361"/>
      <c r="F420" s="1383"/>
      <c r="G420" s="1361"/>
      <c r="H420" s="1361"/>
    </row>
    <row r="421" spans="1:8" ht="15.75">
      <c r="A421" s="1362"/>
      <c r="B421" s="1362"/>
      <c r="C421" s="1361"/>
      <c r="D421" s="1361"/>
      <c r="E421" s="1361"/>
      <c r="F421" s="1383"/>
      <c r="G421" s="1361"/>
      <c r="H421" s="1361"/>
    </row>
    <row r="422" spans="1:8" ht="15.75">
      <c r="A422" s="1362"/>
      <c r="B422" s="1362"/>
      <c r="C422" s="1361"/>
      <c r="D422" s="1361"/>
      <c r="E422" s="1361"/>
      <c r="F422" s="1383"/>
      <c r="G422" s="1361"/>
      <c r="H422" s="1361"/>
    </row>
    <row r="423" spans="1:8" ht="15.75">
      <c r="A423" s="1362"/>
      <c r="B423" s="1362"/>
      <c r="C423" s="1361"/>
      <c r="D423" s="1361"/>
      <c r="E423" s="1361"/>
      <c r="F423" s="1383"/>
      <c r="G423" s="1361"/>
      <c r="H423" s="1361"/>
    </row>
    <row r="424" spans="1:8" ht="15.75">
      <c r="A424" s="1362"/>
      <c r="B424" s="1362"/>
      <c r="C424" s="1361"/>
      <c r="D424" s="1361"/>
      <c r="E424" s="1361"/>
      <c r="F424" s="1383"/>
      <c r="G424" s="1361"/>
      <c r="H424" s="1361"/>
    </row>
    <row r="425" spans="1:8" ht="15.75">
      <c r="A425" s="1362"/>
      <c r="B425" s="1362"/>
      <c r="C425" s="1361"/>
      <c r="D425" s="1361"/>
      <c r="E425" s="1361"/>
      <c r="F425" s="1383"/>
      <c r="G425" s="1361"/>
      <c r="H425" s="1361"/>
    </row>
    <row r="426" spans="1:8" ht="15.75">
      <c r="A426" s="1362"/>
      <c r="B426" s="1362"/>
      <c r="C426" s="1361"/>
      <c r="D426" s="1361"/>
      <c r="E426" s="1361"/>
      <c r="F426" s="1383"/>
      <c r="G426" s="1361"/>
      <c r="H426" s="1361"/>
    </row>
    <row r="427" spans="1:8" ht="15.75">
      <c r="A427" s="1362"/>
      <c r="B427" s="1362"/>
      <c r="C427" s="1361"/>
      <c r="D427" s="1361"/>
      <c r="E427" s="1361"/>
      <c r="F427" s="1383"/>
      <c r="G427" s="1361"/>
      <c r="H427" s="1361"/>
    </row>
    <row r="428" spans="1:8" ht="15.75">
      <c r="A428" s="1362"/>
      <c r="B428" s="1362"/>
      <c r="C428" s="1361"/>
      <c r="D428" s="1361"/>
      <c r="E428" s="1361"/>
      <c r="F428" s="1383"/>
      <c r="G428" s="1361"/>
      <c r="H428" s="1361"/>
    </row>
    <row r="429" spans="1:8" ht="15.75">
      <c r="A429" s="1362"/>
      <c r="B429" s="1362"/>
      <c r="C429" s="1361"/>
      <c r="D429" s="1361"/>
      <c r="E429" s="1361"/>
      <c r="F429" s="1383"/>
      <c r="G429" s="1361"/>
      <c r="H429" s="1361"/>
    </row>
    <row r="430" spans="1:8" ht="15.75">
      <c r="A430" s="1362"/>
      <c r="B430" s="1362"/>
      <c r="C430" s="1361"/>
      <c r="D430" s="1361"/>
      <c r="E430" s="1361"/>
      <c r="F430" s="1383"/>
      <c r="G430" s="1361"/>
      <c r="H430" s="1361"/>
    </row>
    <row r="431" spans="1:8" ht="15.75">
      <c r="A431" s="1362"/>
      <c r="B431" s="1362"/>
      <c r="C431" s="1361"/>
      <c r="D431" s="1361"/>
      <c r="E431" s="1361"/>
      <c r="F431" s="1383"/>
      <c r="G431" s="1361"/>
      <c r="H431" s="1361"/>
    </row>
    <row r="432" spans="1:8" ht="15.75">
      <c r="A432" s="1362"/>
      <c r="B432" s="1362"/>
      <c r="C432" s="1361"/>
      <c r="D432" s="1361"/>
      <c r="E432" s="1361"/>
      <c r="F432" s="1383"/>
      <c r="G432" s="1361"/>
      <c r="H432" s="1361"/>
    </row>
    <row r="433" spans="1:8" ht="15.75">
      <c r="A433" s="1362"/>
      <c r="B433" s="1362"/>
      <c r="C433" s="1361"/>
      <c r="D433" s="1361"/>
      <c r="E433" s="1361"/>
      <c r="F433" s="1383"/>
      <c r="G433" s="1361"/>
      <c r="H433" s="1361"/>
    </row>
    <row r="434" spans="1:8" ht="15.75">
      <c r="A434" s="1362"/>
      <c r="B434" s="1362"/>
      <c r="C434" s="1361"/>
      <c r="D434" s="1361"/>
      <c r="E434" s="1361"/>
      <c r="F434" s="1383"/>
      <c r="G434" s="1361"/>
      <c r="H434" s="1361"/>
    </row>
    <row r="435" spans="1:8" ht="15.75">
      <c r="A435" s="1362"/>
      <c r="B435" s="1362"/>
      <c r="C435" s="1361"/>
      <c r="D435" s="1361"/>
      <c r="E435" s="1361"/>
      <c r="F435" s="1383"/>
      <c r="G435" s="1361"/>
      <c r="H435" s="1361"/>
    </row>
    <row r="436" spans="1:8" ht="15.75">
      <c r="A436" s="1362"/>
      <c r="B436" s="1362"/>
      <c r="C436" s="1361"/>
      <c r="D436" s="1361"/>
      <c r="E436" s="1361"/>
      <c r="F436" s="1383"/>
      <c r="G436" s="1361"/>
      <c r="H436" s="1361"/>
    </row>
    <row r="437" spans="1:8" ht="15.75">
      <c r="A437" s="1362"/>
      <c r="B437" s="1362"/>
      <c r="C437" s="1361"/>
      <c r="D437" s="1361"/>
      <c r="E437" s="1361"/>
      <c r="F437" s="1383"/>
      <c r="G437" s="1361"/>
      <c r="H437" s="1361"/>
    </row>
    <row r="438" spans="1:8" ht="15.75">
      <c r="A438" s="1362"/>
      <c r="B438" s="1362"/>
      <c r="C438" s="1361"/>
      <c r="D438" s="1361"/>
      <c r="E438" s="1361"/>
      <c r="F438" s="1383"/>
      <c r="G438" s="1361"/>
      <c r="H438" s="1361"/>
    </row>
    <row r="439" spans="1:8" ht="15.75">
      <c r="A439" s="1362"/>
      <c r="B439" s="1362"/>
      <c r="C439" s="1361"/>
      <c r="D439" s="1361"/>
      <c r="E439" s="1361"/>
      <c r="F439" s="1383"/>
      <c r="G439" s="1361"/>
      <c r="H439" s="1361"/>
    </row>
    <row r="440" spans="1:8" ht="15.75">
      <c r="A440" s="1362"/>
      <c r="B440" s="1362"/>
      <c r="C440" s="1361"/>
      <c r="D440" s="1361"/>
      <c r="E440" s="1361"/>
      <c r="F440" s="1383"/>
      <c r="G440" s="1361"/>
      <c r="H440" s="1361"/>
    </row>
    <row r="441" spans="1:8" ht="15.75">
      <c r="A441" s="1362"/>
      <c r="B441" s="1362"/>
      <c r="C441" s="1361"/>
      <c r="D441" s="1361"/>
      <c r="E441" s="1361"/>
      <c r="F441" s="1383"/>
      <c r="G441" s="1361"/>
      <c r="H441" s="1361"/>
    </row>
    <row r="442" spans="1:8" ht="15.75">
      <c r="A442" s="1362"/>
      <c r="B442" s="1362"/>
      <c r="C442" s="1361"/>
      <c r="D442" s="1361"/>
      <c r="E442" s="1361"/>
      <c r="F442" s="1383"/>
      <c r="G442" s="1361"/>
      <c r="H442" s="1361"/>
    </row>
    <row r="443" spans="1:8" ht="15.75">
      <c r="A443" s="1362"/>
      <c r="B443" s="1362"/>
      <c r="C443" s="1361"/>
      <c r="D443" s="1361"/>
      <c r="E443" s="1361"/>
      <c r="F443" s="1383"/>
      <c r="G443" s="1361"/>
      <c r="H443" s="1361"/>
    </row>
    <row r="444" spans="1:8" ht="15.75">
      <c r="A444" s="1362"/>
      <c r="B444" s="1362"/>
      <c r="C444" s="1361"/>
      <c r="D444" s="1361"/>
      <c r="E444" s="1361"/>
      <c r="F444" s="1383"/>
      <c r="G444" s="1361"/>
      <c r="H444" s="1361"/>
    </row>
    <row r="445" spans="1:8" ht="15.75">
      <c r="A445" s="1362"/>
      <c r="B445" s="1362"/>
      <c r="C445" s="1361"/>
      <c r="D445" s="1361"/>
      <c r="E445" s="1361"/>
      <c r="F445" s="1383"/>
      <c r="G445" s="1361"/>
      <c r="H445" s="1361"/>
    </row>
    <row r="446" spans="1:8" ht="15.75">
      <c r="A446" s="1362"/>
      <c r="B446" s="1362"/>
      <c r="C446" s="1361"/>
      <c r="D446" s="1361"/>
      <c r="E446" s="1361"/>
      <c r="F446" s="1383"/>
      <c r="G446" s="1361"/>
      <c r="H446" s="1361"/>
    </row>
    <row r="447" spans="1:8" ht="15.75">
      <c r="A447" s="1362"/>
      <c r="B447" s="1362"/>
      <c r="C447" s="1361"/>
      <c r="D447" s="1361"/>
      <c r="E447" s="1361"/>
      <c r="F447" s="1383"/>
      <c r="G447" s="1361"/>
      <c r="H447" s="1361"/>
    </row>
    <row r="448" spans="1:8" ht="15.75">
      <c r="A448" s="1362"/>
      <c r="B448" s="1362"/>
      <c r="C448" s="1361"/>
      <c r="D448" s="1361"/>
      <c r="E448" s="1361"/>
      <c r="F448" s="1383"/>
      <c r="G448" s="1361"/>
      <c r="H448" s="1361"/>
    </row>
    <row r="449" spans="1:8" ht="15.75">
      <c r="A449" s="1362"/>
      <c r="B449" s="1362"/>
      <c r="C449" s="1361"/>
      <c r="D449" s="1361"/>
      <c r="E449" s="1361"/>
      <c r="F449" s="1383"/>
      <c r="G449" s="1361"/>
      <c r="H449" s="1361"/>
    </row>
    <row r="450" spans="1:8" ht="15.75">
      <c r="A450" s="1362"/>
      <c r="B450" s="1362"/>
      <c r="C450" s="1361"/>
      <c r="D450" s="1361"/>
      <c r="E450" s="1361"/>
      <c r="F450" s="1383"/>
      <c r="G450" s="1361"/>
      <c r="H450" s="1361"/>
    </row>
    <row r="451" spans="1:8" ht="15.75">
      <c r="A451" s="1362"/>
      <c r="B451" s="1362"/>
      <c r="C451" s="1361"/>
      <c r="D451" s="1361"/>
      <c r="E451" s="1361"/>
      <c r="F451" s="1383"/>
      <c r="G451" s="1361"/>
      <c r="H451" s="1361"/>
    </row>
    <row r="452" spans="1:8" ht="15.75">
      <c r="A452" s="1362"/>
      <c r="B452" s="1362"/>
      <c r="C452" s="1361"/>
      <c r="D452" s="1361"/>
      <c r="E452" s="1361"/>
      <c r="F452" s="1383"/>
      <c r="G452" s="1361"/>
      <c r="H452" s="1361"/>
    </row>
    <row r="453" spans="1:8" ht="15.75">
      <c r="A453" s="1362"/>
      <c r="B453" s="1362"/>
      <c r="C453" s="1361"/>
      <c r="D453" s="1361"/>
      <c r="E453" s="1361"/>
      <c r="F453" s="1383"/>
      <c r="G453" s="1361"/>
      <c r="H453" s="1361"/>
    </row>
    <row r="454" spans="1:8" ht="15.75">
      <c r="A454" s="1362"/>
      <c r="B454" s="1362"/>
      <c r="C454" s="1361"/>
      <c r="D454" s="1361"/>
      <c r="E454" s="1361"/>
      <c r="F454" s="1383"/>
      <c r="G454" s="1361"/>
      <c r="H454" s="1361"/>
    </row>
    <row r="455" spans="1:8" ht="15.75">
      <c r="A455" s="1362"/>
      <c r="B455" s="1362"/>
      <c r="C455" s="1361"/>
      <c r="D455" s="1361"/>
      <c r="E455" s="1361"/>
      <c r="F455" s="1383"/>
      <c r="G455" s="1361"/>
      <c r="H455" s="1361"/>
    </row>
    <row r="456" spans="1:8" ht="15.75">
      <c r="A456" s="1362"/>
      <c r="B456" s="1362"/>
      <c r="C456" s="1361"/>
      <c r="D456" s="1361"/>
      <c r="E456" s="1361"/>
      <c r="F456" s="1383"/>
      <c r="G456" s="1361"/>
      <c r="H456" s="1361"/>
    </row>
    <row r="457" spans="1:8" ht="15.75">
      <c r="A457" s="1362"/>
      <c r="B457" s="1362"/>
      <c r="C457" s="1361"/>
      <c r="D457" s="1361"/>
      <c r="E457" s="1361"/>
      <c r="F457" s="1383"/>
      <c r="G457" s="1361"/>
      <c r="H457" s="1361"/>
    </row>
    <row r="458" spans="1:8" ht="15.75">
      <c r="A458" s="1362"/>
      <c r="B458" s="1362"/>
      <c r="C458" s="1361"/>
      <c r="D458" s="1361"/>
      <c r="E458" s="1361"/>
      <c r="F458" s="1383"/>
      <c r="G458" s="1361"/>
      <c r="H458" s="1361"/>
    </row>
    <row r="459" spans="1:8" ht="15.75">
      <c r="A459" s="1362"/>
      <c r="B459" s="1362"/>
      <c r="C459" s="1361"/>
      <c r="D459" s="1361"/>
      <c r="E459" s="1361"/>
      <c r="F459" s="1383"/>
      <c r="G459" s="1361"/>
      <c r="H459" s="1361"/>
    </row>
    <row r="460" spans="1:8" ht="15.75">
      <c r="A460" s="1362"/>
      <c r="B460" s="1362"/>
      <c r="C460" s="1361"/>
      <c r="D460" s="1361"/>
      <c r="E460" s="1361"/>
      <c r="F460" s="1383"/>
      <c r="G460" s="1361"/>
      <c r="H460" s="1361"/>
    </row>
    <row r="461" spans="1:8" ht="15.75">
      <c r="A461" s="1362"/>
      <c r="B461" s="1362"/>
      <c r="C461" s="1361"/>
      <c r="D461" s="1361"/>
      <c r="E461" s="1361"/>
      <c r="F461" s="1383"/>
      <c r="G461" s="1361"/>
      <c r="H461" s="1361"/>
    </row>
    <row r="462" spans="1:8" ht="15.75">
      <c r="A462" s="1362"/>
      <c r="B462" s="1362"/>
      <c r="C462" s="1361"/>
      <c r="D462" s="1361"/>
      <c r="E462" s="1361"/>
      <c r="F462" s="1383"/>
      <c r="G462" s="1361"/>
      <c r="H462" s="1361"/>
    </row>
    <row r="463" spans="1:8" ht="15.75">
      <c r="A463" s="1362"/>
      <c r="B463" s="1362"/>
      <c r="C463" s="1361"/>
      <c r="D463" s="1361"/>
      <c r="E463" s="1361"/>
      <c r="F463" s="1383"/>
      <c r="G463" s="1361"/>
      <c r="H463" s="1361"/>
    </row>
    <row r="464" spans="1:8" ht="15.75">
      <c r="A464" s="1362"/>
      <c r="B464" s="1362"/>
      <c r="C464" s="1361"/>
      <c r="D464" s="1361"/>
      <c r="E464" s="1361"/>
      <c r="F464" s="1383"/>
      <c r="G464" s="1361"/>
      <c r="H464" s="1361"/>
    </row>
    <row r="465" spans="1:8" ht="15.75">
      <c r="A465" s="1362"/>
      <c r="B465" s="1362"/>
      <c r="C465" s="1361"/>
      <c r="D465" s="1361"/>
      <c r="E465" s="1361"/>
      <c r="F465" s="1383"/>
      <c r="G465" s="1361"/>
      <c r="H465" s="1361"/>
    </row>
    <row r="466" spans="1:8" ht="15.75">
      <c r="A466" s="1362"/>
      <c r="B466" s="1362"/>
      <c r="C466" s="1361"/>
      <c r="D466" s="1361"/>
      <c r="E466" s="1361"/>
      <c r="F466" s="1383"/>
      <c r="G466" s="1361"/>
      <c r="H466" s="1361"/>
    </row>
    <row r="467" spans="1:8" ht="15.75">
      <c r="A467" s="1362"/>
      <c r="B467" s="1362"/>
      <c r="C467" s="1361"/>
      <c r="D467" s="1361"/>
      <c r="E467" s="1361"/>
      <c r="F467" s="1383"/>
      <c r="G467" s="1361"/>
      <c r="H467" s="1361"/>
    </row>
    <row r="468" spans="1:8" ht="15.75">
      <c r="A468" s="1362"/>
      <c r="B468" s="1362"/>
      <c r="C468" s="1361"/>
      <c r="D468" s="1361"/>
      <c r="E468" s="1361"/>
      <c r="F468" s="1383"/>
      <c r="G468" s="1361"/>
      <c r="H468" s="1361"/>
    </row>
    <row r="469" spans="1:8" ht="15.75">
      <c r="A469" s="1362"/>
      <c r="B469" s="1362"/>
      <c r="C469" s="1361"/>
      <c r="D469" s="1361"/>
      <c r="E469" s="1361"/>
      <c r="F469" s="1383"/>
      <c r="G469" s="1361"/>
      <c r="H469" s="1361"/>
    </row>
    <row r="470" spans="1:8" ht="15.75">
      <c r="A470" s="1362"/>
      <c r="B470" s="1362"/>
      <c r="C470" s="1361"/>
      <c r="D470" s="1361"/>
      <c r="E470" s="1361"/>
      <c r="F470" s="1383"/>
      <c r="G470" s="1361"/>
      <c r="H470" s="1361"/>
    </row>
    <row r="471" spans="1:8" ht="15.75">
      <c r="A471" s="1362"/>
      <c r="B471" s="1362"/>
      <c r="C471" s="1361"/>
      <c r="D471" s="1361"/>
      <c r="E471" s="1361"/>
      <c r="F471" s="1383"/>
      <c r="G471" s="1361"/>
      <c r="H471" s="1361"/>
    </row>
    <row r="472" spans="1:8" ht="15.75">
      <c r="A472" s="1362"/>
      <c r="B472" s="1362"/>
      <c r="C472" s="1361"/>
      <c r="D472" s="1361"/>
      <c r="E472" s="1361"/>
      <c r="F472" s="1383"/>
      <c r="G472" s="1361"/>
      <c r="H472" s="1361"/>
    </row>
    <row r="473" spans="1:8" ht="15.75">
      <c r="A473" s="1362"/>
      <c r="B473" s="1362"/>
      <c r="C473" s="1361"/>
      <c r="D473" s="1361"/>
      <c r="E473" s="1361"/>
      <c r="F473" s="1383"/>
      <c r="G473" s="1361"/>
      <c r="H473" s="1361"/>
    </row>
    <row r="474" spans="1:8" ht="15.75">
      <c r="A474" s="1362"/>
      <c r="B474" s="1362"/>
      <c r="C474" s="1361"/>
      <c r="D474" s="1361"/>
      <c r="E474" s="1361"/>
      <c r="F474" s="1383"/>
      <c r="G474" s="1361"/>
      <c r="H474" s="1361"/>
    </row>
    <row r="475" spans="1:8" ht="15.75">
      <c r="A475" s="1362"/>
      <c r="B475" s="1362"/>
      <c r="C475" s="1361"/>
      <c r="D475" s="1361"/>
      <c r="E475" s="1361"/>
      <c r="F475" s="1383"/>
      <c r="G475" s="1361"/>
      <c r="H475" s="1361"/>
    </row>
    <row r="476" spans="1:8" ht="15.75">
      <c r="A476" s="1362"/>
      <c r="B476" s="1362"/>
      <c r="C476" s="1361"/>
      <c r="D476" s="1361"/>
      <c r="E476" s="1361"/>
      <c r="F476" s="1383"/>
      <c r="G476" s="1361"/>
      <c r="H476" s="1361"/>
    </row>
    <row r="477" spans="1:8" ht="15.75">
      <c r="A477" s="1362"/>
      <c r="B477" s="1362"/>
      <c r="C477" s="1361"/>
      <c r="D477" s="1361"/>
      <c r="E477" s="1361"/>
      <c r="F477" s="1383"/>
      <c r="G477" s="1361"/>
      <c r="H477" s="1361"/>
    </row>
    <row r="478" spans="1:8" ht="15.75">
      <c r="A478" s="1362"/>
      <c r="B478" s="1362"/>
      <c r="C478" s="1361"/>
      <c r="D478" s="1361"/>
      <c r="E478" s="1361"/>
      <c r="F478" s="1383"/>
      <c r="G478" s="1361"/>
      <c r="H478" s="1361"/>
    </row>
    <row r="479" spans="1:8" ht="15.75">
      <c r="A479" s="1362"/>
      <c r="B479" s="1362"/>
      <c r="C479" s="1361"/>
      <c r="D479" s="1361"/>
      <c r="E479" s="1361"/>
      <c r="F479" s="1383"/>
      <c r="G479" s="1361"/>
      <c r="H479" s="1361"/>
    </row>
    <row r="480" spans="1:8" ht="15.75">
      <c r="A480" s="1362"/>
      <c r="B480" s="1362"/>
      <c r="C480" s="1361"/>
      <c r="D480" s="1361"/>
      <c r="E480" s="1361"/>
      <c r="F480" s="1383"/>
      <c r="G480" s="1361"/>
      <c r="H480" s="1361"/>
    </row>
    <row r="481" spans="1:8" ht="15.75">
      <c r="A481" s="1362"/>
      <c r="B481" s="1362"/>
      <c r="C481" s="1361"/>
      <c r="D481" s="1361"/>
      <c r="E481" s="1361"/>
      <c r="F481" s="1383"/>
      <c r="G481" s="1361"/>
      <c r="H481" s="1361"/>
    </row>
    <row r="482" spans="1:8" ht="15.75">
      <c r="A482" s="1362"/>
      <c r="B482" s="1362"/>
      <c r="C482" s="1361"/>
      <c r="D482" s="1361"/>
      <c r="E482" s="1361"/>
      <c r="F482" s="1383"/>
      <c r="G482" s="1361"/>
      <c r="H482" s="1361"/>
    </row>
    <row r="483" spans="1:8" ht="15.75">
      <c r="A483" s="1362"/>
      <c r="B483" s="1362"/>
      <c r="C483" s="1361"/>
      <c r="D483" s="1361"/>
      <c r="E483" s="1361"/>
      <c r="F483" s="1383"/>
      <c r="G483" s="1361"/>
      <c r="H483" s="1361"/>
    </row>
    <row r="484" spans="1:8" ht="15.75">
      <c r="A484" s="1362"/>
      <c r="B484" s="1362"/>
      <c r="C484" s="1361"/>
      <c r="D484" s="1361"/>
      <c r="E484" s="1361"/>
      <c r="F484" s="1383"/>
      <c r="G484" s="1361"/>
      <c r="H484" s="1361"/>
    </row>
    <row r="485" spans="1:8" ht="15.75">
      <c r="A485" s="1362"/>
      <c r="B485" s="1362"/>
      <c r="C485" s="1361"/>
      <c r="D485" s="1361"/>
      <c r="E485" s="1361"/>
      <c r="F485" s="1383"/>
      <c r="G485" s="1361"/>
      <c r="H485" s="1361"/>
    </row>
    <row r="486" spans="1:8" ht="15.75">
      <c r="A486" s="1362"/>
      <c r="B486" s="1362"/>
      <c r="C486" s="1361"/>
      <c r="D486" s="1361"/>
      <c r="E486" s="1361"/>
      <c r="F486" s="1383"/>
      <c r="G486" s="1361"/>
      <c r="H486" s="1361"/>
    </row>
    <row r="487" spans="1:8" ht="15.75">
      <c r="A487" s="1362"/>
      <c r="B487" s="1362"/>
      <c r="C487" s="1361"/>
      <c r="D487" s="1361"/>
      <c r="E487" s="1361"/>
      <c r="F487" s="1383"/>
      <c r="G487" s="1361"/>
      <c r="H487" s="1361"/>
    </row>
    <row r="488" spans="1:8" ht="15.75">
      <c r="A488" s="1362"/>
      <c r="B488" s="1362"/>
      <c r="C488" s="1361"/>
      <c r="D488" s="1361"/>
      <c r="E488" s="1361"/>
      <c r="F488" s="1383"/>
      <c r="G488" s="1361"/>
      <c r="H488" s="1361"/>
    </row>
    <row r="489" spans="1:8" ht="15.75">
      <c r="A489" s="1362"/>
      <c r="B489" s="1362"/>
      <c r="C489" s="1361"/>
      <c r="D489" s="1361"/>
      <c r="E489" s="1361"/>
      <c r="F489" s="1383"/>
      <c r="G489" s="1361"/>
      <c r="H489" s="1361"/>
    </row>
    <row r="490" spans="1:8" ht="15.75">
      <c r="A490" s="1362"/>
      <c r="B490" s="1362"/>
      <c r="C490" s="1361"/>
      <c r="D490" s="1361"/>
      <c r="E490" s="1361"/>
      <c r="F490" s="1383"/>
      <c r="G490" s="1361"/>
      <c r="H490" s="1361"/>
    </row>
    <row r="491" spans="1:8" ht="15.75">
      <c r="A491" s="1362"/>
      <c r="B491" s="1362"/>
      <c r="C491" s="1361"/>
      <c r="D491" s="1361"/>
      <c r="E491" s="1361"/>
      <c r="F491" s="1383"/>
      <c r="G491" s="1361"/>
      <c r="H491" s="1361"/>
    </row>
    <row r="492" spans="1:8" ht="15.75">
      <c r="A492" s="1362"/>
      <c r="B492" s="1362"/>
      <c r="C492" s="1361"/>
      <c r="D492" s="1361"/>
      <c r="E492" s="1361"/>
      <c r="F492" s="1383"/>
      <c r="G492" s="1361"/>
      <c r="H492" s="1361"/>
    </row>
    <row r="493" spans="1:8" ht="15.75">
      <c r="A493" s="1362"/>
      <c r="B493" s="1362"/>
      <c r="C493" s="1361"/>
      <c r="D493" s="1361"/>
      <c r="E493" s="1361"/>
      <c r="F493" s="1383"/>
      <c r="G493" s="1361"/>
      <c r="H493" s="1361"/>
    </row>
    <row r="494" spans="1:8" ht="15.75">
      <c r="A494" s="1362"/>
      <c r="B494" s="1362"/>
      <c r="C494" s="1361"/>
      <c r="D494" s="1361"/>
      <c r="E494" s="1361"/>
      <c r="F494" s="1383"/>
      <c r="G494" s="1361"/>
      <c r="H494" s="1361"/>
    </row>
    <row r="495" spans="1:8" ht="15.75">
      <c r="A495" s="1362"/>
      <c r="B495" s="1362"/>
      <c r="C495" s="1361"/>
      <c r="D495" s="1361"/>
      <c r="E495" s="1361"/>
      <c r="F495" s="1383"/>
      <c r="G495" s="1361"/>
      <c r="H495" s="1361"/>
    </row>
    <row r="496" spans="1:8" ht="15.75">
      <c r="A496" s="1362"/>
      <c r="B496" s="1362"/>
      <c r="C496" s="1361"/>
      <c r="D496" s="1361"/>
      <c r="E496" s="1361"/>
      <c r="F496" s="1383"/>
      <c r="G496" s="1361"/>
      <c r="H496" s="1361"/>
    </row>
    <row r="497" spans="1:8" ht="15.75">
      <c r="A497" s="1362"/>
      <c r="B497" s="1362"/>
      <c r="C497" s="1361"/>
      <c r="D497" s="1361"/>
      <c r="E497" s="1361"/>
      <c r="F497" s="1383"/>
      <c r="G497" s="1361"/>
      <c r="H497" s="1361"/>
    </row>
    <row r="498" spans="1:8" ht="15.75">
      <c r="A498" s="1362"/>
      <c r="B498" s="1362"/>
      <c r="C498" s="1361"/>
      <c r="D498" s="1361"/>
      <c r="E498" s="1361"/>
      <c r="F498" s="1383"/>
      <c r="G498" s="1361"/>
      <c r="H498" s="1361"/>
    </row>
    <row r="499" spans="1:8" ht="15.75">
      <c r="A499" s="1362"/>
      <c r="B499" s="1362"/>
      <c r="C499" s="1361"/>
      <c r="D499" s="1361"/>
      <c r="E499" s="1361"/>
      <c r="F499" s="1383"/>
      <c r="G499" s="1361"/>
      <c r="H499" s="1361"/>
    </row>
    <row r="500" spans="1:8" ht="15.75">
      <c r="A500" s="1362"/>
      <c r="B500" s="1362"/>
      <c r="C500" s="1361"/>
      <c r="D500" s="1361"/>
      <c r="E500" s="1361"/>
      <c r="F500" s="1383"/>
      <c r="G500" s="1361"/>
      <c r="H500" s="1361"/>
    </row>
    <row r="501" spans="1:8" ht="15.75">
      <c r="A501" s="1362"/>
      <c r="B501" s="1362"/>
      <c r="C501" s="1361"/>
      <c r="D501" s="1361"/>
      <c r="E501" s="1361"/>
      <c r="F501" s="1383"/>
      <c r="G501" s="1361"/>
      <c r="H501" s="1361"/>
    </row>
    <row r="502" spans="1:8" ht="15.75">
      <c r="A502" s="1362"/>
      <c r="B502" s="1362"/>
      <c r="C502" s="1361"/>
      <c r="D502" s="1361"/>
      <c r="E502" s="1361"/>
      <c r="F502" s="1383"/>
      <c r="G502" s="1361"/>
      <c r="H502" s="1361"/>
    </row>
    <row r="503" spans="1:8" ht="15.75">
      <c r="A503" s="1362"/>
      <c r="B503" s="1362"/>
      <c r="C503" s="1361"/>
      <c r="D503" s="1361"/>
      <c r="E503" s="1361"/>
      <c r="F503" s="1383"/>
      <c r="G503" s="1361"/>
      <c r="H503" s="1361"/>
    </row>
    <row r="504" spans="1:8" ht="15.75">
      <c r="A504" s="1362"/>
      <c r="B504" s="1362"/>
      <c r="C504" s="1361"/>
      <c r="D504" s="1361"/>
      <c r="E504" s="1361"/>
      <c r="F504" s="1383"/>
      <c r="G504" s="1361"/>
      <c r="H504" s="1361"/>
    </row>
    <row r="505" spans="1:8" ht="15.75">
      <c r="A505" s="1362"/>
      <c r="B505" s="1362"/>
      <c r="C505" s="1361"/>
      <c r="D505" s="1361"/>
      <c r="E505" s="1361"/>
      <c r="F505" s="1383"/>
      <c r="G505" s="1361"/>
      <c r="H505" s="1361"/>
    </row>
    <row r="506" spans="1:8" ht="15.75">
      <c r="A506" s="1362"/>
      <c r="B506" s="1362"/>
      <c r="C506" s="1361"/>
      <c r="D506" s="1361"/>
      <c r="E506" s="1361"/>
      <c r="F506" s="1383"/>
      <c r="G506" s="1361"/>
      <c r="H506" s="1361"/>
    </row>
    <row r="507" spans="1:8" ht="15.75">
      <c r="A507" s="1362"/>
      <c r="B507" s="1362"/>
      <c r="C507" s="1361"/>
      <c r="D507" s="1361"/>
      <c r="E507" s="1361"/>
      <c r="F507" s="1383"/>
      <c r="G507" s="1361"/>
      <c r="H507" s="1361"/>
    </row>
    <row r="508" spans="1:8" ht="15.75">
      <c r="A508" s="1362"/>
      <c r="B508" s="1362"/>
      <c r="C508" s="1361"/>
      <c r="D508" s="1361"/>
      <c r="E508" s="1361"/>
      <c r="F508" s="1383"/>
      <c r="G508" s="1361"/>
      <c r="H508" s="1361"/>
    </row>
    <row r="509" spans="1:8" ht="15.75">
      <c r="A509" s="1362"/>
      <c r="B509" s="1362"/>
      <c r="C509" s="1361"/>
      <c r="D509" s="1361"/>
      <c r="E509" s="1361"/>
      <c r="F509" s="1383"/>
      <c r="G509" s="1361"/>
      <c r="H509" s="1361"/>
    </row>
    <row r="510" spans="1:8" ht="15.75">
      <c r="A510" s="1362"/>
      <c r="B510" s="1362"/>
      <c r="C510" s="1361"/>
      <c r="D510" s="1361"/>
      <c r="E510" s="1361"/>
      <c r="F510" s="1383"/>
      <c r="G510" s="1361"/>
      <c r="H510" s="1361"/>
    </row>
    <row r="511" spans="1:8" ht="15.75">
      <c r="A511" s="1362"/>
      <c r="B511" s="1362"/>
      <c r="C511" s="1361"/>
      <c r="D511" s="1361"/>
      <c r="E511" s="1361"/>
      <c r="F511" s="1383"/>
      <c r="G511" s="1361"/>
      <c r="H511" s="1361"/>
    </row>
    <row r="512" spans="1:8" ht="15.75">
      <c r="A512" s="1362"/>
      <c r="B512" s="1362"/>
      <c r="C512" s="1361"/>
      <c r="D512" s="1361"/>
      <c r="E512" s="1361"/>
      <c r="F512" s="1383"/>
      <c r="G512" s="1361"/>
      <c r="H512" s="1361"/>
    </row>
    <row r="513" spans="1:8" ht="15.75">
      <c r="A513" s="1362"/>
      <c r="B513" s="1362"/>
      <c r="C513" s="1361"/>
      <c r="D513" s="1361"/>
      <c r="E513" s="1361"/>
      <c r="F513" s="1383"/>
      <c r="G513" s="1361"/>
      <c r="H513" s="1361"/>
    </row>
    <row r="514" spans="1:8" ht="15.75">
      <c r="A514" s="1362"/>
      <c r="B514" s="1362"/>
      <c r="C514" s="1361"/>
      <c r="D514" s="1361"/>
      <c r="E514" s="1361"/>
      <c r="F514" s="1383"/>
      <c r="G514" s="1361"/>
      <c r="H514" s="1361"/>
    </row>
    <row r="515" spans="1:8" ht="15.75">
      <c r="A515" s="1362"/>
      <c r="B515" s="1362"/>
      <c r="C515" s="1361"/>
      <c r="D515" s="1361"/>
      <c r="E515" s="1361"/>
      <c r="F515" s="1383"/>
      <c r="G515" s="1361"/>
      <c r="H515" s="1361"/>
    </row>
    <row r="516" spans="1:8" ht="15.75">
      <c r="A516" s="1362"/>
      <c r="B516" s="1362"/>
      <c r="C516" s="1361"/>
      <c r="D516" s="1361"/>
      <c r="E516" s="1361"/>
      <c r="F516" s="1383"/>
      <c r="G516" s="1361"/>
      <c r="H516" s="1361"/>
    </row>
    <row r="517" spans="1:8" ht="15.75">
      <c r="A517" s="1362"/>
      <c r="B517" s="1362"/>
      <c r="C517" s="1361"/>
      <c r="D517" s="1361"/>
      <c r="E517" s="1361"/>
      <c r="F517" s="1383"/>
      <c r="G517" s="1361"/>
      <c r="H517" s="1361"/>
    </row>
    <row r="518" spans="1:8" ht="15.75">
      <c r="A518" s="1362"/>
      <c r="B518" s="1362"/>
      <c r="C518" s="1361"/>
      <c r="D518" s="1361"/>
      <c r="E518" s="1361"/>
      <c r="F518" s="1383"/>
      <c r="G518" s="1361"/>
      <c r="H518" s="1361"/>
    </row>
    <row r="519" spans="1:8" ht="15.75">
      <c r="A519" s="1362"/>
      <c r="B519" s="1362"/>
      <c r="C519" s="1361"/>
      <c r="D519" s="1361"/>
      <c r="E519" s="1361"/>
      <c r="F519" s="1383"/>
      <c r="G519" s="1361"/>
      <c r="H519" s="1361"/>
    </row>
    <row r="520" spans="1:8" ht="15.75">
      <c r="A520" s="1362"/>
      <c r="B520" s="1362"/>
      <c r="C520" s="1361"/>
      <c r="D520" s="1361"/>
      <c r="E520" s="1361"/>
      <c r="F520" s="1383"/>
      <c r="G520" s="1361"/>
      <c r="H520" s="1361"/>
    </row>
    <row r="521" spans="1:8" ht="15.75">
      <c r="A521" s="1362"/>
      <c r="B521" s="1362"/>
      <c r="C521" s="1361"/>
      <c r="D521" s="1361"/>
      <c r="E521" s="1361"/>
      <c r="F521" s="1383"/>
      <c r="G521" s="1361"/>
      <c r="H521" s="1361"/>
    </row>
    <row r="522" spans="1:8" ht="15.75">
      <c r="A522" s="1362"/>
      <c r="B522" s="1362"/>
      <c r="C522" s="1361"/>
      <c r="D522" s="1361"/>
      <c r="E522" s="1361"/>
      <c r="F522" s="1383"/>
      <c r="G522" s="1361"/>
      <c r="H522" s="1361"/>
    </row>
    <row r="523" spans="1:8" ht="15.75">
      <c r="A523" s="1362"/>
      <c r="B523" s="1362"/>
      <c r="C523" s="1361"/>
      <c r="D523" s="1361"/>
      <c r="E523" s="1361"/>
      <c r="F523" s="1383"/>
      <c r="G523" s="1361"/>
      <c r="H523" s="1361"/>
    </row>
    <row r="524" spans="1:8" ht="15.75">
      <c r="A524" s="1362"/>
      <c r="B524" s="1362"/>
      <c r="C524" s="1361"/>
      <c r="D524" s="1361"/>
      <c r="E524" s="1361"/>
      <c r="F524" s="1383"/>
      <c r="G524" s="1361"/>
      <c r="H524" s="1361"/>
    </row>
    <row r="525" spans="1:8" ht="15.75">
      <c r="A525" s="1362"/>
      <c r="B525" s="1362"/>
      <c r="C525" s="1361"/>
      <c r="D525" s="1361"/>
      <c r="E525" s="1361"/>
      <c r="F525" s="1383"/>
      <c r="G525" s="1361"/>
      <c r="H525" s="1361"/>
    </row>
    <row r="526" spans="1:8" ht="15.75">
      <c r="A526" s="1362"/>
      <c r="B526" s="1362"/>
      <c r="C526" s="1361"/>
      <c r="D526" s="1361"/>
      <c r="E526" s="1361"/>
      <c r="F526" s="1383"/>
      <c r="G526" s="1361"/>
      <c r="H526" s="1361"/>
    </row>
    <row r="527" spans="1:8" ht="15.75">
      <c r="A527" s="1362"/>
      <c r="B527" s="1362"/>
      <c r="C527" s="1361"/>
      <c r="D527" s="1361"/>
      <c r="E527" s="1361"/>
      <c r="F527" s="1383"/>
      <c r="G527" s="1361"/>
      <c r="H527" s="1361"/>
    </row>
    <row r="528" spans="1:8" ht="15.75">
      <c r="A528" s="1362"/>
      <c r="B528" s="1362"/>
      <c r="C528" s="1361"/>
      <c r="D528" s="1361"/>
      <c r="E528" s="1361"/>
      <c r="F528" s="1383"/>
      <c r="G528" s="1361"/>
      <c r="H528" s="1361"/>
    </row>
    <row r="529" spans="1:8" ht="15.75">
      <c r="A529" s="1362"/>
      <c r="B529" s="1362"/>
      <c r="C529" s="1361"/>
      <c r="D529" s="1361"/>
      <c r="E529" s="1361"/>
      <c r="F529" s="1383"/>
      <c r="G529" s="1361"/>
      <c r="H529" s="1361"/>
    </row>
    <row r="530" spans="1:8" ht="15.75">
      <c r="A530" s="1362"/>
      <c r="B530" s="1362"/>
      <c r="C530" s="1361"/>
      <c r="D530" s="1361"/>
      <c r="E530" s="1361"/>
      <c r="F530" s="1383"/>
      <c r="G530" s="1361"/>
      <c r="H530" s="1361"/>
    </row>
    <row r="531" spans="1:8" ht="15.75">
      <c r="A531" s="1362"/>
      <c r="B531" s="1362"/>
      <c r="C531" s="1361"/>
      <c r="D531" s="1361"/>
      <c r="E531" s="1361"/>
      <c r="F531" s="1383"/>
      <c r="G531" s="1361"/>
      <c r="H531" s="1361"/>
    </row>
    <row r="532" spans="1:8" ht="15.75">
      <c r="A532" s="1362"/>
      <c r="B532" s="1362"/>
      <c r="C532" s="1361"/>
      <c r="D532" s="1361"/>
      <c r="E532" s="1361"/>
      <c r="F532" s="1383"/>
      <c r="G532" s="1361"/>
      <c r="H532" s="1361"/>
    </row>
    <row r="533" spans="1:8" ht="15.75">
      <c r="A533" s="1362"/>
      <c r="B533" s="1362"/>
      <c r="C533" s="1361"/>
      <c r="D533" s="1361"/>
      <c r="E533" s="1361"/>
      <c r="F533" s="1383"/>
      <c r="G533" s="1361"/>
      <c r="H533" s="1361"/>
    </row>
    <row r="534" spans="1:8" ht="15.75">
      <c r="A534" s="1362"/>
      <c r="B534" s="1362"/>
      <c r="C534" s="1361"/>
      <c r="D534" s="1361"/>
      <c r="E534" s="1361"/>
      <c r="F534" s="1383"/>
      <c r="G534" s="1361"/>
      <c r="H534" s="1361"/>
    </row>
    <row r="535" spans="1:8" ht="15.75">
      <c r="A535" s="1362"/>
      <c r="B535" s="1362"/>
      <c r="C535" s="1361"/>
      <c r="D535" s="1361"/>
      <c r="E535" s="1361"/>
      <c r="F535" s="1383"/>
      <c r="G535" s="1361"/>
      <c r="H535" s="1361"/>
    </row>
    <row r="536" spans="1:8" ht="15.75">
      <c r="A536" s="1362"/>
      <c r="B536" s="1362"/>
      <c r="C536" s="1361"/>
      <c r="D536" s="1361"/>
      <c r="E536" s="1361"/>
      <c r="F536" s="1383"/>
      <c r="G536" s="1361"/>
      <c r="H536" s="1361"/>
    </row>
    <row r="537" spans="1:8" ht="15.75">
      <c r="A537" s="1362"/>
      <c r="B537" s="1362"/>
      <c r="C537" s="1361"/>
      <c r="D537" s="1361"/>
      <c r="E537" s="1361"/>
      <c r="F537" s="1383"/>
      <c r="G537" s="1361"/>
      <c r="H537" s="1361"/>
    </row>
    <row r="538" spans="1:8" ht="15.75">
      <c r="A538" s="1362"/>
      <c r="B538" s="1362"/>
      <c r="C538" s="1361"/>
      <c r="D538" s="1361"/>
      <c r="E538" s="1361"/>
      <c r="F538" s="1383"/>
      <c r="G538" s="1361"/>
      <c r="H538" s="1361"/>
    </row>
    <row r="539" spans="1:8" ht="15.75">
      <c r="A539" s="1362"/>
      <c r="B539" s="1362"/>
      <c r="C539" s="1361"/>
      <c r="D539" s="1361"/>
      <c r="E539" s="1361"/>
      <c r="F539" s="1383"/>
      <c r="G539" s="1361"/>
      <c r="H539" s="1361"/>
    </row>
    <row r="540" spans="1:8" ht="15.75">
      <c r="A540" s="1362"/>
      <c r="B540" s="1362"/>
      <c r="C540" s="1361"/>
      <c r="D540" s="1361"/>
      <c r="E540" s="1361"/>
      <c r="F540" s="1383"/>
      <c r="G540" s="1361"/>
      <c r="H540" s="1361"/>
    </row>
    <row r="541" spans="1:8" ht="15.75">
      <c r="A541" s="1362"/>
      <c r="B541" s="1362"/>
      <c r="C541" s="1361"/>
      <c r="D541" s="1361"/>
      <c r="E541" s="1361"/>
      <c r="F541" s="1383"/>
      <c r="G541" s="1361"/>
      <c r="H541" s="1361"/>
    </row>
    <row r="542" spans="1:8" ht="15.75">
      <c r="A542" s="1362"/>
      <c r="B542" s="1362"/>
      <c r="C542" s="1361"/>
      <c r="D542" s="1361"/>
      <c r="E542" s="1361"/>
      <c r="F542" s="1383"/>
      <c r="G542" s="1361"/>
      <c r="H542" s="1361"/>
    </row>
    <row r="543" spans="1:8" ht="15.75">
      <c r="A543" s="1362"/>
      <c r="B543" s="1362"/>
      <c r="C543" s="1361"/>
      <c r="D543" s="1361"/>
      <c r="E543" s="1361"/>
      <c r="F543" s="1383"/>
      <c r="G543" s="1361"/>
      <c r="H543" s="1361"/>
    </row>
    <row r="544" spans="1:8" ht="15.75">
      <c r="A544" s="1362"/>
      <c r="B544" s="1362"/>
      <c r="C544" s="1361"/>
      <c r="D544" s="1361"/>
      <c r="E544" s="1361"/>
      <c r="F544" s="1383"/>
      <c r="G544" s="1361"/>
      <c r="H544" s="1361"/>
    </row>
    <row r="545" spans="1:8" ht="15.75">
      <c r="A545" s="1362"/>
      <c r="B545" s="1362"/>
      <c r="C545" s="1361"/>
      <c r="D545" s="1361"/>
      <c r="E545" s="1361"/>
      <c r="F545" s="1383"/>
      <c r="G545" s="1361"/>
      <c r="H545" s="1361"/>
    </row>
    <row r="546" spans="1:8" ht="15.75">
      <c r="A546" s="1362"/>
      <c r="B546" s="1362"/>
      <c r="C546" s="1361"/>
      <c r="D546" s="1361"/>
      <c r="E546" s="1361"/>
      <c r="F546" s="1383"/>
      <c r="G546" s="1361"/>
      <c r="H546" s="1361"/>
    </row>
    <row r="547" spans="1:8" ht="15.75">
      <c r="A547" s="1362"/>
      <c r="B547" s="1362"/>
      <c r="C547" s="1361"/>
      <c r="D547" s="1361"/>
      <c r="E547" s="1361"/>
      <c r="F547" s="1383"/>
      <c r="G547" s="1361"/>
      <c r="H547" s="1361"/>
    </row>
    <row r="548" spans="1:8" ht="15.75">
      <c r="A548" s="1362"/>
      <c r="B548" s="1362"/>
      <c r="C548" s="1361"/>
      <c r="D548" s="1361"/>
      <c r="E548" s="1361"/>
      <c r="F548" s="1383"/>
      <c r="G548" s="1361"/>
      <c r="H548" s="1361"/>
    </row>
    <row r="549" spans="1:8" ht="15.75">
      <c r="A549" s="1362"/>
      <c r="B549" s="1362"/>
      <c r="C549" s="1361"/>
      <c r="D549" s="1361"/>
      <c r="E549" s="1361"/>
      <c r="F549" s="1383"/>
      <c r="G549" s="1361"/>
      <c r="H549" s="1361"/>
    </row>
    <row r="550" spans="1:8" ht="15.75">
      <c r="A550" s="1362"/>
      <c r="B550" s="1362"/>
      <c r="C550" s="1361"/>
      <c r="D550" s="1361"/>
      <c r="E550" s="1361"/>
      <c r="F550" s="1383"/>
      <c r="G550" s="1361"/>
      <c r="H550" s="1361"/>
    </row>
    <row r="551" spans="1:8" ht="15.75">
      <c r="A551" s="1362"/>
      <c r="B551" s="1362"/>
      <c r="C551" s="1361"/>
      <c r="D551" s="1361"/>
      <c r="E551" s="1361"/>
      <c r="F551" s="1383"/>
      <c r="G551" s="1361"/>
      <c r="H551" s="1361"/>
    </row>
    <row r="552" spans="1:8" ht="15.75">
      <c r="A552" s="1362"/>
      <c r="B552" s="1362"/>
      <c r="C552" s="1361"/>
      <c r="D552" s="1361"/>
      <c r="E552" s="1361"/>
      <c r="F552" s="1383"/>
      <c r="G552" s="1361"/>
      <c r="H552" s="1361"/>
    </row>
    <row r="553" spans="1:8" ht="15.75">
      <c r="A553" s="1362"/>
      <c r="B553" s="1362"/>
      <c r="C553" s="1361"/>
      <c r="D553" s="1361"/>
      <c r="E553" s="1361"/>
      <c r="F553" s="1383"/>
      <c r="G553" s="1361"/>
      <c r="H553" s="1361"/>
    </row>
    <row r="554" spans="1:8" ht="15.75">
      <c r="A554" s="1362"/>
      <c r="B554" s="1362"/>
      <c r="C554" s="1361"/>
      <c r="D554" s="1361"/>
      <c r="E554" s="1361"/>
      <c r="F554" s="1383"/>
      <c r="G554" s="1361"/>
      <c r="H554" s="1361"/>
    </row>
    <row r="555" spans="1:8" ht="15.75">
      <c r="A555" s="1362"/>
      <c r="B555" s="1362"/>
      <c r="C555" s="1361"/>
      <c r="D555" s="1361"/>
      <c r="E555" s="1361"/>
      <c r="F555" s="1383"/>
      <c r="G555" s="1361"/>
      <c r="H555" s="1361"/>
    </row>
    <row r="556" spans="1:8" ht="15.75">
      <c r="A556" s="1362"/>
      <c r="B556" s="1362"/>
      <c r="C556" s="1361"/>
      <c r="D556" s="1361"/>
      <c r="E556" s="1361"/>
      <c r="F556" s="1383"/>
      <c r="G556" s="1361"/>
      <c r="H556" s="1361"/>
    </row>
    <row r="557" spans="1:8" ht="15.75">
      <c r="A557" s="1362"/>
      <c r="B557" s="1362"/>
      <c r="C557" s="1361"/>
      <c r="D557" s="1361"/>
      <c r="E557" s="1361"/>
      <c r="F557" s="1383"/>
      <c r="G557" s="1361"/>
      <c r="H557" s="1361"/>
    </row>
    <row r="558" spans="1:8" ht="15.75">
      <c r="A558" s="1362"/>
      <c r="B558" s="1362"/>
      <c r="C558" s="1361"/>
      <c r="D558" s="1361"/>
      <c r="E558" s="1361"/>
      <c r="F558" s="1383"/>
      <c r="G558" s="1361"/>
      <c r="H558" s="1361"/>
    </row>
    <row r="559" spans="1:8" ht="15.75">
      <c r="A559" s="1362"/>
      <c r="B559" s="1362"/>
      <c r="C559" s="1361"/>
      <c r="D559" s="1361"/>
      <c r="E559" s="1361"/>
      <c r="F559" s="1383"/>
      <c r="G559" s="1361"/>
      <c r="H559" s="1361"/>
    </row>
    <row r="560" spans="1:8" ht="15.75">
      <c r="A560" s="1362"/>
      <c r="B560" s="1362"/>
      <c r="C560" s="1361"/>
      <c r="D560" s="1361"/>
      <c r="E560" s="1361"/>
      <c r="F560" s="1383"/>
      <c r="G560" s="1361"/>
      <c r="H560" s="1361"/>
    </row>
    <row r="561" spans="1:8" ht="15.75">
      <c r="A561" s="1362"/>
      <c r="B561" s="1362"/>
      <c r="C561" s="1361"/>
      <c r="D561" s="1361"/>
      <c r="E561" s="1361"/>
      <c r="F561" s="1383"/>
      <c r="G561" s="1361"/>
      <c r="H561" s="1361"/>
    </row>
    <row r="562" spans="1:8" ht="15.75">
      <c r="A562" s="1362"/>
      <c r="B562" s="1362"/>
      <c r="C562" s="1361"/>
      <c r="D562" s="1361"/>
      <c r="E562" s="1361"/>
      <c r="F562" s="1383"/>
      <c r="G562" s="1361"/>
      <c r="H562" s="1361"/>
    </row>
    <row r="563" spans="1:8" ht="15.75">
      <c r="A563" s="1362"/>
      <c r="B563" s="1362"/>
      <c r="C563" s="1361"/>
      <c r="D563" s="1361"/>
      <c r="E563" s="1361"/>
      <c r="F563" s="1383"/>
      <c r="G563" s="1361"/>
      <c r="H563" s="1361"/>
    </row>
    <row r="564" spans="1:8" ht="15.75">
      <c r="A564" s="1362"/>
      <c r="B564" s="1362"/>
      <c r="C564" s="1361"/>
      <c r="D564" s="1361"/>
      <c r="E564" s="1361"/>
      <c r="F564" s="1383"/>
      <c r="G564" s="1361"/>
      <c r="H564" s="1361"/>
    </row>
    <row r="565" spans="1:8" ht="15.75">
      <c r="A565" s="1362"/>
      <c r="B565" s="1362"/>
      <c r="C565" s="1361"/>
      <c r="D565" s="1361"/>
      <c r="E565" s="1361"/>
      <c r="F565" s="1383"/>
      <c r="G565" s="1361"/>
      <c r="H565" s="1361"/>
    </row>
    <row r="566" spans="1:8" ht="15.75">
      <c r="A566" s="1362"/>
      <c r="B566" s="1362"/>
      <c r="C566" s="1361"/>
      <c r="D566" s="1361"/>
      <c r="E566" s="1361"/>
      <c r="F566" s="1383"/>
      <c r="G566" s="1361"/>
      <c r="H566" s="1361"/>
    </row>
    <row r="567" spans="1:8" ht="15.75">
      <c r="A567" s="1362"/>
      <c r="B567" s="1362"/>
      <c r="C567" s="1361"/>
      <c r="D567" s="1361"/>
      <c r="E567" s="1361"/>
      <c r="F567" s="1383"/>
      <c r="G567" s="1361"/>
      <c r="H567" s="1361"/>
    </row>
    <row r="568" spans="1:8" ht="15.75">
      <c r="A568" s="1362"/>
      <c r="B568" s="1362"/>
      <c r="C568" s="1361"/>
      <c r="D568" s="1361"/>
      <c r="E568" s="1361"/>
      <c r="F568" s="1383"/>
      <c r="G568" s="1361"/>
      <c r="H568" s="1361"/>
    </row>
    <row r="569" spans="1:8" ht="15.75">
      <c r="A569" s="1362"/>
      <c r="B569" s="1362"/>
      <c r="C569" s="1361"/>
      <c r="D569" s="1361"/>
      <c r="E569" s="1361"/>
      <c r="F569" s="1383"/>
      <c r="G569" s="1361"/>
      <c r="H569" s="1361"/>
    </row>
    <row r="570" spans="1:8" ht="15.75">
      <c r="A570" s="1362"/>
      <c r="B570" s="1362"/>
      <c r="C570" s="1361"/>
      <c r="D570" s="1361"/>
      <c r="E570" s="1361"/>
      <c r="F570" s="1383"/>
      <c r="G570" s="1361"/>
      <c r="H570" s="1361"/>
    </row>
    <row r="571" spans="1:8" ht="15.75">
      <c r="A571" s="1362"/>
      <c r="B571" s="1362"/>
      <c r="C571" s="1361"/>
      <c r="D571" s="1361"/>
      <c r="E571" s="1361"/>
      <c r="F571" s="1383"/>
      <c r="G571" s="1361"/>
      <c r="H571" s="1361"/>
    </row>
    <row r="572" spans="1:8" ht="15.75">
      <c r="A572" s="1362"/>
      <c r="B572" s="1362"/>
      <c r="C572" s="1361"/>
      <c r="D572" s="1361"/>
      <c r="E572" s="1361"/>
      <c r="F572" s="1383"/>
      <c r="G572" s="1361"/>
      <c r="H572" s="1361"/>
    </row>
    <row r="573" spans="1:8" ht="15.75">
      <c r="A573" s="1362"/>
      <c r="B573" s="1362"/>
      <c r="C573" s="1361"/>
      <c r="D573" s="1361"/>
      <c r="E573" s="1361"/>
      <c r="F573" s="1383"/>
      <c r="G573" s="1361"/>
      <c r="H573" s="1361"/>
    </row>
    <row r="574" spans="1:8" ht="15.75">
      <c r="A574" s="1362"/>
      <c r="B574" s="1362"/>
      <c r="C574" s="1361"/>
      <c r="D574" s="1361"/>
      <c r="E574" s="1361"/>
      <c r="F574" s="1383"/>
      <c r="G574" s="1361"/>
      <c r="H574" s="1361"/>
    </row>
    <row r="575" spans="1:8" ht="15.75">
      <c r="A575" s="1362"/>
      <c r="B575" s="1362"/>
      <c r="C575" s="1361"/>
      <c r="D575" s="1361"/>
      <c r="E575" s="1361"/>
      <c r="F575" s="1383"/>
      <c r="G575" s="1361"/>
      <c r="H575" s="1361"/>
    </row>
    <row r="576" spans="1:8" ht="15.75">
      <c r="A576" s="1362"/>
      <c r="B576" s="1362"/>
      <c r="C576" s="1361"/>
      <c r="D576" s="1361"/>
      <c r="E576" s="1361"/>
      <c r="F576" s="1383"/>
      <c r="G576" s="1361"/>
      <c r="H576" s="1361"/>
    </row>
    <row r="577" spans="1:8" ht="15.75">
      <c r="A577" s="1362"/>
      <c r="B577" s="1362"/>
      <c r="C577" s="1361"/>
      <c r="D577" s="1361"/>
      <c r="E577" s="1361"/>
      <c r="F577" s="1383"/>
      <c r="G577" s="1361"/>
      <c r="H577" s="1361"/>
    </row>
    <row r="578" spans="1:8" ht="15.75">
      <c r="A578" s="1362"/>
      <c r="B578" s="1362"/>
      <c r="C578" s="1361"/>
      <c r="D578" s="1361"/>
      <c r="E578" s="1361"/>
      <c r="F578" s="1383"/>
      <c r="G578" s="1361"/>
      <c r="H578" s="1361"/>
    </row>
    <row r="579" spans="1:8" ht="15.75">
      <c r="A579" s="1362"/>
      <c r="B579" s="1362"/>
      <c r="C579" s="1361"/>
      <c r="D579" s="1361"/>
      <c r="E579" s="1361"/>
      <c r="F579" s="1383"/>
      <c r="G579" s="1361"/>
      <c r="H579" s="1361"/>
    </row>
    <row r="580" spans="1:8" ht="15.75">
      <c r="A580" s="1362"/>
      <c r="B580" s="1362"/>
      <c r="C580" s="1361"/>
      <c r="D580" s="1361"/>
      <c r="E580" s="1361"/>
      <c r="F580" s="1383"/>
      <c r="G580" s="1361"/>
      <c r="H580" s="1361"/>
    </row>
    <row r="581" spans="1:8" ht="15.75">
      <c r="A581" s="1362"/>
      <c r="B581" s="1362"/>
      <c r="C581" s="1361"/>
      <c r="D581" s="1361"/>
      <c r="E581" s="1361"/>
      <c r="F581" s="1383"/>
      <c r="G581" s="1361"/>
      <c r="H581" s="1361"/>
    </row>
    <row r="582" spans="1:8" ht="15.75">
      <c r="A582" s="1362"/>
      <c r="B582" s="1362"/>
      <c r="C582" s="1361"/>
      <c r="D582" s="1361"/>
      <c r="E582" s="1361"/>
      <c r="F582" s="1383"/>
      <c r="G582" s="1361"/>
      <c r="H582" s="1361"/>
    </row>
    <row r="583" spans="1:8" ht="15.75">
      <c r="A583" s="1362"/>
      <c r="B583" s="1362"/>
      <c r="C583" s="1361"/>
      <c r="D583" s="1361"/>
      <c r="E583" s="1361"/>
      <c r="F583" s="1383"/>
      <c r="G583" s="1361"/>
      <c r="H583" s="1361"/>
    </row>
    <row r="584" spans="1:8" ht="15.75">
      <c r="A584" s="1362"/>
      <c r="B584" s="1362"/>
      <c r="C584" s="1361"/>
      <c r="D584" s="1361"/>
      <c r="E584" s="1361"/>
      <c r="F584" s="1383"/>
      <c r="G584" s="1361"/>
      <c r="H584" s="1361"/>
    </row>
    <row r="585" spans="1:8" ht="15.75">
      <c r="A585" s="1362"/>
      <c r="B585" s="1362"/>
      <c r="C585" s="1361"/>
      <c r="D585" s="1361"/>
      <c r="E585" s="1361"/>
      <c r="F585" s="1383"/>
      <c r="G585" s="1361"/>
      <c r="H585" s="1361"/>
    </row>
    <row r="586" spans="1:8" ht="15.75">
      <c r="A586" s="1362"/>
      <c r="B586" s="1362"/>
      <c r="C586" s="1361"/>
      <c r="D586" s="1361"/>
      <c r="E586" s="1361"/>
      <c r="F586" s="1383"/>
      <c r="G586" s="1361"/>
      <c r="H586" s="1361"/>
    </row>
    <row r="587" spans="1:8" ht="15.75">
      <c r="A587" s="1362"/>
      <c r="B587" s="1362"/>
      <c r="C587" s="1361"/>
      <c r="D587" s="1361"/>
      <c r="E587" s="1361"/>
      <c r="F587" s="1383"/>
      <c r="G587" s="1361"/>
      <c r="H587" s="1361"/>
    </row>
    <row r="588" spans="1:8" ht="15.75">
      <c r="A588" s="1362"/>
      <c r="B588" s="1362"/>
      <c r="C588" s="1361"/>
      <c r="D588" s="1361"/>
      <c r="E588" s="1361"/>
      <c r="F588" s="1383"/>
      <c r="G588" s="1361"/>
      <c r="H588" s="1361"/>
    </row>
    <row r="589" spans="1:8" ht="15.75">
      <c r="A589" s="1362"/>
      <c r="B589" s="1362"/>
      <c r="C589" s="1361"/>
      <c r="D589" s="1361"/>
      <c r="E589" s="1361"/>
      <c r="F589" s="1383"/>
      <c r="G589" s="1361"/>
      <c r="H589" s="1361"/>
    </row>
    <row r="590" spans="1:8" ht="15.75">
      <c r="A590" s="1362"/>
      <c r="B590" s="1362"/>
      <c r="C590" s="1361"/>
      <c r="D590" s="1361"/>
      <c r="E590" s="1361"/>
      <c r="F590" s="1383"/>
      <c r="G590" s="1361"/>
      <c r="H590" s="1361"/>
    </row>
    <row r="591" spans="1:8" ht="15.75">
      <c r="A591" s="1362"/>
      <c r="B591" s="1362"/>
      <c r="C591" s="1361"/>
      <c r="D591" s="1361"/>
      <c r="E591" s="1361"/>
      <c r="F591" s="1383"/>
      <c r="G591" s="1361"/>
      <c r="H591" s="1361"/>
    </row>
    <row r="592" spans="1:8" ht="15.75">
      <c r="A592" s="1362"/>
      <c r="B592" s="1362"/>
      <c r="C592" s="1361"/>
      <c r="D592" s="1361"/>
      <c r="E592" s="1361"/>
      <c r="F592" s="1383"/>
      <c r="G592" s="1361"/>
      <c r="H592" s="1361"/>
    </row>
    <row r="593" spans="1:8" ht="15.75">
      <c r="A593" s="1362"/>
      <c r="B593" s="1362"/>
      <c r="C593" s="1361"/>
      <c r="D593" s="1361"/>
      <c r="E593" s="1361"/>
      <c r="F593" s="1383"/>
      <c r="G593" s="1361"/>
      <c r="H593" s="1361"/>
    </row>
    <row r="594" spans="1:8" ht="15.75">
      <c r="A594" s="1362"/>
      <c r="B594" s="1362"/>
      <c r="C594" s="1361"/>
      <c r="D594" s="1361"/>
      <c r="E594" s="1361"/>
      <c r="F594" s="1383"/>
      <c r="G594" s="1361"/>
      <c r="H594" s="1361"/>
    </row>
    <row r="595" spans="1:8" ht="15.75">
      <c r="A595" s="1362"/>
      <c r="B595" s="1362"/>
      <c r="C595" s="1361"/>
      <c r="D595" s="1361"/>
      <c r="E595" s="1361"/>
      <c r="F595" s="1383"/>
      <c r="G595" s="1361"/>
      <c r="H595" s="1361"/>
    </row>
    <row r="596" spans="1:8" ht="15.75">
      <c r="A596" s="1362"/>
      <c r="B596" s="1362"/>
      <c r="C596" s="1361"/>
      <c r="D596" s="1361"/>
      <c r="E596" s="1361"/>
      <c r="F596" s="1383"/>
      <c r="G596" s="1361"/>
      <c r="H596" s="1361"/>
    </row>
    <row r="597" spans="1:8" ht="15.75">
      <c r="A597" s="1362"/>
      <c r="B597" s="1362"/>
      <c r="C597" s="1361"/>
      <c r="D597" s="1361"/>
      <c r="E597" s="1361"/>
      <c r="F597" s="1383"/>
      <c r="G597" s="1361"/>
      <c r="H597" s="1361"/>
    </row>
    <row r="598" spans="1:8" ht="15.75">
      <c r="A598" s="1362"/>
      <c r="B598" s="1362"/>
      <c r="C598" s="1361"/>
      <c r="D598" s="1361"/>
      <c r="E598" s="1361"/>
      <c r="F598" s="1383"/>
      <c r="G598" s="1361"/>
      <c r="H598" s="1361"/>
    </row>
    <row r="599" spans="1:8" ht="15.75">
      <c r="A599" s="1362"/>
      <c r="B599" s="1362"/>
      <c r="C599" s="1361"/>
      <c r="D599" s="1361"/>
      <c r="E599" s="1361"/>
      <c r="F599" s="1383"/>
      <c r="G599" s="1361"/>
      <c r="H599" s="1361"/>
    </row>
    <row r="600" spans="1:8" ht="15.75">
      <c r="A600" s="1362"/>
      <c r="B600" s="1362"/>
      <c r="C600" s="1361"/>
      <c r="D600" s="1361"/>
      <c r="E600" s="1361"/>
      <c r="F600" s="1383"/>
      <c r="G600" s="1361"/>
      <c r="H600" s="1361"/>
    </row>
    <row r="601" spans="1:8" ht="15.75">
      <c r="A601" s="1362"/>
      <c r="B601" s="1362"/>
      <c r="C601" s="1361"/>
      <c r="D601" s="1361"/>
      <c r="E601" s="1361"/>
      <c r="F601" s="1383"/>
      <c r="G601" s="1361"/>
      <c r="H601" s="1361"/>
    </row>
    <row r="602" spans="1:8" ht="15.75">
      <c r="A602" s="1362"/>
      <c r="B602" s="1362"/>
      <c r="C602" s="1361"/>
      <c r="D602" s="1361"/>
      <c r="E602" s="1361"/>
      <c r="F602" s="1383"/>
      <c r="G602" s="1361"/>
      <c r="H602" s="1361"/>
    </row>
    <row r="603" spans="1:8" ht="15.75">
      <c r="A603" s="1362"/>
      <c r="B603" s="1362"/>
      <c r="C603" s="1361"/>
      <c r="D603" s="1361"/>
      <c r="E603" s="1361"/>
      <c r="F603" s="1383"/>
      <c r="G603" s="1361"/>
      <c r="H603" s="1361"/>
    </row>
    <row r="604" spans="1:8" ht="15.75">
      <c r="A604" s="1362"/>
      <c r="B604" s="1362"/>
      <c r="C604" s="1361"/>
      <c r="D604" s="1361"/>
      <c r="E604" s="1361"/>
      <c r="F604" s="1383"/>
      <c r="G604" s="1361"/>
      <c r="H604" s="1361"/>
    </row>
    <row r="605" spans="1:8" ht="15.75">
      <c r="A605" s="1362"/>
      <c r="B605" s="1362"/>
      <c r="C605" s="1361"/>
      <c r="D605" s="1361"/>
      <c r="E605" s="1361"/>
      <c r="F605" s="1383"/>
      <c r="G605" s="1361"/>
      <c r="H605" s="1361"/>
    </row>
    <row r="606" spans="1:8" ht="15.75">
      <c r="A606" s="1362"/>
      <c r="B606" s="1362"/>
      <c r="C606" s="1361"/>
      <c r="D606" s="1361"/>
      <c r="E606" s="1361"/>
      <c r="F606" s="1383"/>
      <c r="G606" s="1361"/>
      <c r="H606" s="1361"/>
    </row>
    <row r="607" spans="1:8" ht="15.75">
      <c r="A607" s="1362"/>
      <c r="B607" s="1362"/>
      <c r="C607" s="1361"/>
      <c r="D607" s="1361"/>
      <c r="E607" s="1361"/>
      <c r="F607" s="1383"/>
      <c r="G607" s="1361"/>
      <c r="H607" s="1361"/>
    </row>
    <row r="608" spans="1:8" ht="15.75">
      <c r="A608" s="1362"/>
      <c r="B608" s="1362"/>
      <c r="C608" s="1361"/>
      <c r="D608" s="1361"/>
      <c r="E608" s="1361"/>
      <c r="F608" s="1383"/>
      <c r="G608" s="1361"/>
      <c r="H608" s="1361"/>
    </row>
    <row r="609" spans="1:8" ht="15.75">
      <c r="A609" s="1362"/>
      <c r="B609" s="1362"/>
      <c r="C609" s="1361"/>
      <c r="D609" s="1361"/>
      <c r="E609" s="1361"/>
      <c r="F609" s="1383"/>
      <c r="G609" s="1361"/>
      <c r="H609" s="1361"/>
    </row>
    <row r="610" spans="1:8" ht="15.75">
      <c r="A610" s="1362"/>
      <c r="B610" s="1362"/>
      <c r="C610" s="1361"/>
      <c r="D610" s="1361"/>
      <c r="E610" s="1361"/>
      <c r="F610" s="1383"/>
      <c r="G610" s="1361"/>
      <c r="H610" s="1361"/>
    </row>
    <row r="611" spans="1:8" ht="15.75">
      <c r="A611" s="1362"/>
      <c r="B611" s="1362"/>
      <c r="C611" s="1361"/>
      <c r="D611" s="1361"/>
      <c r="E611" s="1361"/>
      <c r="F611" s="1383"/>
      <c r="G611" s="1361"/>
      <c r="H611" s="1361"/>
    </row>
    <row r="612" spans="1:8" ht="15.75">
      <c r="A612" s="1362"/>
      <c r="B612" s="1362"/>
      <c r="C612" s="1361"/>
      <c r="D612" s="1361"/>
      <c r="E612" s="1361"/>
      <c r="F612" s="1383"/>
      <c r="G612" s="1361"/>
      <c r="H612" s="1361"/>
    </row>
    <row r="613" spans="1:8" ht="15.75">
      <c r="A613" s="1362"/>
      <c r="B613" s="1362"/>
      <c r="C613" s="1361"/>
      <c r="D613" s="1361"/>
      <c r="E613" s="1361"/>
      <c r="F613" s="1383"/>
      <c r="G613" s="1361"/>
      <c r="H613" s="1361"/>
    </row>
    <row r="614" spans="1:8" ht="15.75">
      <c r="A614" s="1362"/>
      <c r="B614" s="1362"/>
      <c r="C614" s="1361"/>
      <c r="D614" s="1361"/>
      <c r="E614" s="1361"/>
      <c r="F614" s="1383"/>
      <c r="G614" s="1361"/>
      <c r="H614" s="1361"/>
    </row>
    <row r="615" spans="1:8" ht="15.75">
      <c r="A615" s="1362"/>
      <c r="B615" s="1362"/>
      <c r="C615" s="1361"/>
      <c r="D615" s="1361"/>
      <c r="E615" s="1361"/>
      <c r="F615" s="1383"/>
      <c r="G615" s="1361"/>
      <c r="H615" s="1361"/>
    </row>
    <row r="616" spans="1:8" ht="15.75">
      <c r="A616" s="1362"/>
      <c r="B616" s="1362"/>
      <c r="C616" s="1361"/>
      <c r="D616" s="1361"/>
      <c r="E616" s="1361"/>
      <c r="F616" s="1383"/>
      <c r="G616" s="1361"/>
      <c r="H616" s="1361"/>
    </row>
    <row r="617" spans="1:8" ht="15.75">
      <c r="A617" s="1362"/>
      <c r="B617" s="1362"/>
      <c r="C617" s="1361"/>
      <c r="D617" s="1361"/>
      <c r="E617" s="1361"/>
      <c r="F617" s="1383"/>
      <c r="G617" s="1361"/>
      <c r="H617" s="1361"/>
    </row>
    <row r="618" spans="1:8" ht="15.75">
      <c r="A618" s="1362"/>
      <c r="B618" s="1362"/>
      <c r="C618" s="1361"/>
      <c r="D618" s="1361"/>
      <c r="E618" s="1361"/>
      <c r="F618" s="1383"/>
      <c r="G618" s="1361"/>
      <c r="H618" s="1361"/>
    </row>
    <row r="619" spans="1:8" ht="15.75">
      <c r="A619" s="1362"/>
      <c r="B619" s="1362"/>
      <c r="C619" s="1361"/>
      <c r="D619" s="1361"/>
      <c r="E619" s="1361"/>
      <c r="F619" s="1383"/>
      <c r="G619" s="1361"/>
      <c r="H619" s="1361"/>
    </row>
    <row r="620" spans="1:8" ht="15.75">
      <c r="A620" s="1362"/>
      <c r="B620" s="1362"/>
      <c r="C620" s="1361"/>
      <c r="D620" s="1361"/>
      <c r="E620" s="1361"/>
      <c r="F620" s="1383"/>
      <c r="G620" s="1361"/>
      <c r="H620" s="1361"/>
    </row>
    <row r="621" spans="1:8" ht="15.75">
      <c r="A621" s="1362"/>
      <c r="B621" s="1362"/>
      <c r="C621" s="1361"/>
      <c r="D621" s="1361"/>
      <c r="E621" s="1361"/>
      <c r="F621" s="1383"/>
      <c r="G621" s="1361"/>
      <c r="H621" s="1361"/>
    </row>
    <row r="622" spans="1:8" ht="15.75">
      <c r="A622" s="1362"/>
      <c r="B622" s="1362"/>
      <c r="C622" s="1361"/>
      <c r="D622" s="1361"/>
      <c r="E622" s="1361"/>
      <c r="F622" s="1383"/>
      <c r="G622" s="1361"/>
      <c r="H622" s="1361"/>
    </row>
    <row r="623" spans="1:8" ht="15.75">
      <c r="A623" s="1362"/>
      <c r="B623" s="1362"/>
      <c r="C623" s="1361"/>
      <c r="D623" s="1361"/>
      <c r="E623" s="1361"/>
      <c r="F623" s="1383"/>
      <c r="G623" s="1361"/>
      <c r="H623" s="1361"/>
    </row>
    <row r="624" spans="1:8" ht="15.75">
      <c r="A624" s="1362"/>
      <c r="B624" s="1362"/>
      <c r="C624" s="1361"/>
      <c r="D624" s="1361"/>
      <c r="E624" s="1361"/>
      <c r="F624" s="1383"/>
      <c r="G624" s="1361"/>
      <c r="H624" s="1361"/>
    </row>
    <row r="625" spans="1:8" ht="15.75">
      <c r="A625" s="1362"/>
      <c r="B625" s="1362"/>
      <c r="C625" s="1361"/>
      <c r="D625" s="1361"/>
      <c r="E625" s="1361"/>
      <c r="F625" s="1383"/>
      <c r="G625" s="1361"/>
      <c r="H625" s="1361"/>
    </row>
    <row r="626" spans="1:8" ht="15.75">
      <c r="A626" s="1362"/>
      <c r="B626" s="1362"/>
      <c r="C626" s="1361"/>
      <c r="D626" s="1361"/>
      <c r="E626" s="1361"/>
      <c r="F626" s="1383"/>
      <c r="G626" s="1361"/>
      <c r="H626" s="1361"/>
    </row>
    <row r="627" spans="1:8" ht="15.75">
      <c r="A627" s="1362"/>
      <c r="B627" s="1362"/>
      <c r="C627" s="1361"/>
      <c r="D627" s="1361"/>
      <c r="E627" s="1361"/>
      <c r="F627" s="1383"/>
      <c r="G627" s="1361"/>
      <c r="H627" s="1361"/>
    </row>
    <row r="628" spans="1:8" ht="15.75">
      <c r="A628" s="1362"/>
      <c r="B628" s="1362"/>
      <c r="C628" s="1361"/>
      <c r="D628" s="1361"/>
      <c r="E628" s="1361"/>
      <c r="F628" s="1383"/>
      <c r="G628" s="1361"/>
      <c r="H628" s="1361"/>
    </row>
    <row r="629" spans="1:8" ht="15.75">
      <c r="A629" s="1362"/>
      <c r="B629" s="1362"/>
      <c r="C629" s="1361"/>
      <c r="D629" s="1361"/>
      <c r="E629" s="1361"/>
      <c r="F629" s="1383"/>
      <c r="G629" s="1361"/>
      <c r="H629" s="1361"/>
    </row>
    <row r="630" spans="1:8" ht="15.75">
      <c r="A630" s="1362"/>
      <c r="B630" s="1362"/>
      <c r="C630" s="1361"/>
      <c r="D630" s="1361"/>
      <c r="E630" s="1361"/>
      <c r="F630" s="1383"/>
      <c r="G630" s="1361"/>
      <c r="H630" s="1361"/>
    </row>
    <row r="631" spans="1:8" ht="15.75">
      <c r="A631" s="1362"/>
      <c r="B631" s="1362"/>
      <c r="C631" s="1361"/>
      <c r="D631" s="1361"/>
      <c r="E631" s="1361"/>
      <c r="F631" s="1383"/>
      <c r="G631" s="1361"/>
      <c r="H631" s="1361"/>
    </row>
    <row r="632" spans="1:8" ht="15.75">
      <c r="A632" s="1362"/>
      <c r="B632" s="1362"/>
      <c r="C632" s="1361"/>
      <c r="D632" s="1361"/>
      <c r="E632" s="1361"/>
      <c r="F632" s="1383"/>
      <c r="G632" s="1361"/>
      <c r="H632" s="1361"/>
    </row>
    <row r="633" spans="1:8" ht="15.75">
      <c r="A633" s="1362"/>
      <c r="B633" s="1362"/>
      <c r="C633" s="1361"/>
      <c r="D633" s="1361"/>
      <c r="E633" s="1361"/>
      <c r="F633" s="1383"/>
      <c r="G633" s="1361"/>
      <c r="H633" s="1361"/>
    </row>
    <row r="634" spans="1:8" ht="15.75">
      <c r="A634" s="1362"/>
      <c r="B634" s="1362"/>
      <c r="C634" s="1361"/>
      <c r="D634" s="1361"/>
      <c r="E634" s="1361"/>
      <c r="F634" s="1383"/>
      <c r="G634" s="1361"/>
      <c r="H634" s="1361"/>
    </row>
    <row r="635" spans="1:8" ht="15.75">
      <c r="A635" s="1362"/>
      <c r="B635" s="1362"/>
      <c r="C635" s="1361"/>
      <c r="D635" s="1361"/>
      <c r="E635" s="1361"/>
      <c r="F635" s="1383"/>
      <c r="G635" s="1361"/>
      <c r="H635" s="1361"/>
    </row>
    <row r="636" spans="1:8" ht="15.75">
      <c r="A636" s="1362"/>
      <c r="B636" s="1362"/>
      <c r="C636" s="1361"/>
      <c r="D636" s="1361"/>
      <c r="E636" s="1361"/>
      <c r="F636" s="1383"/>
      <c r="G636" s="1361"/>
      <c r="H636" s="1361"/>
    </row>
    <row r="637" spans="1:8" ht="15.75">
      <c r="A637" s="1362"/>
      <c r="B637" s="1362"/>
      <c r="C637" s="1361"/>
      <c r="D637" s="1361"/>
      <c r="E637" s="1361"/>
      <c r="F637" s="1383"/>
      <c r="G637" s="1361"/>
      <c r="H637" s="1361"/>
    </row>
    <row r="638" spans="1:8" ht="15.75">
      <c r="A638" s="1362"/>
      <c r="B638" s="1362"/>
      <c r="C638" s="1361"/>
      <c r="D638" s="1361"/>
      <c r="E638" s="1361"/>
      <c r="F638" s="1383"/>
      <c r="G638" s="1361"/>
      <c r="H638" s="1361"/>
    </row>
    <row r="639" spans="1:8" ht="15.75">
      <c r="A639" s="1362"/>
      <c r="B639" s="1362"/>
      <c r="C639" s="1361"/>
      <c r="D639" s="1361"/>
      <c r="E639" s="1361"/>
      <c r="F639" s="1383"/>
      <c r="G639" s="1361"/>
      <c r="H639" s="1361"/>
    </row>
    <row r="640" spans="1:8" ht="15.75">
      <c r="A640" s="1362"/>
      <c r="B640" s="1362"/>
      <c r="C640" s="1361"/>
      <c r="D640" s="1361"/>
      <c r="E640" s="1361"/>
      <c r="F640" s="1383"/>
      <c r="G640" s="1361"/>
      <c r="H640" s="1361"/>
    </row>
    <row r="641" spans="1:8" ht="15.75">
      <c r="A641" s="1362"/>
      <c r="B641" s="1362"/>
      <c r="C641" s="1361"/>
      <c r="D641" s="1361"/>
      <c r="E641" s="1361"/>
      <c r="F641" s="1383"/>
      <c r="G641" s="1361"/>
      <c r="H641" s="1361"/>
    </row>
    <row r="642" spans="1:8" ht="15.75">
      <c r="A642" s="1362"/>
      <c r="B642" s="1362"/>
      <c r="C642" s="1361"/>
      <c r="D642" s="1361"/>
      <c r="E642" s="1361"/>
      <c r="F642" s="1383"/>
      <c r="G642" s="1361"/>
      <c r="H642" s="1361"/>
    </row>
    <row r="643" spans="1:8" ht="15.75">
      <c r="A643" s="1362"/>
      <c r="B643" s="1362"/>
      <c r="C643" s="1361"/>
      <c r="D643" s="1361"/>
      <c r="E643" s="1361"/>
      <c r="F643" s="1383"/>
      <c r="G643" s="1361"/>
      <c r="H643" s="1361"/>
    </row>
    <row r="644" spans="1:8" ht="15.75">
      <c r="A644" s="1362"/>
      <c r="B644" s="1362"/>
      <c r="C644" s="1361"/>
      <c r="D644" s="1361"/>
      <c r="E644" s="1361"/>
      <c r="F644" s="1383"/>
      <c r="G644" s="1361"/>
      <c r="H644" s="1361"/>
    </row>
    <row r="645" spans="1:8" ht="15.75">
      <c r="A645" s="1362"/>
      <c r="B645" s="1362"/>
      <c r="C645" s="1361"/>
      <c r="D645" s="1361"/>
      <c r="E645" s="1361"/>
      <c r="F645" s="1383"/>
      <c r="G645" s="1361"/>
      <c r="H645" s="1361"/>
    </row>
    <row r="646" spans="1:8" ht="15.75">
      <c r="A646" s="1362"/>
      <c r="B646" s="1362"/>
      <c r="C646" s="1361"/>
      <c r="D646" s="1361"/>
      <c r="E646" s="1361"/>
      <c r="F646" s="1383"/>
      <c r="G646" s="1361"/>
      <c r="H646" s="1361"/>
    </row>
    <row r="647" spans="1:8" ht="15.75">
      <c r="A647" s="1362"/>
      <c r="B647" s="1362"/>
      <c r="C647" s="1361"/>
      <c r="D647" s="1361"/>
      <c r="E647" s="1361"/>
      <c r="F647" s="1383"/>
      <c r="G647" s="1361"/>
      <c r="H647" s="1361"/>
    </row>
    <row r="648" spans="1:8" ht="15.75">
      <c r="A648" s="1362"/>
      <c r="B648" s="1362"/>
      <c r="C648" s="1361"/>
      <c r="D648" s="1361"/>
      <c r="E648" s="1361"/>
      <c r="F648" s="1383"/>
      <c r="G648" s="1361"/>
      <c r="H648" s="1361"/>
    </row>
    <row r="649" spans="1:8" ht="15.75">
      <c r="A649" s="1362"/>
      <c r="B649" s="1362"/>
      <c r="C649" s="1361"/>
      <c r="D649" s="1361"/>
      <c r="E649" s="1361"/>
      <c r="F649" s="1383"/>
      <c r="G649" s="1361"/>
      <c r="H649" s="1361"/>
    </row>
    <row r="650" spans="1:8" ht="15.75">
      <c r="A650" s="1362"/>
      <c r="B650" s="1362"/>
      <c r="C650" s="1361"/>
      <c r="D650" s="1361"/>
      <c r="E650" s="1361"/>
      <c r="F650" s="1383"/>
      <c r="G650" s="1361"/>
      <c r="H650" s="1361"/>
    </row>
    <row r="651" spans="1:8" ht="15.75">
      <c r="A651" s="1362"/>
      <c r="B651" s="1362"/>
      <c r="C651" s="1361"/>
      <c r="D651" s="1361"/>
      <c r="E651" s="1361"/>
      <c r="F651" s="1383"/>
      <c r="G651" s="1361"/>
      <c r="H651" s="1361"/>
    </row>
    <row r="652" spans="1:8" ht="15.75">
      <c r="A652" s="1362"/>
      <c r="B652" s="1362"/>
      <c r="C652" s="1361"/>
      <c r="D652" s="1361"/>
      <c r="E652" s="1361"/>
      <c r="F652" s="1383"/>
      <c r="G652" s="1361"/>
      <c r="H652" s="1361"/>
    </row>
    <row r="653" spans="1:8" ht="15.75">
      <c r="A653" s="1362"/>
      <c r="B653" s="1362"/>
      <c r="C653" s="1361"/>
      <c r="D653" s="1361"/>
      <c r="E653" s="1361"/>
      <c r="F653" s="1383"/>
      <c r="G653" s="1361"/>
      <c r="H653" s="1361"/>
    </row>
    <row r="654" spans="1:8" ht="15.75">
      <c r="A654" s="1362"/>
      <c r="B654" s="1362"/>
      <c r="C654" s="1361"/>
      <c r="D654" s="1361"/>
      <c r="E654" s="1361"/>
      <c r="F654" s="1383"/>
      <c r="G654" s="1361"/>
      <c r="H654" s="1361"/>
    </row>
    <row r="655" spans="1:8" ht="15.75">
      <c r="A655" s="1362"/>
      <c r="B655" s="1362"/>
      <c r="C655" s="1361"/>
      <c r="D655" s="1361"/>
      <c r="E655" s="1361"/>
      <c r="F655" s="1383"/>
      <c r="G655" s="1361"/>
      <c r="H655" s="1361"/>
    </row>
    <row r="656" spans="1:8" ht="15.75">
      <c r="A656" s="1362"/>
      <c r="B656" s="1362"/>
      <c r="C656" s="1361"/>
      <c r="D656" s="1361"/>
      <c r="E656" s="1361"/>
      <c r="F656" s="1383"/>
      <c r="G656" s="1361"/>
      <c r="H656" s="1361"/>
    </row>
    <row r="657" spans="1:8" ht="15.75">
      <c r="A657" s="1362"/>
      <c r="B657" s="1362"/>
      <c r="C657" s="1361"/>
      <c r="D657" s="1361"/>
      <c r="E657" s="1361"/>
      <c r="F657" s="1383"/>
      <c r="G657" s="1361"/>
      <c r="H657" s="1361"/>
    </row>
    <row r="658" spans="1:8" ht="15.75">
      <c r="A658" s="1362"/>
      <c r="B658" s="1362"/>
      <c r="C658" s="1361"/>
      <c r="D658" s="1361"/>
      <c r="E658" s="1361"/>
      <c r="F658" s="1383"/>
      <c r="G658" s="1361"/>
      <c r="H658" s="1361"/>
    </row>
    <row r="659" spans="1:8" ht="15.75">
      <c r="A659" s="1362"/>
      <c r="B659" s="1362"/>
      <c r="C659" s="1361"/>
      <c r="D659" s="1361"/>
      <c r="E659" s="1361"/>
      <c r="F659" s="1383"/>
      <c r="G659" s="1361"/>
      <c r="H659" s="1361"/>
    </row>
    <row r="660" spans="1:8" ht="15.75">
      <c r="A660" s="1362"/>
      <c r="B660" s="1362"/>
      <c r="C660" s="1361"/>
      <c r="D660" s="1361"/>
      <c r="E660" s="1361"/>
      <c r="F660" s="1383"/>
      <c r="G660" s="1361"/>
      <c r="H660" s="1361"/>
    </row>
    <row r="661" spans="1:8" ht="15.75">
      <c r="A661" s="1362"/>
      <c r="B661" s="1362"/>
      <c r="C661" s="1361"/>
      <c r="D661" s="1361"/>
      <c r="E661" s="1361"/>
      <c r="F661" s="1383"/>
      <c r="G661" s="1361"/>
      <c r="H661" s="1361"/>
    </row>
    <row r="662" spans="1:8" ht="15.75">
      <c r="A662" s="1362"/>
      <c r="B662" s="1362"/>
      <c r="C662" s="1361"/>
      <c r="D662" s="1361"/>
      <c r="E662" s="1361"/>
      <c r="F662" s="1383"/>
      <c r="G662" s="1361"/>
      <c r="H662" s="1361"/>
    </row>
    <row r="663" spans="1:8" ht="15.75">
      <c r="A663" s="1362"/>
      <c r="B663" s="1362"/>
      <c r="C663" s="1361"/>
      <c r="D663" s="1361"/>
      <c r="E663" s="1361"/>
      <c r="F663" s="1383"/>
      <c r="G663" s="1361"/>
      <c r="H663" s="1361"/>
    </row>
    <row r="664" spans="1:8" ht="15.75">
      <c r="A664" s="1362"/>
      <c r="B664" s="1362"/>
      <c r="C664" s="1361"/>
      <c r="D664" s="1361"/>
      <c r="E664" s="1361"/>
      <c r="F664" s="1383"/>
      <c r="G664" s="1361"/>
      <c r="H664" s="1361"/>
    </row>
    <row r="665" spans="1:8" ht="15.75">
      <c r="A665" s="1362"/>
      <c r="B665" s="1362"/>
      <c r="C665" s="1361"/>
      <c r="D665" s="1361"/>
      <c r="E665" s="1361"/>
      <c r="F665" s="1383"/>
      <c r="G665" s="1361"/>
      <c r="H665" s="1361"/>
    </row>
    <row r="666" spans="1:8" ht="15.75">
      <c r="A666" s="1362"/>
      <c r="B666" s="1362"/>
      <c r="C666" s="1361"/>
      <c r="D666" s="1361"/>
      <c r="E666" s="1361"/>
      <c r="F666" s="1383"/>
      <c r="G666" s="1361"/>
      <c r="H666" s="1361"/>
    </row>
    <row r="667" spans="1:8" ht="15.75">
      <c r="A667" s="1362"/>
      <c r="B667" s="1362"/>
      <c r="C667" s="1361"/>
      <c r="D667" s="1361"/>
      <c r="E667" s="1361"/>
      <c r="F667" s="1383"/>
      <c r="G667" s="1361"/>
      <c r="H667" s="1361"/>
    </row>
    <row r="668" spans="1:8" ht="15.75">
      <c r="A668" s="1362"/>
      <c r="B668" s="1362"/>
      <c r="C668" s="1361"/>
      <c r="D668" s="1361"/>
      <c r="E668" s="1361"/>
      <c r="F668" s="1383"/>
      <c r="G668" s="1361"/>
      <c r="H668" s="1361"/>
    </row>
    <row r="669" spans="1:8" ht="15.75">
      <c r="A669" s="1362"/>
      <c r="B669" s="1362"/>
      <c r="C669" s="1361"/>
      <c r="D669" s="1361"/>
      <c r="E669" s="1361"/>
      <c r="F669" s="1383"/>
      <c r="G669" s="1361"/>
      <c r="H669" s="1361"/>
    </row>
    <row r="670" spans="1:8" ht="15.75">
      <c r="A670" s="1362"/>
      <c r="B670" s="1362"/>
      <c r="C670" s="1361"/>
      <c r="D670" s="1361"/>
      <c r="E670" s="1361"/>
      <c r="F670" s="1383"/>
      <c r="G670" s="1361"/>
      <c r="H670" s="1361"/>
    </row>
    <row r="671" spans="1:8" ht="15.75">
      <c r="A671" s="1362"/>
      <c r="B671" s="1362"/>
      <c r="C671" s="1361"/>
      <c r="D671" s="1361"/>
      <c r="E671" s="1361"/>
      <c r="F671" s="1383"/>
      <c r="G671" s="1361"/>
      <c r="H671" s="1361"/>
    </row>
    <row r="672" spans="1:8" ht="15.75">
      <c r="A672" s="1362"/>
      <c r="B672" s="1362"/>
      <c r="C672" s="1361"/>
      <c r="D672" s="1361"/>
      <c r="E672" s="1361"/>
      <c r="F672" s="1383"/>
      <c r="G672" s="1361"/>
      <c r="H672" s="1361"/>
    </row>
    <row r="673" spans="1:8" ht="15.75">
      <c r="A673" s="1362"/>
      <c r="B673" s="1362"/>
      <c r="C673" s="1361"/>
      <c r="D673" s="1361"/>
      <c r="E673" s="1361"/>
      <c r="F673" s="1383"/>
      <c r="G673" s="1361"/>
      <c r="H673" s="1361"/>
    </row>
    <row r="674" spans="1:8" ht="15.75">
      <c r="A674" s="1362"/>
      <c r="B674" s="1362"/>
      <c r="C674" s="1361"/>
      <c r="D674" s="1361"/>
      <c r="E674" s="1361"/>
      <c r="F674" s="1383"/>
      <c r="G674" s="1361"/>
      <c r="H674" s="1361"/>
    </row>
    <row r="675" spans="1:8" ht="15.75">
      <c r="A675" s="1362"/>
      <c r="B675" s="1362"/>
      <c r="C675" s="1361"/>
      <c r="D675" s="1361"/>
      <c r="E675" s="1361"/>
      <c r="F675" s="1383"/>
      <c r="G675" s="1361"/>
      <c r="H675" s="1361"/>
    </row>
    <row r="676" spans="1:8" ht="15.75">
      <c r="A676" s="1362"/>
      <c r="B676" s="1362"/>
      <c r="C676" s="1361"/>
      <c r="D676" s="1361"/>
      <c r="E676" s="1361"/>
      <c r="F676" s="1383"/>
      <c r="G676" s="1361"/>
      <c r="H676" s="1361"/>
    </row>
    <row r="677" spans="1:8" ht="15.75">
      <c r="A677" s="1362"/>
      <c r="B677" s="1362"/>
      <c r="C677" s="1361"/>
      <c r="D677" s="1361"/>
      <c r="E677" s="1361"/>
      <c r="F677" s="1383"/>
      <c r="G677" s="1361"/>
      <c r="H677" s="1361"/>
    </row>
    <row r="678" spans="1:8" ht="15.75">
      <c r="A678" s="1362"/>
      <c r="B678" s="1362"/>
      <c r="C678" s="1361"/>
      <c r="D678" s="1361"/>
      <c r="E678" s="1361"/>
      <c r="F678" s="1383"/>
      <c r="G678" s="1361"/>
      <c r="H678" s="1361"/>
    </row>
    <row r="679" spans="1:8" ht="15.75">
      <c r="A679" s="1362"/>
      <c r="B679" s="1362"/>
      <c r="C679" s="1361"/>
      <c r="D679" s="1361"/>
      <c r="E679" s="1361"/>
      <c r="F679" s="1383"/>
      <c r="G679" s="1361"/>
      <c r="H679" s="1361"/>
    </row>
    <row r="680" spans="1:8" ht="15.75">
      <c r="A680" s="1362"/>
      <c r="B680" s="1362"/>
      <c r="C680" s="1361"/>
      <c r="D680" s="1361"/>
      <c r="E680" s="1361"/>
      <c r="F680" s="1383"/>
      <c r="G680" s="1361"/>
      <c r="H680" s="1361"/>
    </row>
    <row r="681" spans="1:8" ht="15.75">
      <c r="A681" s="1362"/>
      <c r="B681" s="1362"/>
      <c r="C681" s="1361"/>
      <c r="D681" s="1361"/>
      <c r="E681" s="1361"/>
      <c r="F681" s="1383"/>
      <c r="G681" s="1361"/>
      <c r="H681" s="1361"/>
    </row>
    <row r="682" spans="1:8" ht="15.75">
      <c r="A682" s="1362"/>
      <c r="B682" s="1362"/>
      <c r="C682" s="1361"/>
      <c r="D682" s="1361"/>
      <c r="E682" s="1361"/>
      <c r="F682" s="1383"/>
      <c r="G682" s="1361"/>
      <c r="H682" s="1361"/>
    </row>
    <row r="683" spans="1:8" ht="15.75">
      <c r="A683" s="1362"/>
      <c r="B683" s="1362"/>
      <c r="C683" s="1361"/>
      <c r="D683" s="1361"/>
      <c r="E683" s="1361"/>
      <c r="F683" s="1383"/>
      <c r="G683" s="1361"/>
      <c r="H683" s="1361"/>
    </row>
    <row r="684" spans="1:8" ht="15.75">
      <c r="A684" s="1362"/>
      <c r="B684" s="1362"/>
      <c r="C684" s="1361"/>
      <c r="D684" s="1361"/>
      <c r="E684" s="1361"/>
      <c r="F684" s="1383"/>
      <c r="G684" s="1361"/>
      <c r="H684" s="1361"/>
    </row>
    <row r="685" spans="1:8" ht="15.75">
      <c r="A685" s="1362"/>
      <c r="B685" s="1362"/>
      <c r="C685" s="1361"/>
      <c r="D685" s="1361"/>
      <c r="E685" s="1361"/>
      <c r="F685" s="1383"/>
      <c r="G685" s="1361"/>
      <c r="H685" s="1361"/>
    </row>
    <row r="686" spans="1:8" ht="15.75">
      <c r="A686" s="1362"/>
      <c r="B686" s="1362"/>
      <c r="C686" s="1361"/>
      <c r="D686" s="1361"/>
      <c r="E686" s="1361"/>
      <c r="F686" s="1383"/>
      <c r="G686" s="1361"/>
      <c r="H686" s="1361"/>
    </row>
    <row r="687" spans="1:8" ht="15.75">
      <c r="A687" s="1362"/>
      <c r="B687" s="1362"/>
      <c r="C687" s="1361"/>
      <c r="D687" s="1361"/>
      <c r="E687" s="1361"/>
      <c r="F687" s="1383"/>
      <c r="G687" s="1361"/>
      <c r="H687" s="1361"/>
    </row>
    <row r="688" spans="1:8" ht="15.75">
      <c r="A688" s="1362"/>
      <c r="B688" s="1362"/>
      <c r="C688" s="1361"/>
      <c r="D688" s="1361"/>
      <c r="E688" s="1361"/>
      <c r="F688" s="1383"/>
      <c r="G688" s="1361"/>
      <c r="H688" s="1361"/>
    </row>
    <row r="689" spans="1:8" ht="15.75">
      <c r="A689" s="1362"/>
      <c r="B689" s="1362"/>
      <c r="C689" s="1361"/>
      <c r="D689" s="1361"/>
      <c r="E689" s="1361"/>
      <c r="F689" s="1383"/>
      <c r="G689" s="1361"/>
      <c r="H689" s="1361"/>
    </row>
    <row r="690" spans="1:8" ht="15.75">
      <c r="A690" s="1362"/>
      <c r="B690" s="1362"/>
      <c r="C690" s="1361"/>
      <c r="D690" s="1361"/>
      <c r="E690" s="1361"/>
      <c r="F690" s="1383"/>
      <c r="G690" s="1361"/>
      <c r="H690" s="1361"/>
    </row>
    <row r="691" spans="1:8" ht="15.75">
      <c r="A691" s="1362"/>
      <c r="B691" s="1362"/>
      <c r="C691" s="1361"/>
      <c r="D691" s="1361"/>
      <c r="E691" s="1361"/>
      <c r="F691" s="1383"/>
      <c r="G691" s="1361"/>
      <c r="H691" s="1361"/>
    </row>
    <row r="692" spans="1:8" ht="15.75">
      <c r="A692" s="1362"/>
      <c r="B692" s="1362"/>
      <c r="C692" s="1361"/>
      <c r="D692" s="1361"/>
      <c r="E692" s="1361"/>
      <c r="F692" s="1383"/>
      <c r="G692" s="1361"/>
      <c r="H692" s="1361"/>
    </row>
    <row r="693" spans="1:8" ht="15.75">
      <c r="A693" s="1362"/>
      <c r="B693" s="1362"/>
      <c r="C693" s="1361"/>
      <c r="D693" s="1361"/>
      <c r="E693" s="1361"/>
      <c r="F693" s="1383"/>
      <c r="G693" s="1361"/>
      <c r="H693" s="1361"/>
    </row>
    <row r="694" spans="1:8" ht="15.75">
      <c r="A694" s="1362"/>
      <c r="B694" s="1362"/>
      <c r="C694" s="1361"/>
      <c r="D694" s="1361"/>
      <c r="E694" s="1361"/>
      <c r="F694" s="1383"/>
      <c r="G694" s="1361"/>
      <c r="H694" s="1361"/>
    </row>
    <row r="695" spans="1:8" ht="15.75">
      <c r="A695" s="1362"/>
      <c r="B695" s="1362"/>
      <c r="C695" s="1361"/>
      <c r="D695" s="1361"/>
      <c r="E695" s="1361"/>
      <c r="F695" s="1383"/>
      <c r="G695" s="1361"/>
      <c r="H695" s="1361"/>
    </row>
    <row r="696" spans="1:8" ht="15.75">
      <c r="A696" s="1362"/>
      <c r="B696" s="1362"/>
      <c r="C696" s="1361"/>
      <c r="D696" s="1361"/>
      <c r="E696" s="1361"/>
      <c r="F696" s="1383"/>
      <c r="G696" s="1361"/>
      <c r="H696" s="1361"/>
    </row>
    <row r="697" spans="1:8" ht="15.75">
      <c r="A697" s="1362"/>
      <c r="B697" s="1362"/>
      <c r="C697" s="1361"/>
      <c r="D697" s="1361"/>
      <c r="E697" s="1361"/>
      <c r="F697" s="1383"/>
      <c r="G697" s="1361"/>
      <c r="H697" s="1361"/>
    </row>
    <row r="698" spans="1:8" ht="15.75">
      <c r="A698" s="1362"/>
      <c r="B698" s="1362"/>
      <c r="C698" s="1361"/>
      <c r="D698" s="1361"/>
      <c r="E698" s="1361"/>
      <c r="F698" s="1383"/>
      <c r="G698" s="1361"/>
      <c r="H698" s="1361"/>
    </row>
    <row r="699" spans="1:8" ht="15.75">
      <c r="A699" s="1362"/>
      <c r="B699" s="1362"/>
      <c r="C699" s="1361"/>
      <c r="D699" s="1361"/>
      <c r="E699" s="1361"/>
      <c r="F699" s="1383"/>
      <c r="G699" s="1361"/>
      <c r="H699" s="1361"/>
    </row>
    <row r="700" spans="1:8" ht="15.75">
      <c r="A700" s="1362"/>
      <c r="B700" s="1362"/>
      <c r="C700" s="1361"/>
      <c r="D700" s="1361"/>
      <c r="E700" s="1361"/>
      <c r="F700" s="1383"/>
      <c r="G700" s="1361"/>
      <c r="H700" s="1361"/>
    </row>
    <row r="701" spans="1:8" ht="15.75">
      <c r="A701" s="1362"/>
      <c r="B701" s="1362"/>
      <c r="C701" s="1361"/>
      <c r="D701" s="1361"/>
      <c r="E701" s="1361"/>
      <c r="F701" s="1383"/>
      <c r="G701" s="1361"/>
      <c r="H701" s="1361"/>
    </row>
    <row r="702" spans="1:8" ht="15.75">
      <c r="A702" s="1362"/>
      <c r="B702" s="1362"/>
      <c r="C702" s="1361"/>
      <c r="D702" s="1361"/>
      <c r="E702" s="1361"/>
      <c r="F702" s="1383"/>
      <c r="G702" s="1361"/>
      <c r="H702" s="1361"/>
    </row>
    <row r="703" spans="1:8" ht="15.75">
      <c r="A703" s="1362"/>
      <c r="B703" s="1362"/>
      <c r="C703" s="1361"/>
      <c r="D703" s="1361"/>
      <c r="E703" s="1361"/>
      <c r="F703" s="1383"/>
      <c r="G703" s="1361"/>
      <c r="H703" s="1361"/>
    </row>
    <row r="704" spans="1:8" ht="15.75">
      <c r="A704" s="1362"/>
      <c r="B704" s="1362"/>
      <c r="C704" s="1361"/>
      <c r="D704" s="1361"/>
      <c r="E704" s="1361"/>
      <c r="F704" s="1383"/>
      <c r="G704" s="1361"/>
      <c r="H704" s="1361"/>
    </row>
    <row r="705" spans="1:8" ht="15.75">
      <c r="A705" s="1362"/>
      <c r="B705" s="1362"/>
      <c r="C705" s="1361"/>
      <c r="D705" s="1361"/>
      <c r="E705" s="1361"/>
      <c r="F705" s="1383"/>
      <c r="G705" s="1361"/>
      <c r="H705" s="1361"/>
    </row>
    <row r="706" spans="1:8" ht="15.75">
      <c r="A706" s="1362"/>
      <c r="B706" s="1362"/>
      <c r="C706" s="1361"/>
      <c r="D706" s="1361"/>
      <c r="E706" s="1361"/>
      <c r="F706" s="1383"/>
      <c r="G706" s="1361"/>
      <c r="H706" s="1361"/>
    </row>
    <row r="707" spans="1:8" ht="15.75">
      <c r="A707" s="1362"/>
      <c r="B707" s="1362"/>
      <c r="C707" s="1361"/>
      <c r="D707" s="1361"/>
      <c r="E707" s="1361"/>
      <c r="F707" s="1383"/>
      <c r="G707" s="1361"/>
      <c r="H707" s="1361"/>
    </row>
    <row r="708" spans="1:8" ht="15.75">
      <c r="A708" s="1362"/>
      <c r="B708" s="1362"/>
      <c r="C708" s="1361"/>
      <c r="D708" s="1361"/>
      <c r="E708" s="1361"/>
      <c r="F708" s="1383"/>
      <c r="G708" s="1361"/>
      <c r="H708" s="1361"/>
    </row>
    <row r="709" spans="1:8" ht="15.75">
      <c r="A709" s="1362"/>
      <c r="B709" s="1362"/>
      <c r="C709" s="1361"/>
      <c r="D709" s="1361"/>
      <c r="E709" s="1361"/>
      <c r="F709" s="1383"/>
      <c r="G709" s="1361"/>
      <c r="H709" s="1361"/>
    </row>
    <row r="710" spans="1:8" ht="15.75">
      <c r="A710" s="1362"/>
      <c r="B710" s="1362"/>
      <c r="C710" s="1361"/>
      <c r="D710" s="1361"/>
      <c r="E710" s="1361"/>
      <c r="F710" s="1383"/>
      <c r="G710" s="1361"/>
      <c r="H710" s="1361"/>
    </row>
    <row r="711" spans="1:8" ht="15.75">
      <c r="A711" s="1362"/>
      <c r="B711" s="1362"/>
      <c r="C711" s="1361"/>
      <c r="D711" s="1361"/>
      <c r="E711" s="1361"/>
      <c r="F711" s="1383"/>
      <c r="G711" s="1361"/>
      <c r="H711" s="1361"/>
    </row>
    <row r="712" spans="1:8" ht="15.75">
      <c r="A712" s="1362"/>
      <c r="B712" s="1362"/>
      <c r="C712" s="1361"/>
      <c r="D712" s="1361"/>
      <c r="E712" s="1361"/>
      <c r="F712" s="1383"/>
      <c r="G712" s="1361"/>
      <c r="H712" s="1361"/>
    </row>
    <row r="713" spans="1:8" ht="15.75">
      <c r="A713" s="1362"/>
      <c r="B713" s="1362"/>
      <c r="C713" s="1361"/>
      <c r="D713" s="1361"/>
      <c r="E713" s="1361"/>
      <c r="F713" s="1383"/>
      <c r="G713" s="1361"/>
      <c r="H713" s="1361"/>
    </row>
    <row r="714" spans="1:8" ht="15.75">
      <c r="A714" s="1362"/>
      <c r="B714" s="1362"/>
      <c r="C714" s="1361"/>
      <c r="D714" s="1361"/>
      <c r="E714" s="1361"/>
      <c r="F714" s="1383"/>
      <c r="G714" s="1361"/>
      <c r="H714" s="1361"/>
    </row>
    <row r="715" spans="1:8" ht="15.75">
      <c r="A715" s="1362"/>
      <c r="B715" s="1362"/>
      <c r="C715" s="1361"/>
      <c r="D715" s="1361"/>
      <c r="E715" s="1361"/>
      <c r="F715" s="1383"/>
      <c r="G715" s="1361"/>
      <c r="H715" s="1361"/>
    </row>
    <row r="716" spans="1:8" ht="15.75">
      <c r="A716" s="1362"/>
      <c r="B716" s="1362"/>
      <c r="C716" s="1361"/>
      <c r="D716" s="1361"/>
      <c r="E716" s="1361"/>
      <c r="F716" s="1383"/>
      <c r="G716" s="1361"/>
      <c r="H716" s="1361"/>
    </row>
    <row r="717" spans="1:8" ht="15.75">
      <c r="A717" s="1362"/>
      <c r="B717" s="1362"/>
      <c r="C717" s="1361"/>
      <c r="D717" s="1361"/>
      <c r="E717" s="1361"/>
      <c r="F717" s="1383"/>
      <c r="G717" s="1361"/>
      <c r="H717" s="1361"/>
    </row>
    <row r="718" spans="1:8" ht="15.75">
      <c r="A718" s="1362"/>
      <c r="B718" s="1362"/>
      <c r="C718" s="1361"/>
      <c r="D718" s="1361"/>
      <c r="E718" s="1361"/>
      <c r="F718" s="1383"/>
      <c r="G718" s="1361"/>
      <c r="H718" s="1361"/>
    </row>
    <row r="719" spans="1:8" ht="15.75">
      <c r="A719" s="1362"/>
      <c r="B719" s="1362"/>
      <c r="C719" s="1361"/>
      <c r="D719" s="1361"/>
      <c r="E719" s="1361"/>
      <c r="F719" s="1383"/>
      <c r="G719" s="1361"/>
      <c r="H719" s="1361"/>
    </row>
    <row r="720" spans="1:8" ht="15.75">
      <c r="A720" s="1362"/>
      <c r="B720" s="1362"/>
      <c r="C720" s="1361"/>
      <c r="D720" s="1361"/>
      <c r="E720" s="1361"/>
      <c r="F720" s="1383"/>
      <c r="G720" s="1361"/>
      <c r="H720" s="1361"/>
    </row>
    <row r="721" spans="1:21" ht="15.75">
      <c r="A721" s="1384"/>
      <c r="B721" s="1384"/>
      <c r="C721" s="1385"/>
      <c r="D721" s="1385"/>
      <c r="E721" s="1385"/>
      <c r="F721" s="1386"/>
      <c r="G721" s="1385"/>
      <c r="H721" s="1385"/>
      <c r="I721" s="1385"/>
      <c r="J721" s="1385"/>
      <c r="K721" s="1385"/>
      <c r="L721" s="1385"/>
      <c r="M721" s="1385"/>
      <c r="N721" s="1385"/>
      <c r="O721" s="1385"/>
      <c r="P721" s="1385"/>
      <c r="Q721" s="1385"/>
      <c r="R721" s="1385"/>
      <c r="S721" s="1385"/>
      <c r="T721" s="1385"/>
      <c r="U721" s="1385"/>
    </row>
    <row r="722" spans="1:21">
      <c r="A722" s="71"/>
      <c r="B722" s="71"/>
      <c r="C722" s="1362"/>
      <c r="D722" s="1362"/>
      <c r="E722" s="1362"/>
      <c r="F722" s="71"/>
      <c r="G722" s="71"/>
      <c r="H722" s="71"/>
      <c r="I722" s="1362"/>
      <c r="J722" s="1362"/>
      <c r="K722" s="1362"/>
      <c r="L722" s="1362"/>
      <c r="M722" s="1362"/>
      <c r="N722" s="1362"/>
      <c r="O722" s="1362"/>
      <c r="P722" s="1362"/>
      <c r="Q722" s="1362"/>
      <c r="R722" s="1362"/>
      <c r="S722" s="1362"/>
      <c r="T722" s="1362"/>
      <c r="U722" s="1362"/>
    </row>
    <row r="723" spans="1:21" ht="15.75">
      <c r="F723" s="1032"/>
    </row>
  </sheetData>
  <autoFilter ref="F2:F75" xr:uid="{B7B75C4F-EC28-4858-A90C-F549D12381F6}"/>
  <sortState xmlns:xlrd2="http://schemas.microsoft.com/office/spreadsheetml/2017/richdata2" ref="A3:M74">
    <sortCondition ref="F3:F74"/>
  </sortState>
  <conditionalFormatting sqref="A5 A7:A30">
    <cfRule type="duplicateValues" dxfId="52" priority="17"/>
  </conditionalFormatting>
  <conditionalFormatting sqref="A2:A4">
    <cfRule type="duplicateValues" dxfId="51" priority="14"/>
  </conditionalFormatting>
  <conditionalFormatting sqref="A6">
    <cfRule type="duplicateValues" dxfId="50" priority="13"/>
  </conditionalFormatting>
  <conditionalFormatting sqref="A44">
    <cfRule type="duplicateValues" dxfId="49" priority="10"/>
  </conditionalFormatting>
  <conditionalFormatting sqref="A49">
    <cfRule type="duplicateValues" dxfId="48" priority="9"/>
  </conditionalFormatting>
  <conditionalFormatting sqref="A55">
    <cfRule type="duplicateValues" dxfId="47" priority="8"/>
  </conditionalFormatting>
  <conditionalFormatting sqref="A68">
    <cfRule type="duplicateValues" dxfId="46" priority="7"/>
  </conditionalFormatting>
  <conditionalFormatting sqref="A124">
    <cfRule type="duplicateValues" dxfId="45" priority="6"/>
  </conditionalFormatting>
  <conditionalFormatting sqref="A31:A43">
    <cfRule type="duplicateValues" dxfId="44" priority="5"/>
  </conditionalFormatting>
  <conditionalFormatting sqref="A45:A48">
    <cfRule type="duplicateValues" dxfId="43" priority="4"/>
  </conditionalFormatting>
  <conditionalFormatting sqref="A50:A54">
    <cfRule type="duplicateValues" dxfId="42" priority="3"/>
  </conditionalFormatting>
  <conditionalFormatting sqref="A56:A67">
    <cfRule type="duplicateValues" dxfId="41" priority="2"/>
  </conditionalFormatting>
  <conditionalFormatting sqref="A69:A122">
    <cfRule type="duplicateValues" dxfId="40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BDCAC-AB66-44F6-A33E-B3D1BEED5653}">
  <sheetPr codeName="Sheet49">
    <tabColor rgb="FFFF0000"/>
    <pageSetUpPr fitToPage="1"/>
  </sheetPr>
  <dimension ref="A1:AE3632"/>
  <sheetViews>
    <sheetView zoomScaleNormal="100" workbookViewId="0">
      <pane ySplit="10" topLeftCell="A3586" activePane="bottomLeft" state="frozen"/>
      <selection activeCell="I1087" sqref="I1087:J1087"/>
      <selection pane="bottomLeft" activeCell="E3596" sqref="E3596"/>
    </sheetView>
  </sheetViews>
  <sheetFormatPr defaultRowHeight="15"/>
  <cols>
    <col min="1" max="1" width="3.5703125" style="41" customWidth="1"/>
    <col min="2" max="2" width="10.7109375" style="41" customWidth="1"/>
    <col min="3" max="3" width="7.85546875" style="2" customWidth="1"/>
    <col min="4" max="4" width="20.42578125" style="2" customWidth="1"/>
    <col min="5" max="5" width="48" style="2" customWidth="1"/>
    <col min="6" max="6" width="11.85546875" style="2" bestFit="1" customWidth="1"/>
    <col min="7" max="7" width="13.7109375" style="2" customWidth="1"/>
    <col min="8" max="8" width="12.140625" style="565" bestFit="1" customWidth="1"/>
    <col min="9" max="9" width="10.5703125" style="565" bestFit="1" customWidth="1"/>
    <col min="10" max="10" width="10.42578125" style="565" bestFit="1" customWidth="1"/>
    <col min="11" max="11" width="9.140625" style="565" bestFit="1" customWidth="1"/>
    <col min="12" max="12" width="11" style="565" customWidth="1"/>
    <col min="13" max="13" width="10.42578125" style="565" customWidth="1"/>
    <col min="14" max="14" width="9.5703125" style="600" bestFit="1" customWidth="1"/>
    <col min="15" max="15" width="5.28515625" style="2" customWidth="1"/>
    <col min="16" max="16" width="9" style="637" bestFit="1" customWidth="1"/>
    <col min="17" max="17" width="8.7109375" style="2" bestFit="1" customWidth="1"/>
    <col min="18" max="18" width="13.85546875" style="610" customWidth="1"/>
    <col min="19" max="19" width="15.28515625" style="2" customWidth="1"/>
    <col min="20" max="20" width="2.85546875" style="2" customWidth="1"/>
    <col min="21" max="21" width="5" style="2" customWidth="1"/>
    <col min="22" max="22" width="18.140625" style="2" customWidth="1"/>
    <col min="23" max="23" width="16.5703125" style="2" bestFit="1" customWidth="1"/>
    <col min="24" max="16384" width="9.140625" style="2"/>
  </cols>
  <sheetData>
    <row r="1" spans="1:24" ht="15.75" customHeight="1" thickTop="1" thickBot="1">
      <c r="A1" s="1764" t="s">
        <v>2843</v>
      </c>
      <c r="B1" s="1764"/>
      <c r="C1" s="1764"/>
      <c r="D1" s="1764"/>
      <c r="E1" s="1073"/>
      <c r="F1" s="1073"/>
      <c r="G1" s="1073"/>
      <c r="H1" s="873"/>
      <c r="I1" s="873"/>
      <c r="J1" s="873"/>
      <c r="K1" s="873"/>
      <c r="L1" s="873"/>
      <c r="M1" s="873"/>
      <c r="N1" s="872"/>
      <c r="O1" s="872"/>
      <c r="P1" s="1766">
        <f>SUM(F11:F10049)</f>
        <v>22509401.052549988</v>
      </c>
      <c r="Q1" s="1767"/>
      <c r="R1" s="638">
        <v>1022</v>
      </c>
      <c r="S1" s="639" t="s">
        <v>1530</v>
      </c>
      <c r="T1" s="869"/>
      <c r="U1" s="640">
        <v>4000</v>
      </c>
      <c r="V1" s="641" t="s">
        <v>74</v>
      </c>
      <c r="W1" s="869"/>
      <c r="X1" s="869"/>
    </row>
    <row r="2" spans="1:24" ht="15" customHeight="1" thickTop="1" thickBot="1">
      <c r="A2" s="1765"/>
      <c r="B2" s="1765"/>
      <c r="C2" s="1765"/>
      <c r="D2" s="1765"/>
      <c r="E2" s="1074"/>
      <c r="F2" s="1074"/>
      <c r="G2" s="1074"/>
      <c r="H2" s="875"/>
      <c r="I2" s="875"/>
      <c r="J2" s="875"/>
      <c r="K2" s="875"/>
      <c r="L2" s="875"/>
      <c r="M2" s="875"/>
      <c r="N2" s="874"/>
      <c r="O2" s="874"/>
      <c r="P2" s="1766">
        <f>SUM(G11:G10049)</f>
        <v>22509719.682550009</v>
      </c>
      <c r="Q2" s="1767"/>
      <c r="R2" s="638">
        <v>1025</v>
      </c>
      <c r="S2" s="639" t="s">
        <v>1531</v>
      </c>
      <c r="T2" s="869"/>
      <c r="U2" s="640">
        <v>4010</v>
      </c>
      <c r="V2" s="641" t="s">
        <v>75</v>
      </c>
      <c r="W2" s="869"/>
      <c r="X2" s="869"/>
    </row>
    <row r="3" spans="1:24" ht="16.5" thickTop="1" thickBot="1">
      <c r="A3" s="1076"/>
      <c r="B3" s="1076"/>
      <c r="C3" s="1083"/>
      <c r="D3" s="1076"/>
      <c r="E3" s="1076"/>
      <c r="F3" s="1084"/>
      <c r="G3" s="1084"/>
      <c r="H3" s="1042"/>
      <c r="I3" s="1042"/>
      <c r="J3" s="1150"/>
      <c r="K3" s="1150"/>
      <c r="L3" s="1150"/>
      <c r="M3" s="1768" t="s">
        <v>2904</v>
      </c>
      <c r="N3" s="1768"/>
      <c r="O3" s="1768"/>
      <c r="P3" s="1766">
        <f>P1-P2</f>
        <v>-318.63000002130866</v>
      </c>
      <c r="Q3" s="1767"/>
      <c r="R3" s="638">
        <v>1017</v>
      </c>
      <c r="S3" s="639" t="s">
        <v>1532</v>
      </c>
      <c r="T3" s="869"/>
      <c r="U3" s="640">
        <v>4200</v>
      </c>
      <c r="V3" s="641" t="s">
        <v>77</v>
      </c>
      <c r="W3" s="869"/>
      <c r="X3" s="869"/>
    </row>
    <row r="4" spans="1:24" ht="23.25" customHeight="1" thickTop="1" thickBot="1">
      <c r="A4" s="1085"/>
      <c r="B4" s="1085"/>
      <c r="C4" s="1094">
        <v>6007</v>
      </c>
      <c r="D4" s="1095" t="s">
        <v>98</v>
      </c>
      <c r="E4" s="1077"/>
      <c r="F4" s="1097" t="s">
        <v>4818</v>
      </c>
      <c r="G4" s="1092">
        <v>45291</v>
      </c>
      <c r="H4" s="878"/>
      <c r="I4" s="1098" t="s">
        <v>5437</v>
      </c>
      <c r="J4" s="1151"/>
      <c r="K4" s="1150"/>
      <c r="L4" s="1150"/>
      <c r="M4" s="1150"/>
      <c r="N4" s="867"/>
      <c r="O4" s="1072"/>
      <c r="P4" s="1072"/>
      <c r="Q4" s="1072"/>
      <c r="R4" s="638">
        <v>1011</v>
      </c>
      <c r="S4" s="639" t="s">
        <v>34</v>
      </c>
      <c r="T4" s="869"/>
      <c r="U4" s="640">
        <v>5100</v>
      </c>
      <c r="V4" s="639" t="s">
        <v>81</v>
      </c>
      <c r="W4" s="869"/>
      <c r="X4" s="869"/>
    </row>
    <row r="5" spans="1:24" ht="18.75" customHeight="1" thickTop="1">
      <c r="A5" s="1086"/>
      <c r="B5" s="1086"/>
      <c r="C5" s="1075"/>
      <c r="D5" s="1076"/>
      <c r="E5" s="1077"/>
      <c r="F5" s="1089" t="s">
        <v>4819</v>
      </c>
      <c r="G5" s="1093">
        <v>45658</v>
      </c>
      <c r="H5" s="878"/>
      <c r="I5" s="1098" t="s">
        <v>4859</v>
      </c>
      <c r="J5" s="1151"/>
      <c r="K5" s="1150"/>
      <c r="L5" s="1150"/>
      <c r="M5" s="1150"/>
      <c r="N5" s="867"/>
      <c r="O5" s="1072"/>
      <c r="P5" s="1072"/>
      <c r="Q5" s="1072"/>
      <c r="R5" s="638">
        <v>1018</v>
      </c>
      <c r="S5" s="639" t="s">
        <v>39</v>
      </c>
      <c r="T5" s="869"/>
      <c r="U5" s="640">
        <v>5150</v>
      </c>
      <c r="V5" s="639" t="s">
        <v>82</v>
      </c>
      <c r="W5" s="869"/>
      <c r="X5" s="869"/>
    </row>
    <row r="6" spans="1:24" ht="18.75" customHeight="1">
      <c r="A6" s="1087"/>
      <c r="B6" s="1087"/>
      <c r="C6" s="1078" t="s">
        <v>1536</v>
      </c>
      <c r="D6" s="1090">
        <v>11064.38</v>
      </c>
      <c r="E6" s="1079"/>
      <c r="F6" s="1080"/>
      <c r="G6" s="1088"/>
      <c r="H6" s="952"/>
      <c r="I6" s="1151"/>
      <c r="J6" s="1151"/>
      <c r="K6" s="1150"/>
      <c r="L6" s="1150"/>
      <c r="M6" s="1150"/>
      <c r="N6" s="867"/>
      <c r="O6" s="1072"/>
      <c r="P6" s="1072"/>
      <c r="Q6" s="1072"/>
      <c r="R6" s="638">
        <v>1100</v>
      </c>
      <c r="S6" s="639" t="s">
        <v>46</v>
      </c>
      <c r="T6" s="869"/>
      <c r="U6" s="640">
        <v>5200</v>
      </c>
      <c r="V6" s="639" t="s">
        <v>83</v>
      </c>
      <c r="W6" s="869"/>
      <c r="X6" s="869"/>
    </row>
    <row r="7" spans="1:24" ht="18.75" customHeight="1" thickBot="1">
      <c r="A7" s="1076"/>
      <c r="B7" s="1076"/>
      <c r="C7" s="1081" t="s">
        <v>1537</v>
      </c>
      <c r="D7" s="1091">
        <v>0</v>
      </c>
      <c r="E7" s="1079"/>
      <c r="F7" s="1080"/>
      <c r="G7" s="1080"/>
      <c r="H7" s="953"/>
      <c r="I7" s="1150"/>
      <c r="J7" s="1152"/>
      <c r="K7" s="1152"/>
      <c r="L7" s="1152"/>
      <c r="M7" s="1152"/>
      <c r="N7" s="870"/>
      <c r="O7" s="868"/>
      <c r="P7" s="868"/>
      <c r="Q7" s="868"/>
      <c r="R7" s="638">
        <v>555</v>
      </c>
      <c r="S7" s="639" t="s">
        <v>1545</v>
      </c>
      <c r="T7" s="869"/>
      <c r="U7" s="640">
        <v>999</v>
      </c>
      <c r="V7" s="639" t="s">
        <v>1845</v>
      </c>
      <c r="W7" s="869"/>
      <c r="X7" s="869"/>
    </row>
    <row r="8" spans="1:24" ht="27" customHeight="1" thickTop="1" thickBot="1">
      <c r="A8" s="1076"/>
      <c r="B8" s="1076"/>
      <c r="C8" s="1096" t="s">
        <v>2</v>
      </c>
      <c r="D8" s="1144">
        <v>11064.38</v>
      </c>
      <c r="E8" s="1080"/>
      <c r="F8" s="1080"/>
      <c r="G8" s="1080">
        <f>F9-G9</f>
        <v>-318.63000002130866</v>
      </c>
      <c r="H8" s="953"/>
      <c r="I8" s="1150"/>
      <c r="J8" s="953"/>
      <c r="K8" s="1150"/>
      <c r="L8" s="1150"/>
      <c r="M8" s="1150"/>
      <c r="N8" s="867"/>
      <c r="O8" s="682"/>
      <c r="P8" s="682"/>
      <c r="Q8" s="682"/>
      <c r="R8" s="638">
        <v>1010</v>
      </c>
      <c r="S8" s="639" t="s">
        <v>1611</v>
      </c>
      <c r="T8" s="869"/>
      <c r="U8" s="640">
        <v>2000</v>
      </c>
      <c r="V8" s="639" t="s">
        <v>57</v>
      </c>
      <c r="W8" s="869"/>
      <c r="X8" s="869"/>
    </row>
    <row r="9" spans="1:24" ht="15.75" thickTop="1">
      <c r="A9" s="1076"/>
      <c r="B9" s="1076"/>
      <c r="C9" s="1083"/>
      <c r="D9" s="1076"/>
      <c r="E9" s="1076"/>
      <c r="F9" s="1080">
        <f>SUM(F11:F5035)</f>
        <v>22509401.052549988</v>
      </c>
      <c r="G9" s="1080">
        <f>SUM(G11:G5035)</f>
        <v>22509719.682550009</v>
      </c>
      <c r="H9" s="871"/>
      <c r="I9" s="1150"/>
      <c r="J9" s="1150"/>
      <c r="K9" s="1150"/>
      <c r="L9" s="1150"/>
      <c r="M9" s="1153"/>
      <c r="N9" s="867"/>
      <c r="O9" s="682"/>
      <c r="P9" s="682"/>
      <c r="Q9" s="682"/>
      <c r="R9" s="638">
        <v>1020</v>
      </c>
      <c r="S9" s="639" t="s">
        <v>1824</v>
      </c>
      <c r="T9" s="869"/>
      <c r="U9" s="640">
        <v>222</v>
      </c>
      <c r="V9" s="639" t="s">
        <v>1546</v>
      </c>
      <c r="W9" s="869"/>
      <c r="X9" s="869"/>
    </row>
    <row r="10" spans="1:24" ht="34.5" customHeight="1">
      <c r="A10" s="876" t="s">
        <v>2844</v>
      </c>
      <c r="B10" s="1082" t="s">
        <v>4</v>
      </c>
      <c r="C10" s="1082" t="s">
        <v>359</v>
      </c>
      <c r="D10" s="1082" t="s">
        <v>1130</v>
      </c>
      <c r="E10" s="1082" t="s">
        <v>1129</v>
      </c>
      <c r="F10" s="1082" t="s">
        <v>1536</v>
      </c>
      <c r="G10" s="1082" t="s">
        <v>1537</v>
      </c>
      <c r="H10" s="876" t="s">
        <v>1538</v>
      </c>
      <c r="I10" s="876" t="s">
        <v>1131</v>
      </c>
      <c r="J10" s="876" t="s">
        <v>1132</v>
      </c>
      <c r="K10" s="876" t="s">
        <v>1539</v>
      </c>
      <c r="L10" s="876" t="s">
        <v>1582</v>
      </c>
      <c r="M10" s="876" t="s">
        <v>254</v>
      </c>
      <c r="N10" s="877" t="s">
        <v>7</v>
      </c>
      <c r="O10" s="876" t="s">
        <v>1583</v>
      </c>
      <c r="P10" s="876" t="s">
        <v>1778</v>
      </c>
      <c r="Q10" s="869"/>
      <c r="R10" s="1098" t="s">
        <v>4860</v>
      </c>
      <c r="S10" s="1098"/>
      <c r="T10" s="1098"/>
      <c r="U10" s="1098" t="s">
        <v>4859</v>
      </c>
      <c r="V10" s="1098"/>
      <c r="W10" s="869"/>
      <c r="X10" s="869"/>
    </row>
    <row r="11" spans="1:24">
      <c r="A11" s="1045">
        <f t="shared" ref="A11:A74" si="0">IF(B11="","",MONTH(B11))</f>
        <v>12</v>
      </c>
      <c r="B11" s="1044">
        <v>45291</v>
      </c>
      <c r="C11" s="1043">
        <v>1017</v>
      </c>
      <c r="D11" s="1043" t="s">
        <v>5118</v>
      </c>
      <c r="E11" s="1043" t="s">
        <v>5192</v>
      </c>
      <c r="F11" s="1639">
        <v>6970.11</v>
      </c>
      <c r="G11" s="1639"/>
      <c r="H11" s="563"/>
      <c r="I11" s="609"/>
      <c r="J11" s="609"/>
      <c r="K11" s="609"/>
      <c r="L11" s="609"/>
      <c r="M11" s="609"/>
      <c r="N11" s="599"/>
      <c r="O11" s="552" t="s">
        <v>1584</v>
      </c>
      <c r="P11" s="603"/>
      <c r="Q11" s="869"/>
      <c r="R11" s="869"/>
      <c r="S11" s="869"/>
      <c r="T11" s="869"/>
      <c r="U11" s="869"/>
      <c r="V11" s="869"/>
      <c r="W11" s="869"/>
      <c r="X11" s="869"/>
    </row>
    <row r="12" spans="1:24">
      <c r="A12" s="1045">
        <f t="shared" si="0"/>
        <v>12</v>
      </c>
      <c r="B12" s="1044">
        <v>45291</v>
      </c>
      <c r="C12" s="1043">
        <v>1018</v>
      </c>
      <c r="D12" s="1043" t="s">
        <v>5113</v>
      </c>
      <c r="E12" s="1043" t="s">
        <v>5192</v>
      </c>
      <c r="F12" s="1639">
        <v>2069.85</v>
      </c>
      <c r="G12" s="1639"/>
      <c r="H12" s="563"/>
      <c r="I12" s="609"/>
      <c r="J12" s="609"/>
      <c r="K12" s="609"/>
      <c r="L12" s="609"/>
      <c r="M12" s="609"/>
      <c r="N12" s="599"/>
      <c r="O12" s="552" t="s">
        <v>1584</v>
      </c>
      <c r="P12" s="603"/>
      <c r="Q12" s="869"/>
      <c r="R12" s="869"/>
      <c r="S12" s="869"/>
      <c r="T12" s="869"/>
      <c r="U12" s="869"/>
      <c r="V12" s="869"/>
      <c r="W12" s="869"/>
      <c r="X12" s="869"/>
    </row>
    <row r="13" spans="1:24">
      <c r="A13" s="1045">
        <f t="shared" si="0"/>
        <v>12</v>
      </c>
      <c r="B13" s="1044">
        <v>45291</v>
      </c>
      <c r="C13" s="1043">
        <v>1020</v>
      </c>
      <c r="D13" s="1043" t="s">
        <v>41</v>
      </c>
      <c r="E13" s="1043" t="s">
        <v>5192</v>
      </c>
      <c r="F13" s="1639">
        <v>7393.15</v>
      </c>
      <c r="G13" s="1639"/>
      <c r="H13" s="563"/>
      <c r="I13" s="609"/>
      <c r="J13" s="609"/>
      <c r="K13" s="609"/>
      <c r="L13" s="609"/>
      <c r="M13" s="609"/>
      <c r="N13" s="599"/>
      <c r="O13" s="552" t="s">
        <v>1584</v>
      </c>
      <c r="P13" s="603"/>
      <c r="Q13" s="869"/>
      <c r="R13" s="869"/>
      <c r="S13" s="869"/>
      <c r="T13" s="869"/>
      <c r="U13" s="869"/>
      <c r="V13" s="869"/>
      <c r="W13" s="869"/>
      <c r="X13" s="869"/>
    </row>
    <row r="14" spans="1:24">
      <c r="A14" s="1045">
        <f t="shared" si="0"/>
        <v>12</v>
      </c>
      <c r="B14" s="1044">
        <v>45291</v>
      </c>
      <c r="C14" s="1043">
        <v>1021</v>
      </c>
      <c r="D14" s="1043" t="s">
        <v>42</v>
      </c>
      <c r="E14" s="1043" t="s">
        <v>5192</v>
      </c>
      <c r="F14" s="1639">
        <v>46010.75</v>
      </c>
      <c r="G14" s="1639"/>
      <c r="H14" s="563"/>
      <c r="I14" s="609"/>
      <c r="J14" s="609"/>
      <c r="K14" s="609"/>
      <c r="L14" s="609"/>
      <c r="M14" s="609"/>
      <c r="N14" s="599"/>
      <c r="O14" s="552" t="s">
        <v>1584</v>
      </c>
      <c r="P14" s="603"/>
      <c r="Q14" s="869"/>
      <c r="R14" s="869"/>
      <c r="S14" s="869"/>
      <c r="T14" s="869"/>
      <c r="U14" s="869"/>
      <c r="V14" s="869"/>
      <c r="W14" s="869"/>
      <c r="X14" s="869"/>
    </row>
    <row r="15" spans="1:24">
      <c r="A15" s="1045">
        <f t="shared" si="0"/>
        <v>12</v>
      </c>
      <c r="B15" s="1044">
        <v>45291</v>
      </c>
      <c r="C15" s="1043">
        <v>1022</v>
      </c>
      <c r="D15" s="1043" t="s">
        <v>5119</v>
      </c>
      <c r="E15" s="1043" t="s">
        <v>5192</v>
      </c>
      <c r="F15" s="1639">
        <v>737562.79</v>
      </c>
      <c r="G15" s="1639"/>
      <c r="H15" s="563"/>
      <c r="I15" s="609"/>
      <c r="J15" s="609"/>
      <c r="K15" s="609"/>
      <c r="L15" s="609"/>
      <c r="M15" s="609"/>
      <c r="N15" s="599"/>
      <c r="O15" s="552" t="s">
        <v>1584</v>
      </c>
      <c r="P15" s="603"/>
      <c r="Q15" s="869"/>
      <c r="R15" s="869"/>
      <c r="S15" s="869"/>
      <c r="T15" s="869"/>
      <c r="U15" s="869"/>
      <c r="V15" s="869"/>
      <c r="W15" s="869"/>
      <c r="X15" s="869"/>
    </row>
    <row r="16" spans="1:24">
      <c r="A16" s="1045">
        <f t="shared" si="0"/>
        <v>12</v>
      </c>
      <c r="B16" s="1044">
        <v>45291</v>
      </c>
      <c r="C16" s="1043">
        <v>1400</v>
      </c>
      <c r="D16" s="1043" t="s">
        <v>49</v>
      </c>
      <c r="E16" s="1043" t="s">
        <v>5192</v>
      </c>
      <c r="F16" s="1639">
        <v>36878</v>
      </c>
      <c r="G16" s="1639"/>
      <c r="H16" s="563"/>
      <c r="I16" s="609"/>
      <c r="J16" s="609"/>
      <c r="K16" s="609"/>
      <c r="L16" s="609"/>
      <c r="M16" s="609"/>
      <c r="N16" s="599"/>
      <c r="O16" s="552" t="s">
        <v>1584</v>
      </c>
      <c r="P16" s="603"/>
      <c r="Q16" s="869"/>
      <c r="R16" s="869"/>
      <c r="S16" s="869"/>
      <c r="T16" s="869"/>
      <c r="U16" s="869"/>
      <c r="V16" s="869"/>
      <c r="W16" s="869"/>
      <c r="X16" s="869"/>
    </row>
    <row r="17" spans="1:24">
      <c r="A17" s="1045">
        <f t="shared" si="0"/>
        <v>12</v>
      </c>
      <c r="B17" s="1044">
        <v>45291</v>
      </c>
      <c r="C17" s="1043">
        <v>1500</v>
      </c>
      <c r="D17" s="1043" t="s">
        <v>53</v>
      </c>
      <c r="E17" s="1043" t="s">
        <v>5192</v>
      </c>
      <c r="F17" s="1639">
        <v>35569.5</v>
      </c>
      <c r="G17" s="1639"/>
      <c r="H17" s="563"/>
      <c r="I17" s="609"/>
      <c r="J17" s="609"/>
      <c r="K17" s="609"/>
      <c r="L17" s="609"/>
      <c r="M17" s="609"/>
      <c r="N17" s="599"/>
      <c r="O17" s="552" t="s">
        <v>1584</v>
      </c>
      <c r="P17" s="603"/>
      <c r="Q17" s="869"/>
      <c r="R17" s="869"/>
      <c r="S17" s="869"/>
      <c r="T17" s="869"/>
      <c r="U17" s="869"/>
      <c r="V17" s="869"/>
      <c r="W17" s="869"/>
      <c r="X17" s="869"/>
    </row>
    <row r="18" spans="1:24">
      <c r="A18" s="1045">
        <f t="shared" si="0"/>
        <v>12</v>
      </c>
      <c r="B18" s="1044">
        <v>45291</v>
      </c>
      <c r="C18" s="1043">
        <v>1550</v>
      </c>
      <c r="D18" s="1043" t="s">
        <v>5121</v>
      </c>
      <c r="E18" s="1043" t="s">
        <v>5192</v>
      </c>
      <c r="F18" s="1639">
        <v>392800</v>
      </c>
      <c r="G18" s="1639"/>
      <c r="H18" s="563"/>
      <c r="I18" s="609"/>
      <c r="J18" s="609"/>
      <c r="K18" s="609"/>
      <c r="L18" s="609"/>
      <c r="M18" s="609"/>
      <c r="N18" s="599"/>
      <c r="O18" s="552" t="s">
        <v>1584</v>
      </c>
      <c r="P18" s="603"/>
      <c r="Q18" s="869"/>
      <c r="R18" s="869"/>
      <c r="S18" s="869"/>
      <c r="T18" s="869"/>
      <c r="U18" s="869"/>
      <c r="V18" s="869"/>
      <c r="W18" s="869"/>
      <c r="X18" s="869"/>
    </row>
    <row r="19" spans="1:24">
      <c r="A19" s="1045">
        <f t="shared" si="0"/>
        <v>12</v>
      </c>
      <c r="B19" s="1044">
        <v>45291</v>
      </c>
      <c r="C19" s="1043">
        <v>1600</v>
      </c>
      <c r="D19" s="1043" t="s">
        <v>55</v>
      </c>
      <c r="E19" s="1043" t="s">
        <v>5192</v>
      </c>
      <c r="F19" s="1639">
        <v>6926</v>
      </c>
      <c r="G19" s="1639"/>
      <c r="H19" s="563"/>
      <c r="I19" s="609"/>
      <c r="J19" s="609"/>
      <c r="K19" s="609"/>
      <c r="L19" s="609"/>
      <c r="M19" s="609"/>
      <c r="N19" s="599"/>
      <c r="O19" s="552" t="s">
        <v>1584</v>
      </c>
      <c r="P19" s="603"/>
      <c r="Q19" s="869"/>
      <c r="R19" s="1763">
        <f>SUM(F11:F19)</f>
        <v>1272180.1499999999</v>
      </c>
      <c r="S19" s="1763"/>
      <c r="T19" s="869"/>
      <c r="U19" s="869"/>
      <c r="V19" s="869"/>
      <c r="W19" s="869"/>
      <c r="X19" s="869"/>
    </row>
    <row r="20" spans="1:24">
      <c r="A20" s="1045">
        <f t="shared" si="0"/>
        <v>12</v>
      </c>
      <c r="B20" s="1044">
        <v>45291</v>
      </c>
      <c r="C20" s="1043">
        <v>1900</v>
      </c>
      <c r="D20" s="1043" t="s">
        <v>56</v>
      </c>
      <c r="E20" s="1043" t="s">
        <v>5192</v>
      </c>
      <c r="F20" s="1639"/>
      <c r="G20" s="1639">
        <v>191000</v>
      </c>
      <c r="H20" s="563"/>
      <c r="I20" s="609"/>
      <c r="J20" s="609"/>
      <c r="K20" s="609"/>
      <c r="L20" s="609"/>
      <c r="M20" s="609"/>
      <c r="N20" s="599"/>
      <c r="O20" s="552" t="s">
        <v>1584</v>
      </c>
      <c r="P20" s="603"/>
      <c r="Q20" s="869"/>
      <c r="R20" s="1763">
        <f>R19-G20</f>
        <v>1081180.1499999999</v>
      </c>
      <c r="S20" s="1763"/>
      <c r="T20" s="869"/>
      <c r="U20" s="869"/>
      <c r="V20" s="869"/>
      <c r="W20" s="869"/>
      <c r="X20" s="869"/>
    </row>
    <row r="21" spans="1:24">
      <c r="A21" s="1045">
        <f t="shared" si="0"/>
        <v>12</v>
      </c>
      <c r="B21" s="1044">
        <v>45291</v>
      </c>
      <c r="C21" s="1043">
        <v>2000</v>
      </c>
      <c r="D21" s="1043" t="s">
        <v>57</v>
      </c>
      <c r="E21" s="1043" t="s">
        <v>5096</v>
      </c>
      <c r="F21" s="1639"/>
      <c r="G21" s="1639">
        <v>18360</v>
      </c>
      <c r="H21" s="563"/>
      <c r="I21" s="609"/>
      <c r="J21" s="609"/>
      <c r="K21" s="609"/>
      <c r="L21" s="609"/>
      <c r="M21" s="609"/>
      <c r="N21" s="599"/>
      <c r="O21" s="552" t="s">
        <v>1584</v>
      </c>
      <c r="P21" s="603"/>
      <c r="Q21" s="869"/>
      <c r="R21" s="869"/>
      <c r="S21" s="869"/>
      <c r="T21" s="869"/>
      <c r="U21" s="869"/>
      <c r="V21" s="869"/>
      <c r="W21" s="869"/>
      <c r="X21" s="869"/>
    </row>
    <row r="22" spans="1:24">
      <c r="A22" s="1045">
        <f t="shared" si="0"/>
        <v>12</v>
      </c>
      <c r="B22" s="1044">
        <v>45291</v>
      </c>
      <c r="C22" s="1043">
        <v>2000</v>
      </c>
      <c r="D22" s="1043" t="s">
        <v>57</v>
      </c>
      <c r="E22" s="1043" t="s">
        <v>5097</v>
      </c>
      <c r="F22" s="1639"/>
      <c r="G22" s="1639">
        <v>15750</v>
      </c>
      <c r="H22" s="563"/>
      <c r="I22" s="609"/>
      <c r="J22" s="609"/>
      <c r="K22" s="609"/>
      <c r="L22" s="609"/>
      <c r="M22" s="609"/>
      <c r="N22" s="599"/>
      <c r="O22" s="552" t="s">
        <v>1584</v>
      </c>
      <c r="P22" s="603"/>
      <c r="Q22" s="869"/>
      <c r="R22" s="869"/>
      <c r="S22" s="869"/>
      <c r="T22" s="869"/>
      <c r="U22" s="869"/>
      <c r="V22" s="869"/>
      <c r="W22" s="869"/>
      <c r="X22" s="869"/>
    </row>
    <row r="23" spans="1:24">
      <c r="A23" s="1045">
        <f t="shared" si="0"/>
        <v>12</v>
      </c>
      <c r="B23" s="1044">
        <v>45291</v>
      </c>
      <c r="C23" s="1043">
        <v>2000</v>
      </c>
      <c r="D23" s="1043" t="s">
        <v>57</v>
      </c>
      <c r="E23" s="1043" t="s">
        <v>5098</v>
      </c>
      <c r="F23" s="1639"/>
      <c r="G23" s="1639">
        <v>23126</v>
      </c>
      <c r="H23" s="563"/>
      <c r="I23" s="609"/>
      <c r="J23" s="609"/>
      <c r="K23" s="609"/>
      <c r="L23" s="609"/>
      <c r="M23" s="609"/>
      <c r="N23" s="599"/>
      <c r="O23" s="552" t="s">
        <v>1584</v>
      </c>
      <c r="P23" s="603"/>
      <c r="Q23" s="869"/>
      <c r="R23" s="869"/>
      <c r="S23" s="869"/>
      <c r="T23" s="869"/>
      <c r="U23" s="869"/>
      <c r="V23" s="869"/>
      <c r="W23" s="869"/>
      <c r="X23" s="869"/>
    </row>
    <row r="24" spans="1:24">
      <c r="A24" s="1045">
        <f t="shared" si="0"/>
        <v>12</v>
      </c>
      <c r="B24" s="1044">
        <v>45291</v>
      </c>
      <c r="C24" s="1043">
        <v>2000</v>
      </c>
      <c r="D24" s="1043" t="s">
        <v>57</v>
      </c>
      <c r="E24" s="1043" t="s">
        <v>5099</v>
      </c>
      <c r="F24" s="1639"/>
      <c r="G24" s="1639">
        <v>6290</v>
      </c>
      <c r="H24" s="563"/>
      <c r="I24" s="609"/>
      <c r="J24" s="609"/>
      <c r="K24" s="609"/>
      <c r="L24" s="609"/>
      <c r="M24" s="609"/>
      <c r="N24" s="599"/>
      <c r="O24" s="552" t="s">
        <v>1584</v>
      </c>
      <c r="P24" s="603"/>
      <c r="Q24" s="869"/>
      <c r="R24" s="869"/>
      <c r="S24" s="869"/>
      <c r="T24" s="869"/>
      <c r="U24" s="869"/>
      <c r="V24" s="869"/>
      <c r="W24" s="869"/>
      <c r="X24" s="869"/>
    </row>
    <row r="25" spans="1:24">
      <c r="A25" s="1045">
        <f t="shared" si="0"/>
        <v>12</v>
      </c>
      <c r="B25" s="1044">
        <v>45291</v>
      </c>
      <c r="C25" s="1043">
        <v>2000</v>
      </c>
      <c r="D25" s="1043" t="s">
        <v>57</v>
      </c>
      <c r="E25" s="1043" t="s">
        <v>5100</v>
      </c>
      <c r="F25" s="1639"/>
      <c r="G25" s="1639">
        <v>15000</v>
      </c>
      <c r="H25" s="563"/>
      <c r="I25" s="609"/>
      <c r="J25" s="609"/>
      <c r="K25" s="609"/>
      <c r="L25" s="609"/>
      <c r="M25" s="609"/>
      <c r="N25" s="599"/>
      <c r="O25" s="552" t="s">
        <v>1584</v>
      </c>
      <c r="P25" s="603"/>
      <c r="Q25" s="869"/>
      <c r="R25" s="869"/>
      <c r="S25" s="869"/>
      <c r="T25" s="869"/>
      <c r="U25" s="869"/>
      <c r="V25" s="869"/>
      <c r="W25" s="869"/>
      <c r="X25" s="869"/>
    </row>
    <row r="26" spans="1:24">
      <c r="A26" s="1045">
        <f t="shared" si="0"/>
        <v>12</v>
      </c>
      <c r="B26" s="1044">
        <v>45291</v>
      </c>
      <c r="C26" s="1043">
        <v>2000</v>
      </c>
      <c r="D26" s="1043" t="s">
        <v>57</v>
      </c>
      <c r="E26" s="1043" t="s">
        <v>5101</v>
      </c>
      <c r="F26" s="1639"/>
      <c r="G26" s="1639">
        <v>3500</v>
      </c>
      <c r="H26" s="563"/>
      <c r="I26" s="609"/>
      <c r="J26" s="609"/>
      <c r="K26" s="609"/>
      <c r="L26" s="609"/>
      <c r="M26" s="609"/>
      <c r="N26" s="599"/>
      <c r="O26" s="552" t="s">
        <v>1584</v>
      </c>
      <c r="P26" s="603"/>
      <c r="Q26" s="869"/>
      <c r="R26" s="869"/>
      <c r="S26" s="869"/>
      <c r="T26" s="869"/>
      <c r="U26" s="869"/>
      <c r="V26" s="869"/>
      <c r="W26" s="869"/>
      <c r="X26" s="869"/>
    </row>
    <row r="27" spans="1:24">
      <c r="A27" s="1045">
        <f t="shared" si="0"/>
        <v>12</v>
      </c>
      <c r="B27" s="1044">
        <v>45291</v>
      </c>
      <c r="C27" s="1043">
        <v>2000</v>
      </c>
      <c r="D27" s="1043" t="s">
        <v>57</v>
      </c>
      <c r="E27" s="1043" t="s">
        <v>5102</v>
      </c>
      <c r="F27" s="1639"/>
      <c r="G27" s="1639">
        <v>413.74</v>
      </c>
      <c r="H27" s="563"/>
      <c r="I27" s="609"/>
      <c r="J27" s="609"/>
      <c r="K27" s="609"/>
      <c r="L27" s="609"/>
      <c r="M27" s="609"/>
      <c r="N27" s="599"/>
      <c r="O27" s="552" t="s">
        <v>1584</v>
      </c>
      <c r="P27" s="603"/>
      <c r="Q27" s="869"/>
      <c r="R27" s="869"/>
      <c r="S27" s="869"/>
      <c r="T27" s="869"/>
      <c r="U27" s="869"/>
      <c r="V27" s="869"/>
      <c r="W27" s="869"/>
      <c r="X27" s="869"/>
    </row>
    <row r="28" spans="1:24">
      <c r="A28" s="1045">
        <f t="shared" si="0"/>
        <v>12</v>
      </c>
      <c r="B28" s="1044">
        <v>45291</v>
      </c>
      <c r="C28" s="1043">
        <v>2000</v>
      </c>
      <c r="D28" s="1043" t="s">
        <v>57</v>
      </c>
      <c r="E28" s="1043" t="s">
        <v>5103</v>
      </c>
      <c r="F28" s="1639"/>
      <c r="G28" s="1639">
        <v>693.46</v>
      </c>
      <c r="H28" s="563"/>
      <c r="I28" s="609"/>
      <c r="J28" s="609"/>
      <c r="K28" s="609"/>
      <c r="L28" s="609"/>
      <c r="M28" s="609"/>
      <c r="N28" s="599"/>
      <c r="O28" s="552" t="s">
        <v>1584</v>
      </c>
      <c r="P28" s="603"/>
      <c r="Q28" s="869"/>
      <c r="R28" s="869"/>
      <c r="S28" s="869"/>
      <c r="T28" s="869"/>
      <c r="U28" s="869"/>
      <c r="V28" s="869"/>
      <c r="W28" s="869"/>
      <c r="X28" s="869"/>
    </row>
    <row r="29" spans="1:24">
      <c r="A29" s="1045">
        <f t="shared" si="0"/>
        <v>12</v>
      </c>
      <c r="B29" s="1044">
        <v>45291</v>
      </c>
      <c r="C29" s="1043">
        <v>2000</v>
      </c>
      <c r="D29" s="1043" t="s">
        <v>57</v>
      </c>
      <c r="E29" s="1043" t="s">
        <v>5104</v>
      </c>
      <c r="F29" s="1639"/>
      <c r="G29" s="1639">
        <v>14594</v>
      </c>
      <c r="H29" s="563"/>
      <c r="I29" s="609"/>
      <c r="J29" s="609"/>
      <c r="K29" s="609"/>
      <c r="L29" s="609"/>
      <c r="M29" s="609"/>
      <c r="N29" s="599"/>
      <c r="O29" s="552" t="s">
        <v>1584</v>
      </c>
      <c r="P29" s="603"/>
      <c r="Q29" s="869"/>
      <c r="R29" s="869"/>
      <c r="S29" s="869"/>
      <c r="T29" s="869"/>
      <c r="U29" s="869"/>
      <c r="V29" s="869"/>
      <c r="W29" s="869"/>
      <c r="X29" s="869"/>
    </row>
    <row r="30" spans="1:24">
      <c r="A30" s="1045">
        <f t="shared" si="0"/>
        <v>12</v>
      </c>
      <c r="B30" s="1044">
        <v>45291</v>
      </c>
      <c r="C30" s="1043">
        <v>1025</v>
      </c>
      <c r="D30" s="1045" t="s">
        <v>5120</v>
      </c>
      <c r="E30" s="1045" t="s">
        <v>5180</v>
      </c>
      <c r="F30" s="1639"/>
      <c r="G30" s="1639">
        <v>49668</v>
      </c>
      <c r="H30" s="563"/>
      <c r="I30" s="609"/>
      <c r="J30" s="609"/>
      <c r="K30" s="609"/>
      <c r="L30" s="609"/>
      <c r="M30" s="609"/>
      <c r="N30" s="599"/>
      <c r="O30" s="552" t="s">
        <v>1584</v>
      </c>
      <c r="P30" s="603"/>
      <c r="Q30" s="869"/>
      <c r="R30" s="869"/>
      <c r="S30" s="869"/>
      <c r="T30" s="869"/>
      <c r="U30" s="869"/>
      <c r="V30" s="869"/>
      <c r="W30" s="869"/>
      <c r="X30" s="869"/>
    </row>
    <row r="31" spans="1:24">
      <c r="A31" s="1045">
        <f t="shared" si="0"/>
        <v>12</v>
      </c>
      <c r="B31" s="1044">
        <v>45291</v>
      </c>
      <c r="C31" s="1043">
        <v>6050</v>
      </c>
      <c r="D31" s="1043" t="s">
        <v>125</v>
      </c>
      <c r="E31" s="1043" t="s">
        <v>5181</v>
      </c>
      <c r="F31" s="1639"/>
      <c r="G31" s="1639">
        <v>61250</v>
      </c>
      <c r="H31" s="563"/>
      <c r="I31" s="609"/>
      <c r="J31" s="609"/>
      <c r="K31" s="609"/>
      <c r="L31" s="609"/>
      <c r="M31" s="609"/>
      <c r="N31" s="599"/>
      <c r="O31" s="552" t="s">
        <v>1584</v>
      </c>
      <c r="P31" s="603"/>
      <c r="Q31" s="869"/>
      <c r="R31" s="869"/>
      <c r="S31" s="869"/>
      <c r="T31" s="869"/>
      <c r="U31" s="869"/>
      <c r="V31" s="869"/>
      <c r="W31" s="869"/>
      <c r="X31" s="869"/>
    </row>
    <row r="32" spans="1:24">
      <c r="A32" s="1045">
        <f t="shared" si="0"/>
        <v>12</v>
      </c>
      <c r="B32" s="1044">
        <v>45291</v>
      </c>
      <c r="C32" s="1043">
        <v>6050</v>
      </c>
      <c r="D32" s="1043" t="s">
        <v>125</v>
      </c>
      <c r="E32" s="1043" t="s">
        <v>5182</v>
      </c>
      <c r="F32" s="1639"/>
      <c r="G32" s="1639">
        <v>36750</v>
      </c>
      <c r="H32" s="563"/>
      <c r="I32" s="609"/>
      <c r="J32" s="609"/>
      <c r="K32" s="609"/>
      <c r="L32" s="609"/>
      <c r="M32" s="609"/>
      <c r="N32" s="599"/>
      <c r="O32" s="552" t="s">
        <v>1584</v>
      </c>
      <c r="P32" s="603"/>
      <c r="Q32" s="869"/>
      <c r="R32" s="869"/>
      <c r="S32" s="869"/>
      <c r="T32" s="869"/>
      <c r="U32" s="869"/>
      <c r="V32" s="869"/>
      <c r="W32" s="869"/>
      <c r="X32" s="869"/>
    </row>
    <row r="33" spans="1:24">
      <c r="A33" s="1045">
        <f t="shared" si="0"/>
        <v>12</v>
      </c>
      <c r="B33" s="1044">
        <v>45291</v>
      </c>
      <c r="C33" s="1043">
        <v>6050</v>
      </c>
      <c r="D33" s="1043" t="s">
        <v>125</v>
      </c>
      <c r="E33" s="1043" t="s">
        <v>5183</v>
      </c>
      <c r="F33" s="1639"/>
      <c r="G33" s="1639">
        <v>7000</v>
      </c>
      <c r="H33" s="563"/>
      <c r="I33" s="609"/>
      <c r="J33" s="609"/>
      <c r="K33" s="609"/>
      <c r="L33" s="609"/>
      <c r="M33" s="609"/>
      <c r="N33" s="599"/>
      <c r="O33" s="552" t="s">
        <v>1584</v>
      </c>
      <c r="P33" s="603"/>
      <c r="Q33" s="869"/>
      <c r="R33" s="869"/>
      <c r="S33" s="869"/>
      <c r="T33" s="869"/>
      <c r="U33" s="869"/>
      <c r="V33" s="869"/>
      <c r="W33" s="869"/>
      <c r="X33" s="869"/>
    </row>
    <row r="34" spans="1:24">
      <c r="A34" s="1045">
        <f t="shared" si="0"/>
        <v>12</v>
      </c>
      <c r="B34" s="1044">
        <v>45291</v>
      </c>
      <c r="C34" s="1043">
        <v>6050</v>
      </c>
      <c r="D34" s="1043" t="s">
        <v>125</v>
      </c>
      <c r="E34" s="1043" t="s">
        <v>5184</v>
      </c>
      <c r="F34" s="1639"/>
      <c r="G34" s="1639">
        <v>5325</v>
      </c>
      <c r="H34" s="563"/>
      <c r="I34" s="609"/>
      <c r="J34" s="609"/>
      <c r="K34" s="609"/>
      <c r="L34" s="609"/>
      <c r="M34" s="609"/>
      <c r="N34" s="599"/>
      <c r="O34" s="552" t="s">
        <v>1584</v>
      </c>
      <c r="P34" s="603"/>
      <c r="Q34" s="869"/>
      <c r="R34" s="869"/>
      <c r="S34" s="869"/>
      <c r="T34" s="869"/>
      <c r="U34" s="869"/>
      <c r="V34" s="869"/>
      <c r="W34" s="869"/>
      <c r="X34" s="869"/>
    </row>
    <row r="35" spans="1:24">
      <c r="A35" s="1045">
        <f t="shared" si="0"/>
        <v>12</v>
      </c>
      <c r="B35" s="1044">
        <v>45291</v>
      </c>
      <c r="C35" s="1043">
        <v>6050</v>
      </c>
      <c r="D35" s="1043" t="s">
        <v>125</v>
      </c>
      <c r="E35" s="1043" t="s">
        <v>5185</v>
      </c>
      <c r="F35" s="1639"/>
      <c r="G35" s="1639">
        <v>3600</v>
      </c>
      <c r="H35" s="563"/>
      <c r="I35" s="609"/>
      <c r="J35" s="609"/>
      <c r="K35" s="609"/>
      <c r="L35" s="609"/>
      <c r="M35" s="609"/>
      <c r="N35" s="599"/>
      <c r="O35" s="552" t="s">
        <v>1584</v>
      </c>
      <c r="P35" s="603"/>
      <c r="Q35" s="869"/>
      <c r="R35" s="869"/>
      <c r="S35" s="869"/>
      <c r="T35" s="869"/>
      <c r="U35" s="869"/>
      <c r="V35" s="869"/>
      <c r="W35" s="869"/>
      <c r="X35" s="869"/>
    </row>
    <row r="36" spans="1:24">
      <c r="A36" s="1045">
        <f t="shared" si="0"/>
        <v>12</v>
      </c>
      <c r="B36" s="1044">
        <v>45291</v>
      </c>
      <c r="C36" s="1043">
        <v>6050</v>
      </c>
      <c r="D36" s="1043" t="s">
        <v>125</v>
      </c>
      <c r="E36" s="1043" t="s">
        <v>5186</v>
      </c>
      <c r="F36" s="1639"/>
      <c r="G36" s="1639">
        <v>525</v>
      </c>
      <c r="H36" s="563"/>
      <c r="I36" s="609"/>
      <c r="J36" s="609"/>
      <c r="K36" s="609"/>
      <c r="L36" s="609"/>
      <c r="M36" s="609"/>
      <c r="N36" s="599"/>
      <c r="O36" s="552" t="s">
        <v>1584</v>
      </c>
      <c r="P36" s="603"/>
      <c r="Q36" s="869"/>
      <c r="R36" s="869"/>
      <c r="S36" s="869"/>
      <c r="T36" s="869"/>
      <c r="U36" s="869"/>
      <c r="V36" s="869"/>
      <c r="W36" s="869"/>
      <c r="X36" s="869"/>
    </row>
    <row r="37" spans="1:24">
      <c r="A37" s="1045">
        <f t="shared" si="0"/>
        <v>12</v>
      </c>
      <c r="B37" s="1044">
        <v>45291</v>
      </c>
      <c r="C37" s="1043">
        <v>6050</v>
      </c>
      <c r="D37" s="1043" t="s">
        <v>125</v>
      </c>
      <c r="E37" s="1043" t="s">
        <v>5187</v>
      </c>
      <c r="F37" s="1639"/>
      <c r="G37" s="1639">
        <v>1837.5</v>
      </c>
      <c r="H37" s="563"/>
      <c r="I37" s="609"/>
      <c r="J37" s="609"/>
      <c r="K37" s="609"/>
      <c r="L37" s="609"/>
      <c r="M37" s="609"/>
      <c r="N37" s="599"/>
      <c r="O37" s="552" t="s">
        <v>1584</v>
      </c>
      <c r="P37" s="603"/>
      <c r="Q37" s="869"/>
      <c r="R37" s="869"/>
      <c r="S37" s="869"/>
      <c r="T37" s="869"/>
      <c r="U37" s="869"/>
      <c r="V37" s="869"/>
      <c r="W37" s="869"/>
      <c r="X37" s="869"/>
    </row>
    <row r="38" spans="1:24">
      <c r="A38" s="1045">
        <f t="shared" si="0"/>
        <v>12</v>
      </c>
      <c r="B38" s="1044">
        <v>45291</v>
      </c>
      <c r="C38" s="1043">
        <v>6050</v>
      </c>
      <c r="D38" s="1043" t="s">
        <v>125</v>
      </c>
      <c r="E38" s="1043" t="s">
        <v>5188</v>
      </c>
      <c r="F38" s="1639"/>
      <c r="G38" s="1639">
        <v>1050</v>
      </c>
      <c r="H38" s="563"/>
      <c r="I38" s="609"/>
      <c r="J38" s="609"/>
      <c r="K38" s="609"/>
      <c r="L38" s="609"/>
      <c r="M38" s="609"/>
      <c r="N38" s="599"/>
      <c r="O38" s="552" t="s">
        <v>1584</v>
      </c>
      <c r="P38" s="603"/>
      <c r="Q38" s="869"/>
      <c r="R38" s="869" t="s">
        <v>4983</v>
      </c>
      <c r="S38" s="869">
        <v>153000</v>
      </c>
      <c r="T38" s="869"/>
      <c r="U38" s="869"/>
      <c r="V38" s="869"/>
      <c r="W38" s="869"/>
      <c r="X38" s="869"/>
    </row>
    <row r="39" spans="1:24">
      <c r="A39" s="1045">
        <f t="shared" si="0"/>
        <v>12</v>
      </c>
      <c r="B39" s="1044">
        <v>45291</v>
      </c>
      <c r="C39" s="1043">
        <v>6050</v>
      </c>
      <c r="D39" s="1043" t="s">
        <v>125</v>
      </c>
      <c r="E39" s="1043" t="s">
        <v>5189</v>
      </c>
      <c r="F39" s="1639"/>
      <c r="G39" s="1639">
        <v>2835</v>
      </c>
      <c r="H39" s="563"/>
      <c r="I39" s="609"/>
      <c r="J39" s="609"/>
      <c r="K39" s="609"/>
      <c r="L39" s="609"/>
      <c r="M39" s="609"/>
      <c r="N39" s="599"/>
      <c r="O39" s="552" t="s">
        <v>1584</v>
      </c>
      <c r="P39" s="603"/>
      <c r="Q39" s="869"/>
      <c r="R39" s="869" t="s">
        <v>4984</v>
      </c>
      <c r="S39" s="869">
        <v>147000</v>
      </c>
      <c r="T39" s="869"/>
      <c r="U39" s="869"/>
      <c r="V39" s="869"/>
      <c r="W39" s="869"/>
      <c r="X39" s="869"/>
    </row>
    <row r="40" spans="1:24">
      <c r="A40" s="1045">
        <f t="shared" si="0"/>
        <v>12</v>
      </c>
      <c r="B40" s="1044">
        <v>45291</v>
      </c>
      <c r="C40" s="1043">
        <v>6050</v>
      </c>
      <c r="D40" s="1043" t="s">
        <v>125</v>
      </c>
      <c r="E40" s="1043" t="s">
        <v>5190</v>
      </c>
      <c r="F40" s="1639"/>
      <c r="G40" s="1639">
        <v>7574.9999999999991</v>
      </c>
      <c r="H40" s="563"/>
      <c r="I40" s="609"/>
      <c r="J40" s="609"/>
      <c r="K40" s="609"/>
      <c r="L40" s="609"/>
      <c r="M40" s="609"/>
      <c r="N40" s="599"/>
      <c r="O40" s="552" t="s">
        <v>1584</v>
      </c>
      <c r="P40" s="603"/>
      <c r="Q40" s="869"/>
      <c r="R40" s="869" t="s">
        <v>70</v>
      </c>
      <c r="S40" s="869">
        <v>566309</v>
      </c>
      <c r="T40" s="869"/>
      <c r="U40" s="869"/>
      <c r="V40" s="869"/>
      <c r="W40" s="869"/>
      <c r="X40" s="869"/>
    </row>
    <row r="41" spans="1:24">
      <c r="A41" s="1045">
        <f t="shared" si="0"/>
        <v>12</v>
      </c>
      <c r="B41" s="1044">
        <v>45291</v>
      </c>
      <c r="C41" s="1043">
        <v>6050</v>
      </c>
      <c r="D41" s="1043" t="s">
        <v>125</v>
      </c>
      <c r="E41" s="1043" t="s">
        <v>5191</v>
      </c>
      <c r="F41" s="1639"/>
      <c r="G41" s="1639">
        <v>577.5</v>
      </c>
      <c r="H41" s="563"/>
      <c r="I41" s="609"/>
      <c r="J41" s="609"/>
      <c r="K41" s="609"/>
      <c r="L41" s="609"/>
      <c r="M41" s="609"/>
      <c r="N41" s="599"/>
      <c r="O41" s="552" t="s">
        <v>1584</v>
      </c>
      <c r="P41" s="603"/>
      <c r="Q41" s="869"/>
      <c r="R41" s="869"/>
      <c r="S41" s="869"/>
      <c r="T41" s="869"/>
      <c r="U41" s="869"/>
      <c r="V41" s="869"/>
      <c r="W41" s="869"/>
      <c r="X41" s="869"/>
    </row>
    <row r="42" spans="1:24">
      <c r="A42" s="1045">
        <f t="shared" si="0"/>
        <v>12</v>
      </c>
      <c r="B42" s="1044">
        <v>45291</v>
      </c>
      <c r="C42" s="1043">
        <v>3920</v>
      </c>
      <c r="D42" s="1043" t="s">
        <v>71</v>
      </c>
      <c r="E42" s="1043" t="s">
        <v>5177</v>
      </c>
      <c r="F42" s="1639"/>
      <c r="G42" s="1639">
        <v>153000</v>
      </c>
      <c r="H42" s="563"/>
      <c r="I42" s="609"/>
      <c r="J42" s="609"/>
      <c r="K42" s="609"/>
      <c r="L42" s="609"/>
      <c r="M42" s="609"/>
      <c r="N42" s="599"/>
      <c r="O42" s="552" t="s">
        <v>1584</v>
      </c>
      <c r="P42" s="603"/>
      <c r="Q42" s="869"/>
      <c r="R42" s="869"/>
      <c r="S42" s="869"/>
      <c r="T42" s="869"/>
      <c r="U42" s="869"/>
      <c r="V42" s="869"/>
      <c r="W42" s="869"/>
      <c r="X42" s="869"/>
    </row>
    <row r="43" spans="1:24">
      <c r="A43" s="1045">
        <f t="shared" si="0"/>
        <v>12</v>
      </c>
      <c r="B43" s="1044">
        <v>45291</v>
      </c>
      <c r="C43" s="1043">
        <v>3920</v>
      </c>
      <c r="D43" s="1043" t="s">
        <v>71</v>
      </c>
      <c r="E43" s="1043" t="s">
        <v>5178</v>
      </c>
      <c r="F43" s="1639"/>
      <c r="G43" s="1639">
        <v>147000</v>
      </c>
      <c r="H43" s="563"/>
      <c r="I43" s="609"/>
      <c r="J43" s="609"/>
      <c r="K43" s="609"/>
      <c r="L43" s="609"/>
      <c r="M43" s="609"/>
      <c r="N43" s="599"/>
      <c r="O43" s="552" t="s">
        <v>1584</v>
      </c>
      <c r="P43" s="603"/>
      <c r="Q43" s="869"/>
      <c r="R43" s="869"/>
      <c r="S43" s="869"/>
      <c r="T43" s="869"/>
      <c r="U43" s="869"/>
      <c r="V43" s="869"/>
      <c r="W43" s="869"/>
      <c r="X43" s="869"/>
    </row>
    <row r="44" spans="1:24">
      <c r="A44" s="1045">
        <f t="shared" si="0"/>
        <v>12</v>
      </c>
      <c r="B44" s="1044">
        <v>45291</v>
      </c>
      <c r="C44" s="1043">
        <v>3940</v>
      </c>
      <c r="D44" s="1043" t="s">
        <v>73</v>
      </c>
      <c r="E44" s="1043" t="s">
        <v>5179</v>
      </c>
      <c r="F44" s="1639"/>
      <c r="G44" s="1639">
        <v>505460</v>
      </c>
      <c r="H44" s="563"/>
      <c r="I44" s="609"/>
      <c r="J44" s="609"/>
      <c r="K44" s="609"/>
      <c r="L44" s="609"/>
      <c r="M44" s="609"/>
      <c r="N44" s="599"/>
      <c r="O44" s="552" t="s">
        <v>1584</v>
      </c>
      <c r="P44" s="603"/>
      <c r="Q44" s="869"/>
      <c r="R44" s="869"/>
      <c r="S44" s="869"/>
      <c r="T44" s="869"/>
      <c r="U44" s="869"/>
      <c r="V44" s="869"/>
      <c r="W44" s="869"/>
      <c r="X44" s="869"/>
    </row>
    <row r="45" spans="1:24">
      <c r="A45" s="1045">
        <f t="shared" si="0"/>
        <v>5</v>
      </c>
      <c r="B45" s="1046">
        <v>45442</v>
      </c>
      <c r="C45" s="1045">
        <v>1011</v>
      </c>
      <c r="D45" s="1045" t="s">
        <v>34</v>
      </c>
      <c r="E45" s="1045"/>
      <c r="F45" s="1047">
        <v>35000</v>
      </c>
      <c r="G45" s="1047">
        <v>27079.74</v>
      </c>
      <c r="H45" s="563"/>
      <c r="I45" s="609"/>
      <c r="J45" s="609"/>
      <c r="K45" s="609"/>
      <c r="L45" s="609"/>
      <c r="M45" s="609"/>
      <c r="N45" s="599"/>
      <c r="O45" s="552" t="s">
        <v>1584</v>
      </c>
      <c r="P45" s="603"/>
      <c r="Q45" s="869"/>
      <c r="R45" s="869"/>
      <c r="S45" s="869"/>
      <c r="T45" s="869"/>
      <c r="U45" s="869"/>
      <c r="V45" s="869"/>
      <c r="W45" s="869"/>
      <c r="X45" s="869"/>
    </row>
    <row r="46" spans="1:24">
      <c r="A46" s="1045">
        <f t="shared" si="0"/>
        <v>5</v>
      </c>
      <c r="B46" s="1046">
        <v>45442</v>
      </c>
      <c r="C46" s="1045">
        <v>1017</v>
      </c>
      <c r="D46" s="1045" t="s">
        <v>5118</v>
      </c>
      <c r="E46" s="1045"/>
      <c r="F46" s="1047">
        <v>264400</v>
      </c>
      <c r="G46" s="1047">
        <v>272076.46999999997</v>
      </c>
      <c r="H46" s="563"/>
      <c r="I46" s="609"/>
      <c r="J46" s="609"/>
      <c r="K46" s="609"/>
      <c r="L46" s="609"/>
      <c r="M46" s="609"/>
      <c r="N46" s="599"/>
      <c r="O46" s="552" t="s">
        <v>1584</v>
      </c>
      <c r="P46" s="603"/>
      <c r="Q46" s="869"/>
      <c r="R46" s="1143">
        <v>271936.90999999997</v>
      </c>
      <c r="S46" s="869"/>
      <c r="T46" s="869"/>
      <c r="U46" s="869"/>
      <c r="V46" s="869">
        <f>F12+F46-G46</f>
        <v>-5606.6199999999953</v>
      </c>
      <c r="W46" s="869"/>
      <c r="X46" s="869"/>
    </row>
    <row r="47" spans="1:24">
      <c r="A47" s="1045">
        <f t="shared" si="0"/>
        <v>5</v>
      </c>
      <c r="B47" s="1046">
        <v>45442</v>
      </c>
      <c r="C47" s="1045">
        <v>1018</v>
      </c>
      <c r="D47" s="1045" t="s">
        <v>5113</v>
      </c>
      <c r="E47" s="1045"/>
      <c r="F47" s="1047">
        <v>2973.75</v>
      </c>
      <c r="G47" s="1047">
        <v>3091.45</v>
      </c>
      <c r="H47" s="563"/>
      <c r="I47" s="609"/>
      <c r="J47" s="609"/>
      <c r="K47" s="609"/>
      <c r="L47" s="609"/>
      <c r="M47" s="609"/>
      <c r="N47" s="599"/>
      <c r="O47" s="552" t="s">
        <v>1584</v>
      </c>
      <c r="P47" s="603"/>
      <c r="Q47" s="869"/>
      <c r="R47" s="869"/>
      <c r="S47" s="869"/>
      <c r="T47" s="869"/>
      <c r="U47" s="869"/>
      <c r="V47" s="869"/>
      <c r="W47" s="869"/>
      <c r="X47" s="869"/>
    </row>
    <row r="48" spans="1:24">
      <c r="A48" s="1045">
        <f t="shared" si="0"/>
        <v>5</v>
      </c>
      <c r="B48" s="1046">
        <v>45442</v>
      </c>
      <c r="C48" s="1045">
        <v>1022</v>
      </c>
      <c r="D48" s="1045" t="s">
        <v>5119</v>
      </c>
      <c r="E48" s="1045"/>
      <c r="F48" s="1047">
        <v>2769218.95</v>
      </c>
      <c r="G48" s="1047">
        <v>2510624.9900000002</v>
      </c>
      <c r="H48" s="563"/>
      <c r="I48" s="609"/>
      <c r="J48" s="609"/>
      <c r="K48" s="609"/>
      <c r="L48" s="609"/>
      <c r="M48" s="609"/>
      <c r="N48" s="599"/>
      <c r="O48" s="552" t="s">
        <v>1584</v>
      </c>
      <c r="P48" s="603"/>
      <c r="Q48" s="869"/>
      <c r="R48" s="869"/>
      <c r="S48" s="869"/>
      <c r="T48" s="869"/>
      <c r="U48" s="869"/>
      <c r="V48" s="869"/>
      <c r="W48" s="869"/>
      <c r="X48" s="869"/>
    </row>
    <row r="49" spans="1:24">
      <c r="A49" s="1045">
        <f t="shared" si="0"/>
        <v>5</v>
      </c>
      <c r="B49" s="1046">
        <v>45442</v>
      </c>
      <c r="C49" s="1045">
        <v>1025</v>
      </c>
      <c r="D49" s="1045" t="s">
        <v>5120</v>
      </c>
      <c r="E49" s="1045"/>
      <c r="F49" s="1047">
        <v>563753.19999999995</v>
      </c>
      <c r="G49" s="1047">
        <v>618727.43000000005</v>
      </c>
      <c r="H49" s="563"/>
      <c r="I49" s="609"/>
      <c r="J49" s="609"/>
      <c r="K49" s="609"/>
      <c r="L49" s="609"/>
      <c r="M49" s="609"/>
      <c r="N49" s="599"/>
      <c r="O49" s="552" t="s">
        <v>1584</v>
      </c>
      <c r="P49" s="603"/>
      <c r="Q49" s="869">
        <f>F49-G49</f>
        <v>-54974.230000000098</v>
      </c>
      <c r="R49" s="869"/>
      <c r="S49" s="869"/>
      <c r="T49" s="869"/>
      <c r="U49" s="869"/>
      <c r="V49" s="869"/>
      <c r="W49" s="869"/>
      <c r="X49" s="869"/>
    </row>
    <row r="50" spans="1:24">
      <c r="A50" s="1045">
        <f t="shared" si="0"/>
        <v>5</v>
      </c>
      <c r="B50" s="1046">
        <v>45442</v>
      </c>
      <c r="C50" s="1045">
        <v>1100</v>
      </c>
      <c r="D50" s="1045" t="s">
        <v>46</v>
      </c>
      <c r="E50" s="1436"/>
      <c r="F50" s="1047">
        <v>2693406.92</v>
      </c>
      <c r="G50" s="1047">
        <v>2513195.7000000002</v>
      </c>
      <c r="H50" s="563"/>
      <c r="I50" s="609"/>
      <c r="J50" s="609"/>
      <c r="K50" s="609"/>
      <c r="L50" s="609"/>
      <c r="M50" s="609"/>
      <c r="N50" s="599"/>
      <c r="O50" s="552" t="s">
        <v>1584</v>
      </c>
      <c r="P50" s="603"/>
      <c r="Q50" s="869"/>
      <c r="R50" s="869"/>
      <c r="S50" s="869"/>
      <c r="T50" s="869"/>
      <c r="U50" s="869"/>
      <c r="V50" s="869"/>
      <c r="W50" s="869"/>
      <c r="X50" s="869"/>
    </row>
    <row r="51" spans="1:24">
      <c r="A51" s="1045">
        <f t="shared" si="0"/>
        <v>5</v>
      </c>
      <c r="B51" s="1046">
        <v>45442</v>
      </c>
      <c r="C51" s="1045">
        <v>1400</v>
      </c>
      <c r="D51" s="1045" t="s">
        <v>49</v>
      </c>
      <c r="E51" s="1436"/>
      <c r="F51" s="1047">
        <v>176847.94</v>
      </c>
      <c r="G51" s="1047">
        <v>70557.94</v>
      </c>
      <c r="H51" s="563"/>
      <c r="I51" s="609"/>
      <c r="J51" s="609"/>
      <c r="K51" s="609"/>
      <c r="L51" s="609"/>
      <c r="M51" s="609"/>
      <c r="N51" s="599"/>
      <c r="O51" s="552" t="s">
        <v>1584</v>
      </c>
      <c r="P51" s="603"/>
      <c r="Q51" s="869"/>
      <c r="R51" s="869"/>
      <c r="S51" s="869"/>
      <c r="T51" s="869"/>
      <c r="U51" s="869"/>
      <c r="V51" s="869"/>
      <c r="W51" s="869"/>
      <c r="X51" s="869"/>
    </row>
    <row r="52" spans="1:24">
      <c r="A52" s="1045">
        <f t="shared" si="0"/>
        <v>5</v>
      </c>
      <c r="B52" s="1046">
        <v>45442</v>
      </c>
      <c r="C52" s="1045">
        <v>1500</v>
      </c>
      <c r="D52" s="1045" t="s">
        <v>53</v>
      </c>
      <c r="E52" s="1436"/>
      <c r="F52" s="1047">
        <v>3903.81</v>
      </c>
      <c r="G52" s="1047">
        <v>0</v>
      </c>
      <c r="H52" s="563"/>
      <c r="I52" s="609"/>
      <c r="J52" s="609"/>
      <c r="K52" s="609"/>
      <c r="L52" s="609"/>
      <c r="M52" s="609"/>
      <c r="N52" s="599"/>
      <c r="O52" s="552" t="s">
        <v>1584</v>
      </c>
      <c r="P52" s="603"/>
      <c r="Q52" s="869"/>
      <c r="R52" s="869"/>
      <c r="S52" s="869"/>
      <c r="T52" s="869"/>
      <c r="U52" s="869"/>
      <c r="V52" s="869"/>
      <c r="W52" s="869"/>
      <c r="X52" s="869"/>
    </row>
    <row r="53" spans="1:24">
      <c r="A53" s="1045">
        <f t="shared" si="0"/>
        <v>5</v>
      </c>
      <c r="B53" s="1046">
        <v>45442</v>
      </c>
      <c r="C53" s="1045">
        <v>2000</v>
      </c>
      <c r="D53" s="1045" t="s">
        <v>57</v>
      </c>
      <c r="E53" s="1436"/>
      <c r="F53" s="1047">
        <v>1896568.98</v>
      </c>
      <c r="G53" s="1047">
        <v>1955363.45</v>
      </c>
      <c r="H53" s="563"/>
      <c r="I53" s="609"/>
      <c r="J53" s="609"/>
      <c r="K53" s="609"/>
      <c r="L53" s="609"/>
      <c r="M53" s="609"/>
      <c r="N53" s="599"/>
      <c r="O53" s="552" t="s">
        <v>1584</v>
      </c>
      <c r="P53" s="603"/>
      <c r="Q53" s="869"/>
      <c r="R53" s="869"/>
      <c r="S53" s="869"/>
      <c r="T53" s="869"/>
      <c r="U53" s="869"/>
      <c r="V53" s="869"/>
      <c r="W53" s="869"/>
      <c r="X53" s="869"/>
    </row>
    <row r="54" spans="1:24">
      <c r="A54" s="1045">
        <f t="shared" si="0"/>
        <v>5</v>
      </c>
      <c r="B54" s="1046">
        <v>45442</v>
      </c>
      <c r="C54" s="1045">
        <v>2018</v>
      </c>
      <c r="D54" s="1045" t="s">
        <v>58</v>
      </c>
      <c r="E54" s="1436"/>
      <c r="F54" s="1047">
        <v>101138.19</v>
      </c>
      <c r="G54" s="1047">
        <v>126114.64</v>
      </c>
      <c r="H54" s="563"/>
      <c r="I54" s="609"/>
      <c r="J54" s="609"/>
      <c r="K54" s="609"/>
      <c r="L54" s="609"/>
      <c r="M54" s="609"/>
      <c r="N54" s="599"/>
      <c r="O54" s="552" t="s">
        <v>1584</v>
      </c>
      <c r="P54" s="603"/>
      <c r="Q54" s="869"/>
      <c r="R54" s="869"/>
      <c r="S54" s="869"/>
      <c r="T54" s="869"/>
      <c r="U54" s="869"/>
      <c r="V54" s="869"/>
      <c r="W54" s="869"/>
      <c r="X54" s="869"/>
    </row>
    <row r="55" spans="1:24">
      <c r="A55" s="1045">
        <f t="shared" si="0"/>
        <v>5</v>
      </c>
      <c r="B55" s="1046">
        <v>45442</v>
      </c>
      <c r="C55" s="1045">
        <v>4000</v>
      </c>
      <c r="D55" s="1045" t="s">
        <v>74</v>
      </c>
      <c r="E55" s="1436"/>
      <c r="F55" s="1047">
        <v>0</v>
      </c>
      <c r="G55" s="1047">
        <v>2961203.57</v>
      </c>
      <c r="H55" s="563"/>
      <c r="I55" s="609"/>
      <c r="J55" s="609"/>
      <c r="K55" s="609"/>
      <c r="L55" s="609"/>
      <c r="M55" s="609"/>
      <c r="N55" s="599"/>
      <c r="O55" s="552" t="s">
        <v>1584</v>
      </c>
      <c r="P55" s="603"/>
      <c r="Q55" s="869"/>
      <c r="R55" s="869"/>
      <c r="S55" s="869"/>
      <c r="T55" s="869"/>
      <c r="U55" s="869"/>
      <c r="V55" s="869"/>
      <c r="W55" s="869"/>
      <c r="X55" s="869"/>
    </row>
    <row r="56" spans="1:24">
      <c r="A56" s="1045">
        <f t="shared" si="0"/>
        <v>5</v>
      </c>
      <c r="B56" s="1046">
        <v>45442</v>
      </c>
      <c r="C56" s="1045">
        <v>4010</v>
      </c>
      <c r="D56" s="1045" t="s">
        <v>75</v>
      </c>
      <c r="E56" s="1436"/>
      <c r="F56" s="1047">
        <v>0</v>
      </c>
      <c r="G56" s="1047">
        <v>12300</v>
      </c>
      <c r="H56" s="563"/>
      <c r="I56" s="609"/>
      <c r="J56" s="609"/>
      <c r="K56" s="609"/>
      <c r="L56" s="609"/>
      <c r="M56" s="609"/>
      <c r="N56" s="599"/>
      <c r="O56" s="552" t="s">
        <v>1584</v>
      </c>
      <c r="P56" s="603"/>
      <c r="Q56" s="869"/>
      <c r="R56" s="869"/>
      <c r="S56" s="869"/>
      <c r="T56" s="869"/>
      <c r="U56" s="869"/>
      <c r="V56" s="869"/>
      <c r="W56" s="869"/>
      <c r="X56" s="869"/>
    </row>
    <row r="57" spans="1:24">
      <c r="A57" s="1045">
        <f t="shared" si="0"/>
        <v>5</v>
      </c>
      <c r="B57" s="1046">
        <v>45442</v>
      </c>
      <c r="C57" s="1045">
        <v>5000</v>
      </c>
      <c r="D57" s="1045" t="s">
        <v>79</v>
      </c>
      <c r="E57" s="1436"/>
      <c r="F57" s="1047">
        <v>453.25</v>
      </c>
      <c r="G57" s="1047">
        <v>0</v>
      </c>
      <c r="H57" s="563"/>
      <c r="I57" s="609"/>
      <c r="J57" s="609"/>
      <c r="K57" s="609"/>
      <c r="L57" s="609"/>
      <c r="M57" s="609"/>
      <c r="N57" s="599"/>
      <c r="O57" s="552" t="s">
        <v>1584</v>
      </c>
      <c r="P57" s="603"/>
      <c r="Q57" s="869"/>
      <c r="R57" s="869"/>
      <c r="S57" s="869"/>
      <c r="T57" s="869"/>
      <c r="U57" s="869"/>
      <c r="V57" s="869"/>
      <c r="W57" s="869"/>
      <c r="X57" s="869"/>
    </row>
    <row r="58" spans="1:24">
      <c r="A58" s="1045">
        <f t="shared" si="0"/>
        <v>5</v>
      </c>
      <c r="B58" s="1046">
        <v>45442</v>
      </c>
      <c r="C58" s="1045">
        <v>5100</v>
      </c>
      <c r="D58" s="1045" t="s">
        <v>81</v>
      </c>
      <c r="E58" s="1436"/>
      <c r="F58" s="1047">
        <v>8767.64</v>
      </c>
      <c r="G58" s="1047">
        <v>0</v>
      </c>
      <c r="H58" s="563"/>
      <c r="I58" s="609"/>
      <c r="J58" s="609"/>
      <c r="K58" s="609"/>
      <c r="L58" s="609"/>
      <c r="M58" s="609"/>
      <c r="N58" s="599"/>
      <c r="O58" s="552" t="s">
        <v>1584</v>
      </c>
      <c r="P58" s="603"/>
      <c r="Q58" s="869"/>
      <c r="R58" s="869"/>
      <c r="S58" s="869"/>
      <c r="T58" s="869"/>
      <c r="U58" s="869"/>
      <c r="V58" s="869"/>
      <c r="W58" s="869"/>
      <c r="X58" s="869"/>
    </row>
    <row r="59" spans="1:24">
      <c r="A59" s="1045">
        <f t="shared" si="0"/>
        <v>5</v>
      </c>
      <c r="B59" s="1046">
        <v>45442</v>
      </c>
      <c r="C59" s="1045">
        <v>5150</v>
      </c>
      <c r="D59" s="1045" t="s">
        <v>82</v>
      </c>
      <c r="E59" s="1436"/>
      <c r="F59" s="1047">
        <v>1386920.95</v>
      </c>
      <c r="G59" s="1047">
        <v>0</v>
      </c>
      <c r="H59" s="563"/>
      <c r="I59" s="609"/>
      <c r="J59" s="609"/>
      <c r="K59" s="609"/>
      <c r="L59" s="609"/>
      <c r="M59" s="609"/>
      <c r="N59" s="599"/>
      <c r="O59" s="552" t="s">
        <v>1584</v>
      </c>
      <c r="P59" s="603"/>
      <c r="Q59" s="869"/>
      <c r="R59" s="869"/>
      <c r="S59" s="869"/>
      <c r="T59" s="869"/>
      <c r="U59" s="869"/>
      <c r="V59" s="869"/>
      <c r="W59" s="869"/>
      <c r="X59" s="869"/>
    </row>
    <row r="60" spans="1:24">
      <c r="A60" s="1045">
        <f t="shared" si="0"/>
        <v>5</v>
      </c>
      <c r="B60" s="1046">
        <v>45442</v>
      </c>
      <c r="C60" s="1045">
        <v>5200</v>
      </c>
      <c r="D60" s="1045" t="s">
        <v>83</v>
      </c>
      <c r="E60" s="1436"/>
      <c r="F60" s="1047">
        <v>176433.29</v>
      </c>
      <c r="G60" s="1047">
        <v>0</v>
      </c>
      <c r="H60" s="563"/>
      <c r="I60" s="609"/>
      <c r="J60" s="609"/>
      <c r="K60" s="609"/>
      <c r="L60" s="609"/>
      <c r="M60" s="609"/>
      <c r="N60" s="599"/>
      <c r="O60" s="552" t="s">
        <v>1584</v>
      </c>
      <c r="P60" s="603"/>
      <c r="Q60" s="869"/>
      <c r="R60" s="869"/>
      <c r="S60" s="869"/>
      <c r="T60" s="869"/>
      <c r="U60" s="869"/>
      <c r="V60" s="869"/>
      <c r="W60" s="869"/>
      <c r="X60" s="869"/>
    </row>
    <row r="61" spans="1:24">
      <c r="A61" s="1045">
        <f t="shared" si="0"/>
        <v>5</v>
      </c>
      <c r="B61" s="1046">
        <v>45442</v>
      </c>
      <c r="C61" s="1045">
        <v>5220</v>
      </c>
      <c r="D61" s="1045" t="s">
        <v>84</v>
      </c>
      <c r="E61" s="1436"/>
      <c r="F61" s="1047">
        <v>3213.3</v>
      </c>
      <c r="G61" s="1047">
        <v>0</v>
      </c>
      <c r="H61" s="563"/>
      <c r="I61" s="609"/>
      <c r="J61" s="609"/>
      <c r="K61" s="609"/>
      <c r="L61" s="609"/>
      <c r="M61" s="609"/>
      <c r="N61" s="599"/>
      <c r="O61" s="552" t="s">
        <v>1584</v>
      </c>
      <c r="P61" s="603"/>
      <c r="Q61" s="869"/>
      <c r="R61" s="869"/>
      <c r="S61" s="869"/>
      <c r="T61" s="869"/>
      <c r="U61" s="869"/>
      <c r="V61" s="869"/>
      <c r="W61" s="869"/>
      <c r="X61" s="869"/>
    </row>
    <row r="62" spans="1:24">
      <c r="A62" s="1045">
        <f t="shared" si="0"/>
        <v>5</v>
      </c>
      <c r="B62" s="1046">
        <v>45442</v>
      </c>
      <c r="C62" s="1045">
        <v>5250</v>
      </c>
      <c r="D62" s="1045" t="s">
        <v>85</v>
      </c>
      <c r="E62" s="1436"/>
      <c r="F62" s="1047">
        <v>207686.49</v>
      </c>
      <c r="G62" s="1047">
        <v>0</v>
      </c>
      <c r="H62" s="563"/>
      <c r="I62" s="609"/>
      <c r="J62" s="609"/>
      <c r="K62" s="609"/>
      <c r="L62" s="609"/>
      <c r="M62" s="609"/>
      <c r="N62" s="599"/>
      <c r="O62" s="552" t="s">
        <v>1584</v>
      </c>
      <c r="P62" s="603"/>
      <c r="Q62" s="869"/>
      <c r="R62" s="869"/>
      <c r="S62" s="869"/>
      <c r="T62" s="869"/>
      <c r="U62" s="869"/>
      <c r="V62" s="869"/>
      <c r="W62" s="869"/>
      <c r="X62" s="869"/>
    </row>
    <row r="63" spans="1:24">
      <c r="A63" s="1045">
        <f t="shared" si="0"/>
        <v>5</v>
      </c>
      <c r="B63" s="1046">
        <v>45442</v>
      </c>
      <c r="C63" s="1045">
        <v>5350</v>
      </c>
      <c r="D63" s="1045" t="s">
        <v>87</v>
      </c>
      <c r="E63" s="1436"/>
      <c r="F63" s="1047">
        <v>69000</v>
      </c>
      <c r="G63" s="1047">
        <v>0</v>
      </c>
      <c r="H63" s="563"/>
      <c r="I63" s="609"/>
      <c r="J63" s="609"/>
      <c r="K63" s="609"/>
      <c r="L63" s="609"/>
      <c r="M63" s="609"/>
      <c r="N63" s="599"/>
      <c r="O63" s="552" t="s">
        <v>1584</v>
      </c>
      <c r="P63" s="603"/>
      <c r="Q63" s="869"/>
      <c r="R63" s="869"/>
      <c r="S63" s="869"/>
      <c r="T63" s="869"/>
      <c r="U63" s="869"/>
      <c r="V63" s="869"/>
      <c r="W63" s="869"/>
      <c r="X63" s="869"/>
    </row>
    <row r="64" spans="1:24">
      <c r="A64" s="1045">
        <f t="shared" si="0"/>
        <v>5</v>
      </c>
      <c r="B64" s="1046">
        <v>45442</v>
      </c>
      <c r="C64" s="1045">
        <v>5950</v>
      </c>
      <c r="D64" s="1045" t="s">
        <v>90</v>
      </c>
      <c r="E64" s="1436"/>
      <c r="F64" s="1047">
        <v>14568.33</v>
      </c>
      <c r="G64" s="1047">
        <v>0</v>
      </c>
      <c r="H64" s="563"/>
      <c r="I64" s="609"/>
      <c r="J64" s="609"/>
      <c r="K64" s="609"/>
      <c r="L64" s="609"/>
      <c r="M64" s="609"/>
      <c r="N64" s="599"/>
      <c r="O64" s="552" t="s">
        <v>1584</v>
      </c>
      <c r="P64" s="603"/>
      <c r="Q64" s="869"/>
      <c r="R64" s="869"/>
      <c r="S64" s="869"/>
      <c r="T64" s="869"/>
      <c r="U64" s="869"/>
      <c r="V64" s="869"/>
      <c r="W64" s="869"/>
      <c r="X64" s="869"/>
    </row>
    <row r="65" spans="1:24">
      <c r="A65" s="1045">
        <f t="shared" si="0"/>
        <v>5</v>
      </c>
      <c r="B65" s="1046">
        <v>45442</v>
      </c>
      <c r="C65" s="1045">
        <v>6000</v>
      </c>
      <c r="D65" s="1045" t="s">
        <v>91</v>
      </c>
      <c r="E65" s="1436"/>
      <c r="F65" s="1047">
        <v>381686</v>
      </c>
      <c r="G65" s="1047">
        <v>0</v>
      </c>
      <c r="H65" s="563"/>
      <c r="I65" s="609"/>
      <c r="J65" s="609"/>
      <c r="K65" s="609"/>
      <c r="L65" s="609"/>
      <c r="M65" s="609"/>
      <c r="N65" s="599"/>
      <c r="O65" s="552" t="s">
        <v>1584</v>
      </c>
      <c r="P65" s="603"/>
      <c r="Q65" s="869"/>
      <c r="R65" s="869"/>
      <c r="S65" s="869"/>
      <c r="T65" s="869"/>
      <c r="U65" s="869"/>
      <c r="V65" s="869"/>
      <c r="W65" s="869"/>
      <c r="X65" s="869"/>
    </row>
    <row r="66" spans="1:24">
      <c r="A66" s="1045">
        <f t="shared" si="0"/>
        <v>5</v>
      </c>
      <c r="B66" s="1046">
        <v>45442</v>
      </c>
      <c r="C66" s="1045">
        <v>6001</v>
      </c>
      <c r="D66" s="1045" t="s">
        <v>92</v>
      </c>
      <c r="E66" s="1436"/>
      <c r="F66" s="1047">
        <v>33805.25</v>
      </c>
      <c r="G66" s="1047">
        <v>0</v>
      </c>
      <c r="H66" s="563"/>
      <c r="I66" s="609"/>
      <c r="J66" s="609"/>
      <c r="K66" s="609"/>
      <c r="L66" s="609"/>
      <c r="M66" s="609"/>
      <c r="N66" s="599"/>
      <c r="O66" s="552" t="s">
        <v>1584</v>
      </c>
      <c r="P66" s="603"/>
      <c r="Q66" s="869"/>
      <c r="R66" s="869"/>
      <c r="S66" s="869"/>
      <c r="T66" s="869"/>
      <c r="U66" s="869"/>
      <c r="V66" s="869"/>
      <c r="W66" s="869"/>
      <c r="X66" s="869"/>
    </row>
    <row r="67" spans="1:24">
      <c r="A67" s="1045">
        <f t="shared" si="0"/>
        <v>5</v>
      </c>
      <c r="B67" s="1046">
        <v>45442</v>
      </c>
      <c r="C67" s="1045">
        <v>6003</v>
      </c>
      <c r="D67" s="1045" t="s">
        <v>94</v>
      </c>
      <c r="E67" s="1436"/>
      <c r="F67" s="1047">
        <v>333.32</v>
      </c>
      <c r="G67" s="1047">
        <v>0</v>
      </c>
      <c r="H67" s="563"/>
      <c r="I67" s="609"/>
      <c r="J67" s="609"/>
      <c r="K67" s="609"/>
      <c r="L67" s="609"/>
      <c r="M67" s="609"/>
      <c r="N67" s="599"/>
      <c r="O67" s="552" t="s">
        <v>1584</v>
      </c>
      <c r="P67" s="603"/>
      <c r="Q67" s="869"/>
      <c r="R67" s="869"/>
      <c r="S67" s="869"/>
      <c r="T67" s="869"/>
      <c r="U67" s="869"/>
      <c r="V67" s="869"/>
      <c r="W67" s="869"/>
      <c r="X67" s="869"/>
    </row>
    <row r="68" spans="1:24">
      <c r="A68" s="1045">
        <f t="shared" si="0"/>
        <v>5</v>
      </c>
      <c r="B68" s="1046">
        <v>45442</v>
      </c>
      <c r="C68" s="1045">
        <v>6004</v>
      </c>
      <c r="D68" s="1045" t="s">
        <v>95</v>
      </c>
      <c r="E68" s="1436"/>
      <c r="F68" s="1047">
        <v>7835.77</v>
      </c>
      <c r="G68" s="1047">
        <v>0</v>
      </c>
      <c r="H68" s="563"/>
      <c r="I68" s="609"/>
      <c r="J68" s="609"/>
      <c r="K68" s="609"/>
      <c r="L68" s="609"/>
      <c r="M68" s="609"/>
      <c r="N68" s="599"/>
      <c r="O68" s="552" t="s">
        <v>1584</v>
      </c>
      <c r="P68" s="603"/>
      <c r="Q68" s="869"/>
      <c r="R68" s="869"/>
      <c r="S68" s="869"/>
      <c r="T68" s="869"/>
      <c r="U68" s="869"/>
      <c r="V68" s="869"/>
      <c r="W68" s="869"/>
      <c r="X68" s="869"/>
    </row>
    <row r="69" spans="1:24">
      <c r="A69" s="1045">
        <f t="shared" si="0"/>
        <v>5</v>
      </c>
      <c r="B69" s="1046">
        <v>45442</v>
      </c>
      <c r="C69" s="1045">
        <v>6007</v>
      </c>
      <c r="D69" s="1045" t="s">
        <v>98</v>
      </c>
      <c r="E69" s="1436"/>
      <c r="F69" s="1047">
        <v>800</v>
      </c>
      <c r="G69" s="1047">
        <v>0</v>
      </c>
      <c r="H69" s="563"/>
      <c r="I69" s="609"/>
      <c r="J69" s="609"/>
      <c r="K69" s="609"/>
      <c r="L69" s="609"/>
      <c r="M69" s="609"/>
      <c r="N69" s="599"/>
      <c r="O69" s="552" t="s">
        <v>1584</v>
      </c>
      <c r="P69" s="603"/>
      <c r="Q69" s="869"/>
      <c r="R69" s="869"/>
      <c r="S69" s="869"/>
      <c r="T69" s="869"/>
      <c r="U69" s="869"/>
      <c r="V69" s="869"/>
      <c r="W69" s="869"/>
      <c r="X69" s="869"/>
    </row>
    <row r="70" spans="1:24">
      <c r="A70" s="1045">
        <f t="shared" si="0"/>
        <v>5</v>
      </c>
      <c r="B70" s="1046">
        <v>45442</v>
      </c>
      <c r="C70" s="1045">
        <v>6009</v>
      </c>
      <c r="D70" s="1045" t="s">
        <v>100</v>
      </c>
      <c r="E70" s="1436"/>
      <c r="F70" s="1047">
        <v>3831.85</v>
      </c>
      <c r="G70" s="1047">
        <v>0</v>
      </c>
      <c r="H70" s="563"/>
      <c r="I70" s="609"/>
      <c r="J70" s="609"/>
      <c r="K70" s="609"/>
      <c r="L70" s="609"/>
      <c r="M70" s="609"/>
      <c r="N70" s="599"/>
      <c r="O70" s="552" t="s">
        <v>1584</v>
      </c>
      <c r="P70" s="603"/>
      <c r="Q70" s="869"/>
      <c r="R70" s="869"/>
      <c r="S70" s="869"/>
      <c r="T70" s="869"/>
      <c r="U70" s="869"/>
      <c r="V70" s="869"/>
      <c r="W70" s="869"/>
      <c r="X70" s="869"/>
    </row>
    <row r="71" spans="1:24">
      <c r="A71" s="1045">
        <f t="shared" si="0"/>
        <v>5</v>
      </c>
      <c r="B71" s="1046">
        <v>45442</v>
      </c>
      <c r="C71" s="1045">
        <v>6011</v>
      </c>
      <c r="D71" s="1045" t="s">
        <v>102</v>
      </c>
      <c r="E71" s="1436"/>
      <c r="F71" s="1047">
        <v>8254</v>
      </c>
      <c r="G71" s="1047">
        <v>0</v>
      </c>
      <c r="H71" s="563"/>
      <c r="I71" s="609"/>
      <c r="J71" s="609"/>
      <c r="K71" s="609"/>
      <c r="L71" s="609"/>
      <c r="M71" s="609"/>
      <c r="N71" s="599"/>
      <c r="O71" s="552" t="s">
        <v>1584</v>
      </c>
      <c r="P71" s="603"/>
      <c r="Q71" s="869"/>
      <c r="R71" s="869"/>
      <c r="S71" s="869"/>
      <c r="T71" s="869"/>
      <c r="U71" s="869"/>
      <c r="V71" s="869"/>
      <c r="W71" s="869"/>
      <c r="X71" s="869"/>
    </row>
    <row r="72" spans="1:24">
      <c r="A72" s="1045">
        <f t="shared" si="0"/>
        <v>5</v>
      </c>
      <c r="B72" s="1046">
        <v>45442</v>
      </c>
      <c r="C72" s="1045">
        <v>6013</v>
      </c>
      <c r="D72" s="1045" t="s">
        <v>104</v>
      </c>
      <c r="E72" s="1436"/>
      <c r="F72" s="1047">
        <v>21015.32</v>
      </c>
      <c r="G72" s="1047">
        <v>0</v>
      </c>
      <c r="H72" s="563"/>
      <c r="I72" s="609"/>
      <c r="J72" s="609"/>
      <c r="K72" s="609"/>
      <c r="L72" s="609"/>
      <c r="M72" s="609"/>
      <c r="N72" s="599"/>
      <c r="O72" s="552" t="s">
        <v>1584</v>
      </c>
      <c r="P72" s="603"/>
      <c r="Q72" s="869"/>
      <c r="R72" s="869"/>
      <c r="S72" s="869"/>
      <c r="T72" s="869"/>
      <c r="U72" s="869"/>
      <c r="V72" s="869"/>
      <c r="W72" s="869"/>
      <c r="X72" s="869"/>
    </row>
    <row r="73" spans="1:24">
      <c r="A73" s="1045">
        <f t="shared" si="0"/>
        <v>5</v>
      </c>
      <c r="B73" s="1046">
        <v>45442</v>
      </c>
      <c r="C73" s="1045">
        <v>6014</v>
      </c>
      <c r="D73" s="1045" t="s">
        <v>105</v>
      </c>
      <c r="E73" s="1436"/>
      <c r="F73" s="1047">
        <v>5729.41</v>
      </c>
      <c r="G73" s="1047">
        <v>0</v>
      </c>
      <c r="H73" s="563"/>
      <c r="I73" s="609"/>
      <c r="J73" s="609"/>
      <c r="K73" s="609"/>
      <c r="L73" s="609"/>
      <c r="M73" s="609"/>
      <c r="N73" s="599"/>
      <c r="O73" s="552" t="s">
        <v>1584</v>
      </c>
      <c r="P73" s="603"/>
      <c r="Q73" s="869"/>
      <c r="R73" s="869"/>
      <c r="S73" s="869"/>
      <c r="T73" s="869"/>
      <c r="U73" s="869"/>
      <c r="V73" s="869"/>
      <c r="W73" s="869"/>
      <c r="X73" s="869"/>
    </row>
    <row r="74" spans="1:24">
      <c r="A74" s="1045">
        <f t="shared" si="0"/>
        <v>5</v>
      </c>
      <c r="B74" s="1046">
        <v>45442</v>
      </c>
      <c r="C74" s="1045">
        <v>6015</v>
      </c>
      <c r="D74" s="1045" t="s">
        <v>106</v>
      </c>
      <c r="E74" s="1436"/>
      <c r="F74" s="1047">
        <v>1150.8499999999999</v>
      </c>
      <c r="G74" s="1047">
        <v>0</v>
      </c>
      <c r="H74" s="563"/>
      <c r="I74" s="609"/>
      <c r="J74" s="609"/>
      <c r="K74" s="609"/>
      <c r="L74" s="609"/>
      <c r="M74" s="609"/>
      <c r="N74" s="599"/>
      <c r="O74" s="552" t="s">
        <v>1584</v>
      </c>
      <c r="P74" s="603"/>
      <c r="Q74" s="869"/>
      <c r="R74" s="869"/>
      <c r="S74" s="869"/>
      <c r="T74" s="869"/>
      <c r="U74" s="869"/>
      <c r="V74" s="869"/>
      <c r="W74" s="869"/>
      <c r="X74" s="869"/>
    </row>
    <row r="75" spans="1:24">
      <c r="A75" s="1045">
        <f t="shared" ref="A75:A138" si="1">IF(B75="","",MONTH(B75))</f>
        <v>5</v>
      </c>
      <c r="B75" s="1046">
        <v>45442</v>
      </c>
      <c r="C75" s="1045">
        <v>6016</v>
      </c>
      <c r="D75" s="1045" t="s">
        <v>107</v>
      </c>
      <c r="E75" s="1436"/>
      <c r="F75" s="1047">
        <v>68458.899999999994</v>
      </c>
      <c r="G75" s="1047">
        <v>0</v>
      </c>
      <c r="H75" s="563"/>
      <c r="I75" s="609"/>
      <c r="J75" s="609"/>
      <c r="K75" s="609"/>
      <c r="L75" s="609"/>
      <c r="M75" s="609"/>
      <c r="N75" s="599"/>
      <c r="O75" s="552" t="s">
        <v>1584</v>
      </c>
      <c r="P75" s="603"/>
      <c r="Q75" s="869"/>
      <c r="R75" s="869"/>
      <c r="S75" s="869"/>
      <c r="T75" s="869"/>
      <c r="U75" s="869"/>
      <c r="V75" s="869"/>
      <c r="W75" s="869"/>
      <c r="X75" s="869"/>
    </row>
    <row r="76" spans="1:24">
      <c r="A76" s="1045">
        <f t="shared" si="1"/>
        <v>5</v>
      </c>
      <c r="B76" s="1046">
        <v>45442</v>
      </c>
      <c r="C76" s="1045">
        <v>6017</v>
      </c>
      <c r="D76" s="1045" t="s">
        <v>108</v>
      </c>
      <c r="E76" s="1436"/>
      <c r="F76" s="1047">
        <v>3991.3</v>
      </c>
      <c r="G76" s="1047">
        <v>0</v>
      </c>
      <c r="H76" s="563"/>
      <c r="I76" s="609"/>
      <c r="J76" s="609"/>
      <c r="K76" s="609"/>
      <c r="L76" s="609"/>
      <c r="M76" s="609"/>
      <c r="N76" s="599"/>
      <c r="O76" s="552" t="s">
        <v>1584</v>
      </c>
      <c r="P76" s="603"/>
      <c r="Q76" s="869"/>
      <c r="R76" s="869"/>
      <c r="S76" s="869"/>
      <c r="T76" s="869"/>
      <c r="U76" s="869"/>
      <c r="V76" s="869"/>
      <c r="W76" s="869"/>
      <c r="X76" s="869"/>
    </row>
    <row r="77" spans="1:24">
      <c r="A77" s="1045">
        <f t="shared" si="1"/>
        <v>5</v>
      </c>
      <c r="B77" s="1046">
        <v>45442</v>
      </c>
      <c r="C77" s="1045">
        <v>6022</v>
      </c>
      <c r="D77" s="1045" t="s">
        <v>113</v>
      </c>
      <c r="E77" s="1436"/>
      <c r="F77" s="1047">
        <v>7044.59</v>
      </c>
      <c r="G77" s="1047">
        <v>0</v>
      </c>
      <c r="H77" s="563"/>
      <c r="I77" s="609"/>
      <c r="J77" s="609"/>
      <c r="K77" s="609"/>
      <c r="L77" s="609"/>
      <c r="M77" s="609"/>
      <c r="N77" s="599"/>
      <c r="O77" s="552" t="s">
        <v>1584</v>
      </c>
      <c r="P77" s="603"/>
      <c r="Q77" s="869"/>
      <c r="R77" s="869"/>
      <c r="S77" s="869"/>
      <c r="T77" s="869"/>
      <c r="U77" s="869"/>
      <c r="V77" s="869"/>
      <c r="W77" s="869"/>
      <c r="X77" s="869"/>
    </row>
    <row r="78" spans="1:24">
      <c r="A78" s="1045">
        <f t="shared" si="1"/>
        <v>5</v>
      </c>
      <c r="B78" s="1046">
        <v>45442</v>
      </c>
      <c r="C78" s="1045">
        <v>6023</v>
      </c>
      <c r="D78" s="1045" t="s">
        <v>114</v>
      </c>
      <c r="E78" s="1436"/>
      <c r="F78" s="1047">
        <v>1780</v>
      </c>
      <c r="G78" s="1047">
        <v>0</v>
      </c>
      <c r="H78" s="563"/>
      <c r="I78" s="609"/>
      <c r="J78" s="609"/>
      <c r="K78" s="609"/>
      <c r="L78" s="609"/>
      <c r="M78" s="609"/>
      <c r="N78" s="599"/>
      <c r="O78" s="552" t="s">
        <v>1584</v>
      </c>
      <c r="P78" s="603"/>
      <c r="Q78" s="869"/>
      <c r="R78" s="869"/>
      <c r="S78" s="869"/>
      <c r="T78" s="869"/>
      <c r="U78" s="869"/>
      <c r="V78" s="869"/>
      <c r="W78" s="869"/>
      <c r="X78" s="869"/>
    </row>
    <row r="79" spans="1:24">
      <c r="A79" s="1045">
        <f t="shared" si="1"/>
        <v>5</v>
      </c>
      <c r="B79" s="1046">
        <v>45442</v>
      </c>
      <c r="C79" s="1045">
        <v>6024</v>
      </c>
      <c r="D79" s="1045" t="s">
        <v>115</v>
      </c>
      <c r="E79" s="1436"/>
      <c r="F79" s="1047">
        <v>1145</v>
      </c>
      <c r="G79" s="1047">
        <v>0</v>
      </c>
      <c r="H79" s="563"/>
      <c r="I79" s="609"/>
      <c r="J79" s="609"/>
      <c r="K79" s="609"/>
      <c r="L79" s="609"/>
      <c r="M79" s="609"/>
      <c r="N79" s="599"/>
      <c r="O79" s="552" t="s">
        <v>1584</v>
      </c>
      <c r="P79" s="603"/>
      <c r="Q79" s="869"/>
      <c r="R79" s="869"/>
      <c r="S79" s="869"/>
      <c r="T79" s="869"/>
      <c r="U79" s="869"/>
      <c r="V79" s="869"/>
      <c r="W79" s="869"/>
      <c r="X79" s="869"/>
    </row>
    <row r="80" spans="1:24">
      <c r="A80" s="1045">
        <f t="shared" si="1"/>
        <v>5</v>
      </c>
      <c r="B80" s="1046">
        <v>45442</v>
      </c>
      <c r="C80" s="1045">
        <v>6025</v>
      </c>
      <c r="D80" s="1045" t="s">
        <v>116</v>
      </c>
      <c r="E80" s="1436"/>
      <c r="F80" s="1047">
        <v>605.5</v>
      </c>
      <c r="G80" s="1047">
        <v>0</v>
      </c>
      <c r="H80" s="563"/>
      <c r="I80" s="609"/>
      <c r="J80" s="609"/>
      <c r="K80" s="609"/>
      <c r="L80" s="609"/>
      <c r="M80" s="609"/>
      <c r="N80" s="599"/>
      <c r="O80" s="552" t="s">
        <v>1584</v>
      </c>
      <c r="P80" s="603"/>
      <c r="Q80" s="869"/>
      <c r="R80" s="869"/>
      <c r="S80" s="869"/>
      <c r="T80" s="869"/>
      <c r="U80" s="869"/>
      <c r="V80" s="869"/>
      <c r="W80" s="869"/>
      <c r="X80" s="869"/>
    </row>
    <row r="81" spans="1:24">
      <c r="A81" s="1045">
        <f t="shared" si="1"/>
        <v>5</v>
      </c>
      <c r="B81" s="1046">
        <v>45442</v>
      </c>
      <c r="C81" s="1045">
        <v>6026</v>
      </c>
      <c r="D81" s="1045" t="s">
        <v>117</v>
      </c>
      <c r="E81" s="1436"/>
      <c r="F81" s="1047">
        <v>200</v>
      </c>
      <c r="G81" s="1047">
        <v>0</v>
      </c>
      <c r="H81" s="563"/>
      <c r="I81" s="609"/>
      <c r="J81" s="609"/>
      <c r="K81" s="609"/>
      <c r="L81" s="609"/>
      <c r="M81" s="609"/>
      <c r="N81" s="599"/>
      <c r="O81" s="552" t="s">
        <v>1584</v>
      </c>
      <c r="P81" s="603"/>
      <c r="Q81" s="869"/>
      <c r="R81" s="869"/>
      <c r="S81" s="869"/>
      <c r="T81" s="869"/>
      <c r="U81" s="869"/>
      <c r="V81" s="869"/>
      <c r="W81" s="869"/>
      <c r="X81" s="869"/>
    </row>
    <row r="82" spans="1:24">
      <c r="A82" s="1045">
        <f t="shared" si="1"/>
        <v>5</v>
      </c>
      <c r="B82" s="1046">
        <v>45442</v>
      </c>
      <c r="C82" s="1045">
        <v>6027</v>
      </c>
      <c r="D82" s="1045" t="s">
        <v>118</v>
      </c>
      <c r="E82" s="1436"/>
      <c r="F82" s="1047">
        <v>46000</v>
      </c>
      <c r="G82" s="1047">
        <v>0</v>
      </c>
      <c r="H82" s="563"/>
      <c r="I82" s="609"/>
      <c r="J82" s="609"/>
      <c r="K82" s="609"/>
      <c r="L82" s="609"/>
      <c r="M82" s="609"/>
      <c r="N82" s="599"/>
      <c r="O82" s="552" t="s">
        <v>1584</v>
      </c>
      <c r="P82" s="603"/>
      <c r="Q82" s="869"/>
      <c r="R82" s="869"/>
      <c r="S82" s="869"/>
      <c r="T82" s="869"/>
      <c r="U82" s="869"/>
      <c r="V82" s="869"/>
      <c r="W82" s="869"/>
      <c r="X82" s="869"/>
    </row>
    <row r="83" spans="1:24">
      <c r="A83" s="1045">
        <f t="shared" si="1"/>
        <v>5</v>
      </c>
      <c r="B83" s="1046">
        <v>45442</v>
      </c>
      <c r="C83" s="1045">
        <v>6028</v>
      </c>
      <c r="D83" s="1045" t="s">
        <v>119</v>
      </c>
      <c r="E83" s="1436"/>
      <c r="F83" s="1047">
        <v>46820</v>
      </c>
      <c r="G83" s="1047">
        <v>0</v>
      </c>
      <c r="H83" s="563"/>
      <c r="I83" s="609"/>
      <c r="J83" s="609"/>
      <c r="K83" s="609"/>
      <c r="L83" s="609"/>
      <c r="M83" s="609"/>
      <c r="N83" s="599"/>
      <c r="O83" s="552" t="s">
        <v>1584</v>
      </c>
      <c r="P83" s="603"/>
      <c r="Q83" s="869"/>
      <c r="R83" s="869"/>
      <c r="S83" s="869"/>
      <c r="T83" s="869"/>
      <c r="U83" s="869"/>
      <c r="V83" s="869"/>
      <c r="W83" s="869"/>
      <c r="X83" s="869"/>
    </row>
    <row r="84" spans="1:24">
      <c r="A84" s="1045">
        <f t="shared" si="1"/>
        <v>5</v>
      </c>
      <c r="B84" s="1046">
        <v>45442</v>
      </c>
      <c r="C84" s="1045">
        <v>6200</v>
      </c>
      <c r="D84" s="1045" t="s">
        <v>128</v>
      </c>
      <c r="E84" s="1436"/>
      <c r="F84" s="1047">
        <v>5267.55</v>
      </c>
      <c r="G84" s="1047">
        <v>0</v>
      </c>
      <c r="H84" s="563"/>
      <c r="I84" s="609"/>
      <c r="J84" s="609"/>
      <c r="K84" s="609"/>
      <c r="L84" s="609"/>
      <c r="M84" s="609"/>
      <c r="N84" s="599"/>
      <c r="O84" s="552" t="s">
        <v>1584</v>
      </c>
      <c r="P84" s="603"/>
      <c r="Q84" s="869"/>
      <c r="R84" s="869"/>
      <c r="S84" s="869"/>
      <c r="T84" s="869"/>
      <c r="U84" s="869"/>
      <c r="V84" s="869"/>
      <c r="W84" s="869"/>
      <c r="X84" s="869"/>
    </row>
    <row r="85" spans="1:24">
      <c r="A85" s="1045">
        <f t="shared" si="1"/>
        <v>5</v>
      </c>
      <c r="B85" s="1046">
        <v>45442</v>
      </c>
      <c r="C85" s="1045">
        <v>6250</v>
      </c>
      <c r="D85" s="1045" t="s">
        <v>129</v>
      </c>
      <c r="E85" s="1436"/>
      <c r="F85" s="1047">
        <v>11504.95</v>
      </c>
      <c r="G85" s="1047">
        <v>0</v>
      </c>
      <c r="H85" s="563"/>
      <c r="I85" s="609"/>
      <c r="J85" s="609"/>
      <c r="K85" s="609"/>
      <c r="L85" s="609"/>
      <c r="M85" s="609"/>
      <c r="N85" s="599"/>
      <c r="O85" s="552" t="s">
        <v>1584</v>
      </c>
      <c r="P85" s="603"/>
      <c r="Q85" s="869"/>
      <c r="R85" s="869"/>
      <c r="S85" s="869"/>
      <c r="T85" s="869"/>
      <c r="U85" s="869"/>
      <c r="V85" s="869"/>
      <c r="W85" s="869"/>
      <c r="X85" s="869"/>
    </row>
    <row r="86" spans="1:24">
      <c r="A86" s="1045">
        <f t="shared" si="1"/>
        <v>5</v>
      </c>
      <c r="B86" s="1046">
        <v>45442</v>
      </c>
      <c r="C86" s="1045">
        <v>6300</v>
      </c>
      <c r="D86" s="1045" t="s">
        <v>130</v>
      </c>
      <c r="E86" s="1436"/>
      <c r="F86" s="1047">
        <v>1627.5</v>
      </c>
      <c r="G86" s="1047">
        <v>0</v>
      </c>
      <c r="H86" s="563"/>
      <c r="I86" s="609"/>
      <c r="J86" s="609"/>
      <c r="K86" s="609"/>
      <c r="L86" s="609"/>
      <c r="M86" s="609"/>
      <c r="N86" s="599"/>
      <c r="O86" s="552" t="s">
        <v>1584</v>
      </c>
      <c r="P86" s="603"/>
      <c r="Q86" s="869"/>
      <c r="R86" s="869"/>
      <c r="S86" s="869"/>
      <c r="T86" s="869"/>
      <c r="U86" s="869"/>
      <c r="V86" s="869"/>
      <c r="W86" s="869"/>
      <c r="X86" s="869"/>
    </row>
    <row r="87" spans="1:24">
      <c r="A87" s="1045">
        <f t="shared" si="1"/>
        <v>5</v>
      </c>
      <c r="B87" s="1046">
        <v>45442</v>
      </c>
      <c r="C87" s="1045">
        <v>6350</v>
      </c>
      <c r="D87" s="1045" t="s">
        <v>131</v>
      </c>
      <c r="E87" s="1436"/>
      <c r="F87" s="1047">
        <v>4914.0600000000004</v>
      </c>
      <c r="G87" s="1047">
        <v>0</v>
      </c>
      <c r="H87" s="563"/>
      <c r="I87" s="609"/>
      <c r="J87" s="609"/>
      <c r="K87" s="609"/>
      <c r="L87" s="609"/>
      <c r="M87" s="609"/>
      <c r="N87" s="599"/>
      <c r="O87" s="552" t="s">
        <v>1584</v>
      </c>
      <c r="P87" s="603"/>
      <c r="Q87" s="869"/>
      <c r="R87" s="869"/>
      <c r="S87" s="869"/>
      <c r="T87" s="869"/>
      <c r="U87" s="869"/>
      <c r="V87" s="869"/>
      <c r="W87" s="869"/>
      <c r="X87" s="869"/>
    </row>
    <row r="88" spans="1:24">
      <c r="A88" s="1045">
        <f t="shared" si="1"/>
        <v>5</v>
      </c>
      <c r="B88" s="1046">
        <v>45442</v>
      </c>
      <c r="C88" s="1045">
        <v>6450</v>
      </c>
      <c r="D88" s="1045" t="s">
        <v>133</v>
      </c>
      <c r="E88" s="1436"/>
      <c r="F88" s="1047">
        <v>1018.53</v>
      </c>
      <c r="G88" s="1047">
        <v>0</v>
      </c>
      <c r="H88" s="563"/>
      <c r="I88" s="609"/>
      <c r="J88" s="609"/>
      <c r="K88" s="609"/>
      <c r="L88" s="609"/>
      <c r="M88" s="609"/>
      <c r="N88" s="599"/>
      <c r="O88" s="552" t="s">
        <v>1584</v>
      </c>
      <c r="P88" s="603"/>
      <c r="Q88" s="869"/>
      <c r="R88" s="869"/>
      <c r="S88" s="869"/>
      <c r="T88" s="869"/>
      <c r="U88" s="869"/>
      <c r="V88" s="869"/>
      <c r="W88" s="869"/>
      <c r="X88" s="869"/>
    </row>
    <row r="89" spans="1:24">
      <c r="A89" s="1045">
        <f t="shared" si="1"/>
        <v>5</v>
      </c>
      <c r="B89" s="1046">
        <v>45442</v>
      </c>
      <c r="C89" s="1045">
        <v>7200</v>
      </c>
      <c r="D89" s="1045" t="s">
        <v>140</v>
      </c>
      <c r="E89" s="1436"/>
      <c r="F89" s="1047">
        <v>522.75</v>
      </c>
      <c r="G89" s="1047">
        <v>0</v>
      </c>
      <c r="H89" s="563"/>
      <c r="I89" s="609"/>
      <c r="J89" s="609"/>
      <c r="K89" s="609"/>
      <c r="L89" s="609"/>
      <c r="M89" s="609"/>
      <c r="N89" s="599"/>
      <c r="O89" s="552" t="s">
        <v>1584</v>
      </c>
      <c r="P89" s="603"/>
      <c r="Q89" s="869"/>
      <c r="R89" s="869"/>
      <c r="S89" s="869"/>
      <c r="T89" s="869"/>
      <c r="U89" s="869"/>
      <c r="V89" s="869"/>
      <c r="W89" s="869"/>
      <c r="X89" s="869"/>
    </row>
    <row r="90" spans="1:24">
      <c r="A90" s="1045">
        <f t="shared" si="1"/>
        <v>5</v>
      </c>
      <c r="B90" s="1046">
        <v>45442</v>
      </c>
      <c r="C90" s="1045">
        <v>7300</v>
      </c>
      <c r="D90" s="1045" t="s">
        <v>142</v>
      </c>
      <c r="E90" s="1436"/>
      <c r="F90" s="1047">
        <v>30607.99</v>
      </c>
      <c r="G90" s="1047">
        <v>0</v>
      </c>
      <c r="H90" s="563"/>
      <c r="I90" s="609"/>
      <c r="J90" s="609"/>
      <c r="K90" s="609"/>
      <c r="L90" s="609"/>
      <c r="M90" s="609"/>
      <c r="N90" s="599"/>
      <c r="O90" s="552" t="s">
        <v>1584</v>
      </c>
      <c r="P90" s="603"/>
      <c r="Q90" s="869"/>
      <c r="R90" s="869"/>
      <c r="S90" s="869"/>
      <c r="T90" s="869"/>
      <c r="U90" s="869"/>
      <c r="V90" s="869"/>
      <c r="W90" s="869"/>
      <c r="X90" s="869"/>
    </row>
    <row r="91" spans="1:24">
      <c r="A91" s="1045">
        <f t="shared" si="1"/>
        <v>5</v>
      </c>
      <c r="B91" s="1046">
        <v>45442</v>
      </c>
      <c r="C91" s="1045">
        <v>6005</v>
      </c>
      <c r="D91" s="1045" t="s">
        <v>96</v>
      </c>
      <c r="E91" s="1436"/>
      <c r="F91" s="1047">
        <v>30</v>
      </c>
      <c r="G91" s="1047">
        <v>0</v>
      </c>
      <c r="H91" s="563"/>
      <c r="I91" s="609"/>
      <c r="J91" s="609"/>
      <c r="K91" s="609"/>
      <c r="L91" s="609"/>
      <c r="M91" s="609"/>
      <c r="N91" s="599"/>
      <c r="O91" s="552" t="s">
        <v>1584</v>
      </c>
      <c r="P91" s="603"/>
      <c r="Q91" s="869"/>
      <c r="R91" s="869"/>
      <c r="S91" s="869"/>
      <c r="T91" s="869"/>
      <c r="U91" s="869"/>
      <c r="V91" s="869"/>
      <c r="W91" s="869"/>
      <c r="X91" s="869"/>
    </row>
    <row r="92" spans="1:24">
      <c r="A92" s="1045">
        <f t="shared" si="1"/>
        <v>5</v>
      </c>
      <c r="B92" s="1046">
        <v>45442</v>
      </c>
      <c r="C92" s="1045">
        <v>6010</v>
      </c>
      <c r="D92" s="1045" t="s">
        <v>101</v>
      </c>
      <c r="E92" s="1436"/>
      <c r="F92" s="1047">
        <v>100</v>
      </c>
      <c r="G92" s="1047">
        <v>0</v>
      </c>
      <c r="H92" s="563"/>
      <c r="I92" s="609"/>
      <c r="J92" s="609"/>
      <c r="K92" s="609"/>
      <c r="L92" s="609"/>
      <c r="M92" s="609"/>
      <c r="N92" s="599"/>
      <c r="O92" s="552" t="s">
        <v>1584</v>
      </c>
      <c r="P92" s="603"/>
      <c r="Q92" s="869"/>
      <c r="R92" s="869"/>
      <c r="S92" s="869"/>
      <c r="T92" s="869"/>
      <c r="U92" s="869"/>
      <c r="V92" s="869"/>
      <c r="W92" s="869"/>
      <c r="X92" s="869"/>
    </row>
    <row r="93" spans="1:24" s="14" customFormat="1">
      <c r="A93" s="1045" t="str">
        <f t="shared" si="1"/>
        <v/>
      </c>
      <c r="B93" s="398"/>
      <c r="C93" s="306" t="s">
        <v>4809</v>
      </c>
      <c r="D93" s="306" t="s">
        <v>5728</v>
      </c>
      <c r="E93" s="306"/>
      <c r="F93" s="380"/>
      <c r="G93" s="380"/>
      <c r="H93" s="666"/>
      <c r="I93" s="1154"/>
      <c r="J93" s="1154"/>
      <c r="K93" s="1154"/>
      <c r="L93" s="1154"/>
      <c r="M93" s="1154"/>
      <c r="N93" s="668"/>
      <c r="O93" s="552" t="s">
        <v>1584</v>
      </c>
      <c r="P93" s="667"/>
      <c r="Q93" s="869"/>
      <c r="R93" s="869"/>
      <c r="S93" s="869"/>
      <c r="T93" s="869"/>
      <c r="U93" s="869"/>
      <c r="V93" s="869"/>
      <c r="W93" s="869"/>
      <c r="X93" s="869"/>
    </row>
    <row r="94" spans="1:24">
      <c r="A94" s="1045">
        <f t="shared" si="1"/>
        <v>6</v>
      </c>
      <c r="B94" s="134">
        <v>45444</v>
      </c>
      <c r="C94" s="70">
        <v>6250</v>
      </c>
      <c r="D94" s="70" t="s">
        <v>129</v>
      </c>
      <c r="E94" s="70" t="s">
        <v>3051</v>
      </c>
      <c r="F94" s="1049">
        <v>150</v>
      </c>
      <c r="G94" s="1049">
        <v>0</v>
      </c>
      <c r="H94" s="563"/>
      <c r="I94" s="609"/>
      <c r="J94" s="609"/>
      <c r="K94" s="609"/>
      <c r="L94" s="609"/>
      <c r="M94" s="609"/>
      <c r="N94" s="599"/>
      <c r="O94" s="552" t="s">
        <v>1584</v>
      </c>
      <c r="P94" s="603"/>
      <c r="Q94" s="869"/>
      <c r="R94" s="869"/>
      <c r="S94" s="869"/>
      <c r="T94" s="869"/>
      <c r="U94" s="869"/>
      <c r="V94" s="869"/>
      <c r="W94" s="869"/>
      <c r="X94" s="869"/>
    </row>
    <row r="95" spans="1:24">
      <c r="A95" s="1045">
        <f t="shared" si="1"/>
        <v>6</v>
      </c>
      <c r="B95" s="134">
        <v>45444</v>
      </c>
      <c r="C95" s="70">
        <v>1017</v>
      </c>
      <c r="D95" s="70" t="s">
        <v>5118</v>
      </c>
      <c r="E95" s="70" t="s">
        <v>3051</v>
      </c>
      <c r="F95" s="1049">
        <v>0</v>
      </c>
      <c r="G95" s="1049">
        <v>150</v>
      </c>
      <c r="H95" s="563"/>
      <c r="I95" s="609"/>
      <c r="J95" s="609"/>
      <c r="K95" s="609"/>
      <c r="L95" s="609"/>
      <c r="M95" s="609"/>
      <c r="N95" s="599"/>
      <c r="O95" s="552" t="s">
        <v>1584</v>
      </c>
      <c r="P95" s="603"/>
      <c r="Q95" s="869"/>
      <c r="R95" s="869"/>
      <c r="S95" s="869"/>
      <c r="T95" s="869"/>
      <c r="U95" s="869"/>
      <c r="V95" s="869"/>
      <c r="W95" s="869"/>
      <c r="X95" s="869"/>
    </row>
    <row r="96" spans="1:24">
      <c r="A96" s="1045">
        <f t="shared" si="1"/>
        <v>6</v>
      </c>
      <c r="B96" s="134">
        <v>45444</v>
      </c>
      <c r="C96" s="70">
        <v>6009</v>
      </c>
      <c r="D96" s="70" t="s">
        <v>100</v>
      </c>
      <c r="E96" s="70" t="s">
        <v>3052</v>
      </c>
      <c r="F96" s="1049">
        <v>249</v>
      </c>
      <c r="G96" s="1049">
        <v>0</v>
      </c>
      <c r="H96" s="563"/>
      <c r="I96" s="609"/>
      <c r="J96" s="609"/>
      <c r="K96" s="609"/>
      <c r="L96" s="609"/>
      <c r="M96" s="609"/>
      <c r="N96" s="599"/>
      <c r="O96" s="552" t="s">
        <v>1584</v>
      </c>
      <c r="P96" s="603"/>
      <c r="Q96" s="869"/>
      <c r="R96" s="869"/>
      <c r="S96" s="869"/>
      <c r="T96" s="869"/>
      <c r="U96" s="869"/>
      <c r="V96" s="869"/>
      <c r="W96" s="869"/>
      <c r="X96" s="869"/>
    </row>
    <row r="97" spans="1:24">
      <c r="A97" s="1045">
        <f t="shared" si="1"/>
        <v>6</v>
      </c>
      <c r="B97" s="134">
        <v>45444</v>
      </c>
      <c r="C97" s="70">
        <v>2018</v>
      </c>
      <c r="D97" s="70" t="s">
        <v>58</v>
      </c>
      <c r="E97" s="70" t="s">
        <v>3052</v>
      </c>
      <c r="F97" s="1049">
        <v>12.45</v>
      </c>
      <c r="G97" s="1049">
        <v>0</v>
      </c>
      <c r="H97" s="563"/>
      <c r="I97" s="609"/>
      <c r="J97" s="609"/>
      <c r="K97" s="609"/>
      <c r="L97" s="609"/>
      <c r="M97" s="609"/>
      <c r="N97" s="599"/>
      <c r="O97" s="552" t="s">
        <v>1584</v>
      </c>
      <c r="P97" s="603"/>
      <c r="Q97" s="869"/>
      <c r="R97" s="869"/>
      <c r="S97" s="869"/>
      <c r="T97" s="869"/>
      <c r="U97" s="869"/>
      <c r="V97" s="869"/>
      <c r="W97" s="869"/>
      <c r="X97" s="869"/>
    </row>
    <row r="98" spans="1:24">
      <c r="A98" s="1045">
        <f t="shared" si="1"/>
        <v>6</v>
      </c>
      <c r="B98" s="134">
        <v>45444</v>
      </c>
      <c r="C98" s="70">
        <v>1025</v>
      </c>
      <c r="D98" s="70" t="s">
        <v>5120</v>
      </c>
      <c r="E98" s="70" t="s">
        <v>3052</v>
      </c>
      <c r="F98" s="1049">
        <v>0</v>
      </c>
      <c r="G98" s="1049">
        <v>261.45</v>
      </c>
      <c r="H98" s="563"/>
      <c r="I98" s="609"/>
      <c r="J98" s="609"/>
      <c r="K98" s="609"/>
      <c r="L98" s="609"/>
      <c r="M98" s="609"/>
      <c r="N98" s="599"/>
      <c r="O98" s="552" t="s">
        <v>1584</v>
      </c>
      <c r="P98" s="603"/>
      <c r="Q98" s="869"/>
      <c r="R98" s="869"/>
      <c r="S98" s="869"/>
      <c r="T98" s="869"/>
      <c r="U98" s="869"/>
      <c r="V98" s="869"/>
      <c r="W98" s="869"/>
      <c r="X98" s="869"/>
    </row>
    <row r="99" spans="1:24">
      <c r="A99" s="1045">
        <f t="shared" si="1"/>
        <v>6</v>
      </c>
      <c r="B99" s="134">
        <v>45444</v>
      </c>
      <c r="C99" s="70">
        <v>6007</v>
      </c>
      <c r="D99" s="70" t="s">
        <v>98</v>
      </c>
      <c r="E99" s="70" t="s">
        <v>3053</v>
      </c>
      <c r="F99" s="1049">
        <v>550.48</v>
      </c>
      <c r="G99" s="1049">
        <v>0</v>
      </c>
      <c r="H99" s="563"/>
      <c r="I99" s="609"/>
      <c r="J99" s="609"/>
      <c r="K99" s="609"/>
      <c r="L99" s="609"/>
      <c r="M99" s="609"/>
      <c r="N99" s="599"/>
      <c r="O99" s="552" t="s">
        <v>1584</v>
      </c>
      <c r="P99" s="603"/>
      <c r="Q99" s="869"/>
      <c r="R99" s="869"/>
      <c r="S99" s="869"/>
      <c r="T99" s="869"/>
      <c r="U99" s="869"/>
      <c r="V99" s="869"/>
      <c r="W99" s="869"/>
      <c r="X99" s="869"/>
    </row>
    <row r="100" spans="1:24">
      <c r="A100" s="1045">
        <f t="shared" si="1"/>
        <v>6</v>
      </c>
      <c r="B100" s="134">
        <v>45444</v>
      </c>
      <c r="C100" s="70">
        <v>2018</v>
      </c>
      <c r="D100" s="70" t="s">
        <v>58</v>
      </c>
      <c r="E100" s="70" t="s">
        <v>3053</v>
      </c>
      <c r="F100" s="1049">
        <v>27.52</v>
      </c>
      <c r="G100" s="1049">
        <v>0</v>
      </c>
      <c r="H100" s="563"/>
      <c r="I100" s="609"/>
      <c r="J100" s="609"/>
      <c r="K100" s="609"/>
      <c r="L100" s="609"/>
      <c r="M100" s="609"/>
      <c r="N100" s="599"/>
      <c r="O100" s="552" t="s">
        <v>1584</v>
      </c>
      <c r="P100" s="603"/>
      <c r="Q100" s="869"/>
      <c r="R100" s="869"/>
      <c r="S100" s="869"/>
      <c r="T100" s="869"/>
      <c r="U100" s="869"/>
      <c r="V100" s="869"/>
      <c r="W100" s="869"/>
      <c r="X100" s="869"/>
    </row>
    <row r="101" spans="1:24">
      <c r="A101" s="1045">
        <f t="shared" si="1"/>
        <v>6</v>
      </c>
      <c r="B101" s="134">
        <v>45444</v>
      </c>
      <c r="C101" s="70">
        <v>1025</v>
      </c>
      <c r="D101" s="70" t="s">
        <v>5120</v>
      </c>
      <c r="E101" s="70" t="s">
        <v>3053</v>
      </c>
      <c r="F101" s="1049">
        <v>0</v>
      </c>
      <c r="G101" s="1049">
        <v>578</v>
      </c>
      <c r="H101" s="563"/>
      <c r="I101" s="609"/>
      <c r="J101" s="609"/>
      <c r="K101" s="609"/>
      <c r="L101" s="609"/>
      <c r="M101" s="609"/>
      <c r="N101" s="599"/>
      <c r="O101" s="552" t="s">
        <v>1584</v>
      </c>
      <c r="P101" s="603"/>
      <c r="Q101" s="869"/>
      <c r="R101" s="869"/>
      <c r="S101" s="869"/>
      <c r="T101" s="869"/>
      <c r="U101" s="869"/>
      <c r="V101" s="869"/>
      <c r="W101" s="869"/>
      <c r="X101" s="869"/>
    </row>
    <row r="102" spans="1:24">
      <c r="A102" s="1045">
        <f t="shared" si="1"/>
        <v>6</v>
      </c>
      <c r="B102" s="134">
        <v>45444</v>
      </c>
      <c r="C102" s="70">
        <v>1022</v>
      </c>
      <c r="D102" s="70" t="s">
        <v>5119</v>
      </c>
      <c r="E102" s="70" t="s">
        <v>3054</v>
      </c>
      <c r="F102" s="1049">
        <v>0</v>
      </c>
      <c r="G102" s="1049">
        <v>6740</v>
      </c>
      <c r="H102" s="563"/>
      <c r="I102" s="609"/>
      <c r="J102" s="609"/>
      <c r="K102" s="609"/>
      <c r="L102" s="609"/>
      <c r="M102" s="609"/>
      <c r="N102" s="599"/>
      <c r="O102" s="552" t="s">
        <v>1584</v>
      </c>
      <c r="P102" s="603"/>
      <c r="Q102" s="869"/>
      <c r="R102" s="869"/>
      <c r="S102" s="869"/>
      <c r="T102" s="869"/>
      <c r="U102" s="869"/>
      <c r="V102" s="869"/>
      <c r="W102" s="869"/>
      <c r="X102" s="869"/>
    </row>
    <row r="103" spans="1:24">
      <c r="A103" s="1045">
        <f t="shared" si="1"/>
        <v>6</v>
      </c>
      <c r="B103" s="134">
        <v>45444</v>
      </c>
      <c r="C103" s="70">
        <v>6028</v>
      </c>
      <c r="D103" s="70" t="s">
        <v>119</v>
      </c>
      <c r="E103" s="70" t="s">
        <v>3054</v>
      </c>
      <c r="F103" s="1049">
        <v>6740</v>
      </c>
      <c r="G103" s="1049">
        <v>0</v>
      </c>
      <c r="H103" s="563"/>
      <c r="I103" s="609"/>
      <c r="J103" s="609"/>
      <c r="K103" s="609"/>
      <c r="L103" s="609"/>
      <c r="M103" s="609"/>
      <c r="N103" s="599"/>
      <c r="O103" s="552" t="s">
        <v>1584</v>
      </c>
      <c r="P103" s="603"/>
      <c r="Q103" s="869"/>
      <c r="R103" s="869"/>
      <c r="S103" s="869"/>
      <c r="T103" s="869"/>
      <c r="U103" s="869"/>
      <c r="V103" s="869"/>
      <c r="W103" s="869"/>
      <c r="X103" s="869"/>
    </row>
    <row r="104" spans="1:24">
      <c r="A104" s="1045">
        <f t="shared" si="1"/>
        <v>6</v>
      </c>
      <c r="B104" s="134">
        <v>45444</v>
      </c>
      <c r="C104" s="70">
        <v>6007</v>
      </c>
      <c r="D104" s="70" t="s">
        <v>98</v>
      </c>
      <c r="E104" s="70" t="s">
        <v>3055</v>
      </c>
      <c r="F104" s="1049">
        <v>660.64</v>
      </c>
      <c r="G104" s="1049">
        <v>0</v>
      </c>
      <c r="H104" s="563"/>
      <c r="I104" s="609"/>
      <c r="J104" s="609"/>
      <c r="K104" s="609"/>
      <c r="L104" s="609"/>
      <c r="M104" s="609"/>
      <c r="N104" s="599"/>
      <c r="O104" s="552" t="s">
        <v>1584</v>
      </c>
      <c r="P104" s="603"/>
      <c r="Q104" s="869"/>
      <c r="R104" s="869"/>
      <c r="S104" s="869"/>
      <c r="T104" s="869"/>
      <c r="U104" s="869"/>
      <c r="V104" s="869"/>
      <c r="W104" s="869"/>
      <c r="X104" s="869"/>
    </row>
    <row r="105" spans="1:24">
      <c r="A105" s="1045">
        <f t="shared" si="1"/>
        <v>6</v>
      </c>
      <c r="B105" s="134">
        <v>45444</v>
      </c>
      <c r="C105" s="70">
        <v>1025</v>
      </c>
      <c r="D105" s="70" t="s">
        <v>5120</v>
      </c>
      <c r="E105" s="70" t="s">
        <v>3055</v>
      </c>
      <c r="F105" s="1049">
        <v>0</v>
      </c>
      <c r="G105" s="1049">
        <v>660.64</v>
      </c>
      <c r="H105" s="563"/>
      <c r="I105" s="609"/>
      <c r="J105" s="609"/>
      <c r="K105" s="609"/>
      <c r="L105" s="609"/>
      <c r="M105" s="609"/>
      <c r="N105" s="599"/>
      <c r="O105" s="552" t="s">
        <v>1584</v>
      </c>
      <c r="P105" s="603"/>
      <c r="Q105" s="869"/>
      <c r="R105" s="869"/>
      <c r="S105" s="869"/>
      <c r="T105" s="869"/>
      <c r="U105" s="869"/>
      <c r="V105" s="869"/>
      <c r="W105" s="869"/>
      <c r="X105" s="869"/>
    </row>
    <row r="106" spans="1:24">
      <c r="A106" s="1045">
        <f t="shared" si="1"/>
        <v>6</v>
      </c>
      <c r="B106" s="134">
        <v>45445</v>
      </c>
      <c r="C106" s="70">
        <v>1017</v>
      </c>
      <c r="D106" s="70" t="s">
        <v>5118</v>
      </c>
      <c r="E106" s="70" t="s">
        <v>3056</v>
      </c>
      <c r="F106" s="1049">
        <v>15000</v>
      </c>
      <c r="G106" s="1049">
        <v>0</v>
      </c>
      <c r="H106" s="563"/>
      <c r="I106" s="609"/>
      <c r="J106" s="609"/>
      <c r="K106" s="609"/>
      <c r="L106" s="609"/>
      <c r="M106" s="609"/>
      <c r="N106" s="599"/>
      <c r="O106" s="552" t="s">
        <v>1584</v>
      </c>
      <c r="P106" s="603"/>
      <c r="Q106" s="869"/>
      <c r="R106" s="869"/>
      <c r="S106" s="869"/>
      <c r="T106" s="869"/>
      <c r="U106" s="869"/>
      <c r="V106" s="869"/>
      <c r="W106" s="869"/>
      <c r="X106" s="869"/>
    </row>
    <row r="107" spans="1:24">
      <c r="A107" s="1045">
        <f t="shared" si="1"/>
        <v>6</v>
      </c>
      <c r="B107" s="134">
        <v>45445</v>
      </c>
      <c r="C107" s="70">
        <v>1022</v>
      </c>
      <c r="D107" s="70" t="s">
        <v>5119</v>
      </c>
      <c r="E107" s="70" t="s">
        <v>3056</v>
      </c>
      <c r="F107" s="1049">
        <v>0</v>
      </c>
      <c r="G107" s="1049">
        <v>15000</v>
      </c>
      <c r="H107" s="563"/>
      <c r="I107" s="609"/>
      <c r="J107" s="609"/>
      <c r="K107" s="609"/>
      <c r="L107" s="609"/>
      <c r="M107" s="609"/>
      <c r="N107" s="599"/>
      <c r="O107" s="552" t="s">
        <v>1584</v>
      </c>
      <c r="P107" s="603"/>
      <c r="Q107" s="869"/>
      <c r="R107" s="869"/>
      <c r="S107" s="869"/>
      <c r="T107" s="869"/>
      <c r="U107" s="869"/>
      <c r="V107" s="869"/>
      <c r="W107" s="869"/>
      <c r="X107" s="869"/>
    </row>
    <row r="108" spans="1:24">
      <c r="A108" s="1045">
        <f t="shared" si="1"/>
        <v>6</v>
      </c>
      <c r="B108" s="134">
        <v>45448</v>
      </c>
      <c r="C108" s="70">
        <v>6027</v>
      </c>
      <c r="D108" s="70" t="s">
        <v>87</v>
      </c>
      <c r="E108" s="70" t="s">
        <v>3057</v>
      </c>
      <c r="F108" s="1049">
        <v>4600</v>
      </c>
      <c r="G108" s="1049">
        <v>0</v>
      </c>
      <c r="H108" s="563"/>
      <c r="I108" s="609"/>
      <c r="J108" s="609"/>
      <c r="K108" s="609"/>
      <c r="L108" s="609"/>
      <c r="M108" s="609"/>
      <c r="N108" s="599"/>
      <c r="O108" s="552" t="s">
        <v>1584</v>
      </c>
      <c r="P108" s="603"/>
      <c r="Q108" s="869"/>
      <c r="R108" s="869"/>
      <c r="S108" s="869"/>
      <c r="T108" s="869"/>
      <c r="U108" s="869"/>
      <c r="V108" s="869"/>
      <c r="W108" s="869"/>
      <c r="X108" s="869"/>
    </row>
    <row r="109" spans="1:24">
      <c r="A109" s="1045">
        <f t="shared" si="1"/>
        <v>6</v>
      </c>
      <c r="B109" s="134">
        <v>45448</v>
      </c>
      <c r="C109" s="70">
        <v>1025</v>
      </c>
      <c r="D109" s="70" t="s">
        <v>5120</v>
      </c>
      <c r="E109" s="70" t="s">
        <v>3057</v>
      </c>
      <c r="F109" s="1049">
        <v>0</v>
      </c>
      <c r="G109" s="1049">
        <v>4600</v>
      </c>
      <c r="H109" s="563"/>
      <c r="I109" s="609"/>
      <c r="J109" s="609"/>
      <c r="K109" s="609"/>
      <c r="L109" s="609"/>
      <c r="M109" s="609"/>
      <c r="N109" s="599"/>
      <c r="O109" s="552" t="s">
        <v>1584</v>
      </c>
      <c r="P109" s="603"/>
      <c r="Q109" s="869"/>
      <c r="R109" s="869"/>
      <c r="S109" s="869"/>
      <c r="T109" s="869"/>
      <c r="U109" s="869"/>
      <c r="V109" s="869"/>
      <c r="W109" s="869"/>
      <c r="X109" s="869"/>
    </row>
    <row r="110" spans="1:24">
      <c r="A110" s="1045">
        <f t="shared" si="1"/>
        <v>6</v>
      </c>
      <c r="B110" s="134">
        <v>45450</v>
      </c>
      <c r="C110" s="70">
        <v>1500</v>
      </c>
      <c r="D110" s="70" t="s">
        <v>53</v>
      </c>
      <c r="E110" s="70" t="s">
        <v>3058</v>
      </c>
      <c r="F110" s="1049">
        <v>607.6</v>
      </c>
      <c r="G110" s="1049">
        <v>0</v>
      </c>
      <c r="H110" s="563"/>
      <c r="I110" s="609"/>
      <c r="J110" s="609"/>
      <c r="K110" s="609"/>
      <c r="L110" s="609"/>
      <c r="M110" s="609"/>
      <c r="N110" s="599"/>
      <c r="O110" s="552" t="s">
        <v>1584</v>
      </c>
      <c r="P110" s="603"/>
      <c r="Q110" s="869"/>
      <c r="R110" s="869"/>
      <c r="S110" s="869"/>
      <c r="T110" s="869"/>
      <c r="U110" s="869"/>
      <c r="V110" s="869"/>
      <c r="W110" s="869"/>
      <c r="X110" s="869"/>
    </row>
    <row r="111" spans="1:24">
      <c r="A111" s="1045">
        <f t="shared" si="1"/>
        <v>6</v>
      </c>
      <c r="B111" s="134">
        <v>45450</v>
      </c>
      <c r="C111" s="70">
        <v>2018</v>
      </c>
      <c r="D111" s="70" t="s">
        <v>58</v>
      </c>
      <c r="E111" s="70" t="s">
        <v>3058</v>
      </c>
      <c r="F111" s="1049">
        <v>30.4</v>
      </c>
      <c r="G111" s="1049">
        <v>0</v>
      </c>
      <c r="H111" s="563"/>
      <c r="I111" s="609"/>
      <c r="J111" s="609"/>
      <c r="K111" s="609"/>
      <c r="L111" s="609"/>
      <c r="M111" s="609"/>
      <c r="N111" s="599"/>
      <c r="O111" s="552" t="s">
        <v>1584</v>
      </c>
      <c r="P111" s="603"/>
      <c r="Q111" s="869"/>
      <c r="R111" s="869"/>
      <c r="S111" s="869"/>
      <c r="T111" s="869"/>
      <c r="U111" s="869"/>
      <c r="V111" s="869"/>
      <c r="W111" s="869"/>
      <c r="X111" s="869"/>
    </row>
    <row r="112" spans="1:24">
      <c r="A112" s="1045">
        <f t="shared" si="1"/>
        <v>6</v>
      </c>
      <c r="B112" s="134">
        <v>45450</v>
      </c>
      <c r="C112" s="70">
        <v>1025</v>
      </c>
      <c r="D112" s="70" t="s">
        <v>5120</v>
      </c>
      <c r="E112" s="70" t="s">
        <v>3058</v>
      </c>
      <c r="F112" s="1049">
        <v>0</v>
      </c>
      <c r="G112" s="1049">
        <v>638</v>
      </c>
      <c r="H112" s="563"/>
      <c r="I112" s="609"/>
      <c r="J112" s="609"/>
      <c r="K112" s="609"/>
      <c r="L112" s="609"/>
      <c r="M112" s="609"/>
      <c r="N112" s="599"/>
      <c r="O112" s="552" t="s">
        <v>1584</v>
      </c>
      <c r="P112" s="603"/>
      <c r="Q112" s="869"/>
      <c r="R112" s="869"/>
      <c r="S112" s="869"/>
      <c r="T112" s="869"/>
      <c r="U112" s="869"/>
      <c r="V112" s="869"/>
      <c r="W112" s="869"/>
      <c r="X112" s="869"/>
    </row>
    <row r="113" spans="1:24">
      <c r="A113" s="1045">
        <f t="shared" si="1"/>
        <v>6</v>
      </c>
      <c r="B113" s="134">
        <v>45450</v>
      </c>
      <c r="C113" s="70">
        <v>1500</v>
      </c>
      <c r="D113" s="70" t="s">
        <v>53</v>
      </c>
      <c r="E113" s="70" t="s">
        <v>3059</v>
      </c>
      <c r="F113" s="1049">
        <v>2189.52</v>
      </c>
      <c r="G113" s="1049">
        <v>0</v>
      </c>
      <c r="H113" s="563"/>
      <c r="I113" s="609"/>
      <c r="J113" s="609"/>
      <c r="K113" s="609"/>
      <c r="L113" s="609"/>
      <c r="M113" s="609"/>
      <c r="N113" s="599"/>
      <c r="O113" s="552" t="s">
        <v>1584</v>
      </c>
      <c r="P113" s="603"/>
      <c r="Q113" s="869"/>
      <c r="R113" s="869"/>
      <c r="S113" s="869"/>
      <c r="T113" s="869"/>
      <c r="U113" s="869"/>
      <c r="V113" s="869"/>
      <c r="W113" s="869"/>
      <c r="X113" s="869"/>
    </row>
    <row r="114" spans="1:24">
      <c r="A114" s="1045">
        <f t="shared" si="1"/>
        <v>6</v>
      </c>
      <c r="B114" s="134">
        <v>45450</v>
      </c>
      <c r="C114" s="70">
        <v>2018</v>
      </c>
      <c r="D114" s="70" t="s">
        <v>58</v>
      </c>
      <c r="E114" s="70" t="s">
        <v>3059</v>
      </c>
      <c r="F114" s="1049">
        <v>109.48</v>
      </c>
      <c r="G114" s="1049">
        <v>0</v>
      </c>
      <c r="H114" s="563"/>
      <c r="I114" s="609"/>
      <c r="J114" s="609"/>
      <c r="K114" s="609"/>
      <c r="L114" s="609"/>
      <c r="M114" s="609"/>
      <c r="N114" s="599"/>
      <c r="O114" s="552" t="s">
        <v>1584</v>
      </c>
      <c r="P114" s="603"/>
      <c r="Q114" s="869"/>
      <c r="R114" s="869"/>
      <c r="S114" s="869"/>
      <c r="T114" s="869"/>
      <c r="U114" s="869"/>
      <c r="V114" s="869"/>
      <c r="W114" s="869"/>
      <c r="X114" s="869"/>
    </row>
    <row r="115" spans="1:24">
      <c r="A115" s="1045">
        <f t="shared" si="1"/>
        <v>6</v>
      </c>
      <c r="B115" s="134">
        <v>45450</v>
      </c>
      <c r="C115" s="70">
        <v>1025</v>
      </c>
      <c r="D115" s="70" t="s">
        <v>5120</v>
      </c>
      <c r="E115" s="70" t="s">
        <v>3059</v>
      </c>
      <c r="F115" s="1049">
        <v>0</v>
      </c>
      <c r="G115" s="1049">
        <v>2299</v>
      </c>
      <c r="H115" s="563"/>
      <c r="I115" s="609"/>
      <c r="J115" s="609"/>
      <c r="K115" s="609"/>
      <c r="L115" s="609"/>
      <c r="M115" s="609"/>
      <c r="N115" s="599"/>
      <c r="O115" s="552" t="s">
        <v>1584</v>
      </c>
      <c r="P115" s="603"/>
      <c r="Q115" s="869"/>
      <c r="R115" s="869"/>
      <c r="S115" s="869"/>
      <c r="T115" s="869"/>
      <c r="U115" s="869"/>
      <c r="V115" s="869"/>
      <c r="W115" s="869"/>
      <c r="X115" s="869"/>
    </row>
    <row r="116" spans="1:24">
      <c r="A116" s="1045">
        <f t="shared" si="1"/>
        <v>6</v>
      </c>
      <c r="B116" s="134">
        <v>45453</v>
      </c>
      <c r="C116" s="70">
        <v>6004</v>
      </c>
      <c r="D116" s="70" t="s">
        <v>95</v>
      </c>
      <c r="E116" s="70" t="s">
        <v>3060</v>
      </c>
      <c r="F116" s="1049">
        <v>902.88</v>
      </c>
      <c r="G116" s="1049">
        <v>0</v>
      </c>
      <c r="H116" s="563"/>
      <c r="I116" s="609"/>
      <c r="J116" s="609"/>
      <c r="K116" s="609"/>
      <c r="L116" s="609"/>
      <c r="M116" s="609"/>
      <c r="N116" s="599"/>
      <c r="O116" s="552" t="s">
        <v>1584</v>
      </c>
      <c r="P116" s="603"/>
      <c r="Q116" s="869"/>
      <c r="R116" s="869"/>
      <c r="S116" s="869"/>
      <c r="T116" s="869"/>
      <c r="U116" s="869"/>
      <c r="V116" s="869"/>
      <c r="W116" s="869"/>
      <c r="X116" s="869"/>
    </row>
    <row r="117" spans="1:24">
      <c r="A117" s="1045">
        <f t="shared" si="1"/>
        <v>6</v>
      </c>
      <c r="B117" s="134">
        <v>45453</v>
      </c>
      <c r="C117" s="70">
        <v>2018</v>
      </c>
      <c r="D117" s="70" t="s">
        <v>58</v>
      </c>
      <c r="E117" s="70" t="s">
        <v>3060</v>
      </c>
      <c r="F117" s="1049">
        <v>43.12</v>
      </c>
      <c r="G117" s="1049">
        <v>0</v>
      </c>
      <c r="H117" s="563"/>
      <c r="I117" s="609"/>
      <c r="J117" s="609"/>
      <c r="K117" s="609"/>
      <c r="L117" s="609"/>
      <c r="M117" s="609"/>
      <c r="N117" s="599"/>
      <c r="O117" s="552" t="s">
        <v>1584</v>
      </c>
      <c r="P117" s="603"/>
      <c r="Q117" s="869"/>
      <c r="R117" s="869"/>
      <c r="S117" s="869"/>
      <c r="T117" s="869"/>
      <c r="U117" s="869"/>
      <c r="V117" s="869"/>
      <c r="W117" s="869"/>
      <c r="X117" s="869"/>
    </row>
    <row r="118" spans="1:24">
      <c r="A118" s="1045">
        <f t="shared" si="1"/>
        <v>6</v>
      </c>
      <c r="B118" s="134">
        <v>45453</v>
      </c>
      <c r="C118" s="70">
        <v>1025</v>
      </c>
      <c r="D118" s="70" t="s">
        <v>5120</v>
      </c>
      <c r="E118" s="70" t="s">
        <v>3060</v>
      </c>
      <c r="F118" s="1049">
        <v>0</v>
      </c>
      <c r="G118" s="1049">
        <v>946</v>
      </c>
      <c r="H118" s="563"/>
      <c r="I118" s="609"/>
      <c r="J118" s="609"/>
      <c r="K118" s="609"/>
      <c r="L118" s="609"/>
      <c r="M118" s="609"/>
      <c r="N118" s="599"/>
      <c r="O118" s="552" t="s">
        <v>1584</v>
      </c>
      <c r="P118" s="603"/>
      <c r="Q118" s="869"/>
      <c r="R118" s="869"/>
      <c r="S118" s="869"/>
      <c r="T118" s="869"/>
      <c r="U118" s="869"/>
      <c r="V118" s="869"/>
      <c r="W118" s="869"/>
      <c r="X118" s="869"/>
    </row>
    <row r="119" spans="1:24">
      <c r="A119" s="1045">
        <f t="shared" si="1"/>
        <v>6</v>
      </c>
      <c r="B119" s="134">
        <v>45453</v>
      </c>
      <c r="C119" s="70">
        <v>6004</v>
      </c>
      <c r="D119" s="70" t="s">
        <v>95</v>
      </c>
      <c r="E119" s="70" t="s">
        <v>3061</v>
      </c>
      <c r="F119" s="1049">
        <v>333.08</v>
      </c>
      <c r="G119" s="1049">
        <v>0</v>
      </c>
      <c r="H119" s="563"/>
      <c r="I119" s="609"/>
      <c r="J119" s="609"/>
      <c r="K119" s="609"/>
      <c r="L119" s="609"/>
      <c r="M119" s="609"/>
      <c r="N119" s="599"/>
      <c r="O119" s="552" t="s">
        <v>1584</v>
      </c>
      <c r="P119" s="603"/>
      <c r="Q119" s="869"/>
      <c r="R119" s="869"/>
      <c r="S119" s="869"/>
      <c r="T119" s="869"/>
      <c r="U119" s="869"/>
      <c r="V119" s="869"/>
      <c r="W119" s="869"/>
      <c r="X119" s="869"/>
    </row>
    <row r="120" spans="1:24">
      <c r="A120" s="1045">
        <f t="shared" si="1"/>
        <v>6</v>
      </c>
      <c r="B120" s="134">
        <v>45453</v>
      </c>
      <c r="C120" s="70">
        <v>2018</v>
      </c>
      <c r="D120" s="70" t="s">
        <v>58</v>
      </c>
      <c r="E120" s="70" t="s">
        <v>3061</v>
      </c>
      <c r="F120" s="1049">
        <v>15.92</v>
      </c>
      <c r="G120" s="1049">
        <v>0</v>
      </c>
      <c r="H120" s="563"/>
      <c r="I120" s="609"/>
      <c r="J120" s="609"/>
      <c r="K120" s="609"/>
      <c r="L120" s="609"/>
      <c r="M120" s="609"/>
      <c r="N120" s="599"/>
      <c r="O120" s="552" t="s">
        <v>1584</v>
      </c>
      <c r="P120" s="603"/>
      <c r="Q120" s="869"/>
      <c r="R120" s="869"/>
      <c r="S120" s="869"/>
      <c r="T120" s="869"/>
      <c r="U120" s="869"/>
      <c r="V120" s="869"/>
      <c r="W120" s="869"/>
      <c r="X120" s="869"/>
    </row>
    <row r="121" spans="1:24">
      <c r="A121" s="1045">
        <f t="shared" si="1"/>
        <v>6</v>
      </c>
      <c r="B121" s="134">
        <v>45453</v>
      </c>
      <c r="C121" s="70">
        <v>1025</v>
      </c>
      <c r="D121" s="70" t="s">
        <v>5120</v>
      </c>
      <c r="E121" s="70" t="s">
        <v>3061</v>
      </c>
      <c r="F121" s="1049">
        <v>0</v>
      </c>
      <c r="G121" s="1049">
        <v>349</v>
      </c>
      <c r="H121" s="563"/>
      <c r="I121" s="609"/>
      <c r="J121" s="609"/>
      <c r="K121" s="609"/>
      <c r="L121" s="609"/>
      <c r="M121" s="609"/>
      <c r="N121" s="599"/>
      <c r="O121" s="552" t="s">
        <v>1584</v>
      </c>
      <c r="P121" s="603"/>
      <c r="Q121" s="869"/>
      <c r="R121" s="869"/>
      <c r="S121" s="869"/>
      <c r="T121" s="869"/>
      <c r="U121" s="869"/>
      <c r="V121" s="869"/>
      <c r="W121" s="869"/>
      <c r="X121" s="869"/>
    </row>
    <row r="122" spans="1:24">
      <c r="A122" s="1045">
        <f t="shared" si="1"/>
        <v>6</v>
      </c>
      <c r="B122" s="134">
        <v>45453</v>
      </c>
      <c r="C122" s="70">
        <v>6022</v>
      </c>
      <c r="D122" s="70" t="s">
        <v>113</v>
      </c>
      <c r="E122" s="70" t="s">
        <v>3062</v>
      </c>
      <c r="F122" s="1049">
        <v>36.9</v>
      </c>
      <c r="G122" s="1049">
        <v>0</v>
      </c>
      <c r="H122" s="563"/>
      <c r="I122" s="609"/>
      <c r="J122" s="609"/>
      <c r="K122" s="609"/>
      <c r="L122" s="609"/>
      <c r="M122" s="609"/>
      <c r="N122" s="599"/>
      <c r="O122" s="552" t="s">
        <v>1584</v>
      </c>
      <c r="P122" s="603"/>
      <c r="Q122" s="869"/>
      <c r="R122" s="869"/>
      <c r="S122" s="869"/>
      <c r="T122" s="869"/>
      <c r="U122" s="869"/>
      <c r="V122" s="869"/>
      <c r="W122" s="869"/>
      <c r="X122" s="869"/>
    </row>
    <row r="123" spans="1:24">
      <c r="A123" s="1045">
        <f t="shared" si="1"/>
        <v>6</v>
      </c>
      <c r="B123" s="134">
        <v>45453</v>
      </c>
      <c r="C123" s="70">
        <v>2018</v>
      </c>
      <c r="D123" s="70" t="s">
        <v>58</v>
      </c>
      <c r="E123" s="70" t="s">
        <v>3062</v>
      </c>
      <c r="F123" s="1049">
        <v>1.85</v>
      </c>
      <c r="G123" s="1049">
        <v>0</v>
      </c>
      <c r="H123" s="563"/>
      <c r="I123" s="609"/>
      <c r="J123" s="609"/>
      <c r="K123" s="609"/>
      <c r="L123" s="609"/>
      <c r="M123" s="609"/>
      <c r="N123" s="599"/>
      <c r="O123" s="552" t="s">
        <v>1584</v>
      </c>
      <c r="P123" s="603"/>
      <c r="Q123" s="869"/>
      <c r="R123" s="869"/>
      <c r="S123" s="869"/>
      <c r="T123" s="869"/>
      <c r="U123" s="869"/>
      <c r="V123" s="869"/>
      <c r="W123" s="869"/>
      <c r="X123" s="869"/>
    </row>
    <row r="124" spans="1:24">
      <c r="A124" s="1045">
        <f t="shared" si="1"/>
        <v>6</v>
      </c>
      <c r="B124" s="134">
        <v>45453</v>
      </c>
      <c r="C124" s="70">
        <v>1025</v>
      </c>
      <c r="D124" s="70" t="s">
        <v>5120</v>
      </c>
      <c r="E124" s="70" t="s">
        <v>3062</v>
      </c>
      <c r="F124" s="1049">
        <v>0</v>
      </c>
      <c r="G124" s="1049">
        <v>38.75</v>
      </c>
      <c r="H124" s="563"/>
      <c r="I124" s="609"/>
      <c r="J124" s="609"/>
      <c r="K124" s="609"/>
      <c r="L124" s="609"/>
      <c r="M124" s="609"/>
      <c r="N124" s="599"/>
      <c r="O124" s="552" t="s">
        <v>1584</v>
      </c>
      <c r="P124" s="603"/>
      <c r="Q124" s="869"/>
      <c r="R124" s="869"/>
      <c r="S124" s="869"/>
      <c r="T124" s="869"/>
      <c r="U124" s="869"/>
      <c r="V124" s="869"/>
      <c r="W124" s="869"/>
      <c r="X124" s="869"/>
    </row>
    <row r="125" spans="1:24">
      <c r="A125" s="1045">
        <f t="shared" si="1"/>
        <v>6</v>
      </c>
      <c r="B125" s="134">
        <v>45454</v>
      </c>
      <c r="C125" s="70">
        <v>1017</v>
      </c>
      <c r="D125" s="70" t="s">
        <v>5118</v>
      </c>
      <c r="E125" s="70" t="s">
        <v>3063</v>
      </c>
      <c r="F125" s="1049">
        <v>15000</v>
      </c>
      <c r="G125" s="1049">
        <v>0</v>
      </c>
      <c r="H125" s="563"/>
      <c r="I125" s="609"/>
      <c r="J125" s="609"/>
      <c r="K125" s="609"/>
      <c r="L125" s="609"/>
      <c r="M125" s="609"/>
      <c r="N125" s="599"/>
      <c r="O125" s="552" t="s">
        <v>1584</v>
      </c>
      <c r="P125" s="603"/>
      <c r="Q125" s="869"/>
      <c r="R125" s="869"/>
      <c r="S125" s="869"/>
      <c r="T125" s="869"/>
      <c r="U125" s="869"/>
      <c r="V125" s="869"/>
      <c r="W125" s="869"/>
      <c r="X125" s="869"/>
    </row>
    <row r="126" spans="1:24">
      <c r="A126" s="1045">
        <f t="shared" si="1"/>
        <v>6</v>
      </c>
      <c r="B126" s="134">
        <v>45454</v>
      </c>
      <c r="C126" s="70">
        <v>1022</v>
      </c>
      <c r="D126" s="70" t="s">
        <v>5119</v>
      </c>
      <c r="E126" s="70" t="s">
        <v>3063</v>
      </c>
      <c r="F126" s="1049">
        <v>0</v>
      </c>
      <c r="G126" s="1049">
        <v>15000</v>
      </c>
      <c r="H126" s="563"/>
      <c r="I126" s="609"/>
      <c r="J126" s="609"/>
      <c r="K126" s="609"/>
      <c r="L126" s="609"/>
      <c r="M126" s="609"/>
      <c r="N126" s="599"/>
      <c r="O126" s="552" t="s">
        <v>1584</v>
      </c>
      <c r="P126" s="603"/>
      <c r="Q126" s="869"/>
      <c r="R126" s="869"/>
      <c r="S126" s="869"/>
      <c r="T126" s="869"/>
      <c r="U126" s="869"/>
      <c r="V126" s="869"/>
      <c r="W126" s="869"/>
      <c r="X126" s="869"/>
    </row>
    <row r="127" spans="1:24">
      <c r="A127" s="1045">
        <f t="shared" si="1"/>
        <v>6</v>
      </c>
      <c r="B127" s="134">
        <v>45454</v>
      </c>
      <c r="C127" s="70">
        <v>1017</v>
      </c>
      <c r="D127" s="70" t="s">
        <v>5118</v>
      </c>
      <c r="E127" s="70" t="s">
        <v>3064</v>
      </c>
      <c r="F127" s="1049">
        <v>20000</v>
      </c>
      <c r="G127" s="1049">
        <v>0</v>
      </c>
      <c r="H127" s="563"/>
      <c r="I127" s="609"/>
      <c r="J127" s="609"/>
      <c r="K127" s="609"/>
      <c r="L127" s="609"/>
      <c r="M127" s="609"/>
      <c r="N127" s="599"/>
      <c r="O127" s="552" t="s">
        <v>1584</v>
      </c>
      <c r="P127" s="603"/>
      <c r="Q127" s="869"/>
      <c r="R127" s="869"/>
      <c r="S127" s="869"/>
      <c r="T127" s="869"/>
      <c r="U127" s="869"/>
      <c r="V127" s="869"/>
      <c r="W127" s="869"/>
      <c r="X127" s="869"/>
    </row>
    <row r="128" spans="1:24">
      <c r="A128" s="1045">
        <f t="shared" si="1"/>
        <v>6</v>
      </c>
      <c r="B128" s="134">
        <v>45454</v>
      </c>
      <c r="C128" s="70">
        <v>1022</v>
      </c>
      <c r="D128" s="70" t="s">
        <v>5119</v>
      </c>
      <c r="E128" s="70" t="s">
        <v>3064</v>
      </c>
      <c r="F128" s="1049">
        <v>0</v>
      </c>
      <c r="G128" s="1049">
        <v>20000</v>
      </c>
      <c r="H128" s="563"/>
      <c r="I128" s="609"/>
      <c r="J128" s="609"/>
      <c r="K128" s="609"/>
      <c r="L128" s="609"/>
      <c r="M128" s="609"/>
      <c r="N128" s="599"/>
      <c r="O128" s="552" t="s">
        <v>1584</v>
      </c>
      <c r="P128" s="603"/>
      <c r="Q128" s="869"/>
      <c r="R128" s="869"/>
      <c r="S128" s="869"/>
      <c r="T128" s="869"/>
      <c r="U128" s="869"/>
      <c r="V128" s="869"/>
      <c r="W128" s="869"/>
      <c r="X128" s="869"/>
    </row>
    <row r="129" spans="1:24">
      <c r="A129" s="1045">
        <f t="shared" si="1"/>
        <v>6</v>
      </c>
      <c r="B129" s="134">
        <v>45454</v>
      </c>
      <c r="C129" s="70">
        <v>6250</v>
      </c>
      <c r="D129" s="70" t="s">
        <v>129</v>
      </c>
      <c r="E129" s="70" t="s">
        <v>3065</v>
      </c>
      <c r="F129" s="1049">
        <v>580</v>
      </c>
      <c r="G129" s="1049">
        <v>0</v>
      </c>
      <c r="H129" s="563"/>
      <c r="I129" s="609"/>
      <c r="J129" s="609"/>
      <c r="K129" s="609"/>
      <c r="L129" s="609"/>
      <c r="M129" s="609"/>
      <c r="N129" s="599"/>
      <c r="O129" s="552" t="s">
        <v>1584</v>
      </c>
      <c r="P129" s="603"/>
      <c r="Q129" s="869"/>
      <c r="R129" s="869"/>
      <c r="S129" s="869"/>
      <c r="T129" s="869"/>
      <c r="U129" s="869"/>
      <c r="V129" s="869"/>
      <c r="W129" s="869"/>
      <c r="X129" s="869"/>
    </row>
    <row r="130" spans="1:24">
      <c r="A130" s="1045">
        <f t="shared" si="1"/>
        <v>6</v>
      </c>
      <c r="B130" s="134">
        <v>45454</v>
      </c>
      <c r="C130" s="70">
        <v>1025</v>
      </c>
      <c r="D130" s="70" t="s">
        <v>5120</v>
      </c>
      <c r="E130" s="70" t="s">
        <v>3065</v>
      </c>
      <c r="F130" s="1049">
        <v>0</v>
      </c>
      <c r="G130" s="1049">
        <v>580</v>
      </c>
      <c r="H130" s="563"/>
      <c r="I130" s="609"/>
      <c r="J130" s="609"/>
      <c r="K130" s="609"/>
      <c r="L130" s="609"/>
      <c r="M130" s="609"/>
      <c r="N130" s="599"/>
      <c r="O130" s="552" t="s">
        <v>1584</v>
      </c>
      <c r="P130" s="603"/>
      <c r="Q130" s="869"/>
      <c r="R130" s="869"/>
      <c r="S130" s="869"/>
      <c r="T130" s="869"/>
      <c r="U130" s="869"/>
      <c r="V130" s="869"/>
      <c r="W130" s="869"/>
      <c r="X130" s="869"/>
    </row>
    <row r="131" spans="1:24">
      <c r="A131" s="1045">
        <f t="shared" si="1"/>
        <v>6</v>
      </c>
      <c r="B131" s="134">
        <v>45455</v>
      </c>
      <c r="C131" s="70">
        <v>6003</v>
      </c>
      <c r="D131" s="70" t="s">
        <v>94</v>
      </c>
      <c r="E131" s="70" t="s">
        <v>3066</v>
      </c>
      <c r="F131" s="1049">
        <v>201.47</v>
      </c>
      <c r="G131" s="1049">
        <v>0</v>
      </c>
      <c r="H131" s="563"/>
      <c r="I131" s="609"/>
      <c r="J131" s="609"/>
      <c r="K131" s="609"/>
      <c r="L131" s="609"/>
      <c r="M131" s="609"/>
      <c r="N131" s="599"/>
      <c r="O131" s="552" t="s">
        <v>1584</v>
      </c>
      <c r="P131" s="603"/>
      <c r="Q131" s="869"/>
      <c r="R131" s="869"/>
      <c r="S131" s="869"/>
      <c r="T131" s="869"/>
      <c r="U131" s="869"/>
      <c r="V131" s="869"/>
      <c r="W131" s="869"/>
      <c r="X131" s="869"/>
    </row>
    <row r="132" spans="1:24">
      <c r="A132" s="1045">
        <f t="shared" si="1"/>
        <v>6</v>
      </c>
      <c r="B132" s="134">
        <v>45455</v>
      </c>
      <c r="C132" s="70">
        <v>2018</v>
      </c>
      <c r="D132" s="70" t="s">
        <v>58</v>
      </c>
      <c r="E132" s="70" t="s">
        <v>3066</v>
      </c>
      <c r="F132" s="1049">
        <v>9.74</v>
      </c>
      <c r="G132" s="1049">
        <v>0</v>
      </c>
      <c r="H132" s="563"/>
      <c r="I132" s="609"/>
      <c r="J132" s="609"/>
      <c r="K132" s="609"/>
      <c r="L132" s="609"/>
      <c r="M132" s="609"/>
      <c r="N132" s="599"/>
      <c r="O132" s="552" t="s">
        <v>1584</v>
      </c>
      <c r="P132" s="603"/>
      <c r="Q132" s="869"/>
      <c r="R132" s="869"/>
      <c r="S132" s="869"/>
      <c r="T132" s="869"/>
      <c r="U132" s="869"/>
      <c r="V132" s="869"/>
      <c r="W132" s="869"/>
      <c r="X132" s="869"/>
    </row>
    <row r="133" spans="1:24">
      <c r="A133" s="1045">
        <f t="shared" si="1"/>
        <v>6</v>
      </c>
      <c r="B133" s="134">
        <v>45455</v>
      </c>
      <c r="C133" s="70">
        <v>1025</v>
      </c>
      <c r="D133" s="70" t="s">
        <v>5120</v>
      </c>
      <c r="E133" s="70" t="s">
        <v>3066</v>
      </c>
      <c r="F133" s="1049">
        <v>0</v>
      </c>
      <c r="G133" s="1049">
        <v>211.21</v>
      </c>
      <c r="H133" s="563"/>
      <c r="I133" s="609"/>
      <c r="J133" s="609"/>
      <c r="K133" s="609"/>
      <c r="L133" s="609"/>
      <c r="M133" s="609"/>
      <c r="N133" s="599"/>
      <c r="O133" s="552" t="s">
        <v>1584</v>
      </c>
      <c r="P133" s="603"/>
      <c r="Q133" s="869"/>
      <c r="R133" s="869"/>
      <c r="S133" s="869"/>
      <c r="T133" s="869"/>
      <c r="U133" s="869"/>
      <c r="V133" s="869"/>
      <c r="W133" s="869"/>
      <c r="X133" s="869"/>
    </row>
    <row r="134" spans="1:24">
      <c r="A134" s="1045">
        <f t="shared" si="1"/>
        <v>6</v>
      </c>
      <c r="B134" s="134">
        <v>45458</v>
      </c>
      <c r="C134" s="70">
        <v>1025</v>
      </c>
      <c r="D134" s="70" t="s">
        <v>5120</v>
      </c>
      <c r="E134" s="70" t="s">
        <v>3067</v>
      </c>
      <c r="F134" s="1049">
        <v>20000</v>
      </c>
      <c r="G134" s="1049">
        <v>0</v>
      </c>
      <c r="H134" s="563"/>
      <c r="I134" s="609"/>
      <c r="J134" s="609"/>
      <c r="K134" s="609"/>
      <c r="L134" s="609"/>
      <c r="M134" s="609"/>
      <c r="N134" s="599"/>
      <c r="O134" s="552" t="s">
        <v>1584</v>
      </c>
      <c r="P134" s="603"/>
      <c r="Q134" s="869"/>
      <c r="R134" s="869"/>
      <c r="S134" s="869"/>
      <c r="T134" s="869"/>
      <c r="U134" s="869"/>
      <c r="V134" s="869"/>
      <c r="W134" s="869"/>
      <c r="X134" s="869"/>
    </row>
    <row r="135" spans="1:24">
      <c r="A135" s="1045">
        <f t="shared" si="1"/>
        <v>6</v>
      </c>
      <c r="B135" s="134">
        <v>45458</v>
      </c>
      <c r="C135" s="70">
        <v>1022</v>
      </c>
      <c r="D135" s="70" t="s">
        <v>5119</v>
      </c>
      <c r="E135" s="70" t="s">
        <v>3067</v>
      </c>
      <c r="F135" s="1049">
        <v>0</v>
      </c>
      <c r="G135" s="1049">
        <v>20000</v>
      </c>
      <c r="H135" s="563"/>
      <c r="I135" s="609"/>
      <c r="J135" s="609"/>
      <c r="K135" s="609"/>
      <c r="L135" s="609"/>
      <c r="M135" s="609"/>
      <c r="N135" s="599"/>
      <c r="O135" s="552" t="s">
        <v>1584</v>
      </c>
      <c r="P135" s="603"/>
      <c r="Q135" s="869"/>
      <c r="R135" s="869"/>
      <c r="S135" s="869"/>
      <c r="T135" s="869"/>
      <c r="U135" s="869"/>
      <c r="V135" s="869"/>
      <c r="W135" s="869"/>
      <c r="X135" s="869"/>
    </row>
    <row r="136" spans="1:24">
      <c r="A136" s="1045">
        <f t="shared" si="1"/>
        <v>6</v>
      </c>
      <c r="B136" s="134">
        <v>45458</v>
      </c>
      <c r="C136" s="70">
        <v>1025</v>
      </c>
      <c r="D136" s="70" t="s">
        <v>5120</v>
      </c>
      <c r="E136" s="70" t="s">
        <v>3068</v>
      </c>
      <c r="F136" s="1049">
        <v>10000</v>
      </c>
      <c r="G136" s="1049">
        <v>0</v>
      </c>
      <c r="H136" s="563"/>
      <c r="I136" s="609"/>
      <c r="J136" s="609"/>
      <c r="K136" s="609"/>
      <c r="L136" s="609"/>
      <c r="M136" s="609"/>
      <c r="N136" s="599"/>
      <c r="O136" s="552" t="s">
        <v>1584</v>
      </c>
      <c r="P136" s="603"/>
      <c r="Q136" s="869"/>
      <c r="R136" s="869"/>
      <c r="S136" s="869"/>
      <c r="T136" s="869"/>
      <c r="U136" s="869"/>
      <c r="V136" s="869"/>
      <c r="W136" s="869"/>
      <c r="X136" s="869"/>
    </row>
    <row r="137" spans="1:24">
      <c r="A137" s="1045">
        <f t="shared" si="1"/>
        <v>6</v>
      </c>
      <c r="B137" s="134">
        <v>45458</v>
      </c>
      <c r="C137" s="70">
        <v>1022</v>
      </c>
      <c r="D137" s="70" t="s">
        <v>5119</v>
      </c>
      <c r="E137" s="70" t="s">
        <v>3068</v>
      </c>
      <c r="F137" s="1049">
        <v>0</v>
      </c>
      <c r="G137" s="1049">
        <v>10000</v>
      </c>
      <c r="H137" s="563"/>
      <c r="I137" s="609"/>
      <c r="J137" s="609"/>
      <c r="K137" s="609"/>
      <c r="L137" s="609"/>
      <c r="M137" s="609"/>
      <c r="N137" s="599"/>
      <c r="O137" s="552" t="s">
        <v>1584</v>
      </c>
      <c r="P137" s="603"/>
      <c r="Q137" s="869"/>
      <c r="R137" s="869"/>
      <c r="S137" s="869"/>
      <c r="T137" s="869"/>
      <c r="U137" s="869"/>
      <c r="V137" s="869"/>
      <c r="W137" s="869"/>
      <c r="X137" s="869"/>
    </row>
    <row r="138" spans="1:24">
      <c r="A138" s="1045">
        <f t="shared" si="1"/>
        <v>6</v>
      </c>
      <c r="B138" s="134">
        <v>45463</v>
      </c>
      <c r="C138" s="70">
        <v>6016</v>
      </c>
      <c r="D138" s="70" t="s">
        <v>107</v>
      </c>
      <c r="E138" s="70" t="s">
        <v>3069</v>
      </c>
      <c r="F138" s="1049">
        <v>8167</v>
      </c>
      <c r="G138" s="1049">
        <v>0</v>
      </c>
      <c r="H138" s="563"/>
      <c r="I138" s="609"/>
      <c r="J138" s="609"/>
      <c r="K138" s="609"/>
      <c r="L138" s="609"/>
      <c r="M138" s="609"/>
      <c r="N138" s="599"/>
      <c r="O138" s="552" t="s">
        <v>1584</v>
      </c>
      <c r="P138" s="603"/>
      <c r="Q138" s="869"/>
      <c r="R138" s="869"/>
      <c r="S138" s="869"/>
      <c r="T138" s="869"/>
      <c r="U138" s="869"/>
      <c r="V138" s="869"/>
      <c r="W138" s="869"/>
      <c r="X138" s="869"/>
    </row>
    <row r="139" spans="1:24">
      <c r="A139" s="1045">
        <f t="shared" ref="A139:A202" si="2">IF(B139="","",MONTH(B139))</f>
        <v>6</v>
      </c>
      <c r="B139" s="134">
        <v>45463</v>
      </c>
      <c r="C139" s="70">
        <v>1022</v>
      </c>
      <c r="D139" s="70" t="s">
        <v>5119</v>
      </c>
      <c r="E139" s="70" t="s">
        <v>3069</v>
      </c>
      <c r="F139" s="1049">
        <v>0</v>
      </c>
      <c r="G139" s="1049">
        <v>8167</v>
      </c>
      <c r="H139" s="563"/>
      <c r="I139" s="609"/>
      <c r="J139" s="609"/>
      <c r="K139" s="609"/>
      <c r="L139" s="609"/>
      <c r="M139" s="609"/>
      <c r="N139" s="599"/>
      <c r="O139" s="552" t="s">
        <v>1584</v>
      </c>
      <c r="P139" s="603"/>
      <c r="Q139" s="869"/>
      <c r="R139" s="869"/>
      <c r="S139" s="869"/>
      <c r="T139" s="869"/>
      <c r="U139" s="869"/>
      <c r="V139" s="869"/>
      <c r="W139" s="869"/>
      <c r="X139" s="869"/>
    </row>
    <row r="140" spans="1:24">
      <c r="A140" s="1045">
        <f t="shared" si="2"/>
        <v>6</v>
      </c>
      <c r="B140" s="134">
        <v>45465</v>
      </c>
      <c r="C140" s="70">
        <v>1017</v>
      </c>
      <c r="D140" s="70" t="s">
        <v>5118</v>
      </c>
      <c r="E140" s="70" t="s">
        <v>4884</v>
      </c>
      <c r="F140" s="1049">
        <v>4000</v>
      </c>
      <c r="G140" s="1049">
        <v>0</v>
      </c>
      <c r="H140" s="563"/>
      <c r="I140" s="609"/>
      <c r="J140" s="609"/>
      <c r="K140" s="609"/>
      <c r="L140" s="609"/>
      <c r="M140" s="609"/>
      <c r="N140" s="599"/>
      <c r="O140" s="552" t="s">
        <v>1584</v>
      </c>
      <c r="P140" s="603"/>
      <c r="Q140" s="869"/>
      <c r="R140" s="869"/>
      <c r="S140" s="869"/>
      <c r="T140" s="869"/>
      <c r="U140" s="869"/>
      <c r="V140" s="869"/>
      <c r="W140" s="869"/>
      <c r="X140" s="869"/>
    </row>
    <row r="141" spans="1:24">
      <c r="A141" s="1045">
        <f t="shared" si="2"/>
        <v>6</v>
      </c>
      <c r="B141" s="134">
        <v>45465</v>
      </c>
      <c r="C141" s="70">
        <v>4010</v>
      </c>
      <c r="D141" s="70" t="s">
        <v>75</v>
      </c>
      <c r="E141" s="70" t="s">
        <v>4884</v>
      </c>
      <c r="F141" s="1049">
        <v>0</v>
      </c>
      <c r="G141" s="1049">
        <v>4000</v>
      </c>
      <c r="H141" s="563"/>
      <c r="I141" s="609"/>
      <c r="J141" s="609"/>
      <c r="K141" s="609"/>
      <c r="L141" s="609"/>
      <c r="M141" s="609"/>
      <c r="N141" s="599"/>
      <c r="O141" s="552" t="s">
        <v>1584</v>
      </c>
      <c r="P141" s="603"/>
      <c r="Q141" s="869"/>
      <c r="R141" s="869"/>
      <c r="S141" s="869"/>
      <c r="T141" s="869"/>
      <c r="U141" s="869"/>
      <c r="V141" s="869"/>
      <c r="W141" s="869"/>
      <c r="X141" s="869"/>
    </row>
    <row r="142" spans="1:24">
      <c r="A142" s="1045">
        <f t="shared" si="2"/>
        <v>6</v>
      </c>
      <c r="B142" s="134">
        <v>45467</v>
      </c>
      <c r="C142" s="70">
        <v>1018</v>
      </c>
      <c r="D142" s="70" t="s">
        <v>5113</v>
      </c>
      <c r="E142" s="70" t="s">
        <v>3070</v>
      </c>
      <c r="F142" s="1049">
        <v>0</v>
      </c>
      <c r="G142" s="1049">
        <v>375.65</v>
      </c>
      <c r="H142" s="563"/>
      <c r="I142" s="609"/>
      <c r="J142" s="609"/>
      <c r="K142" s="609"/>
      <c r="L142" s="609"/>
      <c r="M142" s="609"/>
      <c r="N142" s="599"/>
      <c r="O142" s="552" t="s">
        <v>1584</v>
      </c>
      <c r="P142" s="603"/>
      <c r="Q142" s="869"/>
      <c r="R142" s="869"/>
      <c r="S142" s="869"/>
      <c r="T142" s="869"/>
      <c r="U142" s="869"/>
      <c r="V142" s="869"/>
      <c r="W142" s="869"/>
      <c r="X142" s="869"/>
    </row>
    <row r="143" spans="1:24">
      <c r="A143" s="1045">
        <f t="shared" si="2"/>
        <v>6</v>
      </c>
      <c r="B143" s="134">
        <v>45467</v>
      </c>
      <c r="C143" s="70">
        <v>6013</v>
      </c>
      <c r="D143" s="70" t="s">
        <v>104</v>
      </c>
      <c r="E143" s="70" t="s">
        <v>3070</v>
      </c>
      <c r="F143" s="1049">
        <v>370</v>
      </c>
      <c r="G143" s="1049">
        <v>0</v>
      </c>
      <c r="H143" s="563"/>
      <c r="I143" s="609"/>
      <c r="J143" s="609"/>
      <c r="K143" s="609"/>
      <c r="L143" s="609"/>
      <c r="M143" s="609"/>
      <c r="N143" s="599"/>
      <c r="O143" s="552" t="s">
        <v>1584</v>
      </c>
      <c r="P143" s="603"/>
      <c r="Q143" s="869"/>
      <c r="R143" s="869"/>
      <c r="S143" s="869"/>
      <c r="T143" s="869"/>
      <c r="U143" s="869"/>
      <c r="V143" s="869"/>
      <c r="W143" s="869"/>
      <c r="X143" s="869"/>
    </row>
    <row r="144" spans="1:24">
      <c r="A144" s="1045">
        <f t="shared" si="2"/>
        <v>6</v>
      </c>
      <c r="B144" s="134">
        <v>45467</v>
      </c>
      <c r="C144" s="70">
        <v>2018</v>
      </c>
      <c r="D144" s="70" t="s">
        <v>58</v>
      </c>
      <c r="E144" s="70" t="s">
        <v>3070</v>
      </c>
      <c r="F144" s="1049">
        <v>2.65</v>
      </c>
      <c r="G144" s="1049">
        <v>0</v>
      </c>
      <c r="H144" s="563"/>
      <c r="I144" s="609"/>
      <c r="J144" s="609"/>
      <c r="K144" s="609"/>
      <c r="L144" s="609"/>
      <c r="M144" s="609"/>
      <c r="N144" s="599"/>
      <c r="O144" s="552" t="s">
        <v>1584</v>
      </c>
      <c r="P144" s="603"/>
      <c r="Q144" s="869"/>
      <c r="R144" s="869"/>
      <c r="S144" s="869"/>
      <c r="T144" s="869"/>
      <c r="U144" s="869"/>
      <c r="V144" s="869"/>
      <c r="W144" s="869"/>
      <c r="X144" s="869"/>
    </row>
    <row r="145" spans="1:24">
      <c r="A145" s="1045">
        <f t="shared" si="2"/>
        <v>6</v>
      </c>
      <c r="B145" s="134">
        <v>45467</v>
      </c>
      <c r="C145" s="70">
        <v>7200</v>
      </c>
      <c r="D145" s="70" t="s">
        <v>140</v>
      </c>
      <c r="E145" s="70" t="s">
        <v>3070</v>
      </c>
      <c r="F145" s="1049">
        <v>3</v>
      </c>
      <c r="G145" s="1049">
        <v>0</v>
      </c>
      <c r="H145" s="563"/>
      <c r="I145" s="609"/>
      <c r="J145" s="609"/>
      <c r="K145" s="609"/>
      <c r="L145" s="609"/>
      <c r="M145" s="609"/>
      <c r="N145" s="599"/>
      <c r="O145" s="552" t="s">
        <v>1584</v>
      </c>
      <c r="P145" s="603"/>
      <c r="Q145" s="869"/>
      <c r="R145" s="869"/>
      <c r="S145" s="869"/>
      <c r="T145" s="869"/>
      <c r="U145" s="869"/>
      <c r="V145" s="869"/>
      <c r="W145" s="869"/>
      <c r="X145" s="869"/>
    </row>
    <row r="146" spans="1:24">
      <c r="A146" s="1045">
        <f t="shared" si="2"/>
        <v>6</v>
      </c>
      <c r="B146" s="546">
        <v>45468</v>
      </c>
      <c r="C146" s="70">
        <v>6013</v>
      </c>
      <c r="D146" s="70" t="s">
        <v>104</v>
      </c>
      <c r="E146" s="547" t="s">
        <v>3071</v>
      </c>
      <c r="F146" s="1049">
        <v>3550.77</v>
      </c>
      <c r="G146" s="1049">
        <v>0</v>
      </c>
      <c r="H146" s="563"/>
      <c r="I146" s="609"/>
      <c r="J146" s="609"/>
      <c r="K146" s="609"/>
      <c r="L146" s="609"/>
      <c r="M146" s="609"/>
      <c r="N146" s="599"/>
      <c r="O146" s="552" t="s">
        <v>1584</v>
      </c>
      <c r="P146" s="603"/>
      <c r="Q146" s="869"/>
      <c r="R146" s="869"/>
      <c r="S146" s="869"/>
      <c r="T146" s="869"/>
      <c r="U146" s="869"/>
      <c r="V146" s="869"/>
      <c r="W146" s="869"/>
      <c r="X146" s="869"/>
    </row>
    <row r="147" spans="1:24">
      <c r="A147" s="1045">
        <f t="shared" si="2"/>
        <v>6</v>
      </c>
      <c r="B147" s="134">
        <v>45468</v>
      </c>
      <c r="C147" s="70">
        <v>1025</v>
      </c>
      <c r="D147" s="70" t="s">
        <v>5120</v>
      </c>
      <c r="E147" s="70" t="s">
        <v>3072</v>
      </c>
      <c r="F147" s="1049">
        <v>0</v>
      </c>
      <c r="G147" s="1049">
        <v>3550.77</v>
      </c>
      <c r="H147" s="563"/>
      <c r="I147" s="609"/>
      <c r="J147" s="609"/>
      <c r="K147" s="609"/>
      <c r="L147" s="609"/>
      <c r="M147" s="609"/>
      <c r="N147" s="599"/>
      <c r="O147" s="552" t="s">
        <v>1584</v>
      </c>
      <c r="P147" s="603"/>
      <c r="Q147" s="869"/>
      <c r="R147" s="869"/>
      <c r="S147" s="869"/>
      <c r="T147" s="869"/>
      <c r="U147" s="869"/>
      <c r="V147" s="869"/>
      <c r="W147" s="869"/>
      <c r="X147" s="869"/>
    </row>
    <row r="148" spans="1:24">
      <c r="A148" s="1045">
        <f t="shared" si="2"/>
        <v>6</v>
      </c>
      <c r="B148" s="134">
        <v>45468</v>
      </c>
      <c r="C148" s="70">
        <v>6013</v>
      </c>
      <c r="D148" s="70" t="s">
        <v>104</v>
      </c>
      <c r="E148" s="70" t="s">
        <v>3073</v>
      </c>
      <c r="F148" s="1049">
        <v>76.14</v>
      </c>
      <c r="G148" s="1049">
        <v>0</v>
      </c>
      <c r="H148" s="563"/>
      <c r="I148" s="609"/>
      <c r="J148" s="609"/>
      <c r="K148" s="609"/>
      <c r="L148" s="609"/>
      <c r="M148" s="609"/>
      <c r="N148" s="599"/>
      <c r="O148" s="552" t="s">
        <v>1584</v>
      </c>
      <c r="P148" s="603"/>
      <c r="Q148" s="869"/>
      <c r="R148" s="869"/>
      <c r="S148" s="869"/>
      <c r="T148" s="869"/>
      <c r="U148" s="869"/>
      <c r="V148" s="869"/>
      <c r="W148" s="869"/>
      <c r="X148" s="869"/>
    </row>
    <row r="149" spans="1:24">
      <c r="A149" s="1045">
        <f t="shared" si="2"/>
        <v>6</v>
      </c>
      <c r="B149" s="134">
        <v>45468</v>
      </c>
      <c r="C149" s="70">
        <v>1025</v>
      </c>
      <c r="D149" s="70" t="s">
        <v>5120</v>
      </c>
      <c r="E149" s="70" t="s">
        <v>3073</v>
      </c>
      <c r="F149" s="1049">
        <v>0</v>
      </c>
      <c r="G149" s="1049">
        <v>76.14</v>
      </c>
      <c r="H149" s="563"/>
      <c r="I149" s="609"/>
      <c r="J149" s="609"/>
      <c r="K149" s="609"/>
      <c r="L149" s="609"/>
      <c r="M149" s="609"/>
      <c r="N149" s="599"/>
      <c r="O149" s="552" t="s">
        <v>1584</v>
      </c>
      <c r="P149" s="603"/>
      <c r="Q149" s="869"/>
      <c r="R149" s="869"/>
      <c r="S149" s="869"/>
      <c r="T149" s="869"/>
      <c r="U149" s="869"/>
      <c r="V149" s="869"/>
      <c r="W149" s="869"/>
      <c r="X149" s="869"/>
    </row>
    <row r="150" spans="1:24">
      <c r="A150" s="1045">
        <f t="shared" si="2"/>
        <v>6</v>
      </c>
      <c r="B150" s="134">
        <v>45468</v>
      </c>
      <c r="C150" s="70">
        <v>6013</v>
      </c>
      <c r="D150" s="70" t="s">
        <v>104</v>
      </c>
      <c r="E150" s="70" t="s">
        <v>3074</v>
      </c>
      <c r="F150" s="1049">
        <v>76.14</v>
      </c>
      <c r="G150" s="1049">
        <v>0</v>
      </c>
      <c r="H150" s="563"/>
      <c r="I150" s="609"/>
      <c r="J150" s="609"/>
      <c r="K150" s="609"/>
      <c r="L150" s="609"/>
      <c r="M150" s="609"/>
      <c r="N150" s="599"/>
      <c r="O150" s="552" t="s">
        <v>1584</v>
      </c>
      <c r="P150" s="603"/>
      <c r="Q150" s="869"/>
      <c r="R150" s="869"/>
      <c r="S150" s="869"/>
      <c r="T150" s="869"/>
      <c r="U150" s="869"/>
      <c r="V150" s="869"/>
      <c r="W150" s="869"/>
      <c r="X150" s="869"/>
    </row>
    <row r="151" spans="1:24">
      <c r="A151" s="1045">
        <f t="shared" si="2"/>
        <v>6</v>
      </c>
      <c r="B151" s="134">
        <v>45468</v>
      </c>
      <c r="C151" s="70">
        <v>1025</v>
      </c>
      <c r="D151" s="70" t="s">
        <v>5120</v>
      </c>
      <c r="E151" s="70" t="s">
        <v>3074</v>
      </c>
      <c r="F151" s="1049">
        <v>0</v>
      </c>
      <c r="G151" s="1049">
        <v>76.14</v>
      </c>
      <c r="H151" s="563"/>
      <c r="I151" s="609"/>
      <c r="J151" s="609"/>
      <c r="K151" s="609"/>
      <c r="L151" s="609"/>
      <c r="M151" s="609"/>
      <c r="N151" s="599"/>
      <c r="O151" s="552" t="s">
        <v>1584</v>
      </c>
      <c r="P151" s="603"/>
      <c r="Q151" s="869"/>
      <c r="R151" s="869"/>
      <c r="S151" s="869"/>
      <c r="T151" s="869"/>
      <c r="U151" s="869"/>
      <c r="V151" s="869"/>
      <c r="W151" s="869"/>
      <c r="X151" s="869"/>
    </row>
    <row r="152" spans="1:24">
      <c r="A152" s="1045">
        <f t="shared" si="2"/>
        <v>6</v>
      </c>
      <c r="B152" s="134">
        <v>45468</v>
      </c>
      <c r="C152" s="70">
        <v>6013</v>
      </c>
      <c r="D152" s="70" t="s">
        <v>104</v>
      </c>
      <c r="E152" s="70" t="s">
        <v>3075</v>
      </c>
      <c r="F152" s="1049">
        <v>144.38</v>
      </c>
      <c r="G152" s="1049">
        <v>0</v>
      </c>
      <c r="H152" s="563"/>
      <c r="I152" s="609"/>
      <c r="J152" s="609"/>
      <c r="K152" s="609"/>
      <c r="L152" s="609"/>
      <c r="M152" s="609"/>
      <c r="N152" s="599"/>
      <c r="O152" s="552" t="s">
        <v>1584</v>
      </c>
      <c r="P152" s="603"/>
      <c r="Q152" s="869"/>
      <c r="R152" s="869"/>
      <c r="S152" s="869"/>
      <c r="T152" s="869"/>
      <c r="U152" s="869"/>
      <c r="V152" s="869"/>
      <c r="W152" s="869"/>
      <c r="X152" s="869"/>
    </row>
    <row r="153" spans="1:24">
      <c r="A153" s="1045">
        <f t="shared" si="2"/>
        <v>6</v>
      </c>
      <c r="B153" s="134">
        <v>45468</v>
      </c>
      <c r="C153" s="70">
        <v>1025</v>
      </c>
      <c r="D153" s="70" t="s">
        <v>5120</v>
      </c>
      <c r="E153" s="70" t="s">
        <v>3075</v>
      </c>
      <c r="F153" s="1049">
        <v>0</v>
      </c>
      <c r="G153" s="1049">
        <v>144.38</v>
      </c>
      <c r="H153" s="563"/>
      <c r="I153" s="609"/>
      <c r="J153" s="609"/>
      <c r="K153" s="609"/>
      <c r="L153" s="609"/>
      <c r="M153" s="609"/>
      <c r="N153" s="599"/>
      <c r="O153" s="552" t="s">
        <v>1584</v>
      </c>
      <c r="P153" s="603"/>
      <c r="Q153" s="869"/>
      <c r="R153" s="869"/>
      <c r="S153" s="869"/>
      <c r="T153" s="869"/>
      <c r="U153" s="869"/>
      <c r="V153" s="869"/>
      <c r="W153" s="869"/>
      <c r="X153" s="869"/>
    </row>
    <row r="154" spans="1:24">
      <c r="A154" s="1045">
        <f t="shared" si="2"/>
        <v>6</v>
      </c>
      <c r="B154" s="134">
        <v>45468</v>
      </c>
      <c r="C154" s="70">
        <v>1025</v>
      </c>
      <c r="D154" s="70" t="s">
        <v>5120</v>
      </c>
      <c r="E154" s="70" t="s">
        <v>3076</v>
      </c>
      <c r="F154" s="1049">
        <v>0</v>
      </c>
      <c r="G154" s="1049">
        <v>3550.77</v>
      </c>
      <c r="H154" s="563"/>
      <c r="I154" s="609"/>
      <c r="J154" s="609"/>
      <c r="K154" s="609"/>
      <c r="L154" s="609"/>
      <c r="M154" s="609"/>
      <c r="N154" s="599"/>
      <c r="O154" s="552" t="s">
        <v>1584</v>
      </c>
      <c r="P154" s="603"/>
      <c r="Q154" s="869"/>
      <c r="R154" s="869"/>
      <c r="S154" s="869"/>
      <c r="T154" s="869"/>
      <c r="U154" s="869"/>
      <c r="V154" s="869"/>
      <c r="W154" s="869"/>
      <c r="X154" s="869"/>
    </row>
    <row r="155" spans="1:24">
      <c r="A155" s="1045">
        <f t="shared" si="2"/>
        <v>6</v>
      </c>
      <c r="B155" s="134">
        <v>45468</v>
      </c>
      <c r="C155" s="70">
        <v>6013</v>
      </c>
      <c r="D155" s="70" t="s">
        <v>104</v>
      </c>
      <c r="E155" s="70" t="s">
        <v>3077</v>
      </c>
      <c r="F155" s="1049">
        <v>3550.77</v>
      </c>
      <c r="G155" s="1049">
        <v>0</v>
      </c>
      <c r="H155" s="563"/>
      <c r="I155" s="609"/>
      <c r="J155" s="609"/>
      <c r="K155" s="609"/>
      <c r="L155" s="609"/>
      <c r="M155" s="609"/>
      <c r="N155" s="599"/>
      <c r="O155" s="552" t="s">
        <v>1584</v>
      </c>
      <c r="P155" s="603"/>
      <c r="Q155" s="869"/>
      <c r="R155" s="869"/>
      <c r="S155" s="869"/>
      <c r="T155" s="869"/>
      <c r="U155" s="869"/>
      <c r="V155" s="869"/>
      <c r="W155" s="869"/>
      <c r="X155" s="869"/>
    </row>
    <row r="156" spans="1:24">
      <c r="A156" s="1045">
        <f t="shared" si="2"/>
        <v>6</v>
      </c>
      <c r="B156" s="134">
        <v>45468</v>
      </c>
      <c r="C156" s="70">
        <v>1025</v>
      </c>
      <c r="D156" s="70" t="s">
        <v>5120</v>
      </c>
      <c r="E156" s="70" t="s">
        <v>3076</v>
      </c>
      <c r="F156" s="1049">
        <v>0</v>
      </c>
      <c r="G156" s="1049">
        <v>278.38</v>
      </c>
      <c r="H156" s="563"/>
      <c r="I156" s="609"/>
      <c r="J156" s="609"/>
      <c r="K156" s="609"/>
      <c r="L156" s="609"/>
      <c r="M156" s="609"/>
      <c r="N156" s="599"/>
      <c r="O156" s="552" t="s">
        <v>1584</v>
      </c>
      <c r="P156" s="603"/>
      <c r="Q156" s="869"/>
      <c r="R156" s="869"/>
      <c r="S156" s="869"/>
      <c r="T156" s="869"/>
      <c r="U156" s="869"/>
      <c r="V156" s="869"/>
      <c r="W156" s="869"/>
      <c r="X156" s="869"/>
    </row>
    <row r="157" spans="1:24">
      <c r="A157" s="1045">
        <f t="shared" si="2"/>
        <v>6</v>
      </c>
      <c r="B157" s="134">
        <v>45468</v>
      </c>
      <c r="C157" s="70">
        <v>6013</v>
      </c>
      <c r="D157" s="70" t="s">
        <v>104</v>
      </c>
      <c r="E157" s="70" t="s">
        <v>3076</v>
      </c>
      <c r="F157" s="1049">
        <v>278.38</v>
      </c>
      <c r="G157" s="1049">
        <v>0</v>
      </c>
      <c r="H157" s="563"/>
      <c r="I157" s="609"/>
      <c r="J157" s="609"/>
      <c r="K157" s="609"/>
      <c r="L157" s="609"/>
      <c r="M157" s="609"/>
      <c r="N157" s="599"/>
      <c r="O157" s="552" t="s">
        <v>1584</v>
      </c>
      <c r="P157" s="603"/>
      <c r="Q157" s="869"/>
      <c r="R157" s="869"/>
      <c r="S157" s="869"/>
      <c r="T157" s="869"/>
      <c r="U157" s="869"/>
      <c r="V157" s="869"/>
      <c r="W157" s="869"/>
      <c r="X157" s="869"/>
    </row>
    <row r="158" spans="1:24">
      <c r="A158" s="1045">
        <f t="shared" si="2"/>
        <v>6</v>
      </c>
      <c r="B158" s="134">
        <v>45468</v>
      </c>
      <c r="C158" s="70">
        <v>1025</v>
      </c>
      <c r="D158" s="70" t="s">
        <v>5120</v>
      </c>
      <c r="E158" s="70" t="s">
        <v>3076</v>
      </c>
      <c r="F158" s="1049">
        <v>0</v>
      </c>
      <c r="G158" s="1049">
        <v>189</v>
      </c>
      <c r="H158" s="563"/>
      <c r="I158" s="609"/>
      <c r="J158" s="609"/>
      <c r="K158" s="609"/>
      <c r="L158" s="609"/>
      <c r="M158" s="609"/>
      <c r="N158" s="599"/>
      <c r="O158" s="552" t="s">
        <v>1584</v>
      </c>
      <c r="P158" s="603"/>
      <c r="Q158" s="869"/>
      <c r="R158" s="869"/>
      <c r="S158" s="869"/>
      <c r="T158" s="869"/>
      <c r="U158" s="869"/>
      <c r="V158" s="869"/>
      <c r="W158" s="869"/>
      <c r="X158" s="869"/>
    </row>
    <row r="159" spans="1:24">
      <c r="A159" s="1045">
        <f t="shared" si="2"/>
        <v>6</v>
      </c>
      <c r="B159" s="134">
        <v>45468</v>
      </c>
      <c r="C159" s="70">
        <v>6013</v>
      </c>
      <c r="D159" s="70" t="s">
        <v>104</v>
      </c>
      <c r="E159" s="70" t="s">
        <v>3076</v>
      </c>
      <c r="F159" s="1049">
        <v>189</v>
      </c>
      <c r="G159" s="1049">
        <v>0</v>
      </c>
      <c r="H159" s="563"/>
      <c r="I159" s="609"/>
      <c r="J159" s="609"/>
      <c r="K159" s="609"/>
      <c r="L159" s="609"/>
      <c r="M159" s="609"/>
      <c r="N159" s="599"/>
      <c r="O159" s="552" t="s">
        <v>1584</v>
      </c>
      <c r="P159" s="603"/>
      <c r="Q159" s="869"/>
      <c r="R159" s="869"/>
      <c r="S159" s="869"/>
      <c r="T159" s="869"/>
      <c r="U159" s="869"/>
      <c r="V159" s="869"/>
      <c r="W159" s="869"/>
      <c r="X159" s="869"/>
    </row>
    <row r="160" spans="1:24">
      <c r="A160" s="1045">
        <f t="shared" si="2"/>
        <v>6</v>
      </c>
      <c r="B160" s="134">
        <v>45470</v>
      </c>
      <c r="C160" s="70">
        <v>1025</v>
      </c>
      <c r="D160" s="70" t="s">
        <v>5120</v>
      </c>
      <c r="E160" s="70" t="s">
        <v>3078</v>
      </c>
      <c r="F160" s="1049">
        <v>0</v>
      </c>
      <c r="G160" s="1049">
        <v>714</v>
      </c>
      <c r="H160" s="563"/>
      <c r="I160" s="609"/>
      <c r="J160" s="609"/>
      <c r="K160" s="609"/>
      <c r="L160" s="609"/>
      <c r="M160" s="609"/>
      <c r="N160" s="599"/>
      <c r="O160" s="552" t="s">
        <v>1584</v>
      </c>
      <c r="P160" s="603"/>
      <c r="Q160" s="869"/>
      <c r="R160" s="869"/>
      <c r="S160" s="869"/>
      <c r="T160" s="869"/>
      <c r="U160" s="869"/>
      <c r="V160" s="869"/>
      <c r="W160" s="869"/>
      <c r="X160" s="869"/>
    </row>
    <row r="161" spans="1:24">
      <c r="A161" s="1045">
        <f t="shared" si="2"/>
        <v>6</v>
      </c>
      <c r="B161" s="134">
        <v>45470</v>
      </c>
      <c r="C161" s="70">
        <v>6013</v>
      </c>
      <c r="D161" s="70" t="s">
        <v>104</v>
      </c>
      <c r="E161" s="70" t="s">
        <v>3078</v>
      </c>
      <c r="F161" s="1049">
        <v>714</v>
      </c>
      <c r="G161" s="1049">
        <v>0</v>
      </c>
      <c r="H161" s="563"/>
      <c r="I161" s="609"/>
      <c r="J161" s="609"/>
      <c r="K161" s="609"/>
      <c r="L161" s="609"/>
      <c r="M161" s="609"/>
      <c r="N161" s="599"/>
      <c r="O161" s="552" t="s">
        <v>1584</v>
      </c>
      <c r="P161" s="603"/>
      <c r="Q161" s="869"/>
      <c r="R161" s="869"/>
      <c r="S161" s="869"/>
      <c r="T161" s="869"/>
      <c r="U161" s="869"/>
      <c r="V161" s="869"/>
      <c r="W161" s="869"/>
      <c r="X161" s="869"/>
    </row>
    <row r="162" spans="1:24">
      <c r="A162" s="1045">
        <f t="shared" si="2"/>
        <v>6</v>
      </c>
      <c r="B162" s="134">
        <v>45472</v>
      </c>
      <c r="C162" s="70">
        <v>1018</v>
      </c>
      <c r="D162" s="70" t="s">
        <v>5113</v>
      </c>
      <c r="E162" s="70" t="s">
        <v>3079</v>
      </c>
      <c r="F162" s="1049">
        <v>0</v>
      </c>
      <c r="G162" s="1049">
        <v>446.65</v>
      </c>
      <c r="H162" s="563"/>
      <c r="I162" s="609"/>
      <c r="J162" s="609"/>
      <c r="K162" s="609"/>
      <c r="L162" s="609"/>
      <c r="M162" s="609"/>
      <c r="N162" s="599"/>
      <c r="O162" s="552" t="s">
        <v>1584</v>
      </c>
      <c r="P162" s="603"/>
      <c r="Q162" s="869"/>
      <c r="R162" s="869"/>
      <c r="S162" s="869"/>
      <c r="T162" s="869"/>
      <c r="U162" s="869"/>
      <c r="V162" s="869"/>
      <c r="W162" s="869"/>
      <c r="X162" s="869"/>
    </row>
    <row r="163" spans="1:24">
      <c r="A163" s="1045">
        <f t="shared" si="2"/>
        <v>6</v>
      </c>
      <c r="B163" s="134">
        <v>45472</v>
      </c>
      <c r="C163" s="70">
        <v>6013</v>
      </c>
      <c r="D163" s="70" t="s">
        <v>104</v>
      </c>
      <c r="E163" s="70" t="s">
        <v>3079</v>
      </c>
      <c r="F163" s="1049">
        <v>440</v>
      </c>
      <c r="G163" s="1049">
        <v>0</v>
      </c>
      <c r="H163" s="563"/>
      <c r="I163" s="609"/>
      <c r="J163" s="609"/>
      <c r="K163" s="609"/>
      <c r="L163" s="609"/>
      <c r="M163" s="609"/>
      <c r="N163" s="599"/>
      <c r="O163" s="552" t="s">
        <v>1584</v>
      </c>
      <c r="P163" s="603"/>
      <c r="Q163" s="869"/>
      <c r="R163" s="869"/>
      <c r="S163" s="869"/>
      <c r="T163" s="869"/>
      <c r="U163" s="869"/>
      <c r="V163" s="869"/>
      <c r="W163" s="869"/>
      <c r="X163" s="869"/>
    </row>
    <row r="164" spans="1:24">
      <c r="A164" s="1045">
        <f t="shared" si="2"/>
        <v>6</v>
      </c>
      <c r="B164" s="134">
        <v>45472</v>
      </c>
      <c r="C164" s="70">
        <v>2018</v>
      </c>
      <c r="D164" s="70" t="s">
        <v>58</v>
      </c>
      <c r="E164" s="70" t="s">
        <v>3079</v>
      </c>
      <c r="F164" s="1049">
        <v>3.65</v>
      </c>
      <c r="G164" s="1049">
        <v>0</v>
      </c>
      <c r="H164" s="563"/>
      <c r="I164" s="609"/>
      <c r="J164" s="609"/>
      <c r="K164" s="609"/>
      <c r="L164" s="609"/>
      <c r="M164" s="609"/>
      <c r="N164" s="599"/>
      <c r="O164" s="552" t="s">
        <v>1584</v>
      </c>
      <c r="P164" s="603"/>
      <c r="Q164" s="869"/>
      <c r="R164" s="869"/>
      <c r="S164" s="869"/>
      <c r="T164" s="869"/>
      <c r="U164" s="869"/>
      <c r="V164" s="869"/>
      <c r="W164" s="869"/>
      <c r="X164" s="869"/>
    </row>
    <row r="165" spans="1:24">
      <c r="A165" s="1045">
        <f t="shared" si="2"/>
        <v>6</v>
      </c>
      <c r="B165" s="134">
        <v>45472</v>
      </c>
      <c r="C165" s="70">
        <v>7200</v>
      </c>
      <c r="D165" s="70" t="s">
        <v>140</v>
      </c>
      <c r="E165" s="70" t="s">
        <v>3079</v>
      </c>
      <c r="F165" s="1049">
        <v>3</v>
      </c>
      <c r="G165" s="1049">
        <v>0</v>
      </c>
      <c r="H165" s="563"/>
      <c r="I165" s="609"/>
      <c r="J165" s="609"/>
      <c r="K165" s="609"/>
      <c r="L165" s="609"/>
      <c r="M165" s="609"/>
      <c r="N165" s="599"/>
      <c r="O165" s="552" t="s">
        <v>1584</v>
      </c>
      <c r="P165" s="603"/>
      <c r="Q165" s="869"/>
      <c r="R165" s="869"/>
      <c r="S165" s="869"/>
      <c r="T165" s="869"/>
      <c r="U165" s="869"/>
      <c r="V165" s="869"/>
      <c r="W165" s="869"/>
      <c r="X165" s="869"/>
    </row>
    <row r="166" spans="1:24">
      <c r="A166" s="1045">
        <f t="shared" si="2"/>
        <v>6</v>
      </c>
      <c r="B166" s="134">
        <v>45473</v>
      </c>
      <c r="C166" s="70">
        <v>6013</v>
      </c>
      <c r="D166" s="70" t="s">
        <v>104</v>
      </c>
      <c r="E166" s="70" t="s">
        <v>3080</v>
      </c>
      <c r="F166" s="1049">
        <v>3550.77</v>
      </c>
      <c r="G166" s="1049">
        <v>0</v>
      </c>
      <c r="H166" s="563"/>
      <c r="I166" s="609"/>
      <c r="J166" s="609"/>
      <c r="K166" s="609"/>
      <c r="L166" s="609"/>
      <c r="M166" s="609"/>
      <c r="N166" s="599"/>
      <c r="O166" s="552" t="s">
        <v>1584</v>
      </c>
      <c r="P166" s="603"/>
      <c r="Q166" s="869"/>
      <c r="R166" s="869"/>
      <c r="S166" s="869"/>
      <c r="T166" s="869"/>
      <c r="U166" s="869"/>
      <c r="V166" s="869"/>
      <c r="W166" s="869"/>
      <c r="X166" s="869"/>
    </row>
    <row r="167" spans="1:24">
      <c r="A167" s="1045">
        <f t="shared" si="2"/>
        <v>6</v>
      </c>
      <c r="B167" s="134">
        <v>45473</v>
      </c>
      <c r="C167" s="70">
        <v>1025</v>
      </c>
      <c r="D167" s="70" t="s">
        <v>5120</v>
      </c>
      <c r="E167" s="70" t="s">
        <v>3080</v>
      </c>
      <c r="F167" s="1049">
        <v>0</v>
      </c>
      <c r="G167" s="1049">
        <v>3575.94</v>
      </c>
      <c r="H167" s="563"/>
      <c r="I167" s="609"/>
      <c r="J167" s="609"/>
      <c r="K167" s="609"/>
      <c r="L167" s="609"/>
      <c r="M167" s="609"/>
      <c r="N167" s="599"/>
      <c r="O167" s="552" t="s">
        <v>1584</v>
      </c>
      <c r="P167" s="603"/>
      <c r="Q167" s="869"/>
      <c r="R167" s="869"/>
      <c r="S167" s="869"/>
      <c r="T167" s="869"/>
      <c r="U167" s="869"/>
      <c r="V167" s="869"/>
      <c r="W167" s="869"/>
      <c r="X167" s="869"/>
    </row>
    <row r="168" spans="1:24">
      <c r="A168" s="1045">
        <f t="shared" si="2"/>
        <v>6</v>
      </c>
      <c r="B168" s="134">
        <v>45473</v>
      </c>
      <c r="C168" s="70">
        <v>7200</v>
      </c>
      <c r="D168" s="70" t="s">
        <v>140</v>
      </c>
      <c r="E168" s="70" t="s">
        <v>3080</v>
      </c>
      <c r="F168" s="1049">
        <v>25.17</v>
      </c>
      <c r="G168" s="1049">
        <v>0</v>
      </c>
      <c r="H168" s="563"/>
      <c r="I168" s="609"/>
      <c r="J168" s="609"/>
      <c r="K168" s="609"/>
      <c r="L168" s="609"/>
      <c r="M168" s="609"/>
      <c r="N168" s="599"/>
      <c r="O168" s="552" t="s">
        <v>1584</v>
      </c>
      <c r="P168" s="603"/>
      <c r="Q168" s="869"/>
      <c r="R168" s="869"/>
      <c r="S168" s="869"/>
      <c r="T168" s="869"/>
      <c r="U168" s="869"/>
      <c r="V168" s="869"/>
      <c r="W168" s="869"/>
      <c r="X168" s="869"/>
    </row>
    <row r="169" spans="1:24">
      <c r="A169" s="1045">
        <f t="shared" si="2"/>
        <v>6</v>
      </c>
      <c r="B169" s="134">
        <v>45473</v>
      </c>
      <c r="C169" s="70">
        <v>6250</v>
      </c>
      <c r="D169" s="70" t="s">
        <v>129</v>
      </c>
      <c r="E169" s="70" t="s">
        <v>3081</v>
      </c>
      <c r="F169" s="1049">
        <v>100</v>
      </c>
      <c r="G169" s="1049">
        <v>0</v>
      </c>
      <c r="H169" s="563"/>
      <c r="I169" s="609"/>
      <c r="J169" s="609"/>
      <c r="K169" s="609"/>
      <c r="L169" s="609"/>
      <c r="M169" s="609"/>
      <c r="N169" s="599"/>
      <c r="O169" s="552" t="s">
        <v>1584</v>
      </c>
      <c r="P169" s="603"/>
      <c r="Q169" s="869"/>
      <c r="R169" s="869"/>
      <c r="S169" s="869"/>
      <c r="T169" s="869"/>
      <c r="U169" s="869"/>
      <c r="V169" s="869"/>
      <c r="W169" s="869"/>
      <c r="X169" s="869"/>
    </row>
    <row r="170" spans="1:24">
      <c r="A170" s="1045">
        <f t="shared" si="2"/>
        <v>6</v>
      </c>
      <c r="B170" s="134">
        <v>45473</v>
      </c>
      <c r="C170" s="70">
        <v>1017</v>
      </c>
      <c r="D170" s="70" t="s">
        <v>5118</v>
      </c>
      <c r="E170" s="70" t="s">
        <v>3081</v>
      </c>
      <c r="F170" s="1049">
        <v>0</v>
      </c>
      <c r="G170" s="1049">
        <v>100</v>
      </c>
      <c r="H170" s="563"/>
      <c r="I170" s="609"/>
      <c r="J170" s="609"/>
      <c r="K170" s="609"/>
      <c r="L170" s="609"/>
      <c r="M170" s="609"/>
      <c r="N170" s="599"/>
      <c r="O170" s="552" t="s">
        <v>1584</v>
      </c>
      <c r="P170" s="603"/>
      <c r="Q170" s="869"/>
      <c r="R170" s="869"/>
      <c r="S170" s="869"/>
      <c r="T170" s="869"/>
      <c r="U170" s="869"/>
      <c r="V170" s="869"/>
      <c r="W170" s="869"/>
      <c r="X170" s="869"/>
    </row>
    <row r="171" spans="1:24">
      <c r="A171" s="1045">
        <f t="shared" si="2"/>
        <v>6</v>
      </c>
      <c r="B171" s="134">
        <v>45473</v>
      </c>
      <c r="C171" s="70">
        <v>6250</v>
      </c>
      <c r="D171" s="70" t="s">
        <v>129</v>
      </c>
      <c r="E171" s="70" t="s">
        <v>3082</v>
      </c>
      <c r="F171" s="1049">
        <v>6.3</v>
      </c>
      <c r="G171" s="1049">
        <v>0</v>
      </c>
      <c r="H171" s="563"/>
      <c r="I171" s="609"/>
      <c r="J171" s="609"/>
      <c r="K171" s="609"/>
      <c r="L171" s="609"/>
      <c r="M171" s="609"/>
      <c r="N171" s="599"/>
      <c r="O171" s="552" t="s">
        <v>1584</v>
      </c>
      <c r="P171" s="603"/>
      <c r="Q171" s="869"/>
      <c r="R171" s="869"/>
      <c r="S171" s="869"/>
      <c r="T171" s="869"/>
      <c r="U171" s="869"/>
      <c r="V171" s="869"/>
      <c r="W171" s="869"/>
      <c r="X171" s="869"/>
    </row>
    <row r="172" spans="1:24">
      <c r="A172" s="1045">
        <f t="shared" si="2"/>
        <v>6</v>
      </c>
      <c r="B172" s="134">
        <v>45473</v>
      </c>
      <c r="C172" s="70">
        <v>1017</v>
      </c>
      <c r="D172" s="70" t="s">
        <v>5118</v>
      </c>
      <c r="E172" s="70" t="s">
        <v>3082</v>
      </c>
      <c r="F172" s="1049">
        <v>0</v>
      </c>
      <c r="G172" s="1049">
        <v>6.3</v>
      </c>
      <c r="H172" s="563"/>
      <c r="I172" s="609"/>
      <c r="J172" s="609"/>
      <c r="K172" s="609"/>
      <c r="L172" s="609"/>
      <c r="M172" s="609"/>
      <c r="N172" s="599"/>
      <c r="O172" s="552" t="s">
        <v>1584</v>
      </c>
      <c r="P172" s="603"/>
      <c r="Q172" s="869"/>
      <c r="R172" s="869"/>
      <c r="S172" s="869"/>
      <c r="T172" s="869"/>
      <c r="U172" s="869"/>
      <c r="V172" s="869"/>
      <c r="W172" s="869"/>
      <c r="X172" s="869"/>
    </row>
    <row r="173" spans="1:24">
      <c r="A173" s="1045">
        <f t="shared" si="2"/>
        <v>6</v>
      </c>
      <c r="B173" s="134">
        <v>45473</v>
      </c>
      <c r="C173" s="70">
        <v>6250</v>
      </c>
      <c r="D173" s="70" t="s">
        <v>129</v>
      </c>
      <c r="E173" s="70" t="s">
        <v>3083</v>
      </c>
      <c r="F173" s="1049">
        <v>28.57</v>
      </c>
      <c r="G173" s="1049">
        <v>0</v>
      </c>
      <c r="H173" s="563"/>
      <c r="I173" s="609"/>
      <c r="J173" s="609"/>
      <c r="K173" s="609"/>
      <c r="L173" s="609"/>
      <c r="M173" s="609"/>
      <c r="N173" s="599"/>
      <c r="O173" s="552" t="s">
        <v>1584</v>
      </c>
      <c r="P173" s="603"/>
      <c r="Q173" s="869"/>
      <c r="R173" s="869"/>
      <c r="S173" s="869"/>
      <c r="T173" s="869"/>
      <c r="U173" s="869"/>
      <c r="V173" s="869"/>
      <c r="W173" s="869"/>
      <c r="X173" s="869"/>
    </row>
    <row r="174" spans="1:24">
      <c r="A174" s="1045">
        <f t="shared" si="2"/>
        <v>6</v>
      </c>
      <c r="B174" s="134">
        <v>45473</v>
      </c>
      <c r="C174" s="70">
        <v>2018</v>
      </c>
      <c r="D174" s="70" t="s">
        <v>58</v>
      </c>
      <c r="E174" s="70" t="s">
        <v>3083</v>
      </c>
      <c r="F174" s="1049">
        <v>1.43</v>
      </c>
      <c r="G174" s="1049">
        <v>0</v>
      </c>
      <c r="H174" s="563"/>
      <c r="I174" s="609"/>
      <c r="J174" s="609"/>
      <c r="K174" s="609"/>
      <c r="L174" s="609"/>
      <c r="M174" s="609"/>
      <c r="N174" s="599"/>
      <c r="O174" s="552" t="s">
        <v>1584</v>
      </c>
      <c r="P174" s="603"/>
      <c r="Q174" s="869"/>
      <c r="R174" s="869"/>
      <c r="S174" s="869"/>
      <c r="T174" s="869"/>
      <c r="U174" s="869"/>
      <c r="V174" s="869"/>
      <c r="W174" s="869"/>
      <c r="X174" s="869"/>
    </row>
    <row r="175" spans="1:24">
      <c r="A175" s="1045">
        <f t="shared" si="2"/>
        <v>6</v>
      </c>
      <c r="B175" s="134">
        <v>45473</v>
      </c>
      <c r="C175" s="70">
        <v>1017</v>
      </c>
      <c r="D175" s="70" t="s">
        <v>5118</v>
      </c>
      <c r="E175" s="70" t="s">
        <v>3083</v>
      </c>
      <c r="F175" s="1049">
        <v>0</v>
      </c>
      <c r="G175" s="1049">
        <v>30</v>
      </c>
      <c r="H175" s="563"/>
      <c r="I175" s="609"/>
      <c r="J175" s="609"/>
      <c r="K175" s="609"/>
      <c r="L175" s="609"/>
      <c r="M175" s="609"/>
      <c r="N175" s="599"/>
      <c r="O175" s="552" t="s">
        <v>1584</v>
      </c>
      <c r="P175" s="603"/>
      <c r="Q175" s="869"/>
      <c r="R175" s="869"/>
      <c r="S175" s="869"/>
      <c r="T175" s="869"/>
      <c r="U175" s="869"/>
      <c r="V175" s="869"/>
      <c r="W175" s="869"/>
      <c r="X175" s="869"/>
    </row>
    <row r="176" spans="1:24">
      <c r="A176" s="1045">
        <f t="shared" si="2"/>
        <v>6</v>
      </c>
      <c r="B176" s="134">
        <v>45473</v>
      </c>
      <c r="C176" s="70">
        <v>6250</v>
      </c>
      <c r="D176" s="70" t="s">
        <v>129</v>
      </c>
      <c r="E176" s="70" t="s">
        <v>3084</v>
      </c>
      <c r="F176" s="1049">
        <v>22.5</v>
      </c>
      <c r="G176" s="1049">
        <v>0</v>
      </c>
      <c r="H176" s="563"/>
      <c r="I176" s="609"/>
      <c r="J176" s="609"/>
      <c r="K176" s="609"/>
      <c r="L176" s="609"/>
      <c r="M176" s="609"/>
      <c r="N176" s="599"/>
      <c r="O176" s="552" t="s">
        <v>1584</v>
      </c>
      <c r="P176" s="603"/>
      <c r="Q176" s="869"/>
      <c r="R176" s="869"/>
      <c r="S176" s="869"/>
      <c r="T176" s="869"/>
      <c r="U176" s="869"/>
      <c r="V176" s="869"/>
      <c r="W176" s="869"/>
      <c r="X176" s="869"/>
    </row>
    <row r="177" spans="1:24">
      <c r="A177" s="1045">
        <f t="shared" si="2"/>
        <v>6</v>
      </c>
      <c r="B177" s="134">
        <v>45473</v>
      </c>
      <c r="C177" s="70">
        <v>1017</v>
      </c>
      <c r="D177" s="70" t="s">
        <v>5118</v>
      </c>
      <c r="E177" s="70" t="s">
        <v>3084</v>
      </c>
      <c r="F177" s="1049">
        <v>0</v>
      </c>
      <c r="G177" s="1049">
        <v>22.5</v>
      </c>
      <c r="H177" s="563"/>
      <c r="I177" s="609"/>
      <c r="J177" s="609"/>
      <c r="K177" s="609"/>
      <c r="L177" s="609"/>
      <c r="M177" s="609"/>
      <c r="N177" s="599"/>
      <c r="O177" s="552" t="s">
        <v>1584</v>
      </c>
      <c r="P177" s="603"/>
      <c r="Q177" s="869"/>
      <c r="R177" s="869"/>
      <c r="S177" s="869"/>
      <c r="T177" s="869"/>
      <c r="U177" s="869"/>
      <c r="V177" s="869"/>
      <c r="W177" s="869"/>
      <c r="X177" s="869"/>
    </row>
    <row r="178" spans="1:24">
      <c r="A178" s="1045">
        <f t="shared" si="2"/>
        <v>6</v>
      </c>
      <c r="B178" s="134">
        <v>45473</v>
      </c>
      <c r="C178" s="70">
        <v>6250</v>
      </c>
      <c r="D178" s="70" t="s">
        <v>129</v>
      </c>
      <c r="E178" s="70" t="s">
        <v>3085</v>
      </c>
      <c r="F178" s="1049">
        <v>10</v>
      </c>
      <c r="G178" s="1049">
        <v>0</v>
      </c>
      <c r="H178" s="563"/>
      <c r="I178" s="609"/>
      <c r="J178" s="609"/>
      <c r="K178" s="609"/>
      <c r="L178" s="609"/>
      <c r="M178" s="609"/>
      <c r="N178" s="599"/>
      <c r="O178" s="552" t="s">
        <v>1584</v>
      </c>
      <c r="P178" s="603"/>
      <c r="Q178" s="869"/>
      <c r="R178" s="869"/>
      <c r="S178" s="869"/>
      <c r="T178" s="869"/>
      <c r="U178" s="869"/>
      <c r="V178" s="869"/>
      <c r="W178" s="869"/>
      <c r="X178" s="869"/>
    </row>
    <row r="179" spans="1:24">
      <c r="A179" s="1045">
        <f t="shared" si="2"/>
        <v>6</v>
      </c>
      <c r="B179" s="134">
        <v>45473</v>
      </c>
      <c r="C179" s="70">
        <v>1017</v>
      </c>
      <c r="D179" s="70" t="s">
        <v>5118</v>
      </c>
      <c r="E179" s="70" t="s">
        <v>3085</v>
      </c>
      <c r="F179" s="1049">
        <v>0</v>
      </c>
      <c r="G179" s="1049">
        <v>10</v>
      </c>
      <c r="H179" s="563"/>
      <c r="I179" s="609"/>
      <c r="J179" s="609"/>
      <c r="K179" s="609"/>
      <c r="L179" s="609"/>
      <c r="M179" s="609"/>
      <c r="N179" s="599"/>
      <c r="O179" s="552" t="s">
        <v>1584</v>
      </c>
      <c r="P179" s="603"/>
      <c r="Q179" s="869"/>
      <c r="R179" s="869"/>
      <c r="S179" s="869"/>
      <c r="T179" s="869"/>
      <c r="U179" s="869"/>
      <c r="V179" s="869"/>
      <c r="W179" s="869"/>
      <c r="X179" s="869"/>
    </row>
    <row r="180" spans="1:24">
      <c r="A180" s="1045">
        <f t="shared" si="2"/>
        <v>6</v>
      </c>
      <c r="B180" s="134">
        <v>45473</v>
      </c>
      <c r="C180" s="70">
        <v>6250</v>
      </c>
      <c r="D180" s="70" t="s">
        <v>129</v>
      </c>
      <c r="E180" s="70" t="s">
        <v>3086</v>
      </c>
      <c r="F180" s="1049">
        <v>17.5</v>
      </c>
      <c r="G180" s="1049">
        <v>0</v>
      </c>
      <c r="H180" s="563"/>
      <c r="I180" s="609"/>
      <c r="J180" s="609"/>
      <c r="K180" s="609"/>
      <c r="L180" s="609"/>
      <c r="M180" s="609"/>
      <c r="N180" s="599"/>
      <c r="O180" s="552" t="s">
        <v>1584</v>
      </c>
      <c r="P180" s="603"/>
      <c r="Q180" s="869"/>
      <c r="R180" s="869"/>
      <c r="S180" s="869"/>
      <c r="T180" s="869"/>
      <c r="U180" s="869"/>
      <c r="V180" s="869"/>
      <c r="W180" s="869"/>
      <c r="X180" s="869"/>
    </row>
    <row r="181" spans="1:24">
      <c r="A181" s="1045">
        <f t="shared" si="2"/>
        <v>6</v>
      </c>
      <c r="B181" s="134">
        <v>45473</v>
      </c>
      <c r="C181" s="70">
        <v>1017</v>
      </c>
      <c r="D181" s="70" t="s">
        <v>5118</v>
      </c>
      <c r="E181" s="70" t="s">
        <v>3086</v>
      </c>
      <c r="F181" s="1049">
        <v>0</v>
      </c>
      <c r="G181" s="1049">
        <v>17.5</v>
      </c>
      <c r="H181" s="563"/>
      <c r="I181" s="609"/>
      <c r="J181" s="609"/>
      <c r="K181" s="609"/>
      <c r="L181" s="609"/>
      <c r="M181" s="609"/>
      <c r="N181" s="599"/>
      <c r="O181" s="552" t="s">
        <v>1584</v>
      </c>
      <c r="P181" s="603"/>
      <c r="Q181" s="869"/>
      <c r="R181" s="869"/>
      <c r="S181" s="869"/>
      <c r="T181" s="869"/>
      <c r="U181" s="869"/>
      <c r="V181" s="869"/>
      <c r="W181" s="869"/>
      <c r="X181" s="869"/>
    </row>
    <row r="182" spans="1:24">
      <c r="A182" s="1045">
        <f t="shared" si="2"/>
        <v>6</v>
      </c>
      <c r="B182" s="134">
        <v>45473</v>
      </c>
      <c r="C182" s="70">
        <v>6250</v>
      </c>
      <c r="D182" s="70" t="s">
        <v>129</v>
      </c>
      <c r="E182" s="70" t="s">
        <v>3087</v>
      </c>
      <c r="F182" s="1049">
        <v>4</v>
      </c>
      <c r="G182" s="1049">
        <v>0</v>
      </c>
      <c r="H182" s="563"/>
      <c r="I182" s="609"/>
      <c r="J182" s="609"/>
      <c r="K182" s="609"/>
      <c r="L182" s="609"/>
      <c r="M182" s="609"/>
      <c r="N182" s="599"/>
      <c r="O182" s="552" t="s">
        <v>1584</v>
      </c>
      <c r="P182" s="603"/>
      <c r="Q182" s="869"/>
      <c r="R182" s="869"/>
      <c r="S182" s="869"/>
      <c r="T182" s="869"/>
      <c r="U182" s="869"/>
      <c r="V182" s="869"/>
      <c r="W182" s="869"/>
      <c r="X182" s="869"/>
    </row>
    <row r="183" spans="1:24">
      <c r="A183" s="1045">
        <f t="shared" si="2"/>
        <v>6</v>
      </c>
      <c r="B183" s="134">
        <v>45473</v>
      </c>
      <c r="C183" s="70">
        <v>1017</v>
      </c>
      <c r="D183" s="70" t="s">
        <v>5118</v>
      </c>
      <c r="E183" s="70" t="s">
        <v>3087</v>
      </c>
      <c r="F183" s="1049">
        <v>0</v>
      </c>
      <c r="G183" s="1049">
        <v>4</v>
      </c>
      <c r="H183" s="563"/>
      <c r="I183" s="609"/>
      <c r="J183" s="609"/>
      <c r="K183" s="609"/>
      <c r="L183" s="609"/>
      <c r="M183" s="609"/>
      <c r="N183" s="599"/>
      <c r="O183" s="552" t="s">
        <v>1584</v>
      </c>
      <c r="P183" s="603"/>
      <c r="Q183" s="869"/>
      <c r="R183" s="869"/>
      <c r="S183" s="869"/>
      <c r="T183" s="869"/>
      <c r="U183" s="869"/>
      <c r="V183" s="869"/>
      <c r="W183" s="869"/>
      <c r="X183" s="869"/>
    </row>
    <row r="184" spans="1:24">
      <c r="A184" s="1045">
        <f t="shared" si="2"/>
        <v>6</v>
      </c>
      <c r="B184" s="134">
        <v>45473</v>
      </c>
      <c r="C184" s="70">
        <v>6250</v>
      </c>
      <c r="D184" s="70" t="s">
        <v>129</v>
      </c>
      <c r="E184" s="70" t="s">
        <v>3088</v>
      </c>
      <c r="F184" s="1049">
        <v>30</v>
      </c>
      <c r="G184" s="1049">
        <v>0</v>
      </c>
      <c r="H184" s="563"/>
      <c r="I184" s="609"/>
      <c r="J184" s="609"/>
      <c r="K184" s="609"/>
      <c r="L184" s="609"/>
      <c r="M184" s="609"/>
      <c r="N184" s="599"/>
      <c r="O184" s="552" t="s">
        <v>1584</v>
      </c>
      <c r="P184" s="603"/>
      <c r="Q184" s="869"/>
      <c r="R184" s="869"/>
      <c r="S184" s="869"/>
      <c r="T184" s="869"/>
      <c r="U184" s="869"/>
      <c r="V184" s="869"/>
      <c r="W184" s="869"/>
      <c r="X184" s="869"/>
    </row>
    <row r="185" spans="1:24">
      <c r="A185" s="1045">
        <f t="shared" si="2"/>
        <v>6</v>
      </c>
      <c r="B185" s="134">
        <v>45473</v>
      </c>
      <c r="C185" s="70">
        <v>1017</v>
      </c>
      <c r="D185" s="70" t="s">
        <v>5118</v>
      </c>
      <c r="E185" s="70" t="s">
        <v>3088</v>
      </c>
      <c r="F185" s="1049">
        <v>0</v>
      </c>
      <c r="G185" s="1049">
        <v>30</v>
      </c>
      <c r="H185" s="563"/>
      <c r="I185" s="609"/>
      <c r="J185" s="609"/>
      <c r="K185" s="609"/>
      <c r="L185" s="609"/>
      <c r="M185" s="609"/>
      <c r="N185" s="599"/>
      <c r="O185" s="552" t="s">
        <v>1584</v>
      </c>
      <c r="P185" s="603"/>
      <c r="Q185" s="869"/>
      <c r="R185" s="869"/>
      <c r="S185" s="869"/>
      <c r="T185" s="869"/>
      <c r="U185" s="869"/>
      <c r="V185" s="869"/>
      <c r="W185" s="869"/>
      <c r="X185" s="869"/>
    </row>
    <row r="186" spans="1:24">
      <c r="A186" s="1045">
        <f t="shared" si="2"/>
        <v>6</v>
      </c>
      <c r="B186" s="134">
        <v>45473</v>
      </c>
      <c r="C186" s="70">
        <v>6250</v>
      </c>
      <c r="D186" s="70" t="s">
        <v>129</v>
      </c>
      <c r="E186" s="70" t="s">
        <v>3085</v>
      </c>
      <c r="F186" s="1049">
        <v>10</v>
      </c>
      <c r="G186" s="1049">
        <v>0</v>
      </c>
      <c r="H186" s="563"/>
      <c r="I186" s="609"/>
      <c r="J186" s="609"/>
      <c r="K186" s="609"/>
      <c r="L186" s="609"/>
      <c r="M186" s="609"/>
      <c r="N186" s="599"/>
      <c r="O186" s="552" t="s">
        <v>1584</v>
      </c>
      <c r="P186" s="603"/>
      <c r="Q186" s="869"/>
      <c r="R186" s="869"/>
      <c r="S186" s="869"/>
      <c r="T186" s="869"/>
      <c r="U186" s="869"/>
      <c r="V186" s="869"/>
      <c r="W186" s="869"/>
      <c r="X186" s="869"/>
    </row>
    <row r="187" spans="1:24">
      <c r="A187" s="1045">
        <f t="shared" si="2"/>
        <v>6</v>
      </c>
      <c r="B187" s="134">
        <v>45473</v>
      </c>
      <c r="C187" s="70">
        <v>1017</v>
      </c>
      <c r="D187" s="70" t="s">
        <v>5118</v>
      </c>
      <c r="E187" s="70" t="s">
        <v>3085</v>
      </c>
      <c r="F187" s="1049">
        <v>0</v>
      </c>
      <c r="G187" s="1049">
        <v>10</v>
      </c>
      <c r="H187" s="563"/>
      <c r="I187" s="609"/>
      <c r="J187" s="609"/>
      <c r="K187" s="609"/>
      <c r="L187" s="609"/>
      <c r="M187" s="609"/>
      <c r="N187" s="599"/>
      <c r="O187" s="552" t="s">
        <v>1584</v>
      </c>
      <c r="P187" s="603"/>
      <c r="Q187" s="869"/>
      <c r="R187" s="869"/>
      <c r="S187" s="869"/>
      <c r="T187" s="869"/>
      <c r="U187" s="869"/>
      <c r="V187" s="869"/>
      <c r="W187" s="869"/>
      <c r="X187" s="869"/>
    </row>
    <row r="188" spans="1:24">
      <c r="A188" s="1045">
        <f t="shared" si="2"/>
        <v>6</v>
      </c>
      <c r="B188" s="134">
        <v>45473</v>
      </c>
      <c r="C188" s="70">
        <v>6250</v>
      </c>
      <c r="D188" s="70" t="s">
        <v>129</v>
      </c>
      <c r="E188" s="70" t="s">
        <v>3089</v>
      </c>
      <c r="F188" s="1049">
        <v>18</v>
      </c>
      <c r="G188" s="1049">
        <v>0</v>
      </c>
      <c r="H188" s="563"/>
      <c r="I188" s="609"/>
      <c r="J188" s="609"/>
      <c r="K188" s="609"/>
      <c r="L188" s="609"/>
      <c r="M188" s="609"/>
      <c r="N188" s="599"/>
      <c r="O188" s="552" t="s">
        <v>1584</v>
      </c>
      <c r="P188" s="603"/>
      <c r="Q188" s="869"/>
      <c r="R188" s="869"/>
      <c r="S188" s="869"/>
      <c r="T188" s="869"/>
      <c r="U188" s="869"/>
      <c r="V188" s="869"/>
      <c r="W188" s="869"/>
      <c r="X188" s="869"/>
    </row>
    <row r="189" spans="1:24">
      <c r="A189" s="1045">
        <f t="shared" si="2"/>
        <v>6</v>
      </c>
      <c r="B189" s="134">
        <v>45473</v>
      </c>
      <c r="C189" s="70">
        <v>1017</v>
      </c>
      <c r="D189" s="70" t="s">
        <v>5118</v>
      </c>
      <c r="E189" s="70" t="s">
        <v>3089</v>
      </c>
      <c r="F189" s="1049">
        <v>0</v>
      </c>
      <c r="G189" s="1049">
        <v>18</v>
      </c>
      <c r="H189" s="563"/>
      <c r="I189" s="609"/>
      <c r="J189" s="609"/>
      <c r="K189" s="609"/>
      <c r="L189" s="609"/>
      <c r="M189" s="609"/>
      <c r="N189" s="599"/>
      <c r="O189" s="552" t="s">
        <v>1584</v>
      </c>
      <c r="P189" s="603"/>
      <c r="Q189" s="869"/>
      <c r="R189" s="869"/>
      <c r="S189" s="869"/>
      <c r="T189" s="869"/>
      <c r="U189" s="869"/>
      <c r="V189" s="869"/>
      <c r="W189" s="869"/>
      <c r="X189" s="869"/>
    </row>
    <row r="190" spans="1:24">
      <c r="A190" s="1045">
        <f t="shared" si="2"/>
        <v>6</v>
      </c>
      <c r="B190" s="134">
        <v>45473</v>
      </c>
      <c r="C190" s="70">
        <v>6250</v>
      </c>
      <c r="D190" s="70" t="s">
        <v>129</v>
      </c>
      <c r="E190" s="70" t="s">
        <v>3090</v>
      </c>
      <c r="F190" s="1049">
        <v>7</v>
      </c>
      <c r="G190" s="1049">
        <v>0</v>
      </c>
      <c r="H190" s="563"/>
      <c r="I190" s="609"/>
      <c r="J190" s="609"/>
      <c r="K190" s="609"/>
      <c r="L190" s="609"/>
      <c r="M190" s="609"/>
      <c r="N190" s="599"/>
      <c r="O190" s="552" t="s">
        <v>1584</v>
      </c>
      <c r="P190" s="603"/>
      <c r="Q190" s="869"/>
      <c r="R190" s="869"/>
      <c r="S190" s="869"/>
      <c r="T190" s="869"/>
      <c r="U190" s="869"/>
      <c r="V190" s="869"/>
      <c r="W190" s="869"/>
      <c r="X190" s="869"/>
    </row>
    <row r="191" spans="1:24">
      <c r="A191" s="1045">
        <f t="shared" si="2"/>
        <v>6</v>
      </c>
      <c r="B191" s="134">
        <v>45473</v>
      </c>
      <c r="C191" s="70">
        <v>1017</v>
      </c>
      <c r="D191" s="70" t="s">
        <v>5118</v>
      </c>
      <c r="E191" s="70" t="s">
        <v>3090</v>
      </c>
      <c r="F191" s="1049">
        <v>0</v>
      </c>
      <c r="G191" s="1049">
        <v>7</v>
      </c>
      <c r="H191" s="563"/>
      <c r="I191" s="609"/>
      <c r="J191" s="609"/>
      <c r="K191" s="609"/>
      <c r="L191" s="609"/>
      <c r="M191" s="609"/>
      <c r="N191" s="599"/>
      <c r="O191" s="552" t="s">
        <v>1584</v>
      </c>
      <c r="P191" s="603"/>
      <c r="Q191" s="869"/>
      <c r="R191" s="869"/>
      <c r="S191" s="869"/>
      <c r="T191" s="869"/>
      <c r="U191" s="869"/>
      <c r="V191" s="869"/>
      <c r="W191" s="869"/>
      <c r="X191" s="869"/>
    </row>
    <row r="192" spans="1:24">
      <c r="A192" s="1045">
        <f t="shared" si="2"/>
        <v>6</v>
      </c>
      <c r="B192" s="134">
        <v>45473</v>
      </c>
      <c r="C192" s="70">
        <v>6250</v>
      </c>
      <c r="D192" s="70" t="s">
        <v>129</v>
      </c>
      <c r="E192" s="70" t="s">
        <v>3091</v>
      </c>
      <c r="F192" s="1049">
        <v>7.1</v>
      </c>
      <c r="G192" s="1049">
        <v>0</v>
      </c>
      <c r="H192" s="563"/>
      <c r="I192" s="609"/>
      <c r="J192" s="609"/>
      <c r="K192" s="609"/>
      <c r="L192" s="609"/>
      <c r="M192" s="609"/>
      <c r="N192" s="599"/>
      <c r="O192" s="552" t="s">
        <v>1584</v>
      </c>
      <c r="P192" s="603"/>
      <c r="Q192" s="869"/>
      <c r="R192" s="869"/>
      <c r="S192" s="869"/>
      <c r="T192" s="869"/>
      <c r="U192" s="869"/>
      <c r="V192" s="869"/>
      <c r="W192" s="869"/>
      <c r="X192" s="869"/>
    </row>
    <row r="193" spans="1:24">
      <c r="A193" s="1045">
        <f t="shared" si="2"/>
        <v>6</v>
      </c>
      <c r="B193" s="134">
        <v>45473</v>
      </c>
      <c r="C193" s="70">
        <v>1017</v>
      </c>
      <c r="D193" s="70" t="s">
        <v>5118</v>
      </c>
      <c r="E193" s="70" t="s">
        <v>3091</v>
      </c>
      <c r="F193" s="1049">
        <v>0</v>
      </c>
      <c r="G193" s="1049">
        <v>7.1</v>
      </c>
      <c r="H193" s="563"/>
      <c r="I193" s="609"/>
      <c r="J193" s="609"/>
      <c r="K193" s="609"/>
      <c r="L193" s="609"/>
      <c r="M193" s="609"/>
      <c r="N193" s="599"/>
      <c r="O193" s="552" t="s">
        <v>1584</v>
      </c>
      <c r="P193" s="603"/>
      <c r="Q193" s="869"/>
      <c r="R193" s="869"/>
      <c r="S193" s="869"/>
      <c r="T193" s="869"/>
      <c r="U193" s="869"/>
      <c r="V193" s="869"/>
      <c r="W193" s="869"/>
      <c r="X193" s="869"/>
    </row>
    <row r="194" spans="1:24">
      <c r="A194" s="1045">
        <f t="shared" si="2"/>
        <v>6</v>
      </c>
      <c r="B194" s="134">
        <v>45473</v>
      </c>
      <c r="C194" s="70">
        <v>6250</v>
      </c>
      <c r="D194" s="70" t="s">
        <v>129</v>
      </c>
      <c r="E194" s="70" t="s">
        <v>3092</v>
      </c>
      <c r="F194" s="1049">
        <v>100</v>
      </c>
      <c r="G194" s="1049">
        <v>0</v>
      </c>
      <c r="H194" s="563"/>
      <c r="I194" s="609"/>
      <c r="J194" s="609"/>
      <c r="K194" s="609"/>
      <c r="L194" s="609"/>
      <c r="M194" s="609"/>
      <c r="N194" s="599"/>
      <c r="O194" s="552" t="s">
        <v>1584</v>
      </c>
      <c r="P194" s="603"/>
      <c r="Q194" s="869"/>
      <c r="R194" s="869"/>
      <c r="S194" s="869"/>
      <c r="T194" s="869"/>
      <c r="U194" s="869"/>
      <c r="V194" s="869"/>
      <c r="W194" s="869"/>
      <c r="X194" s="869"/>
    </row>
    <row r="195" spans="1:24">
      <c r="A195" s="1045">
        <f t="shared" si="2"/>
        <v>6</v>
      </c>
      <c r="B195" s="134">
        <v>45473</v>
      </c>
      <c r="C195" s="70">
        <v>1017</v>
      </c>
      <c r="D195" s="70" t="s">
        <v>5118</v>
      </c>
      <c r="E195" s="70" t="s">
        <v>3092</v>
      </c>
      <c r="F195" s="1049">
        <v>0</v>
      </c>
      <c r="G195" s="1049">
        <v>100</v>
      </c>
      <c r="H195" s="563"/>
      <c r="I195" s="609"/>
      <c r="J195" s="609"/>
      <c r="K195" s="609"/>
      <c r="L195" s="609"/>
      <c r="M195" s="609"/>
      <c r="N195" s="599"/>
      <c r="O195" s="552" t="s">
        <v>1584</v>
      </c>
      <c r="P195" s="603"/>
      <c r="Q195" s="869"/>
      <c r="R195" s="869"/>
      <c r="S195" s="869"/>
      <c r="T195" s="869"/>
      <c r="U195" s="869"/>
      <c r="V195" s="869"/>
      <c r="W195" s="869"/>
      <c r="X195" s="869"/>
    </row>
    <row r="196" spans="1:24">
      <c r="A196" s="1045">
        <f t="shared" si="2"/>
        <v>6</v>
      </c>
      <c r="B196" s="134">
        <v>45473</v>
      </c>
      <c r="C196" s="70">
        <v>6001</v>
      </c>
      <c r="D196" s="70" t="s">
        <v>92</v>
      </c>
      <c r="E196" s="70" t="s">
        <v>3093</v>
      </c>
      <c r="F196" s="1049">
        <v>15</v>
      </c>
      <c r="G196" s="1049">
        <v>0</v>
      </c>
      <c r="H196" s="563"/>
      <c r="I196" s="609"/>
      <c r="J196" s="609"/>
      <c r="K196" s="609"/>
      <c r="L196" s="609"/>
      <c r="M196" s="609"/>
      <c r="N196" s="599"/>
      <c r="O196" s="552" t="s">
        <v>1584</v>
      </c>
      <c r="P196" s="603"/>
      <c r="Q196" s="869"/>
      <c r="R196" s="869"/>
      <c r="S196" s="869"/>
      <c r="T196" s="869"/>
      <c r="U196" s="869"/>
      <c r="V196" s="869"/>
      <c r="W196" s="869"/>
      <c r="X196" s="869"/>
    </row>
    <row r="197" spans="1:24">
      <c r="A197" s="1045">
        <f t="shared" si="2"/>
        <v>6</v>
      </c>
      <c r="B197" s="134">
        <v>45473</v>
      </c>
      <c r="C197" s="70">
        <v>2018</v>
      </c>
      <c r="D197" s="70" t="s">
        <v>58</v>
      </c>
      <c r="E197" s="70" t="s">
        <v>3093</v>
      </c>
      <c r="F197" s="1049">
        <v>0.71</v>
      </c>
      <c r="G197" s="1049">
        <v>0</v>
      </c>
      <c r="H197" s="563"/>
      <c r="I197" s="609"/>
      <c r="J197" s="609"/>
      <c r="K197" s="609"/>
      <c r="L197" s="609"/>
      <c r="M197" s="609"/>
      <c r="N197" s="599"/>
      <c r="O197" s="552" t="s">
        <v>1584</v>
      </c>
      <c r="P197" s="603"/>
      <c r="Q197" s="869"/>
      <c r="R197" s="869"/>
      <c r="S197" s="869"/>
      <c r="T197" s="869"/>
      <c r="U197" s="869"/>
      <c r="V197" s="869"/>
      <c r="W197" s="869"/>
      <c r="X197" s="869"/>
    </row>
    <row r="198" spans="1:24">
      <c r="A198" s="1045">
        <f t="shared" si="2"/>
        <v>6</v>
      </c>
      <c r="B198" s="134">
        <v>45473</v>
      </c>
      <c r="C198" s="70">
        <v>1017</v>
      </c>
      <c r="D198" s="70" t="s">
        <v>5118</v>
      </c>
      <c r="E198" s="70" t="s">
        <v>3093</v>
      </c>
      <c r="F198" s="1049">
        <v>0</v>
      </c>
      <c r="G198" s="1049">
        <v>15.71</v>
      </c>
      <c r="H198" s="563"/>
      <c r="I198" s="609"/>
      <c r="J198" s="609"/>
      <c r="K198" s="609"/>
      <c r="L198" s="609"/>
      <c r="M198" s="609"/>
      <c r="N198" s="599"/>
      <c r="O198" s="552" t="s">
        <v>1584</v>
      </c>
      <c r="P198" s="603"/>
      <c r="Q198" s="869"/>
      <c r="R198" s="869"/>
      <c r="S198" s="869"/>
      <c r="T198" s="869"/>
      <c r="U198" s="869"/>
      <c r="V198" s="869"/>
      <c r="W198" s="869"/>
      <c r="X198" s="869"/>
    </row>
    <row r="199" spans="1:24">
      <c r="A199" s="1045">
        <f t="shared" si="2"/>
        <v>6</v>
      </c>
      <c r="B199" s="134">
        <v>45473</v>
      </c>
      <c r="C199" s="70">
        <v>6001</v>
      </c>
      <c r="D199" s="70" t="s">
        <v>92</v>
      </c>
      <c r="E199" s="70" t="s">
        <v>3093</v>
      </c>
      <c r="F199" s="1049">
        <v>10</v>
      </c>
      <c r="G199" s="1049">
        <v>0</v>
      </c>
      <c r="H199" s="563"/>
      <c r="I199" s="609"/>
      <c r="J199" s="609"/>
      <c r="K199" s="609"/>
      <c r="L199" s="609"/>
      <c r="M199" s="609"/>
      <c r="N199" s="599"/>
      <c r="O199" s="552" t="s">
        <v>1584</v>
      </c>
      <c r="P199" s="603"/>
      <c r="Q199" s="869"/>
      <c r="R199" s="869"/>
      <c r="S199" s="869"/>
      <c r="T199" s="869"/>
      <c r="U199" s="869"/>
      <c r="V199" s="869"/>
      <c r="W199" s="869"/>
      <c r="X199" s="869"/>
    </row>
    <row r="200" spans="1:24">
      <c r="A200" s="1045">
        <f t="shared" si="2"/>
        <v>6</v>
      </c>
      <c r="B200" s="134">
        <v>45473</v>
      </c>
      <c r="C200" s="70">
        <v>2018</v>
      </c>
      <c r="D200" s="70" t="s">
        <v>58</v>
      </c>
      <c r="E200" s="70" t="s">
        <v>3093</v>
      </c>
      <c r="F200" s="1049">
        <v>0.48</v>
      </c>
      <c r="G200" s="1049">
        <v>0</v>
      </c>
      <c r="H200" s="563"/>
      <c r="I200" s="609"/>
      <c r="J200" s="609"/>
      <c r="K200" s="609"/>
      <c r="L200" s="609"/>
      <c r="M200" s="609"/>
      <c r="N200" s="599"/>
      <c r="O200" s="552" t="s">
        <v>1584</v>
      </c>
      <c r="P200" s="603"/>
      <c r="Q200" s="869"/>
      <c r="R200" s="869"/>
      <c r="S200" s="869"/>
      <c r="T200" s="869"/>
      <c r="U200" s="869"/>
      <c r="V200" s="869"/>
      <c r="W200" s="869"/>
      <c r="X200" s="869"/>
    </row>
    <row r="201" spans="1:24">
      <c r="A201" s="1045">
        <f t="shared" si="2"/>
        <v>6</v>
      </c>
      <c r="B201" s="134">
        <v>45473</v>
      </c>
      <c r="C201" s="70">
        <v>1017</v>
      </c>
      <c r="D201" s="70" t="s">
        <v>5118</v>
      </c>
      <c r="E201" s="70" t="s">
        <v>3093</v>
      </c>
      <c r="F201" s="1049">
        <v>0</v>
      </c>
      <c r="G201" s="1049">
        <v>10.48</v>
      </c>
      <c r="H201" s="563"/>
      <c r="I201" s="609"/>
      <c r="J201" s="609"/>
      <c r="K201" s="609"/>
      <c r="L201" s="609"/>
      <c r="M201" s="609"/>
      <c r="N201" s="599"/>
      <c r="O201" s="552" t="s">
        <v>1584</v>
      </c>
      <c r="P201" s="603"/>
      <c r="Q201" s="869"/>
      <c r="R201" s="869"/>
      <c r="S201" s="869"/>
      <c r="T201" s="869"/>
      <c r="U201" s="869"/>
      <c r="V201" s="869"/>
      <c r="W201" s="869"/>
      <c r="X201" s="869"/>
    </row>
    <row r="202" spans="1:24">
      <c r="A202" s="1045">
        <f t="shared" si="2"/>
        <v>6</v>
      </c>
      <c r="B202" s="134">
        <v>45473</v>
      </c>
      <c r="C202" s="70">
        <v>6001</v>
      </c>
      <c r="D202" s="70" t="s">
        <v>92</v>
      </c>
      <c r="E202" s="70" t="s">
        <v>3093</v>
      </c>
      <c r="F202" s="1049">
        <v>10</v>
      </c>
      <c r="G202" s="1049">
        <v>0</v>
      </c>
      <c r="H202" s="563"/>
      <c r="I202" s="609"/>
      <c r="J202" s="609"/>
      <c r="K202" s="609"/>
      <c r="L202" s="609"/>
      <c r="M202" s="609"/>
      <c r="N202" s="599"/>
      <c r="O202" s="552" t="s">
        <v>1584</v>
      </c>
      <c r="P202" s="603"/>
      <c r="Q202" s="869"/>
      <c r="R202" s="869"/>
      <c r="S202" s="869"/>
      <c r="T202" s="869"/>
      <c r="U202" s="869"/>
      <c r="V202" s="869"/>
      <c r="W202" s="869"/>
      <c r="X202" s="869"/>
    </row>
    <row r="203" spans="1:24">
      <c r="A203" s="1045">
        <f t="shared" ref="A203:A266" si="3">IF(B203="","",MONTH(B203))</f>
        <v>6</v>
      </c>
      <c r="B203" s="134">
        <v>45473</v>
      </c>
      <c r="C203" s="70">
        <v>2018</v>
      </c>
      <c r="D203" s="70" t="s">
        <v>58</v>
      </c>
      <c r="E203" s="70" t="s">
        <v>3093</v>
      </c>
      <c r="F203" s="1049">
        <v>0.48</v>
      </c>
      <c r="G203" s="1049">
        <v>0</v>
      </c>
      <c r="H203" s="563"/>
      <c r="I203" s="609"/>
      <c r="J203" s="609"/>
      <c r="K203" s="609"/>
      <c r="L203" s="609"/>
      <c r="M203" s="609"/>
      <c r="N203" s="599"/>
      <c r="O203" s="552" t="s">
        <v>1584</v>
      </c>
      <c r="P203" s="603"/>
      <c r="Q203" s="869"/>
      <c r="R203" s="869"/>
      <c r="S203" s="869"/>
      <c r="T203" s="869"/>
      <c r="U203" s="869"/>
      <c r="V203" s="869"/>
      <c r="W203" s="869"/>
      <c r="X203" s="869"/>
    </row>
    <row r="204" spans="1:24">
      <c r="A204" s="1045">
        <f t="shared" si="3"/>
        <v>6</v>
      </c>
      <c r="B204" s="134">
        <v>45473</v>
      </c>
      <c r="C204" s="70">
        <v>1017</v>
      </c>
      <c r="D204" s="70" t="s">
        <v>5118</v>
      </c>
      <c r="E204" s="70" t="s">
        <v>3093</v>
      </c>
      <c r="F204" s="1049">
        <v>0</v>
      </c>
      <c r="G204" s="1049">
        <v>10.48</v>
      </c>
      <c r="H204" s="563"/>
      <c r="I204" s="609"/>
      <c r="J204" s="609"/>
      <c r="K204" s="609"/>
      <c r="L204" s="609"/>
      <c r="M204" s="609"/>
      <c r="N204" s="599"/>
      <c r="O204" s="552" t="s">
        <v>1584</v>
      </c>
      <c r="P204" s="603"/>
      <c r="Q204" s="869"/>
      <c r="R204" s="869"/>
      <c r="S204" s="869"/>
      <c r="T204" s="869"/>
      <c r="U204" s="869"/>
      <c r="V204" s="869"/>
      <c r="W204" s="869"/>
      <c r="X204" s="869"/>
    </row>
    <row r="205" spans="1:24">
      <c r="A205" s="1045">
        <f t="shared" si="3"/>
        <v>6</v>
      </c>
      <c r="B205" s="134">
        <v>45473</v>
      </c>
      <c r="C205" s="70">
        <v>6250</v>
      </c>
      <c r="D205" s="70" t="s">
        <v>129</v>
      </c>
      <c r="E205" s="70" t="s">
        <v>3094</v>
      </c>
      <c r="F205" s="1049">
        <v>4</v>
      </c>
      <c r="G205" s="1049">
        <v>0</v>
      </c>
      <c r="H205" s="563"/>
      <c r="I205" s="609"/>
      <c r="J205" s="609"/>
      <c r="K205" s="609"/>
      <c r="L205" s="609"/>
      <c r="M205" s="609"/>
      <c r="N205" s="599"/>
      <c r="O205" s="552" t="s">
        <v>1584</v>
      </c>
      <c r="P205" s="603"/>
      <c r="Q205" s="869"/>
      <c r="R205" s="869"/>
      <c r="S205" s="869"/>
      <c r="T205" s="869"/>
      <c r="U205" s="869"/>
      <c r="V205" s="869"/>
      <c r="W205" s="869"/>
      <c r="X205" s="869"/>
    </row>
    <row r="206" spans="1:24">
      <c r="A206" s="1045">
        <f t="shared" si="3"/>
        <v>6</v>
      </c>
      <c r="B206" s="134">
        <v>45473</v>
      </c>
      <c r="C206" s="70">
        <v>1017</v>
      </c>
      <c r="D206" s="70" t="s">
        <v>5118</v>
      </c>
      <c r="E206" s="70" t="s">
        <v>3094</v>
      </c>
      <c r="F206" s="1049">
        <v>0</v>
      </c>
      <c r="G206" s="1049">
        <v>4</v>
      </c>
      <c r="H206" s="563"/>
      <c r="I206" s="609"/>
      <c r="J206" s="609"/>
      <c r="K206" s="609"/>
      <c r="L206" s="609"/>
      <c r="M206" s="609"/>
      <c r="N206" s="599"/>
      <c r="O206" s="552" t="s">
        <v>1584</v>
      </c>
      <c r="P206" s="603"/>
      <c r="Q206" s="869"/>
      <c r="R206" s="869"/>
      <c r="S206" s="869"/>
      <c r="T206" s="869"/>
      <c r="U206" s="869"/>
      <c r="V206" s="869"/>
      <c r="W206" s="869"/>
      <c r="X206" s="869"/>
    </row>
    <row r="207" spans="1:24">
      <c r="A207" s="1045">
        <f t="shared" si="3"/>
        <v>6</v>
      </c>
      <c r="B207" s="134">
        <v>45473</v>
      </c>
      <c r="C207" s="70">
        <v>6005</v>
      </c>
      <c r="D207" s="70" t="s">
        <v>96</v>
      </c>
      <c r="E207" s="70" t="s">
        <v>3095</v>
      </c>
      <c r="F207" s="1049">
        <v>15.24</v>
      </c>
      <c r="G207" s="1049">
        <v>0</v>
      </c>
      <c r="H207" s="563"/>
      <c r="I207" s="609"/>
      <c r="J207" s="609"/>
      <c r="K207" s="609"/>
      <c r="L207" s="609"/>
      <c r="M207" s="609"/>
      <c r="N207" s="599"/>
      <c r="O207" s="552" t="s">
        <v>1584</v>
      </c>
      <c r="P207" s="603"/>
      <c r="Q207" s="869"/>
      <c r="R207" s="869"/>
      <c r="S207" s="869"/>
      <c r="T207" s="869"/>
      <c r="U207" s="869"/>
      <c r="V207" s="869"/>
      <c r="W207" s="869"/>
      <c r="X207" s="869"/>
    </row>
    <row r="208" spans="1:24">
      <c r="A208" s="1045">
        <f t="shared" si="3"/>
        <v>6</v>
      </c>
      <c r="B208" s="134">
        <v>45473</v>
      </c>
      <c r="C208" s="70">
        <v>2018</v>
      </c>
      <c r="D208" s="70" t="s">
        <v>58</v>
      </c>
      <c r="E208" s="70" t="s">
        <v>3095</v>
      </c>
      <c r="F208" s="1049">
        <v>0.76</v>
      </c>
      <c r="G208" s="1049">
        <v>0</v>
      </c>
      <c r="H208" s="563"/>
      <c r="I208" s="609"/>
      <c r="J208" s="609"/>
      <c r="K208" s="609"/>
      <c r="L208" s="609"/>
      <c r="M208" s="609"/>
      <c r="N208" s="599"/>
      <c r="O208" s="552" t="s">
        <v>1584</v>
      </c>
      <c r="P208" s="603"/>
      <c r="Q208" s="869"/>
      <c r="R208" s="869"/>
      <c r="S208" s="869"/>
      <c r="T208" s="869"/>
      <c r="U208" s="869"/>
      <c r="V208" s="869"/>
      <c r="W208" s="869"/>
      <c r="X208" s="869"/>
    </row>
    <row r="209" spans="1:24">
      <c r="A209" s="1045">
        <f t="shared" si="3"/>
        <v>6</v>
      </c>
      <c r="B209" s="134">
        <v>45473</v>
      </c>
      <c r="C209" s="70">
        <v>1017</v>
      </c>
      <c r="D209" s="70" t="s">
        <v>5118</v>
      </c>
      <c r="E209" s="70" t="s">
        <v>3095</v>
      </c>
      <c r="F209" s="1049">
        <v>0</v>
      </c>
      <c r="G209" s="1049">
        <v>16</v>
      </c>
      <c r="H209" s="563"/>
      <c r="I209" s="609"/>
      <c r="J209" s="609"/>
      <c r="K209" s="609"/>
      <c r="L209" s="609"/>
      <c r="M209" s="609"/>
      <c r="N209" s="599"/>
      <c r="O209" s="552" t="s">
        <v>1584</v>
      </c>
      <c r="P209" s="603"/>
      <c r="Q209" s="869"/>
      <c r="R209" s="869"/>
      <c r="S209" s="869"/>
      <c r="T209" s="869"/>
      <c r="U209" s="869"/>
      <c r="V209" s="869"/>
      <c r="W209" s="869"/>
      <c r="X209" s="869"/>
    </row>
    <row r="210" spans="1:24">
      <c r="A210" s="1045">
        <f t="shared" si="3"/>
        <v>6</v>
      </c>
      <c r="B210" s="134">
        <v>45473</v>
      </c>
      <c r="C210" s="70">
        <v>6013</v>
      </c>
      <c r="D210" s="70" t="s">
        <v>104</v>
      </c>
      <c r="E210" s="70" t="s">
        <v>3096</v>
      </c>
      <c r="F210" s="1049">
        <v>850</v>
      </c>
      <c r="G210" s="1049">
        <v>0</v>
      </c>
      <c r="H210" s="563"/>
      <c r="I210" s="609"/>
      <c r="J210" s="609"/>
      <c r="K210" s="609"/>
      <c r="L210" s="609"/>
      <c r="M210" s="609"/>
      <c r="N210" s="599"/>
      <c r="O210" s="552" t="s">
        <v>1584</v>
      </c>
      <c r="P210" s="603"/>
      <c r="Q210" s="869"/>
      <c r="R210" s="869"/>
      <c r="S210" s="869"/>
      <c r="T210" s="869"/>
      <c r="U210" s="869"/>
      <c r="V210" s="869"/>
      <c r="W210" s="869"/>
      <c r="X210" s="869"/>
    </row>
    <row r="211" spans="1:24">
      <c r="A211" s="1045">
        <f t="shared" si="3"/>
        <v>6</v>
      </c>
      <c r="B211" s="134">
        <v>45473</v>
      </c>
      <c r="C211" s="70">
        <v>1017</v>
      </c>
      <c r="D211" s="70" t="s">
        <v>5118</v>
      </c>
      <c r="E211" s="70" t="s">
        <v>3096</v>
      </c>
      <c r="F211" s="1049">
        <v>0</v>
      </c>
      <c r="G211" s="1049">
        <v>850</v>
      </c>
      <c r="H211" s="563"/>
      <c r="I211" s="609"/>
      <c r="J211" s="609"/>
      <c r="K211" s="609"/>
      <c r="L211" s="609"/>
      <c r="M211" s="609"/>
      <c r="N211" s="599"/>
      <c r="O211" s="552" t="s">
        <v>1584</v>
      </c>
      <c r="P211" s="603"/>
      <c r="Q211" s="869"/>
      <c r="R211" s="869"/>
      <c r="S211" s="869"/>
      <c r="T211" s="869"/>
      <c r="U211" s="869"/>
      <c r="V211" s="869"/>
      <c r="W211" s="869"/>
      <c r="X211" s="869"/>
    </row>
    <row r="212" spans="1:24">
      <c r="A212" s="1045">
        <f t="shared" si="3"/>
        <v>6</v>
      </c>
      <c r="B212" s="134">
        <v>45473</v>
      </c>
      <c r="C212" s="70">
        <v>6000</v>
      </c>
      <c r="D212" s="70" t="s">
        <v>91</v>
      </c>
      <c r="E212" s="70" t="s">
        <v>3097</v>
      </c>
      <c r="F212" s="1049">
        <v>1000</v>
      </c>
      <c r="G212" s="1049">
        <v>0</v>
      </c>
      <c r="H212" s="563"/>
      <c r="I212" s="609"/>
      <c r="J212" s="609"/>
      <c r="K212" s="609"/>
      <c r="L212" s="609"/>
      <c r="M212" s="609"/>
      <c r="N212" s="599"/>
      <c r="O212" s="552" t="s">
        <v>1584</v>
      </c>
      <c r="P212" s="603"/>
      <c r="Q212" s="869"/>
      <c r="R212" s="869"/>
      <c r="S212" s="869"/>
      <c r="T212" s="869"/>
      <c r="U212" s="869"/>
      <c r="V212" s="869"/>
      <c r="W212" s="869"/>
      <c r="X212" s="869"/>
    </row>
    <row r="213" spans="1:24">
      <c r="A213" s="1045">
        <f t="shared" si="3"/>
        <v>6</v>
      </c>
      <c r="B213" s="134">
        <v>45473</v>
      </c>
      <c r="C213" s="70">
        <v>1017</v>
      </c>
      <c r="D213" s="70" t="s">
        <v>5118</v>
      </c>
      <c r="E213" s="70" t="s">
        <v>3097</v>
      </c>
      <c r="F213" s="1049">
        <v>0</v>
      </c>
      <c r="G213" s="1049">
        <v>1000</v>
      </c>
      <c r="H213" s="563"/>
      <c r="I213" s="609"/>
      <c r="J213" s="609"/>
      <c r="K213" s="609"/>
      <c r="L213" s="609"/>
      <c r="M213" s="609"/>
      <c r="N213" s="599"/>
      <c r="O213" s="552" t="s">
        <v>1584</v>
      </c>
      <c r="P213" s="603"/>
      <c r="Q213" s="869"/>
      <c r="R213" s="869"/>
      <c r="S213" s="869"/>
      <c r="T213" s="869"/>
      <c r="U213" s="869"/>
      <c r="V213" s="869"/>
      <c r="W213" s="869"/>
      <c r="X213" s="869"/>
    </row>
    <row r="214" spans="1:24">
      <c r="A214" s="1045">
        <f t="shared" si="3"/>
        <v>6</v>
      </c>
      <c r="B214" s="134">
        <v>45473</v>
      </c>
      <c r="C214" s="70">
        <v>6007</v>
      </c>
      <c r="D214" s="70" t="s">
        <v>98</v>
      </c>
      <c r="E214" s="70" t="s">
        <v>3098</v>
      </c>
      <c r="F214" s="1049">
        <v>70</v>
      </c>
      <c r="G214" s="1049">
        <v>0</v>
      </c>
      <c r="H214" s="563"/>
      <c r="I214" s="609"/>
      <c r="J214" s="609"/>
      <c r="K214" s="609"/>
      <c r="L214" s="609"/>
      <c r="M214" s="609"/>
      <c r="N214" s="599"/>
      <c r="O214" s="552" t="s">
        <v>1584</v>
      </c>
      <c r="P214" s="603"/>
      <c r="Q214" s="869"/>
      <c r="R214" s="869"/>
      <c r="S214" s="869"/>
      <c r="T214" s="869"/>
      <c r="U214" s="869"/>
      <c r="V214" s="869"/>
      <c r="W214" s="869"/>
      <c r="X214" s="869"/>
    </row>
    <row r="215" spans="1:24">
      <c r="A215" s="1045">
        <f t="shared" si="3"/>
        <v>6</v>
      </c>
      <c r="B215" s="134">
        <v>45473</v>
      </c>
      <c r="C215" s="70">
        <v>1017</v>
      </c>
      <c r="D215" s="70" t="s">
        <v>5118</v>
      </c>
      <c r="E215" s="70" t="s">
        <v>3098</v>
      </c>
      <c r="F215" s="1049">
        <v>0</v>
      </c>
      <c r="G215" s="1049">
        <v>70</v>
      </c>
      <c r="H215" s="563"/>
      <c r="I215" s="609"/>
      <c r="J215" s="609"/>
      <c r="K215" s="609"/>
      <c r="L215" s="609"/>
      <c r="M215" s="609"/>
      <c r="N215" s="599"/>
      <c r="O215" s="552" t="s">
        <v>1584</v>
      </c>
      <c r="P215" s="603"/>
      <c r="Q215" s="869"/>
      <c r="R215" s="869"/>
      <c r="S215" s="869"/>
      <c r="T215" s="869"/>
      <c r="U215" s="869"/>
      <c r="V215" s="869"/>
      <c r="W215" s="869"/>
      <c r="X215" s="869"/>
    </row>
    <row r="216" spans="1:24">
      <c r="A216" s="1045">
        <f t="shared" si="3"/>
        <v>6</v>
      </c>
      <c r="B216" s="134">
        <v>45473</v>
      </c>
      <c r="C216" s="70">
        <v>6250</v>
      </c>
      <c r="D216" s="70" t="s">
        <v>129</v>
      </c>
      <c r="E216" s="70" t="s">
        <v>3099</v>
      </c>
      <c r="F216" s="1049">
        <v>22</v>
      </c>
      <c r="G216" s="1049">
        <v>0</v>
      </c>
      <c r="H216" s="563"/>
      <c r="I216" s="609"/>
      <c r="J216" s="609"/>
      <c r="K216" s="609"/>
      <c r="L216" s="609"/>
      <c r="M216" s="609"/>
      <c r="N216" s="599"/>
      <c r="O216" s="552" t="s">
        <v>1584</v>
      </c>
      <c r="P216" s="603"/>
      <c r="Q216" s="869"/>
      <c r="R216" s="869"/>
      <c r="S216" s="869"/>
      <c r="T216" s="869"/>
      <c r="U216" s="869"/>
      <c r="V216" s="869"/>
      <c r="W216" s="869"/>
      <c r="X216" s="869"/>
    </row>
    <row r="217" spans="1:24">
      <c r="A217" s="1045">
        <f t="shared" si="3"/>
        <v>6</v>
      </c>
      <c r="B217" s="134">
        <v>45473</v>
      </c>
      <c r="C217" s="70">
        <v>6250</v>
      </c>
      <c r="D217" s="70" t="s">
        <v>129</v>
      </c>
      <c r="E217" s="70" t="s">
        <v>3099</v>
      </c>
      <c r="F217" s="1049">
        <v>50</v>
      </c>
      <c r="G217" s="1049">
        <v>0</v>
      </c>
      <c r="H217" s="563"/>
      <c r="I217" s="609"/>
      <c r="J217" s="609"/>
      <c r="K217" s="609"/>
      <c r="L217" s="609"/>
      <c r="M217" s="609"/>
      <c r="N217" s="599"/>
      <c r="O217" s="552" t="s">
        <v>1584</v>
      </c>
      <c r="P217" s="603"/>
      <c r="Q217" s="869"/>
      <c r="R217" s="869"/>
      <c r="S217" s="869"/>
      <c r="T217" s="869"/>
      <c r="U217" s="869"/>
      <c r="V217" s="869"/>
      <c r="W217" s="869"/>
      <c r="X217" s="869"/>
    </row>
    <row r="218" spans="1:24">
      <c r="A218" s="1045">
        <f t="shared" si="3"/>
        <v>6</v>
      </c>
      <c r="B218" s="134">
        <v>45473</v>
      </c>
      <c r="C218" s="70">
        <v>1017</v>
      </c>
      <c r="D218" s="70" t="s">
        <v>5118</v>
      </c>
      <c r="E218" s="70" t="s">
        <v>3099</v>
      </c>
      <c r="F218" s="1049">
        <v>0</v>
      </c>
      <c r="G218" s="1049">
        <v>72</v>
      </c>
      <c r="H218" s="563"/>
      <c r="I218" s="609"/>
      <c r="J218" s="609"/>
      <c r="K218" s="609"/>
      <c r="L218" s="609"/>
      <c r="M218" s="609"/>
      <c r="N218" s="599"/>
      <c r="O218" s="552" t="s">
        <v>1584</v>
      </c>
      <c r="P218" s="603"/>
      <c r="Q218" s="869"/>
      <c r="R218" s="869"/>
      <c r="S218" s="869"/>
      <c r="T218" s="869"/>
      <c r="U218" s="869"/>
      <c r="V218" s="869"/>
      <c r="W218" s="869"/>
      <c r="X218" s="869"/>
    </row>
    <row r="219" spans="1:24">
      <c r="A219" s="1045">
        <f t="shared" si="3"/>
        <v>6</v>
      </c>
      <c r="B219" s="134">
        <v>45473</v>
      </c>
      <c r="C219" s="70">
        <v>6250</v>
      </c>
      <c r="D219" s="70" t="s">
        <v>129</v>
      </c>
      <c r="E219" s="70" t="s">
        <v>3100</v>
      </c>
      <c r="F219" s="1049">
        <v>440</v>
      </c>
      <c r="G219" s="1049">
        <v>0</v>
      </c>
      <c r="H219" s="563"/>
      <c r="I219" s="609"/>
      <c r="J219" s="609"/>
      <c r="K219" s="609"/>
      <c r="L219" s="609"/>
      <c r="M219" s="609"/>
      <c r="N219" s="599"/>
      <c r="O219" s="552" t="s">
        <v>1584</v>
      </c>
      <c r="P219" s="603"/>
      <c r="Q219" s="869"/>
      <c r="R219" s="869"/>
      <c r="S219" s="869"/>
      <c r="T219" s="869"/>
      <c r="U219" s="869"/>
      <c r="V219" s="869"/>
      <c r="W219" s="869"/>
      <c r="X219" s="869"/>
    </row>
    <row r="220" spans="1:24">
      <c r="A220" s="1045">
        <f t="shared" si="3"/>
        <v>6</v>
      </c>
      <c r="B220" s="134">
        <v>45473</v>
      </c>
      <c r="C220" s="70">
        <v>1017</v>
      </c>
      <c r="D220" s="70" t="s">
        <v>5118</v>
      </c>
      <c r="E220" s="70" t="s">
        <v>3100</v>
      </c>
      <c r="F220" s="1049">
        <v>0</v>
      </c>
      <c r="G220" s="1049">
        <v>440</v>
      </c>
      <c r="H220" s="563"/>
      <c r="I220" s="609"/>
      <c r="J220" s="609"/>
      <c r="K220" s="609"/>
      <c r="L220" s="609"/>
      <c r="M220" s="609"/>
      <c r="N220" s="599"/>
      <c r="O220" s="552" t="s">
        <v>1584</v>
      </c>
      <c r="P220" s="603"/>
      <c r="Q220" s="869"/>
      <c r="R220" s="869"/>
      <c r="S220" s="869"/>
      <c r="T220" s="869"/>
      <c r="U220" s="869"/>
      <c r="V220" s="869"/>
      <c r="W220" s="869"/>
      <c r="X220" s="869"/>
    </row>
    <row r="221" spans="1:24">
      <c r="A221" s="1045">
        <f t="shared" si="3"/>
        <v>6</v>
      </c>
      <c r="B221" s="134">
        <v>45473</v>
      </c>
      <c r="C221" s="70">
        <v>6007</v>
      </c>
      <c r="D221" s="70" t="s">
        <v>98</v>
      </c>
      <c r="E221" s="70" t="s">
        <v>3101</v>
      </c>
      <c r="F221" s="1049">
        <v>100</v>
      </c>
      <c r="G221" s="1049">
        <v>0</v>
      </c>
      <c r="H221" s="563"/>
      <c r="I221" s="609"/>
      <c r="J221" s="609"/>
      <c r="K221" s="609"/>
      <c r="L221" s="609"/>
      <c r="M221" s="609"/>
      <c r="N221" s="599"/>
      <c r="O221" s="552" t="s">
        <v>1584</v>
      </c>
      <c r="P221" s="603"/>
      <c r="Q221" s="869"/>
      <c r="R221" s="869"/>
      <c r="S221" s="869"/>
      <c r="T221" s="869"/>
      <c r="U221" s="869"/>
      <c r="V221" s="869"/>
      <c r="W221" s="869"/>
      <c r="X221" s="869"/>
    </row>
    <row r="222" spans="1:24">
      <c r="A222" s="1045">
        <f t="shared" si="3"/>
        <v>6</v>
      </c>
      <c r="B222" s="134">
        <v>45473</v>
      </c>
      <c r="C222" s="70">
        <v>1017</v>
      </c>
      <c r="D222" s="70" t="s">
        <v>5118</v>
      </c>
      <c r="E222" s="70" t="s">
        <v>3101</v>
      </c>
      <c r="F222" s="1049">
        <v>0</v>
      </c>
      <c r="G222" s="1049">
        <v>100</v>
      </c>
      <c r="H222" s="563"/>
      <c r="I222" s="609"/>
      <c r="J222" s="609"/>
      <c r="K222" s="609"/>
      <c r="L222" s="609"/>
      <c r="M222" s="609"/>
      <c r="N222" s="599"/>
      <c r="O222" s="552" t="s">
        <v>1584</v>
      </c>
      <c r="P222" s="603"/>
      <c r="Q222" s="869"/>
      <c r="R222" s="869"/>
      <c r="S222" s="869"/>
      <c r="T222" s="869"/>
      <c r="U222" s="869"/>
      <c r="V222" s="869"/>
      <c r="W222" s="869"/>
      <c r="X222" s="869"/>
    </row>
    <row r="223" spans="1:24">
      <c r="A223" s="1045">
        <f t="shared" si="3"/>
        <v>6</v>
      </c>
      <c r="B223" s="134">
        <v>45473</v>
      </c>
      <c r="C223" s="70">
        <v>6007</v>
      </c>
      <c r="D223" s="70" t="s">
        <v>98</v>
      </c>
      <c r="E223" s="70" t="s">
        <v>3102</v>
      </c>
      <c r="F223" s="1049">
        <v>400</v>
      </c>
      <c r="G223" s="1049">
        <v>0</v>
      </c>
      <c r="H223" s="563"/>
      <c r="I223" s="609"/>
      <c r="J223" s="609"/>
      <c r="K223" s="609"/>
      <c r="L223" s="609"/>
      <c r="M223" s="609"/>
      <c r="N223" s="599"/>
      <c r="O223" s="552" t="s">
        <v>1584</v>
      </c>
      <c r="P223" s="603"/>
      <c r="Q223" s="869"/>
      <c r="R223" s="869"/>
      <c r="S223" s="869"/>
      <c r="T223" s="869"/>
      <c r="U223" s="869"/>
      <c r="V223" s="869"/>
      <c r="W223" s="869"/>
      <c r="X223" s="869"/>
    </row>
    <row r="224" spans="1:24">
      <c r="A224" s="1045">
        <f t="shared" si="3"/>
        <v>6</v>
      </c>
      <c r="B224" s="134">
        <v>45473</v>
      </c>
      <c r="C224" s="70">
        <v>1017</v>
      </c>
      <c r="D224" s="70" t="s">
        <v>5118</v>
      </c>
      <c r="E224" s="70" t="s">
        <v>3102</v>
      </c>
      <c r="F224" s="1049">
        <v>0</v>
      </c>
      <c r="G224" s="1049">
        <v>400</v>
      </c>
      <c r="H224" s="563"/>
      <c r="I224" s="609"/>
      <c r="J224" s="609"/>
      <c r="K224" s="609"/>
      <c r="L224" s="609"/>
      <c r="M224" s="609"/>
      <c r="N224" s="599"/>
      <c r="O224" s="552" t="s">
        <v>1584</v>
      </c>
      <c r="P224" s="603"/>
      <c r="Q224" s="869"/>
      <c r="R224" s="869"/>
      <c r="S224" s="869"/>
      <c r="T224" s="869"/>
      <c r="U224" s="869"/>
      <c r="V224" s="869"/>
      <c r="W224" s="869"/>
      <c r="X224" s="869"/>
    </row>
    <row r="225" spans="1:24">
      <c r="A225" s="1045">
        <f t="shared" si="3"/>
        <v>6</v>
      </c>
      <c r="B225" s="134">
        <v>45473</v>
      </c>
      <c r="C225" s="70">
        <v>6007</v>
      </c>
      <c r="D225" s="70" t="s">
        <v>98</v>
      </c>
      <c r="E225" s="70" t="s">
        <v>3103</v>
      </c>
      <c r="F225" s="1049">
        <v>200</v>
      </c>
      <c r="G225" s="1049">
        <v>0</v>
      </c>
      <c r="H225" s="563"/>
      <c r="I225" s="609"/>
      <c r="J225" s="609"/>
      <c r="K225" s="609"/>
      <c r="L225" s="609"/>
      <c r="M225" s="609"/>
      <c r="N225" s="599"/>
      <c r="O225" s="552" t="s">
        <v>1584</v>
      </c>
      <c r="P225" s="603"/>
      <c r="Q225" s="869"/>
      <c r="R225" s="869"/>
      <c r="S225" s="869"/>
      <c r="T225" s="869"/>
      <c r="U225" s="869"/>
      <c r="V225" s="869"/>
      <c r="W225" s="869"/>
      <c r="X225" s="869"/>
    </row>
    <row r="226" spans="1:24">
      <c r="A226" s="1045">
        <f t="shared" si="3"/>
        <v>6</v>
      </c>
      <c r="B226" s="134">
        <v>45473</v>
      </c>
      <c r="C226" s="70">
        <v>1017</v>
      </c>
      <c r="D226" s="70" t="s">
        <v>5118</v>
      </c>
      <c r="E226" s="70" t="s">
        <v>3103</v>
      </c>
      <c r="F226" s="1049">
        <v>0</v>
      </c>
      <c r="G226" s="1049">
        <v>200</v>
      </c>
      <c r="H226" s="563"/>
      <c r="I226" s="609"/>
      <c r="J226" s="609"/>
      <c r="K226" s="609"/>
      <c r="L226" s="609"/>
      <c r="M226" s="609"/>
      <c r="N226" s="599"/>
      <c r="O226" s="552" t="s">
        <v>1584</v>
      </c>
      <c r="P226" s="603"/>
      <c r="Q226" s="869"/>
      <c r="R226" s="869"/>
      <c r="S226" s="869"/>
      <c r="T226" s="869"/>
      <c r="U226" s="869"/>
      <c r="V226" s="869"/>
      <c r="W226" s="869"/>
      <c r="X226" s="869"/>
    </row>
    <row r="227" spans="1:24">
      <c r="A227" s="1045">
        <f t="shared" si="3"/>
        <v>6</v>
      </c>
      <c r="B227" s="134">
        <v>45473</v>
      </c>
      <c r="C227" s="70">
        <v>5250</v>
      </c>
      <c r="D227" s="70" t="s">
        <v>85</v>
      </c>
      <c r="E227" s="70" t="s">
        <v>3104</v>
      </c>
      <c r="F227" s="1049">
        <v>40</v>
      </c>
      <c r="G227" s="1049">
        <v>0</v>
      </c>
      <c r="H227" s="563"/>
      <c r="I227" s="609"/>
      <c r="J227" s="609"/>
      <c r="K227" s="609"/>
      <c r="L227" s="609"/>
      <c r="M227" s="609"/>
      <c r="N227" s="599"/>
      <c r="O227" s="552" t="s">
        <v>1584</v>
      </c>
      <c r="P227" s="603"/>
      <c r="Q227" s="869"/>
      <c r="R227" s="869"/>
      <c r="S227" s="869"/>
      <c r="T227" s="869"/>
      <c r="U227" s="869"/>
      <c r="V227" s="869"/>
      <c r="W227" s="869"/>
      <c r="X227" s="869"/>
    </row>
    <row r="228" spans="1:24">
      <c r="A228" s="1045">
        <f t="shared" si="3"/>
        <v>6</v>
      </c>
      <c r="B228" s="134">
        <v>45473</v>
      </c>
      <c r="C228" s="70">
        <v>2018</v>
      </c>
      <c r="D228" s="70" t="s">
        <v>58</v>
      </c>
      <c r="E228" s="70" t="s">
        <v>3104</v>
      </c>
      <c r="F228" s="1049">
        <v>2</v>
      </c>
      <c r="G228" s="1049">
        <v>0</v>
      </c>
      <c r="H228" s="563"/>
      <c r="I228" s="609"/>
      <c r="J228" s="609"/>
      <c r="K228" s="609"/>
      <c r="L228" s="609"/>
      <c r="M228" s="609"/>
      <c r="N228" s="599"/>
      <c r="O228" s="552" t="s">
        <v>1584</v>
      </c>
      <c r="P228" s="603"/>
      <c r="Q228" s="869"/>
      <c r="R228" s="869"/>
      <c r="S228" s="869"/>
      <c r="T228" s="869"/>
      <c r="U228" s="869"/>
      <c r="V228" s="869"/>
      <c r="W228" s="869"/>
      <c r="X228" s="869"/>
    </row>
    <row r="229" spans="1:24">
      <c r="A229" s="1045">
        <f t="shared" si="3"/>
        <v>6</v>
      </c>
      <c r="B229" s="134">
        <v>45473</v>
      </c>
      <c r="C229" s="70">
        <v>1017</v>
      </c>
      <c r="D229" s="70" t="s">
        <v>5118</v>
      </c>
      <c r="E229" s="70" t="s">
        <v>3104</v>
      </c>
      <c r="F229" s="1049">
        <v>0</v>
      </c>
      <c r="G229" s="1049">
        <v>42</v>
      </c>
      <c r="H229" s="563"/>
      <c r="I229" s="609"/>
      <c r="J229" s="609"/>
      <c r="K229" s="609"/>
      <c r="L229" s="609"/>
      <c r="M229" s="609"/>
      <c r="N229" s="599"/>
      <c r="O229" s="552" t="s">
        <v>1584</v>
      </c>
      <c r="P229" s="603"/>
      <c r="Q229" s="869"/>
      <c r="R229" s="869"/>
      <c r="S229" s="869"/>
      <c r="T229" s="869"/>
      <c r="U229" s="869"/>
      <c r="V229" s="869"/>
      <c r="W229" s="869"/>
      <c r="X229" s="869"/>
    </row>
    <row r="230" spans="1:24">
      <c r="A230" s="1045">
        <f t="shared" si="3"/>
        <v>6</v>
      </c>
      <c r="B230" s="134">
        <v>45473</v>
      </c>
      <c r="C230" s="70">
        <v>6250</v>
      </c>
      <c r="D230" s="70" t="s">
        <v>129</v>
      </c>
      <c r="E230" s="70" t="s">
        <v>3105</v>
      </c>
      <c r="F230" s="1049">
        <v>300</v>
      </c>
      <c r="G230" s="1049">
        <v>0</v>
      </c>
      <c r="H230" s="563"/>
      <c r="I230" s="609"/>
      <c r="J230" s="609"/>
      <c r="K230" s="609"/>
      <c r="L230" s="609"/>
      <c r="M230" s="609"/>
      <c r="N230" s="599"/>
      <c r="O230" s="552" t="s">
        <v>1584</v>
      </c>
      <c r="P230" s="603"/>
      <c r="Q230" s="869"/>
      <c r="R230" s="869"/>
      <c r="S230" s="869"/>
      <c r="T230" s="869"/>
      <c r="U230" s="869"/>
      <c r="V230" s="869"/>
      <c r="W230" s="869"/>
      <c r="X230" s="869"/>
    </row>
    <row r="231" spans="1:24">
      <c r="A231" s="1045">
        <f t="shared" si="3"/>
        <v>6</v>
      </c>
      <c r="B231" s="134">
        <v>45473</v>
      </c>
      <c r="C231" s="70">
        <v>2018</v>
      </c>
      <c r="D231" s="70" t="s">
        <v>58</v>
      </c>
      <c r="E231" s="70" t="s">
        <v>3105</v>
      </c>
      <c r="F231" s="1049">
        <v>15</v>
      </c>
      <c r="G231" s="1049">
        <v>0</v>
      </c>
      <c r="H231" s="563"/>
      <c r="I231" s="609"/>
      <c r="J231" s="609"/>
      <c r="K231" s="609"/>
      <c r="L231" s="609"/>
      <c r="M231" s="609"/>
      <c r="N231" s="599"/>
      <c r="O231" s="552" t="s">
        <v>1584</v>
      </c>
      <c r="P231" s="603"/>
      <c r="Q231" s="869"/>
      <c r="R231" s="869"/>
      <c r="S231" s="869"/>
      <c r="T231" s="869"/>
      <c r="U231" s="869"/>
      <c r="V231" s="869"/>
      <c r="W231" s="869"/>
      <c r="X231" s="869"/>
    </row>
    <row r="232" spans="1:24">
      <c r="A232" s="1045">
        <f t="shared" si="3"/>
        <v>6</v>
      </c>
      <c r="B232" s="134">
        <v>45473</v>
      </c>
      <c r="C232" s="70">
        <v>1017</v>
      </c>
      <c r="D232" s="70" t="s">
        <v>5118</v>
      </c>
      <c r="E232" s="70" t="s">
        <v>3105</v>
      </c>
      <c r="F232" s="1049">
        <v>0</v>
      </c>
      <c r="G232" s="1049">
        <v>315</v>
      </c>
      <c r="H232" s="563"/>
      <c r="I232" s="609"/>
      <c r="J232" s="609"/>
      <c r="K232" s="609"/>
      <c r="L232" s="609"/>
      <c r="M232" s="609"/>
      <c r="N232" s="599"/>
      <c r="O232" s="552" t="s">
        <v>1584</v>
      </c>
      <c r="P232" s="603"/>
      <c r="Q232" s="869"/>
      <c r="R232" s="869"/>
      <c r="S232" s="869"/>
      <c r="T232" s="869"/>
      <c r="U232" s="869"/>
      <c r="V232" s="869"/>
      <c r="W232" s="869"/>
      <c r="X232" s="869"/>
    </row>
    <row r="233" spans="1:24">
      <c r="A233" s="1045">
        <f t="shared" si="3"/>
        <v>6</v>
      </c>
      <c r="B233" s="134">
        <v>45473</v>
      </c>
      <c r="C233" s="70">
        <v>5250</v>
      </c>
      <c r="D233" s="70" t="s">
        <v>85</v>
      </c>
      <c r="E233" s="70" t="s">
        <v>3106</v>
      </c>
      <c r="F233" s="1049">
        <v>45</v>
      </c>
      <c r="G233" s="1049">
        <v>0</v>
      </c>
      <c r="H233" s="563"/>
      <c r="I233" s="609"/>
      <c r="J233" s="609"/>
      <c r="K233" s="609"/>
      <c r="L233" s="609"/>
      <c r="M233" s="609"/>
      <c r="N233" s="599"/>
      <c r="O233" s="552" t="s">
        <v>1584</v>
      </c>
      <c r="P233" s="603"/>
      <c r="Q233" s="869"/>
      <c r="R233" s="869"/>
      <c r="S233" s="869"/>
      <c r="T233" s="869"/>
      <c r="U233" s="869"/>
      <c r="V233" s="869"/>
      <c r="W233" s="869"/>
      <c r="X233" s="869"/>
    </row>
    <row r="234" spans="1:24">
      <c r="A234" s="1045">
        <f t="shared" si="3"/>
        <v>6</v>
      </c>
      <c r="B234" s="134">
        <v>45473</v>
      </c>
      <c r="C234" s="70">
        <v>2018</v>
      </c>
      <c r="D234" s="70" t="s">
        <v>58</v>
      </c>
      <c r="E234" s="70" t="s">
        <v>3106</v>
      </c>
      <c r="F234" s="1049">
        <v>2.25</v>
      </c>
      <c r="G234" s="1049">
        <v>0</v>
      </c>
      <c r="H234" s="563"/>
      <c r="I234" s="609"/>
      <c r="J234" s="609"/>
      <c r="K234" s="609"/>
      <c r="L234" s="609"/>
      <c r="M234" s="609"/>
      <c r="N234" s="599"/>
      <c r="O234" s="552" t="s">
        <v>1584</v>
      </c>
      <c r="P234" s="603"/>
      <c r="Q234" s="869"/>
      <c r="R234" s="869"/>
      <c r="S234" s="869"/>
      <c r="T234" s="869"/>
      <c r="U234" s="869"/>
      <c r="V234" s="869"/>
      <c r="W234" s="869"/>
      <c r="X234" s="869"/>
    </row>
    <row r="235" spans="1:24">
      <c r="A235" s="1045">
        <f t="shared" si="3"/>
        <v>6</v>
      </c>
      <c r="B235" s="134">
        <v>45473</v>
      </c>
      <c r="C235" s="70">
        <v>1017</v>
      </c>
      <c r="D235" s="70" t="s">
        <v>5118</v>
      </c>
      <c r="E235" s="70" t="s">
        <v>3106</v>
      </c>
      <c r="F235" s="1049">
        <v>0</v>
      </c>
      <c r="G235" s="1049">
        <v>47.25</v>
      </c>
      <c r="H235" s="563"/>
      <c r="I235" s="609"/>
      <c r="J235" s="609"/>
      <c r="K235" s="609"/>
      <c r="L235" s="609"/>
      <c r="M235" s="609"/>
      <c r="N235" s="599"/>
      <c r="O235" s="552" t="s">
        <v>1584</v>
      </c>
      <c r="P235" s="603"/>
      <c r="Q235" s="869"/>
      <c r="R235" s="869"/>
      <c r="S235" s="869"/>
      <c r="T235" s="869"/>
      <c r="U235" s="869"/>
      <c r="V235" s="869"/>
      <c r="W235" s="869"/>
      <c r="X235" s="869"/>
    </row>
    <row r="236" spans="1:24">
      <c r="A236" s="1045">
        <f t="shared" si="3"/>
        <v>6</v>
      </c>
      <c r="B236" s="134">
        <v>45473</v>
      </c>
      <c r="C236" s="70">
        <v>1500</v>
      </c>
      <c r="D236" s="70" t="s">
        <v>53</v>
      </c>
      <c r="E236" s="70" t="s">
        <v>3107</v>
      </c>
      <c r="F236" s="1049">
        <v>820</v>
      </c>
      <c r="G236" s="1049">
        <v>0</v>
      </c>
      <c r="H236" s="563"/>
      <c r="I236" s="609"/>
      <c r="J236" s="609"/>
      <c r="K236" s="609"/>
      <c r="L236" s="609"/>
      <c r="M236" s="609"/>
      <c r="N236" s="599"/>
      <c r="O236" s="552" t="s">
        <v>1584</v>
      </c>
      <c r="P236" s="603"/>
      <c r="Q236" s="869"/>
      <c r="R236" s="869"/>
      <c r="S236" s="869"/>
      <c r="T236" s="869"/>
      <c r="U236" s="869"/>
      <c r="V236" s="869"/>
      <c r="W236" s="869"/>
      <c r="X236" s="869"/>
    </row>
    <row r="237" spans="1:24">
      <c r="A237" s="1045">
        <f t="shared" si="3"/>
        <v>6</v>
      </c>
      <c r="B237" s="134">
        <v>45473</v>
      </c>
      <c r="C237" s="70">
        <v>2018</v>
      </c>
      <c r="D237" s="70" t="s">
        <v>58</v>
      </c>
      <c r="E237" s="70" t="s">
        <v>3107</v>
      </c>
      <c r="F237" s="1049">
        <v>41</v>
      </c>
      <c r="G237" s="1049">
        <v>0</v>
      </c>
      <c r="H237" s="563"/>
      <c r="I237" s="609"/>
      <c r="J237" s="609"/>
      <c r="K237" s="609"/>
      <c r="L237" s="609"/>
      <c r="M237" s="609"/>
      <c r="N237" s="599"/>
      <c r="O237" s="552" t="s">
        <v>1584</v>
      </c>
      <c r="P237" s="603"/>
      <c r="Q237" s="869"/>
      <c r="R237" s="869"/>
      <c r="S237" s="869"/>
      <c r="T237" s="869"/>
      <c r="U237" s="869"/>
      <c r="V237" s="869"/>
      <c r="W237" s="869"/>
      <c r="X237" s="869"/>
    </row>
    <row r="238" spans="1:24">
      <c r="A238" s="1045">
        <f t="shared" si="3"/>
        <v>6</v>
      </c>
      <c r="B238" s="134">
        <v>45473</v>
      </c>
      <c r="C238" s="70">
        <v>1017</v>
      </c>
      <c r="D238" s="70" t="s">
        <v>5118</v>
      </c>
      <c r="E238" s="306" t="s">
        <v>3107</v>
      </c>
      <c r="F238" s="1049">
        <v>0</v>
      </c>
      <c r="G238" s="1049">
        <v>861</v>
      </c>
      <c r="H238" s="563"/>
      <c r="I238" s="609"/>
      <c r="J238" s="609"/>
      <c r="K238" s="609"/>
      <c r="L238" s="609"/>
      <c r="M238" s="609"/>
      <c r="N238" s="599"/>
      <c r="O238" s="552" t="s">
        <v>1584</v>
      </c>
      <c r="P238" s="603"/>
      <c r="Q238" s="869"/>
      <c r="R238" s="869"/>
      <c r="S238" s="869"/>
      <c r="T238" s="869"/>
      <c r="U238" s="869"/>
      <c r="V238" s="869"/>
      <c r="W238" s="869"/>
      <c r="X238" s="869"/>
    </row>
    <row r="239" spans="1:24">
      <c r="A239" s="1045">
        <f t="shared" si="3"/>
        <v>6</v>
      </c>
      <c r="B239" s="134">
        <v>45473</v>
      </c>
      <c r="C239" s="70">
        <v>5250</v>
      </c>
      <c r="D239" s="70" t="s">
        <v>85</v>
      </c>
      <c r="E239" s="306" t="s">
        <v>3108</v>
      </c>
      <c r="F239" s="1049">
        <v>210</v>
      </c>
      <c r="G239" s="1049">
        <v>0</v>
      </c>
      <c r="H239" s="563"/>
      <c r="I239" s="609"/>
      <c r="J239" s="609"/>
      <c r="K239" s="609"/>
      <c r="L239" s="609"/>
      <c r="M239" s="609"/>
      <c r="N239" s="599"/>
      <c r="O239" s="552" t="s">
        <v>1584</v>
      </c>
      <c r="P239" s="603"/>
      <c r="Q239" s="869"/>
      <c r="R239" s="869"/>
      <c r="S239" s="869"/>
      <c r="T239" s="869"/>
      <c r="U239" s="869"/>
      <c r="V239" s="869"/>
      <c r="W239" s="869"/>
      <c r="X239" s="869"/>
    </row>
    <row r="240" spans="1:24">
      <c r="A240" s="1045">
        <f t="shared" si="3"/>
        <v>6</v>
      </c>
      <c r="B240" s="134">
        <v>45473</v>
      </c>
      <c r="C240" s="70">
        <v>2018</v>
      </c>
      <c r="D240" s="70" t="s">
        <v>58</v>
      </c>
      <c r="E240" s="70" t="s">
        <v>3108</v>
      </c>
      <c r="F240" s="1049">
        <v>10.5</v>
      </c>
      <c r="G240" s="1049">
        <v>0</v>
      </c>
      <c r="H240" s="563"/>
      <c r="I240" s="609"/>
      <c r="J240" s="609"/>
      <c r="K240" s="609"/>
      <c r="L240" s="609"/>
      <c r="M240" s="609"/>
      <c r="N240" s="599"/>
      <c r="O240" s="552" t="s">
        <v>1584</v>
      </c>
      <c r="P240" s="603"/>
      <c r="Q240" s="869"/>
      <c r="R240" s="869"/>
      <c r="S240" s="869"/>
      <c r="T240" s="869"/>
      <c r="U240" s="869"/>
      <c r="V240" s="869"/>
      <c r="W240" s="869"/>
      <c r="X240" s="869"/>
    </row>
    <row r="241" spans="1:24">
      <c r="A241" s="1045">
        <f t="shared" si="3"/>
        <v>6</v>
      </c>
      <c r="B241" s="134">
        <v>45473</v>
      </c>
      <c r="C241" s="70">
        <v>1017</v>
      </c>
      <c r="D241" s="70" t="s">
        <v>5118</v>
      </c>
      <c r="E241" s="70" t="s">
        <v>3108</v>
      </c>
      <c r="F241" s="1049">
        <v>0</v>
      </c>
      <c r="G241" s="1049">
        <v>220.5</v>
      </c>
      <c r="H241" s="563"/>
      <c r="I241" s="609"/>
      <c r="J241" s="609"/>
      <c r="K241" s="609"/>
      <c r="L241" s="609"/>
      <c r="M241" s="609"/>
      <c r="N241" s="599"/>
      <c r="O241" s="552" t="s">
        <v>1584</v>
      </c>
      <c r="P241" s="603"/>
      <c r="Q241" s="869"/>
      <c r="R241" s="869"/>
      <c r="S241" s="869"/>
      <c r="T241" s="869"/>
      <c r="U241" s="869"/>
      <c r="V241" s="869"/>
      <c r="W241" s="869"/>
      <c r="X241" s="869"/>
    </row>
    <row r="242" spans="1:24">
      <c r="A242" s="1045">
        <f t="shared" si="3"/>
        <v>6</v>
      </c>
      <c r="B242" s="134">
        <v>45473</v>
      </c>
      <c r="C242" s="70">
        <v>5250</v>
      </c>
      <c r="D242" s="70" t="s">
        <v>85</v>
      </c>
      <c r="E242" s="306" t="s">
        <v>3109</v>
      </c>
      <c r="F242" s="1049">
        <v>210</v>
      </c>
      <c r="G242" s="1049">
        <v>0</v>
      </c>
      <c r="H242" s="563"/>
      <c r="I242" s="609"/>
      <c r="J242" s="609"/>
      <c r="K242" s="609"/>
      <c r="L242" s="609"/>
      <c r="M242" s="609"/>
      <c r="N242" s="599"/>
      <c r="O242" s="552" t="s">
        <v>1584</v>
      </c>
      <c r="P242" s="603"/>
      <c r="Q242" s="869"/>
      <c r="R242" s="869"/>
      <c r="S242" s="869"/>
      <c r="T242" s="869"/>
      <c r="U242" s="869"/>
      <c r="V242" s="869"/>
      <c r="W242" s="869"/>
      <c r="X242" s="869"/>
    </row>
    <row r="243" spans="1:24">
      <c r="A243" s="1045">
        <f t="shared" si="3"/>
        <v>6</v>
      </c>
      <c r="B243" s="134">
        <v>45473</v>
      </c>
      <c r="C243" s="70">
        <v>2018</v>
      </c>
      <c r="D243" s="70" t="s">
        <v>58</v>
      </c>
      <c r="E243" s="70" t="s">
        <v>3109</v>
      </c>
      <c r="F243" s="1049">
        <v>10.5</v>
      </c>
      <c r="G243" s="1049">
        <v>0</v>
      </c>
      <c r="H243" s="563"/>
      <c r="I243" s="609"/>
      <c r="J243" s="609"/>
      <c r="K243" s="609"/>
      <c r="L243" s="609"/>
      <c r="M243" s="609"/>
      <c r="N243" s="599"/>
      <c r="O243" s="552" t="s">
        <v>1584</v>
      </c>
      <c r="P243" s="603"/>
      <c r="Q243" s="869"/>
      <c r="R243" s="869"/>
      <c r="S243" s="869"/>
      <c r="T243" s="869"/>
      <c r="U243" s="869"/>
      <c r="V243" s="869"/>
      <c r="W243" s="869"/>
      <c r="X243" s="869"/>
    </row>
    <row r="244" spans="1:24">
      <c r="A244" s="1045">
        <f t="shared" si="3"/>
        <v>6</v>
      </c>
      <c r="B244" s="134">
        <v>45473</v>
      </c>
      <c r="C244" s="70">
        <v>1017</v>
      </c>
      <c r="D244" s="70" t="s">
        <v>5118</v>
      </c>
      <c r="E244" s="306" t="s">
        <v>3109</v>
      </c>
      <c r="F244" s="1049">
        <v>0</v>
      </c>
      <c r="G244" s="1049">
        <v>220.5</v>
      </c>
      <c r="H244" s="563"/>
      <c r="I244" s="609"/>
      <c r="J244" s="609"/>
      <c r="K244" s="609"/>
      <c r="L244" s="609"/>
      <c r="M244" s="609"/>
      <c r="N244" s="599"/>
      <c r="O244" s="552" t="s">
        <v>1584</v>
      </c>
      <c r="P244" s="603"/>
      <c r="Q244" s="869"/>
      <c r="R244" s="869"/>
      <c r="S244" s="869"/>
      <c r="T244" s="869"/>
      <c r="U244" s="869"/>
      <c r="V244" s="869"/>
      <c r="W244" s="869"/>
      <c r="X244" s="869"/>
    </row>
    <row r="245" spans="1:24">
      <c r="A245" s="1045">
        <f t="shared" si="3"/>
        <v>6</v>
      </c>
      <c r="B245" s="134">
        <v>45473</v>
      </c>
      <c r="C245" s="70">
        <v>5250</v>
      </c>
      <c r="D245" s="70" t="s">
        <v>85</v>
      </c>
      <c r="E245" s="70" t="s">
        <v>3110</v>
      </c>
      <c r="F245" s="1049">
        <v>65</v>
      </c>
      <c r="G245" s="1049">
        <v>0</v>
      </c>
      <c r="H245" s="563"/>
      <c r="I245" s="609"/>
      <c r="J245" s="609"/>
      <c r="K245" s="609"/>
      <c r="L245" s="609"/>
      <c r="M245" s="609"/>
      <c r="N245" s="599"/>
      <c r="O245" s="552" t="s">
        <v>1584</v>
      </c>
      <c r="P245" s="603"/>
      <c r="Q245" s="869"/>
      <c r="R245" s="869"/>
      <c r="S245" s="869"/>
      <c r="T245" s="869"/>
      <c r="U245" s="869"/>
      <c r="V245" s="869"/>
      <c r="W245" s="869"/>
      <c r="X245" s="869"/>
    </row>
    <row r="246" spans="1:24">
      <c r="A246" s="1045">
        <f t="shared" si="3"/>
        <v>6</v>
      </c>
      <c r="B246" s="134">
        <v>45473</v>
      </c>
      <c r="C246" s="70">
        <v>2018</v>
      </c>
      <c r="D246" s="70" t="s">
        <v>58</v>
      </c>
      <c r="E246" s="70" t="s">
        <v>3110</v>
      </c>
      <c r="F246" s="1049">
        <v>3.25</v>
      </c>
      <c r="G246" s="1049">
        <v>0</v>
      </c>
      <c r="H246" s="563"/>
      <c r="I246" s="609"/>
      <c r="J246" s="609"/>
      <c r="K246" s="609"/>
      <c r="L246" s="609"/>
      <c r="M246" s="609"/>
      <c r="N246" s="599"/>
      <c r="O246" s="552" t="s">
        <v>1584</v>
      </c>
      <c r="P246" s="603"/>
      <c r="Q246" s="869"/>
      <c r="R246" s="869"/>
      <c r="S246" s="869"/>
      <c r="T246" s="869"/>
      <c r="U246" s="869"/>
      <c r="V246" s="869"/>
      <c r="W246" s="869"/>
      <c r="X246" s="869"/>
    </row>
    <row r="247" spans="1:24">
      <c r="A247" s="1045">
        <f t="shared" si="3"/>
        <v>6</v>
      </c>
      <c r="B247" s="134">
        <v>45473</v>
      </c>
      <c r="C247" s="70">
        <v>1017</v>
      </c>
      <c r="D247" s="70" t="s">
        <v>5118</v>
      </c>
      <c r="E247" s="70" t="s">
        <v>3110</v>
      </c>
      <c r="F247" s="1049">
        <v>0</v>
      </c>
      <c r="G247" s="1049">
        <v>68.25</v>
      </c>
      <c r="H247" s="563"/>
      <c r="I247" s="609"/>
      <c r="J247" s="609"/>
      <c r="K247" s="609"/>
      <c r="L247" s="609"/>
      <c r="M247" s="609"/>
      <c r="N247" s="599"/>
      <c r="O247" s="552" t="s">
        <v>1584</v>
      </c>
      <c r="P247" s="603"/>
      <c r="Q247" s="869"/>
      <c r="R247" s="869"/>
      <c r="S247" s="869"/>
      <c r="T247" s="869"/>
      <c r="U247" s="869"/>
      <c r="V247" s="869"/>
      <c r="W247" s="869"/>
      <c r="X247" s="869"/>
    </row>
    <row r="248" spans="1:24">
      <c r="A248" s="1045">
        <f t="shared" si="3"/>
        <v>6</v>
      </c>
      <c r="B248" s="134">
        <v>45473</v>
      </c>
      <c r="C248" s="70">
        <v>5250</v>
      </c>
      <c r="D248" s="70" t="s">
        <v>85</v>
      </c>
      <c r="E248" s="70" t="s">
        <v>3111</v>
      </c>
      <c r="F248" s="1049">
        <v>37</v>
      </c>
      <c r="G248" s="1049">
        <v>0</v>
      </c>
      <c r="H248" s="563"/>
      <c r="I248" s="609"/>
      <c r="J248" s="609"/>
      <c r="K248" s="609"/>
      <c r="L248" s="609"/>
      <c r="M248" s="609"/>
      <c r="N248" s="599"/>
      <c r="O248" s="552" t="s">
        <v>1584</v>
      </c>
      <c r="P248" s="603"/>
      <c r="Q248" s="869"/>
      <c r="R248" s="869"/>
      <c r="S248" s="869"/>
      <c r="T248" s="869"/>
      <c r="U248" s="869"/>
      <c r="V248" s="869"/>
      <c r="W248" s="869"/>
      <c r="X248" s="869"/>
    </row>
    <row r="249" spans="1:24">
      <c r="A249" s="1045">
        <f t="shared" si="3"/>
        <v>6</v>
      </c>
      <c r="B249" s="134">
        <v>45473</v>
      </c>
      <c r="C249" s="70">
        <v>1017</v>
      </c>
      <c r="D249" s="70" t="s">
        <v>5118</v>
      </c>
      <c r="E249" s="70" t="s">
        <v>3111</v>
      </c>
      <c r="F249" s="1049">
        <v>0</v>
      </c>
      <c r="G249" s="1049">
        <v>37</v>
      </c>
      <c r="H249" s="563"/>
      <c r="I249" s="609"/>
      <c r="J249" s="609"/>
      <c r="K249" s="609"/>
      <c r="L249" s="609"/>
      <c r="M249" s="609"/>
      <c r="N249" s="599"/>
      <c r="O249" s="552" t="s">
        <v>1584</v>
      </c>
      <c r="P249" s="603"/>
      <c r="Q249" s="869"/>
      <c r="R249" s="869"/>
      <c r="S249" s="869"/>
      <c r="T249" s="869"/>
      <c r="U249" s="869"/>
      <c r="V249" s="869"/>
      <c r="W249" s="869"/>
      <c r="X249" s="869"/>
    </row>
    <row r="250" spans="1:24">
      <c r="A250" s="1045">
        <f t="shared" si="3"/>
        <v>6</v>
      </c>
      <c r="B250" s="134">
        <v>45473</v>
      </c>
      <c r="C250" s="70">
        <v>6025</v>
      </c>
      <c r="D250" s="70" t="s">
        <v>116</v>
      </c>
      <c r="E250" s="70" t="s">
        <v>3112</v>
      </c>
      <c r="F250" s="1049">
        <v>25</v>
      </c>
      <c r="G250" s="1049">
        <v>0</v>
      </c>
      <c r="H250" s="563"/>
      <c r="I250" s="609"/>
      <c r="J250" s="609"/>
      <c r="K250" s="609"/>
      <c r="L250" s="609"/>
      <c r="M250" s="609"/>
      <c r="N250" s="599"/>
      <c r="O250" s="552" t="s">
        <v>1584</v>
      </c>
      <c r="P250" s="603"/>
      <c r="Q250" s="869"/>
      <c r="R250" s="869"/>
      <c r="S250" s="869"/>
      <c r="T250" s="869"/>
      <c r="U250" s="869"/>
      <c r="V250" s="869"/>
      <c r="W250" s="869"/>
      <c r="X250" s="869"/>
    </row>
    <row r="251" spans="1:24">
      <c r="A251" s="1045">
        <f t="shared" si="3"/>
        <v>6</v>
      </c>
      <c r="B251" s="134">
        <v>45473</v>
      </c>
      <c r="C251" s="70">
        <v>6025</v>
      </c>
      <c r="D251" s="70" t="s">
        <v>116</v>
      </c>
      <c r="E251" s="70" t="s">
        <v>3112</v>
      </c>
      <c r="F251" s="1049">
        <v>40</v>
      </c>
      <c r="G251" s="1049">
        <v>0</v>
      </c>
      <c r="H251" s="563"/>
      <c r="I251" s="609"/>
      <c r="J251" s="609"/>
      <c r="K251" s="609"/>
      <c r="L251" s="609"/>
      <c r="M251" s="609"/>
      <c r="N251" s="599"/>
      <c r="O251" s="552" t="s">
        <v>1584</v>
      </c>
      <c r="P251" s="603"/>
      <c r="Q251" s="869"/>
      <c r="R251" s="869"/>
      <c r="S251" s="869"/>
      <c r="T251" s="869"/>
      <c r="U251" s="869"/>
      <c r="V251" s="869"/>
      <c r="W251" s="869"/>
      <c r="X251" s="869"/>
    </row>
    <row r="252" spans="1:24">
      <c r="A252" s="1045">
        <f t="shared" si="3"/>
        <v>6</v>
      </c>
      <c r="B252" s="134">
        <v>45473</v>
      </c>
      <c r="C252" s="70">
        <v>1017</v>
      </c>
      <c r="D252" s="70" t="s">
        <v>5118</v>
      </c>
      <c r="E252" s="70" t="s">
        <v>3113</v>
      </c>
      <c r="F252" s="1049">
        <v>0</v>
      </c>
      <c r="G252" s="1049">
        <v>65</v>
      </c>
      <c r="H252" s="563"/>
      <c r="I252" s="609"/>
      <c r="J252" s="609"/>
      <c r="K252" s="609"/>
      <c r="L252" s="609"/>
      <c r="M252" s="609"/>
      <c r="N252" s="599"/>
      <c r="O252" s="552" t="s">
        <v>1584</v>
      </c>
      <c r="P252" s="603"/>
      <c r="Q252" s="869"/>
      <c r="R252" s="869"/>
      <c r="S252" s="869"/>
      <c r="T252" s="869"/>
      <c r="U252" s="869"/>
      <c r="V252" s="869"/>
      <c r="W252" s="869"/>
      <c r="X252" s="869"/>
    </row>
    <row r="253" spans="1:24">
      <c r="A253" s="1045">
        <f t="shared" si="3"/>
        <v>6</v>
      </c>
      <c r="B253" s="134">
        <v>45473</v>
      </c>
      <c r="C253" s="70">
        <v>6025</v>
      </c>
      <c r="D253" s="70" t="s">
        <v>116</v>
      </c>
      <c r="E253" s="70" t="s">
        <v>3114</v>
      </c>
      <c r="F253" s="1049">
        <v>35</v>
      </c>
      <c r="G253" s="1049">
        <v>0</v>
      </c>
      <c r="H253" s="563"/>
      <c r="I253" s="609"/>
      <c r="J253" s="609"/>
      <c r="K253" s="609"/>
      <c r="L253" s="609"/>
      <c r="M253" s="609"/>
      <c r="N253" s="599"/>
      <c r="O253" s="552" t="s">
        <v>1584</v>
      </c>
      <c r="P253" s="603"/>
      <c r="Q253" s="869"/>
      <c r="R253" s="869"/>
      <c r="S253" s="869"/>
      <c r="T253" s="869"/>
      <c r="U253" s="869"/>
      <c r="V253" s="869"/>
      <c r="W253" s="869"/>
      <c r="X253" s="869"/>
    </row>
    <row r="254" spans="1:24">
      <c r="A254" s="1045">
        <f t="shared" si="3"/>
        <v>6</v>
      </c>
      <c r="B254" s="134">
        <v>45473</v>
      </c>
      <c r="C254" s="70">
        <v>1017</v>
      </c>
      <c r="D254" s="70" t="s">
        <v>5118</v>
      </c>
      <c r="E254" s="364" t="s">
        <v>3114</v>
      </c>
      <c r="F254" s="1049">
        <v>0</v>
      </c>
      <c r="G254" s="1049">
        <v>35</v>
      </c>
      <c r="H254" s="563"/>
      <c r="I254" s="609"/>
      <c r="J254" s="609"/>
      <c r="K254" s="609"/>
      <c r="L254" s="609"/>
      <c r="M254" s="609"/>
      <c r="N254" s="599"/>
      <c r="O254" s="552" t="s">
        <v>1584</v>
      </c>
      <c r="P254" s="603"/>
      <c r="Q254" s="869"/>
      <c r="R254" s="869"/>
      <c r="S254" s="869"/>
      <c r="T254" s="869"/>
      <c r="U254" s="869"/>
      <c r="V254" s="869"/>
      <c r="W254" s="869"/>
      <c r="X254" s="869"/>
    </row>
    <row r="255" spans="1:24">
      <c r="A255" s="1045">
        <f t="shared" si="3"/>
        <v>6</v>
      </c>
      <c r="B255" s="134">
        <v>45473</v>
      </c>
      <c r="C255" s="70">
        <v>6017</v>
      </c>
      <c r="D255" s="70" t="s">
        <v>108</v>
      </c>
      <c r="E255" s="364" t="s">
        <v>3114</v>
      </c>
      <c r="F255" s="1049">
        <v>100</v>
      </c>
      <c r="G255" s="1049">
        <v>0</v>
      </c>
      <c r="H255" s="563"/>
      <c r="I255" s="609"/>
      <c r="J255" s="609"/>
      <c r="K255" s="609"/>
      <c r="L255" s="609"/>
      <c r="M255" s="609"/>
      <c r="N255" s="599"/>
      <c r="O255" s="552" t="s">
        <v>1584</v>
      </c>
      <c r="P255" s="603"/>
      <c r="Q255" s="869"/>
      <c r="R255" s="869"/>
      <c r="S255" s="869"/>
      <c r="T255" s="869"/>
      <c r="U255" s="869"/>
      <c r="V255" s="869"/>
      <c r="W255" s="869"/>
      <c r="X255" s="869"/>
    </row>
    <row r="256" spans="1:24">
      <c r="A256" s="1045">
        <f t="shared" si="3"/>
        <v>6</v>
      </c>
      <c r="B256" s="134">
        <v>45473</v>
      </c>
      <c r="C256" s="70">
        <v>6017</v>
      </c>
      <c r="D256" s="70" t="s">
        <v>108</v>
      </c>
      <c r="E256" s="70" t="s">
        <v>3114</v>
      </c>
      <c r="F256" s="1049">
        <v>342.86</v>
      </c>
      <c r="G256" s="1049">
        <v>0</v>
      </c>
      <c r="H256" s="563"/>
      <c r="I256" s="609"/>
      <c r="J256" s="609"/>
      <c r="K256" s="609"/>
      <c r="L256" s="609"/>
      <c r="M256" s="609"/>
      <c r="N256" s="599"/>
      <c r="O256" s="552" t="s">
        <v>1584</v>
      </c>
      <c r="P256" s="603"/>
      <c r="Q256" s="869"/>
      <c r="R256" s="869"/>
      <c r="S256" s="869"/>
      <c r="T256" s="869"/>
      <c r="U256" s="869"/>
      <c r="V256" s="869"/>
      <c r="W256" s="869"/>
      <c r="X256" s="869"/>
    </row>
    <row r="257" spans="1:24">
      <c r="A257" s="1045">
        <f t="shared" si="3"/>
        <v>6</v>
      </c>
      <c r="B257" s="134">
        <v>45473</v>
      </c>
      <c r="C257" s="70">
        <v>2018</v>
      </c>
      <c r="D257" s="70" t="s">
        <v>58</v>
      </c>
      <c r="E257" s="70" t="s">
        <v>3114</v>
      </c>
      <c r="F257" s="1049">
        <v>17.14</v>
      </c>
      <c r="G257" s="1049">
        <v>0</v>
      </c>
      <c r="H257" s="563"/>
      <c r="I257" s="609"/>
      <c r="J257" s="609"/>
      <c r="K257" s="609"/>
      <c r="L257" s="609"/>
      <c r="M257" s="609"/>
      <c r="N257" s="599"/>
      <c r="O257" s="552" t="s">
        <v>1584</v>
      </c>
      <c r="P257" s="603"/>
      <c r="Q257" s="869"/>
      <c r="R257" s="869"/>
      <c r="S257" s="869"/>
      <c r="T257" s="869"/>
      <c r="U257" s="869"/>
      <c r="V257" s="869"/>
      <c r="W257" s="869"/>
      <c r="X257" s="869"/>
    </row>
    <row r="258" spans="1:24">
      <c r="A258" s="1045">
        <f t="shared" si="3"/>
        <v>6</v>
      </c>
      <c r="B258" s="134">
        <v>45473</v>
      </c>
      <c r="C258" s="70">
        <v>6017</v>
      </c>
      <c r="D258" s="70" t="s">
        <v>108</v>
      </c>
      <c r="E258" s="70" t="s">
        <v>3114</v>
      </c>
      <c r="F258" s="1049">
        <v>1285.7</v>
      </c>
      <c r="G258" s="1049">
        <v>0</v>
      </c>
      <c r="H258" s="563"/>
      <c r="I258" s="609"/>
      <c r="J258" s="609"/>
      <c r="K258" s="609"/>
      <c r="L258" s="609"/>
      <c r="M258" s="609"/>
      <c r="N258" s="599"/>
      <c r="O258" s="552" t="s">
        <v>1584</v>
      </c>
      <c r="P258" s="603"/>
      <c r="Q258" s="869"/>
      <c r="R258" s="869"/>
      <c r="S258" s="869"/>
      <c r="T258" s="869"/>
      <c r="U258" s="869"/>
      <c r="V258" s="869"/>
      <c r="W258" s="869"/>
      <c r="X258" s="869"/>
    </row>
    <row r="259" spans="1:24">
      <c r="A259" s="1045">
        <f t="shared" si="3"/>
        <v>6</v>
      </c>
      <c r="B259" s="134">
        <v>45473</v>
      </c>
      <c r="C259" s="70">
        <v>2018</v>
      </c>
      <c r="D259" s="70" t="s">
        <v>58</v>
      </c>
      <c r="E259" s="70" t="s">
        <v>3114</v>
      </c>
      <c r="F259" s="1049">
        <v>64.3</v>
      </c>
      <c r="G259" s="1049">
        <v>0</v>
      </c>
      <c r="H259" s="563"/>
      <c r="I259" s="609"/>
      <c r="J259" s="609"/>
      <c r="K259" s="609"/>
      <c r="L259" s="609"/>
      <c r="M259" s="609"/>
      <c r="N259" s="599"/>
      <c r="O259" s="552" t="s">
        <v>1584</v>
      </c>
      <c r="P259" s="603"/>
      <c r="Q259" s="869"/>
      <c r="R259" s="869"/>
      <c r="S259" s="869"/>
      <c r="T259" s="869"/>
      <c r="U259" s="869"/>
      <c r="V259" s="869"/>
      <c r="W259" s="869"/>
      <c r="X259" s="869"/>
    </row>
    <row r="260" spans="1:24">
      <c r="A260" s="1045">
        <f t="shared" si="3"/>
        <v>6</v>
      </c>
      <c r="B260" s="134">
        <v>45473</v>
      </c>
      <c r="C260" s="70">
        <v>1017</v>
      </c>
      <c r="D260" s="70" t="s">
        <v>5118</v>
      </c>
      <c r="E260" s="70" t="s">
        <v>3115</v>
      </c>
      <c r="F260" s="1049">
        <v>0</v>
      </c>
      <c r="G260" s="1049">
        <v>1810</v>
      </c>
      <c r="H260" s="563"/>
      <c r="I260" s="609"/>
      <c r="J260" s="609"/>
      <c r="K260" s="609"/>
      <c r="L260" s="609"/>
      <c r="M260" s="609"/>
      <c r="N260" s="599"/>
      <c r="O260" s="552" t="s">
        <v>1584</v>
      </c>
      <c r="P260" s="603"/>
      <c r="Q260" s="869"/>
      <c r="R260" s="869"/>
      <c r="S260" s="869"/>
      <c r="T260" s="869"/>
      <c r="U260" s="869"/>
      <c r="V260" s="869"/>
      <c r="W260" s="869"/>
      <c r="X260" s="869"/>
    </row>
    <row r="261" spans="1:24">
      <c r="A261" s="1045">
        <f t="shared" si="3"/>
        <v>6</v>
      </c>
      <c r="B261" s="134">
        <v>45473</v>
      </c>
      <c r="C261" s="70">
        <v>6025</v>
      </c>
      <c r="D261" s="70" t="s">
        <v>116</v>
      </c>
      <c r="E261" s="70" t="s">
        <v>3116</v>
      </c>
      <c r="F261" s="1049">
        <v>30</v>
      </c>
      <c r="G261" s="1049">
        <v>0</v>
      </c>
      <c r="H261" s="563"/>
      <c r="I261" s="609"/>
      <c r="J261" s="609"/>
      <c r="K261" s="609"/>
      <c r="L261" s="609"/>
      <c r="M261" s="609"/>
      <c r="N261" s="599"/>
      <c r="O261" s="552" t="s">
        <v>1584</v>
      </c>
      <c r="P261" s="603"/>
      <c r="Q261" s="869"/>
      <c r="R261" s="869"/>
      <c r="S261" s="869"/>
      <c r="T261" s="869"/>
      <c r="U261" s="869"/>
      <c r="V261" s="869"/>
      <c r="W261" s="869"/>
      <c r="X261" s="869"/>
    </row>
    <row r="262" spans="1:24">
      <c r="A262" s="1045">
        <f t="shared" si="3"/>
        <v>6</v>
      </c>
      <c r="B262" s="134">
        <v>45473</v>
      </c>
      <c r="C262" s="70">
        <v>1017</v>
      </c>
      <c r="D262" s="70" t="s">
        <v>5118</v>
      </c>
      <c r="E262" s="70" t="s">
        <v>3116</v>
      </c>
      <c r="F262" s="1049">
        <v>0</v>
      </c>
      <c r="G262" s="1049">
        <v>30</v>
      </c>
      <c r="H262" s="563"/>
      <c r="I262" s="609"/>
      <c r="J262" s="609"/>
      <c r="K262" s="609"/>
      <c r="L262" s="609"/>
      <c r="M262" s="609"/>
      <c r="N262" s="599"/>
      <c r="O262" s="552" t="s">
        <v>1584</v>
      </c>
      <c r="P262" s="603"/>
      <c r="Q262" s="869"/>
      <c r="R262" s="869"/>
      <c r="S262" s="869"/>
      <c r="T262" s="869"/>
      <c r="U262" s="869"/>
      <c r="V262" s="869"/>
      <c r="W262" s="869"/>
      <c r="X262" s="869"/>
    </row>
    <row r="263" spans="1:24">
      <c r="A263" s="1045">
        <f t="shared" si="3"/>
        <v>6</v>
      </c>
      <c r="B263" s="134">
        <v>45473</v>
      </c>
      <c r="C263" s="70">
        <v>6017</v>
      </c>
      <c r="D263" s="70" t="s">
        <v>108</v>
      </c>
      <c r="E263" s="70" t="s">
        <v>3117</v>
      </c>
      <c r="F263" s="1049">
        <v>1950</v>
      </c>
      <c r="G263" s="1049">
        <v>0</v>
      </c>
      <c r="H263" s="563"/>
      <c r="I263" s="609"/>
      <c r="J263" s="609"/>
      <c r="K263" s="609"/>
      <c r="L263" s="609"/>
      <c r="M263" s="609"/>
      <c r="N263" s="599"/>
      <c r="O263" s="552" t="s">
        <v>1584</v>
      </c>
      <c r="P263" s="603"/>
      <c r="Q263" s="869"/>
      <c r="R263" s="869"/>
      <c r="S263" s="869"/>
      <c r="T263" s="869"/>
      <c r="U263" s="869"/>
      <c r="V263" s="869"/>
      <c r="W263" s="869"/>
      <c r="X263" s="869"/>
    </row>
    <row r="264" spans="1:24">
      <c r="A264" s="1045">
        <f t="shared" si="3"/>
        <v>6</v>
      </c>
      <c r="B264" s="134">
        <v>45473</v>
      </c>
      <c r="C264" s="70">
        <v>6017</v>
      </c>
      <c r="D264" s="70" t="s">
        <v>108</v>
      </c>
      <c r="E264" s="70" t="s">
        <v>3117</v>
      </c>
      <c r="F264" s="1049">
        <v>850</v>
      </c>
      <c r="G264" s="1049">
        <v>0</v>
      </c>
      <c r="H264" s="563"/>
      <c r="I264" s="609"/>
      <c r="J264" s="609"/>
      <c r="K264" s="609"/>
      <c r="L264" s="609"/>
      <c r="M264" s="609"/>
      <c r="N264" s="599"/>
      <c r="O264" s="552" t="s">
        <v>1584</v>
      </c>
      <c r="P264" s="603"/>
      <c r="Q264" s="869"/>
      <c r="R264" s="869"/>
      <c r="S264" s="869"/>
      <c r="T264" s="869"/>
      <c r="U264" s="869"/>
      <c r="V264" s="869"/>
      <c r="W264" s="869"/>
      <c r="X264" s="869"/>
    </row>
    <row r="265" spans="1:24">
      <c r="A265" s="1045">
        <f t="shared" si="3"/>
        <v>6</v>
      </c>
      <c r="B265" s="134">
        <v>45473</v>
      </c>
      <c r="C265" s="70">
        <v>6017</v>
      </c>
      <c r="D265" s="70" t="s">
        <v>108</v>
      </c>
      <c r="E265" s="70" t="s">
        <v>3117</v>
      </c>
      <c r="F265" s="1049">
        <v>104.76</v>
      </c>
      <c r="G265" s="1049">
        <v>0</v>
      </c>
      <c r="H265" s="563"/>
      <c r="I265" s="609"/>
      <c r="J265" s="609"/>
      <c r="K265" s="609"/>
      <c r="L265" s="609"/>
      <c r="M265" s="609"/>
      <c r="N265" s="599"/>
      <c r="O265" s="552" t="s">
        <v>1584</v>
      </c>
      <c r="P265" s="603"/>
      <c r="Q265" s="869"/>
      <c r="R265" s="869"/>
      <c r="S265" s="869"/>
      <c r="T265" s="869"/>
      <c r="U265" s="869"/>
      <c r="V265" s="869"/>
      <c r="W265" s="869"/>
      <c r="X265" s="869"/>
    </row>
    <row r="266" spans="1:24">
      <c r="A266" s="1045">
        <f t="shared" si="3"/>
        <v>6</v>
      </c>
      <c r="B266" s="134">
        <v>45473</v>
      </c>
      <c r="C266" s="70">
        <v>2018</v>
      </c>
      <c r="D266" s="70" t="s">
        <v>58</v>
      </c>
      <c r="E266" s="70" t="s">
        <v>3117</v>
      </c>
      <c r="F266" s="1049">
        <v>5.24</v>
      </c>
      <c r="G266" s="1049">
        <v>0</v>
      </c>
      <c r="H266" s="563"/>
      <c r="I266" s="609"/>
      <c r="J266" s="609"/>
      <c r="K266" s="609"/>
      <c r="L266" s="609"/>
      <c r="M266" s="609"/>
      <c r="N266" s="599"/>
      <c r="O266" s="552" t="s">
        <v>1584</v>
      </c>
      <c r="P266" s="603"/>
      <c r="Q266" s="869"/>
      <c r="R266" s="869"/>
      <c r="S266" s="869"/>
      <c r="T266" s="869"/>
      <c r="U266" s="869"/>
      <c r="V266" s="869"/>
      <c r="W266" s="869"/>
      <c r="X266" s="869"/>
    </row>
    <row r="267" spans="1:24">
      <c r="A267" s="1045">
        <f t="shared" ref="A267:A330" si="4">IF(B267="","",MONTH(B267))</f>
        <v>6</v>
      </c>
      <c r="B267" s="134">
        <v>45473</v>
      </c>
      <c r="C267" s="70">
        <v>6017</v>
      </c>
      <c r="D267" s="70" t="s">
        <v>108</v>
      </c>
      <c r="E267" s="70" t="s">
        <v>3117</v>
      </c>
      <c r="F267" s="1049">
        <v>133.33000000000001</v>
      </c>
      <c r="G267" s="1049">
        <v>0</v>
      </c>
      <c r="H267" s="563"/>
      <c r="I267" s="609"/>
      <c r="J267" s="609"/>
      <c r="K267" s="609"/>
      <c r="L267" s="609"/>
      <c r="M267" s="609"/>
      <c r="N267" s="599"/>
      <c r="O267" s="552" t="s">
        <v>1584</v>
      </c>
      <c r="P267" s="603"/>
      <c r="Q267" s="869"/>
      <c r="R267" s="869"/>
      <c r="S267" s="869"/>
      <c r="T267" s="869"/>
      <c r="U267" s="869"/>
      <c r="V267" s="869"/>
      <c r="W267" s="869"/>
      <c r="X267" s="869"/>
    </row>
    <row r="268" spans="1:24">
      <c r="A268" s="1045">
        <f t="shared" si="4"/>
        <v>6</v>
      </c>
      <c r="B268" s="134">
        <v>45473</v>
      </c>
      <c r="C268" s="70">
        <v>2018</v>
      </c>
      <c r="D268" s="70" t="s">
        <v>58</v>
      </c>
      <c r="E268" s="70" t="s">
        <v>3117</v>
      </c>
      <c r="F268" s="1049">
        <v>6.67</v>
      </c>
      <c r="G268" s="1049">
        <v>0</v>
      </c>
      <c r="H268" s="563"/>
      <c r="I268" s="609"/>
      <c r="J268" s="609"/>
      <c r="K268" s="609"/>
      <c r="L268" s="609"/>
      <c r="M268" s="609"/>
      <c r="N268" s="599"/>
      <c r="O268" s="552" t="s">
        <v>1584</v>
      </c>
      <c r="P268" s="603"/>
      <c r="Q268" s="869"/>
      <c r="R268" s="869"/>
      <c r="S268" s="869"/>
      <c r="T268" s="869"/>
      <c r="U268" s="869"/>
      <c r="V268" s="869"/>
      <c r="W268" s="869"/>
      <c r="X268" s="869"/>
    </row>
    <row r="269" spans="1:24">
      <c r="A269" s="1045">
        <f t="shared" si="4"/>
        <v>6</v>
      </c>
      <c r="B269" s="134">
        <v>45473</v>
      </c>
      <c r="C269" s="70">
        <v>6017</v>
      </c>
      <c r="D269" s="70" t="s">
        <v>108</v>
      </c>
      <c r="E269" s="70" t="s">
        <v>3117</v>
      </c>
      <c r="F269" s="1049">
        <v>303.43</v>
      </c>
      <c r="G269" s="1049">
        <v>0</v>
      </c>
      <c r="H269" s="563"/>
      <c r="I269" s="609"/>
      <c r="J269" s="609"/>
      <c r="K269" s="609"/>
      <c r="L269" s="609"/>
      <c r="M269" s="609"/>
      <c r="N269" s="599"/>
      <c r="O269" s="552" t="s">
        <v>1584</v>
      </c>
      <c r="P269" s="603"/>
      <c r="Q269" s="869"/>
      <c r="R269" s="869"/>
      <c r="S269" s="869"/>
      <c r="T269" s="869"/>
      <c r="U269" s="869"/>
      <c r="V269" s="869"/>
      <c r="W269" s="869"/>
      <c r="X269" s="869"/>
    </row>
    <row r="270" spans="1:24">
      <c r="A270" s="1045">
        <f t="shared" si="4"/>
        <v>6</v>
      </c>
      <c r="B270" s="134">
        <v>45473</v>
      </c>
      <c r="C270" s="70">
        <v>2018</v>
      </c>
      <c r="D270" s="70" t="s">
        <v>58</v>
      </c>
      <c r="E270" s="70" t="s">
        <v>3117</v>
      </c>
      <c r="F270" s="1049">
        <v>15.17</v>
      </c>
      <c r="G270" s="1049">
        <v>0</v>
      </c>
      <c r="H270" s="563"/>
      <c r="I270" s="609"/>
      <c r="J270" s="609"/>
      <c r="K270" s="609"/>
      <c r="L270" s="609"/>
      <c r="M270" s="609"/>
      <c r="N270" s="599"/>
      <c r="O270" s="552" t="s">
        <v>1584</v>
      </c>
      <c r="P270" s="603"/>
      <c r="Q270" s="869"/>
      <c r="R270" s="869"/>
      <c r="S270" s="869"/>
      <c r="T270" s="869"/>
      <c r="U270" s="869"/>
      <c r="V270" s="869"/>
      <c r="W270" s="869"/>
      <c r="X270" s="869"/>
    </row>
    <row r="271" spans="1:24">
      <c r="A271" s="1045">
        <f t="shared" si="4"/>
        <v>6</v>
      </c>
      <c r="B271" s="134">
        <v>45473</v>
      </c>
      <c r="C271" s="70">
        <v>6017</v>
      </c>
      <c r="D271" s="70" t="s">
        <v>108</v>
      </c>
      <c r="E271" s="70" t="s">
        <v>3117</v>
      </c>
      <c r="F271" s="1049">
        <v>1133.33</v>
      </c>
      <c r="G271" s="1049">
        <v>0</v>
      </c>
      <c r="H271" s="563"/>
      <c r="I271" s="609"/>
      <c r="J271" s="609"/>
      <c r="K271" s="609"/>
      <c r="L271" s="609"/>
      <c r="M271" s="609"/>
      <c r="N271" s="599"/>
      <c r="O271" s="552" t="s">
        <v>1584</v>
      </c>
      <c r="P271" s="603"/>
      <c r="Q271" s="869"/>
      <c r="R271" s="869"/>
      <c r="S271" s="869"/>
      <c r="T271" s="869"/>
      <c r="U271" s="869"/>
      <c r="V271" s="869"/>
      <c r="W271" s="869"/>
      <c r="X271" s="869"/>
    </row>
    <row r="272" spans="1:24">
      <c r="A272" s="1045">
        <f t="shared" si="4"/>
        <v>6</v>
      </c>
      <c r="B272" s="134">
        <v>45473</v>
      </c>
      <c r="C272" s="70">
        <v>2018</v>
      </c>
      <c r="D272" s="70" t="s">
        <v>58</v>
      </c>
      <c r="E272" s="70" t="s">
        <v>3117</v>
      </c>
      <c r="F272" s="1049">
        <v>56.67</v>
      </c>
      <c r="G272" s="1049">
        <v>0</v>
      </c>
      <c r="H272" s="563"/>
      <c r="I272" s="609"/>
      <c r="J272" s="609"/>
      <c r="K272" s="609"/>
      <c r="L272" s="609"/>
      <c r="M272" s="609"/>
      <c r="N272" s="599"/>
      <c r="O272" s="552" t="s">
        <v>1584</v>
      </c>
      <c r="P272" s="603"/>
      <c r="Q272" s="869"/>
      <c r="R272" s="869"/>
      <c r="S272" s="869"/>
      <c r="T272" s="869"/>
      <c r="U272" s="869"/>
      <c r="V272" s="869"/>
      <c r="W272" s="869"/>
      <c r="X272" s="869"/>
    </row>
    <row r="273" spans="1:24">
      <c r="A273" s="1045">
        <f t="shared" si="4"/>
        <v>6</v>
      </c>
      <c r="B273" s="134">
        <v>45473</v>
      </c>
      <c r="C273" s="70">
        <v>6017</v>
      </c>
      <c r="D273" s="70" t="s">
        <v>108</v>
      </c>
      <c r="E273" s="70" t="s">
        <v>3117</v>
      </c>
      <c r="F273" s="1049">
        <v>238.2</v>
      </c>
      <c r="G273" s="1049">
        <v>0</v>
      </c>
      <c r="H273" s="563"/>
      <c r="I273" s="609"/>
      <c r="J273" s="609"/>
      <c r="K273" s="609"/>
      <c r="L273" s="609"/>
      <c r="M273" s="609"/>
      <c r="N273" s="599"/>
      <c r="O273" s="552" t="s">
        <v>1584</v>
      </c>
      <c r="P273" s="603"/>
      <c r="Q273" s="869"/>
      <c r="R273" s="869"/>
      <c r="S273" s="869"/>
      <c r="T273" s="869"/>
      <c r="U273" s="869"/>
      <c r="V273" s="869"/>
      <c r="W273" s="869"/>
      <c r="X273" s="869"/>
    </row>
    <row r="274" spans="1:24">
      <c r="A274" s="1045">
        <f t="shared" si="4"/>
        <v>6</v>
      </c>
      <c r="B274" s="134">
        <v>45473</v>
      </c>
      <c r="C274" s="70">
        <v>2018</v>
      </c>
      <c r="D274" s="70" t="s">
        <v>58</v>
      </c>
      <c r="E274" s="70" t="s">
        <v>3117</v>
      </c>
      <c r="F274" s="1049">
        <v>11.91</v>
      </c>
      <c r="G274" s="1049">
        <v>0</v>
      </c>
      <c r="H274" s="563"/>
      <c r="I274" s="609"/>
      <c r="J274" s="609"/>
      <c r="K274" s="609"/>
      <c r="L274" s="609"/>
      <c r="M274" s="609"/>
      <c r="N274" s="599"/>
      <c r="O274" s="552" t="s">
        <v>1584</v>
      </c>
      <c r="P274" s="603"/>
      <c r="Q274" s="869"/>
      <c r="R274" s="869"/>
      <c r="S274" s="869"/>
      <c r="T274" s="869"/>
      <c r="U274" s="869"/>
      <c r="V274" s="869"/>
      <c r="W274" s="869"/>
      <c r="X274" s="869"/>
    </row>
    <row r="275" spans="1:24">
      <c r="A275" s="1045">
        <f t="shared" si="4"/>
        <v>6</v>
      </c>
      <c r="B275" s="134">
        <v>45473</v>
      </c>
      <c r="C275" s="70">
        <v>1017</v>
      </c>
      <c r="D275" s="70" t="s">
        <v>5118</v>
      </c>
      <c r="E275" s="70" t="s">
        <v>3118</v>
      </c>
      <c r="F275" s="1049">
        <v>0</v>
      </c>
      <c r="G275" s="1049">
        <v>4808.71</v>
      </c>
      <c r="H275" s="563"/>
      <c r="I275" s="609"/>
      <c r="J275" s="609"/>
      <c r="K275" s="609"/>
      <c r="L275" s="609"/>
      <c r="M275" s="609"/>
      <c r="N275" s="599"/>
      <c r="O275" s="552" t="s">
        <v>1584</v>
      </c>
      <c r="P275" s="603"/>
      <c r="Q275" s="869"/>
      <c r="R275" s="869"/>
      <c r="S275" s="869"/>
      <c r="T275" s="869"/>
      <c r="U275" s="869"/>
      <c r="V275" s="869"/>
      <c r="W275" s="869"/>
      <c r="X275" s="869"/>
    </row>
    <row r="276" spans="1:24">
      <c r="A276" s="1045">
        <f t="shared" si="4"/>
        <v>6</v>
      </c>
      <c r="B276" s="134">
        <v>45473</v>
      </c>
      <c r="C276" s="70">
        <v>1017</v>
      </c>
      <c r="D276" s="70" t="s">
        <v>5118</v>
      </c>
      <c r="E276" s="70" t="s">
        <v>3119</v>
      </c>
      <c r="F276" s="1049">
        <v>200</v>
      </c>
      <c r="G276" s="1049">
        <v>0</v>
      </c>
      <c r="H276" s="563"/>
      <c r="I276" s="609"/>
      <c r="J276" s="609"/>
      <c r="K276" s="609"/>
      <c r="L276" s="609"/>
      <c r="M276" s="609"/>
      <c r="N276" s="599"/>
      <c r="O276" s="552" t="s">
        <v>1584</v>
      </c>
      <c r="P276" s="603"/>
      <c r="Q276" s="869"/>
      <c r="R276" s="869"/>
      <c r="S276" s="869"/>
      <c r="T276" s="869"/>
      <c r="U276" s="869"/>
      <c r="V276" s="869"/>
      <c r="W276" s="869"/>
      <c r="X276" s="869"/>
    </row>
    <row r="277" spans="1:24">
      <c r="A277" s="1045">
        <f t="shared" si="4"/>
        <v>6</v>
      </c>
      <c r="B277" s="134">
        <v>45473</v>
      </c>
      <c r="C277" s="70">
        <v>1017</v>
      </c>
      <c r="D277" s="70" t="s">
        <v>5118</v>
      </c>
      <c r="E277" s="70" t="s">
        <v>3120</v>
      </c>
      <c r="F277" s="1049">
        <v>300</v>
      </c>
      <c r="G277" s="1049">
        <v>0</v>
      </c>
      <c r="H277" s="563"/>
      <c r="I277" s="609"/>
      <c r="J277" s="609"/>
      <c r="K277" s="609"/>
      <c r="L277" s="609"/>
      <c r="M277" s="609"/>
      <c r="N277" s="599"/>
      <c r="O277" s="552" t="s">
        <v>1584</v>
      </c>
      <c r="P277" s="603"/>
      <c r="Q277" s="869"/>
      <c r="R277" s="869"/>
      <c r="S277" s="869"/>
      <c r="T277" s="869"/>
      <c r="U277" s="869"/>
      <c r="V277" s="869"/>
      <c r="W277" s="869"/>
      <c r="X277" s="869"/>
    </row>
    <row r="278" spans="1:24">
      <c r="A278" s="1045">
        <f t="shared" si="4"/>
        <v>6</v>
      </c>
      <c r="B278" s="134">
        <v>45473</v>
      </c>
      <c r="C278" s="70">
        <v>1017</v>
      </c>
      <c r="D278" s="70" t="s">
        <v>5118</v>
      </c>
      <c r="E278" s="70" t="s">
        <v>3121</v>
      </c>
      <c r="F278" s="1049">
        <v>500</v>
      </c>
      <c r="G278" s="1049">
        <v>0</v>
      </c>
      <c r="H278" s="563"/>
      <c r="I278" s="609"/>
      <c r="J278" s="609"/>
      <c r="K278" s="609"/>
      <c r="L278" s="609"/>
      <c r="M278" s="609"/>
      <c r="N278" s="599"/>
      <c r="O278" s="552" t="s">
        <v>1584</v>
      </c>
      <c r="P278" s="603"/>
      <c r="Q278" s="869"/>
      <c r="R278" s="869"/>
      <c r="S278" s="869"/>
      <c r="T278" s="869"/>
      <c r="U278" s="869"/>
      <c r="V278" s="869"/>
      <c r="W278" s="869"/>
      <c r="X278" s="869"/>
    </row>
    <row r="279" spans="1:24">
      <c r="A279" s="1045">
        <f t="shared" si="4"/>
        <v>6</v>
      </c>
      <c r="B279" s="134">
        <v>45473</v>
      </c>
      <c r="C279" s="70">
        <v>4010</v>
      </c>
      <c r="D279" s="70" t="s">
        <v>75</v>
      </c>
      <c r="E279" s="544" t="s">
        <v>3122</v>
      </c>
      <c r="F279" s="1049">
        <v>0</v>
      </c>
      <c r="G279" s="1049">
        <v>1000</v>
      </c>
      <c r="H279" s="563"/>
      <c r="I279" s="609"/>
      <c r="J279" s="609"/>
      <c r="K279" s="609"/>
      <c r="L279" s="609"/>
      <c r="M279" s="609"/>
      <c r="N279" s="599"/>
      <c r="O279" s="552" t="s">
        <v>1584</v>
      </c>
      <c r="P279" s="603"/>
      <c r="Q279" s="869"/>
      <c r="R279" s="869"/>
      <c r="S279" s="869"/>
      <c r="T279" s="869"/>
      <c r="U279" s="869"/>
      <c r="V279" s="869"/>
      <c r="W279" s="869"/>
      <c r="X279" s="869"/>
    </row>
    <row r="280" spans="1:24">
      <c r="A280" s="1045">
        <f t="shared" si="4"/>
        <v>6</v>
      </c>
      <c r="B280" s="134">
        <v>45473</v>
      </c>
      <c r="C280" s="70">
        <v>6001</v>
      </c>
      <c r="D280" s="70" t="s">
        <v>92</v>
      </c>
      <c r="E280" s="544" t="s">
        <v>3123</v>
      </c>
      <c r="F280" s="1049">
        <v>5446.33</v>
      </c>
      <c r="G280" s="1049">
        <v>0</v>
      </c>
      <c r="H280" s="563"/>
      <c r="I280" s="609"/>
      <c r="J280" s="609"/>
      <c r="K280" s="609"/>
      <c r="L280" s="609"/>
      <c r="M280" s="609"/>
      <c r="N280" s="599"/>
      <c r="O280" s="552" t="s">
        <v>1584</v>
      </c>
      <c r="P280" s="603"/>
      <c r="Q280" s="869"/>
      <c r="R280" s="869"/>
      <c r="S280" s="869"/>
      <c r="T280" s="869"/>
      <c r="U280" s="869"/>
      <c r="V280" s="869"/>
      <c r="W280" s="869"/>
      <c r="X280" s="869"/>
    </row>
    <row r="281" spans="1:24">
      <c r="A281" s="1045">
        <f t="shared" si="4"/>
        <v>6</v>
      </c>
      <c r="B281" s="134">
        <v>45473</v>
      </c>
      <c r="C281" s="70">
        <v>2018</v>
      </c>
      <c r="D281" s="70" t="s">
        <v>58</v>
      </c>
      <c r="E281" s="70" t="s">
        <v>3123</v>
      </c>
      <c r="F281" s="1049">
        <v>272.3</v>
      </c>
      <c r="G281" s="1049">
        <v>0</v>
      </c>
      <c r="H281" s="563"/>
      <c r="I281" s="609"/>
      <c r="J281" s="609"/>
      <c r="K281" s="609"/>
      <c r="L281" s="609"/>
      <c r="M281" s="609"/>
      <c r="N281" s="599"/>
      <c r="O281" s="552" t="s">
        <v>1584</v>
      </c>
      <c r="P281" s="603"/>
      <c r="Q281" s="869"/>
      <c r="R281" s="869"/>
      <c r="S281" s="869"/>
      <c r="T281" s="869"/>
      <c r="U281" s="869"/>
      <c r="V281" s="869"/>
      <c r="W281" s="869"/>
      <c r="X281" s="869"/>
    </row>
    <row r="282" spans="1:24">
      <c r="A282" s="1045">
        <f t="shared" si="4"/>
        <v>6</v>
      </c>
      <c r="B282" s="134">
        <v>45473</v>
      </c>
      <c r="C282" s="70">
        <v>1011</v>
      </c>
      <c r="D282" s="70" t="s">
        <v>34</v>
      </c>
      <c r="E282" s="70" t="s">
        <v>3123</v>
      </c>
      <c r="F282" s="1049">
        <v>0</v>
      </c>
      <c r="G282" s="1049">
        <v>5718.63</v>
      </c>
      <c r="H282" s="563"/>
      <c r="I282" s="609"/>
      <c r="J282" s="609"/>
      <c r="K282" s="609"/>
      <c r="L282" s="609"/>
      <c r="M282" s="609"/>
      <c r="N282" s="599"/>
      <c r="O282" s="552" t="s">
        <v>1584</v>
      </c>
      <c r="P282" s="603"/>
      <c r="Q282" s="869"/>
      <c r="R282" s="869"/>
      <c r="S282" s="869"/>
      <c r="T282" s="869"/>
      <c r="U282" s="869"/>
      <c r="V282" s="869"/>
      <c r="W282" s="869"/>
      <c r="X282" s="869"/>
    </row>
    <row r="283" spans="1:24">
      <c r="A283" s="1045">
        <f t="shared" si="4"/>
        <v>6</v>
      </c>
      <c r="B283" s="134">
        <v>45473</v>
      </c>
      <c r="C283" s="70">
        <v>5950</v>
      </c>
      <c r="D283" s="70" t="s">
        <v>90</v>
      </c>
      <c r="E283" s="70" t="s">
        <v>3124</v>
      </c>
      <c r="F283" s="1049">
        <v>3000</v>
      </c>
      <c r="G283" s="1049">
        <v>0</v>
      </c>
      <c r="H283" s="563"/>
      <c r="I283" s="609"/>
      <c r="J283" s="609"/>
      <c r="K283" s="609"/>
      <c r="L283" s="609"/>
      <c r="M283" s="609"/>
      <c r="N283" s="599"/>
      <c r="O283" s="552" t="s">
        <v>1584</v>
      </c>
      <c r="P283" s="603"/>
      <c r="Q283" s="869"/>
      <c r="R283" s="869"/>
      <c r="S283" s="869"/>
      <c r="T283" s="869"/>
      <c r="U283" s="869"/>
      <c r="V283" s="869"/>
      <c r="W283" s="869"/>
      <c r="X283" s="869"/>
    </row>
    <row r="284" spans="1:24">
      <c r="A284" s="1045">
        <f t="shared" si="4"/>
        <v>6</v>
      </c>
      <c r="B284" s="134">
        <v>45473</v>
      </c>
      <c r="C284" s="70">
        <v>1012</v>
      </c>
      <c r="D284" s="70" t="s">
        <v>35</v>
      </c>
      <c r="E284" s="70" t="s">
        <v>3125</v>
      </c>
      <c r="F284" s="1049">
        <v>2000</v>
      </c>
      <c r="G284" s="1049">
        <v>0</v>
      </c>
      <c r="H284" s="563"/>
      <c r="I284" s="609"/>
      <c r="J284" s="609"/>
      <c r="K284" s="609"/>
      <c r="L284" s="609"/>
      <c r="M284" s="609"/>
      <c r="N284" s="599"/>
      <c r="O284" s="552" t="s">
        <v>1584</v>
      </c>
      <c r="P284" s="603"/>
      <c r="Q284" s="869"/>
      <c r="R284" s="869"/>
      <c r="S284" s="869"/>
      <c r="T284" s="869"/>
      <c r="U284" s="869"/>
      <c r="V284" s="869"/>
      <c r="W284" s="869"/>
      <c r="X284" s="869"/>
    </row>
    <row r="285" spans="1:24">
      <c r="A285" s="1045">
        <f t="shared" si="4"/>
        <v>6</v>
      </c>
      <c r="B285" s="134">
        <v>45473</v>
      </c>
      <c r="C285" s="70">
        <v>6011</v>
      </c>
      <c r="D285" s="70" t="s">
        <v>102</v>
      </c>
      <c r="E285" s="70" t="s">
        <v>3126</v>
      </c>
      <c r="F285" s="1049">
        <v>1500</v>
      </c>
      <c r="G285" s="1049">
        <v>0</v>
      </c>
      <c r="H285" s="563"/>
      <c r="I285" s="609"/>
      <c r="J285" s="609"/>
      <c r="K285" s="609"/>
      <c r="L285" s="609"/>
      <c r="M285" s="609"/>
      <c r="N285" s="599"/>
      <c r="O285" s="552" t="s">
        <v>1584</v>
      </c>
      <c r="P285" s="603"/>
      <c r="Q285" s="869"/>
      <c r="R285" s="869"/>
      <c r="S285" s="869"/>
      <c r="T285" s="869"/>
      <c r="U285" s="869"/>
      <c r="V285" s="869"/>
      <c r="W285" s="869"/>
      <c r="X285" s="869"/>
    </row>
    <row r="286" spans="1:24">
      <c r="A286" s="1045">
        <f t="shared" si="4"/>
        <v>6</v>
      </c>
      <c r="B286" s="134">
        <v>45473</v>
      </c>
      <c r="C286" s="70">
        <v>1025</v>
      </c>
      <c r="D286" s="70" t="s">
        <v>5120</v>
      </c>
      <c r="E286" s="70" t="s">
        <v>3124</v>
      </c>
      <c r="F286" s="1049">
        <v>0</v>
      </c>
      <c r="G286" s="1049">
        <v>6500</v>
      </c>
      <c r="H286" s="564"/>
      <c r="I286" s="609"/>
      <c r="J286" s="609"/>
      <c r="K286" s="609"/>
      <c r="L286" s="609"/>
      <c r="M286" s="609"/>
      <c r="N286" s="599"/>
      <c r="O286" s="552" t="s">
        <v>1584</v>
      </c>
      <c r="P286" s="603"/>
      <c r="Q286" s="869"/>
      <c r="R286" s="869"/>
      <c r="S286" s="869"/>
      <c r="T286" s="869"/>
      <c r="U286" s="869"/>
      <c r="V286" s="869"/>
      <c r="W286" s="869"/>
      <c r="X286" s="869"/>
    </row>
    <row r="287" spans="1:24">
      <c r="A287" s="1045">
        <f t="shared" si="4"/>
        <v>6</v>
      </c>
      <c r="B287" s="134">
        <v>45473</v>
      </c>
      <c r="C287" s="70">
        <v>2018</v>
      </c>
      <c r="D287" s="70" t="s">
        <v>58</v>
      </c>
      <c r="E287" s="70" t="s">
        <v>3127</v>
      </c>
      <c r="F287" s="1049">
        <v>15270.54</v>
      </c>
      <c r="G287" s="1049">
        <v>0</v>
      </c>
      <c r="H287" s="564"/>
      <c r="I287" s="609"/>
      <c r="J287" s="609"/>
      <c r="K287" s="609"/>
      <c r="L287" s="609"/>
      <c r="M287" s="609"/>
      <c r="N287" s="599"/>
      <c r="O287" s="552" t="s">
        <v>1584</v>
      </c>
      <c r="P287" s="603"/>
      <c r="Q287" s="869"/>
      <c r="R287" s="869"/>
      <c r="S287" s="869"/>
      <c r="T287" s="869"/>
      <c r="U287" s="869"/>
      <c r="V287" s="869"/>
      <c r="W287" s="869"/>
      <c r="X287" s="869"/>
    </row>
    <row r="288" spans="1:24">
      <c r="A288" s="1045">
        <f t="shared" si="4"/>
        <v>6</v>
      </c>
      <c r="B288" s="134">
        <v>45473</v>
      </c>
      <c r="C288" s="70">
        <v>6250</v>
      </c>
      <c r="D288" s="70" t="s">
        <v>129</v>
      </c>
      <c r="E288" s="70" t="s">
        <v>3128</v>
      </c>
      <c r="F288" s="1049">
        <v>23.1</v>
      </c>
      <c r="G288" s="1049">
        <v>0</v>
      </c>
      <c r="H288" s="564"/>
      <c r="I288" s="609"/>
      <c r="J288" s="609"/>
      <c r="K288" s="609"/>
      <c r="L288" s="609"/>
      <c r="M288" s="609"/>
      <c r="N288" s="599"/>
      <c r="O288" s="552" t="s">
        <v>1584</v>
      </c>
      <c r="P288" s="603"/>
      <c r="Q288" s="869"/>
      <c r="R288" s="869"/>
      <c r="S288" s="869"/>
      <c r="T288" s="869"/>
      <c r="U288" s="869"/>
      <c r="V288" s="869"/>
      <c r="W288" s="869"/>
      <c r="X288" s="869"/>
    </row>
    <row r="289" spans="1:24">
      <c r="A289" s="1045">
        <f t="shared" si="4"/>
        <v>6</v>
      </c>
      <c r="B289" s="134">
        <v>45473</v>
      </c>
      <c r="C289" s="70">
        <v>2018</v>
      </c>
      <c r="D289" s="70" t="s">
        <v>58</v>
      </c>
      <c r="E289" s="70" t="s">
        <v>3129</v>
      </c>
      <c r="F289" s="1049">
        <v>1.1599999999999999</v>
      </c>
      <c r="G289" s="1049">
        <v>0</v>
      </c>
      <c r="H289" s="564"/>
      <c r="I289" s="609"/>
      <c r="J289" s="609"/>
      <c r="K289" s="609"/>
      <c r="L289" s="609"/>
      <c r="M289" s="609"/>
      <c r="N289" s="599"/>
      <c r="O289" s="552" t="s">
        <v>1584</v>
      </c>
      <c r="P289" s="603"/>
      <c r="Q289" s="869"/>
      <c r="R289" s="869"/>
      <c r="S289" s="869"/>
      <c r="T289" s="869"/>
      <c r="U289" s="869"/>
      <c r="V289" s="869"/>
      <c r="W289" s="869"/>
      <c r="X289" s="869"/>
    </row>
    <row r="290" spans="1:24">
      <c r="A290" s="1045">
        <f t="shared" si="4"/>
        <v>6</v>
      </c>
      <c r="B290" s="134">
        <v>45473</v>
      </c>
      <c r="C290" s="70">
        <v>1025</v>
      </c>
      <c r="D290" s="70" t="s">
        <v>5120</v>
      </c>
      <c r="E290" s="70" t="s">
        <v>3130</v>
      </c>
      <c r="F290" s="1049">
        <v>0</v>
      </c>
      <c r="G290" s="1049">
        <v>15294.8</v>
      </c>
      <c r="H290" s="564"/>
      <c r="I290" s="609"/>
      <c r="J290" s="609"/>
      <c r="K290" s="609"/>
      <c r="L290" s="609"/>
      <c r="M290" s="609"/>
      <c r="N290" s="599"/>
      <c r="O290" s="552" t="s">
        <v>1584</v>
      </c>
      <c r="P290" s="603"/>
      <c r="Q290" s="869"/>
      <c r="R290" s="869"/>
      <c r="S290" s="869"/>
      <c r="T290" s="869"/>
      <c r="U290" s="869"/>
      <c r="V290" s="869"/>
      <c r="W290" s="869"/>
      <c r="X290" s="869"/>
    </row>
    <row r="291" spans="1:24">
      <c r="A291" s="1045">
        <f t="shared" si="4"/>
        <v>7</v>
      </c>
      <c r="B291" s="134">
        <v>45474</v>
      </c>
      <c r="C291" s="70">
        <v>1025</v>
      </c>
      <c r="D291" s="70" t="s">
        <v>5120</v>
      </c>
      <c r="E291" s="70" t="s">
        <v>3131</v>
      </c>
      <c r="F291" s="1049">
        <v>70</v>
      </c>
      <c r="G291" s="1049">
        <v>0</v>
      </c>
      <c r="H291" s="564"/>
      <c r="I291" s="609"/>
      <c r="J291" s="609"/>
      <c r="K291" s="609"/>
      <c r="L291" s="609"/>
      <c r="M291" s="609"/>
      <c r="N291" s="599"/>
      <c r="O291" s="552" t="s">
        <v>1584</v>
      </c>
      <c r="P291" s="603"/>
      <c r="Q291" s="869"/>
      <c r="R291" s="869"/>
      <c r="S291" s="869"/>
      <c r="T291" s="869"/>
      <c r="U291" s="869"/>
      <c r="V291" s="869"/>
      <c r="W291" s="869"/>
      <c r="X291" s="869"/>
    </row>
    <row r="292" spans="1:24">
      <c r="A292" s="1045">
        <f t="shared" si="4"/>
        <v>7</v>
      </c>
      <c r="B292" s="134">
        <v>45474</v>
      </c>
      <c r="C292" s="70">
        <v>1017</v>
      </c>
      <c r="D292" s="70" t="s">
        <v>5118</v>
      </c>
      <c r="E292" s="280" t="s">
        <v>3131</v>
      </c>
      <c r="F292" s="1049">
        <v>0</v>
      </c>
      <c r="G292" s="1049">
        <v>70</v>
      </c>
      <c r="H292" s="564"/>
      <c r="I292" s="609"/>
      <c r="J292" s="609"/>
      <c r="K292" s="609"/>
      <c r="L292" s="609"/>
      <c r="M292" s="609"/>
      <c r="N292" s="599"/>
      <c r="O292" s="552" t="s">
        <v>1584</v>
      </c>
      <c r="P292" s="603"/>
      <c r="Q292" s="869"/>
      <c r="R292" s="869"/>
      <c r="S292" s="869"/>
      <c r="T292" s="869"/>
      <c r="U292" s="869"/>
      <c r="V292" s="869"/>
      <c r="W292" s="869"/>
      <c r="X292" s="869"/>
    </row>
    <row r="293" spans="1:24">
      <c r="A293" s="1045">
        <f t="shared" si="4"/>
        <v>7</v>
      </c>
      <c r="B293" s="134">
        <v>45474</v>
      </c>
      <c r="C293" s="70">
        <v>6006</v>
      </c>
      <c r="D293" s="70" t="s">
        <v>97</v>
      </c>
      <c r="E293" s="280" t="s">
        <v>3132</v>
      </c>
      <c r="F293" s="1049">
        <v>15378.75</v>
      </c>
      <c r="G293" s="1049">
        <v>0</v>
      </c>
      <c r="H293" s="564"/>
      <c r="I293" s="609"/>
      <c r="J293" s="609"/>
      <c r="K293" s="609"/>
      <c r="L293" s="609"/>
      <c r="M293" s="609"/>
      <c r="N293" s="599"/>
      <c r="O293" s="552" t="s">
        <v>1584</v>
      </c>
      <c r="P293" s="603"/>
      <c r="Q293" s="869"/>
      <c r="R293" s="869"/>
      <c r="S293" s="869"/>
      <c r="T293" s="869"/>
      <c r="U293" s="869"/>
      <c r="V293" s="869"/>
      <c r="W293" s="869"/>
      <c r="X293" s="869"/>
    </row>
    <row r="294" spans="1:24">
      <c r="A294" s="1045">
        <f t="shared" si="4"/>
        <v>7</v>
      </c>
      <c r="B294" s="134">
        <v>45474</v>
      </c>
      <c r="C294" s="70">
        <v>1025</v>
      </c>
      <c r="D294" s="70" t="s">
        <v>5120</v>
      </c>
      <c r="E294" s="280" t="s">
        <v>3132</v>
      </c>
      <c r="F294" s="1049">
        <v>0</v>
      </c>
      <c r="G294" s="1049">
        <v>15378.75</v>
      </c>
      <c r="H294" s="564"/>
      <c r="I294" s="609"/>
      <c r="J294" s="609"/>
      <c r="K294" s="609"/>
      <c r="L294" s="609"/>
      <c r="M294" s="609"/>
      <c r="N294" s="599"/>
      <c r="O294" s="552" t="s">
        <v>1584</v>
      </c>
      <c r="P294" s="603"/>
      <c r="Q294" s="869"/>
      <c r="R294" s="869"/>
      <c r="S294" s="869"/>
      <c r="T294" s="869"/>
      <c r="U294" s="869"/>
      <c r="V294" s="869"/>
      <c r="W294" s="869"/>
      <c r="X294" s="869"/>
    </row>
    <row r="295" spans="1:24">
      <c r="A295" s="1045">
        <f t="shared" si="4"/>
        <v>7</v>
      </c>
      <c r="B295" s="134">
        <v>45474</v>
      </c>
      <c r="C295" s="70">
        <v>6000</v>
      </c>
      <c r="D295" s="70" t="s">
        <v>91</v>
      </c>
      <c r="E295" s="280" t="s">
        <v>3133</v>
      </c>
      <c r="F295" s="1049">
        <v>66627</v>
      </c>
      <c r="G295" s="1049">
        <v>0</v>
      </c>
      <c r="H295" s="564"/>
      <c r="I295" s="609"/>
      <c r="J295" s="609"/>
      <c r="K295" s="609"/>
      <c r="L295" s="609"/>
      <c r="M295" s="609"/>
      <c r="N295" s="599"/>
      <c r="O295" s="552" t="s">
        <v>1584</v>
      </c>
      <c r="P295" s="603"/>
      <c r="Q295" s="869"/>
      <c r="R295" s="869"/>
      <c r="S295" s="869"/>
      <c r="T295" s="869"/>
      <c r="U295" s="869"/>
      <c r="V295" s="869"/>
      <c r="W295" s="869"/>
      <c r="X295" s="869"/>
    </row>
    <row r="296" spans="1:24">
      <c r="A296" s="1045">
        <f t="shared" si="4"/>
        <v>7</v>
      </c>
      <c r="B296" s="134">
        <v>45474</v>
      </c>
      <c r="C296" s="70">
        <v>7200</v>
      </c>
      <c r="D296" s="70" t="s">
        <v>140</v>
      </c>
      <c r="E296" s="280" t="s">
        <v>3134</v>
      </c>
      <c r="F296" s="1049">
        <v>90</v>
      </c>
      <c r="G296" s="1049">
        <v>0</v>
      </c>
      <c r="H296" s="564"/>
      <c r="I296" s="609"/>
      <c r="J296" s="609"/>
      <c r="K296" s="609"/>
      <c r="L296" s="609"/>
      <c r="M296" s="609"/>
      <c r="N296" s="599"/>
      <c r="O296" s="552" t="s">
        <v>1584</v>
      </c>
      <c r="P296" s="603"/>
      <c r="Q296" s="869"/>
      <c r="R296" s="869"/>
      <c r="S296" s="869"/>
      <c r="T296" s="869"/>
      <c r="U296" s="869"/>
      <c r="V296" s="869"/>
      <c r="W296" s="869"/>
      <c r="X296" s="869"/>
    </row>
    <row r="297" spans="1:24">
      <c r="A297" s="1045">
        <f t="shared" si="4"/>
        <v>7</v>
      </c>
      <c r="B297" s="134">
        <v>45474</v>
      </c>
      <c r="C297" s="70">
        <v>2018</v>
      </c>
      <c r="D297" s="70" t="s">
        <v>58</v>
      </c>
      <c r="E297" s="280" t="s">
        <v>3134</v>
      </c>
      <c r="F297" s="1049">
        <v>4.5</v>
      </c>
      <c r="G297" s="1049">
        <v>0</v>
      </c>
      <c r="H297" s="564"/>
      <c r="I297" s="609"/>
      <c r="J297" s="609"/>
      <c r="K297" s="609"/>
      <c r="L297" s="609"/>
      <c r="M297" s="609"/>
      <c r="N297" s="599"/>
      <c r="O297" s="552" t="s">
        <v>1584</v>
      </c>
      <c r="P297" s="603"/>
      <c r="Q297" s="869"/>
      <c r="R297" s="869"/>
      <c r="S297" s="869"/>
      <c r="T297" s="869"/>
      <c r="U297" s="869"/>
      <c r="V297" s="869"/>
      <c r="W297" s="869"/>
      <c r="X297" s="869"/>
    </row>
    <row r="298" spans="1:24">
      <c r="A298" s="1045">
        <f t="shared" si="4"/>
        <v>7</v>
      </c>
      <c r="B298" s="134">
        <v>45474</v>
      </c>
      <c r="C298" s="70">
        <v>1022</v>
      </c>
      <c r="D298" s="70" t="s">
        <v>5119</v>
      </c>
      <c r="E298" s="280" t="s">
        <v>3134</v>
      </c>
      <c r="F298" s="1049">
        <v>0</v>
      </c>
      <c r="G298" s="1049">
        <v>66721.5</v>
      </c>
      <c r="H298" s="564"/>
      <c r="I298" s="609"/>
      <c r="J298" s="609"/>
      <c r="K298" s="609"/>
      <c r="L298" s="609"/>
      <c r="M298" s="609"/>
      <c r="N298" s="599"/>
      <c r="O298" s="552" t="s">
        <v>1584</v>
      </c>
      <c r="P298" s="603"/>
      <c r="Q298" s="869"/>
      <c r="R298" s="869"/>
      <c r="S298" s="869"/>
      <c r="T298" s="869"/>
      <c r="U298" s="869"/>
      <c r="V298" s="869"/>
      <c r="W298" s="869"/>
      <c r="X298" s="869"/>
    </row>
    <row r="299" spans="1:24">
      <c r="A299" s="1045">
        <f t="shared" si="4"/>
        <v>7</v>
      </c>
      <c r="B299" s="134">
        <v>45474</v>
      </c>
      <c r="C299" s="70">
        <v>6007</v>
      </c>
      <c r="D299" s="70" t="s">
        <v>98</v>
      </c>
      <c r="E299" s="280" t="s">
        <v>3135</v>
      </c>
      <c r="F299" s="1049">
        <v>325</v>
      </c>
      <c r="G299" s="1049">
        <v>0</v>
      </c>
      <c r="H299" s="564"/>
      <c r="I299" s="609"/>
      <c r="J299" s="609"/>
      <c r="K299" s="609"/>
      <c r="L299" s="609"/>
      <c r="M299" s="609"/>
      <c r="N299" s="599"/>
      <c r="O299" s="552" t="s">
        <v>1584</v>
      </c>
      <c r="P299" s="603"/>
      <c r="Q299" s="869"/>
      <c r="R299" s="869"/>
      <c r="S299" s="869"/>
      <c r="T299" s="869"/>
      <c r="U299" s="869"/>
      <c r="V299" s="869"/>
      <c r="W299" s="869"/>
      <c r="X299" s="869"/>
    </row>
    <row r="300" spans="1:24">
      <c r="A300" s="1045">
        <f t="shared" si="4"/>
        <v>7</v>
      </c>
      <c r="B300" s="134">
        <v>45474</v>
      </c>
      <c r="C300" s="70">
        <v>2018</v>
      </c>
      <c r="D300" s="70" t="s">
        <v>58</v>
      </c>
      <c r="E300" s="280" t="s">
        <v>3135</v>
      </c>
      <c r="F300" s="1049">
        <v>16.510000000000002</v>
      </c>
      <c r="G300" s="1049">
        <v>0</v>
      </c>
      <c r="H300" s="564"/>
      <c r="I300" s="609"/>
      <c r="J300" s="609"/>
      <c r="K300" s="609"/>
      <c r="L300" s="609"/>
      <c r="M300" s="609"/>
      <c r="N300" s="599"/>
      <c r="O300" s="552" t="s">
        <v>1584</v>
      </c>
      <c r="P300" s="603"/>
      <c r="Q300" s="869"/>
      <c r="R300" s="869"/>
      <c r="S300" s="869"/>
      <c r="T300" s="869"/>
      <c r="U300" s="869"/>
      <c r="V300" s="869"/>
      <c r="W300" s="869"/>
      <c r="X300" s="869"/>
    </row>
    <row r="301" spans="1:24">
      <c r="A301" s="1045">
        <f t="shared" si="4"/>
        <v>7</v>
      </c>
      <c r="B301" s="134">
        <v>45474</v>
      </c>
      <c r="C301" s="70">
        <v>6250</v>
      </c>
      <c r="D301" s="70" t="s">
        <v>129</v>
      </c>
      <c r="E301" s="280" t="s">
        <v>3136</v>
      </c>
      <c r="F301" s="1049">
        <v>37</v>
      </c>
      <c r="G301" s="1049">
        <v>0</v>
      </c>
      <c r="H301" s="564"/>
      <c r="I301" s="609"/>
      <c r="J301" s="609"/>
      <c r="K301" s="609"/>
      <c r="L301" s="609"/>
      <c r="M301" s="609"/>
      <c r="N301" s="599"/>
      <c r="O301" s="552" t="s">
        <v>1584</v>
      </c>
      <c r="P301" s="603"/>
      <c r="Q301" s="869"/>
      <c r="R301" s="869"/>
      <c r="S301" s="869"/>
      <c r="T301" s="869"/>
      <c r="U301" s="869"/>
      <c r="V301" s="869"/>
      <c r="W301" s="869"/>
      <c r="X301" s="869"/>
    </row>
    <row r="302" spans="1:24">
      <c r="A302" s="1045">
        <f t="shared" si="4"/>
        <v>7</v>
      </c>
      <c r="B302" s="134">
        <v>45474</v>
      </c>
      <c r="C302" s="70">
        <v>1025</v>
      </c>
      <c r="D302" s="70" t="s">
        <v>5120</v>
      </c>
      <c r="E302" s="280" t="s">
        <v>3136</v>
      </c>
      <c r="F302" s="1049">
        <v>0</v>
      </c>
      <c r="G302" s="1049">
        <v>378.51</v>
      </c>
      <c r="H302" s="564"/>
      <c r="I302" s="609"/>
      <c r="J302" s="609"/>
      <c r="K302" s="609"/>
      <c r="L302" s="609"/>
      <c r="M302" s="609"/>
      <c r="N302" s="599"/>
      <c r="O302" s="552" t="s">
        <v>1584</v>
      </c>
      <c r="P302" s="603"/>
      <c r="Q302" s="869"/>
      <c r="R302" s="869"/>
      <c r="S302" s="869"/>
      <c r="T302" s="869"/>
      <c r="U302" s="869"/>
      <c r="V302" s="869"/>
      <c r="W302" s="869"/>
      <c r="X302" s="869"/>
    </row>
    <row r="303" spans="1:24">
      <c r="A303" s="1045">
        <f t="shared" si="4"/>
        <v>7</v>
      </c>
      <c r="B303" s="134">
        <v>45474</v>
      </c>
      <c r="C303" s="70">
        <v>6009</v>
      </c>
      <c r="D303" s="70" t="s">
        <v>100</v>
      </c>
      <c r="E303" s="280" t="s">
        <v>3137</v>
      </c>
      <c r="F303" s="1049">
        <v>257</v>
      </c>
      <c r="G303" s="1049">
        <v>0</v>
      </c>
      <c r="H303" s="564"/>
      <c r="I303" s="609"/>
      <c r="J303" s="609"/>
      <c r="K303" s="609"/>
      <c r="L303" s="609"/>
      <c r="M303" s="609"/>
      <c r="N303" s="599"/>
      <c r="O303" s="552" t="s">
        <v>1584</v>
      </c>
      <c r="P303" s="603"/>
      <c r="Q303" s="869"/>
      <c r="R303" s="869"/>
      <c r="S303" s="869"/>
      <c r="T303" s="869"/>
      <c r="U303" s="869"/>
      <c r="V303" s="869"/>
      <c r="W303" s="869"/>
      <c r="X303" s="869"/>
    </row>
    <row r="304" spans="1:24">
      <c r="A304" s="1045">
        <f t="shared" si="4"/>
        <v>7</v>
      </c>
      <c r="B304" s="134">
        <v>45474</v>
      </c>
      <c r="C304" s="70">
        <v>2018</v>
      </c>
      <c r="D304" s="70" t="s">
        <v>58</v>
      </c>
      <c r="E304" s="280" t="s">
        <v>3137</v>
      </c>
      <c r="F304" s="1049">
        <v>12.45</v>
      </c>
      <c r="G304" s="1049">
        <v>0</v>
      </c>
      <c r="H304" s="564"/>
      <c r="I304" s="609"/>
      <c r="J304" s="609"/>
      <c r="K304" s="609"/>
      <c r="L304" s="609"/>
      <c r="M304" s="609"/>
      <c r="N304" s="599"/>
      <c r="O304" s="552" t="s">
        <v>1584</v>
      </c>
      <c r="P304" s="603"/>
      <c r="Q304" s="869"/>
      <c r="R304" s="869"/>
      <c r="S304" s="869"/>
      <c r="T304" s="869"/>
      <c r="U304" s="869"/>
      <c r="V304" s="869"/>
      <c r="W304" s="869"/>
      <c r="X304" s="869"/>
    </row>
    <row r="305" spans="1:24">
      <c r="A305" s="1045">
        <f t="shared" si="4"/>
        <v>7</v>
      </c>
      <c r="B305" s="134">
        <v>45474</v>
      </c>
      <c r="C305" s="70">
        <v>1025</v>
      </c>
      <c r="D305" s="70" t="s">
        <v>5120</v>
      </c>
      <c r="E305" s="280" t="s">
        <v>3137</v>
      </c>
      <c r="F305" s="1049">
        <v>0</v>
      </c>
      <c r="G305" s="1049">
        <v>269.45</v>
      </c>
      <c r="H305" s="564"/>
      <c r="I305" s="609"/>
      <c r="J305" s="609"/>
      <c r="K305" s="609"/>
      <c r="L305" s="609"/>
      <c r="M305" s="609"/>
      <c r="N305" s="599"/>
      <c r="O305" s="552" t="s">
        <v>1584</v>
      </c>
      <c r="P305" s="603"/>
      <c r="Q305" s="869"/>
      <c r="R305" s="869"/>
      <c r="S305" s="869"/>
      <c r="T305" s="869"/>
      <c r="U305" s="869"/>
      <c r="V305" s="869"/>
      <c r="W305" s="869"/>
      <c r="X305" s="869"/>
    </row>
    <row r="306" spans="1:24">
      <c r="A306" s="1045">
        <f t="shared" si="4"/>
        <v>7</v>
      </c>
      <c r="B306" s="134">
        <v>45475</v>
      </c>
      <c r="C306" s="70">
        <v>6000</v>
      </c>
      <c r="D306" s="70" t="s">
        <v>91</v>
      </c>
      <c r="E306" s="280" t="s">
        <v>3138</v>
      </c>
      <c r="F306" s="1049">
        <v>2300</v>
      </c>
      <c r="G306" s="1049">
        <v>0</v>
      </c>
      <c r="H306" s="564"/>
      <c r="I306" s="609"/>
      <c r="J306" s="609"/>
      <c r="K306" s="609"/>
      <c r="L306" s="609"/>
      <c r="M306" s="609"/>
      <c r="N306" s="599"/>
      <c r="O306" s="552" t="s">
        <v>1584</v>
      </c>
      <c r="P306" s="603"/>
      <c r="Q306" s="869"/>
      <c r="R306" s="869"/>
      <c r="S306" s="869"/>
      <c r="T306" s="869"/>
      <c r="U306" s="869"/>
      <c r="V306" s="869"/>
      <c r="W306" s="869"/>
      <c r="X306" s="869"/>
    </row>
    <row r="307" spans="1:24">
      <c r="A307" s="1045">
        <f t="shared" si="4"/>
        <v>7</v>
      </c>
      <c r="B307" s="134">
        <v>45475</v>
      </c>
      <c r="C307" s="70">
        <v>1025</v>
      </c>
      <c r="D307" s="70" t="s">
        <v>5120</v>
      </c>
      <c r="E307" s="380" t="s">
        <v>3138</v>
      </c>
      <c r="F307" s="1049">
        <v>0</v>
      </c>
      <c r="G307" s="1049">
        <v>2300</v>
      </c>
      <c r="H307" s="564"/>
      <c r="I307" s="609"/>
      <c r="J307" s="609"/>
      <c r="K307" s="609"/>
      <c r="L307" s="609"/>
      <c r="M307" s="609"/>
      <c r="N307" s="599"/>
      <c r="O307" s="552" t="s">
        <v>1584</v>
      </c>
      <c r="P307" s="603"/>
      <c r="Q307" s="869"/>
      <c r="R307" s="869"/>
      <c r="S307" s="869"/>
      <c r="T307" s="869"/>
      <c r="U307" s="869"/>
      <c r="V307" s="869"/>
      <c r="W307" s="869"/>
      <c r="X307" s="869"/>
    </row>
    <row r="308" spans="1:24">
      <c r="A308" s="1045">
        <f t="shared" si="4"/>
        <v>7</v>
      </c>
      <c r="B308" s="134">
        <v>45476</v>
      </c>
      <c r="C308" s="70">
        <v>1025</v>
      </c>
      <c r="D308" s="70" t="s">
        <v>5120</v>
      </c>
      <c r="E308" s="380" t="s">
        <v>3139</v>
      </c>
      <c r="F308" s="1049">
        <v>22000</v>
      </c>
      <c r="G308" s="1049">
        <v>0</v>
      </c>
      <c r="H308" s="564"/>
      <c r="I308" s="609"/>
      <c r="J308" s="609"/>
      <c r="K308" s="609"/>
      <c r="L308" s="609"/>
      <c r="M308" s="609"/>
      <c r="N308" s="599"/>
      <c r="O308" s="552" t="s">
        <v>1584</v>
      </c>
      <c r="P308" s="603"/>
      <c r="Q308" s="869"/>
      <c r="R308" s="869"/>
      <c r="S308" s="869"/>
      <c r="T308" s="869"/>
      <c r="U308" s="869"/>
      <c r="V308" s="869"/>
      <c r="W308" s="869"/>
      <c r="X308" s="869"/>
    </row>
    <row r="309" spans="1:24">
      <c r="A309" s="1045">
        <f t="shared" si="4"/>
        <v>7</v>
      </c>
      <c r="B309" s="548">
        <v>45476</v>
      </c>
      <c r="C309" s="70">
        <v>1022</v>
      </c>
      <c r="D309" s="70" t="s">
        <v>5119</v>
      </c>
      <c r="E309" s="280" t="s">
        <v>3140</v>
      </c>
      <c r="F309" s="1049">
        <v>0</v>
      </c>
      <c r="G309" s="1049">
        <v>22000</v>
      </c>
      <c r="H309" s="564"/>
      <c r="I309" s="609"/>
      <c r="J309" s="609"/>
      <c r="K309" s="609"/>
      <c r="L309" s="609"/>
      <c r="M309" s="609"/>
      <c r="N309" s="599"/>
      <c r="O309" s="552" t="s">
        <v>1584</v>
      </c>
      <c r="P309" s="603"/>
      <c r="Q309" s="869"/>
      <c r="R309" s="869"/>
      <c r="S309" s="869"/>
      <c r="T309" s="869"/>
      <c r="U309" s="869"/>
      <c r="V309" s="869"/>
      <c r="W309" s="869"/>
      <c r="X309" s="869"/>
    </row>
    <row r="310" spans="1:24">
      <c r="A310" s="1045">
        <f t="shared" si="4"/>
        <v>7</v>
      </c>
      <c r="B310" s="548">
        <v>45476</v>
      </c>
      <c r="C310" s="70">
        <v>1017</v>
      </c>
      <c r="D310" s="70" t="s">
        <v>5118</v>
      </c>
      <c r="E310" s="280" t="s">
        <v>3141</v>
      </c>
      <c r="F310" s="1049">
        <v>15000</v>
      </c>
      <c r="G310" s="1049">
        <v>0</v>
      </c>
      <c r="H310" s="564"/>
      <c r="I310" s="609"/>
      <c r="J310" s="609"/>
      <c r="K310" s="609"/>
      <c r="L310" s="609"/>
      <c r="M310" s="609"/>
      <c r="N310" s="599"/>
      <c r="O310" s="552" t="s">
        <v>1584</v>
      </c>
      <c r="P310" s="603"/>
      <c r="Q310" s="869"/>
      <c r="R310" s="869"/>
      <c r="S310" s="869"/>
      <c r="T310" s="869"/>
      <c r="U310" s="869"/>
      <c r="V310" s="869"/>
      <c r="W310" s="869"/>
      <c r="X310" s="869"/>
    </row>
    <row r="311" spans="1:24">
      <c r="A311" s="1045">
        <f t="shared" si="4"/>
        <v>7</v>
      </c>
      <c r="B311" s="548">
        <v>45476</v>
      </c>
      <c r="C311" s="70">
        <v>1017</v>
      </c>
      <c r="D311" s="70" t="s">
        <v>5118</v>
      </c>
      <c r="E311" s="280" t="s">
        <v>3142</v>
      </c>
      <c r="F311" s="1049">
        <v>15000</v>
      </c>
      <c r="G311" s="1049">
        <v>0</v>
      </c>
      <c r="H311" s="564"/>
      <c r="I311" s="609"/>
      <c r="J311" s="609"/>
      <c r="K311" s="609"/>
      <c r="L311" s="609"/>
      <c r="M311" s="609"/>
      <c r="N311" s="599"/>
      <c r="O311" s="552" t="s">
        <v>1584</v>
      </c>
      <c r="P311" s="603"/>
      <c r="Q311" s="869"/>
      <c r="R311" s="869"/>
      <c r="S311" s="869"/>
      <c r="T311" s="869"/>
      <c r="U311" s="869"/>
      <c r="V311" s="869"/>
      <c r="W311" s="869"/>
      <c r="X311" s="869"/>
    </row>
    <row r="312" spans="1:24">
      <c r="A312" s="1045">
        <f t="shared" si="4"/>
        <v>7</v>
      </c>
      <c r="B312" s="548">
        <v>45476</v>
      </c>
      <c r="C312" s="70">
        <v>1022</v>
      </c>
      <c r="D312" s="70" t="s">
        <v>5119</v>
      </c>
      <c r="E312" s="280" t="s">
        <v>3143</v>
      </c>
      <c r="F312" s="1049">
        <v>0</v>
      </c>
      <c r="G312" s="1049">
        <v>15000</v>
      </c>
      <c r="H312" s="564"/>
      <c r="I312" s="609"/>
      <c r="J312" s="609"/>
      <c r="K312" s="609"/>
      <c r="L312" s="609"/>
      <c r="M312" s="609"/>
      <c r="N312" s="599"/>
      <c r="O312" s="552" t="s">
        <v>1584</v>
      </c>
      <c r="P312" s="603"/>
      <c r="Q312" s="869"/>
      <c r="R312" s="869"/>
      <c r="S312" s="869"/>
      <c r="T312" s="869"/>
      <c r="U312" s="869"/>
      <c r="V312" s="869"/>
      <c r="W312" s="869"/>
      <c r="X312" s="869"/>
    </row>
    <row r="313" spans="1:24">
      <c r="A313" s="1045">
        <f t="shared" si="4"/>
        <v>7</v>
      </c>
      <c r="B313" s="548">
        <v>45476</v>
      </c>
      <c r="C313" s="70">
        <v>1022</v>
      </c>
      <c r="D313" s="70" t="s">
        <v>5119</v>
      </c>
      <c r="E313" s="280" t="s">
        <v>3144</v>
      </c>
      <c r="F313" s="1049">
        <v>0</v>
      </c>
      <c r="G313" s="1049">
        <v>15000</v>
      </c>
      <c r="H313" s="564"/>
      <c r="I313" s="609"/>
      <c r="J313" s="609"/>
      <c r="K313" s="609"/>
      <c r="L313" s="609"/>
      <c r="M313" s="609"/>
      <c r="N313" s="599"/>
      <c r="O313" s="552" t="s">
        <v>1584</v>
      </c>
      <c r="P313" s="603"/>
      <c r="Q313" s="869"/>
      <c r="R313" s="869"/>
      <c r="S313" s="869"/>
      <c r="T313" s="869"/>
      <c r="U313" s="869"/>
      <c r="V313" s="869"/>
      <c r="W313" s="869"/>
      <c r="X313" s="869"/>
    </row>
    <row r="314" spans="1:24">
      <c r="A314" s="1045">
        <f t="shared" si="4"/>
        <v>7</v>
      </c>
      <c r="B314" s="548">
        <v>45476</v>
      </c>
      <c r="C314" s="70">
        <v>6027</v>
      </c>
      <c r="D314" s="70" t="s">
        <v>118</v>
      </c>
      <c r="E314" s="280" t="s">
        <v>3145</v>
      </c>
      <c r="F314" s="1049">
        <v>11000</v>
      </c>
      <c r="G314" s="1049">
        <v>0</v>
      </c>
      <c r="H314" s="564"/>
      <c r="I314" s="609"/>
      <c r="J314" s="609"/>
      <c r="K314" s="609"/>
      <c r="L314" s="609"/>
      <c r="M314" s="609"/>
      <c r="N314" s="599"/>
      <c r="O314" s="552" t="s">
        <v>1584</v>
      </c>
      <c r="P314" s="603"/>
      <c r="Q314" s="869"/>
      <c r="R314" s="869"/>
      <c r="S314" s="869"/>
      <c r="T314" s="869"/>
      <c r="U314" s="869"/>
      <c r="V314" s="869"/>
      <c r="W314" s="869"/>
      <c r="X314" s="869"/>
    </row>
    <row r="315" spans="1:24">
      <c r="A315" s="1045">
        <f t="shared" si="4"/>
        <v>7</v>
      </c>
      <c r="B315" s="548">
        <v>45476</v>
      </c>
      <c r="C315" s="70">
        <v>2018</v>
      </c>
      <c r="D315" s="70" t="s">
        <v>58</v>
      </c>
      <c r="E315" s="280" t="s">
        <v>3146</v>
      </c>
      <c r="F315" s="1049">
        <v>550</v>
      </c>
      <c r="G315" s="1049">
        <v>0</v>
      </c>
      <c r="H315" s="564"/>
      <c r="I315" s="609"/>
      <c r="J315" s="609"/>
      <c r="K315" s="609"/>
      <c r="L315" s="609"/>
      <c r="M315" s="609"/>
      <c r="N315" s="599"/>
      <c r="O315" s="552" t="s">
        <v>1584</v>
      </c>
      <c r="P315" s="603"/>
      <c r="Q315" s="869"/>
      <c r="R315" s="869"/>
      <c r="S315" s="869"/>
      <c r="T315" s="869"/>
      <c r="U315" s="869"/>
      <c r="V315" s="869"/>
      <c r="W315" s="869"/>
      <c r="X315" s="869"/>
    </row>
    <row r="316" spans="1:24">
      <c r="A316" s="1045">
        <f t="shared" si="4"/>
        <v>7</v>
      </c>
      <c r="B316" s="548">
        <v>45476</v>
      </c>
      <c r="C316" s="70">
        <v>1022</v>
      </c>
      <c r="D316" s="70" t="s">
        <v>5119</v>
      </c>
      <c r="E316" s="280" t="s">
        <v>3147</v>
      </c>
      <c r="F316" s="1049">
        <v>0</v>
      </c>
      <c r="G316" s="1049">
        <v>11550</v>
      </c>
      <c r="H316" s="564"/>
      <c r="I316" s="609"/>
      <c r="J316" s="609"/>
      <c r="K316" s="609"/>
      <c r="L316" s="609"/>
      <c r="M316" s="609"/>
      <c r="N316" s="599"/>
      <c r="O316" s="552" t="s">
        <v>1584</v>
      </c>
      <c r="P316" s="603"/>
      <c r="Q316" s="869"/>
      <c r="R316" s="869"/>
      <c r="S316" s="869"/>
      <c r="T316" s="869"/>
      <c r="U316" s="869"/>
      <c r="V316" s="869"/>
      <c r="W316" s="869"/>
      <c r="X316" s="869"/>
    </row>
    <row r="317" spans="1:24">
      <c r="A317" s="1045">
        <f t="shared" si="4"/>
        <v>7</v>
      </c>
      <c r="B317" s="548">
        <v>45476</v>
      </c>
      <c r="C317" s="70">
        <v>6250</v>
      </c>
      <c r="D317" s="70" t="s">
        <v>129</v>
      </c>
      <c r="E317" s="280" t="s">
        <v>3148</v>
      </c>
      <c r="F317" s="1049">
        <v>200</v>
      </c>
      <c r="G317" s="1049">
        <v>0</v>
      </c>
      <c r="H317" s="564"/>
      <c r="I317" s="609"/>
      <c r="J317" s="609"/>
      <c r="K317" s="609"/>
      <c r="L317" s="609"/>
      <c r="M317" s="609"/>
      <c r="N317" s="599"/>
      <c r="O317" s="552" t="s">
        <v>1584</v>
      </c>
      <c r="P317" s="603"/>
      <c r="Q317" s="869"/>
      <c r="R317" s="869"/>
      <c r="S317" s="869"/>
      <c r="T317" s="869"/>
      <c r="U317" s="869"/>
      <c r="V317" s="869"/>
      <c r="W317" s="869"/>
      <c r="X317" s="869"/>
    </row>
    <row r="318" spans="1:24">
      <c r="A318" s="1045">
        <f t="shared" si="4"/>
        <v>7</v>
      </c>
      <c r="B318" s="548">
        <v>45476</v>
      </c>
      <c r="C318" s="70">
        <v>2018</v>
      </c>
      <c r="D318" s="70" t="s">
        <v>58</v>
      </c>
      <c r="E318" s="280" t="s">
        <v>3148</v>
      </c>
      <c r="F318" s="1049">
        <v>10</v>
      </c>
      <c r="G318" s="1049">
        <v>0</v>
      </c>
      <c r="H318" s="564"/>
      <c r="I318" s="609"/>
      <c r="J318" s="609"/>
      <c r="K318" s="609"/>
      <c r="L318" s="609"/>
      <c r="M318" s="609"/>
      <c r="N318" s="599"/>
      <c r="O318" s="552" t="s">
        <v>1584</v>
      </c>
      <c r="P318" s="603"/>
      <c r="Q318" s="869"/>
      <c r="R318" s="869"/>
      <c r="S318" s="869"/>
      <c r="T318" s="869"/>
      <c r="U318" s="869"/>
      <c r="V318" s="869"/>
      <c r="W318" s="869"/>
      <c r="X318" s="869"/>
    </row>
    <row r="319" spans="1:24">
      <c r="A319" s="1045">
        <f t="shared" si="4"/>
        <v>7</v>
      </c>
      <c r="B319" s="548">
        <v>45476</v>
      </c>
      <c r="C319" s="70">
        <v>1017</v>
      </c>
      <c r="D319" s="70" t="s">
        <v>5118</v>
      </c>
      <c r="E319" s="280" t="s">
        <v>3148</v>
      </c>
      <c r="F319" s="1049">
        <v>0</v>
      </c>
      <c r="G319" s="1049">
        <v>210</v>
      </c>
      <c r="H319" s="564"/>
      <c r="I319" s="609"/>
      <c r="J319" s="609"/>
      <c r="K319" s="609"/>
      <c r="L319" s="609"/>
      <c r="M319" s="609"/>
      <c r="N319" s="599"/>
      <c r="O319" s="552" t="s">
        <v>1584</v>
      </c>
      <c r="P319" s="603"/>
      <c r="Q319" s="869"/>
      <c r="R319" s="869"/>
      <c r="S319" s="869"/>
      <c r="T319" s="869"/>
      <c r="U319" s="869"/>
      <c r="V319" s="869"/>
      <c r="W319" s="869"/>
      <c r="X319" s="869"/>
    </row>
    <row r="320" spans="1:24">
      <c r="A320" s="1045">
        <f t="shared" si="4"/>
        <v>7</v>
      </c>
      <c r="B320" s="548">
        <v>45478</v>
      </c>
      <c r="C320" s="70">
        <v>6250</v>
      </c>
      <c r="D320" s="70" t="s">
        <v>129</v>
      </c>
      <c r="E320" s="280" t="s">
        <v>3149</v>
      </c>
      <c r="F320" s="1049">
        <v>4</v>
      </c>
      <c r="G320" s="1049">
        <v>0</v>
      </c>
      <c r="H320" s="564"/>
      <c r="I320" s="609"/>
      <c r="J320" s="609"/>
      <c r="K320" s="609"/>
      <c r="L320" s="609"/>
      <c r="M320" s="609"/>
      <c r="N320" s="599"/>
      <c r="O320" s="552" t="s">
        <v>1584</v>
      </c>
      <c r="P320" s="603"/>
      <c r="Q320" s="869"/>
      <c r="R320" s="869"/>
      <c r="S320" s="869"/>
      <c r="T320" s="869"/>
      <c r="U320" s="869"/>
      <c r="V320" s="869"/>
      <c r="W320" s="869"/>
      <c r="X320" s="869"/>
    </row>
    <row r="321" spans="1:24">
      <c r="A321" s="1045">
        <f t="shared" si="4"/>
        <v>7</v>
      </c>
      <c r="B321" s="548">
        <v>45478</v>
      </c>
      <c r="C321" s="70">
        <v>1017</v>
      </c>
      <c r="D321" s="70" t="s">
        <v>5118</v>
      </c>
      <c r="E321" s="280" t="s">
        <v>3149</v>
      </c>
      <c r="F321" s="1049">
        <v>0</v>
      </c>
      <c r="G321" s="1049">
        <v>4</v>
      </c>
      <c r="H321" s="564"/>
      <c r="I321" s="609"/>
      <c r="J321" s="609"/>
      <c r="K321" s="609"/>
      <c r="L321" s="609"/>
      <c r="M321" s="609"/>
      <c r="N321" s="599"/>
      <c r="O321" s="552" t="s">
        <v>1584</v>
      </c>
      <c r="P321" s="603"/>
      <c r="Q321" s="869"/>
      <c r="R321" s="869"/>
      <c r="S321" s="869"/>
      <c r="T321" s="869"/>
      <c r="U321" s="869"/>
      <c r="V321" s="869"/>
      <c r="W321" s="869"/>
      <c r="X321" s="869"/>
    </row>
    <row r="322" spans="1:24">
      <c r="A322" s="1045">
        <f t="shared" si="4"/>
        <v>7</v>
      </c>
      <c r="B322" s="548">
        <v>45479</v>
      </c>
      <c r="C322" s="70">
        <v>6250</v>
      </c>
      <c r="D322" s="70" t="s">
        <v>129</v>
      </c>
      <c r="E322" s="280" t="s">
        <v>3150</v>
      </c>
      <c r="F322" s="1049">
        <v>65.709999999999994</v>
      </c>
      <c r="G322" s="1049">
        <v>0</v>
      </c>
      <c r="H322" s="564"/>
      <c r="I322" s="609"/>
      <c r="J322" s="609"/>
      <c r="K322" s="609"/>
      <c r="L322" s="609"/>
      <c r="M322" s="609"/>
      <c r="N322" s="599"/>
      <c r="O322" s="552" t="s">
        <v>1584</v>
      </c>
      <c r="P322" s="603"/>
      <c r="Q322" s="869"/>
      <c r="R322" s="869"/>
      <c r="S322" s="869"/>
      <c r="T322" s="869"/>
      <c r="U322" s="869"/>
      <c r="V322" s="869"/>
      <c r="W322" s="869"/>
      <c r="X322" s="869"/>
    </row>
    <row r="323" spans="1:24">
      <c r="A323" s="1045">
        <f t="shared" si="4"/>
        <v>7</v>
      </c>
      <c r="B323" s="548">
        <v>45479</v>
      </c>
      <c r="C323" s="70">
        <v>2018</v>
      </c>
      <c r="D323" s="70" t="s">
        <v>58</v>
      </c>
      <c r="E323" s="280" t="s">
        <v>3150</v>
      </c>
      <c r="F323" s="1049">
        <v>3.29</v>
      </c>
      <c r="G323" s="1049">
        <v>0</v>
      </c>
      <c r="H323" s="564"/>
      <c r="I323" s="609"/>
      <c r="J323" s="609"/>
      <c r="K323" s="609"/>
      <c r="L323" s="609"/>
      <c r="M323" s="609"/>
      <c r="N323" s="599"/>
      <c r="O323" s="552" t="s">
        <v>1584</v>
      </c>
      <c r="P323" s="603"/>
      <c r="Q323" s="869"/>
      <c r="R323" s="869"/>
      <c r="S323" s="869"/>
      <c r="T323" s="869"/>
      <c r="U323" s="869"/>
      <c r="V323" s="869"/>
      <c r="W323" s="869"/>
      <c r="X323" s="869"/>
    </row>
    <row r="324" spans="1:24">
      <c r="A324" s="1045">
        <f t="shared" si="4"/>
        <v>7</v>
      </c>
      <c r="B324" s="548">
        <v>45479</v>
      </c>
      <c r="C324" s="70">
        <v>1017</v>
      </c>
      <c r="D324" s="70" t="s">
        <v>5118</v>
      </c>
      <c r="E324" s="280" t="s">
        <v>3150</v>
      </c>
      <c r="F324" s="1049">
        <v>0</v>
      </c>
      <c r="G324" s="1049">
        <v>69</v>
      </c>
      <c r="H324" s="564"/>
      <c r="I324" s="609"/>
      <c r="J324" s="609"/>
      <c r="K324" s="609"/>
      <c r="L324" s="609"/>
      <c r="M324" s="609"/>
      <c r="N324" s="599"/>
      <c r="O324" s="552" t="s">
        <v>1584</v>
      </c>
      <c r="P324" s="603"/>
      <c r="Q324" s="869"/>
      <c r="R324" s="869"/>
      <c r="S324" s="869"/>
      <c r="T324" s="869"/>
      <c r="U324" s="869"/>
      <c r="V324" s="869"/>
      <c r="W324" s="869"/>
      <c r="X324" s="869"/>
    </row>
    <row r="325" spans="1:24">
      <c r="A325" s="1045">
        <f t="shared" si="4"/>
        <v>7</v>
      </c>
      <c r="B325" s="548">
        <v>45479</v>
      </c>
      <c r="C325" s="70">
        <v>6250</v>
      </c>
      <c r="D325" s="70" t="s">
        <v>129</v>
      </c>
      <c r="E325" s="280" t="s">
        <v>3150</v>
      </c>
      <c r="F325" s="1049">
        <v>21.43</v>
      </c>
      <c r="G325" s="1049">
        <v>0</v>
      </c>
      <c r="H325" s="564"/>
      <c r="I325" s="609"/>
      <c r="J325" s="609"/>
      <c r="K325" s="609"/>
      <c r="L325" s="609"/>
      <c r="M325" s="609"/>
      <c r="N325" s="599"/>
      <c r="O325" s="552" t="s">
        <v>1584</v>
      </c>
      <c r="P325" s="603"/>
      <c r="Q325" s="869"/>
      <c r="R325" s="869"/>
      <c r="S325" s="869"/>
      <c r="T325" s="869"/>
      <c r="U325" s="869"/>
      <c r="V325" s="869"/>
      <c r="W325" s="869"/>
      <c r="X325" s="869"/>
    </row>
    <row r="326" spans="1:24">
      <c r="A326" s="1045">
        <f t="shared" si="4"/>
        <v>7</v>
      </c>
      <c r="B326" s="548">
        <v>45479</v>
      </c>
      <c r="C326" s="70">
        <v>2018</v>
      </c>
      <c r="D326" s="70" t="s">
        <v>58</v>
      </c>
      <c r="E326" s="280" t="s">
        <v>3150</v>
      </c>
      <c r="F326" s="1049">
        <v>1.07</v>
      </c>
      <c r="G326" s="1049">
        <v>0</v>
      </c>
      <c r="H326" s="564"/>
      <c r="I326" s="609"/>
      <c r="J326" s="609"/>
      <c r="K326" s="609"/>
      <c r="L326" s="609"/>
      <c r="M326" s="609"/>
      <c r="N326" s="599"/>
      <c r="O326" s="552" t="s">
        <v>1584</v>
      </c>
      <c r="P326" s="603"/>
      <c r="Q326" s="869"/>
      <c r="R326" s="869"/>
      <c r="S326" s="869"/>
      <c r="T326" s="869"/>
      <c r="U326" s="869"/>
      <c r="V326" s="869"/>
      <c r="W326" s="869"/>
      <c r="X326" s="869"/>
    </row>
    <row r="327" spans="1:24">
      <c r="A327" s="1045">
        <f t="shared" si="4"/>
        <v>7</v>
      </c>
      <c r="B327" s="548">
        <v>45479</v>
      </c>
      <c r="C327" s="70">
        <v>1017</v>
      </c>
      <c r="D327" s="70" t="s">
        <v>5118</v>
      </c>
      <c r="E327" s="280" t="s">
        <v>3150</v>
      </c>
      <c r="F327" s="1049">
        <v>0</v>
      </c>
      <c r="G327" s="1049">
        <v>22.5</v>
      </c>
      <c r="H327" s="564"/>
      <c r="I327" s="609"/>
      <c r="J327" s="609"/>
      <c r="K327" s="609"/>
      <c r="L327" s="609"/>
      <c r="M327" s="609"/>
      <c r="N327" s="599"/>
      <c r="O327" s="552" t="s">
        <v>1584</v>
      </c>
      <c r="P327" s="603"/>
      <c r="Q327" s="869"/>
      <c r="R327" s="869"/>
      <c r="S327" s="869"/>
      <c r="T327" s="869"/>
      <c r="U327" s="869"/>
      <c r="V327" s="869"/>
      <c r="W327" s="869"/>
      <c r="X327" s="869"/>
    </row>
    <row r="328" spans="1:24">
      <c r="A328" s="1045">
        <f t="shared" si="4"/>
        <v>7</v>
      </c>
      <c r="B328" s="548">
        <v>45479</v>
      </c>
      <c r="C328" s="70">
        <v>6250</v>
      </c>
      <c r="D328" s="70" t="s">
        <v>129</v>
      </c>
      <c r="E328" s="280" t="s">
        <v>3151</v>
      </c>
      <c r="F328" s="1049">
        <v>7.5</v>
      </c>
      <c r="G328" s="1049">
        <v>0</v>
      </c>
      <c r="H328" s="564"/>
      <c r="I328" s="609"/>
      <c r="J328" s="609"/>
      <c r="K328" s="609"/>
      <c r="L328" s="609"/>
      <c r="M328" s="609"/>
      <c r="N328" s="599"/>
      <c r="O328" s="552" t="s">
        <v>1584</v>
      </c>
      <c r="P328" s="603"/>
      <c r="Q328" s="869"/>
      <c r="R328" s="869"/>
      <c r="S328" s="869"/>
      <c r="T328" s="869"/>
      <c r="U328" s="869"/>
      <c r="V328" s="869"/>
      <c r="W328" s="869"/>
      <c r="X328" s="869"/>
    </row>
    <row r="329" spans="1:24">
      <c r="A329" s="1045">
        <f t="shared" si="4"/>
        <v>7</v>
      </c>
      <c r="B329" s="548">
        <v>45479</v>
      </c>
      <c r="C329" s="70">
        <v>2018</v>
      </c>
      <c r="D329" s="70" t="s">
        <v>58</v>
      </c>
      <c r="E329" s="280" t="s">
        <v>3151</v>
      </c>
      <c r="F329" s="1049">
        <v>0.38</v>
      </c>
      <c r="G329" s="1049">
        <v>0</v>
      </c>
      <c r="H329" s="564"/>
      <c r="I329" s="609"/>
      <c r="J329" s="609"/>
      <c r="K329" s="609"/>
      <c r="L329" s="609"/>
      <c r="M329" s="609"/>
      <c r="N329" s="599"/>
      <c r="O329" s="552" t="s">
        <v>1584</v>
      </c>
      <c r="P329" s="603"/>
      <c r="Q329" s="869"/>
      <c r="R329" s="869"/>
      <c r="S329" s="869"/>
      <c r="T329" s="869"/>
      <c r="U329" s="869"/>
      <c r="V329" s="869"/>
      <c r="W329" s="869"/>
      <c r="X329" s="869"/>
    </row>
    <row r="330" spans="1:24">
      <c r="A330" s="1045">
        <f t="shared" si="4"/>
        <v>7</v>
      </c>
      <c r="B330" s="548">
        <v>45479</v>
      </c>
      <c r="C330" s="70">
        <v>1017</v>
      </c>
      <c r="D330" s="70" t="s">
        <v>5118</v>
      </c>
      <c r="E330" s="280" t="s">
        <v>3151</v>
      </c>
      <c r="F330" s="1049">
        <v>0</v>
      </c>
      <c r="G330" s="1049">
        <v>7.88</v>
      </c>
      <c r="H330" s="564"/>
      <c r="I330" s="609"/>
      <c r="J330" s="609"/>
      <c r="K330" s="609"/>
      <c r="L330" s="609"/>
      <c r="M330" s="609"/>
      <c r="N330" s="599"/>
      <c r="O330" s="552" t="s">
        <v>1584</v>
      </c>
      <c r="P330" s="603"/>
      <c r="Q330" s="869"/>
      <c r="R330" s="869"/>
      <c r="S330" s="869"/>
      <c r="T330" s="869"/>
      <c r="U330" s="869"/>
      <c r="V330" s="869"/>
      <c r="W330" s="869"/>
      <c r="X330" s="869"/>
    </row>
    <row r="331" spans="1:24">
      <c r="A331" s="1045">
        <f t="shared" ref="A331:A394" si="5">IF(B331="","",MONTH(B331))</f>
        <v>7</v>
      </c>
      <c r="B331" s="548">
        <v>45479</v>
      </c>
      <c r="C331" s="70">
        <v>6250</v>
      </c>
      <c r="D331" s="70" t="s">
        <v>129</v>
      </c>
      <c r="E331" s="280" t="s">
        <v>3150</v>
      </c>
      <c r="F331" s="1049">
        <v>19.05</v>
      </c>
      <c r="G331" s="1049">
        <v>0</v>
      </c>
      <c r="H331" s="564"/>
      <c r="I331" s="609"/>
      <c r="J331" s="609"/>
      <c r="K331" s="609"/>
      <c r="L331" s="609"/>
      <c r="M331" s="609"/>
      <c r="N331" s="599"/>
      <c r="O331" s="552" t="s">
        <v>1584</v>
      </c>
      <c r="P331" s="603"/>
      <c r="Q331" s="869"/>
      <c r="R331" s="869"/>
      <c r="S331" s="869"/>
      <c r="T331" s="869"/>
      <c r="U331" s="869"/>
      <c r="V331" s="869"/>
      <c r="W331" s="869"/>
      <c r="X331" s="869"/>
    </row>
    <row r="332" spans="1:24">
      <c r="A332" s="1045">
        <f t="shared" si="5"/>
        <v>7</v>
      </c>
      <c r="B332" s="548">
        <v>45479</v>
      </c>
      <c r="C332" s="70">
        <v>2018</v>
      </c>
      <c r="D332" s="70" t="s">
        <v>58</v>
      </c>
      <c r="E332" s="280" t="s">
        <v>3150</v>
      </c>
      <c r="F332" s="1049">
        <v>0.95</v>
      </c>
      <c r="G332" s="1049">
        <v>0</v>
      </c>
      <c r="H332" s="564"/>
      <c r="I332" s="609"/>
      <c r="J332" s="609"/>
      <c r="K332" s="609"/>
      <c r="L332" s="609"/>
      <c r="M332" s="609"/>
      <c r="N332" s="599"/>
      <c r="O332" s="552" t="s">
        <v>1584</v>
      </c>
      <c r="P332" s="603"/>
      <c r="Q332" s="869"/>
      <c r="R332" s="869"/>
      <c r="S332" s="869"/>
      <c r="T332" s="869"/>
      <c r="U332" s="869"/>
      <c r="V332" s="869"/>
      <c r="W332" s="869"/>
      <c r="X332" s="869"/>
    </row>
    <row r="333" spans="1:24">
      <c r="A333" s="1045">
        <f t="shared" si="5"/>
        <v>7</v>
      </c>
      <c r="B333" s="548">
        <v>45479</v>
      </c>
      <c r="C333" s="70">
        <v>1017</v>
      </c>
      <c r="D333" s="70" t="s">
        <v>5118</v>
      </c>
      <c r="E333" s="280" t="s">
        <v>3150</v>
      </c>
      <c r="F333" s="1049">
        <v>0</v>
      </c>
      <c r="G333" s="1049">
        <v>20</v>
      </c>
      <c r="H333" s="564"/>
      <c r="I333" s="609"/>
      <c r="J333" s="609"/>
      <c r="K333" s="609"/>
      <c r="L333" s="609"/>
      <c r="M333" s="609"/>
      <c r="N333" s="599"/>
      <c r="O333" s="552" t="s">
        <v>1584</v>
      </c>
      <c r="P333" s="603"/>
      <c r="Q333" s="869"/>
      <c r="R333" s="869"/>
      <c r="S333" s="869"/>
      <c r="T333" s="869"/>
      <c r="U333" s="869"/>
      <c r="V333" s="869"/>
      <c r="W333" s="869"/>
      <c r="X333" s="869"/>
    </row>
    <row r="334" spans="1:24">
      <c r="A334" s="1045">
        <f t="shared" si="5"/>
        <v>7</v>
      </c>
      <c r="B334" s="548">
        <v>45480</v>
      </c>
      <c r="C334" s="70">
        <v>6004</v>
      </c>
      <c r="D334" s="70" t="s">
        <v>95</v>
      </c>
      <c r="E334" s="280" t="s">
        <v>3152</v>
      </c>
      <c r="F334" s="1049">
        <v>941</v>
      </c>
      <c r="G334" s="1049">
        <v>0</v>
      </c>
      <c r="H334" s="564"/>
      <c r="I334" s="609"/>
      <c r="J334" s="609"/>
      <c r="K334" s="609"/>
      <c r="L334" s="609"/>
      <c r="M334" s="609"/>
      <c r="N334" s="599"/>
      <c r="O334" s="552" t="s">
        <v>1584</v>
      </c>
      <c r="P334" s="603"/>
      <c r="Q334" s="869"/>
      <c r="R334" s="869"/>
      <c r="S334" s="869"/>
      <c r="T334" s="869"/>
      <c r="U334" s="869"/>
      <c r="V334" s="869"/>
      <c r="W334" s="869"/>
      <c r="X334" s="869"/>
    </row>
    <row r="335" spans="1:24">
      <c r="A335" s="1045">
        <f t="shared" si="5"/>
        <v>7</v>
      </c>
      <c r="B335" s="548">
        <v>45480</v>
      </c>
      <c r="C335" s="70">
        <v>2018</v>
      </c>
      <c r="D335" s="70" t="s">
        <v>58</v>
      </c>
      <c r="E335" s="280" t="s">
        <v>3152</v>
      </c>
      <c r="F335" s="1049">
        <v>45.24</v>
      </c>
      <c r="G335" s="1049">
        <v>0</v>
      </c>
      <c r="H335" s="564"/>
      <c r="I335" s="609"/>
      <c r="J335" s="609"/>
      <c r="K335" s="609"/>
      <c r="L335" s="609"/>
      <c r="M335" s="609"/>
      <c r="N335" s="599"/>
      <c r="O335" s="552" t="s">
        <v>1584</v>
      </c>
      <c r="P335" s="603"/>
      <c r="Q335" s="869"/>
      <c r="R335" s="869"/>
      <c r="S335" s="869"/>
      <c r="T335" s="869"/>
      <c r="U335" s="869"/>
      <c r="V335" s="869"/>
      <c r="W335" s="869"/>
      <c r="X335" s="869"/>
    </row>
    <row r="336" spans="1:24">
      <c r="A336" s="1045">
        <f t="shared" si="5"/>
        <v>7</v>
      </c>
      <c r="B336" s="548">
        <v>45480</v>
      </c>
      <c r="C336" s="70">
        <v>1025</v>
      </c>
      <c r="D336" s="70" t="s">
        <v>5120</v>
      </c>
      <c r="E336" s="280" t="s">
        <v>3152</v>
      </c>
      <c r="F336" s="1049">
        <v>0</v>
      </c>
      <c r="G336" s="1049">
        <v>986.24</v>
      </c>
      <c r="H336" s="564"/>
      <c r="I336" s="609"/>
      <c r="J336" s="609"/>
      <c r="K336" s="609"/>
      <c r="L336" s="609"/>
      <c r="M336" s="609"/>
      <c r="N336" s="599"/>
      <c r="O336" s="552" t="s">
        <v>1584</v>
      </c>
      <c r="P336" s="603"/>
      <c r="Q336" s="869"/>
      <c r="R336" s="869"/>
      <c r="S336" s="869"/>
      <c r="T336" s="869"/>
      <c r="U336" s="869"/>
      <c r="V336" s="869"/>
      <c r="W336" s="869"/>
      <c r="X336" s="869"/>
    </row>
    <row r="337" spans="1:24">
      <c r="A337" s="1045">
        <f t="shared" si="5"/>
        <v>7</v>
      </c>
      <c r="B337" s="548">
        <v>45480</v>
      </c>
      <c r="C337" s="70">
        <v>6004</v>
      </c>
      <c r="D337" s="70" t="s">
        <v>95</v>
      </c>
      <c r="E337" s="280" t="s">
        <v>3153</v>
      </c>
      <c r="F337" s="1049">
        <v>849</v>
      </c>
      <c r="G337" s="1049">
        <v>0</v>
      </c>
      <c r="H337" s="564"/>
      <c r="I337" s="609"/>
      <c r="J337" s="609"/>
      <c r="K337" s="609"/>
      <c r="L337" s="609"/>
      <c r="M337" s="609"/>
      <c r="N337" s="599"/>
      <c r="O337" s="552" t="s">
        <v>1584</v>
      </c>
      <c r="P337" s="603"/>
      <c r="Q337" s="869"/>
      <c r="R337" s="869"/>
      <c r="S337" s="869"/>
      <c r="T337" s="869"/>
      <c r="U337" s="869"/>
      <c r="V337" s="869"/>
      <c r="W337" s="869"/>
      <c r="X337" s="869"/>
    </row>
    <row r="338" spans="1:24">
      <c r="A338" s="1045">
        <f t="shared" si="5"/>
        <v>7</v>
      </c>
      <c r="B338" s="548">
        <v>45480</v>
      </c>
      <c r="C338" s="70">
        <v>2018</v>
      </c>
      <c r="D338" s="70" t="s">
        <v>58</v>
      </c>
      <c r="E338" s="280" t="s">
        <v>3153</v>
      </c>
      <c r="F338" s="1049">
        <v>41.38</v>
      </c>
      <c r="G338" s="1049">
        <v>0</v>
      </c>
      <c r="H338" s="564"/>
      <c r="I338" s="609"/>
      <c r="J338" s="609"/>
      <c r="K338" s="609"/>
      <c r="L338" s="609"/>
      <c r="M338" s="609"/>
      <c r="N338" s="599"/>
      <c r="O338" s="552" t="s">
        <v>1584</v>
      </c>
      <c r="P338" s="603"/>
      <c r="Q338" s="869"/>
      <c r="R338" s="869"/>
      <c r="S338" s="869"/>
      <c r="T338" s="869"/>
      <c r="U338" s="869"/>
      <c r="V338" s="869"/>
      <c r="W338" s="869"/>
      <c r="X338" s="869"/>
    </row>
    <row r="339" spans="1:24">
      <c r="A339" s="1045">
        <f t="shared" si="5"/>
        <v>7</v>
      </c>
      <c r="B339" s="548">
        <v>45480</v>
      </c>
      <c r="C339" s="70">
        <v>1025</v>
      </c>
      <c r="D339" s="70" t="s">
        <v>5120</v>
      </c>
      <c r="E339" s="280" t="s">
        <v>3153</v>
      </c>
      <c r="F339" s="1049">
        <v>0</v>
      </c>
      <c r="G339" s="1049">
        <v>890.38</v>
      </c>
      <c r="H339" s="564"/>
      <c r="I339" s="609"/>
      <c r="J339" s="609"/>
      <c r="K339" s="609"/>
      <c r="L339" s="609"/>
      <c r="M339" s="609"/>
      <c r="N339" s="599"/>
      <c r="O339" s="552" t="s">
        <v>1584</v>
      </c>
      <c r="P339" s="603"/>
      <c r="Q339" s="869"/>
      <c r="R339" s="869"/>
      <c r="S339" s="869"/>
      <c r="T339" s="869"/>
      <c r="U339" s="869"/>
      <c r="V339" s="869"/>
      <c r="W339" s="869"/>
      <c r="X339" s="869"/>
    </row>
    <row r="340" spans="1:24">
      <c r="A340" s="1045">
        <f t="shared" si="5"/>
        <v>7</v>
      </c>
      <c r="B340" s="548">
        <v>45480</v>
      </c>
      <c r="C340" s="70">
        <v>6003</v>
      </c>
      <c r="D340" s="70" t="s">
        <v>94</v>
      </c>
      <c r="E340" s="280" t="s">
        <v>3154</v>
      </c>
      <c r="F340" s="1049">
        <v>266.14</v>
      </c>
      <c r="G340" s="1049">
        <v>0</v>
      </c>
      <c r="H340" s="564"/>
      <c r="I340" s="609"/>
      <c r="J340" s="609"/>
      <c r="K340" s="609"/>
      <c r="L340" s="609"/>
      <c r="M340" s="609"/>
      <c r="N340" s="599"/>
      <c r="O340" s="552" t="s">
        <v>1584</v>
      </c>
      <c r="P340" s="603"/>
      <c r="Q340" s="869"/>
      <c r="R340" s="869"/>
      <c r="S340" s="869"/>
      <c r="T340" s="869"/>
      <c r="U340" s="869"/>
      <c r="V340" s="869"/>
      <c r="W340" s="869"/>
      <c r="X340" s="869"/>
    </row>
    <row r="341" spans="1:24">
      <c r="A341" s="1045">
        <f t="shared" si="5"/>
        <v>7</v>
      </c>
      <c r="B341" s="548">
        <v>45480</v>
      </c>
      <c r="C341" s="70">
        <v>2018</v>
      </c>
      <c r="D341" s="70" t="s">
        <v>58</v>
      </c>
      <c r="E341" s="280" t="s">
        <v>3155</v>
      </c>
      <c r="F341" s="1049">
        <v>12.98</v>
      </c>
      <c r="G341" s="1049">
        <v>0</v>
      </c>
      <c r="H341" s="564"/>
      <c r="I341" s="609"/>
      <c r="J341" s="609"/>
      <c r="K341" s="609"/>
      <c r="L341" s="609"/>
      <c r="M341" s="609"/>
      <c r="N341" s="599"/>
      <c r="O341" s="552" t="s">
        <v>1584</v>
      </c>
      <c r="P341" s="603"/>
      <c r="Q341" s="869"/>
      <c r="R341" s="869"/>
      <c r="S341" s="869"/>
      <c r="T341" s="869"/>
      <c r="U341" s="869"/>
      <c r="V341" s="869"/>
      <c r="W341" s="869"/>
      <c r="X341" s="869"/>
    </row>
    <row r="342" spans="1:24">
      <c r="A342" s="1045">
        <f t="shared" si="5"/>
        <v>7</v>
      </c>
      <c r="B342" s="548">
        <v>45480</v>
      </c>
      <c r="C342" s="70">
        <v>1025</v>
      </c>
      <c r="D342" s="70" t="s">
        <v>5120</v>
      </c>
      <c r="E342" s="280" t="s">
        <v>3155</v>
      </c>
      <c r="F342" s="1049">
        <v>0</v>
      </c>
      <c r="G342" s="1049">
        <v>279.12</v>
      </c>
      <c r="H342" s="564"/>
      <c r="I342" s="609"/>
      <c r="J342" s="609"/>
      <c r="K342" s="609"/>
      <c r="L342" s="609"/>
      <c r="M342" s="609"/>
      <c r="N342" s="599"/>
      <c r="O342" s="552" t="s">
        <v>1584</v>
      </c>
      <c r="P342" s="603"/>
      <c r="Q342" s="869"/>
      <c r="R342" s="869"/>
      <c r="S342" s="869"/>
      <c r="T342" s="869"/>
      <c r="U342" s="869"/>
      <c r="V342" s="869"/>
      <c r="W342" s="869"/>
      <c r="X342" s="869"/>
    </row>
    <row r="343" spans="1:24">
      <c r="A343" s="1045">
        <f t="shared" si="5"/>
        <v>7</v>
      </c>
      <c r="B343" s="548">
        <v>45480</v>
      </c>
      <c r="C343" s="70">
        <v>6001</v>
      </c>
      <c r="D343" s="70" t="s">
        <v>92</v>
      </c>
      <c r="E343" s="280" t="s">
        <v>3156</v>
      </c>
      <c r="F343" s="1049">
        <v>10</v>
      </c>
      <c r="G343" s="1049">
        <v>0</v>
      </c>
      <c r="H343" s="564"/>
      <c r="I343" s="609"/>
      <c r="J343" s="609"/>
      <c r="K343" s="609"/>
      <c r="L343" s="609"/>
      <c r="M343" s="609"/>
      <c r="N343" s="599"/>
      <c r="O343" s="552" t="s">
        <v>1584</v>
      </c>
      <c r="P343" s="603"/>
      <c r="Q343" s="869"/>
      <c r="R343" s="869"/>
      <c r="S343" s="869"/>
      <c r="T343" s="869"/>
      <c r="U343" s="869"/>
      <c r="V343" s="869"/>
      <c r="W343" s="869"/>
      <c r="X343" s="869"/>
    </row>
    <row r="344" spans="1:24">
      <c r="A344" s="1045">
        <f t="shared" si="5"/>
        <v>7</v>
      </c>
      <c r="B344" s="548">
        <v>45480</v>
      </c>
      <c r="C344" s="70">
        <v>2018</v>
      </c>
      <c r="D344" s="70" t="s">
        <v>58</v>
      </c>
      <c r="E344" s="280" t="s">
        <v>3156</v>
      </c>
      <c r="F344" s="1049">
        <v>0.48</v>
      </c>
      <c r="G344" s="1049">
        <v>0</v>
      </c>
      <c r="H344" s="564"/>
      <c r="I344" s="609"/>
      <c r="J344" s="609"/>
      <c r="K344" s="609"/>
      <c r="L344" s="609"/>
      <c r="M344" s="609"/>
      <c r="N344" s="599"/>
      <c r="O344" s="552" t="s">
        <v>1584</v>
      </c>
      <c r="P344" s="603"/>
      <c r="Q344" s="869"/>
      <c r="R344" s="869"/>
      <c r="S344" s="869"/>
      <c r="T344" s="869"/>
      <c r="U344" s="869"/>
      <c r="V344" s="869"/>
      <c r="W344" s="869"/>
      <c r="X344" s="869"/>
    </row>
    <row r="345" spans="1:24">
      <c r="A345" s="1045">
        <f t="shared" si="5"/>
        <v>7</v>
      </c>
      <c r="B345" s="548">
        <v>45480</v>
      </c>
      <c r="C345" s="70">
        <v>1017</v>
      </c>
      <c r="D345" s="70" t="s">
        <v>5118</v>
      </c>
      <c r="E345" s="280" t="s">
        <v>3156</v>
      </c>
      <c r="F345" s="1049">
        <v>0</v>
      </c>
      <c r="G345" s="1049">
        <v>10.48</v>
      </c>
      <c r="H345" s="564"/>
      <c r="I345" s="609"/>
      <c r="J345" s="609"/>
      <c r="K345" s="609"/>
      <c r="L345" s="609"/>
      <c r="M345" s="609"/>
      <c r="N345" s="599"/>
      <c r="O345" s="552" t="s">
        <v>1584</v>
      </c>
      <c r="P345" s="603"/>
      <c r="Q345" s="869"/>
      <c r="R345" s="869"/>
      <c r="S345" s="869"/>
      <c r="T345" s="869"/>
      <c r="U345" s="869"/>
      <c r="V345" s="869"/>
      <c r="W345" s="869"/>
      <c r="X345" s="869"/>
    </row>
    <row r="346" spans="1:24">
      <c r="A346" s="1045">
        <f t="shared" si="5"/>
        <v>7</v>
      </c>
      <c r="B346" s="548">
        <v>45482</v>
      </c>
      <c r="C346" s="70">
        <v>6250</v>
      </c>
      <c r="D346" s="70" t="s">
        <v>129</v>
      </c>
      <c r="E346" s="280" t="s">
        <v>3157</v>
      </c>
      <c r="F346" s="1049">
        <v>165.57</v>
      </c>
      <c r="G346" s="1049">
        <v>0</v>
      </c>
      <c r="H346" s="564"/>
      <c r="I346" s="609"/>
      <c r="J346" s="609"/>
      <c r="K346" s="609"/>
      <c r="L346" s="609"/>
      <c r="M346" s="609"/>
      <c r="N346" s="599"/>
      <c r="O346" s="552" t="s">
        <v>1584</v>
      </c>
      <c r="P346" s="603"/>
      <c r="Q346" s="869"/>
      <c r="R346" s="869"/>
      <c r="S346" s="869"/>
      <c r="T346" s="869"/>
      <c r="U346" s="869"/>
      <c r="V346" s="869"/>
      <c r="W346" s="869"/>
      <c r="X346" s="869"/>
    </row>
    <row r="347" spans="1:24">
      <c r="A347" s="1045">
        <f t="shared" si="5"/>
        <v>7</v>
      </c>
      <c r="B347" s="548">
        <v>45482</v>
      </c>
      <c r="C347" s="70">
        <v>2018</v>
      </c>
      <c r="D347" s="70" t="s">
        <v>58</v>
      </c>
      <c r="E347" s="280" t="s">
        <v>3157</v>
      </c>
      <c r="F347" s="1049">
        <v>8.2799999999999994</v>
      </c>
      <c r="G347" s="1049">
        <v>0</v>
      </c>
      <c r="H347" s="564"/>
      <c r="I347" s="609"/>
      <c r="J347" s="609"/>
      <c r="K347" s="609"/>
      <c r="L347" s="609"/>
      <c r="M347" s="609"/>
      <c r="N347" s="599"/>
      <c r="O347" s="552" t="s">
        <v>1584</v>
      </c>
      <c r="P347" s="603"/>
      <c r="Q347" s="869"/>
      <c r="R347" s="869"/>
      <c r="S347" s="869"/>
      <c r="T347" s="869"/>
      <c r="U347" s="869"/>
      <c r="V347" s="869"/>
      <c r="W347" s="869"/>
      <c r="X347" s="869"/>
    </row>
    <row r="348" spans="1:24">
      <c r="A348" s="1045">
        <f t="shared" si="5"/>
        <v>7</v>
      </c>
      <c r="B348" s="548">
        <v>45482</v>
      </c>
      <c r="C348" s="70">
        <v>1025</v>
      </c>
      <c r="D348" s="70" t="s">
        <v>5120</v>
      </c>
      <c r="E348" s="280" t="s">
        <v>3157</v>
      </c>
      <c r="F348" s="1049">
        <v>0</v>
      </c>
      <c r="G348" s="1049">
        <v>173.85</v>
      </c>
      <c r="H348" s="564"/>
      <c r="I348" s="609"/>
      <c r="J348" s="609"/>
      <c r="K348" s="609"/>
      <c r="L348" s="609"/>
      <c r="M348" s="609"/>
      <c r="N348" s="599"/>
      <c r="O348" s="552" t="s">
        <v>1584</v>
      </c>
      <c r="P348" s="603"/>
      <c r="Q348" s="869"/>
      <c r="R348" s="869"/>
      <c r="S348" s="869"/>
      <c r="T348" s="869"/>
      <c r="U348" s="869"/>
      <c r="V348" s="869"/>
      <c r="W348" s="869"/>
      <c r="X348" s="869"/>
    </row>
    <row r="349" spans="1:24">
      <c r="A349" s="1045">
        <f t="shared" si="5"/>
        <v>7</v>
      </c>
      <c r="B349" s="548">
        <v>45483</v>
      </c>
      <c r="C349" s="70">
        <v>6013</v>
      </c>
      <c r="D349" s="70" t="s">
        <v>104</v>
      </c>
      <c r="E349" s="280" t="s">
        <v>3158</v>
      </c>
      <c r="F349" s="1049">
        <v>440</v>
      </c>
      <c r="G349" s="1049">
        <v>0</v>
      </c>
      <c r="H349" s="564"/>
      <c r="I349" s="609"/>
      <c r="J349" s="609"/>
      <c r="K349" s="609"/>
      <c r="L349" s="609"/>
      <c r="M349" s="609"/>
      <c r="N349" s="599"/>
      <c r="O349" s="552" t="s">
        <v>1584</v>
      </c>
      <c r="P349" s="603"/>
      <c r="Q349" s="869"/>
      <c r="R349" s="869"/>
      <c r="S349" s="869"/>
      <c r="T349" s="869"/>
      <c r="U349" s="869"/>
      <c r="V349" s="869"/>
      <c r="W349" s="869"/>
      <c r="X349" s="869"/>
    </row>
    <row r="350" spans="1:24">
      <c r="A350" s="1045">
        <f t="shared" si="5"/>
        <v>7</v>
      </c>
      <c r="B350" s="548">
        <v>45483</v>
      </c>
      <c r="C350" s="70">
        <v>2018</v>
      </c>
      <c r="D350" s="70" t="s">
        <v>58</v>
      </c>
      <c r="E350" s="280" t="s">
        <v>3158</v>
      </c>
      <c r="F350" s="1049">
        <v>3.5</v>
      </c>
      <c r="G350" s="1049">
        <v>0</v>
      </c>
      <c r="H350" s="564"/>
      <c r="I350" s="609"/>
      <c r="J350" s="609"/>
      <c r="K350" s="609"/>
      <c r="L350" s="609"/>
      <c r="M350" s="609"/>
      <c r="N350" s="599"/>
      <c r="O350" s="552" t="s">
        <v>1584</v>
      </c>
      <c r="P350" s="603"/>
      <c r="Q350" s="869"/>
      <c r="R350" s="869"/>
      <c r="S350" s="869"/>
      <c r="T350" s="869"/>
      <c r="U350" s="869"/>
      <c r="V350" s="869"/>
      <c r="W350" s="869"/>
      <c r="X350" s="869"/>
    </row>
    <row r="351" spans="1:24">
      <c r="A351" s="1045">
        <f t="shared" si="5"/>
        <v>7</v>
      </c>
      <c r="B351" s="548">
        <v>45483</v>
      </c>
      <c r="C351" s="70">
        <v>1018</v>
      </c>
      <c r="D351" s="70" t="s">
        <v>5113</v>
      </c>
      <c r="E351" s="280" t="s">
        <v>3158</v>
      </c>
      <c r="F351" s="1049">
        <v>0</v>
      </c>
      <c r="G351" s="1049">
        <v>443.5</v>
      </c>
      <c r="H351" s="564"/>
      <c r="I351" s="609"/>
      <c r="J351" s="609"/>
      <c r="K351" s="609"/>
      <c r="L351" s="609"/>
      <c r="M351" s="609"/>
      <c r="N351" s="599"/>
      <c r="O351" s="552" t="s">
        <v>1584</v>
      </c>
      <c r="P351" s="603"/>
      <c r="Q351" s="869"/>
      <c r="R351" s="869"/>
      <c r="S351" s="869"/>
      <c r="T351" s="869"/>
      <c r="U351" s="869"/>
      <c r="V351" s="869"/>
      <c r="W351" s="869"/>
      <c r="X351" s="869"/>
    </row>
    <row r="352" spans="1:24">
      <c r="A352" s="1045">
        <f t="shared" si="5"/>
        <v>7</v>
      </c>
      <c r="B352" s="548">
        <v>45485</v>
      </c>
      <c r="C352" s="70">
        <v>6250</v>
      </c>
      <c r="D352" s="70" t="s">
        <v>129</v>
      </c>
      <c r="E352" s="280" t="s">
        <v>3159</v>
      </c>
      <c r="F352" s="1049">
        <v>100</v>
      </c>
      <c r="G352" s="1049">
        <v>0</v>
      </c>
      <c r="H352" s="564"/>
      <c r="I352" s="609"/>
      <c r="J352" s="609"/>
      <c r="K352" s="609"/>
      <c r="L352" s="609"/>
      <c r="M352" s="609"/>
      <c r="N352" s="599"/>
      <c r="O352" s="552" t="s">
        <v>1584</v>
      </c>
      <c r="P352" s="603"/>
      <c r="Q352" s="869"/>
      <c r="R352" s="869"/>
      <c r="S352" s="869"/>
      <c r="T352" s="869"/>
      <c r="U352" s="869"/>
      <c r="V352" s="869"/>
      <c r="W352" s="869"/>
      <c r="X352" s="869"/>
    </row>
    <row r="353" spans="1:24">
      <c r="A353" s="1045">
        <f t="shared" si="5"/>
        <v>7</v>
      </c>
      <c r="B353" s="548">
        <v>45485</v>
      </c>
      <c r="C353" s="70">
        <v>2018</v>
      </c>
      <c r="D353" s="70" t="s">
        <v>58</v>
      </c>
      <c r="E353" s="280" t="s">
        <v>3159</v>
      </c>
      <c r="F353" s="1049">
        <v>5</v>
      </c>
      <c r="G353" s="1049">
        <v>0</v>
      </c>
      <c r="H353" s="564"/>
      <c r="I353" s="609"/>
      <c r="J353" s="609"/>
      <c r="K353" s="609"/>
      <c r="L353" s="609"/>
      <c r="M353" s="609"/>
      <c r="N353" s="599"/>
      <c r="O353" s="552" t="s">
        <v>1584</v>
      </c>
      <c r="P353" s="603"/>
      <c r="Q353" s="869"/>
      <c r="R353" s="869"/>
      <c r="S353" s="869"/>
      <c r="T353" s="869"/>
      <c r="U353" s="869"/>
      <c r="V353" s="869"/>
      <c r="W353" s="869"/>
      <c r="X353" s="869"/>
    </row>
    <row r="354" spans="1:24">
      <c r="A354" s="1045">
        <f t="shared" si="5"/>
        <v>7</v>
      </c>
      <c r="B354" s="548">
        <v>45485</v>
      </c>
      <c r="C354" s="70">
        <v>1017</v>
      </c>
      <c r="D354" s="70" t="s">
        <v>5118</v>
      </c>
      <c r="E354" s="280" t="s">
        <v>3159</v>
      </c>
      <c r="F354" s="1049">
        <v>0</v>
      </c>
      <c r="G354" s="1049">
        <v>105</v>
      </c>
      <c r="H354" s="564"/>
      <c r="I354" s="609"/>
      <c r="J354" s="609"/>
      <c r="K354" s="609"/>
      <c r="L354" s="609"/>
      <c r="M354" s="609"/>
      <c r="N354" s="599"/>
      <c r="O354" s="552" t="s">
        <v>1584</v>
      </c>
      <c r="P354" s="603"/>
      <c r="Q354" s="869"/>
      <c r="R354" s="869"/>
      <c r="S354" s="869"/>
      <c r="T354" s="869"/>
      <c r="U354" s="869"/>
      <c r="V354" s="869"/>
      <c r="W354" s="869"/>
      <c r="X354" s="869"/>
    </row>
    <row r="355" spans="1:24">
      <c r="A355" s="1045">
        <f t="shared" si="5"/>
        <v>7</v>
      </c>
      <c r="B355" s="548">
        <v>45485</v>
      </c>
      <c r="C355" s="70">
        <v>6250</v>
      </c>
      <c r="D355" s="70" t="s">
        <v>129</v>
      </c>
      <c r="E355" s="280" t="s">
        <v>3160</v>
      </c>
      <c r="F355" s="1049">
        <v>775</v>
      </c>
      <c r="G355" s="1049">
        <v>0</v>
      </c>
      <c r="H355" s="564"/>
      <c r="I355" s="609"/>
      <c r="J355" s="609"/>
      <c r="K355" s="609"/>
      <c r="L355" s="609"/>
      <c r="M355" s="609"/>
      <c r="N355" s="599"/>
      <c r="O355" s="552" t="s">
        <v>1584</v>
      </c>
      <c r="P355" s="603"/>
      <c r="Q355" s="869"/>
      <c r="R355" s="869"/>
      <c r="S355" s="869"/>
      <c r="T355" s="869"/>
      <c r="U355" s="869"/>
      <c r="V355" s="869"/>
      <c r="W355" s="869"/>
      <c r="X355" s="869"/>
    </row>
    <row r="356" spans="1:24">
      <c r="A356" s="1045">
        <f t="shared" si="5"/>
        <v>7</v>
      </c>
      <c r="B356" s="548">
        <v>45485</v>
      </c>
      <c r="C356" s="70">
        <v>2018</v>
      </c>
      <c r="D356" s="70" t="s">
        <v>58</v>
      </c>
      <c r="E356" s="280" t="s">
        <v>3160</v>
      </c>
      <c r="F356" s="1049">
        <v>38.75</v>
      </c>
      <c r="G356" s="1049">
        <v>0</v>
      </c>
      <c r="H356" s="564"/>
      <c r="I356" s="609"/>
      <c r="J356" s="609"/>
      <c r="K356" s="609"/>
      <c r="L356" s="609"/>
      <c r="M356" s="609"/>
      <c r="N356" s="599"/>
      <c r="O356" s="552" t="s">
        <v>1584</v>
      </c>
      <c r="P356" s="603"/>
      <c r="Q356" s="869"/>
      <c r="R356" s="869"/>
      <c r="S356" s="869"/>
      <c r="T356" s="869"/>
      <c r="U356" s="869"/>
      <c r="V356" s="869"/>
      <c r="W356" s="869"/>
      <c r="X356" s="869"/>
    </row>
    <row r="357" spans="1:24">
      <c r="A357" s="1045">
        <f t="shared" si="5"/>
        <v>7</v>
      </c>
      <c r="B357" s="548">
        <v>45485</v>
      </c>
      <c r="C357" s="70">
        <v>1017</v>
      </c>
      <c r="D357" s="70" t="s">
        <v>5118</v>
      </c>
      <c r="E357" s="280" t="s">
        <v>3160</v>
      </c>
      <c r="F357" s="1049">
        <v>0</v>
      </c>
      <c r="G357" s="1049">
        <v>813.75</v>
      </c>
      <c r="H357" s="564"/>
      <c r="I357" s="609"/>
      <c r="J357" s="609"/>
      <c r="K357" s="609"/>
      <c r="L357" s="609"/>
      <c r="M357" s="609"/>
      <c r="N357" s="599"/>
      <c r="O357" s="552" t="s">
        <v>1584</v>
      </c>
      <c r="P357" s="603"/>
      <c r="Q357" s="869"/>
      <c r="R357" s="869"/>
      <c r="S357" s="869"/>
      <c r="T357" s="869"/>
      <c r="U357" s="869"/>
      <c r="V357" s="869"/>
      <c r="W357" s="869"/>
      <c r="X357" s="869"/>
    </row>
    <row r="358" spans="1:24">
      <c r="A358" s="1045">
        <f t="shared" si="5"/>
        <v>7</v>
      </c>
      <c r="B358" s="548">
        <v>45485</v>
      </c>
      <c r="C358" s="70">
        <v>6005</v>
      </c>
      <c r="D358" s="70" t="s">
        <v>96</v>
      </c>
      <c r="E358" s="280" t="s">
        <v>3161</v>
      </c>
      <c r="F358" s="1049">
        <v>10</v>
      </c>
      <c r="G358" s="1049">
        <v>0</v>
      </c>
      <c r="H358" s="564"/>
      <c r="I358" s="609"/>
      <c r="J358" s="609"/>
      <c r="K358" s="609"/>
      <c r="L358" s="609"/>
      <c r="M358" s="609"/>
      <c r="N358" s="599"/>
      <c r="O358" s="552" t="s">
        <v>1584</v>
      </c>
      <c r="P358" s="603"/>
      <c r="Q358" s="869"/>
      <c r="R358" s="869"/>
      <c r="S358" s="869"/>
      <c r="T358" s="869"/>
      <c r="U358" s="869"/>
      <c r="V358" s="869"/>
      <c r="W358" s="869"/>
      <c r="X358" s="869"/>
    </row>
    <row r="359" spans="1:24">
      <c r="A359" s="1045">
        <f t="shared" si="5"/>
        <v>7</v>
      </c>
      <c r="B359" s="548">
        <v>45485</v>
      </c>
      <c r="C359" s="70">
        <v>6007</v>
      </c>
      <c r="D359" s="70" t="s">
        <v>98</v>
      </c>
      <c r="E359" s="395" t="s">
        <v>3162</v>
      </c>
      <c r="F359" s="1049">
        <v>100</v>
      </c>
      <c r="G359" s="1049">
        <v>0</v>
      </c>
      <c r="H359" s="564"/>
      <c r="I359" s="609"/>
      <c r="J359" s="609"/>
      <c r="K359" s="609"/>
      <c r="L359" s="609"/>
      <c r="M359" s="609"/>
      <c r="N359" s="599"/>
      <c r="O359" s="552" t="s">
        <v>1584</v>
      </c>
      <c r="P359" s="603"/>
      <c r="Q359" s="869"/>
      <c r="R359" s="869"/>
      <c r="S359" s="869"/>
      <c r="T359" s="869"/>
      <c r="U359" s="869"/>
      <c r="V359" s="869"/>
      <c r="W359" s="869"/>
      <c r="X359" s="869"/>
    </row>
    <row r="360" spans="1:24">
      <c r="A360" s="1045">
        <f t="shared" si="5"/>
        <v>7</v>
      </c>
      <c r="B360" s="134">
        <v>45485</v>
      </c>
      <c r="C360" s="70">
        <v>6005</v>
      </c>
      <c r="D360" s="70" t="s">
        <v>96</v>
      </c>
      <c r="E360" s="280" t="s">
        <v>3163</v>
      </c>
      <c r="F360" s="1049">
        <v>5</v>
      </c>
      <c r="G360" s="1049">
        <v>0</v>
      </c>
      <c r="H360" s="564"/>
      <c r="I360" s="609"/>
      <c r="J360" s="609"/>
      <c r="K360" s="609"/>
      <c r="L360" s="609"/>
      <c r="M360" s="609"/>
      <c r="N360" s="599"/>
      <c r="O360" s="552" t="s">
        <v>1584</v>
      </c>
      <c r="P360" s="603"/>
      <c r="Q360" s="869"/>
      <c r="R360" s="869"/>
      <c r="S360" s="869"/>
      <c r="T360" s="869"/>
      <c r="U360" s="869"/>
      <c r="V360" s="869"/>
      <c r="W360" s="869"/>
      <c r="X360" s="869"/>
    </row>
    <row r="361" spans="1:24">
      <c r="A361" s="1045">
        <f t="shared" si="5"/>
        <v>7</v>
      </c>
      <c r="B361" s="134">
        <v>45485</v>
      </c>
      <c r="C361" s="70">
        <v>6005</v>
      </c>
      <c r="D361" s="70" t="s">
        <v>96</v>
      </c>
      <c r="E361" s="280" t="s">
        <v>3163</v>
      </c>
      <c r="F361" s="1049">
        <v>15</v>
      </c>
      <c r="G361" s="1049">
        <v>0</v>
      </c>
      <c r="H361" s="564"/>
      <c r="I361" s="609"/>
      <c r="J361" s="609"/>
      <c r="K361" s="609"/>
      <c r="L361" s="609"/>
      <c r="M361" s="609"/>
      <c r="N361" s="599"/>
      <c r="O361" s="552" t="s">
        <v>1584</v>
      </c>
      <c r="P361" s="603"/>
      <c r="Q361" s="869"/>
      <c r="R361" s="869"/>
      <c r="S361" s="869"/>
      <c r="T361" s="869"/>
      <c r="U361" s="869"/>
      <c r="V361" s="869"/>
      <c r="W361" s="869"/>
      <c r="X361" s="869"/>
    </row>
    <row r="362" spans="1:24">
      <c r="A362" s="1045">
        <f t="shared" si="5"/>
        <v>7</v>
      </c>
      <c r="B362" s="134">
        <v>45485</v>
      </c>
      <c r="C362" s="70">
        <v>6250</v>
      </c>
      <c r="D362" s="70" t="s">
        <v>129</v>
      </c>
      <c r="E362" s="280" t="s">
        <v>3164</v>
      </c>
      <c r="F362" s="1049">
        <v>16</v>
      </c>
      <c r="G362" s="1049">
        <v>0</v>
      </c>
      <c r="H362" s="564"/>
      <c r="I362" s="609"/>
      <c r="J362" s="609"/>
      <c r="K362" s="609"/>
      <c r="L362" s="609"/>
      <c r="M362" s="609"/>
      <c r="N362" s="599"/>
      <c r="O362" s="552" t="s">
        <v>1584</v>
      </c>
      <c r="P362" s="603"/>
      <c r="Q362" s="869"/>
      <c r="R362" s="869"/>
      <c r="S362" s="869"/>
      <c r="T362" s="869"/>
      <c r="U362" s="869"/>
      <c r="V362" s="869"/>
      <c r="W362" s="869"/>
      <c r="X362" s="869"/>
    </row>
    <row r="363" spans="1:24">
      <c r="A363" s="1045">
        <f t="shared" si="5"/>
        <v>7</v>
      </c>
      <c r="B363" s="134">
        <v>45485</v>
      </c>
      <c r="C363" s="70">
        <v>6000</v>
      </c>
      <c r="D363" s="70" t="s">
        <v>91</v>
      </c>
      <c r="E363" s="280" t="s">
        <v>3165</v>
      </c>
      <c r="F363" s="1049">
        <v>1000</v>
      </c>
      <c r="G363" s="1049">
        <v>0</v>
      </c>
      <c r="H363" s="564"/>
      <c r="I363" s="609"/>
      <c r="J363" s="609"/>
      <c r="K363" s="609"/>
      <c r="L363" s="609"/>
      <c r="M363" s="609"/>
      <c r="N363" s="599"/>
      <c r="O363" s="552" t="s">
        <v>1584</v>
      </c>
      <c r="P363" s="603"/>
      <c r="Q363" s="869"/>
      <c r="R363" s="869"/>
      <c r="S363" s="869"/>
      <c r="T363" s="869"/>
      <c r="U363" s="869"/>
      <c r="V363" s="869"/>
      <c r="W363" s="869"/>
      <c r="X363" s="869"/>
    </row>
    <row r="364" spans="1:24">
      <c r="A364" s="1045">
        <f t="shared" si="5"/>
        <v>7</v>
      </c>
      <c r="B364" s="134">
        <v>45485</v>
      </c>
      <c r="C364" s="70">
        <v>6017</v>
      </c>
      <c r="D364" s="70" t="s">
        <v>108</v>
      </c>
      <c r="E364" s="280" t="s">
        <v>3166</v>
      </c>
      <c r="F364" s="1049">
        <v>950</v>
      </c>
      <c r="G364" s="1049">
        <v>0</v>
      </c>
      <c r="H364" s="564"/>
      <c r="I364" s="609"/>
      <c r="J364" s="609"/>
      <c r="K364" s="609"/>
      <c r="L364" s="609"/>
      <c r="M364" s="609"/>
      <c r="N364" s="599"/>
      <c r="O364" s="552" t="s">
        <v>1584</v>
      </c>
      <c r="P364" s="603"/>
      <c r="Q364" s="869"/>
      <c r="R364" s="869"/>
      <c r="S364" s="869"/>
      <c r="T364" s="869"/>
      <c r="U364" s="869"/>
      <c r="V364" s="869"/>
      <c r="W364" s="869"/>
      <c r="X364" s="869"/>
    </row>
    <row r="365" spans="1:24">
      <c r="A365" s="1045">
        <f t="shared" si="5"/>
        <v>7</v>
      </c>
      <c r="B365" s="134">
        <v>45485</v>
      </c>
      <c r="C365" s="70">
        <v>6250</v>
      </c>
      <c r="D365" s="70" t="s">
        <v>129</v>
      </c>
      <c r="E365" s="280" t="s">
        <v>3167</v>
      </c>
      <c r="F365" s="1049">
        <v>20</v>
      </c>
      <c r="G365" s="1049">
        <v>0</v>
      </c>
      <c r="H365" s="564"/>
      <c r="I365" s="609"/>
      <c r="J365" s="609"/>
      <c r="K365" s="609"/>
      <c r="L365" s="609"/>
      <c r="M365" s="609"/>
      <c r="N365" s="599"/>
      <c r="O365" s="552" t="s">
        <v>1584</v>
      </c>
      <c r="P365" s="603"/>
      <c r="Q365" s="869"/>
      <c r="R365" s="869"/>
      <c r="S365" s="869"/>
      <c r="T365" s="869"/>
      <c r="U365" s="869"/>
      <c r="V365" s="869"/>
      <c r="W365" s="869"/>
      <c r="X365" s="869"/>
    </row>
    <row r="366" spans="1:24">
      <c r="A366" s="1045">
        <f t="shared" si="5"/>
        <v>7</v>
      </c>
      <c r="B366" s="134">
        <v>45485</v>
      </c>
      <c r="C366" s="70">
        <v>2018</v>
      </c>
      <c r="D366" s="70" t="s">
        <v>58</v>
      </c>
      <c r="E366" s="280" t="s">
        <v>3167</v>
      </c>
      <c r="F366" s="1049">
        <v>1</v>
      </c>
      <c r="G366" s="1049">
        <v>0</v>
      </c>
      <c r="H366" s="564"/>
      <c r="I366" s="609"/>
      <c r="J366" s="609"/>
      <c r="K366" s="609"/>
      <c r="L366" s="609"/>
      <c r="M366" s="609"/>
      <c r="N366" s="599"/>
      <c r="O366" s="552" t="s">
        <v>1584</v>
      </c>
      <c r="P366" s="603"/>
      <c r="Q366" s="869"/>
      <c r="R366" s="869"/>
      <c r="S366" s="869"/>
      <c r="T366" s="869"/>
      <c r="U366" s="869"/>
      <c r="V366" s="869"/>
      <c r="W366" s="869"/>
      <c r="X366" s="869"/>
    </row>
    <row r="367" spans="1:24">
      <c r="A367" s="1045">
        <f t="shared" si="5"/>
        <v>7</v>
      </c>
      <c r="B367" s="134">
        <v>45485</v>
      </c>
      <c r="C367" s="70">
        <v>6250</v>
      </c>
      <c r="D367" s="70" t="s">
        <v>129</v>
      </c>
      <c r="E367" s="280" t="s">
        <v>3168</v>
      </c>
      <c r="F367" s="1049">
        <v>60</v>
      </c>
      <c r="G367" s="1049">
        <v>0</v>
      </c>
      <c r="H367" s="564"/>
      <c r="I367" s="609"/>
      <c r="J367" s="609"/>
      <c r="K367" s="609"/>
      <c r="L367" s="609"/>
      <c r="M367" s="609"/>
      <c r="N367" s="599"/>
      <c r="O367" s="552" t="s">
        <v>1584</v>
      </c>
      <c r="P367" s="603"/>
      <c r="Q367" s="869"/>
      <c r="R367" s="869"/>
      <c r="S367" s="869"/>
      <c r="T367" s="869"/>
      <c r="U367" s="869"/>
      <c r="V367" s="869"/>
      <c r="W367" s="869"/>
      <c r="X367" s="869"/>
    </row>
    <row r="368" spans="1:24">
      <c r="A368" s="1045">
        <f t="shared" si="5"/>
        <v>7</v>
      </c>
      <c r="B368" s="134">
        <v>45485</v>
      </c>
      <c r="C368" s="70">
        <v>2018</v>
      </c>
      <c r="D368" s="70" t="s">
        <v>58</v>
      </c>
      <c r="E368" s="280" t="s">
        <v>3168</v>
      </c>
      <c r="F368" s="1049">
        <v>3</v>
      </c>
      <c r="G368" s="1049">
        <v>0</v>
      </c>
      <c r="H368" s="564"/>
      <c r="I368" s="609"/>
      <c r="J368" s="609"/>
      <c r="K368" s="609"/>
      <c r="L368" s="609"/>
      <c r="M368" s="609"/>
      <c r="N368" s="599"/>
      <c r="O368" s="552" t="s">
        <v>1584</v>
      </c>
      <c r="P368" s="603"/>
      <c r="Q368" s="869"/>
      <c r="R368" s="869"/>
      <c r="S368" s="869"/>
      <c r="T368" s="869"/>
      <c r="U368" s="869"/>
      <c r="V368" s="869"/>
      <c r="W368" s="869"/>
      <c r="X368" s="869"/>
    </row>
    <row r="369" spans="1:24">
      <c r="A369" s="1045">
        <f t="shared" si="5"/>
        <v>7</v>
      </c>
      <c r="B369" s="134">
        <v>45485</v>
      </c>
      <c r="C369" s="70">
        <v>6250</v>
      </c>
      <c r="D369" s="70" t="s">
        <v>129</v>
      </c>
      <c r="E369" s="280" t="s">
        <v>3168</v>
      </c>
      <c r="F369" s="1049">
        <v>60</v>
      </c>
      <c r="G369" s="1049">
        <v>0</v>
      </c>
      <c r="H369" s="564"/>
      <c r="I369" s="609"/>
      <c r="J369" s="609"/>
      <c r="K369" s="609"/>
      <c r="L369" s="609"/>
      <c r="M369" s="609"/>
      <c r="N369" s="599"/>
      <c r="O369" s="552" t="s">
        <v>1584</v>
      </c>
      <c r="P369" s="603"/>
      <c r="Q369" s="869"/>
      <c r="R369" s="869"/>
      <c r="S369" s="869"/>
      <c r="T369" s="869"/>
      <c r="U369" s="869"/>
      <c r="V369" s="869"/>
      <c r="W369" s="869"/>
      <c r="X369" s="869"/>
    </row>
    <row r="370" spans="1:24">
      <c r="A370" s="1045">
        <f t="shared" si="5"/>
        <v>7</v>
      </c>
      <c r="B370" s="134">
        <v>45485</v>
      </c>
      <c r="C370" s="70">
        <v>2018</v>
      </c>
      <c r="D370" s="70" t="s">
        <v>58</v>
      </c>
      <c r="E370" s="280" t="s">
        <v>3168</v>
      </c>
      <c r="F370" s="1049">
        <v>3</v>
      </c>
      <c r="G370" s="1049">
        <v>0</v>
      </c>
      <c r="H370" s="564"/>
      <c r="I370" s="609"/>
      <c r="J370" s="609"/>
      <c r="K370" s="609"/>
      <c r="L370" s="609"/>
      <c r="M370" s="609"/>
      <c r="N370" s="599"/>
      <c r="O370" s="552" t="s">
        <v>1584</v>
      </c>
      <c r="P370" s="603"/>
      <c r="Q370" s="869"/>
      <c r="R370" s="869"/>
      <c r="S370" s="869"/>
      <c r="T370" s="869"/>
      <c r="U370" s="869"/>
      <c r="V370" s="869"/>
      <c r="W370" s="869"/>
      <c r="X370" s="869"/>
    </row>
    <row r="371" spans="1:24">
      <c r="A371" s="1045">
        <f t="shared" si="5"/>
        <v>7</v>
      </c>
      <c r="B371" s="134">
        <v>45485</v>
      </c>
      <c r="C371" s="70">
        <v>6250</v>
      </c>
      <c r="D371" s="70" t="s">
        <v>129</v>
      </c>
      <c r="E371" s="280" t="s">
        <v>3168</v>
      </c>
      <c r="F371" s="1049">
        <v>193</v>
      </c>
      <c r="G371" s="1049">
        <v>0</v>
      </c>
      <c r="H371" s="564"/>
      <c r="I371" s="609"/>
      <c r="J371" s="609"/>
      <c r="K371" s="609"/>
      <c r="L371" s="609"/>
      <c r="M371" s="609"/>
      <c r="N371" s="599"/>
      <c r="O371" s="552" t="s">
        <v>1584</v>
      </c>
      <c r="P371" s="603"/>
      <c r="Q371" s="869"/>
      <c r="R371" s="869"/>
      <c r="S371" s="869"/>
      <c r="T371" s="869"/>
      <c r="U371" s="869"/>
      <c r="V371" s="869"/>
      <c r="W371" s="869"/>
      <c r="X371" s="869"/>
    </row>
    <row r="372" spans="1:24">
      <c r="A372" s="1045">
        <f t="shared" si="5"/>
        <v>7</v>
      </c>
      <c r="B372" s="134">
        <v>45485</v>
      </c>
      <c r="C372" s="70">
        <v>2018</v>
      </c>
      <c r="D372" s="70" t="s">
        <v>58</v>
      </c>
      <c r="E372" s="280" t="s">
        <v>3168</v>
      </c>
      <c r="F372" s="1049">
        <v>9.65</v>
      </c>
      <c r="G372" s="1049">
        <v>0</v>
      </c>
      <c r="H372" s="564"/>
      <c r="I372" s="609"/>
      <c r="J372" s="609"/>
      <c r="K372" s="609"/>
      <c r="L372" s="609"/>
      <c r="M372" s="609"/>
      <c r="N372" s="599"/>
      <c r="O372" s="552" t="s">
        <v>1584</v>
      </c>
      <c r="P372" s="603"/>
      <c r="Q372" s="869"/>
      <c r="R372" s="869"/>
      <c r="S372" s="869"/>
      <c r="T372" s="869"/>
      <c r="U372" s="869"/>
      <c r="V372" s="869"/>
      <c r="W372" s="869"/>
      <c r="X372" s="869"/>
    </row>
    <row r="373" spans="1:24">
      <c r="A373" s="1045">
        <f t="shared" si="5"/>
        <v>7</v>
      </c>
      <c r="B373" s="134">
        <v>45485</v>
      </c>
      <c r="C373" s="70">
        <v>6250</v>
      </c>
      <c r="D373" s="70" t="s">
        <v>129</v>
      </c>
      <c r="E373" s="280" t="s">
        <v>3169</v>
      </c>
      <c r="F373" s="1049">
        <v>13</v>
      </c>
      <c r="G373" s="1049">
        <v>0</v>
      </c>
      <c r="H373" s="564"/>
      <c r="I373" s="609"/>
      <c r="J373" s="609"/>
      <c r="K373" s="609"/>
      <c r="L373" s="609"/>
      <c r="M373" s="609"/>
      <c r="N373" s="599"/>
      <c r="O373" s="552" t="s">
        <v>1584</v>
      </c>
      <c r="P373" s="603"/>
      <c r="Q373" s="869"/>
      <c r="R373" s="869"/>
      <c r="S373" s="869"/>
      <c r="T373" s="869"/>
      <c r="U373" s="869"/>
      <c r="V373" s="869"/>
      <c r="W373" s="869"/>
      <c r="X373" s="869"/>
    </row>
    <row r="374" spans="1:24">
      <c r="A374" s="1045">
        <f t="shared" si="5"/>
        <v>7</v>
      </c>
      <c r="B374" s="134">
        <v>45485</v>
      </c>
      <c r="C374" s="70">
        <v>2018</v>
      </c>
      <c r="D374" s="70" t="s">
        <v>58</v>
      </c>
      <c r="E374" s="280" t="s">
        <v>3169</v>
      </c>
      <c r="F374" s="1049">
        <v>0.65</v>
      </c>
      <c r="G374" s="1049">
        <v>0</v>
      </c>
      <c r="H374" s="564"/>
      <c r="I374" s="609"/>
      <c r="J374" s="609"/>
      <c r="K374" s="609"/>
      <c r="L374" s="609"/>
      <c r="M374" s="609"/>
      <c r="N374" s="599"/>
      <c r="O374" s="552" t="s">
        <v>1584</v>
      </c>
      <c r="P374" s="603"/>
      <c r="Q374" s="869"/>
      <c r="R374" s="869"/>
      <c r="S374" s="869"/>
      <c r="T374" s="869"/>
      <c r="U374" s="869"/>
      <c r="V374" s="869"/>
      <c r="W374" s="869"/>
      <c r="X374" s="869"/>
    </row>
    <row r="375" spans="1:24">
      <c r="A375" s="1045">
        <f t="shared" si="5"/>
        <v>7</v>
      </c>
      <c r="B375" s="134">
        <v>45485</v>
      </c>
      <c r="C375" s="70">
        <v>6017</v>
      </c>
      <c r="D375" s="70" t="s">
        <v>108</v>
      </c>
      <c r="E375" s="395" t="s">
        <v>3170</v>
      </c>
      <c r="F375" s="1049">
        <v>195</v>
      </c>
      <c r="G375" s="1049">
        <v>0</v>
      </c>
      <c r="H375" s="564"/>
      <c r="I375" s="609"/>
      <c r="J375" s="609"/>
      <c r="K375" s="609"/>
      <c r="L375" s="609"/>
      <c r="M375" s="609"/>
      <c r="N375" s="599"/>
      <c r="O375" s="552" t="s">
        <v>1584</v>
      </c>
      <c r="P375" s="603"/>
      <c r="Q375" s="869"/>
      <c r="R375" s="869"/>
      <c r="S375" s="869"/>
      <c r="T375" s="869"/>
      <c r="U375" s="869"/>
      <c r="V375" s="869"/>
      <c r="W375" s="869"/>
      <c r="X375" s="869"/>
    </row>
    <row r="376" spans="1:24">
      <c r="A376" s="1045">
        <f t="shared" si="5"/>
        <v>7</v>
      </c>
      <c r="B376" s="134">
        <v>45485</v>
      </c>
      <c r="C376" s="70">
        <v>2018</v>
      </c>
      <c r="D376" s="70" t="s">
        <v>58</v>
      </c>
      <c r="E376" s="280" t="s">
        <v>3170</v>
      </c>
      <c r="F376" s="1049">
        <v>9.75</v>
      </c>
      <c r="G376" s="1049">
        <v>0</v>
      </c>
      <c r="H376" s="564"/>
      <c r="I376" s="609"/>
      <c r="J376" s="609"/>
      <c r="K376" s="609"/>
      <c r="L376" s="609"/>
      <c r="M376" s="609"/>
      <c r="N376" s="599"/>
      <c r="O376" s="552" t="s">
        <v>1584</v>
      </c>
      <c r="P376" s="603"/>
      <c r="Q376" s="869"/>
      <c r="R376" s="869"/>
      <c r="S376" s="869"/>
      <c r="T376" s="869"/>
      <c r="U376" s="869"/>
      <c r="V376" s="869"/>
      <c r="W376" s="869"/>
      <c r="X376" s="869"/>
    </row>
    <row r="377" spans="1:24">
      <c r="A377" s="1045">
        <f t="shared" si="5"/>
        <v>7</v>
      </c>
      <c r="B377" s="134">
        <v>45485</v>
      </c>
      <c r="C377" s="70">
        <v>6017</v>
      </c>
      <c r="D377" s="70" t="s">
        <v>108</v>
      </c>
      <c r="E377" s="280" t="s">
        <v>3171</v>
      </c>
      <c r="F377" s="1049">
        <v>240</v>
      </c>
      <c r="G377" s="1049">
        <v>0</v>
      </c>
      <c r="H377" s="564"/>
      <c r="I377" s="609"/>
      <c r="J377" s="609"/>
      <c r="K377" s="609"/>
      <c r="L377" s="609"/>
      <c r="M377" s="609"/>
      <c r="N377" s="599"/>
      <c r="O377" s="552" t="s">
        <v>1584</v>
      </c>
      <c r="P377" s="603"/>
      <c r="Q377" s="869"/>
      <c r="R377" s="869"/>
      <c r="S377" s="869"/>
      <c r="T377" s="869"/>
      <c r="U377" s="869"/>
      <c r="V377" s="869"/>
      <c r="W377" s="869"/>
      <c r="X377" s="869"/>
    </row>
    <row r="378" spans="1:24">
      <c r="A378" s="1045">
        <f t="shared" si="5"/>
        <v>7</v>
      </c>
      <c r="B378" s="134">
        <v>45485</v>
      </c>
      <c r="C378" s="70">
        <v>2018</v>
      </c>
      <c r="D378" s="70" t="s">
        <v>58</v>
      </c>
      <c r="E378" s="280" t="s">
        <v>3171</v>
      </c>
      <c r="F378" s="1049">
        <v>12</v>
      </c>
      <c r="G378" s="1049">
        <v>0</v>
      </c>
      <c r="H378" s="564"/>
      <c r="I378" s="609"/>
      <c r="J378" s="609"/>
      <c r="K378" s="609"/>
      <c r="L378" s="609"/>
      <c r="M378" s="609"/>
      <c r="N378" s="599"/>
      <c r="O378" s="552" t="s">
        <v>1584</v>
      </c>
      <c r="P378" s="603"/>
      <c r="Q378" s="869"/>
      <c r="R378" s="869"/>
      <c r="S378" s="869"/>
      <c r="T378" s="869"/>
      <c r="U378" s="869"/>
      <c r="V378" s="869"/>
      <c r="W378" s="869"/>
      <c r="X378" s="869"/>
    </row>
    <row r="379" spans="1:24">
      <c r="A379" s="1045">
        <f t="shared" si="5"/>
        <v>7</v>
      </c>
      <c r="B379" s="134">
        <v>45485</v>
      </c>
      <c r="C379" s="70">
        <v>6250</v>
      </c>
      <c r="D379" s="70" t="s">
        <v>129</v>
      </c>
      <c r="E379" s="280" t="s">
        <v>3172</v>
      </c>
      <c r="F379" s="1049">
        <v>760</v>
      </c>
      <c r="G379" s="1049">
        <v>0</v>
      </c>
      <c r="H379" s="564"/>
      <c r="I379" s="609"/>
      <c r="J379" s="609"/>
      <c r="K379" s="609"/>
      <c r="L379" s="609"/>
      <c r="M379" s="609"/>
      <c r="N379" s="599"/>
      <c r="O379" s="552" t="s">
        <v>1584</v>
      </c>
      <c r="P379" s="603"/>
      <c r="Q379" s="869"/>
      <c r="R379" s="869"/>
      <c r="S379" s="869"/>
      <c r="T379" s="869"/>
      <c r="U379" s="869"/>
      <c r="V379" s="869"/>
      <c r="W379" s="869"/>
      <c r="X379" s="869"/>
    </row>
    <row r="380" spans="1:24">
      <c r="A380" s="1045">
        <f t="shared" si="5"/>
        <v>7</v>
      </c>
      <c r="B380" s="134">
        <v>45485</v>
      </c>
      <c r="C380" s="70">
        <v>6250</v>
      </c>
      <c r="D380" s="70" t="s">
        <v>129</v>
      </c>
      <c r="E380" s="280" t="s">
        <v>3173</v>
      </c>
      <c r="F380" s="1049">
        <v>325</v>
      </c>
      <c r="G380" s="1049">
        <v>0</v>
      </c>
      <c r="H380" s="564"/>
      <c r="I380" s="609"/>
      <c r="J380" s="609"/>
      <c r="K380" s="609"/>
      <c r="L380" s="609"/>
      <c r="M380" s="609"/>
      <c r="N380" s="599"/>
      <c r="O380" s="552" t="s">
        <v>1584</v>
      </c>
      <c r="P380" s="603"/>
      <c r="Q380" s="869"/>
      <c r="R380" s="869"/>
      <c r="S380" s="869"/>
      <c r="T380" s="869"/>
      <c r="U380" s="869"/>
      <c r="V380" s="869"/>
      <c r="W380" s="869"/>
      <c r="X380" s="869"/>
    </row>
    <row r="381" spans="1:24">
      <c r="A381" s="1045">
        <f t="shared" si="5"/>
        <v>7</v>
      </c>
      <c r="B381" s="134">
        <v>45485</v>
      </c>
      <c r="C381" s="70">
        <v>2018</v>
      </c>
      <c r="D381" s="70" t="s">
        <v>58</v>
      </c>
      <c r="E381" s="280" t="s">
        <v>3173</v>
      </c>
      <c r="F381" s="1049">
        <v>16.25</v>
      </c>
      <c r="G381" s="1049">
        <v>0</v>
      </c>
      <c r="H381" s="564"/>
      <c r="I381" s="609"/>
      <c r="J381" s="609"/>
      <c r="K381" s="609"/>
      <c r="L381" s="609"/>
      <c r="M381" s="609"/>
      <c r="N381" s="599"/>
      <c r="O381" s="552" t="s">
        <v>1584</v>
      </c>
      <c r="P381" s="603"/>
      <c r="Q381" s="869"/>
      <c r="R381" s="869"/>
      <c r="S381" s="869"/>
      <c r="T381" s="869"/>
      <c r="U381" s="869"/>
      <c r="V381" s="869"/>
      <c r="W381" s="869"/>
      <c r="X381" s="869"/>
    </row>
    <row r="382" spans="1:24">
      <c r="A382" s="1045">
        <f t="shared" si="5"/>
        <v>7</v>
      </c>
      <c r="B382" s="134">
        <v>45485</v>
      </c>
      <c r="C382" s="70">
        <v>6007</v>
      </c>
      <c r="D382" s="70" t="s">
        <v>98</v>
      </c>
      <c r="E382" s="280" t="s">
        <v>3174</v>
      </c>
      <c r="F382" s="1049">
        <v>200</v>
      </c>
      <c r="G382" s="1049">
        <v>0</v>
      </c>
      <c r="H382" s="564"/>
      <c r="I382" s="609"/>
      <c r="J382" s="609"/>
      <c r="K382" s="609"/>
      <c r="L382" s="609"/>
      <c r="M382" s="609"/>
      <c r="N382" s="599"/>
      <c r="O382" s="552" t="s">
        <v>1584</v>
      </c>
      <c r="P382" s="603"/>
      <c r="Q382" s="869"/>
      <c r="R382" s="869"/>
      <c r="S382" s="869"/>
      <c r="T382" s="869"/>
      <c r="U382" s="869"/>
      <c r="V382" s="869"/>
      <c r="W382" s="869"/>
      <c r="X382" s="869"/>
    </row>
    <row r="383" spans="1:24">
      <c r="A383" s="1045">
        <f t="shared" si="5"/>
        <v>7</v>
      </c>
      <c r="B383" s="134">
        <v>45485</v>
      </c>
      <c r="C383" s="70">
        <v>6017</v>
      </c>
      <c r="D383" s="70" t="s">
        <v>108</v>
      </c>
      <c r="E383" s="280" t="s">
        <v>3175</v>
      </c>
      <c r="F383" s="1049">
        <v>280.95</v>
      </c>
      <c r="G383" s="1049">
        <v>0</v>
      </c>
      <c r="H383" s="564"/>
      <c r="I383" s="609"/>
      <c r="J383" s="609"/>
      <c r="K383" s="609"/>
      <c r="L383" s="609"/>
      <c r="M383" s="609"/>
      <c r="N383" s="599"/>
      <c r="O383" s="552" t="s">
        <v>1584</v>
      </c>
      <c r="P383" s="603"/>
      <c r="Q383" s="869"/>
      <c r="R383" s="869"/>
      <c r="S383" s="869"/>
      <c r="T383" s="869"/>
      <c r="U383" s="869"/>
      <c r="V383" s="869"/>
      <c r="W383" s="869"/>
      <c r="X383" s="869"/>
    </row>
    <row r="384" spans="1:24">
      <c r="A384" s="1045">
        <f t="shared" si="5"/>
        <v>7</v>
      </c>
      <c r="B384" s="134">
        <v>45485</v>
      </c>
      <c r="C384" s="70">
        <v>2018</v>
      </c>
      <c r="D384" s="70" t="s">
        <v>58</v>
      </c>
      <c r="E384" s="280" t="s">
        <v>3175</v>
      </c>
      <c r="F384" s="1049">
        <v>14.05</v>
      </c>
      <c r="G384" s="1049">
        <v>0</v>
      </c>
      <c r="H384" s="564"/>
      <c r="I384" s="609"/>
      <c r="J384" s="609"/>
      <c r="K384" s="609"/>
      <c r="L384" s="609"/>
      <c r="M384" s="609"/>
      <c r="N384" s="599"/>
      <c r="O384" s="552" t="s">
        <v>1584</v>
      </c>
      <c r="P384" s="603"/>
      <c r="Q384" s="869"/>
      <c r="R384" s="869"/>
      <c r="S384" s="869"/>
      <c r="T384" s="869"/>
      <c r="U384" s="869"/>
      <c r="V384" s="869"/>
      <c r="W384" s="869"/>
      <c r="X384" s="869"/>
    </row>
    <row r="385" spans="1:24">
      <c r="A385" s="1045">
        <f t="shared" si="5"/>
        <v>7</v>
      </c>
      <c r="B385" s="134">
        <v>45485</v>
      </c>
      <c r="C385" s="70">
        <v>6017</v>
      </c>
      <c r="D385" s="70" t="s">
        <v>108</v>
      </c>
      <c r="E385" s="280" t="s">
        <v>3176</v>
      </c>
      <c r="F385" s="1049">
        <v>423.81</v>
      </c>
      <c r="G385" s="1049">
        <v>0</v>
      </c>
      <c r="H385" s="564"/>
      <c r="I385" s="609"/>
      <c r="J385" s="609"/>
      <c r="K385" s="609"/>
      <c r="L385" s="609"/>
      <c r="M385" s="609"/>
      <c r="N385" s="599"/>
      <c r="O385" s="552" t="s">
        <v>1584</v>
      </c>
      <c r="P385" s="603"/>
      <c r="Q385" s="869"/>
      <c r="R385" s="869"/>
      <c r="S385" s="869"/>
      <c r="T385" s="869"/>
      <c r="U385" s="869"/>
      <c r="V385" s="869"/>
      <c r="W385" s="869"/>
      <c r="X385" s="869"/>
    </row>
    <row r="386" spans="1:24">
      <c r="A386" s="1045">
        <f t="shared" si="5"/>
        <v>7</v>
      </c>
      <c r="B386" s="134">
        <v>45485</v>
      </c>
      <c r="C386" s="70">
        <v>2018</v>
      </c>
      <c r="D386" s="70" t="s">
        <v>58</v>
      </c>
      <c r="E386" s="280" t="s">
        <v>3176</v>
      </c>
      <c r="F386" s="1049">
        <v>21.19</v>
      </c>
      <c r="G386" s="1049">
        <v>0</v>
      </c>
      <c r="H386" s="564"/>
      <c r="I386" s="609"/>
      <c r="J386" s="609"/>
      <c r="K386" s="609"/>
      <c r="L386" s="609"/>
      <c r="M386" s="609"/>
      <c r="N386" s="599"/>
      <c r="O386" s="552" t="s">
        <v>1584</v>
      </c>
      <c r="P386" s="603"/>
      <c r="Q386" s="869"/>
      <c r="R386" s="869"/>
      <c r="S386" s="869"/>
      <c r="T386" s="869"/>
      <c r="U386" s="869"/>
      <c r="V386" s="869"/>
      <c r="W386" s="869"/>
      <c r="X386" s="869"/>
    </row>
    <row r="387" spans="1:24">
      <c r="A387" s="1045">
        <f t="shared" si="5"/>
        <v>7</v>
      </c>
      <c r="B387" s="134">
        <v>45485</v>
      </c>
      <c r="C387" s="70">
        <v>6250</v>
      </c>
      <c r="D387" s="70" t="s">
        <v>129</v>
      </c>
      <c r="E387" s="280" t="s">
        <v>3177</v>
      </c>
      <c r="F387" s="1049">
        <v>440</v>
      </c>
      <c r="G387" s="1049">
        <v>0</v>
      </c>
      <c r="H387" s="564"/>
      <c r="I387" s="609"/>
      <c r="J387" s="609"/>
      <c r="K387" s="609"/>
      <c r="L387" s="609"/>
      <c r="M387" s="609"/>
      <c r="N387" s="599"/>
      <c r="O387" s="552" t="s">
        <v>1584</v>
      </c>
      <c r="P387" s="603"/>
      <c r="Q387" s="869"/>
      <c r="R387" s="869"/>
      <c r="S387" s="869"/>
      <c r="T387" s="869"/>
      <c r="U387" s="869"/>
      <c r="V387" s="869"/>
      <c r="W387" s="869"/>
      <c r="X387" s="869"/>
    </row>
    <row r="388" spans="1:24">
      <c r="A388" s="1045">
        <f t="shared" si="5"/>
        <v>7</v>
      </c>
      <c r="B388" s="134">
        <v>45485</v>
      </c>
      <c r="C388" s="70">
        <v>6250</v>
      </c>
      <c r="D388" s="70" t="s">
        <v>129</v>
      </c>
      <c r="E388" s="280" t="s">
        <v>3178</v>
      </c>
      <c r="F388" s="1049">
        <v>23.8</v>
      </c>
      <c r="G388" s="1049">
        <v>0</v>
      </c>
      <c r="H388" s="564"/>
      <c r="I388" s="609"/>
      <c r="J388" s="609"/>
      <c r="K388" s="609"/>
      <c r="L388" s="609"/>
      <c r="M388" s="609"/>
      <c r="N388" s="599"/>
      <c r="O388" s="552" t="s">
        <v>1584</v>
      </c>
      <c r="P388" s="603"/>
      <c r="Q388" s="869"/>
      <c r="R388" s="869"/>
      <c r="S388" s="869"/>
      <c r="T388" s="869"/>
      <c r="U388" s="869"/>
      <c r="V388" s="869"/>
      <c r="W388" s="869"/>
      <c r="X388" s="869"/>
    </row>
    <row r="389" spans="1:24">
      <c r="A389" s="1045">
        <f t="shared" si="5"/>
        <v>7</v>
      </c>
      <c r="B389" s="134">
        <v>45485</v>
      </c>
      <c r="C389" s="70">
        <v>2018</v>
      </c>
      <c r="D389" s="70" t="s">
        <v>58</v>
      </c>
      <c r="E389" s="280" t="s">
        <v>3178</v>
      </c>
      <c r="F389" s="1049">
        <v>1.2</v>
      </c>
      <c r="G389" s="1049">
        <v>0</v>
      </c>
      <c r="H389" s="564"/>
      <c r="I389" s="609"/>
      <c r="J389" s="609"/>
      <c r="K389" s="609"/>
      <c r="L389" s="609"/>
      <c r="M389" s="609"/>
      <c r="N389" s="599"/>
      <c r="O389" s="552" t="s">
        <v>1584</v>
      </c>
      <c r="P389" s="603"/>
      <c r="Q389" s="869"/>
      <c r="R389" s="869"/>
      <c r="S389" s="869"/>
      <c r="T389" s="869"/>
      <c r="U389" s="869"/>
      <c r="V389" s="869"/>
      <c r="W389" s="869"/>
      <c r="X389" s="869"/>
    </row>
    <row r="390" spans="1:24">
      <c r="A390" s="1045">
        <f t="shared" si="5"/>
        <v>7</v>
      </c>
      <c r="B390" s="134">
        <v>45485</v>
      </c>
      <c r="C390" s="70">
        <v>6017</v>
      </c>
      <c r="D390" s="70" t="s">
        <v>108</v>
      </c>
      <c r="E390" s="280" t="s">
        <v>3179</v>
      </c>
      <c r="F390" s="1049">
        <v>35</v>
      </c>
      <c r="G390" s="1049">
        <v>0</v>
      </c>
      <c r="H390" s="564"/>
      <c r="I390" s="609"/>
      <c r="J390" s="609"/>
      <c r="K390" s="609"/>
      <c r="L390" s="609"/>
      <c r="M390" s="609"/>
      <c r="N390" s="599"/>
      <c r="O390" s="552" t="s">
        <v>1584</v>
      </c>
      <c r="P390" s="603"/>
      <c r="Q390" s="869"/>
      <c r="R390" s="869"/>
      <c r="S390" s="869"/>
      <c r="T390" s="869"/>
      <c r="U390" s="869"/>
      <c r="V390" s="869"/>
      <c r="W390" s="869"/>
      <c r="X390" s="869"/>
    </row>
    <row r="391" spans="1:24">
      <c r="A391" s="1045">
        <f t="shared" si="5"/>
        <v>7</v>
      </c>
      <c r="B391" s="134">
        <v>45485</v>
      </c>
      <c r="C391" s="70">
        <v>6002</v>
      </c>
      <c r="D391" s="70" t="s">
        <v>93</v>
      </c>
      <c r="E391" s="280" t="s">
        <v>3180</v>
      </c>
      <c r="F391" s="1049">
        <v>47</v>
      </c>
      <c r="G391" s="1049">
        <v>0</v>
      </c>
      <c r="H391" s="564"/>
      <c r="I391" s="609"/>
      <c r="J391" s="609"/>
      <c r="K391" s="609"/>
      <c r="L391" s="609"/>
      <c r="M391" s="609"/>
      <c r="N391" s="599"/>
      <c r="O391" s="552" t="s">
        <v>1584</v>
      </c>
      <c r="P391" s="603"/>
      <c r="Q391" s="869"/>
      <c r="R391" s="869"/>
      <c r="S391" s="869"/>
      <c r="T391" s="869"/>
      <c r="U391" s="869"/>
      <c r="V391" s="869"/>
      <c r="W391" s="869"/>
      <c r="X391" s="869"/>
    </row>
    <row r="392" spans="1:24">
      <c r="A392" s="1045">
        <f t="shared" si="5"/>
        <v>7</v>
      </c>
      <c r="B392" s="134">
        <v>45485</v>
      </c>
      <c r="C392" s="70">
        <v>6007</v>
      </c>
      <c r="D392" s="70" t="s">
        <v>98</v>
      </c>
      <c r="E392" s="280" t="s">
        <v>3181</v>
      </c>
      <c r="F392" s="1049">
        <v>100</v>
      </c>
      <c r="G392" s="1049">
        <v>0</v>
      </c>
      <c r="H392" s="564"/>
      <c r="I392" s="609"/>
      <c r="J392" s="609"/>
      <c r="K392" s="609"/>
      <c r="L392" s="609"/>
      <c r="M392" s="609"/>
      <c r="N392" s="599"/>
      <c r="O392" s="552" t="s">
        <v>1584</v>
      </c>
      <c r="P392" s="603"/>
      <c r="Q392" s="869"/>
      <c r="R392" s="869"/>
      <c r="S392" s="869"/>
      <c r="T392" s="869"/>
      <c r="U392" s="869"/>
      <c r="V392" s="869"/>
      <c r="W392" s="869"/>
      <c r="X392" s="869"/>
    </row>
    <row r="393" spans="1:24">
      <c r="A393" s="1045">
        <f t="shared" si="5"/>
        <v>7</v>
      </c>
      <c r="B393" s="134">
        <v>45485</v>
      </c>
      <c r="C393" s="70">
        <v>6005</v>
      </c>
      <c r="D393" s="70" t="s">
        <v>96</v>
      </c>
      <c r="E393" s="280" t="s">
        <v>3182</v>
      </c>
      <c r="F393" s="1049">
        <v>10</v>
      </c>
      <c r="G393" s="1049">
        <v>0</v>
      </c>
      <c r="H393" s="564"/>
      <c r="I393" s="609"/>
      <c r="J393" s="609"/>
      <c r="K393" s="609"/>
      <c r="L393" s="609"/>
      <c r="M393" s="609"/>
      <c r="N393" s="599"/>
      <c r="O393" s="552" t="s">
        <v>1584</v>
      </c>
      <c r="P393" s="603"/>
      <c r="Q393" s="869"/>
      <c r="R393" s="869"/>
      <c r="S393" s="869"/>
      <c r="T393" s="869"/>
      <c r="U393" s="869"/>
      <c r="V393" s="869"/>
      <c r="W393" s="869"/>
      <c r="X393" s="869"/>
    </row>
    <row r="394" spans="1:24">
      <c r="A394" s="1045">
        <f t="shared" si="5"/>
        <v>7</v>
      </c>
      <c r="B394" s="134">
        <v>45485</v>
      </c>
      <c r="C394" s="70">
        <v>6250</v>
      </c>
      <c r="D394" s="70" t="s">
        <v>129</v>
      </c>
      <c r="E394" s="280" t="s">
        <v>3183</v>
      </c>
      <c r="F394" s="1049">
        <v>6</v>
      </c>
      <c r="G394" s="1049">
        <v>0</v>
      </c>
      <c r="H394" s="564"/>
      <c r="I394" s="609"/>
      <c r="J394" s="609"/>
      <c r="K394" s="609"/>
      <c r="L394" s="609"/>
      <c r="M394" s="609"/>
      <c r="N394" s="599"/>
      <c r="O394" s="552" t="s">
        <v>1584</v>
      </c>
      <c r="P394" s="603"/>
      <c r="Q394" s="869"/>
      <c r="R394" s="869"/>
      <c r="S394" s="869"/>
      <c r="T394" s="869"/>
      <c r="U394" s="869"/>
      <c r="V394" s="869"/>
      <c r="W394" s="869"/>
      <c r="X394" s="869"/>
    </row>
    <row r="395" spans="1:24">
      <c r="A395" s="1045">
        <f t="shared" ref="A395:A465" si="6">IF(B395="","",MONTH(B395))</f>
        <v>7</v>
      </c>
      <c r="B395" s="134">
        <v>45485</v>
      </c>
      <c r="C395" s="70">
        <v>6017</v>
      </c>
      <c r="D395" s="70" t="s">
        <v>108</v>
      </c>
      <c r="E395" s="280" t="s">
        <v>3184</v>
      </c>
      <c r="F395" s="1049">
        <v>31.5</v>
      </c>
      <c r="G395" s="1049">
        <v>0</v>
      </c>
      <c r="H395" s="564"/>
      <c r="I395" s="609"/>
      <c r="J395" s="609"/>
      <c r="K395" s="609"/>
      <c r="L395" s="609"/>
      <c r="M395" s="609"/>
      <c r="N395" s="599"/>
      <c r="O395" s="552" t="s">
        <v>1584</v>
      </c>
      <c r="P395" s="603"/>
      <c r="Q395" s="869"/>
      <c r="R395" s="869"/>
      <c r="S395" s="869"/>
      <c r="T395" s="869"/>
      <c r="U395" s="869"/>
      <c r="V395" s="869"/>
      <c r="W395" s="869"/>
      <c r="X395" s="869"/>
    </row>
    <row r="396" spans="1:24">
      <c r="A396" s="1045">
        <f t="shared" si="6"/>
        <v>7</v>
      </c>
      <c r="B396" s="134">
        <v>45485</v>
      </c>
      <c r="C396" s="70">
        <v>6017</v>
      </c>
      <c r="D396" s="70" t="s">
        <v>108</v>
      </c>
      <c r="E396" s="280" t="s">
        <v>3185</v>
      </c>
      <c r="F396" s="1049">
        <v>155</v>
      </c>
      <c r="G396" s="1049">
        <v>0</v>
      </c>
      <c r="H396" s="564"/>
      <c r="I396" s="609"/>
      <c r="J396" s="609"/>
      <c r="K396" s="609"/>
      <c r="L396" s="609"/>
      <c r="M396" s="609"/>
      <c r="N396" s="599"/>
      <c r="O396" s="552" t="s">
        <v>1584</v>
      </c>
      <c r="P396" s="603"/>
      <c r="Q396" s="869"/>
      <c r="R396" s="869"/>
      <c r="S396" s="869"/>
      <c r="T396" s="869"/>
      <c r="U396" s="869"/>
      <c r="V396" s="869"/>
      <c r="W396" s="869"/>
      <c r="X396" s="869"/>
    </row>
    <row r="397" spans="1:24">
      <c r="A397" s="1045">
        <f t="shared" si="6"/>
        <v>7</v>
      </c>
      <c r="B397" s="134">
        <v>45485</v>
      </c>
      <c r="C397" s="70">
        <v>6017</v>
      </c>
      <c r="D397" s="70" t="s">
        <v>108</v>
      </c>
      <c r="E397" s="280" t="s">
        <v>3186</v>
      </c>
      <c r="F397" s="1049">
        <v>10</v>
      </c>
      <c r="G397" s="1049">
        <v>0</v>
      </c>
      <c r="H397" s="564"/>
      <c r="I397" s="609"/>
      <c r="J397" s="609"/>
      <c r="K397" s="609"/>
      <c r="L397" s="609"/>
      <c r="M397" s="609"/>
      <c r="N397" s="599"/>
      <c r="O397" s="552" t="s">
        <v>1584</v>
      </c>
      <c r="P397" s="603"/>
      <c r="Q397" s="869"/>
      <c r="R397" s="869"/>
      <c r="S397" s="869"/>
      <c r="T397" s="869"/>
      <c r="U397" s="869"/>
      <c r="V397" s="869"/>
      <c r="W397" s="869"/>
      <c r="X397" s="869"/>
    </row>
    <row r="398" spans="1:24">
      <c r="A398" s="1045">
        <f t="shared" si="6"/>
        <v>7</v>
      </c>
      <c r="B398" s="134">
        <v>45485</v>
      </c>
      <c r="C398" s="70">
        <v>6017</v>
      </c>
      <c r="D398" s="70" t="s">
        <v>108</v>
      </c>
      <c r="E398" s="280" t="s">
        <v>3187</v>
      </c>
      <c r="F398" s="1049">
        <v>870</v>
      </c>
      <c r="G398" s="1049">
        <v>0</v>
      </c>
      <c r="H398" s="564"/>
      <c r="I398" s="609"/>
      <c r="J398" s="609"/>
      <c r="K398" s="609"/>
      <c r="L398" s="609"/>
      <c r="M398" s="609"/>
      <c r="N398" s="599"/>
      <c r="O398" s="552" t="s">
        <v>1584</v>
      </c>
      <c r="P398" s="603"/>
      <c r="Q398" s="869"/>
      <c r="R398" s="869"/>
      <c r="S398" s="869"/>
      <c r="T398" s="869"/>
      <c r="U398" s="869"/>
      <c r="V398" s="869"/>
      <c r="W398" s="869"/>
      <c r="X398" s="869"/>
    </row>
    <row r="399" spans="1:24">
      <c r="A399" s="1045">
        <f t="shared" si="6"/>
        <v>7</v>
      </c>
      <c r="B399" s="134">
        <v>45485</v>
      </c>
      <c r="C399" s="70">
        <v>1017</v>
      </c>
      <c r="D399" s="70" t="s">
        <v>5118</v>
      </c>
      <c r="E399" s="280" t="s">
        <v>3188</v>
      </c>
      <c r="F399" s="1049">
        <v>0</v>
      </c>
      <c r="G399" s="1049">
        <v>6686.8</v>
      </c>
      <c r="H399" s="564"/>
      <c r="I399" s="609"/>
      <c r="J399" s="609"/>
      <c r="K399" s="609"/>
      <c r="L399" s="609"/>
      <c r="M399" s="609"/>
      <c r="N399" s="599"/>
      <c r="O399" s="552" t="s">
        <v>1584</v>
      </c>
      <c r="P399" s="603"/>
      <c r="Q399" s="869"/>
      <c r="R399" s="869"/>
      <c r="S399" s="869"/>
      <c r="T399" s="869"/>
      <c r="U399" s="869"/>
      <c r="V399" s="869"/>
      <c r="W399" s="869"/>
      <c r="X399" s="869"/>
    </row>
    <row r="400" spans="1:24">
      <c r="A400" s="1045">
        <f t="shared" si="6"/>
        <v>7</v>
      </c>
      <c r="B400" s="134">
        <v>45486</v>
      </c>
      <c r="C400" s="70">
        <v>6011</v>
      </c>
      <c r="D400" s="70" t="s">
        <v>102</v>
      </c>
      <c r="E400" s="280" t="s">
        <v>3189</v>
      </c>
      <c r="F400" s="1049">
        <v>500</v>
      </c>
      <c r="G400" s="1049">
        <v>0</v>
      </c>
      <c r="H400" s="564"/>
      <c r="I400" s="609"/>
      <c r="J400" s="609"/>
      <c r="K400" s="609"/>
      <c r="L400" s="609"/>
      <c r="M400" s="609"/>
      <c r="N400" s="599"/>
      <c r="O400" s="552" t="s">
        <v>1584</v>
      </c>
      <c r="P400" s="603"/>
      <c r="Q400" s="869"/>
      <c r="R400" s="869"/>
      <c r="S400" s="869"/>
      <c r="T400" s="869"/>
      <c r="U400" s="869"/>
      <c r="V400" s="869"/>
      <c r="W400" s="869"/>
      <c r="X400" s="869"/>
    </row>
    <row r="401" spans="1:24">
      <c r="A401" s="1045">
        <f t="shared" si="6"/>
        <v>7</v>
      </c>
      <c r="B401" s="134">
        <v>45486</v>
      </c>
      <c r="C401" s="70">
        <v>6011</v>
      </c>
      <c r="D401" s="70" t="s">
        <v>102</v>
      </c>
      <c r="E401" s="280" t="s">
        <v>3190</v>
      </c>
      <c r="F401" s="1049">
        <v>500</v>
      </c>
      <c r="G401" s="1049">
        <v>0</v>
      </c>
      <c r="H401" s="564"/>
      <c r="I401" s="609"/>
      <c r="J401" s="609"/>
      <c r="K401" s="609"/>
      <c r="L401" s="609"/>
      <c r="M401" s="609"/>
      <c r="N401" s="599"/>
      <c r="O401" s="552" t="s">
        <v>1584</v>
      </c>
      <c r="P401" s="603"/>
      <c r="Q401" s="869"/>
      <c r="R401" s="869"/>
      <c r="S401" s="869"/>
      <c r="T401" s="869"/>
      <c r="U401" s="869"/>
      <c r="V401" s="869"/>
      <c r="W401" s="869"/>
      <c r="X401" s="869"/>
    </row>
    <row r="402" spans="1:24">
      <c r="A402" s="1045">
        <f t="shared" si="6"/>
        <v>7</v>
      </c>
      <c r="B402" s="134">
        <v>45486</v>
      </c>
      <c r="C402" s="70">
        <v>6011</v>
      </c>
      <c r="D402" s="70" t="s">
        <v>102</v>
      </c>
      <c r="E402" s="280" t="s">
        <v>3191</v>
      </c>
      <c r="F402" s="1049">
        <v>700</v>
      </c>
      <c r="G402" s="1049">
        <v>0</v>
      </c>
      <c r="H402" s="564"/>
      <c r="I402" s="609"/>
      <c r="J402" s="609"/>
      <c r="K402" s="609"/>
      <c r="L402" s="609"/>
      <c r="M402" s="609"/>
      <c r="N402" s="599"/>
      <c r="O402" s="552" t="s">
        <v>1584</v>
      </c>
      <c r="P402" s="603"/>
      <c r="Q402" s="869"/>
      <c r="R402" s="869"/>
      <c r="S402" s="869"/>
      <c r="T402" s="869"/>
      <c r="U402" s="869"/>
      <c r="V402" s="869"/>
      <c r="W402" s="869"/>
      <c r="X402" s="869"/>
    </row>
    <row r="403" spans="1:24">
      <c r="A403" s="1045">
        <f t="shared" si="6"/>
        <v>7</v>
      </c>
      <c r="B403" s="134">
        <v>45486</v>
      </c>
      <c r="C403" s="70">
        <v>6011</v>
      </c>
      <c r="D403" s="70" t="s">
        <v>102</v>
      </c>
      <c r="E403" s="280" t="s">
        <v>3192</v>
      </c>
      <c r="F403" s="1049">
        <v>500</v>
      </c>
      <c r="G403" s="1049">
        <v>0</v>
      </c>
      <c r="H403" s="564"/>
      <c r="I403" s="609"/>
      <c r="J403" s="609"/>
      <c r="K403" s="609"/>
      <c r="L403" s="609"/>
      <c r="M403" s="609"/>
      <c r="N403" s="599"/>
      <c r="O403" s="552" t="s">
        <v>1584</v>
      </c>
      <c r="P403" s="603"/>
      <c r="Q403" s="869"/>
      <c r="R403" s="869"/>
      <c r="S403" s="869"/>
      <c r="T403" s="869"/>
      <c r="U403" s="869"/>
      <c r="V403" s="869"/>
      <c r="W403" s="869"/>
      <c r="X403" s="869"/>
    </row>
    <row r="404" spans="1:24">
      <c r="A404" s="1045">
        <f t="shared" si="6"/>
        <v>7</v>
      </c>
      <c r="B404" s="134">
        <v>45486</v>
      </c>
      <c r="C404" s="70">
        <v>6011</v>
      </c>
      <c r="D404" s="70" t="s">
        <v>102</v>
      </c>
      <c r="E404" s="280" t="s">
        <v>3193</v>
      </c>
      <c r="F404" s="1049">
        <v>300</v>
      </c>
      <c r="G404" s="1049">
        <v>0</v>
      </c>
      <c r="H404" s="564"/>
      <c r="I404" s="609"/>
      <c r="J404" s="609"/>
      <c r="K404" s="609"/>
      <c r="L404" s="609"/>
      <c r="M404" s="609"/>
      <c r="N404" s="599"/>
      <c r="O404" s="552" t="s">
        <v>1584</v>
      </c>
      <c r="P404" s="603"/>
      <c r="Q404" s="869"/>
      <c r="R404" s="869"/>
      <c r="S404" s="869"/>
      <c r="T404" s="869"/>
      <c r="U404" s="869"/>
      <c r="V404" s="869"/>
      <c r="W404" s="869"/>
      <c r="X404" s="869"/>
    </row>
    <row r="405" spans="1:24">
      <c r="A405" s="1045">
        <f t="shared" si="6"/>
        <v>7</v>
      </c>
      <c r="B405" s="134">
        <v>45486</v>
      </c>
      <c r="C405" s="70">
        <v>6250</v>
      </c>
      <c r="D405" s="70" t="s">
        <v>129</v>
      </c>
      <c r="E405" s="280" t="s">
        <v>3194</v>
      </c>
      <c r="F405" s="1049">
        <v>10</v>
      </c>
      <c r="G405" s="1049">
        <v>0</v>
      </c>
      <c r="H405" s="564"/>
      <c r="I405" s="609"/>
      <c r="J405" s="609"/>
      <c r="K405" s="609"/>
      <c r="L405" s="609"/>
      <c r="M405" s="609"/>
      <c r="N405" s="599"/>
      <c r="O405" s="552" t="s">
        <v>1584</v>
      </c>
      <c r="P405" s="603"/>
      <c r="Q405" s="869"/>
      <c r="R405" s="869"/>
      <c r="S405" s="869"/>
      <c r="T405" s="869"/>
      <c r="U405" s="869"/>
      <c r="V405" s="869"/>
      <c r="W405" s="869"/>
      <c r="X405" s="869"/>
    </row>
    <row r="406" spans="1:24">
      <c r="A406" s="1045">
        <f t="shared" si="6"/>
        <v>7</v>
      </c>
      <c r="B406" s="134">
        <v>45486</v>
      </c>
      <c r="C406" s="70">
        <v>1025</v>
      </c>
      <c r="D406" s="70" t="s">
        <v>5120</v>
      </c>
      <c r="E406" s="280" t="s">
        <v>3195</v>
      </c>
      <c r="F406" s="1049">
        <v>0</v>
      </c>
      <c r="G406" s="1049">
        <v>2510</v>
      </c>
      <c r="H406" s="564"/>
      <c r="I406" s="609"/>
      <c r="J406" s="609"/>
      <c r="K406" s="609"/>
      <c r="L406" s="609"/>
      <c r="M406" s="609"/>
      <c r="N406" s="599"/>
      <c r="O406" s="552" t="s">
        <v>1584</v>
      </c>
      <c r="P406" s="603"/>
      <c r="Q406" s="869"/>
      <c r="R406" s="869"/>
      <c r="S406" s="869"/>
      <c r="T406" s="869"/>
      <c r="U406" s="869"/>
      <c r="V406" s="869"/>
      <c r="W406" s="869"/>
      <c r="X406" s="869"/>
    </row>
    <row r="407" spans="1:24">
      <c r="A407" s="1045">
        <f t="shared" si="6"/>
        <v>7</v>
      </c>
      <c r="B407" s="134">
        <v>45486</v>
      </c>
      <c r="C407" s="70">
        <v>6250</v>
      </c>
      <c r="D407" s="70" t="s">
        <v>129</v>
      </c>
      <c r="E407" s="280" t="s">
        <v>3196</v>
      </c>
      <c r="F407" s="1049">
        <v>10</v>
      </c>
      <c r="G407" s="1049">
        <v>0</v>
      </c>
      <c r="H407" s="564"/>
      <c r="I407" s="609"/>
      <c r="J407" s="609"/>
      <c r="K407" s="609"/>
      <c r="L407" s="609"/>
      <c r="M407" s="609"/>
      <c r="N407" s="599"/>
      <c r="O407" s="552" t="s">
        <v>1584</v>
      </c>
      <c r="P407" s="603"/>
      <c r="Q407" s="869"/>
      <c r="R407" s="869"/>
      <c r="S407" s="869"/>
      <c r="T407" s="869"/>
      <c r="U407" s="869"/>
      <c r="V407" s="869"/>
      <c r="W407" s="869"/>
      <c r="X407" s="869"/>
    </row>
    <row r="408" spans="1:24">
      <c r="A408" s="1045">
        <f t="shared" si="6"/>
        <v>7</v>
      </c>
      <c r="B408" s="134">
        <v>45486</v>
      </c>
      <c r="C408" s="70">
        <v>2018</v>
      </c>
      <c r="D408" s="70" t="s">
        <v>58</v>
      </c>
      <c r="E408" s="280" t="s">
        <v>3196</v>
      </c>
      <c r="F408" s="1049">
        <v>0.48</v>
      </c>
      <c r="G408" s="1049">
        <v>0</v>
      </c>
      <c r="H408" s="564"/>
      <c r="I408" s="609"/>
      <c r="J408" s="609"/>
      <c r="K408" s="609"/>
      <c r="L408" s="609"/>
      <c r="M408" s="609"/>
      <c r="N408" s="599"/>
      <c r="O408" s="552" t="s">
        <v>1584</v>
      </c>
      <c r="P408" s="603"/>
      <c r="Q408" s="869"/>
      <c r="R408" s="869"/>
      <c r="S408" s="869"/>
      <c r="T408" s="869"/>
      <c r="U408" s="869"/>
      <c r="V408" s="869"/>
      <c r="W408" s="869"/>
      <c r="X408" s="869"/>
    </row>
    <row r="409" spans="1:24">
      <c r="A409" s="1045">
        <f t="shared" si="6"/>
        <v>7</v>
      </c>
      <c r="B409" s="134">
        <v>45486</v>
      </c>
      <c r="C409" s="70">
        <v>1017</v>
      </c>
      <c r="D409" s="70" t="s">
        <v>5118</v>
      </c>
      <c r="E409" s="280" t="s">
        <v>3196</v>
      </c>
      <c r="F409" s="1049">
        <v>0</v>
      </c>
      <c r="G409" s="1049">
        <v>10.48</v>
      </c>
      <c r="H409" s="564"/>
      <c r="I409" s="609"/>
      <c r="J409" s="609"/>
      <c r="K409" s="609"/>
      <c r="L409" s="609"/>
      <c r="M409" s="609"/>
      <c r="N409" s="599"/>
      <c r="O409" s="552" t="s">
        <v>1584</v>
      </c>
      <c r="P409" s="603"/>
      <c r="Q409" s="869"/>
      <c r="R409" s="869"/>
      <c r="S409" s="869"/>
      <c r="T409" s="869"/>
      <c r="U409" s="869"/>
      <c r="V409" s="869"/>
      <c r="W409" s="869"/>
      <c r="X409" s="869"/>
    </row>
    <row r="410" spans="1:24">
      <c r="A410" s="1045">
        <f t="shared" si="6"/>
        <v>7</v>
      </c>
      <c r="B410" s="134">
        <v>45487</v>
      </c>
      <c r="C410" s="70">
        <v>6250</v>
      </c>
      <c r="D410" s="70" t="s">
        <v>129</v>
      </c>
      <c r="E410" s="280" t="s">
        <v>3197</v>
      </c>
      <c r="F410" s="1049">
        <v>88.09</v>
      </c>
      <c r="G410" s="1049">
        <v>0</v>
      </c>
      <c r="H410" s="564"/>
      <c r="I410" s="609"/>
      <c r="J410" s="609"/>
      <c r="K410" s="609"/>
      <c r="L410" s="609"/>
      <c r="M410" s="609"/>
      <c r="N410" s="599"/>
      <c r="O410" s="552" t="s">
        <v>1584</v>
      </c>
      <c r="P410" s="603"/>
      <c r="Q410" s="869"/>
      <c r="R410" s="869"/>
      <c r="S410" s="869"/>
      <c r="T410" s="869"/>
      <c r="U410" s="869"/>
      <c r="V410" s="869"/>
      <c r="W410" s="869"/>
      <c r="X410" s="869"/>
    </row>
    <row r="411" spans="1:24">
      <c r="A411" s="1045">
        <f t="shared" si="6"/>
        <v>7</v>
      </c>
      <c r="B411" s="134">
        <v>45487</v>
      </c>
      <c r="C411" s="70">
        <v>2018</v>
      </c>
      <c r="D411" s="70" t="s">
        <v>58</v>
      </c>
      <c r="E411" s="280" t="s">
        <v>3197</v>
      </c>
      <c r="F411" s="1049">
        <v>4.4000000000000004</v>
      </c>
      <c r="G411" s="1049">
        <v>0</v>
      </c>
      <c r="H411" s="564"/>
      <c r="I411" s="609"/>
      <c r="J411" s="609"/>
      <c r="K411" s="609"/>
      <c r="L411" s="609"/>
      <c r="M411" s="609"/>
      <c r="N411" s="599"/>
      <c r="O411" s="552" t="s">
        <v>1584</v>
      </c>
      <c r="P411" s="603"/>
      <c r="Q411" s="869"/>
      <c r="R411" s="869"/>
      <c r="S411" s="869"/>
      <c r="T411" s="869"/>
      <c r="U411" s="869"/>
      <c r="V411" s="869"/>
      <c r="W411" s="869"/>
      <c r="X411" s="869"/>
    </row>
    <row r="412" spans="1:24">
      <c r="A412" s="1045">
        <f t="shared" si="6"/>
        <v>7</v>
      </c>
      <c r="B412" s="134">
        <v>45487</v>
      </c>
      <c r="C412" s="70">
        <v>1025</v>
      </c>
      <c r="D412" s="70" t="s">
        <v>5120</v>
      </c>
      <c r="E412" s="280" t="s">
        <v>3197</v>
      </c>
      <c r="F412" s="1049">
        <v>0</v>
      </c>
      <c r="G412" s="1049">
        <v>92.49</v>
      </c>
      <c r="H412" s="564"/>
      <c r="I412" s="609"/>
      <c r="J412" s="609"/>
      <c r="K412" s="609"/>
      <c r="L412" s="609"/>
      <c r="M412" s="609"/>
      <c r="N412" s="599"/>
      <c r="O412" s="552" t="s">
        <v>1584</v>
      </c>
      <c r="P412" s="603"/>
      <c r="Q412" s="869"/>
      <c r="R412" s="869"/>
      <c r="S412" s="869"/>
      <c r="T412" s="869"/>
      <c r="U412" s="869"/>
      <c r="V412" s="869"/>
      <c r="W412" s="869"/>
      <c r="X412" s="869"/>
    </row>
    <row r="413" spans="1:24">
      <c r="A413" s="1045">
        <f t="shared" si="6"/>
        <v>7</v>
      </c>
      <c r="B413" s="134">
        <v>45487</v>
      </c>
      <c r="C413" s="70">
        <v>6250</v>
      </c>
      <c r="D413" s="70" t="s">
        <v>129</v>
      </c>
      <c r="E413" s="380" t="s">
        <v>3198</v>
      </c>
      <c r="F413" s="1049">
        <v>15</v>
      </c>
      <c r="G413" s="1049">
        <v>0</v>
      </c>
      <c r="H413" s="564"/>
      <c r="I413" s="609"/>
      <c r="J413" s="609"/>
      <c r="K413" s="609"/>
      <c r="L413" s="609"/>
      <c r="M413" s="609"/>
      <c r="N413" s="599"/>
      <c r="O413" s="552" t="s">
        <v>1584</v>
      </c>
      <c r="P413" s="603"/>
      <c r="Q413" s="869"/>
      <c r="R413" s="869"/>
      <c r="S413" s="869"/>
      <c r="T413" s="869"/>
      <c r="U413" s="869"/>
      <c r="V413" s="869"/>
      <c r="W413" s="869"/>
      <c r="X413" s="869"/>
    </row>
    <row r="414" spans="1:24">
      <c r="A414" s="1045">
        <f t="shared" si="6"/>
        <v>7</v>
      </c>
      <c r="B414" s="134">
        <v>45487</v>
      </c>
      <c r="C414" s="70">
        <v>2018</v>
      </c>
      <c r="D414" s="70" t="s">
        <v>58</v>
      </c>
      <c r="E414" s="380" t="s">
        <v>3198</v>
      </c>
      <c r="F414" s="1049">
        <v>0.71</v>
      </c>
      <c r="G414" s="1049">
        <v>0</v>
      </c>
      <c r="H414" s="564"/>
      <c r="I414" s="609"/>
      <c r="J414" s="609"/>
      <c r="K414" s="609"/>
      <c r="L414" s="609"/>
      <c r="M414" s="609"/>
      <c r="N414" s="599"/>
      <c r="O414" s="552" t="s">
        <v>1584</v>
      </c>
      <c r="P414" s="603"/>
      <c r="Q414" s="869"/>
      <c r="R414" s="869"/>
      <c r="S414" s="869"/>
      <c r="T414" s="869"/>
      <c r="U414" s="869"/>
      <c r="V414" s="869"/>
      <c r="W414" s="869"/>
      <c r="X414" s="869"/>
    </row>
    <row r="415" spans="1:24">
      <c r="A415" s="1045">
        <f t="shared" si="6"/>
        <v>7</v>
      </c>
      <c r="B415" s="134">
        <v>45487</v>
      </c>
      <c r="C415" s="70">
        <v>1017</v>
      </c>
      <c r="D415" s="70" t="s">
        <v>5118</v>
      </c>
      <c r="E415" s="280" t="s">
        <v>3198</v>
      </c>
      <c r="F415" s="1049">
        <v>0</v>
      </c>
      <c r="G415" s="1049">
        <v>15.71</v>
      </c>
      <c r="H415" s="564"/>
      <c r="I415" s="609"/>
      <c r="J415" s="609"/>
      <c r="K415" s="609"/>
      <c r="L415" s="609"/>
      <c r="M415" s="609"/>
      <c r="N415" s="599"/>
      <c r="O415" s="552" t="s">
        <v>1584</v>
      </c>
      <c r="P415" s="603"/>
      <c r="Q415" s="869"/>
      <c r="R415" s="869"/>
      <c r="S415" s="869"/>
      <c r="T415" s="869"/>
      <c r="U415" s="869"/>
      <c r="V415" s="869"/>
      <c r="W415" s="869"/>
      <c r="X415" s="869"/>
    </row>
    <row r="416" spans="1:24">
      <c r="A416" s="1045">
        <f t="shared" si="6"/>
        <v>7</v>
      </c>
      <c r="B416" s="134">
        <v>45487</v>
      </c>
      <c r="C416" s="70">
        <v>6250</v>
      </c>
      <c r="D416" s="70" t="s">
        <v>129</v>
      </c>
      <c r="E416" s="280" t="s">
        <v>3198</v>
      </c>
      <c r="F416" s="1049">
        <v>10</v>
      </c>
      <c r="G416" s="1049">
        <v>0</v>
      </c>
      <c r="H416" s="564"/>
      <c r="I416" s="609"/>
      <c r="J416" s="609"/>
      <c r="K416" s="609"/>
      <c r="L416" s="609"/>
      <c r="M416" s="609"/>
      <c r="N416" s="599"/>
      <c r="O416" s="552" t="s">
        <v>1584</v>
      </c>
      <c r="P416" s="603"/>
      <c r="Q416" s="869"/>
      <c r="R416" s="869"/>
      <c r="S416" s="869"/>
      <c r="T416" s="869"/>
      <c r="U416" s="869"/>
      <c r="V416" s="869"/>
      <c r="W416" s="869"/>
      <c r="X416" s="869"/>
    </row>
    <row r="417" spans="1:24">
      <c r="A417" s="1045">
        <f t="shared" si="6"/>
        <v>7</v>
      </c>
      <c r="B417" s="134">
        <v>45487</v>
      </c>
      <c r="C417" s="70">
        <v>2018</v>
      </c>
      <c r="D417" s="70" t="s">
        <v>58</v>
      </c>
      <c r="E417" s="280" t="s">
        <v>3198</v>
      </c>
      <c r="F417" s="1049">
        <v>0.48</v>
      </c>
      <c r="G417" s="1049">
        <v>0</v>
      </c>
      <c r="H417" s="564"/>
      <c r="I417" s="609"/>
      <c r="J417" s="609"/>
      <c r="K417" s="609"/>
      <c r="L417" s="609"/>
      <c r="M417" s="609"/>
      <c r="N417" s="599"/>
      <c r="O417" s="552" t="s">
        <v>1584</v>
      </c>
      <c r="P417" s="603"/>
      <c r="Q417" s="869"/>
      <c r="R417" s="869"/>
      <c r="S417" s="869"/>
      <c r="T417" s="869"/>
      <c r="U417" s="869"/>
      <c r="V417" s="869"/>
      <c r="W417" s="869"/>
      <c r="X417" s="869"/>
    </row>
    <row r="418" spans="1:24">
      <c r="A418" s="1045">
        <f t="shared" si="6"/>
        <v>7</v>
      </c>
      <c r="B418" s="134">
        <v>45487</v>
      </c>
      <c r="C418" s="70">
        <v>1017</v>
      </c>
      <c r="D418" s="70" t="s">
        <v>5118</v>
      </c>
      <c r="E418" s="280" t="s">
        <v>3198</v>
      </c>
      <c r="F418" s="1049">
        <v>0</v>
      </c>
      <c r="G418" s="1049">
        <v>10.48</v>
      </c>
      <c r="H418" s="564"/>
      <c r="I418" s="609"/>
      <c r="J418" s="609"/>
      <c r="K418" s="609"/>
      <c r="L418" s="609"/>
      <c r="M418" s="609"/>
      <c r="N418" s="599"/>
      <c r="O418" s="552" t="s">
        <v>1584</v>
      </c>
      <c r="P418" s="603"/>
      <c r="Q418" s="869"/>
      <c r="R418" s="869"/>
      <c r="S418" s="869"/>
      <c r="T418" s="869"/>
      <c r="U418" s="869"/>
      <c r="V418" s="869"/>
      <c r="W418" s="869"/>
      <c r="X418" s="869"/>
    </row>
    <row r="419" spans="1:24">
      <c r="A419" s="1045">
        <f t="shared" si="6"/>
        <v>7</v>
      </c>
      <c r="B419" s="134">
        <v>45487</v>
      </c>
      <c r="C419" s="70">
        <v>6250</v>
      </c>
      <c r="D419" s="70" t="s">
        <v>129</v>
      </c>
      <c r="E419" s="280" t="s">
        <v>3198</v>
      </c>
      <c r="F419" s="1049">
        <v>3.5</v>
      </c>
      <c r="G419" s="1049">
        <v>0</v>
      </c>
      <c r="H419" s="564"/>
      <c r="I419" s="609"/>
      <c r="J419" s="609"/>
      <c r="K419" s="609"/>
      <c r="L419" s="609"/>
      <c r="M419" s="609"/>
      <c r="N419" s="599"/>
      <c r="O419" s="552" t="s">
        <v>1584</v>
      </c>
      <c r="P419" s="603"/>
      <c r="Q419" s="869"/>
      <c r="R419" s="869"/>
      <c r="S419" s="869"/>
      <c r="T419" s="869"/>
      <c r="U419" s="869"/>
      <c r="V419" s="869"/>
      <c r="W419" s="869"/>
      <c r="X419" s="869"/>
    </row>
    <row r="420" spans="1:24">
      <c r="A420" s="1045">
        <f t="shared" si="6"/>
        <v>7</v>
      </c>
      <c r="B420" s="134">
        <v>45487</v>
      </c>
      <c r="C420" s="70">
        <v>2018</v>
      </c>
      <c r="D420" s="70" t="s">
        <v>58</v>
      </c>
      <c r="E420" s="280" t="s">
        <v>3198</v>
      </c>
      <c r="F420" s="1049">
        <v>0.18</v>
      </c>
      <c r="G420" s="1049">
        <v>0</v>
      </c>
      <c r="H420" s="564"/>
      <c r="I420" s="609"/>
      <c r="J420" s="609"/>
      <c r="K420" s="609"/>
      <c r="L420" s="609"/>
      <c r="M420" s="609"/>
      <c r="N420" s="599"/>
      <c r="O420" s="552" t="s">
        <v>1584</v>
      </c>
      <c r="P420" s="603"/>
      <c r="Q420" s="869"/>
      <c r="R420" s="869"/>
      <c r="S420" s="869"/>
      <c r="T420" s="869"/>
      <c r="U420" s="869"/>
      <c r="V420" s="869"/>
      <c r="W420" s="869"/>
      <c r="X420" s="869"/>
    </row>
    <row r="421" spans="1:24">
      <c r="A421" s="1045">
        <f t="shared" si="6"/>
        <v>7</v>
      </c>
      <c r="B421" s="134">
        <v>45487</v>
      </c>
      <c r="C421" s="70">
        <v>1017</v>
      </c>
      <c r="D421" s="70" t="s">
        <v>5118</v>
      </c>
      <c r="E421" s="280" t="s">
        <v>3198</v>
      </c>
      <c r="F421" s="1049">
        <v>0</v>
      </c>
      <c r="G421" s="1049">
        <v>3.68</v>
      </c>
      <c r="H421" s="564"/>
      <c r="I421" s="609"/>
      <c r="J421" s="609"/>
      <c r="K421" s="609"/>
      <c r="L421" s="609"/>
      <c r="M421" s="609"/>
      <c r="N421" s="599"/>
      <c r="O421" s="552" t="s">
        <v>1584</v>
      </c>
      <c r="P421" s="603"/>
      <c r="Q421" s="869"/>
      <c r="R421" s="869"/>
      <c r="S421" s="869"/>
      <c r="T421" s="869"/>
      <c r="U421" s="869"/>
      <c r="V421" s="869"/>
      <c r="W421" s="869"/>
      <c r="X421" s="869"/>
    </row>
    <row r="422" spans="1:24">
      <c r="A422" s="1045">
        <f t="shared" si="6"/>
        <v>7</v>
      </c>
      <c r="B422" s="134">
        <v>45487</v>
      </c>
      <c r="C422" s="70">
        <v>6250</v>
      </c>
      <c r="D422" s="70" t="s">
        <v>129</v>
      </c>
      <c r="E422" s="280" t="s">
        <v>3198</v>
      </c>
      <c r="F422" s="1049">
        <v>8</v>
      </c>
      <c r="G422" s="1049">
        <v>0</v>
      </c>
      <c r="H422" s="564"/>
      <c r="I422" s="609"/>
      <c r="J422" s="609"/>
      <c r="K422" s="609"/>
      <c r="L422" s="609"/>
      <c r="M422" s="609"/>
      <c r="N422" s="599"/>
      <c r="O422" s="552" t="s">
        <v>1584</v>
      </c>
      <c r="P422" s="603"/>
      <c r="Q422" s="869"/>
      <c r="R422" s="869"/>
      <c r="S422" s="869"/>
      <c r="T422" s="869"/>
      <c r="U422" s="869"/>
      <c r="V422" s="869"/>
      <c r="W422" s="869"/>
      <c r="X422" s="869"/>
    </row>
    <row r="423" spans="1:24">
      <c r="A423" s="1045">
        <f t="shared" si="6"/>
        <v>7</v>
      </c>
      <c r="B423" s="134">
        <v>45487</v>
      </c>
      <c r="C423" s="70">
        <v>2018</v>
      </c>
      <c r="D423" s="70" t="s">
        <v>58</v>
      </c>
      <c r="E423" s="280" t="s">
        <v>3198</v>
      </c>
      <c r="F423" s="1049">
        <v>0.4</v>
      </c>
      <c r="G423" s="1049">
        <v>0</v>
      </c>
      <c r="H423" s="564"/>
      <c r="I423" s="609"/>
      <c r="J423" s="609"/>
      <c r="K423" s="609"/>
      <c r="L423" s="609"/>
      <c r="M423" s="609"/>
      <c r="N423" s="599"/>
      <c r="O423" s="552" t="s">
        <v>1584</v>
      </c>
      <c r="P423" s="603"/>
      <c r="Q423" s="869"/>
      <c r="R423" s="869"/>
      <c r="S423" s="869"/>
      <c r="T423" s="869"/>
      <c r="U423" s="869"/>
      <c r="V423" s="869"/>
      <c r="W423" s="869"/>
      <c r="X423" s="869"/>
    </row>
    <row r="424" spans="1:24">
      <c r="A424" s="1045">
        <f t="shared" si="6"/>
        <v>7</v>
      </c>
      <c r="B424" s="134">
        <v>45487</v>
      </c>
      <c r="C424" s="70">
        <v>1017</v>
      </c>
      <c r="D424" s="70" t="s">
        <v>5118</v>
      </c>
      <c r="E424" s="280" t="s">
        <v>3198</v>
      </c>
      <c r="F424" s="1049">
        <v>0</v>
      </c>
      <c r="G424" s="1049">
        <v>8.4</v>
      </c>
      <c r="H424" s="564"/>
      <c r="I424" s="609"/>
      <c r="J424" s="609"/>
      <c r="K424" s="609"/>
      <c r="L424" s="609"/>
      <c r="M424" s="609"/>
      <c r="N424" s="599"/>
      <c r="O424" s="552" t="s">
        <v>1584</v>
      </c>
      <c r="P424" s="603"/>
      <c r="Q424" s="869"/>
      <c r="R424" s="869"/>
      <c r="S424" s="869"/>
      <c r="T424" s="869"/>
      <c r="U424" s="869"/>
      <c r="V424" s="869"/>
      <c r="W424" s="869"/>
      <c r="X424" s="869"/>
    </row>
    <row r="425" spans="1:24">
      <c r="A425" s="1045">
        <f t="shared" si="6"/>
        <v>7</v>
      </c>
      <c r="B425" s="134">
        <v>45488</v>
      </c>
      <c r="C425" s="70">
        <v>6007</v>
      </c>
      <c r="D425" s="70" t="s">
        <v>98</v>
      </c>
      <c r="E425" s="280" t="s">
        <v>3199</v>
      </c>
      <c r="F425" s="1049">
        <v>1250</v>
      </c>
      <c r="G425" s="1049">
        <v>0</v>
      </c>
      <c r="H425" s="564"/>
      <c r="I425" s="609"/>
      <c r="J425" s="609"/>
      <c r="K425" s="609"/>
      <c r="L425" s="609"/>
      <c r="M425" s="609"/>
      <c r="N425" s="599"/>
      <c r="O425" s="552" t="s">
        <v>1584</v>
      </c>
      <c r="P425" s="603"/>
      <c r="Q425" s="869"/>
      <c r="R425" s="869"/>
      <c r="S425" s="869"/>
      <c r="T425" s="869"/>
      <c r="U425" s="869"/>
      <c r="V425" s="869"/>
      <c r="W425" s="869"/>
      <c r="X425" s="869"/>
    </row>
    <row r="426" spans="1:24">
      <c r="A426" s="1045">
        <f t="shared" si="6"/>
        <v>7</v>
      </c>
      <c r="B426" s="134">
        <v>45488</v>
      </c>
      <c r="C426" s="70">
        <v>2018</v>
      </c>
      <c r="D426" s="70" t="s">
        <v>58</v>
      </c>
      <c r="E426" s="280" t="s">
        <v>3199</v>
      </c>
      <c r="F426" s="1049">
        <v>30.11</v>
      </c>
      <c r="G426" s="1049">
        <v>0</v>
      </c>
      <c r="H426" s="564"/>
      <c r="I426" s="609"/>
      <c r="J426" s="609"/>
      <c r="K426" s="609"/>
      <c r="L426" s="609"/>
      <c r="M426" s="609"/>
      <c r="N426" s="599"/>
      <c r="O426" s="552" t="s">
        <v>1584</v>
      </c>
      <c r="P426" s="603"/>
      <c r="Q426" s="869"/>
      <c r="R426" s="869"/>
      <c r="S426" s="869"/>
      <c r="T426" s="869"/>
      <c r="U426" s="869"/>
      <c r="V426" s="869"/>
      <c r="W426" s="869"/>
      <c r="X426" s="869"/>
    </row>
    <row r="427" spans="1:24">
      <c r="A427" s="1045">
        <f t="shared" si="6"/>
        <v>7</v>
      </c>
      <c r="B427" s="134">
        <v>45488</v>
      </c>
      <c r="C427" s="70">
        <v>7200</v>
      </c>
      <c r="D427" s="70" t="s">
        <v>140</v>
      </c>
      <c r="E427" s="280" t="s">
        <v>3199</v>
      </c>
      <c r="F427" s="1049">
        <v>11</v>
      </c>
      <c r="G427" s="1049">
        <v>0</v>
      </c>
      <c r="H427" s="564"/>
      <c r="I427" s="609"/>
      <c r="J427" s="609"/>
      <c r="K427" s="609"/>
      <c r="L427" s="609"/>
      <c r="M427" s="609"/>
      <c r="N427" s="599"/>
      <c r="O427" s="552" t="s">
        <v>1584</v>
      </c>
      <c r="P427" s="603"/>
      <c r="Q427" s="869"/>
      <c r="R427" s="869"/>
      <c r="S427" s="869"/>
      <c r="T427" s="869"/>
      <c r="U427" s="869"/>
      <c r="V427" s="869"/>
      <c r="W427" s="869"/>
      <c r="X427" s="869"/>
    </row>
    <row r="428" spans="1:24">
      <c r="A428" s="1045">
        <f t="shared" si="6"/>
        <v>7</v>
      </c>
      <c r="B428" s="134">
        <v>45488</v>
      </c>
      <c r="C428" s="70">
        <v>1025</v>
      </c>
      <c r="D428" s="70" t="s">
        <v>5120</v>
      </c>
      <c r="E428" s="280" t="s">
        <v>3199</v>
      </c>
      <c r="F428" s="1049">
        <v>0</v>
      </c>
      <c r="G428" s="1049">
        <v>1291.1099999999999</v>
      </c>
      <c r="H428" s="564"/>
      <c r="I428" s="609"/>
      <c r="J428" s="609"/>
      <c r="K428" s="609"/>
      <c r="L428" s="609"/>
      <c r="M428" s="609"/>
      <c r="N428" s="599"/>
      <c r="O428" s="552" t="s">
        <v>1584</v>
      </c>
      <c r="P428" s="603"/>
      <c r="Q428" s="869"/>
      <c r="R428" s="869"/>
      <c r="S428" s="869"/>
      <c r="T428" s="869"/>
      <c r="U428" s="869"/>
      <c r="V428" s="869"/>
      <c r="W428" s="869"/>
      <c r="X428" s="869"/>
    </row>
    <row r="429" spans="1:24">
      <c r="A429" s="1045">
        <f t="shared" si="6"/>
        <v>7</v>
      </c>
      <c r="B429" s="134">
        <v>45488</v>
      </c>
      <c r="C429" s="70">
        <v>1011</v>
      </c>
      <c r="D429" s="70" t="s">
        <v>34</v>
      </c>
      <c r="E429" s="280" t="s">
        <v>3200</v>
      </c>
      <c r="F429" s="1049">
        <v>5000</v>
      </c>
      <c r="G429" s="1049">
        <v>0</v>
      </c>
      <c r="H429" s="564"/>
      <c r="I429" s="609"/>
      <c r="J429" s="609"/>
      <c r="K429" s="609"/>
      <c r="L429" s="609"/>
      <c r="M429" s="609"/>
      <c r="N429" s="599"/>
      <c r="O429" s="552" t="s">
        <v>1584</v>
      </c>
      <c r="P429" s="603"/>
      <c r="Q429" s="869"/>
      <c r="R429" s="869"/>
      <c r="S429" s="869"/>
      <c r="T429" s="869"/>
      <c r="U429" s="869"/>
      <c r="V429" s="869"/>
      <c r="W429" s="869"/>
      <c r="X429" s="869"/>
    </row>
    <row r="430" spans="1:24">
      <c r="A430" s="1045">
        <f t="shared" si="6"/>
        <v>7</v>
      </c>
      <c r="B430" s="134">
        <v>45488</v>
      </c>
      <c r="C430" s="70">
        <v>1025</v>
      </c>
      <c r="D430" s="70" t="s">
        <v>5120</v>
      </c>
      <c r="E430" s="280" t="s">
        <v>3200</v>
      </c>
      <c r="F430" s="1049">
        <v>0</v>
      </c>
      <c r="G430" s="1049">
        <v>5000</v>
      </c>
      <c r="H430" s="564"/>
      <c r="I430" s="609"/>
      <c r="J430" s="609"/>
      <c r="K430" s="609"/>
      <c r="L430" s="609"/>
      <c r="M430" s="609"/>
      <c r="N430" s="599"/>
      <c r="O430" s="552" t="s">
        <v>1584</v>
      </c>
      <c r="P430" s="603"/>
      <c r="Q430" s="869"/>
      <c r="R430" s="869"/>
      <c r="S430" s="869"/>
      <c r="T430" s="869"/>
      <c r="U430" s="869"/>
      <c r="V430" s="869"/>
      <c r="W430" s="869"/>
      <c r="X430" s="869"/>
    </row>
    <row r="431" spans="1:24">
      <c r="A431" s="1045">
        <f t="shared" si="6"/>
        <v>7</v>
      </c>
      <c r="B431" s="134">
        <v>45488</v>
      </c>
      <c r="C431" s="70">
        <v>1017</v>
      </c>
      <c r="D431" s="70" t="s">
        <v>5118</v>
      </c>
      <c r="E431" s="280" t="s">
        <v>3201</v>
      </c>
      <c r="F431" s="1049">
        <v>15000</v>
      </c>
      <c r="G431" s="1049">
        <v>0</v>
      </c>
      <c r="H431" s="564"/>
      <c r="I431" s="609"/>
      <c r="J431" s="609"/>
      <c r="K431" s="609"/>
      <c r="L431" s="609"/>
      <c r="M431" s="609"/>
      <c r="N431" s="599"/>
      <c r="O431" s="552" t="s">
        <v>1584</v>
      </c>
      <c r="P431" s="603"/>
      <c r="Q431" s="869"/>
      <c r="R431" s="869"/>
      <c r="S431" s="869"/>
      <c r="T431" s="869"/>
      <c r="U431" s="869"/>
      <c r="V431" s="869"/>
      <c r="W431" s="869"/>
      <c r="X431" s="869"/>
    </row>
    <row r="432" spans="1:24">
      <c r="A432" s="1045">
        <f t="shared" si="6"/>
        <v>7</v>
      </c>
      <c r="B432" s="134">
        <v>45488</v>
      </c>
      <c r="C432" s="70">
        <v>1022</v>
      </c>
      <c r="D432" s="70" t="s">
        <v>5119</v>
      </c>
      <c r="E432" s="280" t="s">
        <v>3201</v>
      </c>
      <c r="F432" s="1049">
        <v>0</v>
      </c>
      <c r="G432" s="1049">
        <v>15000</v>
      </c>
      <c r="H432" s="564"/>
      <c r="I432" s="609"/>
      <c r="J432" s="609"/>
      <c r="K432" s="609"/>
      <c r="L432" s="609"/>
      <c r="M432" s="609"/>
      <c r="N432" s="599"/>
      <c r="O432" s="552" t="s">
        <v>1584</v>
      </c>
      <c r="P432" s="603"/>
      <c r="Q432" s="869"/>
      <c r="R432" s="869"/>
      <c r="S432" s="869"/>
      <c r="T432" s="869"/>
      <c r="U432" s="869"/>
      <c r="V432" s="869"/>
      <c r="W432" s="869"/>
      <c r="X432" s="869"/>
    </row>
    <row r="433" spans="1:24">
      <c r="A433" s="1045">
        <f t="shared" si="6"/>
        <v>7</v>
      </c>
      <c r="B433" s="134">
        <v>45488</v>
      </c>
      <c r="C433" s="70">
        <v>6013</v>
      </c>
      <c r="D433" s="70" t="s">
        <v>104</v>
      </c>
      <c r="E433" s="280" t="s">
        <v>3202</v>
      </c>
      <c r="F433" s="1049">
        <v>3626.91</v>
      </c>
      <c r="G433" s="1049">
        <v>0</v>
      </c>
      <c r="H433" s="564"/>
      <c r="I433" s="609"/>
      <c r="J433" s="609"/>
      <c r="K433" s="609"/>
      <c r="L433" s="609"/>
      <c r="M433" s="609"/>
      <c r="N433" s="599"/>
      <c r="O433" s="552" t="s">
        <v>1584</v>
      </c>
      <c r="P433" s="603"/>
      <c r="Q433" s="869"/>
      <c r="R433" s="869"/>
      <c r="S433" s="869"/>
      <c r="T433" s="869"/>
      <c r="U433" s="869"/>
      <c r="V433" s="869"/>
      <c r="W433" s="869"/>
      <c r="X433" s="869"/>
    </row>
    <row r="434" spans="1:24">
      <c r="A434" s="1045">
        <f t="shared" si="6"/>
        <v>7</v>
      </c>
      <c r="B434" s="134">
        <v>45488</v>
      </c>
      <c r="C434" s="70">
        <v>1025</v>
      </c>
      <c r="D434" s="70" t="s">
        <v>5120</v>
      </c>
      <c r="E434" s="280" t="s">
        <v>3202</v>
      </c>
      <c r="F434" s="1049">
        <v>0</v>
      </c>
      <c r="G434" s="1049">
        <v>3626.91</v>
      </c>
      <c r="H434" s="564"/>
      <c r="I434" s="609"/>
      <c r="J434" s="609"/>
      <c r="K434" s="609"/>
      <c r="L434" s="609"/>
      <c r="M434" s="609"/>
      <c r="N434" s="599"/>
      <c r="O434" s="552" t="s">
        <v>1584</v>
      </c>
      <c r="P434" s="603"/>
      <c r="Q434" s="869"/>
      <c r="R434" s="869"/>
      <c r="S434" s="869"/>
      <c r="T434" s="869"/>
      <c r="U434" s="869"/>
      <c r="V434" s="869"/>
      <c r="W434" s="869"/>
      <c r="X434" s="869"/>
    </row>
    <row r="435" spans="1:24">
      <c r="A435" s="1045">
        <f t="shared" si="6"/>
        <v>7</v>
      </c>
      <c r="B435" s="134">
        <v>45488</v>
      </c>
      <c r="C435" s="70">
        <v>6006</v>
      </c>
      <c r="D435" s="70" t="s">
        <v>97</v>
      </c>
      <c r="E435" s="280" t="s">
        <v>3203</v>
      </c>
      <c r="F435" s="1049">
        <v>523.46</v>
      </c>
      <c r="G435" s="1049">
        <v>0</v>
      </c>
      <c r="H435" s="564"/>
      <c r="I435" s="609"/>
      <c r="J435" s="609"/>
      <c r="K435" s="609"/>
      <c r="L435" s="609"/>
      <c r="M435" s="609"/>
      <c r="N435" s="599"/>
      <c r="O435" s="552" t="s">
        <v>1584</v>
      </c>
      <c r="P435" s="603"/>
      <c r="Q435" s="869"/>
      <c r="R435" s="869"/>
      <c r="S435" s="869"/>
      <c r="T435" s="869"/>
      <c r="U435" s="869"/>
      <c r="V435" s="869"/>
      <c r="W435" s="869"/>
      <c r="X435" s="869"/>
    </row>
    <row r="436" spans="1:24">
      <c r="A436" s="1045">
        <f t="shared" si="6"/>
        <v>7</v>
      </c>
      <c r="B436" s="134">
        <v>45488</v>
      </c>
      <c r="C436" s="70">
        <v>1025</v>
      </c>
      <c r="D436" s="70" t="s">
        <v>5120</v>
      </c>
      <c r="E436" s="280" t="s">
        <v>3203</v>
      </c>
      <c r="F436" s="1049">
        <v>0</v>
      </c>
      <c r="G436" s="1049">
        <v>523.46</v>
      </c>
      <c r="H436" s="564"/>
      <c r="I436" s="609"/>
      <c r="J436" s="609"/>
      <c r="K436" s="609"/>
      <c r="L436" s="609"/>
      <c r="M436" s="609"/>
      <c r="N436" s="599"/>
      <c r="O436" s="552" t="s">
        <v>1584</v>
      </c>
      <c r="P436" s="603"/>
      <c r="Q436" s="869"/>
      <c r="R436" s="869"/>
      <c r="S436" s="869"/>
      <c r="T436" s="869"/>
      <c r="U436" s="869"/>
      <c r="V436" s="869"/>
      <c r="W436" s="869"/>
      <c r="X436" s="869"/>
    </row>
    <row r="437" spans="1:24">
      <c r="A437" s="1045">
        <f t="shared" si="6"/>
        <v>7</v>
      </c>
      <c r="B437" s="134">
        <v>45488</v>
      </c>
      <c r="C437" s="70">
        <v>7300</v>
      </c>
      <c r="D437" s="70" t="s">
        <v>142</v>
      </c>
      <c r="E437" s="280" t="s">
        <v>3204</v>
      </c>
      <c r="F437" s="1049">
        <v>189</v>
      </c>
      <c r="G437" s="1049">
        <v>0</v>
      </c>
      <c r="H437" s="564"/>
      <c r="I437" s="609"/>
      <c r="J437" s="609"/>
      <c r="K437" s="609"/>
      <c r="L437" s="609"/>
      <c r="M437" s="609"/>
      <c r="N437" s="599"/>
      <c r="O437" s="552" t="s">
        <v>1584</v>
      </c>
      <c r="P437" s="603"/>
      <c r="Q437" s="869"/>
      <c r="R437" s="869"/>
      <c r="S437" s="869"/>
      <c r="T437" s="869"/>
      <c r="U437" s="869"/>
      <c r="V437" s="869"/>
      <c r="W437" s="869"/>
      <c r="X437" s="869"/>
    </row>
    <row r="438" spans="1:24">
      <c r="A438" s="1045">
        <f t="shared" si="6"/>
        <v>7</v>
      </c>
      <c r="B438" s="134">
        <v>45488</v>
      </c>
      <c r="C438" s="70">
        <v>1025</v>
      </c>
      <c r="D438" s="70" t="s">
        <v>5120</v>
      </c>
      <c r="E438" s="280" t="s">
        <v>3204</v>
      </c>
      <c r="F438" s="1049">
        <v>0</v>
      </c>
      <c r="G438" s="1049">
        <v>189</v>
      </c>
      <c r="H438" s="564"/>
      <c r="I438" s="609"/>
      <c r="J438" s="609"/>
      <c r="K438" s="609"/>
      <c r="L438" s="609"/>
      <c r="M438" s="609"/>
      <c r="N438" s="599"/>
      <c r="O438" s="552" t="s">
        <v>1584</v>
      </c>
      <c r="P438" s="603"/>
      <c r="Q438" s="869"/>
      <c r="R438" s="869"/>
      <c r="S438" s="869"/>
      <c r="T438" s="869"/>
      <c r="U438" s="869"/>
      <c r="V438" s="869"/>
      <c r="W438" s="869"/>
      <c r="X438" s="869"/>
    </row>
    <row r="439" spans="1:24">
      <c r="A439" s="1045">
        <f t="shared" si="6"/>
        <v>7</v>
      </c>
      <c r="B439" s="134">
        <v>45488</v>
      </c>
      <c r="C439" s="70">
        <v>6013</v>
      </c>
      <c r="D439" s="70" t="s">
        <v>104</v>
      </c>
      <c r="E439" s="280" t="s">
        <v>3205</v>
      </c>
      <c r="F439" s="1049">
        <v>76.14</v>
      </c>
      <c r="G439" s="1049">
        <v>0</v>
      </c>
      <c r="H439" s="564"/>
      <c r="I439" s="609"/>
      <c r="J439" s="609"/>
      <c r="K439" s="609"/>
      <c r="L439" s="609"/>
      <c r="M439" s="609"/>
      <c r="N439" s="599"/>
      <c r="O439" s="552" t="s">
        <v>1584</v>
      </c>
      <c r="P439" s="603"/>
      <c r="Q439" s="869"/>
      <c r="R439" s="869"/>
      <c r="S439" s="869"/>
      <c r="T439" s="869"/>
      <c r="U439" s="869"/>
      <c r="V439" s="869"/>
      <c r="W439" s="869"/>
      <c r="X439" s="869"/>
    </row>
    <row r="440" spans="1:24">
      <c r="A440" s="1045">
        <f t="shared" si="6"/>
        <v>7</v>
      </c>
      <c r="B440" s="134">
        <v>45488</v>
      </c>
      <c r="C440" s="70">
        <v>1025</v>
      </c>
      <c r="D440" s="70" t="s">
        <v>5120</v>
      </c>
      <c r="E440" s="280" t="s">
        <v>3205</v>
      </c>
      <c r="F440" s="1049">
        <v>0</v>
      </c>
      <c r="G440" s="1049">
        <v>76.14</v>
      </c>
      <c r="H440" s="564"/>
      <c r="I440" s="609"/>
      <c r="J440" s="609"/>
      <c r="K440" s="609"/>
      <c r="L440" s="609"/>
      <c r="M440" s="609"/>
      <c r="N440" s="599"/>
      <c r="O440" s="552" t="s">
        <v>1584</v>
      </c>
      <c r="P440" s="603"/>
      <c r="Q440" s="869"/>
      <c r="R440" s="869"/>
      <c r="S440" s="869"/>
      <c r="T440" s="869"/>
      <c r="U440" s="869"/>
      <c r="V440" s="869"/>
      <c r="W440" s="869"/>
      <c r="X440" s="869"/>
    </row>
    <row r="441" spans="1:24">
      <c r="A441" s="1045">
        <f t="shared" si="6"/>
        <v>7</v>
      </c>
      <c r="B441" s="134">
        <v>45488</v>
      </c>
      <c r="C441" s="70">
        <v>6013</v>
      </c>
      <c r="D441" s="70" t="s">
        <v>104</v>
      </c>
      <c r="E441" s="280" t="s">
        <v>3206</v>
      </c>
      <c r="F441" s="1049">
        <v>354.55</v>
      </c>
      <c r="G441" s="1049">
        <v>0</v>
      </c>
      <c r="H441" s="564"/>
      <c r="I441" s="609"/>
      <c r="J441" s="609"/>
      <c r="K441" s="609"/>
      <c r="L441" s="609"/>
      <c r="M441" s="609"/>
      <c r="N441" s="599"/>
      <c r="O441" s="552" t="s">
        <v>1584</v>
      </c>
      <c r="P441" s="603"/>
      <c r="Q441" s="869"/>
      <c r="R441" s="869"/>
      <c r="S441" s="869"/>
      <c r="T441" s="869"/>
      <c r="U441" s="869"/>
      <c r="V441" s="869"/>
      <c r="W441" s="869"/>
      <c r="X441" s="869"/>
    </row>
    <row r="442" spans="1:24">
      <c r="A442" s="1045">
        <f t="shared" si="6"/>
        <v>7</v>
      </c>
      <c r="B442" s="134">
        <v>45488</v>
      </c>
      <c r="C442" s="70">
        <v>1025</v>
      </c>
      <c r="D442" s="70" t="s">
        <v>5120</v>
      </c>
      <c r="E442" s="280" t="s">
        <v>3206</v>
      </c>
      <c r="F442" s="1049">
        <v>0</v>
      </c>
      <c r="G442" s="1049">
        <v>354.55</v>
      </c>
      <c r="H442" s="564"/>
      <c r="I442" s="609"/>
      <c r="J442" s="609"/>
      <c r="K442" s="609"/>
      <c r="L442" s="609"/>
      <c r="M442" s="609"/>
      <c r="N442" s="599"/>
      <c r="O442" s="552" t="s">
        <v>1584</v>
      </c>
      <c r="P442" s="603"/>
      <c r="Q442" s="869"/>
      <c r="R442" s="869"/>
      <c r="S442" s="869"/>
      <c r="T442" s="869"/>
      <c r="U442" s="869"/>
      <c r="V442" s="869"/>
      <c r="W442" s="869"/>
      <c r="X442" s="869"/>
    </row>
    <row r="443" spans="1:24">
      <c r="A443" s="1045">
        <f t="shared" si="6"/>
        <v>7</v>
      </c>
      <c r="B443" s="134">
        <v>45488</v>
      </c>
      <c r="C443" s="70">
        <v>6013</v>
      </c>
      <c r="D443" s="70" t="s">
        <v>104</v>
      </c>
      <c r="E443" s="280" t="s">
        <v>3207</v>
      </c>
      <c r="F443" s="1049">
        <v>703</v>
      </c>
      <c r="G443" s="1049">
        <v>0</v>
      </c>
      <c r="H443" s="564"/>
      <c r="I443" s="609"/>
      <c r="J443" s="609"/>
      <c r="K443" s="609"/>
      <c r="L443" s="609"/>
      <c r="M443" s="609"/>
      <c r="N443" s="599"/>
      <c r="O443" s="552" t="s">
        <v>1584</v>
      </c>
      <c r="P443" s="603"/>
      <c r="Q443" s="869"/>
      <c r="R443" s="869"/>
      <c r="S443" s="869"/>
      <c r="T443" s="869"/>
      <c r="U443" s="869"/>
      <c r="V443" s="869"/>
      <c r="W443" s="869"/>
      <c r="X443" s="869"/>
    </row>
    <row r="444" spans="1:24">
      <c r="A444" s="1045">
        <f t="shared" si="6"/>
        <v>7</v>
      </c>
      <c r="B444" s="134">
        <v>45488</v>
      </c>
      <c r="C444" s="70">
        <v>2018</v>
      </c>
      <c r="D444" s="70" t="s">
        <v>58</v>
      </c>
      <c r="E444" s="280" t="s">
        <v>3207</v>
      </c>
      <c r="F444" s="1049">
        <v>3.92</v>
      </c>
      <c r="G444" s="1049">
        <v>0</v>
      </c>
      <c r="H444" s="564"/>
      <c r="I444" s="609"/>
      <c r="J444" s="609"/>
      <c r="K444" s="609"/>
      <c r="L444" s="609"/>
      <c r="M444" s="609"/>
      <c r="N444" s="599"/>
      <c r="O444" s="552" t="s">
        <v>1584</v>
      </c>
      <c r="P444" s="603"/>
      <c r="Q444" s="869"/>
      <c r="R444" s="869"/>
      <c r="S444" s="869"/>
      <c r="T444" s="869"/>
      <c r="U444" s="869"/>
      <c r="V444" s="869"/>
      <c r="W444" s="869"/>
      <c r="X444" s="869"/>
    </row>
    <row r="445" spans="1:24">
      <c r="A445" s="1045">
        <f t="shared" si="6"/>
        <v>7</v>
      </c>
      <c r="B445" s="134">
        <v>45488</v>
      </c>
      <c r="C445" s="70">
        <v>1025</v>
      </c>
      <c r="D445" s="70" t="s">
        <v>5120</v>
      </c>
      <c r="E445" s="280" t="s">
        <v>3207</v>
      </c>
      <c r="F445" s="1049">
        <v>0</v>
      </c>
      <c r="G445" s="1049">
        <v>706.92</v>
      </c>
      <c r="H445" s="564"/>
      <c r="I445" s="609"/>
      <c r="J445" s="609"/>
      <c r="K445" s="609"/>
      <c r="L445" s="609"/>
      <c r="M445" s="609"/>
      <c r="N445" s="599"/>
      <c r="O445" s="552" t="s">
        <v>1584</v>
      </c>
      <c r="P445" s="603"/>
      <c r="Q445" s="869"/>
      <c r="R445" s="869"/>
      <c r="S445" s="869"/>
      <c r="T445" s="869"/>
      <c r="U445" s="869"/>
      <c r="V445" s="869"/>
      <c r="W445" s="869"/>
      <c r="X445" s="869"/>
    </row>
    <row r="446" spans="1:24">
      <c r="A446" s="1045">
        <f t="shared" si="6"/>
        <v>7</v>
      </c>
      <c r="B446" s="134">
        <v>45489</v>
      </c>
      <c r="C446" s="70">
        <v>6016</v>
      </c>
      <c r="D446" s="70" t="s">
        <v>107</v>
      </c>
      <c r="E446" s="280" t="s">
        <v>3208</v>
      </c>
      <c r="F446" s="1049">
        <v>2091</v>
      </c>
      <c r="G446" s="1049">
        <v>0</v>
      </c>
      <c r="H446" s="564"/>
      <c r="I446" s="609"/>
      <c r="J446" s="609"/>
      <c r="K446" s="609"/>
      <c r="L446" s="609"/>
      <c r="M446" s="609"/>
      <c r="N446" s="599"/>
      <c r="O446" s="552" t="s">
        <v>1584</v>
      </c>
      <c r="P446" s="603"/>
      <c r="Q446" s="869"/>
      <c r="R446" s="869"/>
      <c r="S446" s="869"/>
      <c r="T446" s="869"/>
      <c r="U446" s="869"/>
      <c r="V446" s="869"/>
      <c r="W446" s="869"/>
      <c r="X446" s="869"/>
    </row>
    <row r="447" spans="1:24">
      <c r="A447" s="1045">
        <f t="shared" si="6"/>
        <v>7</v>
      </c>
      <c r="B447" s="134">
        <v>45489</v>
      </c>
      <c r="C447" s="70">
        <v>6016</v>
      </c>
      <c r="D447" s="70" t="s">
        <v>107</v>
      </c>
      <c r="E447" s="280" t="s">
        <v>3208</v>
      </c>
      <c r="F447" s="1049">
        <v>260</v>
      </c>
      <c r="G447" s="1049">
        <v>0</v>
      </c>
      <c r="H447" s="564"/>
      <c r="I447" s="609"/>
      <c r="J447" s="609"/>
      <c r="K447" s="609"/>
      <c r="L447" s="609"/>
      <c r="M447" s="609"/>
      <c r="N447" s="599"/>
      <c r="O447" s="552" t="s">
        <v>1584</v>
      </c>
      <c r="P447" s="603"/>
      <c r="Q447" s="869"/>
      <c r="R447" s="869"/>
      <c r="S447" s="869"/>
      <c r="T447" s="869"/>
      <c r="U447" s="869"/>
      <c r="V447" s="869"/>
      <c r="W447" s="869"/>
      <c r="X447" s="869"/>
    </row>
    <row r="448" spans="1:24">
      <c r="A448" s="1045">
        <f t="shared" si="6"/>
        <v>7</v>
      </c>
      <c r="B448" s="134">
        <v>45489</v>
      </c>
      <c r="C448" s="70">
        <v>1025</v>
      </c>
      <c r="D448" s="70" t="s">
        <v>5120</v>
      </c>
      <c r="E448" s="280" t="s">
        <v>3208</v>
      </c>
      <c r="F448" s="1049">
        <v>0</v>
      </c>
      <c r="G448" s="1049">
        <v>2091</v>
      </c>
      <c r="H448" s="564"/>
      <c r="I448" s="609"/>
      <c r="J448" s="609"/>
      <c r="K448" s="609"/>
      <c r="L448" s="609"/>
      <c r="M448" s="609"/>
      <c r="N448" s="599"/>
      <c r="O448" s="552" t="s">
        <v>1584</v>
      </c>
      <c r="P448" s="603"/>
      <c r="Q448" s="869"/>
      <c r="R448" s="869"/>
      <c r="S448" s="869"/>
      <c r="T448" s="869"/>
      <c r="U448" s="869"/>
      <c r="V448" s="869"/>
      <c r="W448" s="869"/>
      <c r="X448" s="869"/>
    </row>
    <row r="449" spans="1:24">
      <c r="A449" s="1045">
        <f t="shared" si="6"/>
        <v>7</v>
      </c>
      <c r="B449" s="134">
        <v>45489</v>
      </c>
      <c r="C449" s="70">
        <v>1025</v>
      </c>
      <c r="D449" s="70" t="s">
        <v>5120</v>
      </c>
      <c r="E449" s="280" t="s">
        <v>3208</v>
      </c>
      <c r="F449" s="1049">
        <v>0</v>
      </c>
      <c r="G449" s="1049">
        <v>260</v>
      </c>
      <c r="H449" s="564"/>
      <c r="I449" s="609"/>
      <c r="J449" s="609"/>
      <c r="K449" s="609"/>
      <c r="L449" s="609"/>
      <c r="M449" s="609"/>
      <c r="N449" s="599"/>
      <c r="O449" s="552" t="s">
        <v>1584</v>
      </c>
      <c r="P449" s="603"/>
      <c r="Q449" s="869"/>
      <c r="R449" s="869"/>
      <c r="S449" s="869"/>
      <c r="T449" s="869"/>
      <c r="U449" s="869"/>
      <c r="V449" s="869"/>
      <c r="W449" s="869"/>
      <c r="X449" s="869"/>
    </row>
    <row r="450" spans="1:24">
      <c r="A450" s="1045">
        <f t="shared" si="6"/>
        <v>7</v>
      </c>
      <c r="B450" s="134">
        <v>45489</v>
      </c>
      <c r="C450" s="70">
        <v>6016</v>
      </c>
      <c r="D450" s="70" t="s">
        <v>107</v>
      </c>
      <c r="E450" s="280" t="s">
        <v>3209</v>
      </c>
      <c r="F450" s="1049">
        <v>49000</v>
      </c>
      <c r="G450" s="1049">
        <v>0</v>
      </c>
      <c r="H450" s="564"/>
      <c r="I450" s="609"/>
      <c r="J450" s="609"/>
      <c r="K450" s="609"/>
      <c r="L450" s="609"/>
      <c r="M450" s="609"/>
      <c r="N450" s="599"/>
      <c r="O450" s="552" t="s">
        <v>1584</v>
      </c>
      <c r="P450" s="603"/>
      <c r="Q450" s="869"/>
      <c r="R450" s="869"/>
      <c r="S450" s="869"/>
      <c r="T450" s="869"/>
      <c r="U450" s="869"/>
      <c r="V450" s="869"/>
      <c r="W450" s="869"/>
      <c r="X450" s="869"/>
    </row>
    <row r="451" spans="1:24">
      <c r="A451" s="1045">
        <f t="shared" si="6"/>
        <v>7</v>
      </c>
      <c r="B451" s="134">
        <v>45489</v>
      </c>
      <c r="C451" s="70">
        <v>6016</v>
      </c>
      <c r="D451" s="70" t="s">
        <v>107</v>
      </c>
      <c r="E451" s="395" t="s">
        <v>3210</v>
      </c>
      <c r="F451" s="1049">
        <v>1575</v>
      </c>
      <c r="G451" s="1049">
        <v>0</v>
      </c>
      <c r="H451" s="564"/>
      <c r="I451" s="609"/>
      <c r="J451" s="609"/>
      <c r="K451" s="609"/>
      <c r="L451" s="609"/>
      <c r="M451" s="609"/>
      <c r="N451" s="599"/>
      <c r="O451" s="552" t="s">
        <v>1584</v>
      </c>
      <c r="P451" s="603"/>
      <c r="Q451" s="869"/>
      <c r="R451" s="869"/>
      <c r="S451" s="869"/>
      <c r="T451" s="869"/>
      <c r="U451" s="869"/>
      <c r="V451" s="869"/>
      <c r="W451" s="869"/>
      <c r="X451" s="869"/>
    </row>
    <row r="452" spans="1:24">
      <c r="A452" s="1045">
        <f t="shared" si="6"/>
        <v>7</v>
      </c>
      <c r="B452" s="134">
        <v>45489</v>
      </c>
      <c r="C452" s="70">
        <v>6016</v>
      </c>
      <c r="D452" s="70" t="s">
        <v>107</v>
      </c>
      <c r="E452" s="280" t="s">
        <v>3210</v>
      </c>
      <c r="F452" s="1049">
        <v>1575</v>
      </c>
      <c r="G452" s="1049">
        <v>0</v>
      </c>
      <c r="H452" s="564"/>
      <c r="I452" s="609"/>
      <c r="J452" s="609"/>
      <c r="K452" s="609"/>
      <c r="L452" s="609"/>
      <c r="M452" s="609"/>
      <c r="N452" s="599"/>
      <c r="O452" s="552" t="s">
        <v>1584</v>
      </c>
      <c r="P452" s="603"/>
      <c r="Q452" s="869"/>
      <c r="R452" s="869"/>
      <c r="S452" s="869"/>
      <c r="T452" s="869"/>
      <c r="U452" s="869"/>
      <c r="V452" s="869"/>
      <c r="W452" s="869"/>
      <c r="X452" s="869"/>
    </row>
    <row r="453" spans="1:24">
      <c r="A453" s="1045">
        <f t="shared" si="6"/>
        <v>7</v>
      </c>
      <c r="B453" s="134">
        <v>45489</v>
      </c>
      <c r="C453" s="70">
        <v>2370</v>
      </c>
      <c r="D453" s="70" t="str">
        <f>IFERROR(VLOOKUP(C453,Mychart!$A$6:$B$123,2,FALSE),"")</f>
        <v>Cheecks Payable</v>
      </c>
      <c r="E453" s="280" t="s">
        <v>5825</v>
      </c>
      <c r="F453" s="1049"/>
      <c r="G453" s="1049">
        <v>8167</v>
      </c>
      <c r="H453" s="564"/>
      <c r="I453" s="609">
        <v>896</v>
      </c>
      <c r="J453" s="1155">
        <v>45524</v>
      </c>
      <c r="K453" s="609"/>
      <c r="L453" s="609"/>
      <c r="M453" s="609"/>
      <c r="N453" s="599"/>
      <c r="O453" s="552" t="s">
        <v>1584</v>
      </c>
      <c r="P453" s="603"/>
      <c r="Q453" s="869"/>
      <c r="R453" s="869"/>
      <c r="S453" s="869"/>
      <c r="T453" s="869"/>
      <c r="U453" s="869"/>
      <c r="V453" s="869"/>
      <c r="W453" s="869"/>
      <c r="X453" s="869"/>
    </row>
    <row r="454" spans="1:24">
      <c r="A454" s="1045">
        <f t="shared" si="6"/>
        <v>7</v>
      </c>
      <c r="B454" s="134">
        <v>45489</v>
      </c>
      <c r="C454" s="70">
        <v>2370</v>
      </c>
      <c r="D454" s="70" t="str">
        <f>IFERROR(VLOOKUP(C454,Mychart!$A$6:$B$123,2,FALSE),"")</f>
        <v>Cheecks Payable</v>
      </c>
      <c r="E454" s="280" t="s">
        <v>5826</v>
      </c>
      <c r="F454" s="1049"/>
      <c r="G454" s="1049">
        <v>8167</v>
      </c>
      <c r="H454" s="564"/>
      <c r="I454" s="609">
        <v>886</v>
      </c>
      <c r="J454" s="1155">
        <v>45585</v>
      </c>
      <c r="K454" s="609"/>
      <c r="L454" s="609"/>
      <c r="M454" s="609"/>
      <c r="N454" s="599"/>
      <c r="O454" s="552" t="s">
        <v>1584</v>
      </c>
      <c r="P454" s="603"/>
      <c r="Q454" s="869"/>
      <c r="R454" s="869"/>
      <c r="S454" s="869"/>
      <c r="T454" s="869"/>
      <c r="U454" s="869"/>
      <c r="V454" s="869"/>
      <c r="W454" s="869"/>
      <c r="X454" s="869"/>
    </row>
    <row r="455" spans="1:24">
      <c r="A455" s="1045">
        <f t="shared" si="6"/>
        <v>7</v>
      </c>
      <c r="B455" s="134">
        <v>45489</v>
      </c>
      <c r="C455" s="70">
        <v>2370</v>
      </c>
      <c r="D455" s="70" t="str">
        <f>IFERROR(VLOOKUP(C455,Mychart!$A$6:$B$123,2,FALSE),"")</f>
        <v>Cheecks Payable</v>
      </c>
      <c r="E455" s="280" t="s">
        <v>5827</v>
      </c>
      <c r="F455" s="1049"/>
      <c r="G455" s="1049">
        <v>8167</v>
      </c>
      <c r="H455" s="564"/>
      <c r="I455" s="609">
        <v>885</v>
      </c>
      <c r="J455" s="1155">
        <v>45646</v>
      </c>
      <c r="K455" s="609"/>
      <c r="L455" s="609"/>
      <c r="M455" s="609"/>
      <c r="N455" s="599"/>
      <c r="O455" s="552" t="s">
        <v>1584</v>
      </c>
      <c r="P455" s="603"/>
      <c r="Q455" s="869"/>
      <c r="R455" s="869"/>
      <c r="S455" s="869"/>
      <c r="T455" s="869"/>
      <c r="U455" s="869"/>
      <c r="V455" s="869"/>
      <c r="W455" s="869"/>
      <c r="X455" s="869"/>
    </row>
    <row r="456" spans="1:24">
      <c r="A456" s="1045">
        <f t="shared" si="6"/>
        <v>7</v>
      </c>
      <c r="B456" s="134">
        <v>45489</v>
      </c>
      <c r="C456" s="70">
        <v>2370</v>
      </c>
      <c r="D456" s="70" t="str">
        <f>IFERROR(VLOOKUP(C456,Mychart!$A$6:$B$123,2,FALSE),"")</f>
        <v>Cheecks Payable</v>
      </c>
      <c r="E456" s="280" t="s">
        <v>5828</v>
      </c>
      <c r="F456" s="1049"/>
      <c r="G456" s="1049">
        <v>8167</v>
      </c>
      <c r="H456" s="564"/>
      <c r="I456" s="609">
        <v>890</v>
      </c>
      <c r="J456" s="1155">
        <v>45828</v>
      </c>
      <c r="K456" s="609"/>
      <c r="L456" s="609"/>
      <c r="M456" s="609"/>
      <c r="N456" s="599"/>
      <c r="O456" s="552" t="s">
        <v>1584</v>
      </c>
      <c r="P456" s="603"/>
      <c r="Q456" s="869"/>
      <c r="R456" s="869"/>
      <c r="S456" s="869"/>
      <c r="T456" s="869"/>
      <c r="U456" s="869"/>
      <c r="V456" s="869"/>
      <c r="W456" s="869"/>
      <c r="X456" s="869"/>
    </row>
    <row r="457" spans="1:24">
      <c r="A457" s="1045">
        <f t="shared" si="6"/>
        <v>7</v>
      </c>
      <c r="B457" s="134">
        <v>45489</v>
      </c>
      <c r="C457" s="70">
        <v>2370</v>
      </c>
      <c r="D457" s="70" t="str">
        <f>IFERROR(VLOOKUP(C457,Mychart!$A$6:$B$123,2,FALSE),"")</f>
        <v>Cheecks Payable</v>
      </c>
      <c r="E457" s="280" t="s">
        <v>5829</v>
      </c>
      <c r="F457" s="1049"/>
      <c r="G457" s="1049">
        <v>8167</v>
      </c>
      <c r="H457" s="564"/>
      <c r="I457" s="609">
        <v>891</v>
      </c>
      <c r="J457" s="1155">
        <v>45767</v>
      </c>
      <c r="K457" s="609"/>
      <c r="L457" s="609"/>
      <c r="M457" s="609"/>
      <c r="N457" s="599"/>
      <c r="O457" s="552" t="s">
        <v>1584</v>
      </c>
      <c r="P457" s="603"/>
      <c r="Q457" s="869"/>
      <c r="R457" s="869"/>
      <c r="S457" s="869"/>
      <c r="T457" s="869"/>
      <c r="U457" s="869"/>
      <c r="V457" s="869"/>
      <c r="W457" s="869"/>
      <c r="X457" s="869"/>
    </row>
    <row r="458" spans="1:24">
      <c r="A458" s="1045">
        <f t="shared" si="6"/>
        <v>7</v>
      </c>
      <c r="B458" s="134">
        <v>45489</v>
      </c>
      <c r="C458" s="70">
        <v>2370</v>
      </c>
      <c r="D458" s="70" t="str">
        <f>IFERROR(VLOOKUP(C458,Mychart!$A$6:$B$123,2,FALSE),"")</f>
        <v>Cheecks Payable</v>
      </c>
      <c r="E458" s="280" t="s">
        <v>5830</v>
      </c>
      <c r="F458" s="1049"/>
      <c r="G458" s="1049">
        <v>8167</v>
      </c>
      <c r="H458" s="564"/>
      <c r="I458" s="609">
        <v>884</v>
      </c>
      <c r="J458" s="1155">
        <v>45708</v>
      </c>
      <c r="K458" s="609"/>
      <c r="L458" s="609"/>
      <c r="M458" s="609"/>
      <c r="N458" s="599"/>
      <c r="O458" s="552" t="s">
        <v>1584</v>
      </c>
      <c r="P458" s="603"/>
      <c r="Q458" s="869"/>
      <c r="R458" s="869"/>
      <c r="S458" s="869"/>
      <c r="T458" s="869"/>
      <c r="U458" s="869"/>
      <c r="V458" s="869"/>
      <c r="W458" s="869"/>
      <c r="X458" s="869"/>
    </row>
    <row r="459" spans="1:24">
      <c r="A459" s="1045">
        <f t="shared" si="6"/>
        <v>7</v>
      </c>
      <c r="B459" s="134">
        <v>45489</v>
      </c>
      <c r="C459" s="70">
        <v>2370</v>
      </c>
      <c r="D459" s="70" t="str">
        <f>IFERROR(VLOOKUP(C459,Mychart!$A$6:$B$123,2,FALSE),"")</f>
        <v>Cheecks Payable</v>
      </c>
      <c r="E459" s="395" t="s">
        <v>5831</v>
      </c>
      <c r="F459" s="1049"/>
      <c r="G459" s="1049">
        <v>1575</v>
      </c>
      <c r="H459" s="564"/>
      <c r="I459" s="609">
        <v>889</v>
      </c>
      <c r="J459" s="1155">
        <v>45585</v>
      </c>
      <c r="K459" s="609"/>
      <c r="L459" s="609"/>
      <c r="M459" s="609"/>
      <c r="N459" s="599"/>
      <c r="O459" s="552" t="s">
        <v>1584</v>
      </c>
      <c r="P459" s="603"/>
      <c r="Q459" s="869"/>
      <c r="R459" s="869"/>
      <c r="S459" s="869"/>
      <c r="T459" s="869"/>
      <c r="U459" s="869"/>
      <c r="V459" s="869"/>
      <c r="W459" s="869"/>
      <c r="X459" s="869"/>
    </row>
    <row r="460" spans="1:24">
      <c r="A460" s="1045">
        <f t="shared" si="6"/>
        <v>7</v>
      </c>
      <c r="B460" s="134">
        <v>45489</v>
      </c>
      <c r="C460" s="70">
        <v>2370</v>
      </c>
      <c r="D460" s="70" t="str">
        <f>IFERROR(VLOOKUP(C460,Mychart!$A$6:$B$123,2,FALSE),"")</f>
        <v>Cheecks Payable</v>
      </c>
      <c r="E460" s="280" t="s">
        <v>5832</v>
      </c>
      <c r="F460" s="1049"/>
      <c r="G460" s="1049">
        <v>1575</v>
      </c>
      <c r="H460" s="564"/>
      <c r="I460" s="609">
        <v>894</v>
      </c>
      <c r="J460" s="1155">
        <v>45555</v>
      </c>
      <c r="K460" s="609"/>
      <c r="L460" s="609"/>
      <c r="M460" s="609"/>
      <c r="N460" s="599"/>
      <c r="O460" s="552" t="s">
        <v>1584</v>
      </c>
      <c r="P460" s="603"/>
      <c r="Q460" s="869"/>
      <c r="R460" s="869"/>
      <c r="S460" s="869"/>
      <c r="T460" s="869"/>
      <c r="U460" s="869"/>
      <c r="V460" s="869"/>
      <c r="W460" s="869"/>
      <c r="X460" s="869"/>
    </row>
    <row r="461" spans="1:24">
      <c r="A461" s="1045">
        <f t="shared" si="6"/>
        <v>7</v>
      </c>
      <c r="B461" s="134">
        <v>45491</v>
      </c>
      <c r="C461" s="70">
        <v>6250</v>
      </c>
      <c r="D461" s="70" t="s">
        <v>129</v>
      </c>
      <c r="E461" s="280" t="s">
        <v>3211</v>
      </c>
      <c r="F461" s="1049">
        <v>13.33</v>
      </c>
      <c r="G461" s="1049">
        <v>0</v>
      </c>
      <c r="H461" s="564"/>
      <c r="I461" s="609"/>
      <c r="J461" s="1155"/>
      <c r="K461" s="609"/>
      <c r="L461" s="609"/>
      <c r="M461" s="609"/>
      <c r="N461" s="599"/>
      <c r="O461" s="552" t="s">
        <v>1584</v>
      </c>
      <c r="P461" s="603"/>
      <c r="Q461" s="869"/>
      <c r="R461" s="869"/>
      <c r="S461" s="869"/>
      <c r="T461" s="869"/>
      <c r="U461" s="869"/>
      <c r="V461" s="869"/>
      <c r="W461" s="869"/>
      <c r="X461" s="869"/>
    </row>
    <row r="462" spans="1:24">
      <c r="A462" s="1045">
        <f t="shared" si="6"/>
        <v>7</v>
      </c>
      <c r="B462" s="134">
        <v>45491</v>
      </c>
      <c r="C462" s="70">
        <v>2018</v>
      </c>
      <c r="D462" s="70" t="s">
        <v>58</v>
      </c>
      <c r="E462" s="280" t="s">
        <v>3211</v>
      </c>
      <c r="F462" s="1049">
        <v>0.76</v>
      </c>
      <c r="G462" s="1049">
        <v>0</v>
      </c>
      <c r="H462" s="564"/>
      <c r="I462" s="609"/>
      <c r="J462" s="609"/>
      <c r="K462" s="609"/>
      <c r="L462" s="609"/>
      <c r="M462" s="609"/>
      <c r="N462" s="599"/>
      <c r="O462" s="552" t="s">
        <v>1584</v>
      </c>
      <c r="P462" s="603"/>
      <c r="Q462" s="869"/>
      <c r="R462" s="869"/>
      <c r="S462" s="869"/>
      <c r="T462" s="869"/>
      <c r="U462" s="869"/>
      <c r="V462" s="869"/>
      <c r="W462" s="869"/>
      <c r="X462" s="869"/>
    </row>
    <row r="463" spans="1:24">
      <c r="A463" s="1045">
        <f t="shared" si="6"/>
        <v>7</v>
      </c>
      <c r="B463" s="134">
        <v>45491</v>
      </c>
      <c r="C463" s="70">
        <v>1017</v>
      </c>
      <c r="D463" s="70" t="s">
        <v>5118</v>
      </c>
      <c r="E463" s="280" t="s">
        <v>3211</v>
      </c>
      <c r="F463" s="1049">
        <v>0</v>
      </c>
      <c r="G463" s="1049">
        <v>14.09</v>
      </c>
      <c r="H463" s="564"/>
      <c r="I463" s="609"/>
      <c r="J463" s="609"/>
      <c r="K463" s="609"/>
      <c r="L463" s="609"/>
      <c r="M463" s="609"/>
      <c r="N463" s="599"/>
      <c r="O463" s="552" t="s">
        <v>1584</v>
      </c>
      <c r="P463" s="603"/>
      <c r="Q463" s="869"/>
      <c r="R463" s="869"/>
      <c r="S463" s="869"/>
      <c r="T463" s="869"/>
      <c r="U463" s="869"/>
      <c r="V463" s="869"/>
      <c r="W463" s="869"/>
      <c r="X463" s="869"/>
    </row>
    <row r="464" spans="1:24">
      <c r="A464" s="1045">
        <f t="shared" si="6"/>
        <v>7</v>
      </c>
      <c r="B464" s="134">
        <v>45492</v>
      </c>
      <c r="C464" s="70">
        <v>6250</v>
      </c>
      <c r="D464" s="70" t="s">
        <v>129</v>
      </c>
      <c r="E464" s="280" t="s">
        <v>3211</v>
      </c>
      <c r="F464" s="1049">
        <v>78.099999999999994</v>
      </c>
      <c r="G464" s="1049">
        <v>0</v>
      </c>
      <c r="H464" s="564"/>
      <c r="I464" s="609"/>
      <c r="J464" s="609"/>
      <c r="K464" s="609"/>
      <c r="L464" s="609"/>
      <c r="M464" s="609"/>
      <c r="N464" s="599"/>
      <c r="O464" s="552" t="s">
        <v>1584</v>
      </c>
      <c r="P464" s="603"/>
      <c r="Q464" s="869"/>
      <c r="R464" s="869"/>
      <c r="S464" s="869"/>
      <c r="T464" s="869"/>
      <c r="U464" s="869"/>
      <c r="V464" s="869"/>
      <c r="W464" s="869"/>
      <c r="X464" s="869"/>
    </row>
    <row r="465" spans="1:24">
      <c r="A465" s="1045">
        <f t="shared" si="6"/>
        <v>7</v>
      </c>
      <c r="B465" s="134">
        <v>45492</v>
      </c>
      <c r="C465" s="70">
        <v>2018</v>
      </c>
      <c r="D465" s="70" t="s">
        <v>58</v>
      </c>
      <c r="E465" s="280" t="s">
        <v>3211</v>
      </c>
      <c r="F465" s="1049">
        <v>3.9</v>
      </c>
      <c r="G465" s="1049">
        <v>0</v>
      </c>
      <c r="H465" s="564"/>
      <c r="I465" s="609"/>
      <c r="J465" s="609"/>
      <c r="K465" s="609"/>
      <c r="L465" s="609"/>
      <c r="M465" s="609"/>
      <c r="N465" s="599"/>
      <c r="O465" s="552" t="s">
        <v>1584</v>
      </c>
      <c r="P465" s="603"/>
      <c r="Q465" s="869"/>
      <c r="R465" s="869"/>
      <c r="S465" s="869"/>
      <c r="T465" s="869"/>
      <c r="U465" s="869"/>
      <c r="V465" s="869"/>
      <c r="W465" s="869"/>
      <c r="X465" s="869"/>
    </row>
    <row r="466" spans="1:24">
      <c r="A466" s="1045">
        <f t="shared" ref="A466:A529" si="7">IF(B466="","",MONTH(B466))</f>
        <v>7</v>
      </c>
      <c r="B466" s="134">
        <v>45492</v>
      </c>
      <c r="C466" s="70">
        <v>1017</v>
      </c>
      <c r="D466" s="70" t="s">
        <v>5118</v>
      </c>
      <c r="E466" s="280" t="s">
        <v>3211</v>
      </c>
      <c r="F466" s="1049">
        <v>0</v>
      </c>
      <c r="G466" s="1049">
        <v>82</v>
      </c>
      <c r="H466" s="564"/>
      <c r="I466" s="609"/>
      <c r="J466" s="609"/>
      <c r="K466" s="609"/>
      <c r="L466" s="609"/>
      <c r="M466" s="609"/>
      <c r="N466" s="599"/>
      <c r="O466" s="552" t="s">
        <v>1584</v>
      </c>
      <c r="P466" s="603"/>
      <c r="Q466" s="869"/>
      <c r="R466" s="869"/>
      <c r="S466" s="869"/>
      <c r="T466" s="869"/>
      <c r="U466" s="869"/>
      <c r="V466" s="869"/>
      <c r="W466" s="869"/>
      <c r="X466" s="869"/>
    </row>
    <row r="467" spans="1:24">
      <c r="A467" s="1045">
        <f t="shared" si="7"/>
        <v>7</v>
      </c>
      <c r="B467" s="134">
        <v>45492</v>
      </c>
      <c r="C467" s="70">
        <v>6250</v>
      </c>
      <c r="D467" s="70" t="s">
        <v>129</v>
      </c>
      <c r="E467" s="280" t="s">
        <v>3211</v>
      </c>
      <c r="F467" s="1049">
        <v>81.900000000000006</v>
      </c>
      <c r="G467" s="1049">
        <v>0</v>
      </c>
      <c r="H467" s="564"/>
      <c r="I467" s="609"/>
      <c r="J467" s="609"/>
      <c r="K467" s="609"/>
      <c r="L467" s="609"/>
      <c r="M467" s="609"/>
      <c r="N467" s="599"/>
      <c r="O467" s="552" t="s">
        <v>1584</v>
      </c>
      <c r="P467" s="603"/>
      <c r="Q467" s="869"/>
      <c r="R467" s="869"/>
      <c r="S467" s="869"/>
      <c r="T467" s="869"/>
      <c r="U467" s="869"/>
      <c r="V467" s="869"/>
      <c r="W467" s="869"/>
      <c r="X467" s="869"/>
    </row>
    <row r="468" spans="1:24">
      <c r="A468" s="1045">
        <f t="shared" si="7"/>
        <v>7</v>
      </c>
      <c r="B468" s="134">
        <v>45492</v>
      </c>
      <c r="C468" s="70">
        <v>2018</v>
      </c>
      <c r="D468" s="70" t="s">
        <v>58</v>
      </c>
      <c r="E468" s="280" t="s">
        <v>3211</v>
      </c>
      <c r="F468" s="1049">
        <v>4.0999999999999996</v>
      </c>
      <c r="G468" s="1049">
        <v>0</v>
      </c>
      <c r="H468" s="564"/>
      <c r="I468" s="609"/>
      <c r="J468" s="609"/>
      <c r="K468" s="609"/>
      <c r="L468" s="609"/>
      <c r="M468" s="609"/>
      <c r="N468" s="599"/>
      <c r="O468" s="552" t="s">
        <v>1584</v>
      </c>
      <c r="P468" s="603"/>
      <c r="Q468" s="869"/>
      <c r="R468" s="869"/>
      <c r="S468" s="869"/>
      <c r="T468" s="869"/>
      <c r="U468" s="869"/>
      <c r="V468" s="869"/>
      <c r="W468" s="869"/>
      <c r="X468" s="869"/>
    </row>
    <row r="469" spans="1:24">
      <c r="A469" s="1045">
        <f t="shared" si="7"/>
        <v>7</v>
      </c>
      <c r="B469" s="134">
        <v>45492</v>
      </c>
      <c r="C469" s="70">
        <v>1017</v>
      </c>
      <c r="D469" s="70" t="s">
        <v>5118</v>
      </c>
      <c r="E469" s="280" t="s">
        <v>3211</v>
      </c>
      <c r="F469" s="1049">
        <v>0</v>
      </c>
      <c r="G469" s="1049">
        <v>86</v>
      </c>
      <c r="H469" s="564"/>
      <c r="I469" s="609"/>
      <c r="J469" s="609"/>
      <c r="K469" s="609"/>
      <c r="L469" s="609"/>
      <c r="M469" s="609"/>
      <c r="N469" s="599"/>
      <c r="O469" s="552" t="s">
        <v>1584</v>
      </c>
      <c r="P469" s="603"/>
      <c r="Q469" s="869"/>
      <c r="R469" s="869"/>
      <c r="S469" s="869"/>
      <c r="T469" s="869"/>
      <c r="U469" s="869"/>
      <c r="V469" s="869"/>
      <c r="W469" s="869"/>
      <c r="X469" s="869"/>
    </row>
    <row r="470" spans="1:24">
      <c r="A470" s="1045">
        <f t="shared" si="7"/>
        <v>7</v>
      </c>
      <c r="B470" s="134">
        <v>45493</v>
      </c>
      <c r="C470" s="70">
        <v>6013</v>
      </c>
      <c r="D470" s="70" t="s">
        <v>104</v>
      </c>
      <c r="E470" s="280" t="s">
        <v>3212</v>
      </c>
      <c r="F470" s="1049">
        <v>440</v>
      </c>
      <c r="G470" s="1049">
        <v>0</v>
      </c>
      <c r="H470" s="564"/>
      <c r="I470" s="609"/>
      <c r="J470" s="609"/>
      <c r="K470" s="609"/>
      <c r="L470" s="609"/>
      <c r="M470" s="609"/>
      <c r="N470" s="599"/>
      <c r="O470" s="552" t="s">
        <v>1584</v>
      </c>
      <c r="P470" s="603"/>
      <c r="Q470" s="869"/>
      <c r="R470" s="869"/>
      <c r="S470" s="869"/>
      <c r="T470" s="869"/>
      <c r="U470" s="869"/>
      <c r="V470" s="869"/>
      <c r="W470" s="869"/>
      <c r="X470" s="869"/>
    </row>
    <row r="471" spans="1:24">
      <c r="A471" s="1045">
        <f t="shared" si="7"/>
        <v>7</v>
      </c>
      <c r="B471" s="134">
        <v>45493</v>
      </c>
      <c r="C471" s="70">
        <v>1018</v>
      </c>
      <c r="D471" s="70" t="s">
        <v>5113</v>
      </c>
      <c r="E471" s="280" t="s">
        <v>3212</v>
      </c>
      <c r="F471" s="1049">
        <v>0</v>
      </c>
      <c r="G471" s="1049">
        <v>443.5</v>
      </c>
      <c r="H471" s="564"/>
      <c r="I471" s="609"/>
      <c r="J471" s="609"/>
      <c r="K471" s="609"/>
      <c r="L471" s="609"/>
      <c r="M471" s="609"/>
      <c r="N471" s="599"/>
      <c r="O471" s="552" t="s">
        <v>1584</v>
      </c>
      <c r="P471" s="603"/>
      <c r="Q471" s="869"/>
      <c r="R471" s="869"/>
      <c r="S471" s="869"/>
      <c r="T471" s="869"/>
      <c r="U471" s="869"/>
      <c r="V471" s="869"/>
      <c r="W471" s="869"/>
      <c r="X471" s="869"/>
    </row>
    <row r="472" spans="1:24">
      <c r="A472" s="1045">
        <f t="shared" si="7"/>
        <v>7</v>
      </c>
      <c r="B472" s="134">
        <v>45493</v>
      </c>
      <c r="C472" s="70">
        <v>2018</v>
      </c>
      <c r="D472" s="70" t="s">
        <v>58</v>
      </c>
      <c r="E472" s="280" t="s">
        <v>3212</v>
      </c>
      <c r="F472" s="1049">
        <v>3.5</v>
      </c>
      <c r="G472" s="1049">
        <v>0</v>
      </c>
      <c r="H472" s="564"/>
      <c r="I472" s="609"/>
      <c r="J472" s="609"/>
      <c r="K472" s="609"/>
      <c r="L472" s="609"/>
      <c r="M472" s="609"/>
      <c r="N472" s="599"/>
      <c r="O472" s="552" t="s">
        <v>1584</v>
      </c>
      <c r="P472" s="603"/>
      <c r="Q472" s="869"/>
      <c r="R472" s="869"/>
      <c r="S472" s="869"/>
      <c r="T472" s="869"/>
      <c r="U472" s="869"/>
      <c r="V472" s="869"/>
      <c r="W472" s="869"/>
      <c r="X472" s="869"/>
    </row>
    <row r="473" spans="1:24">
      <c r="A473" s="1045">
        <f t="shared" si="7"/>
        <v>7</v>
      </c>
      <c r="B473" s="134">
        <v>45493</v>
      </c>
      <c r="C473" s="70">
        <v>1018</v>
      </c>
      <c r="D473" s="70" t="s">
        <v>5113</v>
      </c>
      <c r="E473" s="280" t="s">
        <v>3213</v>
      </c>
      <c r="F473" s="1049">
        <v>1000</v>
      </c>
      <c r="G473" s="1049">
        <v>0</v>
      </c>
      <c r="H473" s="564"/>
      <c r="I473" s="609"/>
      <c r="J473" s="609"/>
      <c r="K473" s="609"/>
      <c r="L473" s="609"/>
      <c r="M473" s="609"/>
      <c r="N473" s="599"/>
      <c r="O473" s="552" t="s">
        <v>1584</v>
      </c>
      <c r="P473" s="603"/>
      <c r="Q473" s="869"/>
      <c r="R473" s="869"/>
      <c r="S473" s="869"/>
      <c r="T473" s="869"/>
      <c r="U473" s="869"/>
      <c r="V473" s="869"/>
      <c r="W473" s="869"/>
      <c r="X473" s="869"/>
    </row>
    <row r="474" spans="1:24">
      <c r="A474" s="1045">
        <f t="shared" si="7"/>
        <v>7</v>
      </c>
      <c r="B474" s="134">
        <v>45493</v>
      </c>
      <c r="C474" s="70">
        <v>6250</v>
      </c>
      <c r="D474" s="70" t="s">
        <v>129</v>
      </c>
      <c r="E474" s="280" t="s">
        <v>3214</v>
      </c>
      <c r="F474" s="1049">
        <v>5</v>
      </c>
      <c r="G474" s="1049">
        <v>0</v>
      </c>
      <c r="H474" s="564"/>
      <c r="I474" s="609"/>
      <c r="J474" s="609"/>
      <c r="K474" s="609"/>
      <c r="L474" s="609"/>
      <c r="M474" s="609"/>
      <c r="N474" s="599"/>
      <c r="O474" s="552" t="s">
        <v>1584</v>
      </c>
      <c r="P474" s="603"/>
      <c r="Q474" s="869"/>
      <c r="R474" s="869"/>
      <c r="S474" s="869"/>
      <c r="T474" s="869"/>
      <c r="U474" s="869"/>
      <c r="V474" s="869"/>
      <c r="W474" s="869"/>
      <c r="X474" s="869"/>
    </row>
    <row r="475" spans="1:24">
      <c r="A475" s="1045">
        <f t="shared" si="7"/>
        <v>7</v>
      </c>
      <c r="B475" s="545">
        <v>45493</v>
      </c>
      <c r="C475" s="364">
        <v>2018</v>
      </c>
      <c r="D475" s="70" t="s">
        <v>58</v>
      </c>
      <c r="E475" s="395" t="s">
        <v>3215</v>
      </c>
      <c r="F475" s="1049">
        <v>0.25</v>
      </c>
      <c r="G475" s="1049">
        <v>0</v>
      </c>
      <c r="H475" s="564"/>
      <c r="I475" s="609"/>
      <c r="J475" s="609"/>
      <c r="K475" s="609"/>
      <c r="L475" s="609"/>
      <c r="M475" s="609"/>
      <c r="N475" s="599"/>
      <c r="O475" s="552" t="s">
        <v>1584</v>
      </c>
      <c r="P475" s="603"/>
      <c r="Q475" s="869"/>
      <c r="R475" s="869"/>
      <c r="S475" s="869"/>
      <c r="T475" s="869"/>
      <c r="U475" s="869"/>
      <c r="V475" s="869"/>
      <c r="W475" s="869"/>
      <c r="X475" s="869"/>
    </row>
    <row r="476" spans="1:24">
      <c r="A476" s="1045">
        <f t="shared" si="7"/>
        <v>7</v>
      </c>
      <c r="B476" s="134">
        <v>45493</v>
      </c>
      <c r="C476" s="70">
        <v>1025</v>
      </c>
      <c r="D476" s="70" t="s">
        <v>5120</v>
      </c>
      <c r="E476" s="280" t="s">
        <v>3215</v>
      </c>
      <c r="F476" s="1049">
        <v>0</v>
      </c>
      <c r="G476" s="1049">
        <v>1005.25</v>
      </c>
      <c r="H476" s="564"/>
      <c r="I476" s="609"/>
      <c r="J476" s="1155"/>
      <c r="K476" s="609"/>
      <c r="L476" s="609"/>
      <c r="M476" s="609"/>
      <c r="N476" s="599"/>
      <c r="O476" s="552" t="s">
        <v>1584</v>
      </c>
      <c r="P476" s="603"/>
      <c r="Q476" s="869"/>
      <c r="R476" s="869"/>
      <c r="S476" s="869"/>
      <c r="T476" s="869"/>
      <c r="U476" s="869"/>
      <c r="V476" s="869"/>
      <c r="W476" s="869"/>
      <c r="X476" s="869"/>
    </row>
    <row r="477" spans="1:24">
      <c r="A477" s="1045">
        <f t="shared" si="7"/>
        <v>7</v>
      </c>
      <c r="B477" s="134">
        <v>45493</v>
      </c>
      <c r="C477" s="70">
        <v>6250</v>
      </c>
      <c r="D477" s="70" t="s">
        <v>129</v>
      </c>
      <c r="E477" s="1047" t="s">
        <v>3216</v>
      </c>
      <c r="F477" s="1049">
        <v>13.33</v>
      </c>
      <c r="G477" s="1049">
        <v>0</v>
      </c>
      <c r="H477" s="564"/>
      <c r="I477" s="609"/>
      <c r="J477" s="1155"/>
      <c r="K477" s="609"/>
      <c r="L477" s="609"/>
      <c r="M477" s="609"/>
      <c r="N477" s="599"/>
      <c r="O477" s="552" t="s">
        <v>1584</v>
      </c>
      <c r="P477" s="603"/>
      <c r="Q477" s="869"/>
      <c r="R477" s="869"/>
      <c r="S477" s="869"/>
      <c r="T477" s="869"/>
      <c r="U477" s="869"/>
      <c r="V477" s="869"/>
      <c r="W477" s="869"/>
      <c r="X477" s="869"/>
    </row>
    <row r="478" spans="1:24">
      <c r="A478" s="1045">
        <f t="shared" si="7"/>
        <v>7</v>
      </c>
      <c r="B478" s="134">
        <v>45493</v>
      </c>
      <c r="C478" s="70">
        <v>2018</v>
      </c>
      <c r="D478" s="70" t="s">
        <v>58</v>
      </c>
      <c r="E478" s="280" t="s">
        <v>3216</v>
      </c>
      <c r="F478" s="1049">
        <v>0.67</v>
      </c>
      <c r="G478" s="1049">
        <v>0</v>
      </c>
      <c r="H478" s="564"/>
      <c r="I478" s="609"/>
      <c r="J478" s="1155"/>
      <c r="K478" s="609"/>
      <c r="L478" s="609"/>
      <c r="M478" s="609"/>
      <c r="N478" s="599"/>
      <c r="O478" s="552" t="s">
        <v>1584</v>
      </c>
      <c r="P478" s="603"/>
      <c r="Q478" s="869"/>
      <c r="R478" s="869"/>
      <c r="S478" s="869"/>
      <c r="T478" s="869"/>
      <c r="U478" s="869"/>
      <c r="V478" s="869"/>
      <c r="W478" s="869"/>
      <c r="X478" s="869"/>
    </row>
    <row r="479" spans="1:24">
      <c r="A479" s="1045">
        <f t="shared" si="7"/>
        <v>7</v>
      </c>
      <c r="B479" s="134">
        <v>45493</v>
      </c>
      <c r="C479" s="70">
        <v>1017</v>
      </c>
      <c r="D479" s="70" t="s">
        <v>5118</v>
      </c>
      <c r="E479" s="280" t="s">
        <v>3216</v>
      </c>
      <c r="F479" s="1049">
        <v>0</v>
      </c>
      <c r="G479" s="1049">
        <v>14</v>
      </c>
      <c r="H479" s="564"/>
      <c r="I479" s="609"/>
      <c r="J479" s="1155"/>
      <c r="K479" s="609"/>
      <c r="L479" s="609"/>
      <c r="M479" s="609"/>
      <c r="N479" s="599"/>
      <c r="O479" s="552" t="s">
        <v>1584</v>
      </c>
      <c r="P479" s="603"/>
      <c r="Q479" s="869"/>
      <c r="R479" s="869"/>
      <c r="S479" s="869"/>
      <c r="T479" s="869"/>
      <c r="U479" s="869"/>
      <c r="V479" s="869"/>
      <c r="W479" s="869"/>
      <c r="X479" s="869"/>
    </row>
    <row r="480" spans="1:24">
      <c r="A480" s="1045">
        <f t="shared" si="7"/>
        <v>7</v>
      </c>
      <c r="B480" s="134">
        <v>45494</v>
      </c>
      <c r="C480" s="70">
        <v>1025</v>
      </c>
      <c r="D480" s="70" t="s">
        <v>5120</v>
      </c>
      <c r="E480" s="280" t="s">
        <v>3217</v>
      </c>
      <c r="F480" s="1049">
        <v>15000</v>
      </c>
      <c r="G480" s="1049">
        <v>0</v>
      </c>
      <c r="H480" s="564"/>
      <c r="I480" s="609"/>
      <c r="J480" s="1155"/>
      <c r="K480" s="609"/>
      <c r="L480" s="609"/>
      <c r="M480" s="609"/>
      <c r="N480" s="599"/>
      <c r="O480" s="552" t="s">
        <v>1584</v>
      </c>
      <c r="P480" s="603"/>
      <c r="Q480" s="869"/>
      <c r="R480" s="869"/>
      <c r="S480" s="869"/>
      <c r="T480" s="869"/>
      <c r="U480" s="869"/>
      <c r="V480" s="869"/>
      <c r="W480" s="869"/>
      <c r="X480" s="869"/>
    </row>
    <row r="481" spans="1:24">
      <c r="A481" s="1045">
        <f t="shared" si="7"/>
        <v>7</v>
      </c>
      <c r="B481" s="134">
        <v>45494</v>
      </c>
      <c r="C481" s="70">
        <v>1025</v>
      </c>
      <c r="D481" s="70" t="s">
        <v>5120</v>
      </c>
      <c r="E481" s="280" t="s">
        <v>3217</v>
      </c>
      <c r="F481" s="1049">
        <v>15000</v>
      </c>
      <c r="G481" s="1049">
        <v>0</v>
      </c>
      <c r="H481" s="564"/>
      <c r="I481" s="609"/>
      <c r="J481" s="1155"/>
      <c r="K481" s="609"/>
      <c r="L481" s="609"/>
      <c r="M481" s="609"/>
      <c r="N481" s="599"/>
      <c r="O481" s="552" t="s">
        <v>1584</v>
      </c>
      <c r="P481" s="603"/>
      <c r="Q481" s="869"/>
      <c r="R481" s="869"/>
      <c r="S481" s="869"/>
      <c r="T481" s="869"/>
      <c r="U481" s="869"/>
      <c r="V481" s="869"/>
      <c r="W481" s="869"/>
      <c r="X481" s="869"/>
    </row>
    <row r="482" spans="1:24">
      <c r="A482" s="1045">
        <f t="shared" si="7"/>
        <v>7</v>
      </c>
      <c r="B482" s="134">
        <v>45494</v>
      </c>
      <c r="C482" s="70">
        <v>1025</v>
      </c>
      <c r="D482" s="70" t="s">
        <v>5120</v>
      </c>
      <c r="E482" s="280" t="s">
        <v>3217</v>
      </c>
      <c r="F482" s="1049">
        <v>10000</v>
      </c>
      <c r="G482" s="1049">
        <v>0</v>
      </c>
      <c r="H482" s="564"/>
      <c r="I482" s="609"/>
      <c r="J482" s="1155"/>
      <c r="K482" s="609"/>
      <c r="L482" s="609"/>
      <c r="M482" s="609"/>
      <c r="N482" s="599"/>
      <c r="O482" s="552" t="s">
        <v>1584</v>
      </c>
      <c r="P482" s="603"/>
      <c r="Q482" s="869"/>
      <c r="R482" s="869"/>
      <c r="S482" s="869"/>
      <c r="T482" s="869"/>
      <c r="U482" s="869"/>
      <c r="V482" s="869"/>
      <c r="W482" s="869"/>
      <c r="X482" s="869"/>
    </row>
    <row r="483" spans="1:24">
      <c r="A483" s="1045">
        <f t="shared" si="7"/>
        <v>7</v>
      </c>
      <c r="B483" s="134">
        <v>45494</v>
      </c>
      <c r="C483" s="70">
        <v>1022</v>
      </c>
      <c r="D483" s="70" t="s">
        <v>5119</v>
      </c>
      <c r="E483" s="280" t="s">
        <v>3217</v>
      </c>
      <c r="F483" s="1049">
        <v>0</v>
      </c>
      <c r="G483" s="1049">
        <v>15000</v>
      </c>
      <c r="H483" s="564"/>
      <c r="I483" s="609"/>
      <c r="J483" s="1155"/>
      <c r="K483" s="609"/>
      <c r="L483" s="609"/>
      <c r="M483" s="609"/>
      <c r="N483" s="599"/>
      <c r="O483" s="552" t="s">
        <v>1584</v>
      </c>
      <c r="P483" s="603" t="s">
        <v>1779</v>
      </c>
      <c r="Q483" s="869"/>
      <c r="R483" s="869"/>
      <c r="S483" s="869"/>
      <c r="T483" s="869"/>
      <c r="U483" s="869"/>
      <c r="V483" s="869"/>
      <c r="W483" s="869"/>
      <c r="X483" s="869"/>
    </row>
    <row r="484" spans="1:24">
      <c r="A484" s="1045">
        <f t="shared" si="7"/>
        <v>7</v>
      </c>
      <c r="B484" s="134">
        <v>45494</v>
      </c>
      <c r="C484" s="70">
        <v>1022</v>
      </c>
      <c r="D484" s="70" t="s">
        <v>5119</v>
      </c>
      <c r="E484" s="280" t="s">
        <v>3217</v>
      </c>
      <c r="F484" s="1049">
        <v>0</v>
      </c>
      <c r="G484" s="1049">
        <v>15000</v>
      </c>
      <c r="H484" s="564"/>
      <c r="I484" s="609"/>
      <c r="J484" s="1155"/>
      <c r="K484" s="609"/>
      <c r="L484" s="609"/>
      <c r="M484" s="609"/>
      <c r="N484" s="599"/>
      <c r="O484" s="552" t="s">
        <v>1584</v>
      </c>
      <c r="P484" s="603" t="s">
        <v>1779</v>
      </c>
      <c r="Q484" s="869"/>
      <c r="R484" s="869"/>
      <c r="S484" s="869"/>
      <c r="T484" s="869"/>
      <c r="U484" s="869"/>
      <c r="V484" s="869"/>
      <c r="W484" s="869"/>
      <c r="X484" s="869"/>
    </row>
    <row r="485" spans="1:24">
      <c r="A485" s="1045">
        <f t="shared" si="7"/>
        <v>7</v>
      </c>
      <c r="B485" s="134">
        <v>45494</v>
      </c>
      <c r="C485" s="364">
        <v>1022</v>
      </c>
      <c r="D485" s="70" t="s">
        <v>5119</v>
      </c>
      <c r="E485" s="395" t="s">
        <v>3217</v>
      </c>
      <c r="F485" s="1049">
        <v>0</v>
      </c>
      <c r="G485" s="1049">
        <v>10000</v>
      </c>
      <c r="H485" s="564"/>
      <c r="I485" s="609"/>
      <c r="J485" s="1155"/>
      <c r="K485" s="609"/>
      <c r="L485" s="609"/>
      <c r="M485" s="609"/>
      <c r="N485" s="599"/>
      <c r="O485" s="552" t="s">
        <v>1584</v>
      </c>
      <c r="P485" s="603"/>
      <c r="Q485" s="869"/>
      <c r="R485" s="869"/>
      <c r="S485" s="869"/>
      <c r="T485" s="869"/>
      <c r="U485" s="869"/>
      <c r="V485" s="869"/>
      <c r="W485" s="869"/>
      <c r="X485" s="869"/>
    </row>
    <row r="486" spans="1:24">
      <c r="A486" s="1045">
        <f t="shared" si="7"/>
        <v>7</v>
      </c>
      <c r="B486" s="134">
        <v>45494</v>
      </c>
      <c r="C486" s="70">
        <v>6250</v>
      </c>
      <c r="D486" s="70" t="s">
        <v>129</v>
      </c>
      <c r="E486" s="280" t="s">
        <v>3218</v>
      </c>
      <c r="F486" s="1049">
        <v>15.24</v>
      </c>
      <c r="G486" s="1049">
        <v>0</v>
      </c>
      <c r="H486" s="564"/>
      <c r="I486" s="609"/>
      <c r="J486" s="1155"/>
      <c r="K486" s="609"/>
      <c r="L486" s="609"/>
      <c r="M486" s="609"/>
      <c r="N486" s="599"/>
      <c r="O486" s="552" t="s">
        <v>1584</v>
      </c>
      <c r="P486" s="603" t="s">
        <v>1779</v>
      </c>
      <c r="Q486" s="869"/>
      <c r="R486" s="869"/>
      <c r="S486" s="869"/>
      <c r="T486" s="869"/>
      <c r="U486" s="869"/>
      <c r="V486" s="869"/>
      <c r="W486" s="869"/>
      <c r="X486" s="869"/>
    </row>
    <row r="487" spans="1:24">
      <c r="A487" s="1045">
        <f t="shared" si="7"/>
        <v>7</v>
      </c>
      <c r="B487" s="134">
        <v>45494</v>
      </c>
      <c r="C487" s="70">
        <v>2018</v>
      </c>
      <c r="D487" s="70" t="s">
        <v>58</v>
      </c>
      <c r="E487" s="280" t="s">
        <v>3218</v>
      </c>
      <c r="F487" s="1049">
        <v>0.76</v>
      </c>
      <c r="G487" s="1049">
        <v>0</v>
      </c>
      <c r="H487" s="564"/>
      <c r="I487" s="609"/>
      <c r="J487" s="1155"/>
      <c r="K487" s="609"/>
      <c r="L487" s="609"/>
      <c r="M487" s="609"/>
      <c r="N487" s="599"/>
      <c r="O487" s="552" t="s">
        <v>1584</v>
      </c>
      <c r="P487" s="603" t="s">
        <v>1779</v>
      </c>
      <c r="Q487" s="869"/>
      <c r="R487" s="869"/>
      <c r="S487" s="869"/>
      <c r="T487" s="869"/>
      <c r="U487" s="869"/>
      <c r="V487" s="869"/>
      <c r="W487" s="869"/>
      <c r="X487" s="869"/>
    </row>
    <row r="488" spans="1:24">
      <c r="A488" s="1045">
        <f t="shared" si="7"/>
        <v>7</v>
      </c>
      <c r="B488" s="134">
        <v>45494</v>
      </c>
      <c r="C488" s="70">
        <v>1017</v>
      </c>
      <c r="D488" s="70" t="s">
        <v>5118</v>
      </c>
      <c r="E488" s="280" t="s">
        <v>3218</v>
      </c>
      <c r="F488" s="1049">
        <v>0</v>
      </c>
      <c r="G488" s="1049">
        <v>16</v>
      </c>
      <c r="H488" s="564"/>
      <c r="I488" s="609"/>
      <c r="J488" s="1155"/>
      <c r="K488" s="609"/>
      <c r="L488" s="609"/>
      <c r="M488" s="609"/>
      <c r="N488" s="599"/>
      <c r="O488" s="552" t="s">
        <v>1584</v>
      </c>
      <c r="P488" s="603"/>
      <c r="Q488" s="869"/>
      <c r="R488" s="869"/>
      <c r="S488" s="869"/>
      <c r="T488" s="869"/>
      <c r="U488" s="869"/>
      <c r="V488" s="869"/>
      <c r="W488" s="869"/>
      <c r="X488" s="869"/>
    </row>
    <row r="489" spans="1:24">
      <c r="A489" s="1045">
        <f t="shared" si="7"/>
        <v>7</v>
      </c>
      <c r="B489" s="134">
        <v>45494</v>
      </c>
      <c r="C489" s="70">
        <v>6250</v>
      </c>
      <c r="D489" s="70" t="s">
        <v>129</v>
      </c>
      <c r="E489" s="280" t="s">
        <v>3219</v>
      </c>
      <c r="F489" s="1049">
        <v>22.34</v>
      </c>
      <c r="G489" s="1049">
        <v>0</v>
      </c>
      <c r="H489" s="564"/>
      <c r="I489" s="609"/>
      <c r="J489" s="1155"/>
      <c r="K489" s="609"/>
      <c r="L489" s="609"/>
      <c r="M489" s="609"/>
      <c r="N489" s="599"/>
      <c r="O489" s="552" t="s">
        <v>1584</v>
      </c>
      <c r="P489" s="603" t="s">
        <v>1779</v>
      </c>
      <c r="Q489" s="869"/>
      <c r="R489" s="869"/>
      <c r="S489" s="869"/>
      <c r="T489" s="869"/>
      <c r="U489" s="869"/>
      <c r="V489" s="869"/>
      <c r="W489" s="869"/>
      <c r="X489" s="869"/>
    </row>
    <row r="490" spans="1:24">
      <c r="A490" s="1045">
        <f t="shared" si="7"/>
        <v>7</v>
      </c>
      <c r="B490" s="134">
        <v>45494</v>
      </c>
      <c r="C490" s="70">
        <v>2018</v>
      </c>
      <c r="D490" s="70" t="s">
        <v>58</v>
      </c>
      <c r="E490" s="280" t="s">
        <v>3219</v>
      </c>
      <c r="F490" s="1049">
        <v>1.1200000000000001</v>
      </c>
      <c r="G490" s="1049">
        <v>0</v>
      </c>
      <c r="H490" s="564"/>
      <c r="I490" s="609"/>
      <c r="J490" s="1155"/>
      <c r="K490" s="609"/>
      <c r="L490" s="609"/>
      <c r="M490" s="609"/>
      <c r="N490" s="599"/>
      <c r="O490" s="552" t="s">
        <v>1584</v>
      </c>
      <c r="P490" s="603" t="s">
        <v>1779</v>
      </c>
      <c r="Q490" s="869"/>
      <c r="R490" s="869"/>
      <c r="S490" s="869"/>
      <c r="T490" s="869"/>
      <c r="U490" s="869"/>
      <c r="V490" s="869"/>
      <c r="W490" s="869"/>
      <c r="X490" s="869"/>
    </row>
    <row r="491" spans="1:24">
      <c r="A491" s="1045">
        <f t="shared" si="7"/>
        <v>7</v>
      </c>
      <c r="B491" s="134">
        <v>45494</v>
      </c>
      <c r="C491" s="70">
        <v>1017</v>
      </c>
      <c r="D491" s="70" t="s">
        <v>5118</v>
      </c>
      <c r="E491" s="280" t="s">
        <v>3219</v>
      </c>
      <c r="F491" s="1049">
        <v>0</v>
      </c>
      <c r="G491" s="1049">
        <v>23.46</v>
      </c>
      <c r="H491" s="564"/>
      <c r="I491" s="609"/>
      <c r="J491" s="1155"/>
      <c r="K491" s="609"/>
      <c r="L491" s="609"/>
      <c r="M491" s="609"/>
      <c r="N491" s="599"/>
      <c r="O491" s="552" t="s">
        <v>1584</v>
      </c>
      <c r="P491" s="603" t="s">
        <v>1779</v>
      </c>
      <c r="Q491" s="869"/>
      <c r="R491" s="869"/>
      <c r="S491" s="869"/>
      <c r="T491" s="869"/>
      <c r="U491" s="869"/>
      <c r="V491" s="869"/>
      <c r="W491" s="869"/>
      <c r="X491" s="869"/>
    </row>
    <row r="492" spans="1:24">
      <c r="A492" s="1045">
        <f t="shared" si="7"/>
        <v>7</v>
      </c>
      <c r="B492" s="134">
        <v>45494</v>
      </c>
      <c r="C492" s="70">
        <v>6250</v>
      </c>
      <c r="D492" s="70" t="s">
        <v>129</v>
      </c>
      <c r="E492" s="280" t="s">
        <v>3219</v>
      </c>
      <c r="F492" s="1049">
        <v>5.7</v>
      </c>
      <c r="G492" s="1049">
        <v>0</v>
      </c>
      <c r="H492" s="564"/>
      <c r="I492" s="609"/>
      <c r="J492" s="1155"/>
      <c r="K492" s="609"/>
      <c r="L492" s="609"/>
      <c r="M492" s="609"/>
      <c r="N492" s="599"/>
      <c r="O492" s="552" t="s">
        <v>1584</v>
      </c>
      <c r="P492" s="603" t="s">
        <v>1779</v>
      </c>
      <c r="Q492" s="869"/>
      <c r="R492" s="869"/>
      <c r="S492" s="869"/>
      <c r="T492" s="869"/>
      <c r="U492" s="869"/>
      <c r="V492" s="869"/>
      <c r="W492" s="869"/>
      <c r="X492" s="869"/>
    </row>
    <row r="493" spans="1:24">
      <c r="A493" s="1045">
        <f t="shared" si="7"/>
        <v>7</v>
      </c>
      <c r="B493" s="134">
        <v>45494</v>
      </c>
      <c r="C493" s="70">
        <v>2018</v>
      </c>
      <c r="D493" s="70" t="s">
        <v>58</v>
      </c>
      <c r="E493" s="280" t="s">
        <v>3219</v>
      </c>
      <c r="F493" s="1049">
        <v>0.28999999999999998</v>
      </c>
      <c r="G493" s="1049">
        <v>0</v>
      </c>
      <c r="H493" s="564"/>
      <c r="I493" s="609"/>
      <c r="J493" s="1155"/>
      <c r="K493" s="609"/>
      <c r="L493" s="609"/>
      <c r="M493" s="609"/>
      <c r="N493" s="599"/>
      <c r="O493" s="552" t="s">
        <v>1584</v>
      </c>
      <c r="P493" s="603" t="s">
        <v>1779</v>
      </c>
      <c r="Q493" s="869"/>
      <c r="R493" s="869"/>
      <c r="S493" s="869"/>
      <c r="T493" s="869"/>
      <c r="U493" s="869"/>
      <c r="V493" s="869"/>
      <c r="W493" s="869"/>
      <c r="X493" s="869"/>
    </row>
    <row r="494" spans="1:24">
      <c r="A494" s="1045">
        <f t="shared" si="7"/>
        <v>7</v>
      </c>
      <c r="B494" s="134">
        <v>45494</v>
      </c>
      <c r="C494" s="70">
        <v>1017</v>
      </c>
      <c r="D494" s="70" t="s">
        <v>5118</v>
      </c>
      <c r="E494" s="280" t="s">
        <v>3219</v>
      </c>
      <c r="F494" s="1049">
        <v>0</v>
      </c>
      <c r="G494" s="1049">
        <v>5.99</v>
      </c>
      <c r="H494" s="564"/>
      <c r="I494" s="609"/>
      <c r="J494" s="1155"/>
      <c r="K494" s="609"/>
      <c r="L494" s="609"/>
      <c r="M494" s="609"/>
      <c r="N494" s="599"/>
      <c r="O494" s="552" t="s">
        <v>1584</v>
      </c>
      <c r="P494" s="603" t="s">
        <v>1779</v>
      </c>
      <c r="Q494" s="869"/>
      <c r="R494" s="869"/>
      <c r="S494" s="869"/>
      <c r="T494" s="869"/>
      <c r="U494" s="869"/>
      <c r="V494" s="869"/>
      <c r="W494" s="869"/>
      <c r="X494" s="869"/>
    </row>
    <row r="495" spans="1:24">
      <c r="A495" s="1045">
        <f t="shared" si="7"/>
        <v>7</v>
      </c>
      <c r="B495" s="675">
        <v>45495</v>
      </c>
      <c r="C495" s="1140">
        <v>1017</v>
      </c>
      <c r="D495" s="1140" t="s">
        <v>5118</v>
      </c>
      <c r="E495" s="1141" t="s">
        <v>3220</v>
      </c>
      <c r="F495" s="1049">
        <v>15000</v>
      </c>
      <c r="G495" s="1049">
        <v>0</v>
      </c>
      <c r="H495" s="564"/>
      <c r="I495" s="609"/>
      <c r="J495" s="1155"/>
      <c r="K495" s="609"/>
      <c r="L495" s="609"/>
      <c r="M495" s="609"/>
      <c r="N495" s="599"/>
      <c r="O495" s="552" t="s">
        <v>1584</v>
      </c>
      <c r="P495" s="603" t="s">
        <v>1779</v>
      </c>
      <c r="Q495" s="869"/>
      <c r="R495" s="869"/>
      <c r="S495" s="869"/>
      <c r="T495" s="869"/>
      <c r="U495" s="869"/>
      <c r="V495" s="869"/>
      <c r="W495" s="869"/>
      <c r="X495" s="869"/>
    </row>
    <row r="496" spans="1:24">
      <c r="A496" s="1045">
        <f t="shared" si="7"/>
        <v>7</v>
      </c>
      <c r="B496" s="134">
        <v>45495</v>
      </c>
      <c r="C496" s="70">
        <v>1022</v>
      </c>
      <c r="D496" s="70" t="s">
        <v>5119</v>
      </c>
      <c r="E496" s="280" t="s">
        <v>3221</v>
      </c>
      <c r="F496" s="1049">
        <v>0</v>
      </c>
      <c r="G496" s="1049">
        <v>15000</v>
      </c>
      <c r="H496" s="564"/>
      <c r="I496" s="609"/>
      <c r="J496" s="1155"/>
      <c r="K496" s="609"/>
      <c r="L496" s="609"/>
      <c r="M496" s="609"/>
      <c r="N496" s="599"/>
      <c r="O496" s="552" t="s">
        <v>1584</v>
      </c>
      <c r="P496" s="603"/>
      <c r="Q496" s="869"/>
      <c r="R496" s="869"/>
      <c r="S496" s="869"/>
      <c r="T496" s="869"/>
      <c r="U496" s="869"/>
      <c r="V496" s="869"/>
      <c r="W496" s="869"/>
      <c r="X496" s="869"/>
    </row>
    <row r="497" spans="1:24">
      <c r="A497" s="1045">
        <f t="shared" si="7"/>
        <v>7</v>
      </c>
      <c r="B497" s="134">
        <v>45496</v>
      </c>
      <c r="C497" s="70">
        <v>6250</v>
      </c>
      <c r="D497" s="70" t="s">
        <v>129</v>
      </c>
      <c r="E497" s="280" t="s">
        <v>3222</v>
      </c>
      <c r="F497" s="1049">
        <v>14.29</v>
      </c>
      <c r="G497" s="1049">
        <v>0</v>
      </c>
      <c r="H497" s="564"/>
      <c r="I497" s="609"/>
      <c r="J497" s="1155"/>
      <c r="K497" s="609"/>
      <c r="L497" s="609"/>
      <c r="M497" s="609"/>
      <c r="N497" s="599"/>
      <c r="O497" s="552" t="s">
        <v>1584</v>
      </c>
      <c r="P497" s="603" t="s">
        <v>1779</v>
      </c>
      <c r="Q497" s="869"/>
      <c r="R497" s="869"/>
      <c r="S497" s="869"/>
      <c r="T497" s="869"/>
      <c r="U497" s="869"/>
      <c r="V497" s="869"/>
      <c r="W497" s="869"/>
      <c r="X497" s="869"/>
    </row>
    <row r="498" spans="1:24">
      <c r="A498" s="1045">
        <f t="shared" si="7"/>
        <v>7</v>
      </c>
      <c r="B498" s="134">
        <v>45496</v>
      </c>
      <c r="C498" s="70">
        <v>2018</v>
      </c>
      <c r="D498" s="70" t="s">
        <v>58</v>
      </c>
      <c r="E498" s="280" t="s">
        <v>3222</v>
      </c>
      <c r="F498" s="1049">
        <v>0.71</v>
      </c>
      <c r="G498" s="1049">
        <v>0</v>
      </c>
      <c r="H498" s="564"/>
      <c r="I498" s="609"/>
      <c r="J498" s="1155"/>
      <c r="K498" s="609"/>
      <c r="L498" s="609"/>
      <c r="M498" s="609"/>
      <c r="N498" s="599"/>
      <c r="O498" s="552" t="s">
        <v>1584</v>
      </c>
      <c r="P498" s="603" t="s">
        <v>1779</v>
      </c>
      <c r="Q498" s="869"/>
      <c r="R498" s="869"/>
      <c r="S498" s="869"/>
      <c r="T498" s="869"/>
      <c r="U498" s="869"/>
      <c r="V498" s="869"/>
      <c r="W498" s="869"/>
      <c r="X498" s="869"/>
    </row>
    <row r="499" spans="1:24">
      <c r="A499" s="1045">
        <f t="shared" si="7"/>
        <v>7</v>
      </c>
      <c r="B499" s="134">
        <v>45496</v>
      </c>
      <c r="C499" s="70">
        <v>1017</v>
      </c>
      <c r="D499" s="70" t="s">
        <v>5118</v>
      </c>
      <c r="E499" s="280" t="s">
        <v>3222</v>
      </c>
      <c r="F499" s="1049">
        <v>0</v>
      </c>
      <c r="G499" s="1049">
        <v>15</v>
      </c>
      <c r="H499" s="564"/>
      <c r="I499" s="609"/>
      <c r="J499" s="1155"/>
      <c r="K499" s="609"/>
      <c r="L499" s="609"/>
      <c r="M499" s="609"/>
      <c r="N499" s="599"/>
      <c r="O499" s="552" t="s">
        <v>1584</v>
      </c>
      <c r="P499" s="603"/>
      <c r="Q499" s="869"/>
      <c r="R499" s="869"/>
      <c r="S499" s="869"/>
      <c r="T499" s="869"/>
      <c r="U499" s="869"/>
      <c r="V499" s="869"/>
      <c r="W499" s="869"/>
      <c r="X499" s="869"/>
    </row>
    <row r="500" spans="1:24">
      <c r="A500" s="1045">
        <f t="shared" si="7"/>
        <v>7</v>
      </c>
      <c r="B500" s="134">
        <v>45496</v>
      </c>
      <c r="C500" s="70">
        <v>6250</v>
      </c>
      <c r="D500" s="70" t="s">
        <v>129</v>
      </c>
      <c r="E500" s="280" t="s">
        <v>3222</v>
      </c>
      <c r="F500" s="1049">
        <v>14.29</v>
      </c>
      <c r="G500" s="1049">
        <v>0</v>
      </c>
      <c r="H500" s="564"/>
      <c r="I500" s="609"/>
      <c r="J500" s="1155"/>
      <c r="K500" s="609"/>
      <c r="L500" s="609"/>
      <c r="M500" s="609"/>
      <c r="N500" s="599"/>
      <c r="O500" s="552" t="s">
        <v>1584</v>
      </c>
      <c r="P500" s="603"/>
      <c r="Q500" s="869"/>
      <c r="R500" s="869"/>
      <c r="S500" s="869"/>
      <c r="T500" s="869"/>
      <c r="U500" s="869"/>
      <c r="V500" s="869"/>
      <c r="W500" s="869"/>
      <c r="X500" s="869"/>
    </row>
    <row r="501" spans="1:24">
      <c r="A501" s="1045">
        <f t="shared" si="7"/>
        <v>7</v>
      </c>
      <c r="B501" s="134">
        <v>45496</v>
      </c>
      <c r="C501" s="70">
        <v>2018</v>
      </c>
      <c r="D501" s="70" t="s">
        <v>58</v>
      </c>
      <c r="E501" s="280" t="s">
        <v>3222</v>
      </c>
      <c r="F501" s="1049">
        <v>0.71</v>
      </c>
      <c r="G501" s="1049">
        <v>0</v>
      </c>
      <c r="H501" s="564"/>
      <c r="I501" s="609"/>
      <c r="J501" s="1155"/>
      <c r="K501" s="609"/>
      <c r="L501" s="609"/>
      <c r="M501" s="609"/>
      <c r="N501" s="599"/>
      <c r="O501" s="552" t="s">
        <v>1584</v>
      </c>
      <c r="P501" s="603" t="s">
        <v>1779</v>
      </c>
      <c r="Q501" s="869"/>
      <c r="R501" s="869"/>
      <c r="S501" s="869"/>
      <c r="T501" s="869"/>
      <c r="U501" s="869"/>
      <c r="V501" s="869"/>
      <c r="W501" s="869"/>
      <c r="X501" s="869"/>
    </row>
    <row r="502" spans="1:24">
      <c r="A502" s="1045">
        <f t="shared" si="7"/>
        <v>7</v>
      </c>
      <c r="B502" s="134">
        <v>45496</v>
      </c>
      <c r="C502" s="70">
        <v>1017</v>
      </c>
      <c r="D502" s="70" t="s">
        <v>5118</v>
      </c>
      <c r="E502" s="280" t="s">
        <v>3222</v>
      </c>
      <c r="F502" s="1049">
        <v>0</v>
      </c>
      <c r="G502" s="1049">
        <v>15</v>
      </c>
      <c r="H502" s="564"/>
      <c r="I502" s="609"/>
      <c r="J502" s="1155"/>
      <c r="K502" s="609"/>
      <c r="L502" s="609"/>
      <c r="M502" s="609"/>
      <c r="N502" s="599"/>
      <c r="O502" s="552" t="s">
        <v>1584</v>
      </c>
      <c r="P502" s="603"/>
      <c r="Q502" s="869"/>
      <c r="R502" s="869"/>
      <c r="S502" s="869"/>
      <c r="T502" s="869"/>
      <c r="U502" s="869"/>
      <c r="V502" s="869"/>
      <c r="W502" s="869"/>
      <c r="X502" s="869"/>
    </row>
    <row r="503" spans="1:24">
      <c r="A503" s="1045">
        <f t="shared" si="7"/>
        <v>7</v>
      </c>
      <c r="B503" s="134">
        <v>45496</v>
      </c>
      <c r="C503" s="70">
        <v>6250</v>
      </c>
      <c r="D503" s="70" t="s">
        <v>129</v>
      </c>
      <c r="E503" s="280" t="s">
        <v>3222</v>
      </c>
      <c r="F503" s="1049">
        <v>5</v>
      </c>
      <c r="G503" s="1049">
        <v>0</v>
      </c>
      <c r="H503" s="564"/>
      <c r="I503" s="609"/>
      <c r="J503" s="1155"/>
      <c r="K503" s="609"/>
      <c r="L503" s="609"/>
      <c r="M503" s="609"/>
      <c r="N503" s="599"/>
      <c r="O503" s="552" t="s">
        <v>1584</v>
      </c>
      <c r="P503" s="603" t="s">
        <v>1779</v>
      </c>
      <c r="Q503" s="869"/>
      <c r="R503" s="869"/>
      <c r="S503" s="869"/>
      <c r="T503" s="869"/>
      <c r="U503" s="869"/>
      <c r="V503" s="869"/>
      <c r="W503" s="869"/>
      <c r="X503" s="869"/>
    </row>
    <row r="504" spans="1:24">
      <c r="A504" s="1045">
        <f t="shared" si="7"/>
        <v>7</v>
      </c>
      <c r="B504" s="134">
        <v>45496</v>
      </c>
      <c r="C504" s="70">
        <v>2018</v>
      </c>
      <c r="D504" s="70" t="s">
        <v>58</v>
      </c>
      <c r="E504" s="280" t="s">
        <v>3222</v>
      </c>
      <c r="F504" s="1049">
        <v>0.8</v>
      </c>
      <c r="G504" s="1049">
        <v>0</v>
      </c>
      <c r="H504" s="564"/>
      <c r="I504" s="609"/>
      <c r="J504" s="1155"/>
      <c r="K504" s="609"/>
      <c r="L504" s="609"/>
      <c r="M504" s="609"/>
      <c r="N504" s="599"/>
      <c r="O504" s="552" t="s">
        <v>1584</v>
      </c>
      <c r="P504" s="603"/>
      <c r="Q504" s="869"/>
      <c r="R504" s="869"/>
      <c r="S504" s="869"/>
      <c r="T504" s="869"/>
      <c r="U504" s="869"/>
      <c r="V504" s="869"/>
      <c r="W504" s="869"/>
      <c r="X504" s="869"/>
    </row>
    <row r="505" spans="1:24">
      <c r="A505" s="1045">
        <f t="shared" si="7"/>
        <v>7</v>
      </c>
      <c r="B505" s="134">
        <v>45496</v>
      </c>
      <c r="C505" s="70">
        <v>1017</v>
      </c>
      <c r="D505" s="70" t="s">
        <v>5118</v>
      </c>
      <c r="E505" s="1047" t="s">
        <v>3222</v>
      </c>
      <c r="F505" s="1049">
        <v>0</v>
      </c>
      <c r="G505" s="1049">
        <v>5.8</v>
      </c>
      <c r="H505" s="564"/>
      <c r="I505" s="609"/>
      <c r="J505" s="1155"/>
      <c r="K505" s="609"/>
      <c r="L505" s="609"/>
      <c r="M505" s="609"/>
      <c r="N505" s="599"/>
      <c r="O505" s="552" t="s">
        <v>1584</v>
      </c>
      <c r="P505" s="603"/>
      <c r="Q505" s="869"/>
      <c r="R505" s="869"/>
      <c r="S505" s="869"/>
      <c r="T505" s="869"/>
      <c r="U505" s="869"/>
      <c r="V505" s="869"/>
      <c r="W505" s="869"/>
      <c r="X505" s="869"/>
    </row>
    <row r="506" spans="1:24">
      <c r="A506" s="1045">
        <f t="shared" si="7"/>
        <v>7</v>
      </c>
      <c r="B506" s="134">
        <v>45498</v>
      </c>
      <c r="C506" s="364">
        <v>6250</v>
      </c>
      <c r="D506" s="70" t="s">
        <v>129</v>
      </c>
      <c r="E506" s="395" t="s">
        <v>3223</v>
      </c>
      <c r="F506" s="1049">
        <v>13.81</v>
      </c>
      <c r="G506" s="1049">
        <v>0</v>
      </c>
      <c r="H506" s="564"/>
      <c r="I506" s="609"/>
      <c r="J506" s="1155"/>
      <c r="K506" s="609"/>
      <c r="L506" s="609"/>
      <c r="M506" s="609"/>
      <c r="N506" s="599"/>
      <c r="O506" s="552" t="s">
        <v>1584</v>
      </c>
      <c r="P506" s="603"/>
      <c r="Q506" s="869"/>
      <c r="R506" s="869"/>
      <c r="S506" s="869"/>
      <c r="T506" s="869"/>
      <c r="U506" s="869"/>
      <c r="V506" s="869"/>
      <c r="W506" s="869"/>
      <c r="X506" s="869"/>
    </row>
    <row r="507" spans="1:24">
      <c r="A507" s="1045">
        <f t="shared" si="7"/>
        <v>7</v>
      </c>
      <c r="B507" s="134">
        <v>45498</v>
      </c>
      <c r="C507" s="70">
        <v>2018</v>
      </c>
      <c r="D507" s="70" t="s">
        <v>58</v>
      </c>
      <c r="E507" s="395" t="s">
        <v>3223</v>
      </c>
      <c r="F507" s="1049">
        <v>0.69</v>
      </c>
      <c r="G507" s="1049">
        <v>0</v>
      </c>
      <c r="H507" s="564"/>
      <c r="I507" s="609"/>
      <c r="J507" s="1155"/>
      <c r="K507" s="609"/>
      <c r="L507" s="609"/>
      <c r="M507" s="609"/>
      <c r="N507" s="599"/>
      <c r="O507" s="552" t="s">
        <v>1584</v>
      </c>
      <c r="P507" s="603"/>
      <c r="Q507" s="869"/>
      <c r="R507" s="869"/>
      <c r="S507" s="869"/>
      <c r="T507" s="869"/>
      <c r="U507" s="869"/>
      <c r="V507" s="869"/>
      <c r="W507" s="869"/>
      <c r="X507" s="869"/>
    </row>
    <row r="508" spans="1:24">
      <c r="A508" s="1045">
        <f t="shared" si="7"/>
        <v>7</v>
      </c>
      <c r="B508" s="134">
        <v>45498</v>
      </c>
      <c r="C508" s="70">
        <v>1017</v>
      </c>
      <c r="D508" s="70" t="s">
        <v>5118</v>
      </c>
      <c r="E508" s="280" t="s">
        <v>3223</v>
      </c>
      <c r="F508" s="1049">
        <v>0</v>
      </c>
      <c r="G508" s="1049">
        <v>14.5</v>
      </c>
      <c r="H508" s="564"/>
      <c r="I508" s="609"/>
      <c r="J508" s="1155"/>
      <c r="K508" s="609"/>
      <c r="L508" s="609"/>
      <c r="M508" s="609"/>
      <c r="N508" s="599"/>
      <c r="O508" s="552" t="s">
        <v>1584</v>
      </c>
      <c r="P508" s="603"/>
      <c r="Q508" s="869"/>
      <c r="R508" s="869"/>
      <c r="S508" s="869"/>
      <c r="T508" s="869"/>
      <c r="U508" s="869"/>
      <c r="V508" s="869"/>
      <c r="W508" s="869"/>
      <c r="X508" s="869"/>
    </row>
    <row r="509" spans="1:24">
      <c r="A509" s="1045">
        <f t="shared" si="7"/>
        <v>7</v>
      </c>
      <c r="B509" s="134">
        <v>45498</v>
      </c>
      <c r="C509" s="70">
        <v>6250</v>
      </c>
      <c r="D509" s="70" t="s">
        <v>129</v>
      </c>
      <c r="E509" s="280" t="s">
        <v>3223</v>
      </c>
      <c r="F509" s="1049">
        <v>12.43</v>
      </c>
      <c r="G509" s="1049">
        <v>0</v>
      </c>
      <c r="H509" s="564"/>
      <c r="I509" s="609"/>
      <c r="J509" s="1155"/>
      <c r="K509" s="609"/>
      <c r="L509" s="609"/>
      <c r="M509" s="609"/>
      <c r="N509" s="599"/>
      <c r="O509" s="552" t="s">
        <v>1584</v>
      </c>
      <c r="P509" s="603"/>
      <c r="Q509" s="869"/>
      <c r="R509" s="869"/>
      <c r="S509" s="869"/>
      <c r="T509" s="869"/>
      <c r="U509" s="869"/>
      <c r="V509" s="869"/>
      <c r="W509" s="869"/>
      <c r="X509" s="869"/>
    </row>
    <row r="510" spans="1:24">
      <c r="A510" s="1045">
        <f t="shared" si="7"/>
        <v>7</v>
      </c>
      <c r="B510" s="134">
        <v>45498</v>
      </c>
      <c r="C510" s="70">
        <v>2018</v>
      </c>
      <c r="D510" s="70" t="s">
        <v>58</v>
      </c>
      <c r="E510" s="280" t="s">
        <v>3223</v>
      </c>
      <c r="F510" s="1049">
        <v>0.62</v>
      </c>
      <c r="G510" s="1049">
        <v>0</v>
      </c>
      <c r="H510" s="564"/>
      <c r="I510" s="609"/>
      <c r="J510" s="1155"/>
      <c r="K510" s="609"/>
      <c r="L510" s="609"/>
      <c r="M510" s="609"/>
      <c r="N510" s="599"/>
      <c r="O510" s="552" t="s">
        <v>1584</v>
      </c>
      <c r="P510" s="603"/>
      <c r="Q510" s="869"/>
      <c r="R510" s="869"/>
      <c r="S510" s="869"/>
      <c r="T510" s="869"/>
      <c r="U510" s="869"/>
      <c r="V510" s="869"/>
      <c r="W510" s="869"/>
      <c r="X510" s="869"/>
    </row>
    <row r="511" spans="1:24">
      <c r="A511" s="1045">
        <f t="shared" si="7"/>
        <v>7</v>
      </c>
      <c r="B511" s="134">
        <v>45498</v>
      </c>
      <c r="C511" s="70">
        <v>1017</v>
      </c>
      <c r="D511" s="70" t="s">
        <v>5118</v>
      </c>
      <c r="E511" s="280" t="s">
        <v>3223</v>
      </c>
      <c r="F511" s="1049">
        <v>0</v>
      </c>
      <c r="G511" s="1049">
        <v>13.05</v>
      </c>
      <c r="H511" s="564"/>
      <c r="I511" s="609"/>
      <c r="J511" s="1155"/>
      <c r="K511" s="609"/>
      <c r="L511" s="609"/>
      <c r="M511" s="609"/>
      <c r="N511" s="599"/>
      <c r="O511" s="552" t="s">
        <v>1584</v>
      </c>
      <c r="P511" s="603"/>
      <c r="Q511" s="869"/>
      <c r="R511" s="869"/>
      <c r="S511" s="869"/>
      <c r="T511" s="869"/>
      <c r="U511" s="869"/>
      <c r="V511" s="869"/>
      <c r="W511" s="869"/>
      <c r="X511" s="869"/>
    </row>
    <row r="512" spans="1:24">
      <c r="A512" s="1045">
        <f t="shared" si="7"/>
        <v>7</v>
      </c>
      <c r="B512" s="134">
        <v>45501</v>
      </c>
      <c r="C512" s="70">
        <v>6250</v>
      </c>
      <c r="D512" s="70" t="s">
        <v>129</v>
      </c>
      <c r="E512" s="280" t="s">
        <v>3211</v>
      </c>
      <c r="F512" s="1049">
        <v>4.76</v>
      </c>
      <c r="G512" s="1049">
        <v>0</v>
      </c>
      <c r="H512" s="564"/>
      <c r="I512" s="609"/>
      <c r="J512" s="1155"/>
      <c r="K512" s="609"/>
      <c r="L512" s="609"/>
      <c r="M512" s="609"/>
      <c r="N512" s="599"/>
      <c r="O512" s="552" t="s">
        <v>1584</v>
      </c>
      <c r="P512" s="603"/>
      <c r="Q512" s="869"/>
      <c r="R512" s="869"/>
      <c r="S512" s="869"/>
      <c r="T512" s="869"/>
      <c r="U512" s="869"/>
      <c r="V512" s="869"/>
      <c r="W512" s="869"/>
      <c r="X512" s="869"/>
    </row>
    <row r="513" spans="1:24">
      <c r="A513" s="1045">
        <f t="shared" si="7"/>
        <v>7</v>
      </c>
      <c r="B513" s="134">
        <v>45501</v>
      </c>
      <c r="C513" s="70">
        <v>2018</v>
      </c>
      <c r="D513" s="70" t="s">
        <v>58</v>
      </c>
      <c r="E513" s="280" t="s">
        <v>3211</v>
      </c>
      <c r="F513" s="1049">
        <v>0.24</v>
      </c>
      <c r="G513" s="1049">
        <v>0</v>
      </c>
      <c r="H513" s="564"/>
      <c r="I513" s="609"/>
      <c r="J513" s="1155"/>
      <c r="K513" s="609"/>
      <c r="L513" s="609"/>
      <c r="M513" s="609"/>
      <c r="N513" s="599"/>
      <c r="O513" s="552" t="s">
        <v>1584</v>
      </c>
      <c r="P513" s="603"/>
      <c r="Q513" s="869"/>
      <c r="R513" s="869"/>
      <c r="S513" s="869"/>
      <c r="T513" s="869"/>
      <c r="U513" s="869"/>
      <c r="V513" s="869"/>
      <c r="W513" s="869"/>
      <c r="X513" s="869"/>
    </row>
    <row r="514" spans="1:24">
      <c r="A514" s="1045">
        <f t="shared" si="7"/>
        <v>7</v>
      </c>
      <c r="B514" s="134">
        <v>45501</v>
      </c>
      <c r="C514" s="70">
        <v>1017</v>
      </c>
      <c r="D514" s="70" t="s">
        <v>5118</v>
      </c>
      <c r="E514" s="280" t="s">
        <v>3211</v>
      </c>
      <c r="F514" s="1049">
        <v>0</v>
      </c>
      <c r="G514" s="1049">
        <v>5</v>
      </c>
      <c r="H514" s="564"/>
      <c r="I514" s="609"/>
      <c r="J514" s="1155"/>
      <c r="K514" s="609"/>
      <c r="L514" s="609"/>
      <c r="M514" s="609"/>
      <c r="N514" s="599"/>
      <c r="O514" s="552" t="s">
        <v>1584</v>
      </c>
      <c r="P514" s="603"/>
      <c r="Q514" s="869"/>
      <c r="R514" s="869"/>
      <c r="S514" s="869"/>
      <c r="T514" s="869"/>
      <c r="U514" s="869"/>
      <c r="V514" s="869"/>
      <c r="W514" s="869"/>
      <c r="X514" s="869"/>
    </row>
    <row r="515" spans="1:24">
      <c r="A515" s="1045">
        <f t="shared" si="7"/>
        <v>7</v>
      </c>
      <c r="B515" s="134">
        <v>45502</v>
      </c>
      <c r="C515" s="70">
        <v>6250</v>
      </c>
      <c r="D515" s="70" t="s">
        <v>129</v>
      </c>
      <c r="E515" s="280" t="s">
        <v>3224</v>
      </c>
      <c r="F515" s="1049">
        <v>150</v>
      </c>
      <c r="G515" s="1049">
        <v>0</v>
      </c>
      <c r="H515" s="564"/>
      <c r="I515" s="609"/>
      <c r="J515" s="1155"/>
      <c r="K515" s="609"/>
      <c r="L515" s="609"/>
      <c r="M515" s="609"/>
      <c r="N515" s="599"/>
      <c r="O515" s="552" t="s">
        <v>1584</v>
      </c>
      <c r="P515" s="603"/>
      <c r="Q515" s="869"/>
      <c r="R515" s="869"/>
      <c r="S515" s="869"/>
      <c r="T515" s="869"/>
      <c r="U515" s="869"/>
      <c r="V515" s="869"/>
      <c r="W515" s="869"/>
      <c r="X515" s="869"/>
    </row>
    <row r="516" spans="1:24">
      <c r="A516" s="1045">
        <f t="shared" si="7"/>
        <v>7</v>
      </c>
      <c r="B516" s="134">
        <v>45502</v>
      </c>
      <c r="C516" s="70">
        <v>1017</v>
      </c>
      <c r="D516" s="70" t="s">
        <v>5118</v>
      </c>
      <c r="E516" s="280" t="s">
        <v>3224</v>
      </c>
      <c r="F516" s="1049">
        <v>0</v>
      </c>
      <c r="G516" s="1049">
        <v>150</v>
      </c>
      <c r="H516" s="564"/>
      <c r="I516" s="609"/>
      <c r="J516" s="1155"/>
      <c r="K516" s="609"/>
      <c r="L516" s="609"/>
      <c r="M516" s="609"/>
      <c r="N516" s="599"/>
      <c r="O516" s="552" t="s">
        <v>1584</v>
      </c>
      <c r="P516" s="603"/>
      <c r="Q516" s="869"/>
      <c r="R516" s="869"/>
      <c r="S516" s="869"/>
      <c r="T516" s="869"/>
      <c r="U516" s="869"/>
      <c r="V516" s="869"/>
      <c r="W516" s="869"/>
      <c r="X516" s="869"/>
    </row>
    <row r="517" spans="1:24">
      <c r="A517" s="1045">
        <f t="shared" si="7"/>
        <v>7</v>
      </c>
      <c r="B517" s="134">
        <v>45503</v>
      </c>
      <c r="C517" s="70">
        <v>6000</v>
      </c>
      <c r="D517" s="70" t="s">
        <v>91</v>
      </c>
      <c r="E517" s="280" t="s">
        <v>3225</v>
      </c>
      <c r="F517" s="1049">
        <v>69597</v>
      </c>
      <c r="G517" s="1049">
        <v>0</v>
      </c>
      <c r="H517" s="564"/>
      <c r="I517" s="609"/>
      <c r="J517" s="1155"/>
      <c r="K517" s="609"/>
      <c r="L517" s="609"/>
      <c r="M517" s="609"/>
      <c r="N517" s="599"/>
      <c r="O517" s="552" t="s">
        <v>1584</v>
      </c>
      <c r="P517" s="603"/>
      <c r="Q517" s="869"/>
      <c r="R517" s="869"/>
      <c r="S517" s="869"/>
      <c r="T517" s="869"/>
      <c r="U517" s="869"/>
      <c r="V517" s="869"/>
      <c r="W517" s="869"/>
      <c r="X517" s="869"/>
    </row>
    <row r="518" spans="1:24">
      <c r="A518" s="1045">
        <f t="shared" si="7"/>
        <v>7</v>
      </c>
      <c r="B518" s="134">
        <v>45503</v>
      </c>
      <c r="C518" s="70">
        <v>2018</v>
      </c>
      <c r="D518" s="70" t="s">
        <v>58</v>
      </c>
      <c r="E518" s="280" t="s">
        <v>3225</v>
      </c>
      <c r="F518" s="1049">
        <v>4.75</v>
      </c>
      <c r="G518" s="1049">
        <v>0</v>
      </c>
      <c r="H518" s="564"/>
      <c r="I518" s="609"/>
      <c r="J518" s="1155"/>
      <c r="K518" s="609"/>
      <c r="L518" s="609"/>
      <c r="M518" s="609"/>
      <c r="N518" s="599"/>
      <c r="O518" s="552" t="s">
        <v>1584</v>
      </c>
      <c r="P518" s="603"/>
      <c r="Q518" s="869"/>
      <c r="R518" s="869"/>
      <c r="S518" s="869"/>
      <c r="T518" s="869"/>
      <c r="U518" s="869"/>
      <c r="V518" s="869"/>
      <c r="W518" s="869"/>
      <c r="X518" s="869"/>
    </row>
    <row r="519" spans="1:24">
      <c r="A519" s="1045">
        <f t="shared" si="7"/>
        <v>7</v>
      </c>
      <c r="B519" s="134">
        <v>45503</v>
      </c>
      <c r="C519" s="70">
        <v>6250</v>
      </c>
      <c r="D519" s="70" t="s">
        <v>129</v>
      </c>
      <c r="E519" s="280" t="s">
        <v>3226</v>
      </c>
      <c r="F519" s="1049">
        <v>95</v>
      </c>
      <c r="G519" s="1049">
        <v>0</v>
      </c>
      <c r="H519" s="564"/>
      <c r="I519" s="609"/>
      <c r="J519" s="1155"/>
      <c r="K519" s="609"/>
      <c r="L519" s="609"/>
      <c r="M519" s="609"/>
      <c r="N519" s="599"/>
      <c r="O519" s="552" t="s">
        <v>1584</v>
      </c>
      <c r="P519" s="603"/>
      <c r="Q519" s="869"/>
      <c r="R519" s="869"/>
      <c r="S519" s="869"/>
      <c r="T519" s="869"/>
      <c r="U519" s="869"/>
      <c r="V519" s="869"/>
      <c r="W519" s="869"/>
      <c r="X519" s="869"/>
    </row>
    <row r="520" spans="1:24">
      <c r="A520" s="1045">
        <f t="shared" si="7"/>
        <v>7</v>
      </c>
      <c r="B520" s="134">
        <v>45503</v>
      </c>
      <c r="C520" s="70">
        <v>1022</v>
      </c>
      <c r="D520" s="70" t="s">
        <v>5119</v>
      </c>
      <c r="E520" s="280" t="s">
        <v>3227</v>
      </c>
      <c r="F520" s="1049">
        <v>0</v>
      </c>
      <c r="G520" s="1049">
        <v>69696.75</v>
      </c>
      <c r="H520" s="564"/>
      <c r="I520" s="609"/>
      <c r="J520" s="1155"/>
      <c r="K520" s="609"/>
      <c r="L520" s="609"/>
      <c r="M520" s="609"/>
      <c r="N520" s="599"/>
      <c r="O520" s="552" t="s">
        <v>1584</v>
      </c>
      <c r="P520" s="603"/>
      <c r="Q520" s="869"/>
      <c r="R520" s="869"/>
      <c r="S520" s="869"/>
      <c r="T520" s="869"/>
      <c r="U520" s="869"/>
      <c r="V520" s="869"/>
      <c r="W520" s="869"/>
      <c r="X520" s="869"/>
    </row>
    <row r="521" spans="1:24">
      <c r="A521" s="1045">
        <f t="shared" si="7"/>
        <v>7</v>
      </c>
      <c r="B521" s="134">
        <v>45503</v>
      </c>
      <c r="C521" s="70">
        <v>6250</v>
      </c>
      <c r="D521" s="70" t="s">
        <v>129</v>
      </c>
      <c r="E521" s="280" t="s">
        <v>3216</v>
      </c>
      <c r="F521" s="1049">
        <v>8.1</v>
      </c>
      <c r="G521" s="1049">
        <v>0</v>
      </c>
      <c r="H521" s="564"/>
      <c r="I521" s="609"/>
      <c r="J521" s="1155"/>
      <c r="K521" s="609"/>
      <c r="L521" s="609"/>
      <c r="M521" s="609"/>
      <c r="N521" s="599"/>
      <c r="O521" s="552" t="s">
        <v>1584</v>
      </c>
      <c r="P521" s="603"/>
      <c r="Q521" s="869"/>
      <c r="R521" s="869"/>
      <c r="S521" s="869"/>
      <c r="T521" s="869"/>
      <c r="U521" s="869"/>
      <c r="V521" s="869"/>
      <c r="W521" s="869"/>
      <c r="X521" s="869"/>
    </row>
    <row r="522" spans="1:24">
      <c r="A522" s="1045">
        <f t="shared" si="7"/>
        <v>7</v>
      </c>
      <c r="B522" s="134">
        <v>45503</v>
      </c>
      <c r="C522" s="70">
        <v>2018</v>
      </c>
      <c r="D522" s="70" t="s">
        <v>58</v>
      </c>
      <c r="E522" s="280" t="s">
        <v>3216</v>
      </c>
      <c r="F522" s="1049">
        <v>0.4</v>
      </c>
      <c r="G522" s="1049">
        <v>0</v>
      </c>
      <c r="H522" s="564"/>
      <c r="I522" s="609"/>
      <c r="J522" s="1155"/>
      <c r="K522" s="609"/>
      <c r="L522" s="609"/>
      <c r="M522" s="609"/>
      <c r="N522" s="599"/>
      <c r="O522" s="552" t="s">
        <v>1584</v>
      </c>
      <c r="P522" s="603"/>
      <c r="Q522" s="869"/>
      <c r="R522" s="869"/>
      <c r="S522" s="869"/>
      <c r="T522" s="869"/>
      <c r="U522" s="869"/>
      <c r="V522" s="869"/>
      <c r="W522" s="869"/>
      <c r="X522" s="869"/>
    </row>
    <row r="523" spans="1:24">
      <c r="A523" s="1045">
        <f t="shared" si="7"/>
        <v>7</v>
      </c>
      <c r="B523" s="134">
        <v>45503</v>
      </c>
      <c r="C523" s="70">
        <v>1017</v>
      </c>
      <c r="D523" s="70" t="s">
        <v>5118</v>
      </c>
      <c r="E523" s="280" t="s">
        <v>3216</v>
      </c>
      <c r="F523" s="1049">
        <v>0</v>
      </c>
      <c r="G523" s="1049">
        <v>8.5</v>
      </c>
      <c r="H523" s="564"/>
      <c r="I523" s="609"/>
      <c r="J523" s="1155"/>
      <c r="K523" s="609"/>
      <c r="L523" s="609"/>
      <c r="M523" s="609"/>
      <c r="N523" s="599"/>
      <c r="O523" s="552" t="s">
        <v>1584</v>
      </c>
      <c r="P523" s="603"/>
      <c r="Q523" s="869"/>
      <c r="R523" s="869"/>
      <c r="S523" s="869"/>
      <c r="T523" s="869"/>
      <c r="U523" s="869"/>
      <c r="V523" s="869"/>
      <c r="W523" s="869"/>
      <c r="X523" s="869"/>
    </row>
    <row r="524" spans="1:24">
      <c r="A524" s="1045">
        <f t="shared" si="7"/>
        <v>7</v>
      </c>
      <c r="B524" s="134">
        <v>45503</v>
      </c>
      <c r="C524" s="70">
        <v>6250</v>
      </c>
      <c r="D524" s="70" t="s">
        <v>129</v>
      </c>
      <c r="E524" s="280" t="s">
        <v>3228</v>
      </c>
      <c r="F524" s="1049">
        <v>2.86</v>
      </c>
      <c r="G524" s="1049">
        <v>0</v>
      </c>
      <c r="H524" s="564"/>
      <c r="I524" s="609"/>
      <c r="J524" s="1155"/>
      <c r="K524" s="609"/>
      <c r="L524" s="609"/>
      <c r="M524" s="609"/>
      <c r="N524" s="599"/>
      <c r="O524" s="552" t="s">
        <v>1584</v>
      </c>
      <c r="P524" s="603"/>
      <c r="Q524" s="869"/>
      <c r="R524" s="869"/>
      <c r="S524" s="869"/>
      <c r="T524" s="869"/>
      <c r="U524" s="869"/>
      <c r="V524" s="869"/>
      <c r="W524" s="869"/>
      <c r="X524" s="869"/>
    </row>
    <row r="525" spans="1:24">
      <c r="A525" s="1045">
        <f t="shared" si="7"/>
        <v>7</v>
      </c>
      <c r="B525" s="134">
        <v>45503</v>
      </c>
      <c r="C525" s="70">
        <v>2018</v>
      </c>
      <c r="D525" s="70" t="s">
        <v>58</v>
      </c>
      <c r="E525" s="280" t="s">
        <v>3228</v>
      </c>
      <c r="F525" s="1049">
        <v>0.14000000000000001</v>
      </c>
      <c r="G525" s="1049">
        <v>0</v>
      </c>
      <c r="H525" s="564"/>
      <c r="I525" s="609"/>
      <c r="J525" s="1155"/>
      <c r="K525" s="609"/>
      <c r="L525" s="609"/>
      <c r="M525" s="609"/>
      <c r="N525" s="599"/>
      <c r="O525" s="552" t="s">
        <v>1584</v>
      </c>
      <c r="P525" s="603"/>
      <c r="Q525" s="869"/>
      <c r="R525" s="869"/>
      <c r="S525" s="869"/>
      <c r="T525" s="869"/>
      <c r="U525" s="869"/>
      <c r="V525" s="869"/>
      <c r="W525" s="869"/>
      <c r="X525" s="869"/>
    </row>
    <row r="526" spans="1:24">
      <c r="A526" s="1045">
        <f t="shared" si="7"/>
        <v>7</v>
      </c>
      <c r="B526" s="134">
        <v>45503</v>
      </c>
      <c r="C526" s="70">
        <v>1017</v>
      </c>
      <c r="D526" s="70" t="s">
        <v>5118</v>
      </c>
      <c r="E526" s="280" t="s">
        <v>3228</v>
      </c>
      <c r="F526" s="1049">
        <v>0</v>
      </c>
      <c r="G526" s="1049">
        <v>3</v>
      </c>
      <c r="H526" s="564"/>
      <c r="I526" s="609"/>
      <c r="J526" s="1155"/>
      <c r="K526" s="609"/>
      <c r="L526" s="609"/>
      <c r="M526" s="609"/>
      <c r="N526" s="599"/>
      <c r="O526" s="552" t="s">
        <v>1584</v>
      </c>
      <c r="P526" s="603"/>
      <c r="Q526" s="869"/>
      <c r="R526" s="869"/>
      <c r="S526" s="869"/>
      <c r="T526" s="869"/>
      <c r="U526" s="869"/>
      <c r="V526" s="869"/>
      <c r="W526" s="869"/>
      <c r="X526" s="869"/>
    </row>
    <row r="527" spans="1:24">
      <c r="A527" s="1045">
        <f t="shared" si="7"/>
        <v>7</v>
      </c>
      <c r="B527" s="134">
        <v>45503</v>
      </c>
      <c r="C527" s="70">
        <v>6250</v>
      </c>
      <c r="D527" s="70" t="s">
        <v>129</v>
      </c>
      <c r="E527" s="280" t="s">
        <v>3228</v>
      </c>
      <c r="F527" s="1049">
        <v>18</v>
      </c>
      <c r="G527" s="1049">
        <v>0</v>
      </c>
      <c r="H527" s="564"/>
      <c r="I527" s="609"/>
      <c r="J527" s="1155"/>
      <c r="K527" s="609"/>
      <c r="L527" s="609"/>
      <c r="M527" s="609"/>
      <c r="N527" s="599"/>
      <c r="O527" s="552" t="s">
        <v>1584</v>
      </c>
      <c r="P527" s="603"/>
      <c r="Q527" s="869"/>
      <c r="R527" s="869"/>
      <c r="S527" s="869"/>
      <c r="T527" s="869"/>
      <c r="U527" s="869"/>
      <c r="V527" s="869"/>
      <c r="W527" s="869"/>
      <c r="X527" s="869"/>
    </row>
    <row r="528" spans="1:24">
      <c r="A528" s="1045">
        <f t="shared" si="7"/>
        <v>7</v>
      </c>
      <c r="B528" s="134">
        <v>45503</v>
      </c>
      <c r="C528" s="70">
        <v>2018</v>
      </c>
      <c r="D528" s="70" t="s">
        <v>58</v>
      </c>
      <c r="E528" s="280" t="s">
        <v>3228</v>
      </c>
      <c r="F528" s="1049">
        <v>0.9</v>
      </c>
      <c r="G528" s="1049">
        <v>0</v>
      </c>
      <c r="H528" s="564"/>
      <c r="I528" s="609"/>
      <c r="J528" s="1155"/>
      <c r="K528" s="609"/>
      <c r="L528" s="609"/>
      <c r="M528" s="609"/>
      <c r="N528" s="599"/>
      <c r="O528" s="552" t="s">
        <v>1584</v>
      </c>
      <c r="P528" s="603"/>
      <c r="Q528" s="869"/>
      <c r="R528" s="869"/>
      <c r="S528" s="869"/>
      <c r="T528" s="869"/>
      <c r="U528" s="869"/>
      <c r="V528" s="869"/>
      <c r="W528" s="869"/>
      <c r="X528" s="869"/>
    </row>
    <row r="529" spans="1:24">
      <c r="A529" s="1045">
        <f t="shared" si="7"/>
        <v>7</v>
      </c>
      <c r="B529" s="134">
        <v>45503</v>
      </c>
      <c r="C529" s="70">
        <v>1017</v>
      </c>
      <c r="D529" s="70" t="s">
        <v>5118</v>
      </c>
      <c r="E529" s="280" t="s">
        <v>3228</v>
      </c>
      <c r="F529" s="1049">
        <v>0</v>
      </c>
      <c r="G529" s="1049">
        <v>18.899999999999999</v>
      </c>
      <c r="H529" s="564"/>
      <c r="I529" s="609"/>
      <c r="J529" s="1155"/>
      <c r="K529" s="609"/>
      <c r="L529" s="609"/>
      <c r="M529" s="609"/>
      <c r="N529" s="599"/>
      <c r="O529" s="552" t="s">
        <v>1584</v>
      </c>
      <c r="P529" s="603"/>
      <c r="Q529" s="869"/>
      <c r="R529" s="869"/>
      <c r="S529" s="869"/>
      <c r="T529" s="869"/>
      <c r="U529" s="869"/>
      <c r="V529" s="869"/>
      <c r="W529" s="869"/>
      <c r="X529" s="869"/>
    </row>
    <row r="530" spans="1:24">
      <c r="A530" s="1045">
        <f t="shared" ref="A530:A593" si="8">IF(B530="","",MONTH(B530))</f>
        <v>7</v>
      </c>
      <c r="B530" s="134">
        <v>45504</v>
      </c>
      <c r="C530" s="70">
        <v>6001</v>
      </c>
      <c r="D530" s="70" t="s">
        <v>92</v>
      </c>
      <c r="E530" s="280" t="s">
        <v>3229</v>
      </c>
      <c r="F530" s="1049">
        <v>6202.18</v>
      </c>
      <c r="G530" s="1049">
        <v>0</v>
      </c>
      <c r="H530" s="564"/>
      <c r="I530" s="609"/>
      <c r="J530" s="1155"/>
      <c r="K530" s="609"/>
      <c r="L530" s="609"/>
      <c r="M530" s="609"/>
      <c r="N530" s="599"/>
      <c r="O530" s="552" t="s">
        <v>1584</v>
      </c>
      <c r="P530" s="603"/>
      <c r="Q530" s="869"/>
      <c r="R530" s="869"/>
      <c r="S530" s="869"/>
      <c r="T530" s="869"/>
      <c r="U530" s="869"/>
      <c r="V530" s="869"/>
      <c r="W530" s="869"/>
      <c r="X530" s="869"/>
    </row>
    <row r="531" spans="1:24">
      <c r="A531" s="1045">
        <f t="shared" si="8"/>
        <v>7</v>
      </c>
      <c r="B531" s="134">
        <v>45504</v>
      </c>
      <c r="C531" s="70">
        <v>2018</v>
      </c>
      <c r="D531" s="70" t="s">
        <v>58</v>
      </c>
      <c r="E531" s="280" t="s">
        <v>3230</v>
      </c>
      <c r="F531" s="1049">
        <v>310.10000000000002</v>
      </c>
      <c r="G531" s="1049">
        <v>0</v>
      </c>
      <c r="H531" s="564"/>
      <c r="I531" s="609"/>
      <c r="J531" s="1155"/>
      <c r="K531" s="609"/>
      <c r="L531" s="609"/>
      <c r="M531" s="609"/>
      <c r="N531" s="599"/>
      <c r="O531" s="552" t="s">
        <v>1584</v>
      </c>
      <c r="P531" s="603"/>
      <c r="Q531" s="869"/>
      <c r="R531" s="869"/>
      <c r="S531" s="869"/>
      <c r="T531" s="869"/>
      <c r="U531" s="869"/>
      <c r="V531" s="869"/>
      <c r="W531" s="869"/>
      <c r="X531" s="869"/>
    </row>
    <row r="532" spans="1:24">
      <c r="A532" s="1045">
        <f t="shared" si="8"/>
        <v>7</v>
      </c>
      <c r="B532" s="134">
        <v>45504</v>
      </c>
      <c r="C532" s="70">
        <v>1011</v>
      </c>
      <c r="D532" s="70" t="s">
        <v>34</v>
      </c>
      <c r="E532" s="280" t="s">
        <v>3229</v>
      </c>
      <c r="F532" s="1049">
        <v>0</v>
      </c>
      <c r="G532" s="1049">
        <v>6512.28</v>
      </c>
      <c r="H532" s="564"/>
      <c r="I532" s="609"/>
      <c r="J532" s="1155"/>
      <c r="K532" s="609"/>
      <c r="L532" s="609"/>
      <c r="M532" s="609"/>
      <c r="N532" s="599"/>
      <c r="O532" s="552" t="s">
        <v>1584</v>
      </c>
      <c r="P532" s="603" t="s">
        <v>1779</v>
      </c>
      <c r="Q532" s="869"/>
      <c r="R532" s="869"/>
      <c r="S532" s="869"/>
      <c r="T532" s="869"/>
      <c r="U532" s="869"/>
      <c r="V532" s="869"/>
      <c r="W532" s="869"/>
      <c r="X532" s="869"/>
    </row>
    <row r="533" spans="1:24">
      <c r="A533" s="1045">
        <f t="shared" si="8"/>
        <v>7</v>
      </c>
      <c r="B533" s="675">
        <v>45503</v>
      </c>
      <c r="C533" s="70">
        <v>1017</v>
      </c>
      <c r="D533" s="70" t="s">
        <v>5118</v>
      </c>
      <c r="E533" s="280" t="s">
        <v>3231</v>
      </c>
      <c r="F533" s="1049">
        <v>15000</v>
      </c>
      <c r="G533" s="1049">
        <v>0</v>
      </c>
      <c r="H533" s="564"/>
      <c r="I533" s="609"/>
      <c r="J533" s="1155"/>
      <c r="K533" s="609"/>
      <c r="L533" s="609"/>
      <c r="M533" s="609"/>
      <c r="N533" s="599"/>
      <c r="O533" s="552" t="s">
        <v>1584</v>
      </c>
      <c r="P533" s="603"/>
      <c r="Q533" s="869"/>
      <c r="R533" s="869"/>
      <c r="S533" s="869"/>
      <c r="T533" s="869"/>
      <c r="U533" s="869"/>
      <c r="V533" s="869"/>
      <c r="W533" s="869"/>
      <c r="X533" s="869"/>
    </row>
    <row r="534" spans="1:24">
      <c r="A534" s="1045">
        <f t="shared" si="8"/>
        <v>7</v>
      </c>
      <c r="B534" s="134">
        <v>45503</v>
      </c>
      <c r="C534" s="70">
        <v>1022</v>
      </c>
      <c r="D534" s="70" t="s">
        <v>5119</v>
      </c>
      <c r="E534" s="280" t="s">
        <v>3231</v>
      </c>
      <c r="F534" s="1049">
        <v>0</v>
      </c>
      <c r="G534" s="1049">
        <v>15000</v>
      </c>
      <c r="H534" s="564"/>
      <c r="I534" s="609"/>
      <c r="J534" s="1155"/>
      <c r="K534" s="609"/>
      <c r="L534" s="609"/>
      <c r="M534" s="609"/>
      <c r="N534" s="599"/>
      <c r="O534" s="552" t="s">
        <v>1584</v>
      </c>
      <c r="P534" s="603" t="s">
        <v>1779</v>
      </c>
      <c r="Q534" s="869"/>
      <c r="R534" s="869"/>
      <c r="S534" s="869"/>
      <c r="T534" s="869"/>
      <c r="U534" s="869"/>
      <c r="V534" s="869"/>
      <c r="W534" s="869"/>
      <c r="X534" s="869"/>
    </row>
    <row r="535" spans="1:24">
      <c r="A535" s="1045">
        <f t="shared" si="8"/>
        <v>8</v>
      </c>
      <c r="B535" s="134">
        <v>45506</v>
      </c>
      <c r="C535" s="70">
        <v>6250</v>
      </c>
      <c r="D535" s="70" t="s">
        <v>129</v>
      </c>
      <c r="E535" s="280" t="s">
        <v>3232</v>
      </c>
      <c r="F535" s="1049">
        <v>10</v>
      </c>
      <c r="G535" s="1049">
        <v>0</v>
      </c>
      <c r="H535" s="564"/>
      <c r="I535" s="609"/>
      <c r="J535" s="1155"/>
      <c r="K535" s="609"/>
      <c r="L535" s="609"/>
      <c r="M535" s="609"/>
      <c r="N535" s="599"/>
      <c r="O535" s="552" t="s">
        <v>1584</v>
      </c>
      <c r="P535" s="603"/>
      <c r="Q535" s="869"/>
      <c r="R535" s="869"/>
      <c r="S535" s="869"/>
      <c r="T535" s="869"/>
      <c r="U535" s="869"/>
      <c r="V535" s="869"/>
      <c r="W535" s="869"/>
      <c r="X535" s="869"/>
    </row>
    <row r="536" spans="1:24">
      <c r="A536" s="1045">
        <f t="shared" si="8"/>
        <v>8</v>
      </c>
      <c r="B536" s="134">
        <v>45506</v>
      </c>
      <c r="C536" s="70">
        <v>2018</v>
      </c>
      <c r="D536" s="70" t="s">
        <v>58</v>
      </c>
      <c r="E536" s="280" t="s">
        <v>3232</v>
      </c>
      <c r="F536" s="1049">
        <v>0.5</v>
      </c>
      <c r="G536" s="1049">
        <v>0</v>
      </c>
      <c r="H536" s="564"/>
      <c r="I536" s="609"/>
      <c r="J536" s="1155"/>
      <c r="K536" s="609"/>
      <c r="L536" s="609"/>
      <c r="M536" s="609"/>
      <c r="N536" s="599"/>
      <c r="O536" s="552" t="s">
        <v>1584</v>
      </c>
      <c r="P536" s="603"/>
      <c r="Q536" s="869"/>
      <c r="R536" s="869"/>
      <c r="S536" s="869"/>
      <c r="T536" s="869"/>
      <c r="U536" s="869"/>
      <c r="V536" s="869"/>
      <c r="W536" s="869"/>
      <c r="X536" s="869"/>
    </row>
    <row r="537" spans="1:24">
      <c r="A537" s="1045">
        <f t="shared" si="8"/>
        <v>8</v>
      </c>
      <c r="B537" s="134">
        <v>45506</v>
      </c>
      <c r="C537" s="70">
        <v>1017</v>
      </c>
      <c r="D537" s="70" t="s">
        <v>5118</v>
      </c>
      <c r="E537" s="280" t="s">
        <v>3232</v>
      </c>
      <c r="F537" s="1049">
        <v>0</v>
      </c>
      <c r="G537" s="1049">
        <v>10.5</v>
      </c>
      <c r="H537" s="564"/>
      <c r="I537" s="609"/>
      <c r="J537" s="1155"/>
      <c r="K537" s="609"/>
      <c r="L537" s="609"/>
      <c r="M537" s="609"/>
      <c r="N537" s="599"/>
      <c r="O537" s="552" t="s">
        <v>1584</v>
      </c>
      <c r="P537" s="603"/>
      <c r="Q537" s="869"/>
      <c r="R537" s="869"/>
      <c r="S537" s="869"/>
      <c r="T537" s="869"/>
      <c r="U537" s="869"/>
      <c r="V537" s="869"/>
      <c r="W537" s="869"/>
      <c r="X537" s="869"/>
    </row>
    <row r="538" spans="1:24">
      <c r="A538" s="1045">
        <f t="shared" si="8"/>
        <v>8</v>
      </c>
      <c r="B538" s="134">
        <v>45506</v>
      </c>
      <c r="C538" s="70">
        <v>6250</v>
      </c>
      <c r="D538" s="70" t="s">
        <v>129</v>
      </c>
      <c r="E538" s="280" t="s">
        <v>3233</v>
      </c>
      <c r="F538" s="1049">
        <v>139.05000000000001</v>
      </c>
      <c r="G538" s="1049">
        <v>0</v>
      </c>
      <c r="H538" s="564"/>
      <c r="I538" s="609"/>
      <c r="J538" s="1155"/>
      <c r="K538" s="609"/>
      <c r="L538" s="609"/>
      <c r="M538" s="609"/>
      <c r="N538" s="599"/>
      <c r="O538" s="552" t="s">
        <v>1584</v>
      </c>
      <c r="P538" s="603"/>
      <c r="Q538" s="869"/>
      <c r="R538" s="869"/>
      <c r="S538" s="869"/>
      <c r="T538" s="869"/>
      <c r="U538" s="869"/>
      <c r="V538" s="869"/>
      <c r="W538" s="869"/>
      <c r="X538" s="869"/>
    </row>
    <row r="539" spans="1:24">
      <c r="A539" s="1045">
        <f t="shared" si="8"/>
        <v>8</v>
      </c>
      <c r="B539" s="134">
        <v>45506</v>
      </c>
      <c r="C539" s="70">
        <v>2018</v>
      </c>
      <c r="D539" s="70" t="s">
        <v>58</v>
      </c>
      <c r="E539" s="280" t="s">
        <v>3233</v>
      </c>
      <c r="F539" s="1049">
        <v>6.95</v>
      </c>
      <c r="G539" s="1049">
        <v>0</v>
      </c>
      <c r="H539" s="564"/>
      <c r="I539" s="609"/>
      <c r="J539" s="1155"/>
      <c r="K539" s="609"/>
      <c r="L539" s="609"/>
      <c r="M539" s="609"/>
      <c r="N539" s="599"/>
      <c r="O539" s="552" t="s">
        <v>1584</v>
      </c>
      <c r="P539" s="603"/>
      <c r="Q539" s="869"/>
      <c r="R539" s="869"/>
      <c r="S539" s="869"/>
      <c r="T539" s="869"/>
      <c r="U539" s="869"/>
      <c r="V539" s="869"/>
      <c r="W539" s="869"/>
      <c r="X539" s="869"/>
    </row>
    <row r="540" spans="1:24">
      <c r="A540" s="1045">
        <f t="shared" si="8"/>
        <v>8</v>
      </c>
      <c r="B540" s="134">
        <v>45506</v>
      </c>
      <c r="C540" s="70">
        <v>1017</v>
      </c>
      <c r="D540" s="70" t="s">
        <v>5118</v>
      </c>
      <c r="E540" s="280" t="s">
        <v>3233</v>
      </c>
      <c r="F540" s="1049">
        <v>0</v>
      </c>
      <c r="G540" s="1049">
        <v>146</v>
      </c>
      <c r="H540" s="564"/>
      <c r="I540" s="609"/>
      <c r="J540" s="1155"/>
      <c r="K540" s="609"/>
      <c r="L540" s="609"/>
      <c r="M540" s="609"/>
      <c r="N540" s="599"/>
      <c r="O540" s="552" t="s">
        <v>1584</v>
      </c>
      <c r="P540" s="603"/>
      <c r="Q540" s="869"/>
      <c r="R540" s="869"/>
      <c r="S540" s="869"/>
      <c r="T540" s="869"/>
      <c r="U540" s="869"/>
      <c r="V540" s="869"/>
      <c r="W540" s="869"/>
      <c r="X540" s="869"/>
    </row>
    <row r="541" spans="1:24">
      <c r="A541" s="1045">
        <f t="shared" si="8"/>
        <v>8</v>
      </c>
      <c r="B541" s="134">
        <v>45507</v>
      </c>
      <c r="C541" s="70">
        <v>1025</v>
      </c>
      <c r="D541" s="70" t="s">
        <v>5120</v>
      </c>
      <c r="E541" s="280" t="s">
        <v>3234</v>
      </c>
      <c r="F541" s="1049">
        <v>15000</v>
      </c>
      <c r="G541" s="1049">
        <v>0</v>
      </c>
      <c r="H541" s="564"/>
      <c r="I541" s="609"/>
      <c r="J541" s="1155"/>
      <c r="K541" s="609"/>
      <c r="L541" s="609"/>
      <c r="M541" s="609"/>
      <c r="N541" s="599"/>
      <c r="O541" s="552" t="s">
        <v>1584</v>
      </c>
      <c r="P541" s="603"/>
      <c r="Q541" s="869"/>
      <c r="R541" s="869"/>
      <c r="S541" s="869"/>
      <c r="T541" s="869"/>
      <c r="U541" s="869"/>
      <c r="V541" s="869"/>
      <c r="W541" s="869"/>
      <c r="X541" s="869"/>
    </row>
    <row r="542" spans="1:24">
      <c r="A542" s="1045">
        <f t="shared" si="8"/>
        <v>8</v>
      </c>
      <c r="B542" s="134">
        <v>45507</v>
      </c>
      <c r="C542" s="70">
        <v>1025</v>
      </c>
      <c r="D542" s="70" t="s">
        <v>5120</v>
      </c>
      <c r="E542" s="280" t="s">
        <v>3234</v>
      </c>
      <c r="F542" s="1049">
        <v>15000</v>
      </c>
      <c r="G542" s="1049">
        <v>0</v>
      </c>
      <c r="H542" s="564"/>
      <c r="I542" s="609"/>
      <c r="J542" s="1155"/>
      <c r="K542" s="609"/>
      <c r="L542" s="609"/>
      <c r="M542" s="609"/>
      <c r="N542" s="599"/>
      <c r="O542" s="552" t="s">
        <v>1584</v>
      </c>
      <c r="P542" s="603"/>
      <c r="Q542" s="869"/>
      <c r="R542" s="869"/>
      <c r="S542" s="869"/>
      <c r="T542" s="869"/>
      <c r="U542" s="869"/>
      <c r="V542" s="869"/>
      <c r="W542" s="869"/>
      <c r="X542" s="869"/>
    </row>
    <row r="543" spans="1:24">
      <c r="A543" s="1045">
        <f t="shared" si="8"/>
        <v>8</v>
      </c>
      <c r="B543" s="134">
        <v>45507</v>
      </c>
      <c r="C543" s="70">
        <v>1022</v>
      </c>
      <c r="D543" s="70" t="s">
        <v>5119</v>
      </c>
      <c r="E543" s="280" t="s">
        <v>3234</v>
      </c>
      <c r="F543" s="1049">
        <v>0</v>
      </c>
      <c r="G543" s="1049">
        <v>30000</v>
      </c>
      <c r="H543" s="564"/>
      <c r="I543" s="609"/>
      <c r="J543" s="1155"/>
      <c r="K543" s="609"/>
      <c r="L543" s="609"/>
      <c r="M543" s="609"/>
      <c r="N543" s="599"/>
      <c r="O543" s="552" t="s">
        <v>1584</v>
      </c>
      <c r="P543" s="603"/>
      <c r="Q543" s="869"/>
      <c r="R543" s="869"/>
      <c r="S543" s="869"/>
      <c r="T543" s="869"/>
      <c r="U543" s="869"/>
      <c r="V543" s="869"/>
      <c r="W543" s="869"/>
      <c r="X543" s="869"/>
    </row>
    <row r="544" spans="1:24">
      <c r="A544" s="1045">
        <f t="shared" si="8"/>
        <v>8</v>
      </c>
      <c r="B544" s="134">
        <v>45507</v>
      </c>
      <c r="C544" s="70">
        <v>6250</v>
      </c>
      <c r="D544" s="70" t="s">
        <v>129</v>
      </c>
      <c r="E544" s="280" t="s">
        <v>3232</v>
      </c>
      <c r="F544" s="1049">
        <v>17</v>
      </c>
      <c r="G544" s="1049">
        <v>0</v>
      </c>
      <c r="H544" s="564"/>
      <c r="I544" s="609"/>
      <c r="J544" s="1155"/>
      <c r="K544" s="609"/>
      <c r="L544" s="609"/>
      <c r="M544" s="609"/>
      <c r="N544" s="599"/>
      <c r="O544" s="552" t="s">
        <v>1584</v>
      </c>
      <c r="P544" s="603"/>
      <c r="Q544" s="869"/>
      <c r="R544" s="869"/>
      <c r="S544" s="869"/>
      <c r="T544" s="869"/>
      <c r="U544" s="869"/>
      <c r="V544" s="869"/>
      <c r="W544" s="869"/>
      <c r="X544" s="869"/>
    </row>
    <row r="545" spans="1:24">
      <c r="A545" s="1045">
        <f t="shared" si="8"/>
        <v>8</v>
      </c>
      <c r="B545" s="134">
        <v>45507</v>
      </c>
      <c r="C545" s="70">
        <v>2018</v>
      </c>
      <c r="D545" s="70" t="s">
        <v>58</v>
      </c>
      <c r="E545" s="280" t="s">
        <v>3232</v>
      </c>
      <c r="F545" s="1049">
        <v>0.85</v>
      </c>
      <c r="G545" s="1049">
        <v>0</v>
      </c>
      <c r="H545" s="564"/>
      <c r="I545" s="609"/>
      <c r="J545" s="1155"/>
      <c r="K545" s="609"/>
      <c r="L545" s="609"/>
      <c r="M545" s="609"/>
      <c r="N545" s="599"/>
      <c r="O545" s="552" t="s">
        <v>1584</v>
      </c>
      <c r="P545" s="603"/>
      <c r="Q545" s="869"/>
      <c r="R545" s="869"/>
      <c r="S545" s="869"/>
      <c r="T545" s="869"/>
      <c r="U545" s="869"/>
      <c r="V545" s="869"/>
      <c r="W545" s="869"/>
      <c r="X545" s="869"/>
    </row>
    <row r="546" spans="1:24">
      <c r="A546" s="1045">
        <f t="shared" si="8"/>
        <v>8</v>
      </c>
      <c r="B546" s="134">
        <v>45507</v>
      </c>
      <c r="C546" s="70">
        <v>1017</v>
      </c>
      <c r="D546" s="70" t="s">
        <v>5118</v>
      </c>
      <c r="E546" s="280" t="s">
        <v>3232</v>
      </c>
      <c r="F546" s="1049">
        <v>0</v>
      </c>
      <c r="G546" s="1049">
        <v>17.850000000000001</v>
      </c>
      <c r="H546" s="564"/>
      <c r="I546" s="609"/>
      <c r="J546" s="1155"/>
      <c r="K546" s="609"/>
      <c r="L546" s="609"/>
      <c r="M546" s="609"/>
      <c r="N546" s="599"/>
      <c r="O546" s="552" t="s">
        <v>1584</v>
      </c>
      <c r="P546" s="603"/>
      <c r="Q546" s="869"/>
      <c r="R546" s="869"/>
      <c r="S546" s="869"/>
      <c r="T546" s="869"/>
      <c r="U546" s="869"/>
      <c r="V546" s="869"/>
      <c r="W546" s="869"/>
      <c r="X546" s="869"/>
    </row>
    <row r="547" spans="1:24">
      <c r="A547" s="1045">
        <f t="shared" si="8"/>
        <v>8</v>
      </c>
      <c r="B547" s="134">
        <v>45507</v>
      </c>
      <c r="C547" s="70">
        <v>6250</v>
      </c>
      <c r="D547" s="70" t="s">
        <v>129</v>
      </c>
      <c r="E547" s="280" t="s">
        <v>3232</v>
      </c>
      <c r="F547" s="1049">
        <v>6</v>
      </c>
      <c r="G547" s="1049">
        <v>0</v>
      </c>
      <c r="H547" s="564"/>
      <c r="I547" s="609"/>
      <c r="J547" s="1155"/>
      <c r="K547" s="609"/>
      <c r="L547" s="609"/>
      <c r="M547" s="609"/>
      <c r="N547" s="599"/>
      <c r="O547" s="552" t="s">
        <v>1584</v>
      </c>
      <c r="P547" s="603"/>
      <c r="Q547" s="869"/>
      <c r="R547" s="869"/>
      <c r="S547" s="869"/>
      <c r="T547" s="869"/>
      <c r="U547" s="869"/>
      <c r="V547" s="869"/>
      <c r="W547" s="869"/>
      <c r="X547" s="869"/>
    </row>
    <row r="548" spans="1:24">
      <c r="A548" s="1045">
        <f t="shared" si="8"/>
        <v>8</v>
      </c>
      <c r="B548" s="134">
        <v>45507</v>
      </c>
      <c r="C548" s="70">
        <v>1017</v>
      </c>
      <c r="D548" s="70" t="s">
        <v>5118</v>
      </c>
      <c r="E548" s="280" t="s">
        <v>3232</v>
      </c>
      <c r="F548" s="1049">
        <v>0</v>
      </c>
      <c r="G548" s="1049">
        <v>6</v>
      </c>
      <c r="H548" s="564"/>
      <c r="I548" s="609"/>
      <c r="J548" s="1155"/>
      <c r="K548" s="609"/>
      <c r="L548" s="609"/>
      <c r="M548" s="609"/>
      <c r="N548" s="599"/>
      <c r="O548" s="552" t="s">
        <v>1584</v>
      </c>
      <c r="P548" s="603"/>
      <c r="Q548" s="869"/>
      <c r="R548" s="869"/>
      <c r="S548" s="869"/>
      <c r="T548" s="869"/>
      <c r="U548" s="869"/>
      <c r="V548" s="869"/>
      <c r="W548" s="869"/>
      <c r="X548" s="869"/>
    </row>
    <row r="549" spans="1:24">
      <c r="A549" s="1045">
        <f t="shared" si="8"/>
        <v>8</v>
      </c>
      <c r="B549" s="134">
        <v>45507</v>
      </c>
      <c r="C549" s="70">
        <v>6250</v>
      </c>
      <c r="D549" s="70" t="s">
        <v>129</v>
      </c>
      <c r="E549" s="280" t="s">
        <v>3232</v>
      </c>
      <c r="F549" s="1049">
        <v>10.62</v>
      </c>
      <c r="G549" s="1049">
        <v>0</v>
      </c>
      <c r="H549" s="564"/>
      <c r="I549" s="609"/>
      <c r="J549" s="1155"/>
      <c r="K549" s="609"/>
      <c r="L549" s="609"/>
      <c r="M549" s="609"/>
      <c r="N549" s="599"/>
      <c r="O549" s="552" t="s">
        <v>1584</v>
      </c>
      <c r="P549" s="603"/>
      <c r="Q549" s="869"/>
      <c r="R549" s="869"/>
      <c r="S549" s="869"/>
      <c r="T549" s="869"/>
      <c r="U549" s="869"/>
      <c r="V549" s="869"/>
      <c r="W549" s="869"/>
      <c r="X549" s="869"/>
    </row>
    <row r="550" spans="1:24">
      <c r="A550" s="1045">
        <f t="shared" si="8"/>
        <v>8</v>
      </c>
      <c r="B550" s="134">
        <v>45507</v>
      </c>
      <c r="C550" s="70">
        <v>2018</v>
      </c>
      <c r="D550" s="70" t="s">
        <v>58</v>
      </c>
      <c r="E550" s="280" t="s">
        <v>3232</v>
      </c>
      <c r="F550" s="1049">
        <v>0.53</v>
      </c>
      <c r="G550" s="1049">
        <v>0</v>
      </c>
      <c r="H550" s="564"/>
      <c r="I550" s="609"/>
      <c r="J550" s="1155"/>
      <c r="K550" s="609"/>
      <c r="L550" s="609"/>
      <c r="M550" s="609"/>
      <c r="N550" s="599"/>
      <c r="O550" s="552" t="s">
        <v>1584</v>
      </c>
      <c r="P550" s="603"/>
      <c r="Q550" s="869"/>
      <c r="R550" s="869"/>
      <c r="S550" s="869"/>
      <c r="T550" s="869"/>
      <c r="U550" s="869"/>
      <c r="V550" s="869"/>
      <c r="W550" s="869"/>
      <c r="X550" s="869"/>
    </row>
    <row r="551" spans="1:24">
      <c r="A551" s="1045">
        <f t="shared" si="8"/>
        <v>8</v>
      </c>
      <c r="B551" s="134">
        <v>45507</v>
      </c>
      <c r="C551" s="70">
        <v>1017</v>
      </c>
      <c r="D551" s="70" t="s">
        <v>5118</v>
      </c>
      <c r="E551" s="280" t="s">
        <v>3232</v>
      </c>
      <c r="F551" s="1049">
        <v>0</v>
      </c>
      <c r="G551" s="1049">
        <v>11.15</v>
      </c>
      <c r="H551" s="564"/>
      <c r="I551" s="609"/>
      <c r="J551" s="1155"/>
      <c r="K551" s="609"/>
      <c r="L551" s="609"/>
      <c r="M551" s="609"/>
      <c r="N551" s="599"/>
      <c r="O551" s="552" t="s">
        <v>1584</v>
      </c>
      <c r="P551" s="603"/>
      <c r="Q551" s="869"/>
      <c r="R551" s="869"/>
      <c r="S551" s="869"/>
      <c r="T551" s="869"/>
      <c r="U551" s="869"/>
      <c r="V551" s="869"/>
      <c r="W551" s="869"/>
      <c r="X551" s="869"/>
    </row>
    <row r="552" spans="1:24">
      <c r="A552" s="1045">
        <f t="shared" si="8"/>
        <v>8</v>
      </c>
      <c r="B552" s="134">
        <v>45507</v>
      </c>
      <c r="C552" s="70">
        <v>6250</v>
      </c>
      <c r="D552" s="70" t="s">
        <v>129</v>
      </c>
      <c r="E552" s="280" t="s">
        <v>3232</v>
      </c>
      <c r="F552" s="1049">
        <v>22.86</v>
      </c>
      <c r="G552" s="1049">
        <v>0</v>
      </c>
      <c r="H552" s="564"/>
      <c r="I552" s="609"/>
      <c r="J552" s="1155"/>
      <c r="K552" s="609"/>
      <c r="L552" s="609"/>
      <c r="M552" s="609"/>
      <c r="N552" s="599"/>
      <c r="O552" s="552" t="s">
        <v>1584</v>
      </c>
      <c r="P552" s="603"/>
      <c r="Q552" s="869"/>
      <c r="R552" s="869"/>
      <c r="S552" s="869"/>
      <c r="T552" s="869"/>
      <c r="U552" s="869"/>
      <c r="V552" s="869"/>
      <c r="W552" s="869"/>
      <c r="X552" s="869"/>
    </row>
    <row r="553" spans="1:24">
      <c r="A553" s="1045">
        <f t="shared" si="8"/>
        <v>8</v>
      </c>
      <c r="B553" s="134">
        <v>45507</v>
      </c>
      <c r="C553" s="70">
        <v>2018</v>
      </c>
      <c r="D553" s="70" t="s">
        <v>58</v>
      </c>
      <c r="E553" s="280" t="s">
        <v>3232</v>
      </c>
      <c r="F553" s="1049">
        <v>1.1399999999999999</v>
      </c>
      <c r="G553" s="1049">
        <v>0</v>
      </c>
      <c r="H553" s="564"/>
      <c r="I553" s="609"/>
      <c r="J553" s="1155"/>
      <c r="K553" s="609"/>
      <c r="L553" s="609"/>
      <c r="M553" s="609"/>
      <c r="N553" s="599"/>
      <c r="O553" s="552" t="s">
        <v>1584</v>
      </c>
      <c r="P553" s="603"/>
      <c r="Q553" s="869"/>
      <c r="R553" s="869"/>
      <c r="S553" s="869"/>
      <c r="T553" s="869"/>
      <c r="U553" s="869"/>
      <c r="V553" s="869"/>
      <c r="W553" s="869"/>
      <c r="X553" s="869"/>
    </row>
    <row r="554" spans="1:24">
      <c r="A554" s="1045">
        <f t="shared" si="8"/>
        <v>8</v>
      </c>
      <c r="B554" s="134">
        <v>45507</v>
      </c>
      <c r="C554" s="70">
        <v>1017</v>
      </c>
      <c r="D554" s="70" t="s">
        <v>5118</v>
      </c>
      <c r="E554" s="280" t="s">
        <v>3232</v>
      </c>
      <c r="F554" s="1049">
        <v>0</v>
      </c>
      <c r="G554" s="1049">
        <v>24</v>
      </c>
      <c r="H554" s="564"/>
      <c r="I554" s="609"/>
      <c r="J554" s="1155"/>
      <c r="K554" s="609"/>
      <c r="L554" s="609"/>
      <c r="M554" s="609"/>
      <c r="N554" s="599"/>
      <c r="O554" s="552" t="s">
        <v>1584</v>
      </c>
      <c r="P554" s="603"/>
      <c r="Q554" s="869"/>
      <c r="R554" s="869"/>
      <c r="S554" s="869"/>
      <c r="T554" s="869"/>
      <c r="U554" s="869"/>
      <c r="V554" s="869"/>
      <c r="W554" s="869"/>
      <c r="X554" s="869"/>
    </row>
    <row r="555" spans="1:24">
      <c r="A555" s="1045">
        <f t="shared" si="8"/>
        <v>8</v>
      </c>
      <c r="B555" s="134">
        <v>45507</v>
      </c>
      <c r="C555" s="70">
        <v>6250</v>
      </c>
      <c r="D555" s="70" t="s">
        <v>129</v>
      </c>
      <c r="E555" s="280" t="s">
        <v>3235</v>
      </c>
      <c r="F555" s="1049">
        <v>10</v>
      </c>
      <c r="G555" s="1049">
        <v>0</v>
      </c>
      <c r="H555" s="564"/>
      <c r="I555" s="609"/>
      <c r="J555" s="1155"/>
      <c r="K555" s="609"/>
      <c r="L555" s="609"/>
      <c r="M555" s="609"/>
      <c r="N555" s="599"/>
      <c r="O555" s="552" t="s">
        <v>1584</v>
      </c>
      <c r="P555" s="603"/>
      <c r="Q555" s="869"/>
      <c r="R555" s="869"/>
      <c r="S555" s="869"/>
      <c r="T555" s="869"/>
      <c r="U555" s="869"/>
      <c r="V555" s="869"/>
      <c r="W555" s="869"/>
      <c r="X555" s="869"/>
    </row>
    <row r="556" spans="1:24">
      <c r="A556" s="1045">
        <f t="shared" si="8"/>
        <v>8</v>
      </c>
      <c r="B556" s="134">
        <v>45507</v>
      </c>
      <c r="C556" s="70">
        <v>1017</v>
      </c>
      <c r="D556" s="70" t="s">
        <v>5118</v>
      </c>
      <c r="E556" s="280" t="s">
        <v>3235</v>
      </c>
      <c r="F556" s="1049">
        <v>0</v>
      </c>
      <c r="G556" s="1049">
        <v>10</v>
      </c>
      <c r="H556" s="564"/>
      <c r="I556" s="609"/>
      <c r="J556" s="1155"/>
      <c r="K556" s="609"/>
      <c r="L556" s="609"/>
      <c r="M556" s="609"/>
      <c r="N556" s="599"/>
      <c r="O556" s="552" t="s">
        <v>1584</v>
      </c>
      <c r="P556" s="603"/>
      <c r="Q556" s="869"/>
      <c r="R556" s="869"/>
      <c r="S556" s="869"/>
      <c r="T556" s="869"/>
      <c r="U556" s="869"/>
      <c r="V556" s="869"/>
      <c r="W556" s="869"/>
      <c r="X556" s="869"/>
    </row>
    <row r="557" spans="1:24">
      <c r="A557" s="1045">
        <f t="shared" si="8"/>
        <v>8</v>
      </c>
      <c r="B557" s="134">
        <v>45509</v>
      </c>
      <c r="C557" s="70">
        <v>6027</v>
      </c>
      <c r="D557" s="70" t="s">
        <v>87</v>
      </c>
      <c r="E557" s="280" t="s">
        <v>3236</v>
      </c>
      <c r="F557" s="1049">
        <v>15000</v>
      </c>
      <c r="G557" s="1049">
        <v>0</v>
      </c>
      <c r="H557" s="564"/>
      <c r="I557" s="609"/>
      <c r="J557" s="1155"/>
      <c r="K557" s="609"/>
      <c r="L557" s="609"/>
      <c r="M557" s="609"/>
      <c r="N557" s="599"/>
      <c r="O557" s="552" t="s">
        <v>1584</v>
      </c>
      <c r="P557" s="603"/>
      <c r="Q557" s="869"/>
      <c r="R557" s="869"/>
      <c r="S557" s="869"/>
      <c r="T557" s="869"/>
      <c r="U557" s="869"/>
      <c r="V557" s="869"/>
      <c r="W557" s="869"/>
      <c r="X557" s="869"/>
    </row>
    <row r="558" spans="1:24">
      <c r="A558" s="1045">
        <f t="shared" si="8"/>
        <v>8</v>
      </c>
      <c r="B558" s="134">
        <v>45509</v>
      </c>
      <c r="C558" s="70">
        <v>1025</v>
      </c>
      <c r="D558" s="70" t="s">
        <v>5120</v>
      </c>
      <c r="E558" s="280" t="s">
        <v>3236</v>
      </c>
      <c r="F558" s="1049">
        <v>0</v>
      </c>
      <c r="G558" s="1049">
        <v>15000</v>
      </c>
      <c r="H558" s="564"/>
      <c r="I558" s="609"/>
      <c r="J558" s="1155"/>
      <c r="K558" s="609"/>
      <c r="L558" s="609"/>
      <c r="M558" s="609"/>
      <c r="N558" s="599"/>
      <c r="O558" s="552" t="s">
        <v>1584</v>
      </c>
      <c r="P558" s="603"/>
      <c r="Q558" s="869"/>
      <c r="R558" s="869"/>
      <c r="S558" s="869"/>
      <c r="T558" s="869"/>
      <c r="U558" s="869"/>
      <c r="V558" s="869"/>
      <c r="W558" s="869"/>
      <c r="X558" s="869"/>
    </row>
    <row r="559" spans="1:24">
      <c r="A559" s="1045">
        <f t="shared" si="8"/>
        <v>8</v>
      </c>
      <c r="B559" s="134">
        <v>45511</v>
      </c>
      <c r="C559" s="70">
        <v>6250</v>
      </c>
      <c r="D559" s="70" t="s">
        <v>129</v>
      </c>
      <c r="E559" s="280" t="s">
        <v>3237</v>
      </c>
      <c r="F559" s="1049">
        <v>12</v>
      </c>
      <c r="G559" s="1049">
        <v>0</v>
      </c>
      <c r="H559" s="564"/>
      <c r="I559" s="609"/>
      <c r="J559" s="1155"/>
      <c r="K559" s="609"/>
      <c r="L559" s="609"/>
      <c r="M559" s="609"/>
      <c r="N559" s="599"/>
      <c r="O559" s="552" t="s">
        <v>1584</v>
      </c>
      <c r="P559" s="603"/>
      <c r="Q559" s="869"/>
      <c r="R559" s="869"/>
      <c r="S559" s="869"/>
      <c r="T559" s="869"/>
      <c r="U559" s="869"/>
      <c r="V559" s="869"/>
      <c r="W559" s="869"/>
      <c r="X559" s="869"/>
    </row>
    <row r="560" spans="1:24">
      <c r="A560" s="1045">
        <f t="shared" si="8"/>
        <v>8</v>
      </c>
      <c r="B560" s="134">
        <v>45511</v>
      </c>
      <c r="C560" s="70">
        <v>2018</v>
      </c>
      <c r="D560" s="70" t="s">
        <v>58</v>
      </c>
      <c r="E560" s="280" t="s">
        <v>3237</v>
      </c>
      <c r="F560" s="1049">
        <v>0.6</v>
      </c>
      <c r="G560" s="1049">
        <v>0</v>
      </c>
      <c r="H560" s="564"/>
      <c r="I560" s="609"/>
      <c r="J560" s="1155"/>
      <c r="K560" s="609"/>
      <c r="L560" s="609"/>
      <c r="M560" s="609"/>
      <c r="N560" s="599"/>
      <c r="O560" s="552" t="s">
        <v>1584</v>
      </c>
      <c r="P560" s="603"/>
      <c r="Q560" s="869"/>
      <c r="R560" s="869"/>
      <c r="S560" s="869"/>
      <c r="T560" s="869"/>
      <c r="U560" s="869"/>
      <c r="V560" s="869"/>
      <c r="W560" s="869"/>
      <c r="X560" s="869"/>
    </row>
    <row r="561" spans="1:24">
      <c r="A561" s="1045">
        <f t="shared" si="8"/>
        <v>8</v>
      </c>
      <c r="B561" s="134">
        <v>45511</v>
      </c>
      <c r="C561" s="70">
        <v>1017</v>
      </c>
      <c r="D561" s="70" t="s">
        <v>5118</v>
      </c>
      <c r="E561" s="280" t="s">
        <v>3237</v>
      </c>
      <c r="F561" s="1049">
        <v>0</v>
      </c>
      <c r="G561" s="1049">
        <v>12.6</v>
      </c>
      <c r="H561" s="564"/>
      <c r="I561" s="609"/>
      <c r="J561" s="1155"/>
      <c r="K561" s="609"/>
      <c r="L561" s="609"/>
      <c r="M561" s="609"/>
      <c r="N561" s="599"/>
      <c r="O561" s="552" t="s">
        <v>1584</v>
      </c>
      <c r="P561" s="603"/>
      <c r="Q561" s="869"/>
      <c r="R561" s="869"/>
      <c r="S561" s="869"/>
      <c r="T561" s="869"/>
      <c r="U561" s="869"/>
      <c r="V561" s="869"/>
      <c r="W561" s="869"/>
      <c r="X561" s="869"/>
    </row>
    <row r="562" spans="1:24">
      <c r="A562" s="1045">
        <f t="shared" si="8"/>
        <v>8</v>
      </c>
      <c r="B562" s="134">
        <v>45511</v>
      </c>
      <c r="C562" s="70">
        <v>6250</v>
      </c>
      <c r="D562" s="70" t="s">
        <v>129</v>
      </c>
      <c r="E562" s="280" t="s">
        <v>3238</v>
      </c>
      <c r="F562" s="1049">
        <v>15</v>
      </c>
      <c r="G562" s="1049">
        <v>0</v>
      </c>
      <c r="H562" s="564"/>
      <c r="I562" s="609"/>
      <c r="J562" s="1155"/>
      <c r="K562" s="609"/>
      <c r="L562" s="609"/>
      <c r="M562" s="609"/>
      <c r="N562" s="599"/>
      <c r="O562" s="552" t="s">
        <v>1584</v>
      </c>
      <c r="P562" s="603"/>
      <c r="Q562" s="869"/>
      <c r="R562" s="869"/>
      <c r="S562" s="869"/>
      <c r="T562" s="869"/>
      <c r="U562" s="869"/>
      <c r="V562" s="869"/>
      <c r="W562" s="869"/>
      <c r="X562" s="869"/>
    </row>
    <row r="563" spans="1:24">
      <c r="A563" s="1045">
        <f t="shared" si="8"/>
        <v>8</v>
      </c>
      <c r="B563" s="134">
        <v>45511</v>
      </c>
      <c r="C563" s="70">
        <v>2018</v>
      </c>
      <c r="D563" s="70" t="s">
        <v>58</v>
      </c>
      <c r="E563" s="280" t="s">
        <v>3238</v>
      </c>
      <c r="F563" s="1049">
        <v>0.71</v>
      </c>
      <c r="G563" s="1049">
        <v>0</v>
      </c>
      <c r="H563" s="564"/>
      <c r="I563" s="609"/>
      <c r="J563" s="1155"/>
      <c r="K563" s="609"/>
      <c r="L563" s="609"/>
      <c r="M563" s="609"/>
      <c r="N563" s="599"/>
      <c r="O563" s="552" t="s">
        <v>1584</v>
      </c>
      <c r="P563" s="603"/>
      <c r="Q563" s="869"/>
      <c r="R563" s="869"/>
      <c r="S563" s="869"/>
      <c r="T563" s="869"/>
      <c r="U563" s="869"/>
      <c r="V563" s="869"/>
      <c r="W563" s="869"/>
      <c r="X563" s="869"/>
    </row>
    <row r="564" spans="1:24">
      <c r="A564" s="1045">
        <f t="shared" si="8"/>
        <v>8</v>
      </c>
      <c r="B564" s="134">
        <v>45511</v>
      </c>
      <c r="C564" s="70">
        <v>1017</v>
      </c>
      <c r="D564" s="70" t="s">
        <v>5118</v>
      </c>
      <c r="E564" s="280" t="s">
        <v>3238</v>
      </c>
      <c r="F564" s="1049">
        <v>0</v>
      </c>
      <c r="G564" s="1049">
        <v>15.71</v>
      </c>
      <c r="H564" s="564"/>
      <c r="I564" s="609"/>
      <c r="J564" s="1155"/>
      <c r="K564" s="609"/>
      <c r="L564" s="609"/>
      <c r="M564" s="609"/>
      <c r="N564" s="599"/>
      <c r="O564" s="552" t="s">
        <v>1584</v>
      </c>
      <c r="P564" s="603"/>
      <c r="Q564" s="869"/>
      <c r="R564" s="869"/>
      <c r="S564" s="869"/>
      <c r="T564" s="869"/>
      <c r="U564" s="869"/>
      <c r="V564" s="869"/>
      <c r="W564" s="869"/>
      <c r="X564" s="869"/>
    </row>
    <row r="565" spans="1:24">
      <c r="A565" s="1045">
        <f t="shared" si="8"/>
        <v>8</v>
      </c>
      <c r="B565" s="134">
        <v>45512</v>
      </c>
      <c r="C565" s="70">
        <v>1025</v>
      </c>
      <c r="D565" s="70" t="s">
        <v>5120</v>
      </c>
      <c r="E565" s="280" t="s">
        <v>3239</v>
      </c>
      <c r="F565" s="1049">
        <v>18000</v>
      </c>
      <c r="G565" s="1049">
        <v>0</v>
      </c>
      <c r="H565" s="564"/>
      <c r="I565" s="609"/>
      <c r="J565" s="1155"/>
      <c r="K565" s="609"/>
      <c r="L565" s="609"/>
      <c r="M565" s="609"/>
      <c r="N565" s="599"/>
      <c r="O565" s="552" t="s">
        <v>1584</v>
      </c>
      <c r="P565" s="603"/>
      <c r="Q565" s="869"/>
      <c r="R565" s="869"/>
      <c r="S565" s="869"/>
      <c r="T565" s="869"/>
      <c r="U565" s="869"/>
      <c r="V565" s="869"/>
      <c r="W565" s="869"/>
      <c r="X565" s="869"/>
    </row>
    <row r="566" spans="1:24">
      <c r="A566" s="1045">
        <f t="shared" si="8"/>
        <v>8</v>
      </c>
      <c r="B566" s="134">
        <v>45512</v>
      </c>
      <c r="C566" s="70">
        <v>1025</v>
      </c>
      <c r="D566" s="70" t="s">
        <v>5120</v>
      </c>
      <c r="E566" s="280" t="s">
        <v>3239</v>
      </c>
      <c r="F566" s="1049">
        <v>7000</v>
      </c>
      <c r="G566" s="1049">
        <v>0</v>
      </c>
      <c r="H566" s="564"/>
      <c r="I566" s="609"/>
      <c r="J566" s="1155"/>
      <c r="K566" s="609"/>
      <c r="L566" s="609"/>
      <c r="M566" s="609"/>
      <c r="N566" s="599"/>
      <c r="O566" s="552" t="s">
        <v>1584</v>
      </c>
      <c r="P566" s="603"/>
      <c r="Q566" s="869"/>
      <c r="R566" s="869"/>
      <c r="S566" s="869"/>
      <c r="T566" s="869"/>
      <c r="U566" s="869"/>
      <c r="V566" s="869"/>
      <c r="W566" s="869"/>
      <c r="X566" s="869"/>
    </row>
    <row r="567" spans="1:24">
      <c r="A567" s="1045">
        <f t="shared" si="8"/>
        <v>8</v>
      </c>
      <c r="B567" s="134">
        <v>45512</v>
      </c>
      <c r="C567" s="70">
        <v>1022</v>
      </c>
      <c r="D567" s="70" t="s">
        <v>5119</v>
      </c>
      <c r="E567" s="280" t="s">
        <v>3239</v>
      </c>
      <c r="F567" s="1049">
        <v>0</v>
      </c>
      <c r="G567" s="1049">
        <v>18000</v>
      </c>
      <c r="H567" s="564"/>
      <c r="I567" s="609"/>
      <c r="J567" s="1155"/>
      <c r="K567" s="609"/>
      <c r="L567" s="609"/>
      <c r="M567" s="609"/>
      <c r="N567" s="599"/>
      <c r="O567" s="552" t="s">
        <v>1584</v>
      </c>
      <c r="P567" s="603"/>
      <c r="Q567" s="869"/>
      <c r="R567" s="869"/>
      <c r="S567" s="869"/>
      <c r="T567" s="869"/>
      <c r="U567" s="869"/>
      <c r="V567" s="869"/>
      <c r="W567" s="869"/>
      <c r="X567" s="869"/>
    </row>
    <row r="568" spans="1:24">
      <c r="A568" s="1045">
        <f t="shared" si="8"/>
        <v>8</v>
      </c>
      <c r="B568" s="134">
        <v>45512</v>
      </c>
      <c r="C568" s="70">
        <v>1022</v>
      </c>
      <c r="D568" s="70" t="s">
        <v>5119</v>
      </c>
      <c r="E568" s="280" t="s">
        <v>3239</v>
      </c>
      <c r="F568" s="1049">
        <v>0</v>
      </c>
      <c r="G568" s="1049">
        <v>7000</v>
      </c>
      <c r="H568" s="564"/>
      <c r="I568" s="609"/>
      <c r="J568" s="1155"/>
      <c r="K568" s="609"/>
      <c r="L568" s="609"/>
      <c r="M568" s="609"/>
      <c r="N568" s="599"/>
      <c r="O568" s="552" t="s">
        <v>1584</v>
      </c>
      <c r="P568" s="603"/>
      <c r="Q568" s="869"/>
      <c r="R568" s="869"/>
      <c r="S568" s="869"/>
      <c r="T568" s="869"/>
      <c r="U568" s="869"/>
      <c r="V568" s="869"/>
      <c r="W568" s="869"/>
      <c r="X568" s="869"/>
    </row>
    <row r="569" spans="1:24">
      <c r="A569" s="1045">
        <f t="shared" si="8"/>
        <v>7</v>
      </c>
      <c r="B569" s="675">
        <v>45503</v>
      </c>
      <c r="C569" s="70">
        <v>1017</v>
      </c>
      <c r="D569" s="70" t="s">
        <v>5118</v>
      </c>
      <c r="E569" s="280" t="s">
        <v>3240</v>
      </c>
      <c r="F569" s="1049">
        <v>15000</v>
      </c>
      <c r="G569" s="1049">
        <v>0</v>
      </c>
      <c r="H569" s="564"/>
      <c r="I569" s="609"/>
      <c r="J569" s="1155"/>
      <c r="K569" s="609"/>
      <c r="L569" s="609"/>
      <c r="M569" s="609"/>
      <c r="N569" s="599"/>
      <c r="O569" s="552" t="s">
        <v>1584</v>
      </c>
      <c r="P569" s="603"/>
      <c r="Q569" s="869"/>
      <c r="R569" s="869"/>
      <c r="S569" s="869"/>
      <c r="T569" s="869"/>
      <c r="U569" s="869"/>
      <c r="V569" s="869"/>
      <c r="W569" s="869"/>
      <c r="X569" s="869"/>
    </row>
    <row r="570" spans="1:24">
      <c r="A570" s="1045">
        <f t="shared" si="8"/>
        <v>7</v>
      </c>
      <c r="B570" s="134">
        <v>45503</v>
      </c>
      <c r="C570" s="70">
        <v>1022</v>
      </c>
      <c r="D570" s="70" t="s">
        <v>5119</v>
      </c>
      <c r="E570" s="280" t="s">
        <v>3240</v>
      </c>
      <c r="F570" s="1049">
        <v>0</v>
      </c>
      <c r="G570" s="1049">
        <v>15000</v>
      </c>
      <c r="H570" s="564"/>
      <c r="I570" s="609"/>
      <c r="J570" s="1155"/>
      <c r="K570" s="609"/>
      <c r="L570" s="609"/>
      <c r="M570" s="609"/>
      <c r="N570" s="599"/>
      <c r="O570" s="552" t="s">
        <v>1584</v>
      </c>
      <c r="P570" s="603"/>
      <c r="Q570" s="869"/>
      <c r="R570" s="869"/>
      <c r="S570" s="869"/>
      <c r="T570" s="869"/>
      <c r="U570" s="869"/>
      <c r="V570" s="869"/>
      <c r="W570" s="869"/>
      <c r="X570" s="869"/>
    </row>
    <row r="571" spans="1:24">
      <c r="A571" s="1045">
        <f t="shared" si="8"/>
        <v>8</v>
      </c>
      <c r="B571" s="134">
        <v>45514</v>
      </c>
      <c r="C571" s="70">
        <v>1011</v>
      </c>
      <c r="D571" s="70" t="s">
        <v>34</v>
      </c>
      <c r="E571" s="280" t="s">
        <v>3241</v>
      </c>
      <c r="F571" s="1049">
        <v>5000</v>
      </c>
      <c r="G571" s="1049">
        <v>0</v>
      </c>
      <c r="H571" s="564"/>
      <c r="I571" s="609"/>
      <c r="J571" s="1155"/>
      <c r="K571" s="609"/>
      <c r="L571" s="609"/>
      <c r="M571" s="609"/>
      <c r="N571" s="599"/>
      <c r="O571" s="552" t="s">
        <v>1584</v>
      </c>
      <c r="P571" s="603"/>
      <c r="Q571" s="869"/>
      <c r="R571" s="869"/>
      <c r="S571" s="869"/>
      <c r="T571" s="869"/>
      <c r="U571" s="869"/>
      <c r="V571" s="869"/>
      <c r="W571" s="869"/>
      <c r="X571" s="869"/>
    </row>
    <row r="572" spans="1:24">
      <c r="A572" s="1045">
        <f t="shared" si="8"/>
        <v>8</v>
      </c>
      <c r="B572" s="134">
        <v>45514</v>
      </c>
      <c r="C572" s="70">
        <v>1025</v>
      </c>
      <c r="D572" s="70" t="s">
        <v>5120</v>
      </c>
      <c r="E572" s="280" t="s">
        <v>3241</v>
      </c>
      <c r="F572" s="1049">
        <v>0</v>
      </c>
      <c r="G572" s="1049">
        <v>5000</v>
      </c>
      <c r="H572" s="564"/>
      <c r="I572" s="609"/>
      <c r="J572" s="1155"/>
      <c r="K572" s="609"/>
      <c r="L572" s="609"/>
      <c r="M572" s="609"/>
      <c r="N572" s="599"/>
      <c r="O572" s="552" t="s">
        <v>1584</v>
      </c>
      <c r="P572" s="603"/>
      <c r="Q572" s="869"/>
      <c r="R572" s="869"/>
      <c r="S572" s="869"/>
      <c r="T572" s="869"/>
      <c r="U572" s="869"/>
      <c r="V572" s="869"/>
      <c r="W572" s="869"/>
      <c r="X572" s="869"/>
    </row>
    <row r="573" spans="1:24">
      <c r="A573" s="1045">
        <f t="shared" si="8"/>
        <v>8</v>
      </c>
      <c r="B573" s="134">
        <v>45514</v>
      </c>
      <c r="C573" s="70">
        <v>6250</v>
      </c>
      <c r="D573" s="70" t="s">
        <v>129</v>
      </c>
      <c r="E573" s="280" t="s">
        <v>3242</v>
      </c>
      <c r="F573" s="1049">
        <v>250</v>
      </c>
      <c r="G573" s="1049">
        <v>0</v>
      </c>
      <c r="H573" s="564"/>
      <c r="I573" s="609"/>
      <c r="J573" s="1155"/>
      <c r="K573" s="609"/>
      <c r="L573" s="609"/>
      <c r="M573" s="609"/>
      <c r="N573" s="599"/>
      <c r="O573" s="552" t="s">
        <v>1584</v>
      </c>
      <c r="P573" s="603"/>
      <c r="Q573" s="869"/>
      <c r="R573" s="869"/>
      <c r="S573" s="869"/>
      <c r="T573" s="869"/>
      <c r="U573" s="869"/>
      <c r="V573" s="869"/>
      <c r="W573" s="869"/>
      <c r="X573" s="869"/>
    </row>
    <row r="574" spans="1:24">
      <c r="A574" s="1045">
        <f t="shared" si="8"/>
        <v>8</v>
      </c>
      <c r="B574" s="134">
        <v>45514</v>
      </c>
      <c r="C574" s="70">
        <v>1017</v>
      </c>
      <c r="D574" s="70" t="s">
        <v>5118</v>
      </c>
      <c r="E574" s="280" t="s">
        <v>3242</v>
      </c>
      <c r="F574" s="1049">
        <v>0</v>
      </c>
      <c r="G574" s="1049">
        <v>250</v>
      </c>
      <c r="H574" s="564"/>
      <c r="I574" s="609"/>
      <c r="J574" s="1155"/>
      <c r="K574" s="609"/>
      <c r="L574" s="609"/>
      <c r="M574" s="609"/>
      <c r="N574" s="599"/>
      <c r="O574" s="552" t="s">
        <v>1584</v>
      </c>
      <c r="P574" s="603"/>
      <c r="Q574" s="869"/>
      <c r="R574" s="869"/>
      <c r="S574" s="869"/>
      <c r="T574" s="869"/>
      <c r="U574" s="869"/>
      <c r="V574" s="869"/>
      <c r="W574" s="869"/>
      <c r="X574" s="869"/>
    </row>
    <row r="575" spans="1:24">
      <c r="A575" s="1045">
        <f t="shared" si="8"/>
        <v>8</v>
      </c>
      <c r="B575" s="134">
        <v>45515</v>
      </c>
      <c r="C575" s="70">
        <v>1017</v>
      </c>
      <c r="D575" s="70" t="s">
        <v>5118</v>
      </c>
      <c r="E575" s="280" t="s">
        <v>3243</v>
      </c>
      <c r="F575" s="1049">
        <v>15000</v>
      </c>
      <c r="G575" s="1049">
        <v>0</v>
      </c>
      <c r="H575" s="564"/>
      <c r="I575" s="609"/>
      <c r="J575" s="1155"/>
      <c r="K575" s="609"/>
      <c r="L575" s="609"/>
      <c r="M575" s="609"/>
      <c r="N575" s="599"/>
      <c r="O575" s="552" t="s">
        <v>1584</v>
      </c>
      <c r="P575" s="603"/>
      <c r="Q575" s="869"/>
      <c r="R575" s="869"/>
      <c r="S575" s="869"/>
      <c r="T575" s="869"/>
      <c r="U575" s="869"/>
      <c r="V575" s="869"/>
      <c r="W575" s="869"/>
      <c r="X575" s="869"/>
    </row>
    <row r="576" spans="1:24">
      <c r="A576" s="1045">
        <f t="shared" si="8"/>
        <v>8</v>
      </c>
      <c r="B576" s="134">
        <v>45515</v>
      </c>
      <c r="C576" s="70">
        <v>1022</v>
      </c>
      <c r="D576" s="70" t="s">
        <v>5119</v>
      </c>
      <c r="E576" s="280" t="s">
        <v>3243</v>
      </c>
      <c r="F576" s="1049">
        <v>0</v>
      </c>
      <c r="G576" s="1049">
        <v>15000</v>
      </c>
      <c r="H576" s="564"/>
      <c r="I576" s="609"/>
      <c r="J576" s="1155"/>
      <c r="K576" s="609"/>
      <c r="L576" s="609"/>
      <c r="M576" s="609"/>
      <c r="N576" s="599"/>
      <c r="O576" s="552" t="s">
        <v>1584</v>
      </c>
      <c r="P576" s="603"/>
      <c r="Q576" s="869"/>
      <c r="R576" s="869"/>
      <c r="S576" s="869"/>
      <c r="T576" s="869"/>
      <c r="U576" s="869"/>
      <c r="V576" s="869"/>
      <c r="W576" s="869"/>
      <c r="X576" s="869"/>
    </row>
    <row r="577" spans="1:24">
      <c r="A577" s="1045">
        <f t="shared" si="8"/>
        <v>8</v>
      </c>
      <c r="B577" s="134">
        <v>45515</v>
      </c>
      <c r="C577" s="70">
        <v>6250</v>
      </c>
      <c r="D577" s="70" t="s">
        <v>129</v>
      </c>
      <c r="E577" s="280" t="s">
        <v>3244</v>
      </c>
      <c r="F577" s="1049">
        <v>15.23</v>
      </c>
      <c r="G577" s="1049">
        <v>0</v>
      </c>
      <c r="H577" s="564"/>
      <c r="I577" s="609"/>
      <c r="J577" s="1155"/>
      <c r="K577" s="609"/>
      <c r="L577" s="609"/>
      <c r="M577" s="609"/>
      <c r="N577" s="599"/>
      <c r="O577" s="552" t="s">
        <v>1584</v>
      </c>
      <c r="P577" s="603"/>
      <c r="Q577" s="869"/>
      <c r="R577" s="869"/>
      <c r="S577" s="869"/>
      <c r="T577" s="869"/>
      <c r="U577" s="869"/>
      <c r="V577" s="869"/>
      <c r="W577" s="869"/>
      <c r="X577" s="869"/>
    </row>
    <row r="578" spans="1:24">
      <c r="A578" s="1045">
        <f t="shared" si="8"/>
        <v>8</v>
      </c>
      <c r="B578" s="134">
        <v>45515</v>
      </c>
      <c r="C578" s="70">
        <v>2018</v>
      </c>
      <c r="D578" s="70" t="s">
        <v>58</v>
      </c>
      <c r="E578" s="280" t="s">
        <v>3244</v>
      </c>
      <c r="F578" s="1049">
        <v>0.77</v>
      </c>
      <c r="G578" s="1049">
        <v>0</v>
      </c>
      <c r="H578" s="564"/>
      <c r="I578" s="609"/>
      <c r="J578" s="1155"/>
      <c r="K578" s="609"/>
      <c r="L578" s="609"/>
      <c r="M578" s="609"/>
      <c r="N578" s="599"/>
      <c r="O578" s="552" t="s">
        <v>1584</v>
      </c>
      <c r="P578" s="603"/>
      <c r="Q578" s="869"/>
      <c r="R578" s="869"/>
      <c r="S578" s="869"/>
      <c r="T578" s="869"/>
      <c r="U578" s="869"/>
      <c r="V578" s="869"/>
      <c r="W578" s="869"/>
      <c r="X578" s="869"/>
    </row>
    <row r="579" spans="1:24">
      <c r="A579" s="1045">
        <f t="shared" si="8"/>
        <v>8</v>
      </c>
      <c r="B579" s="134">
        <v>45515</v>
      </c>
      <c r="C579" s="70">
        <v>1017</v>
      </c>
      <c r="D579" s="70" t="s">
        <v>5118</v>
      </c>
      <c r="E579" s="280" t="s">
        <v>3244</v>
      </c>
      <c r="F579" s="1049">
        <v>0</v>
      </c>
      <c r="G579" s="1049">
        <v>16</v>
      </c>
      <c r="H579" s="564"/>
      <c r="I579" s="609"/>
      <c r="J579" s="1155"/>
      <c r="K579" s="609"/>
      <c r="L579" s="609"/>
      <c r="M579" s="609"/>
      <c r="N579" s="599"/>
      <c r="O579" s="552" t="s">
        <v>1584</v>
      </c>
      <c r="P579" s="603"/>
      <c r="Q579" s="869"/>
      <c r="R579" s="869"/>
      <c r="S579" s="869"/>
      <c r="T579" s="869"/>
      <c r="U579" s="869"/>
      <c r="V579" s="869"/>
      <c r="W579" s="869"/>
      <c r="X579" s="869"/>
    </row>
    <row r="580" spans="1:24">
      <c r="A580" s="1045">
        <f t="shared" si="8"/>
        <v>8</v>
      </c>
      <c r="B580" s="134">
        <v>45517</v>
      </c>
      <c r="C580" s="70">
        <v>1017</v>
      </c>
      <c r="D580" s="70" t="s">
        <v>5118</v>
      </c>
      <c r="E580" s="280" t="s">
        <v>3245</v>
      </c>
      <c r="F580" s="1049">
        <v>20000</v>
      </c>
      <c r="G580" s="1049">
        <v>0</v>
      </c>
      <c r="H580" s="564"/>
      <c r="I580" s="609"/>
      <c r="J580" s="1155"/>
      <c r="K580" s="609"/>
      <c r="L580" s="609"/>
      <c r="M580" s="609"/>
      <c r="N580" s="599"/>
      <c r="O580" s="552" t="s">
        <v>1584</v>
      </c>
      <c r="P580" s="603"/>
      <c r="Q580" s="869"/>
      <c r="R580" s="869"/>
      <c r="S580" s="869"/>
      <c r="T580" s="869"/>
      <c r="U580" s="869"/>
      <c r="V580" s="869"/>
      <c r="W580" s="869"/>
      <c r="X580" s="869"/>
    </row>
    <row r="581" spans="1:24">
      <c r="A581" s="1045">
        <f t="shared" si="8"/>
        <v>8</v>
      </c>
      <c r="B581" s="134">
        <v>45517</v>
      </c>
      <c r="C581" s="70">
        <v>1022</v>
      </c>
      <c r="D581" s="70" t="s">
        <v>5119</v>
      </c>
      <c r="E581" s="280" t="s">
        <v>3245</v>
      </c>
      <c r="F581" s="1049">
        <v>0</v>
      </c>
      <c r="G581" s="1049">
        <v>20000</v>
      </c>
      <c r="H581" s="564"/>
      <c r="I581" s="609"/>
      <c r="J581" s="1155"/>
      <c r="K581" s="609"/>
      <c r="L581" s="609"/>
      <c r="M581" s="609"/>
      <c r="N581" s="599"/>
      <c r="O581" s="552" t="s">
        <v>1584</v>
      </c>
      <c r="P581" s="603"/>
      <c r="Q581" s="869"/>
      <c r="R581" s="869"/>
      <c r="S581" s="869"/>
      <c r="T581" s="869"/>
      <c r="U581" s="869"/>
      <c r="V581" s="869"/>
      <c r="W581" s="869"/>
      <c r="X581" s="869"/>
    </row>
    <row r="582" spans="1:24">
      <c r="A582" s="1045">
        <f t="shared" si="8"/>
        <v>7</v>
      </c>
      <c r="B582" s="675">
        <v>45503</v>
      </c>
      <c r="C582" s="70">
        <v>1017</v>
      </c>
      <c r="D582" s="70" t="s">
        <v>5118</v>
      </c>
      <c r="E582" s="280" t="s">
        <v>3246</v>
      </c>
      <c r="F582" s="1049">
        <v>2300</v>
      </c>
      <c r="G582" s="1049">
        <v>0</v>
      </c>
      <c r="H582" s="564"/>
      <c r="I582" s="609"/>
      <c r="J582" s="1155"/>
      <c r="K582" s="609"/>
      <c r="L582" s="609"/>
      <c r="M582" s="609"/>
      <c r="N582" s="599"/>
      <c r="O582" s="552" t="s">
        <v>1584</v>
      </c>
      <c r="P582" s="603"/>
      <c r="Q582" s="869"/>
      <c r="R582" s="869"/>
      <c r="S582" s="869"/>
      <c r="T582" s="869"/>
      <c r="U582" s="869"/>
      <c r="V582" s="869"/>
      <c r="W582" s="869"/>
      <c r="X582" s="869"/>
    </row>
    <row r="583" spans="1:24">
      <c r="A583" s="1045">
        <f t="shared" si="8"/>
        <v>7</v>
      </c>
      <c r="B583" s="134">
        <v>45503</v>
      </c>
      <c r="C583" s="70">
        <v>4010</v>
      </c>
      <c r="D583" s="70" t="s">
        <v>75</v>
      </c>
      <c r="E583" s="280" t="s">
        <v>3246</v>
      </c>
      <c r="F583" s="1049">
        <v>0</v>
      </c>
      <c r="G583" s="1049">
        <v>2300</v>
      </c>
      <c r="H583" s="564"/>
      <c r="I583" s="609"/>
      <c r="J583" s="1155"/>
      <c r="K583" s="609"/>
      <c r="L583" s="609"/>
      <c r="M583" s="609"/>
      <c r="N583" s="599"/>
      <c r="O583" s="552" t="s">
        <v>1584</v>
      </c>
      <c r="P583" s="603"/>
      <c r="Q583" s="869"/>
      <c r="R583" s="869"/>
      <c r="S583" s="869"/>
      <c r="T583" s="869"/>
      <c r="U583" s="869"/>
      <c r="V583" s="869"/>
      <c r="W583" s="869"/>
      <c r="X583" s="869"/>
    </row>
    <row r="584" spans="1:24">
      <c r="A584" s="1045">
        <f t="shared" si="8"/>
        <v>8</v>
      </c>
      <c r="B584" s="134">
        <v>45517</v>
      </c>
      <c r="C584" s="70">
        <v>1022</v>
      </c>
      <c r="D584" s="70" t="s">
        <v>5119</v>
      </c>
      <c r="E584" s="280" t="s">
        <v>3247</v>
      </c>
      <c r="F584" s="1049">
        <v>3400</v>
      </c>
      <c r="G584" s="1049">
        <v>0</v>
      </c>
      <c r="H584" s="564"/>
      <c r="I584" s="609"/>
      <c r="J584" s="1155"/>
      <c r="K584" s="609"/>
      <c r="L584" s="609"/>
      <c r="M584" s="609"/>
      <c r="N584" s="599"/>
      <c r="O584" s="552" t="s">
        <v>1584</v>
      </c>
      <c r="P584" s="603"/>
      <c r="Q584" s="869"/>
      <c r="R584" s="869"/>
      <c r="S584" s="869"/>
      <c r="T584" s="869"/>
      <c r="U584" s="869"/>
      <c r="V584" s="869"/>
      <c r="W584" s="869"/>
      <c r="X584" s="869"/>
    </row>
    <row r="585" spans="1:24">
      <c r="A585" s="1045">
        <f t="shared" si="8"/>
        <v>8</v>
      </c>
      <c r="B585" s="134">
        <v>45517</v>
      </c>
      <c r="C585" s="70">
        <v>4010</v>
      </c>
      <c r="D585" s="70" t="s">
        <v>75</v>
      </c>
      <c r="E585" s="280" t="s">
        <v>3247</v>
      </c>
      <c r="F585" s="1049">
        <v>0</v>
      </c>
      <c r="G585" s="1049">
        <v>3400</v>
      </c>
      <c r="H585" s="564"/>
      <c r="I585" s="609"/>
      <c r="J585" s="1155"/>
      <c r="K585" s="609"/>
      <c r="L585" s="609"/>
      <c r="M585" s="609"/>
      <c r="N585" s="599"/>
      <c r="O585" s="552" t="s">
        <v>1584</v>
      </c>
      <c r="P585" s="603"/>
      <c r="Q585" s="869"/>
      <c r="R585" s="869"/>
      <c r="S585" s="869"/>
      <c r="T585" s="869"/>
      <c r="U585" s="869"/>
      <c r="V585" s="869"/>
      <c r="W585" s="869"/>
      <c r="X585" s="869"/>
    </row>
    <row r="586" spans="1:24">
      <c r="A586" s="1045">
        <f t="shared" si="8"/>
        <v>8</v>
      </c>
      <c r="B586" s="134">
        <v>45518</v>
      </c>
      <c r="C586" s="70">
        <v>6013</v>
      </c>
      <c r="D586" s="70" t="s">
        <v>104</v>
      </c>
      <c r="E586" s="280" t="s">
        <v>3248</v>
      </c>
      <c r="F586" s="1049">
        <v>440</v>
      </c>
      <c r="G586" s="1049">
        <v>0</v>
      </c>
      <c r="H586" s="564"/>
      <c r="I586" s="609"/>
      <c r="J586" s="1155"/>
      <c r="K586" s="609"/>
      <c r="L586" s="609"/>
      <c r="M586" s="609"/>
      <c r="N586" s="599"/>
      <c r="O586" s="552" t="s">
        <v>1584</v>
      </c>
      <c r="P586" s="603"/>
      <c r="Q586" s="869"/>
      <c r="R586" s="869"/>
      <c r="S586" s="869"/>
      <c r="T586" s="869"/>
      <c r="U586" s="869"/>
      <c r="V586" s="869"/>
      <c r="W586" s="869"/>
      <c r="X586" s="869"/>
    </row>
    <row r="587" spans="1:24">
      <c r="A587" s="1045">
        <f t="shared" si="8"/>
        <v>8</v>
      </c>
      <c r="B587" s="134">
        <v>45518</v>
      </c>
      <c r="C587" s="70">
        <v>2018</v>
      </c>
      <c r="D587" s="70" t="s">
        <v>58</v>
      </c>
      <c r="E587" s="280" t="s">
        <v>3248</v>
      </c>
      <c r="F587" s="1049">
        <v>3.5</v>
      </c>
      <c r="G587" s="1049">
        <v>0</v>
      </c>
      <c r="H587" s="564"/>
      <c r="I587" s="609"/>
      <c r="J587" s="1155"/>
      <c r="K587" s="609"/>
      <c r="L587" s="609"/>
      <c r="M587" s="609"/>
      <c r="N587" s="599"/>
      <c r="O587" s="552" t="s">
        <v>1584</v>
      </c>
      <c r="P587" s="603"/>
      <c r="Q587" s="869"/>
      <c r="R587" s="869"/>
      <c r="S587" s="869"/>
      <c r="T587" s="869"/>
      <c r="U587" s="869"/>
      <c r="V587" s="869"/>
      <c r="W587" s="869"/>
      <c r="X587" s="869"/>
    </row>
    <row r="588" spans="1:24">
      <c r="A588" s="1045">
        <f t="shared" si="8"/>
        <v>8</v>
      </c>
      <c r="B588" s="134">
        <v>45518</v>
      </c>
      <c r="C588" s="70">
        <v>1018</v>
      </c>
      <c r="D588" s="70" t="s">
        <v>5113</v>
      </c>
      <c r="E588" s="280" t="s">
        <v>3248</v>
      </c>
      <c r="F588" s="1049">
        <v>0</v>
      </c>
      <c r="G588" s="1049">
        <v>443.5</v>
      </c>
      <c r="H588" s="564"/>
      <c r="I588" s="609"/>
      <c r="J588" s="1155"/>
      <c r="K588" s="609"/>
      <c r="L588" s="609"/>
      <c r="M588" s="609"/>
      <c r="N588" s="599"/>
      <c r="O588" s="552" t="s">
        <v>1584</v>
      </c>
      <c r="P588" s="603"/>
      <c r="Q588" s="869"/>
      <c r="R588" s="869"/>
      <c r="S588" s="869"/>
      <c r="T588" s="869"/>
      <c r="U588" s="869"/>
      <c r="V588" s="869"/>
      <c r="W588" s="869"/>
      <c r="X588" s="869"/>
    </row>
    <row r="589" spans="1:24">
      <c r="A589" s="1045">
        <f t="shared" si="8"/>
        <v>8</v>
      </c>
      <c r="B589" s="134">
        <v>45523</v>
      </c>
      <c r="C589" s="70">
        <v>1025</v>
      </c>
      <c r="D589" s="70" t="s">
        <v>5120</v>
      </c>
      <c r="E589" s="280" t="s">
        <v>3249</v>
      </c>
      <c r="F589" s="1049">
        <v>20000</v>
      </c>
      <c r="G589" s="1049">
        <v>0</v>
      </c>
      <c r="H589" s="564"/>
      <c r="I589" s="609"/>
      <c r="J589" s="1155"/>
      <c r="K589" s="609"/>
      <c r="L589" s="609"/>
      <c r="M589" s="609"/>
      <c r="N589" s="599"/>
      <c r="O589" s="552" t="s">
        <v>1584</v>
      </c>
      <c r="P589" s="603"/>
      <c r="Q589" s="869"/>
      <c r="R589" s="869"/>
      <c r="S589" s="869"/>
      <c r="T589" s="869"/>
      <c r="U589" s="869"/>
      <c r="V589" s="869"/>
      <c r="W589" s="869"/>
      <c r="X589" s="869"/>
    </row>
    <row r="590" spans="1:24">
      <c r="A590" s="1045">
        <f t="shared" si="8"/>
        <v>8</v>
      </c>
      <c r="B590" s="134">
        <v>45523</v>
      </c>
      <c r="C590" s="70">
        <v>1022</v>
      </c>
      <c r="D590" s="70" t="s">
        <v>5119</v>
      </c>
      <c r="E590" s="280" t="s">
        <v>3250</v>
      </c>
      <c r="F590" s="1049">
        <v>0</v>
      </c>
      <c r="G590" s="1049">
        <v>20000</v>
      </c>
      <c r="H590" s="564"/>
      <c r="I590" s="609"/>
      <c r="J590" s="1155"/>
      <c r="K590" s="609"/>
      <c r="L590" s="609"/>
      <c r="M590" s="609"/>
      <c r="N590" s="599"/>
      <c r="O590" s="552" t="s">
        <v>1584</v>
      </c>
      <c r="P590" s="603"/>
      <c r="Q590" s="869"/>
      <c r="R590" s="869"/>
      <c r="S590" s="869"/>
      <c r="T590" s="869"/>
      <c r="U590" s="869"/>
      <c r="V590" s="869"/>
      <c r="W590" s="869"/>
      <c r="X590" s="869"/>
    </row>
    <row r="591" spans="1:24">
      <c r="A591" s="1045">
        <f t="shared" si="8"/>
        <v>8</v>
      </c>
      <c r="B591" s="134">
        <v>45528</v>
      </c>
      <c r="C591" s="70">
        <v>1025</v>
      </c>
      <c r="D591" s="70" t="s">
        <v>5120</v>
      </c>
      <c r="E591" s="280" t="s">
        <v>3251</v>
      </c>
      <c r="F591" s="1049">
        <v>20000</v>
      </c>
      <c r="G591" s="1049">
        <v>0</v>
      </c>
      <c r="H591" s="564"/>
      <c r="I591" s="609"/>
      <c r="J591" s="1155"/>
      <c r="K591" s="609"/>
      <c r="L591" s="609"/>
      <c r="M591" s="609"/>
      <c r="N591" s="599"/>
      <c r="O591" s="552" t="s">
        <v>1584</v>
      </c>
      <c r="P591" s="603"/>
      <c r="Q591" s="869"/>
      <c r="R591" s="869"/>
      <c r="S591" s="869"/>
      <c r="T591" s="869"/>
      <c r="U591" s="869"/>
      <c r="V591" s="869"/>
      <c r="W591" s="869"/>
      <c r="X591" s="869"/>
    </row>
    <row r="592" spans="1:24">
      <c r="A592" s="1045">
        <f t="shared" si="8"/>
        <v>8</v>
      </c>
      <c r="B592" s="134">
        <v>45528</v>
      </c>
      <c r="C592" s="70">
        <v>1022</v>
      </c>
      <c r="D592" s="70" t="s">
        <v>5119</v>
      </c>
      <c r="E592" s="280" t="s">
        <v>3252</v>
      </c>
      <c r="F592" s="1049">
        <v>0</v>
      </c>
      <c r="G592" s="1049">
        <v>20000</v>
      </c>
      <c r="H592" s="564"/>
      <c r="I592" s="609"/>
      <c r="J592" s="1155"/>
      <c r="K592" s="609"/>
      <c r="L592" s="609"/>
      <c r="M592" s="609"/>
      <c r="N592" s="599"/>
      <c r="O592" s="552" t="s">
        <v>1584</v>
      </c>
      <c r="P592" s="603"/>
      <c r="Q592" s="869"/>
      <c r="R592" s="869"/>
      <c r="S592" s="869"/>
      <c r="T592" s="869"/>
      <c r="U592" s="869"/>
      <c r="V592" s="869"/>
      <c r="W592" s="869"/>
      <c r="X592" s="869"/>
    </row>
    <row r="593" spans="1:24">
      <c r="A593" s="1045">
        <f t="shared" si="8"/>
        <v>8</v>
      </c>
      <c r="B593" s="134">
        <v>45529</v>
      </c>
      <c r="C593" s="70">
        <v>6016</v>
      </c>
      <c r="D593" s="70" t="s">
        <v>107</v>
      </c>
      <c r="E593" s="280" t="s">
        <v>3253</v>
      </c>
      <c r="F593" s="1049">
        <v>10794</v>
      </c>
      <c r="G593" s="1049">
        <v>0</v>
      </c>
      <c r="H593" s="564"/>
      <c r="I593" s="609"/>
      <c r="J593" s="1155"/>
      <c r="K593" s="609"/>
      <c r="L593" s="609"/>
      <c r="M593" s="609"/>
      <c r="N593" s="599"/>
      <c r="O593" s="552" t="s">
        <v>1584</v>
      </c>
      <c r="P593" s="603"/>
      <c r="Q593" s="869"/>
      <c r="R593" s="869"/>
      <c r="S593" s="869"/>
      <c r="T593" s="869"/>
      <c r="U593" s="869"/>
      <c r="V593" s="869"/>
      <c r="W593" s="869"/>
      <c r="X593" s="869"/>
    </row>
    <row r="594" spans="1:24">
      <c r="A594" s="1045">
        <f t="shared" ref="A594:A657" si="9">IF(B594="","",MONTH(B594))</f>
        <v>8</v>
      </c>
      <c r="B594" s="134">
        <v>45529</v>
      </c>
      <c r="C594" s="70">
        <v>1022</v>
      </c>
      <c r="D594" s="70" t="s">
        <v>5119</v>
      </c>
      <c r="E594" s="280" t="s">
        <v>3253</v>
      </c>
      <c r="F594" s="1049">
        <v>0</v>
      </c>
      <c r="G594" s="1049">
        <v>10794</v>
      </c>
      <c r="H594" s="564"/>
      <c r="I594" s="609"/>
      <c r="J594" s="1155"/>
      <c r="K594" s="609"/>
      <c r="L594" s="609"/>
      <c r="M594" s="609"/>
      <c r="N594" s="599"/>
      <c r="O594" s="552" t="s">
        <v>1584</v>
      </c>
      <c r="P594" s="603"/>
      <c r="Q594" s="869"/>
      <c r="R594" s="869"/>
      <c r="S594" s="869"/>
      <c r="T594" s="869"/>
      <c r="U594" s="869"/>
      <c r="V594" s="869"/>
      <c r="W594" s="869"/>
      <c r="X594" s="869"/>
    </row>
    <row r="595" spans="1:24">
      <c r="A595" s="1045">
        <f t="shared" si="9"/>
        <v>8</v>
      </c>
      <c r="B595" s="134">
        <v>45535</v>
      </c>
      <c r="C595" s="70">
        <v>6007</v>
      </c>
      <c r="D595" s="70" t="s">
        <v>98</v>
      </c>
      <c r="E595" s="280" t="s">
        <v>3254</v>
      </c>
      <c r="F595" s="1049">
        <v>100</v>
      </c>
      <c r="G595" s="1049">
        <v>0</v>
      </c>
      <c r="H595" s="564"/>
      <c r="I595" s="609"/>
      <c r="J595" s="1155"/>
      <c r="K595" s="609"/>
      <c r="L595" s="609"/>
      <c r="M595" s="609"/>
      <c r="N595" s="599"/>
      <c r="O595" s="552" t="s">
        <v>1584</v>
      </c>
      <c r="P595" s="603"/>
      <c r="Q595" s="869"/>
      <c r="R595" s="869"/>
      <c r="S595" s="869"/>
      <c r="T595" s="869"/>
      <c r="U595" s="869"/>
      <c r="V595" s="869"/>
      <c r="W595" s="869"/>
      <c r="X595" s="869"/>
    </row>
    <row r="596" spans="1:24">
      <c r="A596" s="1045">
        <f t="shared" si="9"/>
        <v>8</v>
      </c>
      <c r="B596" s="134">
        <v>45535</v>
      </c>
      <c r="C596" s="70">
        <v>6007</v>
      </c>
      <c r="D596" s="70" t="s">
        <v>98</v>
      </c>
      <c r="E596" s="280" t="s">
        <v>3255</v>
      </c>
      <c r="F596" s="1049">
        <v>50</v>
      </c>
      <c r="G596" s="1049">
        <v>0</v>
      </c>
      <c r="H596" s="564"/>
      <c r="I596" s="609"/>
      <c r="J596" s="1155"/>
      <c r="K596" s="609"/>
      <c r="L596" s="609"/>
      <c r="M596" s="609"/>
      <c r="N596" s="599"/>
      <c r="O596" s="552" t="s">
        <v>1584</v>
      </c>
      <c r="P596" s="603"/>
      <c r="Q596" s="869"/>
      <c r="R596" s="869"/>
      <c r="S596" s="869"/>
      <c r="T596" s="869"/>
      <c r="U596" s="869"/>
      <c r="V596" s="869"/>
      <c r="W596" s="869"/>
      <c r="X596" s="869"/>
    </row>
    <row r="597" spans="1:24">
      <c r="A597" s="1045">
        <f t="shared" si="9"/>
        <v>8</v>
      </c>
      <c r="B597" s="134">
        <v>45535</v>
      </c>
      <c r="C597" s="70">
        <v>1017</v>
      </c>
      <c r="D597" s="70" t="s">
        <v>5118</v>
      </c>
      <c r="E597" s="280" t="s">
        <v>3256</v>
      </c>
      <c r="F597" s="1049">
        <v>0</v>
      </c>
      <c r="G597" s="1049">
        <v>100</v>
      </c>
      <c r="H597" s="564"/>
      <c r="I597" s="609"/>
      <c r="J597" s="1155"/>
      <c r="K597" s="609"/>
      <c r="L597" s="609"/>
      <c r="M597" s="609"/>
      <c r="N597" s="599"/>
      <c r="O597" s="552" t="s">
        <v>1584</v>
      </c>
      <c r="P597" s="603"/>
      <c r="Q597" s="869"/>
      <c r="R597" s="869"/>
      <c r="S597" s="869"/>
      <c r="T597" s="869"/>
      <c r="U597" s="869"/>
      <c r="V597" s="869"/>
      <c r="W597" s="869"/>
      <c r="X597" s="869"/>
    </row>
    <row r="598" spans="1:24">
      <c r="A598" s="1045">
        <f t="shared" si="9"/>
        <v>8</v>
      </c>
      <c r="B598" s="134">
        <v>45535</v>
      </c>
      <c r="C598" s="70">
        <v>1017</v>
      </c>
      <c r="D598" s="70" t="s">
        <v>5118</v>
      </c>
      <c r="E598" s="280" t="s">
        <v>3255</v>
      </c>
      <c r="F598" s="1049">
        <v>0</v>
      </c>
      <c r="G598" s="1049">
        <v>50</v>
      </c>
      <c r="H598" s="564"/>
      <c r="I598" s="609"/>
      <c r="J598" s="1155"/>
      <c r="K598" s="609"/>
      <c r="L598" s="609"/>
      <c r="M598" s="609"/>
      <c r="N598" s="599"/>
      <c r="O598" s="552" t="s">
        <v>1584</v>
      </c>
      <c r="P598" s="603"/>
      <c r="Q598" s="869"/>
      <c r="R598" s="869"/>
      <c r="S598" s="869"/>
      <c r="T598" s="869"/>
      <c r="U598" s="869"/>
      <c r="V598" s="869"/>
      <c r="W598" s="869"/>
      <c r="X598" s="869"/>
    </row>
    <row r="599" spans="1:24">
      <c r="A599" s="1045">
        <f t="shared" si="9"/>
        <v>8</v>
      </c>
      <c r="B599" s="134">
        <v>45535</v>
      </c>
      <c r="C599" s="70">
        <v>6005</v>
      </c>
      <c r="D599" s="70" t="s">
        <v>96</v>
      </c>
      <c r="E599" s="280" t="s">
        <v>3257</v>
      </c>
      <c r="F599" s="1049">
        <v>40</v>
      </c>
      <c r="G599" s="1049">
        <v>0</v>
      </c>
      <c r="H599" s="564"/>
      <c r="I599" s="609"/>
      <c r="J599" s="1155"/>
      <c r="K599" s="609"/>
      <c r="L599" s="609"/>
      <c r="M599" s="609"/>
      <c r="N599" s="599"/>
      <c r="O599" s="552" t="s">
        <v>1584</v>
      </c>
      <c r="P599" s="603"/>
      <c r="Q599" s="869"/>
      <c r="R599" s="869"/>
      <c r="S599" s="869"/>
      <c r="T599" s="869"/>
      <c r="U599" s="869"/>
      <c r="V599" s="869"/>
      <c r="W599" s="869"/>
      <c r="X599" s="869"/>
    </row>
    <row r="600" spans="1:24">
      <c r="A600" s="1045">
        <f t="shared" si="9"/>
        <v>8</v>
      </c>
      <c r="B600" s="134">
        <v>45535</v>
      </c>
      <c r="C600" s="70">
        <v>1017</v>
      </c>
      <c r="D600" s="70" t="s">
        <v>5118</v>
      </c>
      <c r="E600" s="280" t="s">
        <v>3257</v>
      </c>
      <c r="F600" s="1049">
        <v>0</v>
      </c>
      <c r="G600" s="1049">
        <v>40</v>
      </c>
      <c r="H600" s="564"/>
      <c r="I600" s="609"/>
      <c r="J600" s="1155"/>
      <c r="K600" s="609"/>
      <c r="L600" s="609"/>
      <c r="M600" s="609"/>
      <c r="N600" s="599"/>
      <c r="O600" s="552" t="s">
        <v>1584</v>
      </c>
      <c r="P600" s="603"/>
      <c r="Q600" s="869"/>
      <c r="R600" s="869"/>
      <c r="S600" s="869"/>
      <c r="T600" s="869"/>
      <c r="U600" s="869"/>
      <c r="V600" s="869"/>
      <c r="W600" s="869"/>
      <c r="X600" s="869"/>
    </row>
    <row r="601" spans="1:24">
      <c r="A601" s="1045">
        <f t="shared" si="9"/>
        <v>8</v>
      </c>
      <c r="B601" s="134">
        <v>45535</v>
      </c>
      <c r="C601" s="70">
        <v>6250</v>
      </c>
      <c r="D601" s="70" t="s">
        <v>129</v>
      </c>
      <c r="E601" s="280" t="s">
        <v>3258</v>
      </c>
      <c r="F601" s="1049">
        <v>21.67</v>
      </c>
      <c r="G601" s="1049">
        <v>0</v>
      </c>
      <c r="H601" s="564"/>
      <c r="I601" s="609"/>
      <c r="J601" s="1155"/>
      <c r="K601" s="609"/>
      <c r="L601" s="609"/>
      <c r="M601" s="609"/>
      <c r="N601" s="599"/>
      <c r="O601" s="552" t="s">
        <v>1584</v>
      </c>
      <c r="P601" s="603"/>
      <c r="Q601" s="869"/>
      <c r="R601" s="869"/>
      <c r="S601" s="869"/>
      <c r="T601" s="869"/>
      <c r="U601" s="869"/>
      <c r="V601" s="869"/>
      <c r="W601" s="869"/>
      <c r="X601" s="869"/>
    </row>
    <row r="602" spans="1:24">
      <c r="A602" s="1045">
        <f t="shared" si="9"/>
        <v>8</v>
      </c>
      <c r="B602" s="134">
        <v>45535</v>
      </c>
      <c r="C602" s="70">
        <v>2018</v>
      </c>
      <c r="D602" s="70" t="s">
        <v>58</v>
      </c>
      <c r="E602" s="280" t="s">
        <v>3258</v>
      </c>
      <c r="F602" s="1049">
        <v>1.08</v>
      </c>
      <c r="G602" s="1049">
        <v>0</v>
      </c>
      <c r="H602" s="564"/>
      <c r="I602" s="609"/>
      <c r="J602" s="1155"/>
      <c r="K602" s="609"/>
      <c r="L602" s="609"/>
      <c r="M602" s="609"/>
      <c r="N602" s="599"/>
      <c r="O602" s="552" t="s">
        <v>1584</v>
      </c>
      <c r="P602" s="603"/>
      <c r="Q602" s="869"/>
      <c r="R602" s="869"/>
      <c r="S602" s="869"/>
      <c r="T602" s="869"/>
      <c r="U602" s="869"/>
      <c r="V602" s="869"/>
      <c r="W602" s="869"/>
      <c r="X602" s="869"/>
    </row>
    <row r="603" spans="1:24">
      <c r="A603" s="1045">
        <f t="shared" si="9"/>
        <v>8</v>
      </c>
      <c r="B603" s="134">
        <v>45535</v>
      </c>
      <c r="C603" s="70">
        <v>1017</v>
      </c>
      <c r="D603" s="70" t="s">
        <v>5118</v>
      </c>
      <c r="E603" s="280" t="s">
        <v>3258</v>
      </c>
      <c r="F603" s="1049">
        <v>0</v>
      </c>
      <c r="G603" s="1049">
        <v>22.75</v>
      </c>
      <c r="H603" s="564"/>
      <c r="I603" s="609"/>
      <c r="J603" s="1155"/>
      <c r="K603" s="609"/>
      <c r="L603" s="609"/>
      <c r="M603" s="609"/>
      <c r="N603" s="599"/>
      <c r="O603" s="552" t="s">
        <v>1584</v>
      </c>
      <c r="P603" s="603"/>
      <c r="Q603" s="869"/>
      <c r="R603" s="869"/>
      <c r="S603" s="869"/>
      <c r="T603" s="869"/>
      <c r="U603" s="869"/>
      <c r="V603" s="869"/>
      <c r="W603" s="869"/>
      <c r="X603" s="869"/>
    </row>
    <row r="604" spans="1:24">
      <c r="A604" s="1045">
        <f t="shared" si="9"/>
        <v>8</v>
      </c>
      <c r="B604" s="134">
        <v>45535</v>
      </c>
      <c r="C604" s="70">
        <v>1500</v>
      </c>
      <c r="D604" s="70" t="s">
        <v>53</v>
      </c>
      <c r="E604" s="280" t="s">
        <v>3259</v>
      </c>
      <c r="F604" s="1049">
        <v>10</v>
      </c>
      <c r="G604" s="1049">
        <v>0</v>
      </c>
      <c r="H604" s="564"/>
      <c r="I604" s="609"/>
      <c r="J604" s="1155"/>
      <c r="K604" s="609"/>
      <c r="L604" s="609"/>
      <c r="M604" s="609"/>
      <c r="N604" s="599"/>
      <c r="O604" s="552" t="s">
        <v>1584</v>
      </c>
      <c r="P604" s="603" t="s">
        <v>1779</v>
      </c>
      <c r="Q604" s="869"/>
      <c r="R604" s="869"/>
      <c r="S604" s="869"/>
      <c r="T604" s="869"/>
      <c r="U604" s="869"/>
      <c r="V604" s="869"/>
      <c r="W604" s="869"/>
      <c r="X604" s="869"/>
    </row>
    <row r="605" spans="1:24">
      <c r="A605" s="1045">
        <f t="shared" si="9"/>
        <v>8</v>
      </c>
      <c r="B605" s="134">
        <v>45535</v>
      </c>
      <c r="C605" s="70">
        <v>1017</v>
      </c>
      <c r="D605" s="70" t="s">
        <v>5118</v>
      </c>
      <c r="E605" s="280" t="s">
        <v>3259</v>
      </c>
      <c r="F605" s="1049">
        <v>0</v>
      </c>
      <c r="G605" s="1049">
        <v>10</v>
      </c>
      <c r="H605" s="564"/>
      <c r="I605" s="609"/>
      <c r="J605" s="1155"/>
      <c r="K605" s="609"/>
      <c r="L605" s="609"/>
      <c r="M605" s="609"/>
      <c r="N605" s="599"/>
      <c r="O605" s="552" t="s">
        <v>1584</v>
      </c>
      <c r="P605" s="603"/>
      <c r="Q605" s="869"/>
      <c r="R605" s="869"/>
      <c r="S605" s="869"/>
      <c r="T605" s="869"/>
      <c r="U605" s="869"/>
      <c r="V605" s="869"/>
      <c r="W605" s="869"/>
      <c r="X605" s="869"/>
    </row>
    <row r="606" spans="1:24">
      <c r="A606" s="1045">
        <f t="shared" si="9"/>
        <v>8</v>
      </c>
      <c r="B606" s="134">
        <v>45535</v>
      </c>
      <c r="C606" s="70">
        <v>1500</v>
      </c>
      <c r="D606" s="70" t="s">
        <v>53</v>
      </c>
      <c r="E606" s="280" t="s">
        <v>3260</v>
      </c>
      <c r="F606" s="1049">
        <v>330</v>
      </c>
      <c r="G606" s="1049">
        <v>0</v>
      </c>
      <c r="H606" s="564"/>
      <c r="I606" s="609"/>
      <c r="J606" s="1155"/>
      <c r="K606" s="609"/>
      <c r="L606" s="609"/>
      <c r="M606" s="609"/>
      <c r="N606" s="599"/>
      <c r="O606" s="552" t="s">
        <v>1584</v>
      </c>
      <c r="P606" s="603"/>
      <c r="Q606" s="869"/>
      <c r="R606" s="869"/>
      <c r="S606" s="869"/>
      <c r="T606" s="869"/>
      <c r="U606" s="869"/>
      <c r="V606" s="869"/>
      <c r="W606" s="869"/>
      <c r="X606" s="869"/>
    </row>
    <row r="607" spans="1:24">
      <c r="A607" s="1045">
        <f t="shared" si="9"/>
        <v>8</v>
      </c>
      <c r="B607" s="134">
        <v>45535</v>
      </c>
      <c r="C607" s="70">
        <v>2018</v>
      </c>
      <c r="D607" s="70" t="s">
        <v>58</v>
      </c>
      <c r="E607" s="280" t="s">
        <v>3260</v>
      </c>
      <c r="F607" s="1049">
        <v>16.5</v>
      </c>
      <c r="G607" s="1049">
        <v>0</v>
      </c>
      <c r="H607" s="564"/>
      <c r="I607" s="609"/>
      <c r="J607" s="1155"/>
      <c r="K607" s="609"/>
      <c r="L607" s="609"/>
      <c r="M607" s="609"/>
      <c r="N607" s="599"/>
      <c r="O607" s="552" t="s">
        <v>1584</v>
      </c>
      <c r="P607" s="603"/>
      <c r="Q607" s="869"/>
      <c r="R607" s="869"/>
      <c r="S607" s="869"/>
      <c r="T607" s="869"/>
      <c r="U607" s="869"/>
      <c r="V607" s="869"/>
      <c r="W607" s="869"/>
      <c r="X607" s="869"/>
    </row>
    <row r="608" spans="1:24">
      <c r="A608" s="1045">
        <f t="shared" si="9"/>
        <v>8</v>
      </c>
      <c r="B608" s="134">
        <v>45535</v>
      </c>
      <c r="C608" s="70">
        <v>1017</v>
      </c>
      <c r="D608" s="70" t="s">
        <v>5118</v>
      </c>
      <c r="E608" s="280" t="s">
        <v>3260</v>
      </c>
      <c r="F608" s="1049">
        <v>0</v>
      </c>
      <c r="G608" s="1049">
        <v>346.5</v>
      </c>
      <c r="H608" s="564"/>
      <c r="I608" s="609"/>
      <c r="J608" s="1155"/>
      <c r="K608" s="609"/>
      <c r="L608" s="609"/>
      <c r="M608" s="609"/>
      <c r="N608" s="599"/>
      <c r="O608" s="552" t="s">
        <v>1584</v>
      </c>
      <c r="P608" s="603"/>
      <c r="Q608" s="869"/>
      <c r="R608" s="869"/>
      <c r="S608" s="869"/>
      <c r="T608" s="869"/>
      <c r="U608" s="869"/>
      <c r="V608" s="869"/>
      <c r="W608" s="869"/>
      <c r="X608" s="869"/>
    </row>
    <row r="609" spans="1:24">
      <c r="A609" s="1045">
        <f t="shared" si="9"/>
        <v>8</v>
      </c>
      <c r="B609" s="134">
        <v>45535</v>
      </c>
      <c r="C609" s="70">
        <v>1500</v>
      </c>
      <c r="D609" s="70" t="s">
        <v>53</v>
      </c>
      <c r="E609" s="280" t="s">
        <v>3261</v>
      </c>
      <c r="F609" s="1049">
        <v>289.70999999999998</v>
      </c>
      <c r="G609" s="1049">
        <v>0</v>
      </c>
      <c r="H609" s="564"/>
      <c r="I609" s="609"/>
      <c r="J609" s="1155"/>
      <c r="K609" s="609"/>
      <c r="L609" s="609"/>
      <c r="M609" s="609"/>
      <c r="N609" s="599"/>
      <c r="O609" s="552" t="s">
        <v>1584</v>
      </c>
      <c r="P609" s="603"/>
      <c r="Q609" s="869"/>
      <c r="R609" s="869"/>
      <c r="S609" s="869"/>
      <c r="T609" s="869"/>
      <c r="U609" s="869"/>
      <c r="V609" s="869"/>
      <c r="W609" s="869"/>
      <c r="X609" s="869"/>
    </row>
    <row r="610" spans="1:24">
      <c r="A610" s="1045">
        <f t="shared" si="9"/>
        <v>8</v>
      </c>
      <c r="B610" s="134">
        <v>45535</v>
      </c>
      <c r="C610" s="70">
        <v>2018</v>
      </c>
      <c r="D610" s="70" t="s">
        <v>58</v>
      </c>
      <c r="E610" s="280" t="s">
        <v>3261</v>
      </c>
      <c r="F610" s="1049">
        <v>14.49</v>
      </c>
      <c r="G610" s="1049">
        <v>0</v>
      </c>
      <c r="H610" s="564"/>
      <c r="I610" s="609"/>
      <c r="J610" s="1155"/>
      <c r="K610" s="609"/>
      <c r="L610" s="609"/>
      <c r="M610" s="609"/>
      <c r="N610" s="599"/>
      <c r="O610" s="552" t="s">
        <v>1584</v>
      </c>
      <c r="P610" s="603"/>
      <c r="Q610" s="869"/>
      <c r="R610" s="869"/>
      <c r="S610" s="869"/>
      <c r="T610" s="869"/>
      <c r="U610" s="869"/>
      <c r="V610" s="869"/>
      <c r="W610" s="869"/>
      <c r="X610" s="869"/>
    </row>
    <row r="611" spans="1:24">
      <c r="A611" s="1045">
        <f t="shared" si="9"/>
        <v>8</v>
      </c>
      <c r="B611" s="134">
        <v>45535</v>
      </c>
      <c r="C611" s="70">
        <v>1017</v>
      </c>
      <c r="D611" s="70" t="s">
        <v>5118</v>
      </c>
      <c r="E611" s="280" t="s">
        <v>3261</v>
      </c>
      <c r="F611" s="1049">
        <v>0</v>
      </c>
      <c r="G611" s="1049">
        <v>304.2</v>
      </c>
      <c r="H611" s="564"/>
      <c r="I611" s="609"/>
      <c r="J611" s="1155"/>
      <c r="K611" s="609"/>
      <c r="L611" s="609"/>
      <c r="M611" s="609"/>
      <c r="N611" s="599"/>
      <c r="O611" s="552" t="s">
        <v>1584</v>
      </c>
      <c r="P611" s="603"/>
      <c r="Q611" s="869"/>
      <c r="R611" s="869"/>
      <c r="S611" s="869"/>
      <c r="T611" s="869"/>
      <c r="U611" s="869"/>
      <c r="V611" s="869"/>
      <c r="W611" s="869"/>
      <c r="X611" s="869"/>
    </row>
    <row r="612" spans="1:24">
      <c r="A612" s="1045">
        <f t="shared" si="9"/>
        <v>8</v>
      </c>
      <c r="B612" s="134">
        <v>45535</v>
      </c>
      <c r="C612" s="70">
        <v>6025</v>
      </c>
      <c r="D612" s="70" t="s">
        <v>116</v>
      </c>
      <c r="E612" s="280" t="s">
        <v>3262</v>
      </c>
      <c r="F612" s="1049">
        <v>40</v>
      </c>
      <c r="G612" s="1049">
        <v>0</v>
      </c>
      <c r="H612" s="564"/>
      <c r="I612" s="609"/>
      <c r="J612" s="1155"/>
      <c r="K612" s="609"/>
      <c r="L612" s="609"/>
      <c r="M612" s="609"/>
      <c r="N612" s="599"/>
      <c r="O612" s="552" t="s">
        <v>1584</v>
      </c>
      <c r="P612" s="603"/>
      <c r="Q612" s="869"/>
      <c r="R612" s="869"/>
      <c r="S612" s="869"/>
      <c r="T612" s="869"/>
      <c r="U612" s="869"/>
      <c r="V612" s="869"/>
      <c r="W612" s="869"/>
      <c r="X612" s="869"/>
    </row>
    <row r="613" spans="1:24">
      <c r="A613" s="1045">
        <f t="shared" si="9"/>
        <v>8</v>
      </c>
      <c r="B613" s="134">
        <v>45535</v>
      </c>
      <c r="C613" s="70">
        <v>1017</v>
      </c>
      <c r="D613" s="70" t="s">
        <v>5118</v>
      </c>
      <c r="E613" s="280" t="s">
        <v>3262</v>
      </c>
      <c r="F613" s="1049">
        <v>0</v>
      </c>
      <c r="G613" s="1049">
        <v>40</v>
      </c>
      <c r="H613" s="564"/>
      <c r="I613" s="609"/>
      <c r="J613" s="1155"/>
      <c r="K613" s="609"/>
      <c r="L613" s="609"/>
      <c r="M613" s="609"/>
      <c r="N613" s="599"/>
      <c r="O613" s="552" t="s">
        <v>1584</v>
      </c>
      <c r="P613" s="603"/>
      <c r="Q613" s="869"/>
      <c r="R613" s="869"/>
      <c r="S613" s="869"/>
      <c r="T613" s="869"/>
      <c r="U613" s="869"/>
      <c r="V613" s="869"/>
      <c r="W613" s="869"/>
      <c r="X613" s="869"/>
    </row>
    <row r="614" spans="1:24">
      <c r="A614" s="1045">
        <f t="shared" si="9"/>
        <v>8</v>
      </c>
      <c r="B614" s="134">
        <v>45535</v>
      </c>
      <c r="C614" s="70">
        <v>6025</v>
      </c>
      <c r="D614" s="70" t="s">
        <v>116</v>
      </c>
      <c r="E614" s="280" t="s">
        <v>3263</v>
      </c>
      <c r="F614" s="1049">
        <v>150</v>
      </c>
      <c r="G614" s="1049">
        <v>0</v>
      </c>
      <c r="H614" s="564"/>
      <c r="I614" s="609"/>
      <c r="J614" s="1155"/>
      <c r="K614" s="609"/>
      <c r="L614" s="609"/>
      <c r="M614" s="609"/>
      <c r="N614" s="599"/>
      <c r="O614" s="552" t="s">
        <v>1584</v>
      </c>
      <c r="P614" s="603"/>
      <c r="Q614" s="869"/>
      <c r="R614" s="869"/>
      <c r="S614" s="869"/>
      <c r="T614" s="869"/>
      <c r="U614" s="869"/>
      <c r="V614" s="869"/>
      <c r="W614" s="869"/>
      <c r="X614" s="869"/>
    </row>
    <row r="615" spans="1:24">
      <c r="A615" s="1045">
        <f t="shared" si="9"/>
        <v>8</v>
      </c>
      <c r="B615" s="134">
        <v>45535</v>
      </c>
      <c r="C615" s="70">
        <v>1017</v>
      </c>
      <c r="D615" s="70" t="s">
        <v>5118</v>
      </c>
      <c r="E615" s="280" t="s">
        <v>3263</v>
      </c>
      <c r="F615" s="1049">
        <v>0</v>
      </c>
      <c r="G615" s="1049">
        <v>150</v>
      </c>
      <c r="H615" s="564"/>
      <c r="I615" s="609"/>
      <c r="J615" s="1155"/>
      <c r="K615" s="609"/>
      <c r="L615" s="609"/>
      <c r="M615" s="609"/>
      <c r="N615" s="599"/>
      <c r="O615" s="552" t="s">
        <v>1584</v>
      </c>
      <c r="P615" s="603"/>
      <c r="Q615" s="869"/>
      <c r="R615" s="869"/>
      <c r="S615" s="869"/>
      <c r="T615" s="869"/>
      <c r="U615" s="869"/>
      <c r="V615" s="869"/>
      <c r="W615" s="869"/>
      <c r="X615" s="869"/>
    </row>
    <row r="616" spans="1:24">
      <c r="A616" s="1045">
        <f t="shared" si="9"/>
        <v>8</v>
      </c>
      <c r="B616" s="134">
        <v>45535</v>
      </c>
      <c r="C616" s="70">
        <v>6017</v>
      </c>
      <c r="D616" s="70" t="s">
        <v>108</v>
      </c>
      <c r="E616" s="280" t="s">
        <v>3264</v>
      </c>
      <c r="F616" s="1049">
        <v>550</v>
      </c>
      <c r="G616" s="1049">
        <v>0</v>
      </c>
      <c r="H616" s="564"/>
      <c r="I616" s="609"/>
      <c r="J616" s="1155"/>
      <c r="K616" s="609"/>
      <c r="L616" s="609"/>
      <c r="M616" s="609"/>
      <c r="N616" s="599"/>
      <c r="O616" s="552" t="s">
        <v>1584</v>
      </c>
      <c r="P616" s="603"/>
      <c r="Q616" s="869"/>
      <c r="R616" s="869"/>
      <c r="S616" s="869"/>
      <c r="T616" s="869"/>
      <c r="U616" s="869"/>
      <c r="V616" s="869"/>
      <c r="W616" s="869"/>
      <c r="X616" s="869"/>
    </row>
    <row r="617" spans="1:24">
      <c r="A617" s="1045">
        <f t="shared" si="9"/>
        <v>8</v>
      </c>
      <c r="B617" s="134">
        <v>45535</v>
      </c>
      <c r="C617" s="70">
        <v>1017</v>
      </c>
      <c r="D617" s="70" t="s">
        <v>5118</v>
      </c>
      <c r="E617" s="280" t="s">
        <v>3264</v>
      </c>
      <c r="F617" s="1049">
        <v>0</v>
      </c>
      <c r="G617" s="1049">
        <v>550</v>
      </c>
      <c r="H617" s="564"/>
      <c r="I617" s="609"/>
      <c r="J617" s="1155"/>
      <c r="K617" s="609"/>
      <c r="L617" s="609"/>
      <c r="M617" s="609"/>
      <c r="N617" s="599"/>
      <c r="O617" s="552" t="s">
        <v>1584</v>
      </c>
      <c r="P617" s="603"/>
      <c r="Q617" s="869"/>
      <c r="R617" s="869"/>
      <c r="S617" s="869"/>
      <c r="T617" s="869"/>
      <c r="U617" s="869"/>
      <c r="V617" s="869"/>
      <c r="W617" s="869"/>
      <c r="X617" s="869"/>
    </row>
    <row r="618" spans="1:24">
      <c r="A618" s="1045">
        <f t="shared" si="9"/>
        <v>8</v>
      </c>
      <c r="B618" s="134">
        <v>45535</v>
      </c>
      <c r="C618" s="70">
        <v>6017</v>
      </c>
      <c r="D618" s="70" t="s">
        <v>108</v>
      </c>
      <c r="E618" s="280" t="s">
        <v>3265</v>
      </c>
      <c r="F618" s="1049">
        <v>9.52</v>
      </c>
      <c r="G618" s="1049">
        <v>0</v>
      </c>
      <c r="H618" s="564"/>
      <c r="I618" s="609"/>
      <c r="J618" s="1155"/>
      <c r="K618" s="609"/>
      <c r="L618" s="609"/>
      <c r="M618" s="609"/>
      <c r="N618" s="599"/>
      <c r="O618" s="552" t="s">
        <v>1584</v>
      </c>
      <c r="P618" s="603"/>
      <c r="Q618" s="869"/>
      <c r="R618" s="869"/>
      <c r="S618" s="869"/>
      <c r="T618" s="869"/>
      <c r="U618" s="869"/>
      <c r="V618" s="869"/>
      <c r="W618" s="869"/>
      <c r="X618" s="869"/>
    </row>
    <row r="619" spans="1:24">
      <c r="A619" s="1045">
        <f t="shared" si="9"/>
        <v>8</v>
      </c>
      <c r="B619" s="134">
        <v>45535</v>
      </c>
      <c r="C619" s="70">
        <v>2018</v>
      </c>
      <c r="D619" s="70" t="s">
        <v>58</v>
      </c>
      <c r="E619" s="280" t="s">
        <v>3265</v>
      </c>
      <c r="F619" s="1049">
        <v>0.48</v>
      </c>
      <c r="G619" s="1049">
        <v>0</v>
      </c>
      <c r="H619" s="564"/>
      <c r="I619" s="609"/>
      <c r="J619" s="1155"/>
      <c r="K619" s="609"/>
      <c r="L619" s="609"/>
      <c r="M619" s="609"/>
      <c r="N619" s="599"/>
      <c r="O619" s="552" t="s">
        <v>1584</v>
      </c>
      <c r="P619" s="603"/>
      <c r="Q619" s="869"/>
      <c r="R619" s="869"/>
      <c r="S619" s="869"/>
      <c r="T619" s="869"/>
      <c r="U619" s="869"/>
      <c r="V619" s="869"/>
      <c r="W619" s="869"/>
      <c r="X619" s="869"/>
    </row>
    <row r="620" spans="1:24">
      <c r="A620" s="1045">
        <f t="shared" si="9"/>
        <v>8</v>
      </c>
      <c r="B620" s="134">
        <v>45535</v>
      </c>
      <c r="C620" s="70">
        <v>1017</v>
      </c>
      <c r="D620" s="70" t="s">
        <v>5118</v>
      </c>
      <c r="E620" s="280" t="s">
        <v>3265</v>
      </c>
      <c r="F620" s="1049">
        <v>0</v>
      </c>
      <c r="G620" s="1049">
        <v>10</v>
      </c>
      <c r="H620" s="611"/>
      <c r="I620" s="609"/>
      <c r="J620" s="1155"/>
      <c r="K620" s="609"/>
      <c r="L620" s="609"/>
      <c r="M620" s="609"/>
      <c r="N620" s="599"/>
      <c r="O620" s="552" t="s">
        <v>1584</v>
      </c>
      <c r="P620" s="603" t="s">
        <v>1779</v>
      </c>
      <c r="Q620" s="869"/>
      <c r="R620" s="869"/>
      <c r="S620" s="869"/>
      <c r="T620" s="869"/>
      <c r="U620" s="869"/>
      <c r="V620" s="869"/>
      <c r="W620" s="869"/>
      <c r="X620" s="869"/>
    </row>
    <row r="621" spans="1:24">
      <c r="A621" s="1045">
        <f t="shared" si="9"/>
        <v>8</v>
      </c>
      <c r="B621" s="134">
        <v>45535</v>
      </c>
      <c r="C621" s="70">
        <v>1500</v>
      </c>
      <c r="D621" s="70" t="s">
        <v>53</v>
      </c>
      <c r="E621" s="280" t="s">
        <v>3266</v>
      </c>
      <c r="F621" s="1049">
        <v>122.62</v>
      </c>
      <c r="G621" s="1049">
        <v>0</v>
      </c>
      <c r="H621" s="564"/>
      <c r="I621" s="609"/>
      <c r="J621" s="1155"/>
      <c r="K621" s="609"/>
      <c r="L621" s="609"/>
      <c r="M621" s="609"/>
      <c r="N621" s="599"/>
      <c r="O621" s="552" t="s">
        <v>1584</v>
      </c>
      <c r="P621" s="603"/>
      <c r="Q621" s="869"/>
      <c r="R621" s="869"/>
      <c r="S621" s="869"/>
      <c r="T621" s="869"/>
      <c r="U621" s="869"/>
      <c r="V621" s="869"/>
      <c r="W621" s="869"/>
      <c r="X621" s="869"/>
    </row>
    <row r="622" spans="1:24">
      <c r="A622" s="1045">
        <f t="shared" si="9"/>
        <v>8</v>
      </c>
      <c r="B622" s="134">
        <v>45535</v>
      </c>
      <c r="C622" s="70">
        <v>2018</v>
      </c>
      <c r="D622" s="70" t="s">
        <v>58</v>
      </c>
      <c r="E622" s="280" t="s">
        <v>3266</v>
      </c>
      <c r="F622" s="1049">
        <v>6.13</v>
      </c>
      <c r="G622" s="1049">
        <v>0</v>
      </c>
      <c r="H622" s="564"/>
      <c r="I622" s="609"/>
      <c r="J622" s="1155"/>
      <c r="K622" s="609"/>
      <c r="L622" s="609"/>
      <c r="M622" s="609"/>
      <c r="N622" s="599"/>
      <c r="O622" s="552" t="s">
        <v>1584</v>
      </c>
      <c r="P622" s="603"/>
      <c r="Q622" s="869"/>
      <c r="R622" s="869"/>
      <c r="S622" s="869"/>
      <c r="T622" s="869"/>
      <c r="U622" s="869"/>
      <c r="V622" s="869"/>
      <c r="W622" s="869"/>
      <c r="X622" s="869"/>
    </row>
    <row r="623" spans="1:24">
      <c r="A623" s="1045">
        <f t="shared" si="9"/>
        <v>8</v>
      </c>
      <c r="B623" s="134">
        <v>45535</v>
      </c>
      <c r="C623" s="70">
        <v>1017</v>
      </c>
      <c r="D623" s="70" t="s">
        <v>5118</v>
      </c>
      <c r="E623" s="280" t="s">
        <v>3266</v>
      </c>
      <c r="F623" s="1049">
        <v>0</v>
      </c>
      <c r="G623" s="1049">
        <v>128.75</v>
      </c>
      <c r="H623" s="564"/>
      <c r="I623" s="609"/>
      <c r="J623" s="1155"/>
      <c r="K623" s="609"/>
      <c r="L623" s="609"/>
      <c r="M623" s="609"/>
      <c r="N623" s="599"/>
      <c r="O623" s="552" t="s">
        <v>1584</v>
      </c>
      <c r="P623" s="603"/>
      <c r="Q623" s="869"/>
      <c r="R623" s="869"/>
      <c r="S623" s="869"/>
      <c r="T623" s="869"/>
      <c r="U623" s="869"/>
      <c r="V623" s="869"/>
      <c r="W623" s="869"/>
      <c r="X623" s="869"/>
    </row>
    <row r="624" spans="1:24">
      <c r="A624" s="1045">
        <f t="shared" si="9"/>
        <v>8</v>
      </c>
      <c r="B624" s="134">
        <v>45535</v>
      </c>
      <c r="C624" s="70">
        <v>1500</v>
      </c>
      <c r="D624" s="70" t="s">
        <v>53</v>
      </c>
      <c r="E624" s="280" t="s">
        <v>3267</v>
      </c>
      <c r="F624" s="1049">
        <v>45</v>
      </c>
      <c r="G624" s="1049">
        <v>0</v>
      </c>
      <c r="H624" s="564"/>
      <c r="I624" s="609"/>
      <c r="J624" s="1155"/>
      <c r="K624" s="609"/>
      <c r="L624" s="609"/>
      <c r="M624" s="609"/>
      <c r="N624" s="599"/>
      <c r="O624" s="552" t="s">
        <v>1584</v>
      </c>
      <c r="P624" s="603"/>
      <c r="Q624" s="869"/>
      <c r="R624" s="869"/>
      <c r="S624" s="869"/>
      <c r="T624" s="869"/>
      <c r="U624" s="869"/>
      <c r="V624" s="869"/>
      <c r="W624" s="869"/>
      <c r="X624" s="869"/>
    </row>
    <row r="625" spans="1:24">
      <c r="A625" s="1045">
        <f t="shared" si="9"/>
        <v>8</v>
      </c>
      <c r="B625" s="134">
        <v>45535</v>
      </c>
      <c r="C625" s="70">
        <v>2018</v>
      </c>
      <c r="D625" s="70" t="s">
        <v>58</v>
      </c>
      <c r="E625" s="280" t="s">
        <v>3267</v>
      </c>
      <c r="F625" s="1049">
        <v>2.25</v>
      </c>
      <c r="G625" s="1049">
        <v>0</v>
      </c>
      <c r="H625" s="564"/>
      <c r="I625" s="609"/>
      <c r="J625" s="1155"/>
      <c r="K625" s="609"/>
      <c r="L625" s="609"/>
      <c r="M625" s="609"/>
      <c r="N625" s="599"/>
      <c r="O625" s="552" t="s">
        <v>1584</v>
      </c>
      <c r="P625" s="603"/>
      <c r="Q625" s="869"/>
      <c r="R625" s="869"/>
      <c r="S625" s="869"/>
      <c r="T625" s="869"/>
      <c r="U625" s="869"/>
      <c r="V625" s="869"/>
      <c r="W625" s="869"/>
      <c r="X625" s="869"/>
    </row>
    <row r="626" spans="1:24">
      <c r="A626" s="1045">
        <f t="shared" si="9"/>
        <v>8</v>
      </c>
      <c r="B626" s="134">
        <v>45535</v>
      </c>
      <c r="C626" s="70">
        <v>1017</v>
      </c>
      <c r="D626" s="70" t="s">
        <v>5118</v>
      </c>
      <c r="E626" s="280" t="s">
        <v>3267</v>
      </c>
      <c r="F626" s="1049">
        <v>0</v>
      </c>
      <c r="G626" s="1049">
        <v>47.25</v>
      </c>
      <c r="H626" s="564"/>
      <c r="I626" s="609"/>
      <c r="J626" s="1155"/>
      <c r="K626" s="609"/>
      <c r="L626" s="609"/>
      <c r="M626" s="609"/>
      <c r="N626" s="599"/>
      <c r="O626" s="552" t="s">
        <v>1584</v>
      </c>
      <c r="P626" s="603"/>
      <c r="Q626" s="869"/>
      <c r="R626" s="869"/>
      <c r="S626" s="869"/>
      <c r="T626" s="869"/>
      <c r="U626" s="869"/>
      <c r="V626" s="869"/>
      <c r="W626" s="869"/>
      <c r="X626" s="869"/>
    </row>
    <row r="627" spans="1:24">
      <c r="A627" s="1045">
        <f t="shared" si="9"/>
        <v>8</v>
      </c>
      <c r="B627" s="134">
        <v>45535</v>
      </c>
      <c r="C627" s="70">
        <v>1500</v>
      </c>
      <c r="D627" s="70" t="s">
        <v>53</v>
      </c>
      <c r="E627" s="280" t="s">
        <v>3268</v>
      </c>
      <c r="F627" s="1049">
        <v>259.22000000000003</v>
      </c>
      <c r="G627" s="1049">
        <v>0</v>
      </c>
      <c r="H627" s="564"/>
      <c r="I627" s="609"/>
      <c r="J627" s="1155"/>
      <c r="K627" s="609"/>
      <c r="L627" s="609"/>
      <c r="M627" s="609"/>
      <c r="N627" s="599"/>
      <c r="O627" s="552" t="s">
        <v>1584</v>
      </c>
      <c r="P627" s="603"/>
      <c r="Q627" s="869"/>
      <c r="R627" s="869"/>
      <c r="S627" s="869"/>
      <c r="T627" s="869"/>
      <c r="U627" s="869"/>
      <c r="V627" s="869"/>
      <c r="W627" s="869"/>
      <c r="X627" s="869"/>
    </row>
    <row r="628" spans="1:24">
      <c r="A628" s="1045">
        <f t="shared" si="9"/>
        <v>8</v>
      </c>
      <c r="B628" s="134">
        <v>45535</v>
      </c>
      <c r="C628" s="70">
        <v>2018</v>
      </c>
      <c r="D628" s="70" t="s">
        <v>58</v>
      </c>
      <c r="E628" s="280" t="s">
        <v>3268</v>
      </c>
      <c r="F628" s="1049">
        <v>12.96</v>
      </c>
      <c r="G628" s="1049">
        <v>0</v>
      </c>
      <c r="H628" s="564"/>
      <c r="I628" s="609"/>
      <c r="J628" s="1155"/>
      <c r="K628" s="609"/>
      <c r="L628" s="609"/>
      <c r="M628" s="609"/>
      <c r="N628" s="599"/>
      <c r="O628" s="552" t="s">
        <v>1584</v>
      </c>
      <c r="P628" s="603"/>
      <c r="Q628" s="869"/>
      <c r="R628" s="869"/>
      <c r="S628" s="869"/>
      <c r="T628" s="869"/>
      <c r="U628" s="869"/>
      <c r="V628" s="869"/>
      <c r="W628" s="869"/>
      <c r="X628" s="869"/>
    </row>
    <row r="629" spans="1:24">
      <c r="A629" s="1045">
        <f t="shared" si="9"/>
        <v>8</v>
      </c>
      <c r="B629" s="134">
        <v>45535</v>
      </c>
      <c r="C629" s="70">
        <v>1017</v>
      </c>
      <c r="D629" s="70" t="s">
        <v>5118</v>
      </c>
      <c r="E629" s="280" t="s">
        <v>3268</v>
      </c>
      <c r="F629" s="1049">
        <v>0</v>
      </c>
      <c r="G629" s="1049">
        <v>272.18</v>
      </c>
      <c r="H629" s="564"/>
      <c r="I629" s="609"/>
      <c r="J629" s="1155"/>
      <c r="K629" s="609"/>
      <c r="L629" s="609"/>
      <c r="M629" s="609"/>
      <c r="N629" s="599"/>
      <c r="O629" s="552" t="s">
        <v>1584</v>
      </c>
      <c r="P629" s="603"/>
      <c r="Q629" s="869"/>
      <c r="R629" s="869"/>
      <c r="S629" s="869"/>
      <c r="T629" s="869"/>
      <c r="U629" s="869"/>
      <c r="V629" s="869"/>
      <c r="W629" s="869"/>
      <c r="X629" s="869"/>
    </row>
    <row r="630" spans="1:24">
      <c r="A630" s="1045">
        <f t="shared" si="9"/>
        <v>8</v>
      </c>
      <c r="B630" s="134">
        <v>45535</v>
      </c>
      <c r="C630" s="70">
        <v>6007</v>
      </c>
      <c r="D630" s="70" t="s">
        <v>98</v>
      </c>
      <c r="E630" s="280" t="s">
        <v>3269</v>
      </c>
      <c r="F630" s="1049">
        <v>200</v>
      </c>
      <c r="G630" s="1049">
        <v>0</v>
      </c>
      <c r="H630" s="564"/>
      <c r="I630" s="609"/>
      <c r="J630" s="1155"/>
      <c r="K630" s="609"/>
      <c r="L630" s="609"/>
      <c r="M630" s="609"/>
      <c r="N630" s="599"/>
      <c r="O630" s="552" t="s">
        <v>1584</v>
      </c>
      <c r="P630" s="603"/>
      <c r="Q630" s="869"/>
      <c r="R630" s="869"/>
      <c r="S630" s="869"/>
      <c r="T630" s="869"/>
      <c r="U630" s="869"/>
      <c r="V630" s="869"/>
      <c r="W630" s="869"/>
      <c r="X630" s="869"/>
    </row>
    <row r="631" spans="1:24">
      <c r="A631" s="1045">
        <f t="shared" si="9"/>
        <v>8</v>
      </c>
      <c r="B631" s="134">
        <v>45535</v>
      </c>
      <c r="C631" s="70">
        <v>1017</v>
      </c>
      <c r="D631" s="70" t="s">
        <v>5118</v>
      </c>
      <c r="E631" s="280" t="s">
        <v>3269</v>
      </c>
      <c r="F631" s="1049">
        <v>0</v>
      </c>
      <c r="G631" s="1049">
        <v>200</v>
      </c>
      <c r="H631" s="564"/>
      <c r="I631" s="609"/>
      <c r="J631" s="1155"/>
      <c r="K631" s="609"/>
      <c r="L631" s="609"/>
      <c r="M631" s="609"/>
      <c r="N631" s="599"/>
      <c r="O631" s="552" t="s">
        <v>1584</v>
      </c>
      <c r="P631" s="603"/>
      <c r="Q631" s="869"/>
      <c r="R631" s="869"/>
      <c r="S631" s="869"/>
      <c r="T631" s="869"/>
      <c r="U631" s="869"/>
      <c r="V631" s="869"/>
      <c r="W631" s="869"/>
      <c r="X631" s="869"/>
    </row>
    <row r="632" spans="1:24">
      <c r="A632" s="1045">
        <f t="shared" si="9"/>
        <v>8</v>
      </c>
      <c r="B632" s="134">
        <v>45535</v>
      </c>
      <c r="C632" s="70">
        <v>1500</v>
      </c>
      <c r="D632" s="70" t="s">
        <v>53</v>
      </c>
      <c r="E632" s="280" t="s">
        <v>3270</v>
      </c>
      <c r="F632" s="1049">
        <v>110</v>
      </c>
      <c r="G632" s="1049">
        <v>0</v>
      </c>
      <c r="H632" s="564"/>
      <c r="I632" s="609"/>
      <c r="J632" s="1155"/>
      <c r="K632" s="609"/>
      <c r="L632" s="609"/>
      <c r="M632" s="609"/>
      <c r="N632" s="599"/>
      <c r="O632" s="552" t="s">
        <v>1584</v>
      </c>
      <c r="P632" s="603"/>
      <c r="Q632" s="869"/>
      <c r="R632" s="869"/>
      <c r="S632" s="869"/>
      <c r="T632" s="869"/>
      <c r="U632" s="869"/>
      <c r="V632" s="869"/>
      <c r="W632" s="869"/>
      <c r="X632" s="869"/>
    </row>
    <row r="633" spans="1:24">
      <c r="A633" s="1045">
        <f t="shared" si="9"/>
        <v>8</v>
      </c>
      <c r="B633" s="134">
        <v>45535</v>
      </c>
      <c r="C633" s="70">
        <v>2018</v>
      </c>
      <c r="D633" s="70" t="s">
        <v>58</v>
      </c>
      <c r="E633" s="280" t="s">
        <v>3270</v>
      </c>
      <c r="F633" s="1049">
        <v>5</v>
      </c>
      <c r="G633" s="1049">
        <v>0</v>
      </c>
      <c r="H633" s="564"/>
      <c r="I633" s="609"/>
      <c r="J633" s="1155"/>
      <c r="K633" s="609"/>
      <c r="L633" s="609"/>
      <c r="M633" s="609"/>
      <c r="N633" s="599"/>
      <c r="O633" s="552" t="s">
        <v>1584</v>
      </c>
      <c r="P633" s="603"/>
      <c r="Q633" s="869"/>
      <c r="R633" s="869"/>
      <c r="S633" s="869"/>
      <c r="T633" s="869"/>
      <c r="U633" s="869"/>
      <c r="V633" s="869"/>
      <c r="W633" s="869"/>
      <c r="X633" s="869"/>
    </row>
    <row r="634" spans="1:24">
      <c r="A634" s="1045">
        <f t="shared" si="9"/>
        <v>8</v>
      </c>
      <c r="B634" s="134">
        <v>45535</v>
      </c>
      <c r="C634" s="70">
        <v>1017</v>
      </c>
      <c r="D634" s="70" t="s">
        <v>5118</v>
      </c>
      <c r="E634" s="280" t="s">
        <v>3270</v>
      </c>
      <c r="F634" s="1049">
        <v>0</v>
      </c>
      <c r="G634" s="1049">
        <v>115</v>
      </c>
      <c r="H634" s="564"/>
      <c r="I634" s="609"/>
      <c r="J634" s="1155"/>
      <c r="K634" s="609"/>
      <c r="L634" s="609"/>
      <c r="M634" s="609"/>
      <c r="N634" s="599"/>
      <c r="O634" s="552" t="s">
        <v>1584</v>
      </c>
      <c r="P634" s="603"/>
      <c r="Q634" s="869"/>
      <c r="R634" s="869"/>
      <c r="S634" s="869"/>
      <c r="T634" s="869"/>
      <c r="U634" s="869"/>
      <c r="V634" s="869"/>
      <c r="W634" s="869"/>
      <c r="X634" s="869"/>
    </row>
    <row r="635" spans="1:24">
      <c r="A635" s="1045">
        <f t="shared" si="9"/>
        <v>8</v>
      </c>
      <c r="B635" s="134">
        <v>45535</v>
      </c>
      <c r="C635" s="70">
        <v>6000</v>
      </c>
      <c r="D635" s="70" t="s">
        <v>91</v>
      </c>
      <c r="E635" s="280" t="s">
        <v>3271</v>
      </c>
      <c r="F635" s="1049">
        <v>68994</v>
      </c>
      <c r="G635" s="1049">
        <v>0</v>
      </c>
      <c r="H635" s="564"/>
      <c r="I635" s="609"/>
      <c r="J635" s="1155"/>
      <c r="K635" s="609"/>
      <c r="L635" s="609"/>
      <c r="M635" s="609"/>
      <c r="N635" s="599"/>
      <c r="O635" s="552" t="s">
        <v>1584</v>
      </c>
      <c r="P635" s="603"/>
      <c r="Q635" s="869"/>
      <c r="R635" s="869"/>
      <c r="S635" s="869"/>
      <c r="T635" s="869"/>
      <c r="U635" s="869"/>
      <c r="V635" s="869"/>
      <c r="W635" s="869"/>
      <c r="X635" s="869"/>
    </row>
    <row r="636" spans="1:24">
      <c r="A636" s="1045">
        <f t="shared" si="9"/>
        <v>8</v>
      </c>
      <c r="B636" s="134">
        <v>45535</v>
      </c>
      <c r="C636" s="70">
        <v>6250</v>
      </c>
      <c r="D636" s="70" t="s">
        <v>129</v>
      </c>
      <c r="E636" s="280" t="s">
        <v>3272</v>
      </c>
      <c r="F636" s="1049">
        <v>95</v>
      </c>
      <c r="G636" s="1049">
        <v>0</v>
      </c>
      <c r="H636" s="564"/>
      <c r="I636" s="609"/>
      <c r="J636" s="1155"/>
      <c r="K636" s="609"/>
      <c r="L636" s="609"/>
      <c r="M636" s="609"/>
      <c r="N636" s="599"/>
      <c r="O636" s="552" t="s">
        <v>1584</v>
      </c>
      <c r="P636" s="603"/>
      <c r="Q636" s="869"/>
      <c r="R636" s="869"/>
      <c r="S636" s="869"/>
      <c r="T636" s="869"/>
      <c r="U636" s="869"/>
      <c r="V636" s="869"/>
      <c r="W636" s="869"/>
      <c r="X636" s="869"/>
    </row>
    <row r="637" spans="1:24">
      <c r="A637" s="1045">
        <f t="shared" si="9"/>
        <v>8</v>
      </c>
      <c r="B637" s="134">
        <v>45535</v>
      </c>
      <c r="C637" s="70">
        <v>2018</v>
      </c>
      <c r="D637" s="70" t="s">
        <v>58</v>
      </c>
      <c r="E637" s="280" t="s">
        <v>3273</v>
      </c>
      <c r="F637" s="1049">
        <v>4.75</v>
      </c>
      <c r="G637" s="1049">
        <v>0</v>
      </c>
      <c r="H637" s="564"/>
      <c r="I637" s="609"/>
      <c r="J637" s="1155"/>
      <c r="K637" s="609"/>
      <c r="L637" s="609"/>
      <c r="M637" s="609"/>
      <c r="N637" s="599"/>
      <c r="O637" s="552" t="s">
        <v>1584</v>
      </c>
      <c r="P637" s="603"/>
      <c r="Q637" s="869"/>
      <c r="R637" s="869"/>
      <c r="S637" s="869"/>
      <c r="T637" s="869"/>
      <c r="U637" s="869"/>
      <c r="V637" s="869"/>
      <c r="W637" s="869"/>
      <c r="X637" s="869"/>
    </row>
    <row r="638" spans="1:24">
      <c r="A638" s="1045">
        <f t="shared" si="9"/>
        <v>8</v>
      </c>
      <c r="B638" s="134">
        <v>45535</v>
      </c>
      <c r="C638" s="70">
        <v>1022</v>
      </c>
      <c r="D638" s="70" t="s">
        <v>5119</v>
      </c>
      <c r="E638" s="280" t="s">
        <v>3271</v>
      </c>
      <c r="F638" s="1049">
        <v>0</v>
      </c>
      <c r="G638" s="1049">
        <v>69093.75</v>
      </c>
      <c r="H638" s="564"/>
      <c r="I638" s="609"/>
      <c r="J638" s="1155"/>
      <c r="K638" s="609"/>
      <c r="L638" s="609"/>
      <c r="M638" s="609"/>
      <c r="N638" s="599"/>
      <c r="O638" s="552" t="s">
        <v>1584</v>
      </c>
      <c r="P638" s="603"/>
      <c r="Q638" s="869"/>
      <c r="R638" s="869"/>
      <c r="S638" s="869"/>
      <c r="T638" s="869"/>
      <c r="U638" s="869"/>
      <c r="V638" s="869"/>
      <c r="W638" s="869"/>
      <c r="X638" s="869"/>
    </row>
    <row r="639" spans="1:24">
      <c r="A639" s="1045">
        <f t="shared" si="9"/>
        <v>8</v>
      </c>
      <c r="B639" s="134">
        <v>45535</v>
      </c>
      <c r="C639" s="70">
        <v>6001</v>
      </c>
      <c r="D639" s="70" t="s">
        <v>92</v>
      </c>
      <c r="E639" s="280" t="s">
        <v>3274</v>
      </c>
      <c r="F639" s="1049">
        <v>6956.75</v>
      </c>
      <c r="G639" s="1049">
        <v>0</v>
      </c>
      <c r="H639" s="564"/>
      <c r="I639" s="609"/>
      <c r="J639" s="1155"/>
      <c r="K639" s="609"/>
      <c r="L639" s="609"/>
      <c r="M639" s="609"/>
      <c r="N639" s="599"/>
      <c r="O639" s="552" t="s">
        <v>1584</v>
      </c>
      <c r="P639" s="603"/>
      <c r="Q639" s="869"/>
      <c r="R639" s="869"/>
      <c r="S639" s="869"/>
      <c r="T639" s="869"/>
      <c r="U639" s="869"/>
      <c r="V639" s="869"/>
      <c r="W639" s="869"/>
      <c r="X639" s="869"/>
    </row>
    <row r="640" spans="1:24">
      <c r="A640" s="1045">
        <f t="shared" si="9"/>
        <v>8</v>
      </c>
      <c r="B640" s="134">
        <v>45535</v>
      </c>
      <c r="C640" s="70">
        <v>2018</v>
      </c>
      <c r="D640" s="70" t="s">
        <v>58</v>
      </c>
      <c r="E640" s="280" t="s">
        <v>3275</v>
      </c>
      <c r="F640" s="1049">
        <v>347.83</v>
      </c>
      <c r="G640" s="1049">
        <v>0</v>
      </c>
      <c r="H640" s="564"/>
      <c r="I640" s="609"/>
      <c r="J640" s="1155"/>
      <c r="K640" s="609"/>
      <c r="L640" s="609"/>
      <c r="M640" s="609"/>
      <c r="N640" s="599"/>
      <c r="O640" s="552" t="s">
        <v>1584</v>
      </c>
      <c r="P640" s="603"/>
      <c r="Q640" s="869"/>
      <c r="R640" s="869"/>
      <c r="S640" s="869"/>
      <c r="T640" s="869"/>
      <c r="U640" s="869"/>
      <c r="V640" s="869"/>
      <c r="W640" s="869"/>
      <c r="X640" s="869"/>
    </row>
    <row r="641" spans="1:24">
      <c r="A641" s="1045">
        <f t="shared" si="9"/>
        <v>8</v>
      </c>
      <c r="B641" s="134">
        <v>45535</v>
      </c>
      <c r="C641" s="70">
        <v>1011</v>
      </c>
      <c r="D641" s="70" t="s">
        <v>34</v>
      </c>
      <c r="E641" s="280" t="s">
        <v>3274</v>
      </c>
      <c r="F641" s="1049">
        <v>0</v>
      </c>
      <c r="G641" s="1049">
        <v>7304.58</v>
      </c>
      <c r="H641" s="564"/>
      <c r="I641" s="609"/>
      <c r="J641" s="1155"/>
      <c r="K641" s="609"/>
      <c r="L641" s="609"/>
      <c r="M641" s="609"/>
      <c r="N641" s="599"/>
      <c r="O641" s="552" t="s">
        <v>1584</v>
      </c>
      <c r="P641" s="603"/>
      <c r="Q641" s="869"/>
      <c r="R641" s="869"/>
      <c r="S641" s="869"/>
      <c r="T641" s="869"/>
      <c r="U641" s="869"/>
      <c r="V641" s="869"/>
      <c r="W641" s="869"/>
      <c r="X641" s="869"/>
    </row>
    <row r="642" spans="1:24">
      <c r="A642" s="1045">
        <f t="shared" si="9"/>
        <v>9</v>
      </c>
      <c r="B642" s="134">
        <v>45536</v>
      </c>
      <c r="C642" s="70">
        <v>1017</v>
      </c>
      <c r="D642" s="70" t="s">
        <v>5118</v>
      </c>
      <c r="E642" s="1141" t="s">
        <v>3276</v>
      </c>
      <c r="F642" s="1049">
        <v>15000</v>
      </c>
      <c r="G642" s="1049">
        <v>0</v>
      </c>
      <c r="H642" s="564"/>
      <c r="I642" s="609"/>
      <c r="J642" s="1155"/>
      <c r="K642" s="609"/>
      <c r="L642" s="609"/>
      <c r="M642" s="609"/>
      <c r="N642" s="599"/>
      <c r="O642" s="552" t="s">
        <v>1584</v>
      </c>
      <c r="P642" s="603"/>
      <c r="Q642" s="869"/>
      <c r="R642" s="869"/>
      <c r="S642" s="869"/>
      <c r="T642" s="869"/>
      <c r="U642" s="869"/>
      <c r="V642" s="869"/>
      <c r="W642" s="869"/>
      <c r="X642" s="869"/>
    </row>
    <row r="643" spans="1:24">
      <c r="A643" s="1045">
        <f t="shared" si="9"/>
        <v>9</v>
      </c>
      <c r="B643" s="134">
        <v>45536</v>
      </c>
      <c r="C643" s="70">
        <v>1022</v>
      </c>
      <c r="D643" s="70" t="s">
        <v>5119</v>
      </c>
      <c r="E643" s="280" t="s">
        <v>3276</v>
      </c>
      <c r="F643" s="1049">
        <v>0</v>
      </c>
      <c r="G643" s="1049">
        <v>15000</v>
      </c>
      <c r="H643" s="564"/>
      <c r="I643" s="609"/>
      <c r="J643" s="1155"/>
      <c r="K643" s="609"/>
      <c r="L643" s="609"/>
      <c r="M643" s="609"/>
      <c r="N643" s="599"/>
      <c r="O643" s="552" t="s">
        <v>1584</v>
      </c>
      <c r="P643" s="603"/>
      <c r="Q643" s="869"/>
      <c r="R643" s="869"/>
      <c r="S643" s="869"/>
      <c r="T643" s="869"/>
      <c r="U643" s="869"/>
      <c r="V643" s="869"/>
      <c r="W643" s="869"/>
      <c r="X643" s="869"/>
    </row>
    <row r="644" spans="1:24">
      <c r="A644" s="1045">
        <f t="shared" si="9"/>
        <v>9</v>
      </c>
      <c r="B644" s="134">
        <v>45539</v>
      </c>
      <c r="C644" s="70">
        <v>6006</v>
      </c>
      <c r="D644" s="70" t="s">
        <v>97</v>
      </c>
      <c r="E644" s="280" t="s">
        <v>3277</v>
      </c>
      <c r="F644" s="1049">
        <v>1520</v>
      </c>
      <c r="G644" s="1049">
        <v>0</v>
      </c>
      <c r="H644" s="564"/>
      <c r="I644" s="609"/>
      <c r="J644" s="1155"/>
      <c r="K644" s="609"/>
      <c r="L644" s="609"/>
      <c r="M644" s="609"/>
      <c r="N644" s="599"/>
      <c r="O644" s="552" t="s">
        <v>1584</v>
      </c>
      <c r="P644" s="603"/>
      <c r="Q644" s="869"/>
      <c r="R644" s="869"/>
      <c r="S644" s="869"/>
      <c r="T644" s="869"/>
      <c r="U644" s="869"/>
      <c r="V644" s="869"/>
      <c r="W644" s="869"/>
      <c r="X644" s="869"/>
    </row>
    <row r="645" spans="1:24">
      <c r="A645" s="1045">
        <f t="shared" si="9"/>
        <v>9</v>
      </c>
      <c r="B645" s="134">
        <v>45539</v>
      </c>
      <c r="C645" s="70">
        <v>2018</v>
      </c>
      <c r="D645" s="70" t="s">
        <v>58</v>
      </c>
      <c r="E645" s="280" t="s">
        <v>3278</v>
      </c>
      <c r="F645" s="1049">
        <v>5</v>
      </c>
      <c r="G645" s="1049">
        <v>0</v>
      </c>
      <c r="H645" s="564"/>
      <c r="I645" s="609"/>
      <c r="J645" s="1155"/>
      <c r="K645" s="609"/>
      <c r="L645" s="609"/>
      <c r="M645" s="609"/>
      <c r="N645" s="599"/>
      <c r="O645" s="552" t="s">
        <v>1584</v>
      </c>
      <c r="P645" s="603" t="s">
        <v>1779</v>
      </c>
      <c r="Q645" s="869"/>
      <c r="R645" s="869"/>
      <c r="S645" s="869"/>
      <c r="T645" s="869"/>
      <c r="U645" s="869"/>
      <c r="V645" s="869"/>
      <c r="W645" s="869"/>
      <c r="X645" s="869"/>
    </row>
    <row r="646" spans="1:24">
      <c r="A646" s="1045">
        <f t="shared" si="9"/>
        <v>9</v>
      </c>
      <c r="B646" s="134">
        <v>45539</v>
      </c>
      <c r="C646" s="70">
        <v>6250</v>
      </c>
      <c r="D646" s="70" t="s">
        <v>129</v>
      </c>
      <c r="E646" s="280" t="s">
        <v>3279</v>
      </c>
      <c r="F646" s="1049">
        <v>3</v>
      </c>
      <c r="G646" s="1049">
        <v>0</v>
      </c>
      <c r="H646" s="564"/>
      <c r="I646" s="609"/>
      <c r="J646" s="1155"/>
      <c r="K646" s="609"/>
      <c r="L646" s="609"/>
      <c r="M646" s="609"/>
      <c r="N646" s="599"/>
      <c r="O646" s="552" t="s">
        <v>1584</v>
      </c>
      <c r="P646" s="603"/>
      <c r="Q646" s="869"/>
      <c r="R646" s="869"/>
      <c r="S646" s="869"/>
      <c r="T646" s="869"/>
      <c r="U646" s="869"/>
      <c r="V646" s="869"/>
      <c r="W646" s="869"/>
      <c r="X646" s="869"/>
    </row>
    <row r="647" spans="1:24">
      <c r="A647" s="1045">
        <f t="shared" si="9"/>
        <v>9</v>
      </c>
      <c r="B647" s="134">
        <v>45539</v>
      </c>
      <c r="C647" s="70">
        <v>2018</v>
      </c>
      <c r="D647" s="70" t="s">
        <v>58</v>
      </c>
      <c r="E647" s="280" t="s">
        <v>3280</v>
      </c>
      <c r="F647" s="1049">
        <v>0.15</v>
      </c>
      <c r="G647" s="1049">
        <v>0</v>
      </c>
      <c r="H647" s="564"/>
      <c r="I647" s="609"/>
      <c r="J647" s="1155"/>
      <c r="K647" s="609"/>
      <c r="L647" s="609"/>
      <c r="M647" s="609"/>
      <c r="N647" s="599"/>
      <c r="O647" s="552" t="s">
        <v>1584</v>
      </c>
      <c r="P647" s="603"/>
      <c r="Q647" s="869"/>
      <c r="R647" s="869"/>
      <c r="S647" s="869"/>
      <c r="T647" s="869"/>
      <c r="U647" s="869"/>
      <c r="V647" s="869"/>
      <c r="W647" s="869"/>
      <c r="X647" s="869"/>
    </row>
    <row r="648" spans="1:24">
      <c r="A648" s="1045">
        <f t="shared" si="9"/>
        <v>9</v>
      </c>
      <c r="B648" s="134">
        <v>45539</v>
      </c>
      <c r="C648" s="70">
        <v>1018</v>
      </c>
      <c r="D648" s="70" t="s">
        <v>5113</v>
      </c>
      <c r="E648" s="280" t="s">
        <v>3277</v>
      </c>
      <c r="F648" s="1049">
        <v>0</v>
      </c>
      <c r="G648" s="1049">
        <v>1528.15</v>
      </c>
      <c r="H648" s="564"/>
      <c r="I648" s="609"/>
      <c r="J648" s="1155"/>
      <c r="K648" s="609"/>
      <c r="L648" s="609"/>
      <c r="M648" s="609"/>
      <c r="N648" s="599"/>
      <c r="O648" s="552" t="s">
        <v>1584</v>
      </c>
      <c r="P648" s="603"/>
      <c r="Q648" s="869"/>
      <c r="R648" s="869"/>
      <c r="S648" s="869"/>
      <c r="T648" s="869"/>
      <c r="U648" s="869"/>
      <c r="V648" s="869"/>
      <c r="W648" s="869"/>
      <c r="X648" s="869"/>
    </row>
    <row r="649" spans="1:24">
      <c r="A649" s="1045">
        <f t="shared" si="9"/>
        <v>9</v>
      </c>
      <c r="B649" s="134">
        <v>45542</v>
      </c>
      <c r="C649" s="70">
        <v>6250</v>
      </c>
      <c r="D649" s="70" t="s">
        <v>129</v>
      </c>
      <c r="E649" s="280" t="s">
        <v>3281</v>
      </c>
      <c r="F649" s="1049">
        <v>3000</v>
      </c>
      <c r="G649" s="1049">
        <v>0</v>
      </c>
      <c r="H649" s="564"/>
      <c r="I649" s="609"/>
      <c r="J649" s="1155"/>
      <c r="K649" s="609"/>
      <c r="L649" s="609"/>
      <c r="M649" s="609"/>
      <c r="N649" s="599"/>
      <c r="O649" s="552" t="s">
        <v>1584</v>
      </c>
      <c r="P649" s="603"/>
      <c r="Q649" s="869"/>
      <c r="R649" s="869"/>
      <c r="S649" s="869"/>
      <c r="T649" s="869"/>
      <c r="U649" s="869"/>
      <c r="V649" s="869"/>
      <c r="W649" s="869"/>
      <c r="X649" s="869"/>
    </row>
    <row r="650" spans="1:24">
      <c r="A650" s="1045">
        <f t="shared" si="9"/>
        <v>9</v>
      </c>
      <c r="B650" s="134">
        <v>45542</v>
      </c>
      <c r="C650" s="70">
        <v>1025</v>
      </c>
      <c r="D650" s="70" t="s">
        <v>5120</v>
      </c>
      <c r="E650" s="280" t="s">
        <v>3281</v>
      </c>
      <c r="F650" s="1049">
        <v>0</v>
      </c>
      <c r="G650" s="1049">
        <v>3000</v>
      </c>
      <c r="H650" s="564"/>
      <c r="I650" s="609"/>
      <c r="J650" s="1155"/>
      <c r="K650" s="609"/>
      <c r="L650" s="609"/>
      <c r="M650" s="609"/>
      <c r="N650" s="599"/>
      <c r="O650" s="552" t="s">
        <v>1584</v>
      </c>
      <c r="P650" s="603"/>
      <c r="Q650" s="869"/>
      <c r="R650" s="869"/>
      <c r="S650" s="869"/>
      <c r="T650" s="869"/>
      <c r="U650" s="869"/>
      <c r="V650" s="869"/>
      <c r="W650" s="869"/>
      <c r="X650" s="869"/>
    </row>
    <row r="651" spans="1:24">
      <c r="A651" s="1045">
        <f t="shared" si="9"/>
        <v>8</v>
      </c>
      <c r="B651" s="134">
        <v>45534</v>
      </c>
      <c r="C651" s="70">
        <v>1017</v>
      </c>
      <c r="D651" s="70" t="s">
        <v>5118</v>
      </c>
      <c r="E651" s="280" t="s">
        <v>3282</v>
      </c>
      <c r="F651" s="1049">
        <v>5000</v>
      </c>
      <c r="G651" s="1049">
        <v>0</v>
      </c>
      <c r="H651" s="564"/>
      <c r="I651" s="609"/>
      <c r="J651" s="1155"/>
      <c r="K651" s="609"/>
      <c r="L651" s="609"/>
      <c r="M651" s="609"/>
      <c r="N651" s="599"/>
      <c r="O651" s="552" t="s">
        <v>1584</v>
      </c>
      <c r="P651" s="603"/>
      <c r="Q651" s="869"/>
      <c r="R651" s="869"/>
      <c r="S651" s="869"/>
      <c r="T651" s="869"/>
      <c r="U651" s="869"/>
      <c r="V651" s="869"/>
      <c r="W651" s="869"/>
      <c r="X651" s="869"/>
    </row>
    <row r="652" spans="1:24">
      <c r="A652" s="1045">
        <f t="shared" si="9"/>
        <v>8</v>
      </c>
      <c r="B652" s="134">
        <v>45534</v>
      </c>
      <c r="C652" s="70">
        <v>1025</v>
      </c>
      <c r="D652" s="70" t="s">
        <v>5120</v>
      </c>
      <c r="E652" s="280" t="s">
        <v>3282</v>
      </c>
      <c r="F652" s="1049">
        <v>0</v>
      </c>
      <c r="G652" s="1049">
        <v>5000</v>
      </c>
      <c r="H652" s="564"/>
      <c r="I652" s="609"/>
      <c r="J652" s="1155"/>
      <c r="K652" s="609"/>
      <c r="L652" s="609"/>
      <c r="M652" s="609"/>
      <c r="N652" s="599"/>
      <c r="O652" s="552" t="s">
        <v>1584</v>
      </c>
      <c r="P652" s="603"/>
      <c r="Q652" s="869"/>
      <c r="R652" s="869"/>
      <c r="S652" s="869"/>
      <c r="T652" s="869"/>
      <c r="U652" s="869"/>
      <c r="V652" s="869"/>
      <c r="W652" s="869"/>
      <c r="X652" s="869"/>
    </row>
    <row r="653" spans="1:24">
      <c r="A653" s="1045">
        <f t="shared" si="9"/>
        <v>8</v>
      </c>
      <c r="B653" s="134">
        <v>45534</v>
      </c>
      <c r="C653" s="70">
        <v>1017</v>
      </c>
      <c r="D653" s="70" t="s">
        <v>5118</v>
      </c>
      <c r="E653" s="280" t="s">
        <v>3283</v>
      </c>
      <c r="F653" s="1049">
        <v>5000</v>
      </c>
      <c r="G653" s="1049">
        <v>0</v>
      </c>
      <c r="H653" s="564"/>
      <c r="I653" s="609"/>
      <c r="J653" s="1155"/>
      <c r="K653" s="609"/>
      <c r="L653" s="609"/>
      <c r="M653" s="609"/>
      <c r="N653" s="599"/>
      <c r="O653" s="552" t="s">
        <v>1584</v>
      </c>
      <c r="P653" s="603"/>
      <c r="Q653" s="869"/>
      <c r="R653" s="869"/>
      <c r="S653" s="869"/>
      <c r="T653" s="869"/>
      <c r="U653" s="869"/>
      <c r="V653" s="869"/>
      <c r="W653" s="869"/>
      <c r="X653" s="869"/>
    </row>
    <row r="654" spans="1:24">
      <c r="A654" s="1045">
        <f t="shared" si="9"/>
        <v>8</v>
      </c>
      <c r="B654" s="134">
        <v>45534</v>
      </c>
      <c r="C654" s="70">
        <v>1025</v>
      </c>
      <c r="D654" s="70" t="s">
        <v>5120</v>
      </c>
      <c r="E654" s="280" t="s">
        <v>3283</v>
      </c>
      <c r="F654" s="1049">
        <v>0</v>
      </c>
      <c r="G654" s="1049">
        <v>5000</v>
      </c>
      <c r="H654" s="564"/>
      <c r="I654" s="609"/>
      <c r="J654" s="1155"/>
      <c r="K654" s="609"/>
      <c r="L654" s="609"/>
      <c r="M654" s="609"/>
      <c r="N654" s="599"/>
      <c r="O654" s="552" t="s">
        <v>1584</v>
      </c>
      <c r="P654" s="603"/>
      <c r="Q654" s="869"/>
      <c r="R654" s="869"/>
      <c r="S654" s="869"/>
      <c r="T654" s="869"/>
      <c r="U654" s="869"/>
      <c r="V654" s="869"/>
      <c r="W654" s="869"/>
      <c r="X654" s="869"/>
    </row>
    <row r="655" spans="1:24">
      <c r="A655" s="1045">
        <f t="shared" si="9"/>
        <v>8</v>
      </c>
      <c r="B655" s="134">
        <v>45534</v>
      </c>
      <c r="C655" s="70">
        <v>1017</v>
      </c>
      <c r="D655" s="70" t="s">
        <v>5118</v>
      </c>
      <c r="E655" s="280" t="s">
        <v>3284</v>
      </c>
      <c r="F655" s="1049">
        <v>5000</v>
      </c>
      <c r="G655" s="1049">
        <v>0</v>
      </c>
      <c r="H655" s="564"/>
      <c r="I655" s="609"/>
      <c r="J655" s="1155"/>
      <c r="K655" s="609"/>
      <c r="L655" s="609"/>
      <c r="M655" s="609"/>
      <c r="N655" s="599"/>
      <c r="O655" s="552" t="s">
        <v>1584</v>
      </c>
      <c r="P655" s="603"/>
      <c r="Q655" s="869"/>
      <c r="R655" s="869"/>
      <c r="S655" s="869"/>
      <c r="T655" s="869"/>
      <c r="U655" s="869"/>
      <c r="V655" s="869"/>
      <c r="W655" s="869"/>
      <c r="X655" s="869"/>
    </row>
    <row r="656" spans="1:24">
      <c r="A656" s="1045">
        <f t="shared" si="9"/>
        <v>8</v>
      </c>
      <c r="B656" s="134">
        <v>45534</v>
      </c>
      <c r="C656" s="70">
        <v>1025</v>
      </c>
      <c r="D656" s="70" t="s">
        <v>5120</v>
      </c>
      <c r="E656" s="280" t="s">
        <v>3284</v>
      </c>
      <c r="F656" s="1049">
        <v>0</v>
      </c>
      <c r="G656" s="1049">
        <v>5000</v>
      </c>
      <c r="H656" s="564"/>
      <c r="I656" s="609"/>
      <c r="J656" s="1155"/>
      <c r="K656" s="609"/>
      <c r="L656" s="609"/>
      <c r="M656" s="609"/>
      <c r="N656" s="599"/>
      <c r="O656" s="552" t="s">
        <v>1584</v>
      </c>
      <c r="P656" s="603"/>
      <c r="Q656" s="869"/>
      <c r="R656" s="869"/>
      <c r="S656" s="869"/>
      <c r="T656" s="869"/>
      <c r="U656" s="869"/>
      <c r="V656" s="869"/>
      <c r="W656" s="869"/>
      <c r="X656" s="869"/>
    </row>
    <row r="657" spans="1:24">
      <c r="A657" s="1045">
        <f t="shared" si="9"/>
        <v>8</v>
      </c>
      <c r="B657" s="134">
        <v>45534</v>
      </c>
      <c r="C657" s="70">
        <v>1017</v>
      </c>
      <c r="D657" s="70" t="s">
        <v>5118</v>
      </c>
      <c r="E657" s="280" t="s">
        <v>4883</v>
      </c>
      <c r="F657" s="1049">
        <v>5535</v>
      </c>
      <c r="G657" s="1049"/>
      <c r="H657" s="564"/>
      <c r="I657" s="609"/>
      <c r="J657" s="1155"/>
      <c r="K657" s="609"/>
      <c r="L657" s="609"/>
      <c r="M657" s="609"/>
      <c r="N657" s="599"/>
      <c r="O657" s="552" t="s">
        <v>1584</v>
      </c>
      <c r="P657" s="603"/>
      <c r="Q657" s="869"/>
      <c r="R657" s="869"/>
      <c r="S657" s="869"/>
      <c r="T657" s="869"/>
      <c r="U657" s="869"/>
      <c r="V657" s="869"/>
      <c r="W657" s="869"/>
      <c r="X657" s="869"/>
    </row>
    <row r="658" spans="1:24">
      <c r="A658" s="1045">
        <f t="shared" ref="A658:A721" si="10">IF(B658="","",MONTH(B658))</f>
        <v>8</v>
      </c>
      <c r="B658" s="134">
        <v>45534</v>
      </c>
      <c r="C658" s="70">
        <v>4010</v>
      </c>
      <c r="D658" s="70" t="s">
        <v>75</v>
      </c>
      <c r="E658" s="280" t="s">
        <v>4883</v>
      </c>
      <c r="F658" s="1049"/>
      <c r="G658" s="1049">
        <v>5535</v>
      </c>
      <c r="H658" s="564"/>
      <c r="I658" s="609"/>
      <c r="J658" s="1155"/>
      <c r="K658" s="609"/>
      <c r="L658" s="609"/>
      <c r="M658" s="609"/>
      <c r="N658" s="599"/>
      <c r="O658" s="552" t="s">
        <v>1584</v>
      </c>
      <c r="P658" s="603"/>
      <c r="Q658" s="869"/>
      <c r="R658" s="869"/>
      <c r="S658" s="869"/>
      <c r="T658" s="869"/>
      <c r="U658" s="869"/>
      <c r="V658" s="869"/>
      <c r="W658" s="869"/>
      <c r="X658" s="869"/>
    </row>
    <row r="659" spans="1:24">
      <c r="A659" s="1045">
        <f t="shared" si="10"/>
        <v>9</v>
      </c>
      <c r="B659" s="134">
        <v>45542</v>
      </c>
      <c r="C659" s="70">
        <v>6003</v>
      </c>
      <c r="D659" s="70" t="s">
        <v>94</v>
      </c>
      <c r="E659" s="280" t="s">
        <v>3285</v>
      </c>
      <c r="F659" s="1049">
        <v>202.32</v>
      </c>
      <c r="G659" s="1049">
        <v>0</v>
      </c>
      <c r="H659" s="564"/>
      <c r="I659" s="609"/>
      <c r="J659" s="1155"/>
      <c r="K659" s="609"/>
      <c r="L659" s="609"/>
      <c r="M659" s="609"/>
      <c r="N659" s="599"/>
      <c r="O659" s="552" t="s">
        <v>1584</v>
      </c>
      <c r="P659" s="603"/>
      <c r="Q659" s="869"/>
      <c r="R659" s="869"/>
      <c r="S659" s="869"/>
      <c r="T659" s="869"/>
      <c r="U659" s="869"/>
      <c r="V659" s="869"/>
      <c r="W659" s="869"/>
      <c r="X659" s="869"/>
    </row>
    <row r="660" spans="1:24">
      <c r="A660" s="1045">
        <f t="shared" si="10"/>
        <v>9</v>
      </c>
      <c r="B660" s="134">
        <v>45542</v>
      </c>
      <c r="C660" s="70">
        <v>2018</v>
      </c>
      <c r="D660" s="70" t="s">
        <v>58</v>
      </c>
      <c r="E660" s="280" t="s">
        <v>3285</v>
      </c>
      <c r="F660" s="1049">
        <v>10.01</v>
      </c>
      <c r="G660" s="1049">
        <v>0</v>
      </c>
      <c r="H660" s="564"/>
      <c r="I660" s="609"/>
      <c r="J660" s="1155"/>
      <c r="K660" s="609"/>
      <c r="L660" s="609"/>
      <c r="M660" s="609"/>
      <c r="N660" s="599"/>
      <c r="O660" s="552" t="s">
        <v>1584</v>
      </c>
      <c r="P660" s="603"/>
      <c r="Q660" s="869"/>
      <c r="R660" s="869"/>
      <c r="S660" s="869"/>
      <c r="T660" s="869"/>
      <c r="U660" s="869"/>
      <c r="V660" s="869"/>
      <c r="W660" s="869"/>
      <c r="X660" s="869"/>
    </row>
    <row r="661" spans="1:24">
      <c r="A661" s="1045">
        <f t="shared" si="10"/>
        <v>9</v>
      </c>
      <c r="B661" s="134">
        <v>45542</v>
      </c>
      <c r="C661" s="70">
        <v>1025</v>
      </c>
      <c r="D661" s="70" t="s">
        <v>5120</v>
      </c>
      <c r="E661" s="280" t="s">
        <v>3285</v>
      </c>
      <c r="F661" s="1049">
        <v>0</v>
      </c>
      <c r="G661" s="1049">
        <v>212.33</v>
      </c>
      <c r="H661" s="564"/>
      <c r="I661" s="609"/>
      <c r="J661" s="1155"/>
      <c r="K661" s="609"/>
      <c r="L661" s="609"/>
      <c r="M661" s="609"/>
      <c r="N661" s="599"/>
      <c r="O661" s="552" t="s">
        <v>1584</v>
      </c>
      <c r="P661" s="603"/>
      <c r="Q661" s="869"/>
      <c r="R661" s="869"/>
      <c r="S661" s="869"/>
      <c r="T661" s="869"/>
      <c r="U661" s="869"/>
      <c r="V661" s="869"/>
      <c r="W661" s="869"/>
      <c r="X661" s="869"/>
    </row>
    <row r="662" spans="1:24">
      <c r="A662" s="1045">
        <f t="shared" si="10"/>
        <v>9</v>
      </c>
      <c r="B662" s="134">
        <v>45542</v>
      </c>
      <c r="C662" s="70">
        <v>1011</v>
      </c>
      <c r="D662" s="70" t="s">
        <v>34</v>
      </c>
      <c r="E662" s="280" t="s">
        <v>3286</v>
      </c>
      <c r="F662" s="1049">
        <v>5000</v>
      </c>
      <c r="G662" s="1049">
        <v>0</v>
      </c>
      <c r="H662" s="564"/>
      <c r="I662" s="609"/>
      <c r="J662" s="1155"/>
      <c r="K662" s="609"/>
      <c r="L662" s="609"/>
      <c r="M662" s="609"/>
      <c r="N662" s="599"/>
      <c r="O662" s="552" t="s">
        <v>1584</v>
      </c>
      <c r="P662" s="603"/>
      <c r="Q662" s="869"/>
      <c r="R662" s="869"/>
      <c r="S662" s="869"/>
      <c r="T662" s="869"/>
      <c r="U662" s="869"/>
      <c r="V662" s="869"/>
      <c r="W662" s="869"/>
      <c r="X662" s="869"/>
    </row>
    <row r="663" spans="1:24">
      <c r="A663" s="1045">
        <f t="shared" si="10"/>
        <v>9</v>
      </c>
      <c r="B663" s="134">
        <v>45542</v>
      </c>
      <c r="C663" s="70">
        <v>1025</v>
      </c>
      <c r="D663" s="70" t="s">
        <v>5120</v>
      </c>
      <c r="E663" s="280" t="s">
        <v>3286</v>
      </c>
      <c r="F663" s="1049">
        <v>0</v>
      </c>
      <c r="G663" s="1049">
        <v>5000</v>
      </c>
      <c r="H663" s="564"/>
      <c r="I663" s="609"/>
      <c r="J663" s="1155"/>
      <c r="K663" s="609"/>
      <c r="L663" s="609"/>
      <c r="M663" s="609"/>
      <c r="N663" s="599"/>
      <c r="O663" s="552" t="s">
        <v>1584</v>
      </c>
      <c r="P663" s="603"/>
      <c r="Q663" s="869"/>
      <c r="R663" s="869"/>
      <c r="S663" s="869"/>
      <c r="T663" s="869"/>
      <c r="U663" s="869"/>
      <c r="V663" s="869"/>
      <c r="W663" s="869"/>
      <c r="X663" s="869"/>
    </row>
    <row r="664" spans="1:24">
      <c r="A664" s="1045">
        <f t="shared" si="10"/>
        <v>9</v>
      </c>
      <c r="B664" s="134">
        <v>45542</v>
      </c>
      <c r="C664" s="70">
        <v>6009</v>
      </c>
      <c r="D664" s="70" t="s">
        <v>100</v>
      </c>
      <c r="E664" s="280" t="s">
        <v>3287</v>
      </c>
      <c r="F664" s="1049">
        <v>425</v>
      </c>
      <c r="G664" s="1049">
        <v>0</v>
      </c>
      <c r="H664" s="564"/>
      <c r="I664" s="609"/>
      <c r="J664" s="1155"/>
      <c r="K664" s="609"/>
      <c r="L664" s="609"/>
      <c r="M664" s="609"/>
      <c r="N664" s="599"/>
      <c r="O664" s="552" t="s">
        <v>1584</v>
      </c>
      <c r="P664" s="603"/>
      <c r="Q664" s="869"/>
      <c r="R664" s="869"/>
      <c r="S664" s="869"/>
      <c r="T664" s="869"/>
      <c r="U664" s="869"/>
      <c r="V664" s="869"/>
      <c r="W664" s="869"/>
      <c r="X664" s="869"/>
    </row>
    <row r="665" spans="1:24">
      <c r="A665" s="1045">
        <f t="shared" si="10"/>
        <v>9</v>
      </c>
      <c r="B665" s="134">
        <v>45542</v>
      </c>
      <c r="C665" s="70">
        <v>2018</v>
      </c>
      <c r="D665" s="70" t="s">
        <v>58</v>
      </c>
      <c r="E665" s="280" t="s">
        <v>3287</v>
      </c>
      <c r="F665" s="1049">
        <v>21.25</v>
      </c>
      <c r="G665" s="1049">
        <v>0</v>
      </c>
      <c r="H665" s="564"/>
      <c r="I665" s="609"/>
      <c r="J665" s="1155"/>
      <c r="K665" s="609"/>
      <c r="L665" s="609"/>
      <c r="M665" s="609"/>
      <c r="N665" s="599"/>
      <c r="O665" s="552" t="s">
        <v>1584</v>
      </c>
      <c r="P665" s="603"/>
      <c r="Q665" s="869"/>
      <c r="R665" s="869"/>
      <c r="S665" s="869"/>
      <c r="T665" s="869"/>
      <c r="U665" s="869"/>
      <c r="V665" s="869"/>
      <c r="W665" s="869"/>
      <c r="X665" s="869"/>
    </row>
    <row r="666" spans="1:24">
      <c r="A666" s="1045">
        <f t="shared" si="10"/>
        <v>9</v>
      </c>
      <c r="B666" s="134">
        <v>45542</v>
      </c>
      <c r="C666" s="70">
        <v>1025</v>
      </c>
      <c r="D666" s="70" t="s">
        <v>5120</v>
      </c>
      <c r="E666" s="280" t="s">
        <v>3287</v>
      </c>
      <c r="F666" s="1049">
        <v>0</v>
      </c>
      <c r="G666" s="1049">
        <v>446.25</v>
      </c>
      <c r="H666" s="564"/>
      <c r="I666" s="609"/>
      <c r="J666" s="1155"/>
      <c r="K666" s="609"/>
      <c r="L666" s="609"/>
      <c r="M666" s="609"/>
      <c r="N666" s="599"/>
      <c r="O666" s="552" t="s">
        <v>1584</v>
      </c>
      <c r="P666" s="603"/>
      <c r="Q666" s="869"/>
      <c r="R666" s="869"/>
      <c r="S666" s="869"/>
      <c r="T666" s="869"/>
      <c r="U666" s="869"/>
      <c r="V666" s="869"/>
      <c r="W666" s="869"/>
      <c r="X666" s="869"/>
    </row>
    <row r="667" spans="1:24">
      <c r="A667" s="1045">
        <f t="shared" si="10"/>
        <v>9</v>
      </c>
      <c r="B667" s="134">
        <v>45542</v>
      </c>
      <c r="C667" s="70">
        <v>1018</v>
      </c>
      <c r="D667" s="70" t="s">
        <v>5113</v>
      </c>
      <c r="E667" s="280" t="s">
        <v>3288</v>
      </c>
      <c r="F667" s="1049">
        <v>1468.5</v>
      </c>
      <c r="G667" s="1049">
        <v>0</v>
      </c>
      <c r="H667" s="564"/>
      <c r="I667" s="609"/>
      <c r="J667" s="1155"/>
      <c r="K667" s="609"/>
      <c r="L667" s="609"/>
      <c r="M667" s="609"/>
      <c r="N667" s="599"/>
      <c r="O667" s="552" t="s">
        <v>1584</v>
      </c>
      <c r="P667" s="603"/>
      <c r="Q667" s="869"/>
      <c r="R667" s="869"/>
      <c r="S667" s="869"/>
      <c r="T667" s="869"/>
      <c r="U667" s="869"/>
      <c r="V667" s="869"/>
      <c r="W667" s="869"/>
      <c r="X667" s="869"/>
    </row>
    <row r="668" spans="1:24">
      <c r="A668" s="1045">
        <f t="shared" si="10"/>
        <v>9</v>
      </c>
      <c r="B668" s="134">
        <v>45542</v>
      </c>
      <c r="C668" s="70">
        <v>6250</v>
      </c>
      <c r="D668" s="70" t="s">
        <v>129</v>
      </c>
      <c r="E668" s="280" t="s">
        <v>3289</v>
      </c>
      <c r="F668" s="1049">
        <v>30</v>
      </c>
      <c r="G668" s="1049">
        <v>0</v>
      </c>
      <c r="H668" s="564"/>
      <c r="I668" s="609"/>
      <c r="J668" s="1155"/>
      <c r="K668" s="609"/>
      <c r="L668" s="609"/>
      <c r="M668" s="609"/>
      <c r="N668" s="599"/>
      <c r="O668" s="552" t="s">
        <v>1584</v>
      </c>
      <c r="P668" s="603"/>
      <c r="Q668" s="869"/>
      <c r="R668" s="869"/>
      <c r="S668" s="869"/>
      <c r="T668" s="869"/>
      <c r="U668" s="869"/>
      <c r="V668" s="869"/>
      <c r="W668" s="869"/>
      <c r="X668" s="869"/>
    </row>
    <row r="669" spans="1:24">
      <c r="A669" s="1045">
        <f t="shared" si="10"/>
        <v>9</v>
      </c>
      <c r="B669" s="134">
        <v>45542</v>
      </c>
      <c r="C669" s="70">
        <v>2018</v>
      </c>
      <c r="D669" s="70" t="s">
        <v>58</v>
      </c>
      <c r="E669" s="280" t="s">
        <v>3290</v>
      </c>
      <c r="F669" s="1049">
        <v>1.5</v>
      </c>
      <c r="G669" s="1049">
        <v>0</v>
      </c>
      <c r="H669" s="564"/>
      <c r="I669" s="609"/>
      <c r="J669" s="1155"/>
      <c r="K669" s="609"/>
      <c r="L669" s="609"/>
      <c r="M669" s="609"/>
      <c r="N669" s="599"/>
      <c r="O669" s="552" t="s">
        <v>1584</v>
      </c>
      <c r="P669" s="603"/>
      <c r="Q669" s="869"/>
      <c r="R669" s="869"/>
      <c r="S669" s="869"/>
      <c r="T669" s="869"/>
      <c r="U669" s="869"/>
      <c r="V669" s="869"/>
      <c r="W669" s="869"/>
      <c r="X669" s="869"/>
    </row>
    <row r="670" spans="1:24">
      <c r="A670" s="1045">
        <f t="shared" si="10"/>
        <v>9</v>
      </c>
      <c r="B670" s="134">
        <v>45542</v>
      </c>
      <c r="C670" s="70">
        <v>1025</v>
      </c>
      <c r="D670" s="70" t="s">
        <v>5120</v>
      </c>
      <c r="E670" s="280" t="s">
        <v>3288</v>
      </c>
      <c r="F670" s="1049">
        <v>0</v>
      </c>
      <c r="G670" s="1049">
        <v>1500</v>
      </c>
      <c r="H670" s="564"/>
      <c r="I670" s="609"/>
      <c r="J670" s="1155"/>
      <c r="K670" s="609"/>
      <c r="L670" s="609"/>
      <c r="M670" s="609"/>
      <c r="N670" s="599"/>
      <c r="O670" s="552" t="s">
        <v>1584</v>
      </c>
      <c r="P670" s="603"/>
      <c r="Q670" s="869"/>
      <c r="R670" s="869"/>
      <c r="S670" s="869"/>
      <c r="T670" s="869"/>
      <c r="U670" s="869"/>
      <c r="V670" s="869"/>
      <c r="W670" s="869"/>
      <c r="X670" s="869"/>
    </row>
    <row r="671" spans="1:24">
      <c r="A671" s="1045">
        <f t="shared" si="10"/>
        <v>9</v>
      </c>
      <c r="B671" s="134">
        <v>45542</v>
      </c>
      <c r="C671" s="70">
        <v>7050</v>
      </c>
      <c r="D671" s="70" t="s">
        <v>137</v>
      </c>
      <c r="E671" s="280" t="s">
        <v>3291</v>
      </c>
      <c r="F671" s="1049">
        <v>69.650000000000006</v>
      </c>
      <c r="G671" s="1049">
        <v>0</v>
      </c>
      <c r="H671" s="564"/>
      <c r="I671" s="609"/>
      <c r="J671" s="1155"/>
      <c r="K671" s="609"/>
      <c r="L671" s="609"/>
      <c r="M671" s="609"/>
      <c r="N671" s="599"/>
      <c r="O671" s="552" t="s">
        <v>1584</v>
      </c>
      <c r="P671" s="603"/>
      <c r="Q671" s="869"/>
      <c r="R671" s="869"/>
      <c r="S671" s="869"/>
      <c r="T671" s="869"/>
      <c r="U671" s="869"/>
      <c r="V671" s="869"/>
      <c r="W671" s="869"/>
      <c r="X671" s="869"/>
    </row>
    <row r="672" spans="1:24">
      <c r="A672" s="1045">
        <f t="shared" si="10"/>
        <v>9</v>
      </c>
      <c r="B672" s="134">
        <v>45542</v>
      </c>
      <c r="C672" s="70">
        <v>2018</v>
      </c>
      <c r="D672" s="70" t="s">
        <v>58</v>
      </c>
      <c r="E672" s="280" t="s">
        <v>3291</v>
      </c>
      <c r="F672" s="1049">
        <v>3.48</v>
      </c>
      <c r="G672" s="1049">
        <v>0</v>
      </c>
      <c r="H672" s="564"/>
      <c r="I672" s="609"/>
      <c r="J672" s="1155"/>
      <c r="K672" s="609"/>
      <c r="L672" s="609"/>
      <c r="M672" s="609"/>
      <c r="N672" s="599"/>
      <c r="O672" s="552" t="s">
        <v>1584</v>
      </c>
      <c r="P672" s="603"/>
      <c r="Q672" s="869"/>
      <c r="R672" s="869"/>
      <c r="S672" s="869"/>
      <c r="T672" s="869"/>
      <c r="U672" s="869"/>
      <c r="V672" s="869"/>
      <c r="W672" s="869"/>
      <c r="X672" s="869"/>
    </row>
    <row r="673" spans="1:24">
      <c r="A673" s="1045">
        <f t="shared" si="10"/>
        <v>9</v>
      </c>
      <c r="B673" s="134">
        <v>45542</v>
      </c>
      <c r="C673" s="70">
        <v>1025</v>
      </c>
      <c r="D673" s="70" t="s">
        <v>5120</v>
      </c>
      <c r="E673" s="280" t="s">
        <v>3291</v>
      </c>
      <c r="F673" s="1049">
        <v>0</v>
      </c>
      <c r="G673" s="1049">
        <v>73.13</v>
      </c>
      <c r="H673" s="564"/>
      <c r="I673" s="609"/>
      <c r="J673" s="1155"/>
      <c r="K673" s="609"/>
      <c r="L673" s="609"/>
      <c r="M673" s="609"/>
      <c r="N673" s="599"/>
      <c r="O673" s="552" t="s">
        <v>1584</v>
      </c>
      <c r="P673" s="603"/>
      <c r="Q673" s="869"/>
      <c r="R673" s="869"/>
      <c r="S673" s="869"/>
      <c r="T673" s="869"/>
      <c r="U673" s="869"/>
      <c r="V673" s="869"/>
      <c r="W673" s="869"/>
      <c r="X673" s="869"/>
    </row>
    <row r="674" spans="1:24">
      <c r="A674" s="1045">
        <f t="shared" si="10"/>
        <v>9</v>
      </c>
      <c r="B674" s="134">
        <v>45542</v>
      </c>
      <c r="C674" s="70">
        <v>6013</v>
      </c>
      <c r="D674" s="70" t="s">
        <v>104</v>
      </c>
      <c r="E674" s="280" t="s">
        <v>3292</v>
      </c>
      <c r="F674" s="1049">
        <v>75.599999999999994</v>
      </c>
      <c r="G674" s="1049">
        <v>0</v>
      </c>
      <c r="H674" s="564"/>
      <c r="I674" s="609"/>
      <c r="J674" s="1155"/>
      <c r="K674" s="609"/>
      <c r="L674" s="609"/>
      <c r="M674" s="609"/>
      <c r="N674" s="599"/>
      <c r="O674" s="552" t="s">
        <v>1584</v>
      </c>
      <c r="P674" s="603"/>
      <c r="Q674" s="869"/>
      <c r="R674" s="869"/>
      <c r="S674" s="869"/>
      <c r="T674" s="869"/>
      <c r="U674" s="869"/>
      <c r="V674" s="869"/>
      <c r="W674" s="869"/>
      <c r="X674" s="869"/>
    </row>
    <row r="675" spans="1:24">
      <c r="A675" s="1045">
        <f t="shared" si="10"/>
        <v>9</v>
      </c>
      <c r="B675" s="134">
        <v>45542</v>
      </c>
      <c r="C675" s="70">
        <v>6250</v>
      </c>
      <c r="D675" s="70" t="s">
        <v>129</v>
      </c>
      <c r="E675" s="280" t="s">
        <v>3293</v>
      </c>
      <c r="F675" s="1049">
        <v>0.54</v>
      </c>
      <c r="G675" s="1049">
        <v>0</v>
      </c>
      <c r="H675" s="564"/>
      <c r="I675" s="609"/>
      <c r="J675" s="1155"/>
      <c r="K675" s="609"/>
      <c r="L675" s="609"/>
      <c r="M675" s="609"/>
      <c r="N675" s="599"/>
      <c r="O675" s="552" t="s">
        <v>1584</v>
      </c>
      <c r="P675" s="603"/>
      <c r="Q675" s="869"/>
      <c r="R675" s="869"/>
      <c r="S675" s="869"/>
      <c r="T675" s="869"/>
      <c r="U675" s="869"/>
      <c r="V675" s="869"/>
      <c r="W675" s="869"/>
      <c r="X675" s="869"/>
    </row>
    <row r="676" spans="1:24">
      <c r="A676" s="1045">
        <f t="shared" si="10"/>
        <v>9</v>
      </c>
      <c r="B676" s="134">
        <v>45542</v>
      </c>
      <c r="C676" s="70">
        <v>1025</v>
      </c>
      <c r="D676" s="70" t="s">
        <v>5120</v>
      </c>
      <c r="E676" s="280" t="s">
        <v>3293</v>
      </c>
      <c r="F676" s="1049">
        <v>0</v>
      </c>
      <c r="G676" s="1049">
        <v>76.14</v>
      </c>
      <c r="H676" s="564"/>
      <c r="I676" s="609"/>
      <c r="J676" s="1155"/>
      <c r="K676" s="609"/>
      <c r="L676" s="609"/>
      <c r="M676" s="609"/>
      <c r="N676" s="599"/>
      <c r="O676" s="552" t="s">
        <v>1584</v>
      </c>
      <c r="P676" s="603"/>
      <c r="Q676" s="869"/>
      <c r="R676" s="869"/>
      <c r="S676" s="869"/>
      <c r="T676" s="869"/>
      <c r="U676" s="869"/>
      <c r="V676" s="869"/>
      <c r="W676" s="869"/>
      <c r="X676" s="869"/>
    </row>
    <row r="677" spans="1:24">
      <c r="A677" s="1045">
        <f t="shared" si="10"/>
        <v>9</v>
      </c>
      <c r="B677" s="134">
        <v>45542</v>
      </c>
      <c r="C677" s="70">
        <v>6013</v>
      </c>
      <c r="D677" s="70" t="s">
        <v>104</v>
      </c>
      <c r="E677" s="280" t="s">
        <v>3294</v>
      </c>
      <c r="F677" s="1049">
        <v>180</v>
      </c>
      <c r="G677" s="1049">
        <v>0</v>
      </c>
      <c r="H677" s="564"/>
      <c r="I677" s="609"/>
      <c r="J677" s="1155"/>
      <c r="K677" s="609"/>
      <c r="L677" s="609"/>
      <c r="M677" s="609"/>
      <c r="N677" s="599"/>
      <c r="O677" s="552" t="s">
        <v>1584</v>
      </c>
      <c r="P677" s="603"/>
      <c r="Q677" s="869"/>
      <c r="R677" s="869"/>
      <c r="S677" s="869"/>
      <c r="T677" s="869"/>
      <c r="U677" s="869"/>
      <c r="V677" s="869"/>
      <c r="W677" s="869"/>
      <c r="X677" s="869"/>
    </row>
    <row r="678" spans="1:24">
      <c r="A678" s="1045">
        <f t="shared" si="10"/>
        <v>9</v>
      </c>
      <c r="B678" s="134">
        <v>45542</v>
      </c>
      <c r="C678" s="70">
        <v>2018</v>
      </c>
      <c r="D678" s="70" t="s">
        <v>58</v>
      </c>
      <c r="E678" s="280" t="s">
        <v>3294</v>
      </c>
      <c r="F678" s="1049">
        <v>9</v>
      </c>
      <c r="G678" s="1049">
        <v>0</v>
      </c>
      <c r="H678" s="564"/>
      <c r="I678" s="609"/>
      <c r="J678" s="1155"/>
      <c r="K678" s="609"/>
      <c r="L678" s="609"/>
      <c r="M678" s="609"/>
      <c r="N678" s="599"/>
      <c r="O678" s="552" t="s">
        <v>1584</v>
      </c>
      <c r="P678" s="603"/>
      <c r="Q678" s="869"/>
      <c r="R678" s="869"/>
      <c r="S678" s="869"/>
      <c r="T678" s="869"/>
      <c r="U678" s="869"/>
      <c r="V678" s="869"/>
      <c r="W678" s="869"/>
      <c r="X678" s="869"/>
    </row>
    <row r="679" spans="1:24">
      <c r="A679" s="1045">
        <f t="shared" si="10"/>
        <v>9</v>
      </c>
      <c r="B679" s="134">
        <v>45542</v>
      </c>
      <c r="C679" s="70">
        <v>1025</v>
      </c>
      <c r="D679" s="70" t="s">
        <v>5120</v>
      </c>
      <c r="E679" s="280" t="s">
        <v>3294</v>
      </c>
      <c r="F679" s="1049">
        <v>0</v>
      </c>
      <c r="G679" s="1049">
        <v>189</v>
      </c>
      <c r="H679" s="564"/>
      <c r="I679" s="609"/>
      <c r="J679" s="1155"/>
      <c r="K679" s="609"/>
      <c r="L679" s="609"/>
      <c r="M679" s="609"/>
      <c r="N679" s="599"/>
      <c r="O679" s="552" t="s">
        <v>1584</v>
      </c>
      <c r="P679" s="603"/>
      <c r="Q679" s="869"/>
      <c r="R679" s="869"/>
      <c r="S679" s="869"/>
      <c r="T679" s="869"/>
      <c r="U679" s="869"/>
      <c r="V679" s="869"/>
      <c r="W679" s="869"/>
      <c r="X679" s="869"/>
    </row>
    <row r="680" spans="1:24">
      <c r="A680" s="1045">
        <f t="shared" si="10"/>
        <v>9</v>
      </c>
      <c r="B680" s="134">
        <v>45542</v>
      </c>
      <c r="C680" s="70">
        <v>6013</v>
      </c>
      <c r="D680" s="70" t="s">
        <v>104</v>
      </c>
      <c r="E680" s="280" t="s">
        <v>3295</v>
      </c>
      <c r="F680" s="1049">
        <v>278.77</v>
      </c>
      <c r="G680" s="1049">
        <v>0</v>
      </c>
      <c r="H680" s="564"/>
      <c r="I680" s="609"/>
      <c r="J680" s="1155"/>
      <c r="K680" s="609"/>
      <c r="L680" s="609"/>
      <c r="M680" s="609"/>
      <c r="N680" s="599"/>
      <c r="O680" s="552" t="s">
        <v>1584</v>
      </c>
      <c r="P680" s="603"/>
      <c r="Q680" s="869"/>
      <c r="R680" s="869"/>
      <c r="S680" s="869"/>
      <c r="T680" s="869"/>
      <c r="U680" s="869"/>
      <c r="V680" s="869"/>
      <c r="W680" s="869"/>
      <c r="X680" s="869"/>
    </row>
    <row r="681" spans="1:24">
      <c r="A681" s="1045">
        <f t="shared" si="10"/>
        <v>9</v>
      </c>
      <c r="B681" s="134">
        <v>45542</v>
      </c>
      <c r="C681" s="70">
        <v>1025</v>
      </c>
      <c r="D681" s="70" t="s">
        <v>5120</v>
      </c>
      <c r="E681" s="280" t="s">
        <v>3295</v>
      </c>
      <c r="F681" s="1049">
        <v>0</v>
      </c>
      <c r="G681" s="1049">
        <v>278.77</v>
      </c>
      <c r="H681" s="564"/>
      <c r="I681" s="609"/>
      <c r="J681" s="1155"/>
      <c r="K681" s="609"/>
      <c r="L681" s="609"/>
      <c r="M681" s="609"/>
      <c r="N681" s="599"/>
      <c r="O681" s="552" t="s">
        <v>1584</v>
      </c>
      <c r="P681" s="603"/>
      <c r="Q681" s="869"/>
      <c r="R681" s="869"/>
      <c r="S681" s="869"/>
      <c r="T681" s="869"/>
      <c r="U681" s="869"/>
      <c r="V681" s="869"/>
      <c r="W681" s="869"/>
      <c r="X681" s="869"/>
    </row>
    <row r="682" spans="1:24">
      <c r="A682" s="1045">
        <f t="shared" si="10"/>
        <v>9</v>
      </c>
      <c r="B682" s="134">
        <v>45542</v>
      </c>
      <c r="C682" s="70">
        <v>6013</v>
      </c>
      <c r="D682" s="70" t="s">
        <v>104</v>
      </c>
      <c r="E682" s="280" t="s">
        <v>3296</v>
      </c>
      <c r="F682" s="1049">
        <v>3550</v>
      </c>
      <c r="G682" s="1049">
        <v>0</v>
      </c>
      <c r="H682" s="564"/>
      <c r="I682" s="609"/>
      <c r="J682" s="1155"/>
      <c r="K682" s="609"/>
      <c r="L682" s="609"/>
      <c r="M682" s="609"/>
      <c r="N682" s="599"/>
      <c r="O682" s="552" t="s">
        <v>1584</v>
      </c>
      <c r="P682" s="603"/>
      <c r="Q682" s="869"/>
      <c r="R682" s="869"/>
      <c r="S682" s="869"/>
      <c r="T682" s="869"/>
      <c r="U682" s="869"/>
      <c r="V682" s="869"/>
      <c r="W682" s="869"/>
      <c r="X682" s="869"/>
    </row>
    <row r="683" spans="1:24">
      <c r="A683" s="1045">
        <f t="shared" si="10"/>
        <v>9</v>
      </c>
      <c r="B683" s="134">
        <v>45542</v>
      </c>
      <c r="C683" s="70">
        <v>1025</v>
      </c>
      <c r="D683" s="70" t="s">
        <v>5120</v>
      </c>
      <c r="E683" s="280" t="s">
        <v>3296</v>
      </c>
      <c r="F683" s="1049">
        <v>0</v>
      </c>
      <c r="G683" s="1049">
        <v>3550</v>
      </c>
      <c r="H683" s="564"/>
      <c r="I683" s="609"/>
      <c r="J683" s="1155"/>
      <c r="K683" s="609"/>
      <c r="L683" s="609"/>
      <c r="M683" s="609"/>
      <c r="N683" s="599"/>
      <c r="O683" s="552" t="s">
        <v>1584</v>
      </c>
      <c r="P683" s="603"/>
      <c r="Q683" s="869"/>
      <c r="R683" s="869"/>
      <c r="S683" s="869"/>
      <c r="T683" s="869"/>
      <c r="U683" s="869"/>
      <c r="V683" s="869"/>
      <c r="W683" s="869"/>
      <c r="X683" s="869"/>
    </row>
    <row r="684" spans="1:24">
      <c r="A684" s="1045">
        <f t="shared" si="10"/>
        <v>9</v>
      </c>
      <c r="B684" s="134">
        <v>45542</v>
      </c>
      <c r="C684" s="70">
        <v>6013</v>
      </c>
      <c r="D684" s="70" t="s">
        <v>104</v>
      </c>
      <c r="E684" s="280" t="s">
        <v>3297</v>
      </c>
      <c r="F684" s="1049">
        <v>152.28</v>
      </c>
      <c r="G684" s="1049">
        <v>0</v>
      </c>
      <c r="H684" s="564"/>
      <c r="I684" s="609"/>
      <c r="J684" s="1155"/>
      <c r="K684" s="609"/>
      <c r="L684" s="609"/>
      <c r="M684" s="609"/>
      <c r="N684" s="599"/>
      <c r="O684" s="552" t="s">
        <v>1584</v>
      </c>
      <c r="P684" s="603" t="s">
        <v>1779</v>
      </c>
      <c r="Q684" s="869"/>
      <c r="R684" s="869"/>
      <c r="S684" s="869"/>
      <c r="T684" s="869"/>
      <c r="U684" s="869"/>
      <c r="V684" s="869"/>
      <c r="W684" s="869"/>
      <c r="X684" s="869"/>
    </row>
    <row r="685" spans="1:24">
      <c r="A685" s="1045">
        <f t="shared" si="10"/>
        <v>9</v>
      </c>
      <c r="B685" s="134">
        <v>45542</v>
      </c>
      <c r="C685" s="70">
        <v>1025</v>
      </c>
      <c r="D685" s="70" t="s">
        <v>5120</v>
      </c>
      <c r="E685" s="280" t="s">
        <v>3297</v>
      </c>
      <c r="F685" s="1049">
        <v>0</v>
      </c>
      <c r="G685" s="1049">
        <v>152.28</v>
      </c>
      <c r="H685" s="564"/>
      <c r="I685" s="609"/>
      <c r="J685" s="1155"/>
      <c r="K685" s="609"/>
      <c r="L685" s="609"/>
      <c r="M685" s="609"/>
      <c r="N685" s="599"/>
      <c r="O685" s="552" t="s">
        <v>1584</v>
      </c>
      <c r="P685" s="603"/>
      <c r="Q685" s="869"/>
      <c r="R685" s="869"/>
      <c r="S685" s="869"/>
      <c r="T685" s="869"/>
      <c r="U685" s="869"/>
      <c r="V685" s="869"/>
      <c r="W685" s="869"/>
      <c r="X685" s="869"/>
    </row>
    <row r="686" spans="1:24">
      <c r="A686" s="1045">
        <f t="shared" si="10"/>
        <v>9</v>
      </c>
      <c r="B686" s="134">
        <v>45544</v>
      </c>
      <c r="C686" s="70">
        <v>1017</v>
      </c>
      <c r="D686" s="70" t="s">
        <v>5118</v>
      </c>
      <c r="E686" s="1141" t="s">
        <v>3298</v>
      </c>
      <c r="F686" s="1049">
        <v>15000</v>
      </c>
      <c r="G686" s="1049">
        <v>0</v>
      </c>
      <c r="H686" s="564"/>
      <c r="I686" s="609"/>
      <c r="J686" s="1155"/>
      <c r="K686" s="609"/>
      <c r="L686" s="609"/>
      <c r="M686" s="609"/>
      <c r="N686" s="599"/>
      <c r="O686" s="552" t="s">
        <v>1584</v>
      </c>
      <c r="P686" s="603" t="s">
        <v>1779</v>
      </c>
      <c r="Q686" s="869"/>
      <c r="R686" s="869"/>
      <c r="S686" s="869"/>
      <c r="T686" s="869"/>
      <c r="U686" s="869"/>
      <c r="V686" s="869"/>
      <c r="W686" s="869"/>
      <c r="X686" s="869"/>
    </row>
    <row r="687" spans="1:24">
      <c r="A687" s="1045">
        <f t="shared" si="10"/>
        <v>9</v>
      </c>
      <c r="B687" s="134">
        <v>45544</v>
      </c>
      <c r="C687" s="70">
        <v>1022</v>
      </c>
      <c r="D687" s="70" t="s">
        <v>5119</v>
      </c>
      <c r="E687" s="280" t="s">
        <v>3298</v>
      </c>
      <c r="F687" s="1049">
        <v>0</v>
      </c>
      <c r="G687" s="1049">
        <v>15000</v>
      </c>
      <c r="H687" s="564"/>
      <c r="I687" s="609"/>
      <c r="J687" s="1155"/>
      <c r="K687" s="609"/>
      <c r="L687" s="609"/>
      <c r="M687" s="609"/>
      <c r="N687" s="599"/>
      <c r="O687" s="552" t="s">
        <v>1584</v>
      </c>
      <c r="P687" s="603"/>
      <c r="Q687" s="869"/>
      <c r="R687" s="869"/>
      <c r="S687" s="869"/>
      <c r="T687" s="869"/>
      <c r="U687" s="869"/>
      <c r="V687" s="869"/>
      <c r="W687" s="869"/>
      <c r="X687" s="869"/>
    </row>
    <row r="688" spans="1:24">
      <c r="A688" s="1045">
        <f t="shared" si="10"/>
        <v>9</v>
      </c>
      <c r="B688" s="134">
        <v>45555</v>
      </c>
      <c r="C688" s="70">
        <v>6007</v>
      </c>
      <c r="D688" s="70" t="s">
        <v>98</v>
      </c>
      <c r="E688" s="280" t="s">
        <v>3299</v>
      </c>
      <c r="F688" s="1049">
        <v>819.87</v>
      </c>
      <c r="G688" s="1049">
        <v>0</v>
      </c>
      <c r="H688" s="564"/>
      <c r="I688" s="609"/>
      <c r="J688" s="1155"/>
      <c r="K688" s="609"/>
      <c r="L688" s="609"/>
      <c r="M688" s="609"/>
      <c r="N688" s="599"/>
      <c r="O688" s="552" t="s">
        <v>1584</v>
      </c>
      <c r="P688" s="603"/>
      <c r="Q688" s="869"/>
      <c r="R688" s="869"/>
      <c r="S688" s="869"/>
      <c r="T688" s="869"/>
      <c r="U688" s="869"/>
      <c r="V688" s="869"/>
      <c r="W688" s="869"/>
      <c r="X688" s="869"/>
    </row>
    <row r="689" spans="1:24">
      <c r="A689" s="1045">
        <f t="shared" si="10"/>
        <v>9</v>
      </c>
      <c r="B689" s="134">
        <v>45555</v>
      </c>
      <c r="C689" s="70">
        <v>2018</v>
      </c>
      <c r="D689" s="70" t="s">
        <v>58</v>
      </c>
      <c r="E689" s="280" t="s">
        <v>3299</v>
      </c>
      <c r="F689" s="1049">
        <v>30.13</v>
      </c>
      <c r="G689" s="1049">
        <v>0</v>
      </c>
      <c r="H689" s="564"/>
      <c r="I689" s="609"/>
      <c r="J689" s="1155"/>
      <c r="K689" s="609"/>
      <c r="L689" s="609"/>
      <c r="M689" s="609"/>
      <c r="N689" s="599"/>
      <c r="O689" s="552" t="s">
        <v>1584</v>
      </c>
      <c r="P689" s="603"/>
      <c r="Q689" s="869"/>
      <c r="R689" s="869"/>
      <c r="S689" s="869"/>
      <c r="T689" s="869"/>
      <c r="U689" s="869"/>
      <c r="V689" s="869"/>
      <c r="W689" s="869"/>
      <c r="X689" s="869"/>
    </row>
    <row r="690" spans="1:24">
      <c r="A690" s="1045">
        <f t="shared" si="10"/>
        <v>9</v>
      </c>
      <c r="B690" s="134">
        <v>45555</v>
      </c>
      <c r="C690" s="70">
        <v>1025</v>
      </c>
      <c r="D690" s="70" t="s">
        <v>5120</v>
      </c>
      <c r="E690" s="280" t="s">
        <v>3299</v>
      </c>
      <c r="F690" s="1049">
        <v>0</v>
      </c>
      <c r="G690" s="1049">
        <v>850</v>
      </c>
      <c r="H690" s="564"/>
      <c r="I690" s="609"/>
      <c r="J690" s="1155"/>
      <c r="K690" s="609"/>
      <c r="L690" s="609"/>
      <c r="M690" s="609"/>
      <c r="N690" s="599"/>
      <c r="O690" s="552" t="s">
        <v>1584</v>
      </c>
      <c r="P690" s="603"/>
      <c r="Q690" s="869"/>
      <c r="R690" s="869"/>
      <c r="S690" s="869"/>
      <c r="T690" s="869"/>
      <c r="U690" s="869"/>
      <c r="V690" s="869"/>
      <c r="W690" s="869"/>
      <c r="X690" s="869"/>
    </row>
    <row r="691" spans="1:24">
      <c r="A691" s="1045">
        <f t="shared" si="10"/>
        <v>9</v>
      </c>
      <c r="B691" s="134">
        <v>45555</v>
      </c>
      <c r="C691" s="70">
        <v>6007</v>
      </c>
      <c r="D691" s="70" t="s">
        <v>98</v>
      </c>
      <c r="E691" s="280" t="s">
        <v>3300</v>
      </c>
      <c r="F691" s="1049">
        <v>570</v>
      </c>
      <c r="G691" s="1049">
        <v>0</v>
      </c>
      <c r="H691" s="564"/>
      <c r="I691" s="609"/>
      <c r="J691" s="1155"/>
      <c r="K691" s="609"/>
      <c r="L691" s="609"/>
      <c r="M691" s="609"/>
      <c r="N691" s="599"/>
      <c r="O691" s="552" t="s">
        <v>1584</v>
      </c>
      <c r="P691" s="603"/>
      <c r="Q691" s="869"/>
      <c r="R691" s="869"/>
      <c r="S691" s="869"/>
      <c r="T691" s="869"/>
      <c r="U691" s="869"/>
      <c r="V691" s="869"/>
      <c r="W691" s="869"/>
      <c r="X691" s="869"/>
    </row>
    <row r="692" spans="1:24">
      <c r="A692" s="1045">
        <f t="shared" si="10"/>
        <v>9</v>
      </c>
      <c r="B692" s="134">
        <v>45555</v>
      </c>
      <c r="C692" s="70">
        <v>2018</v>
      </c>
      <c r="D692" s="70" t="s">
        <v>58</v>
      </c>
      <c r="E692" s="280" t="s">
        <v>3300</v>
      </c>
      <c r="F692" s="1049">
        <v>30</v>
      </c>
      <c r="G692" s="1049">
        <v>0</v>
      </c>
      <c r="H692" s="564"/>
      <c r="I692" s="609"/>
      <c r="J692" s="1155"/>
      <c r="K692" s="609"/>
      <c r="L692" s="609"/>
      <c r="M692" s="609"/>
      <c r="N692" s="599"/>
      <c r="O692" s="552" t="s">
        <v>1584</v>
      </c>
      <c r="P692" s="603"/>
      <c r="Q692" s="869"/>
      <c r="R692" s="869"/>
      <c r="S692" s="869"/>
      <c r="T692" s="869"/>
      <c r="U692" s="869"/>
      <c r="V692" s="869"/>
      <c r="W692" s="869"/>
      <c r="X692" s="869"/>
    </row>
    <row r="693" spans="1:24">
      <c r="A693" s="1045">
        <f t="shared" si="10"/>
        <v>9</v>
      </c>
      <c r="B693" s="134">
        <v>45555</v>
      </c>
      <c r="C693" s="70">
        <v>1025</v>
      </c>
      <c r="D693" s="70" t="s">
        <v>5120</v>
      </c>
      <c r="E693" s="280" t="s">
        <v>3300</v>
      </c>
      <c r="F693" s="1049">
        <v>0</v>
      </c>
      <c r="G693" s="1049">
        <v>600</v>
      </c>
      <c r="H693" s="564"/>
      <c r="I693" s="609"/>
      <c r="J693" s="1155"/>
      <c r="K693" s="609"/>
      <c r="L693" s="609"/>
      <c r="M693" s="609"/>
      <c r="N693" s="599"/>
      <c r="O693" s="552" t="s">
        <v>1584</v>
      </c>
      <c r="P693" s="603"/>
      <c r="Q693" s="869"/>
      <c r="R693" s="869"/>
      <c r="S693" s="869"/>
      <c r="T693" s="869"/>
      <c r="U693" s="869"/>
      <c r="V693" s="869"/>
      <c r="W693" s="869"/>
      <c r="X693" s="869"/>
    </row>
    <row r="694" spans="1:24">
      <c r="A694" s="1045">
        <f t="shared" si="10"/>
        <v>9</v>
      </c>
      <c r="B694" s="134">
        <v>45555</v>
      </c>
      <c r="C694" s="70">
        <v>6007</v>
      </c>
      <c r="D694" s="70" t="s">
        <v>98</v>
      </c>
      <c r="E694" s="280" t="s">
        <v>3301</v>
      </c>
      <c r="F694" s="1049">
        <v>570</v>
      </c>
      <c r="G694" s="1049">
        <v>0</v>
      </c>
      <c r="H694" s="564"/>
      <c r="I694" s="609"/>
      <c r="J694" s="1155"/>
      <c r="K694" s="609"/>
      <c r="L694" s="609"/>
      <c r="M694" s="609"/>
      <c r="N694" s="599"/>
      <c r="O694" s="552" t="s">
        <v>1584</v>
      </c>
      <c r="P694" s="603"/>
      <c r="Q694" s="869"/>
      <c r="R694" s="869"/>
      <c r="S694" s="869"/>
      <c r="T694" s="869"/>
      <c r="U694" s="869"/>
      <c r="V694" s="869"/>
      <c r="W694" s="869"/>
      <c r="X694" s="869"/>
    </row>
    <row r="695" spans="1:24">
      <c r="A695" s="1045">
        <f t="shared" si="10"/>
        <v>9</v>
      </c>
      <c r="B695" s="134">
        <v>45555</v>
      </c>
      <c r="C695" s="70">
        <v>2018</v>
      </c>
      <c r="D695" s="70" t="s">
        <v>58</v>
      </c>
      <c r="E695" s="280" t="s">
        <v>3301</v>
      </c>
      <c r="F695" s="1049">
        <v>30</v>
      </c>
      <c r="G695" s="1049">
        <v>0</v>
      </c>
      <c r="H695" s="564"/>
      <c r="I695" s="609"/>
      <c r="J695" s="1155"/>
      <c r="K695" s="609"/>
      <c r="L695" s="609"/>
      <c r="M695" s="609"/>
      <c r="N695" s="599"/>
      <c r="O695" s="552" t="s">
        <v>1584</v>
      </c>
      <c r="P695" s="603" t="s">
        <v>1779</v>
      </c>
      <c r="Q695" s="869"/>
      <c r="R695" s="869"/>
      <c r="S695" s="869"/>
      <c r="T695" s="869"/>
      <c r="U695" s="869"/>
      <c r="V695" s="869"/>
      <c r="W695" s="869"/>
      <c r="X695" s="869"/>
    </row>
    <row r="696" spans="1:24">
      <c r="A696" s="1045">
        <f t="shared" si="10"/>
        <v>9</v>
      </c>
      <c r="B696" s="134">
        <v>45555</v>
      </c>
      <c r="C696" s="70">
        <v>1025</v>
      </c>
      <c r="D696" s="70" t="s">
        <v>5120</v>
      </c>
      <c r="E696" s="280" t="s">
        <v>3301</v>
      </c>
      <c r="F696" s="1049">
        <v>0</v>
      </c>
      <c r="G696" s="1049">
        <v>600</v>
      </c>
      <c r="H696" s="564"/>
      <c r="I696" s="609"/>
      <c r="J696" s="1155"/>
      <c r="K696" s="609"/>
      <c r="L696" s="609"/>
      <c r="M696" s="609"/>
      <c r="N696" s="599"/>
      <c r="O696" s="552" t="s">
        <v>1584</v>
      </c>
      <c r="P696" s="603"/>
      <c r="Q696" s="869"/>
      <c r="R696" s="869"/>
      <c r="S696" s="869"/>
      <c r="T696" s="869"/>
      <c r="U696" s="869"/>
      <c r="V696" s="869"/>
      <c r="W696" s="869"/>
      <c r="X696" s="869"/>
    </row>
    <row r="697" spans="1:24">
      <c r="A697" s="1045">
        <f t="shared" si="10"/>
        <v>9</v>
      </c>
      <c r="B697" s="134">
        <v>45555</v>
      </c>
      <c r="C697" s="70">
        <v>1011</v>
      </c>
      <c r="D697" s="70" t="s">
        <v>34</v>
      </c>
      <c r="E697" s="280" t="s">
        <v>3302</v>
      </c>
      <c r="F697" s="1049">
        <v>5000</v>
      </c>
      <c r="G697" s="1049">
        <v>0</v>
      </c>
      <c r="H697" s="564"/>
      <c r="I697" s="609"/>
      <c r="J697" s="1155"/>
      <c r="K697" s="609"/>
      <c r="L697" s="609"/>
      <c r="M697" s="609"/>
      <c r="N697" s="599"/>
      <c r="O697" s="552" t="s">
        <v>1584</v>
      </c>
      <c r="P697" s="603"/>
      <c r="Q697" s="869"/>
      <c r="R697" s="869"/>
      <c r="S697" s="869"/>
      <c r="T697" s="869"/>
      <c r="U697" s="869"/>
      <c r="V697" s="869"/>
      <c r="W697" s="869"/>
      <c r="X697" s="869"/>
    </row>
    <row r="698" spans="1:24">
      <c r="A698" s="1045">
        <f t="shared" si="10"/>
        <v>9</v>
      </c>
      <c r="B698" s="134">
        <v>45555</v>
      </c>
      <c r="C698" s="70">
        <v>1025</v>
      </c>
      <c r="D698" s="70" t="s">
        <v>5120</v>
      </c>
      <c r="E698" s="280" t="s">
        <v>3302</v>
      </c>
      <c r="F698" s="1049">
        <v>0</v>
      </c>
      <c r="G698" s="1049">
        <v>5000</v>
      </c>
      <c r="H698" s="564"/>
      <c r="I698" s="609"/>
      <c r="J698" s="1155"/>
      <c r="K698" s="609"/>
      <c r="L698" s="609"/>
      <c r="M698" s="609"/>
      <c r="N698" s="599"/>
      <c r="O698" s="552" t="s">
        <v>1584</v>
      </c>
      <c r="P698" s="603" t="s">
        <v>1779</v>
      </c>
      <c r="Q698" s="869"/>
      <c r="R698" s="869"/>
      <c r="S698" s="869"/>
      <c r="T698" s="869"/>
      <c r="U698" s="869"/>
      <c r="V698" s="869"/>
      <c r="W698" s="869"/>
      <c r="X698" s="869"/>
    </row>
    <row r="699" spans="1:24">
      <c r="A699" s="1045">
        <f t="shared" si="10"/>
        <v>9</v>
      </c>
      <c r="B699" s="134">
        <v>45555</v>
      </c>
      <c r="C699" s="70">
        <v>6010</v>
      </c>
      <c r="D699" s="70" t="s">
        <v>101</v>
      </c>
      <c r="E699" s="280" t="s">
        <v>3303</v>
      </c>
      <c r="F699" s="1049">
        <v>1200</v>
      </c>
      <c r="G699" s="1049">
        <v>0</v>
      </c>
      <c r="H699" s="564"/>
      <c r="I699" s="609"/>
      <c r="J699" s="1155"/>
      <c r="K699" s="609"/>
      <c r="L699" s="609"/>
      <c r="M699" s="609"/>
      <c r="N699" s="599"/>
      <c r="O699" s="552" t="s">
        <v>1584</v>
      </c>
      <c r="P699" s="603"/>
      <c r="Q699" s="869"/>
      <c r="R699" s="869"/>
      <c r="S699" s="869"/>
      <c r="T699" s="869"/>
      <c r="U699" s="869"/>
      <c r="V699" s="869"/>
      <c r="W699" s="869"/>
      <c r="X699" s="869"/>
    </row>
    <row r="700" spans="1:24">
      <c r="A700" s="1045">
        <f t="shared" si="10"/>
        <v>9</v>
      </c>
      <c r="B700" s="134">
        <v>45555</v>
      </c>
      <c r="C700" s="70">
        <v>1025</v>
      </c>
      <c r="D700" s="70" t="s">
        <v>5120</v>
      </c>
      <c r="E700" s="280" t="s">
        <v>3303</v>
      </c>
      <c r="F700" s="1049">
        <v>0</v>
      </c>
      <c r="G700" s="1049">
        <v>1200</v>
      </c>
      <c r="H700" s="564"/>
      <c r="I700" s="609"/>
      <c r="J700" s="1155"/>
      <c r="K700" s="609"/>
      <c r="L700" s="609"/>
      <c r="M700" s="609"/>
      <c r="N700" s="599"/>
      <c r="O700" s="552" t="s">
        <v>1584</v>
      </c>
      <c r="P700" s="603"/>
      <c r="Q700" s="869"/>
      <c r="R700" s="869"/>
      <c r="S700" s="869"/>
      <c r="T700" s="869"/>
      <c r="U700" s="869"/>
      <c r="V700" s="869"/>
      <c r="W700" s="869"/>
      <c r="X700" s="869"/>
    </row>
    <row r="701" spans="1:24">
      <c r="A701" s="1045">
        <f t="shared" si="10"/>
        <v>9</v>
      </c>
      <c r="B701" s="134">
        <v>45556</v>
      </c>
      <c r="C701" s="70">
        <v>1017</v>
      </c>
      <c r="D701" s="70" t="s">
        <v>5118</v>
      </c>
      <c r="E701" s="1141" t="s">
        <v>3304</v>
      </c>
      <c r="F701" s="1049">
        <v>15000</v>
      </c>
      <c r="G701" s="1049">
        <v>0</v>
      </c>
      <c r="H701" s="564"/>
      <c r="I701" s="609"/>
      <c r="J701" s="1155"/>
      <c r="K701" s="609"/>
      <c r="L701" s="609"/>
      <c r="M701" s="609"/>
      <c r="N701" s="599"/>
      <c r="O701" s="552" t="s">
        <v>1584</v>
      </c>
      <c r="P701" s="603"/>
      <c r="Q701" s="869"/>
      <c r="R701" s="869"/>
      <c r="S701" s="869"/>
      <c r="T701" s="869"/>
      <c r="U701" s="869"/>
      <c r="V701" s="869"/>
      <c r="W701" s="869"/>
      <c r="X701" s="869"/>
    </row>
    <row r="702" spans="1:24">
      <c r="A702" s="1045">
        <f t="shared" si="10"/>
        <v>9</v>
      </c>
      <c r="B702" s="134">
        <v>45556</v>
      </c>
      <c r="C702" s="70">
        <v>1022</v>
      </c>
      <c r="D702" s="70" t="s">
        <v>5119</v>
      </c>
      <c r="E702" s="280" t="s">
        <v>3304</v>
      </c>
      <c r="F702" s="1049">
        <v>0</v>
      </c>
      <c r="G702" s="1049">
        <v>15000</v>
      </c>
      <c r="H702" s="564"/>
      <c r="I702" s="609"/>
      <c r="J702" s="1155"/>
      <c r="K702" s="609"/>
      <c r="L702" s="609"/>
      <c r="M702" s="609"/>
      <c r="N702" s="599"/>
      <c r="O702" s="552" t="s">
        <v>1584</v>
      </c>
      <c r="P702" s="603"/>
      <c r="Q702" s="869"/>
      <c r="R702" s="869"/>
      <c r="S702" s="869"/>
      <c r="T702" s="869"/>
      <c r="U702" s="869"/>
      <c r="V702" s="869"/>
      <c r="W702" s="869"/>
      <c r="X702" s="869"/>
    </row>
    <row r="703" spans="1:24">
      <c r="A703" s="1045">
        <f t="shared" si="10"/>
        <v>9</v>
      </c>
      <c r="B703" s="134">
        <v>45559</v>
      </c>
      <c r="C703" s="70">
        <v>1017</v>
      </c>
      <c r="D703" s="70" t="s">
        <v>5118</v>
      </c>
      <c r="E703" s="280" t="s">
        <v>3305</v>
      </c>
      <c r="F703" s="1049">
        <v>15000</v>
      </c>
      <c r="G703" s="1049">
        <v>0</v>
      </c>
      <c r="H703" s="564"/>
      <c r="I703" s="609"/>
      <c r="J703" s="1155"/>
      <c r="K703" s="609"/>
      <c r="L703" s="609"/>
      <c r="M703" s="609"/>
      <c r="N703" s="599"/>
      <c r="O703" s="552" t="s">
        <v>1584</v>
      </c>
      <c r="P703" s="603"/>
      <c r="Q703" s="869"/>
      <c r="R703" s="869"/>
      <c r="S703" s="869"/>
      <c r="T703" s="869"/>
      <c r="U703" s="869"/>
      <c r="V703" s="869"/>
      <c r="W703" s="869"/>
      <c r="X703" s="869"/>
    </row>
    <row r="704" spans="1:24">
      <c r="A704" s="1045">
        <f t="shared" si="10"/>
        <v>9</v>
      </c>
      <c r="B704" s="134">
        <v>45559</v>
      </c>
      <c r="C704" s="70">
        <v>1022</v>
      </c>
      <c r="D704" s="70" t="s">
        <v>5119</v>
      </c>
      <c r="E704" s="280" t="s">
        <v>3305</v>
      </c>
      <c r="F704" s="1049">
        <v>0</v>
      </c>
      <c r="G704" s="1049">
        <v>15000</v>
      </c>
      <c r="H704" s="564"/>
      <c r="I704" s="609"/>
      <c r="J704" s="1155"/>
      <c r="K704" s="609"/>
      <c r="L704" s="609"/>
      <c r="M704" s="609"/>
      <c r="N704" s="599"/>
      <c r="O704" s="552" t="s">
        <v>1584</v>
      </c>
      <c r="P704" s="603"/>
      <c r="Q704" s="869"/>
      <c r="R704" s="869"/>
      <c r="S704" s="869"/>
      <c r="T704" s="869"/>
      <c r="U704" s="869"/>
      <c r="V704" s="869"/>
      <c r="W704" s="869"/>
      <c r="X704" s="869"/>
    </row>
    <row r="705" spans="1:24">
      <c r="A705" s="1045">
        <f t="shared" si="10"/>
        <v>9</v>
      </c>
      <c r="B705" s="134">
        <v>45560</v>
      </c>
      <c r="C705" s="70">
        <v>6007</v>
      </c>
      <c r="D705" s="70" t="s">
        <v>98</v>
      </c>
      <c r="E705" s="280" t="s">
        <v>3306</v>
      </c>
      <c r="F705" s="1049">
        <v>554.41</v>
      </c>
      <c r="G705" s="1049">
        <v>0</v>
      </c>
      <c r="H705" s="564"/>
      <c r="I705" s="609"/>
      <c r="J705" s="1155"/>
      <c r="K705" s="609"/>
      <c r="L705" s="609"/>
      <c r="M705" s="609"/>
      <c r="N705" s="599"/>
      <c r="O705" s="552" t="s">
        <v>1584</v>
      </c>
      <c r="P705" s="603"/>
      <c r="Q705" s="869"/>
      <c r="R705" s="869"/>
      <c r="S705" s="869"/>
      <c r="T705" s="869"/>
      <c r="U705" s="869"/>
      <c r="V705" s="869"/>
      <c r="W705" s="869"/>
      <c r="X705" s="869"/>
    </row>
    <row r="706" spans="1:24">
      <c r="A706" s="1045">
        <f t="shared" si="10"/>
        <v>9</v>
      </c>
      <c r="B706" s="134">
        <v>45560</v>
      </c>
      <c r="C706" s="70">
        <v>2018</v>
      </c>
      <c r="D706" s="70" t="s">
        <v>58</v>
      </c>
      <c r="E706" s="280" t="s">
        <v>3307</v>
      </c>
      <c r="F706" s="1049">
        <v>16.43</v>
      </c>
      <c r="G706" s="1049">
        <v>0</v>
      </c>
      <c r="H706" s="564"/>
      <c r="I706" s="609"/>
      <c r="J706" s="1155"/>
      <c r="K706" s="609"/>
      <c r="L706" s="609"/>
      <c r="M706" s="609"/>
      <c r="N706" s="599"/>
      <c r="O706" s="552" t="s">
        <v>1584</v>
      </c>
      <c r="P706" s="603"/>
      <c r="Q706" s="869"/>
      <c r="R706" s="869"/>
      <c r="S706" s="869"/>
      <c r="T706" s="869"/>
      <c r="U706" s="869"/>
      <c r="V706" s="869"/>
      <c r="W706" s="869"/>
      <c r="X706" s="869"/>
    </row>
    <row r="707" spans="1:24">
      <c r="A707" s="1045">
        <f t="shared" si="10"/>
        <v>9</v>
      </c>
      <c r="B707" s="134">
        <v>45560</v>
      </c>
      <c r="C707" s="70">
        <v>1025</v>
      </c>
      <c r="D707" s="70" t="s">
        <v>5120</v>
      </c>
      <c r="E707" s="280" t="s">
        <v>3307</v>
      </c>
      <c r="F707" s="1049">
        <v>0</v>
      </c>
      <c r="G707" s="1049">
        <v>570.84</v>
      </c>
      <c r="H707" s="564"/>
      <c r="I707" s="609"/>
      <c r="J707" s="1155"/>
      <c r="K707" s="609"/>
      <c r="L707" s="609"/>
      <c r="M707" s="609"/>
      <c r="N707" s="599"/>
      <c r="O707" s="552" t="s">
        <v>1584</v>
      </c>
      <c r="P707" s="603"/>
      <c r="Q707" s="869"/>
      <c r="R707" s="869"/>
      <c r="S707" s="869"/>
      <c r="T707" s="869"/>
      <c r="U707" s="869"/>
      <c r="V707" s="869"/>
      <c r="W707" s="869"/>
      <c r="X707" s="869"/>
    </row>
    <row r="708" spans="1:24">
      <c r="A708" s="1045">
        <f t="shared" si="10"/>
        <v>9</v>
      </c>
      <c r="B708" s="134">
        <v>45560</v>
      </c>
      <c r="C708" s="70">
        <v>6007</v>
      </c>
      <c r="D708" s="70" t="s">
        <v>98</v>
      </c>
      <c r="E708" s="280" t="s">
        <v>3308</v>
      </c>
      <c r="F708" s="1049">
        <v>745.22</v>
      </c>
      <c r="G708" s="1049">
        <v>0</v>
      </c>
      <c r="H708" s="564"/>
      <c r="I708" s="609"/>
      <c r="J708" s="1155"/>
      <c r="K708" s="609"/>
      <c r="L708" s="609"/>
      <c r="M708" s="609"/>
      <c r="N708" s="599"/>
      <c r="O708" s="552" t="s">
        <v>1584</v>
      </c>
      <c r="P708" s="603"/>
      <c r="Q708" s="869"/>
      <c r="R708" s="869"/>
      <c r="S708" s="869"/>
      <c r="T708" s="869"/>
      <c r="U708" s="869"/>
      <c r="V708" s="869"/>
      <c r="W708" s="869"/>
      <c r="X708" s="869"/>
    </row>
    <row r="709" spans="1:24">
      <c r="A709" s="1045">
        <f t="shared" si="10"/>
        <v>9</v>
      </c>
      <c r="B709" s="134">
        <v>45560</v>
      </c>
      <c r="C709" s="70">
        <v>2018</v>
      </c>
      <c r="D709" s="70" t="s">
        <v>58</v>
      </c>
      <c r="E709" s="280" t="s">
        <v>3308</v>
      </c>
      <c r="F709" s="1049">
        <v>16.37</v>
      </c>
      <c r="G709" s="1049">
        <v>0</v>
      </c>
      <c r="H709" s="564"/>
      <c r="I709" s="609"/>
      <c r="J709" s="1155"/>
      <c r="K709" s="609"/>
      <c r="L709" s="609"/>
      <c r="M709" s="609"/>
      <c r="N709" s="599"/>
      <c r="O709" s="552" t="s">
        <v>1584</v>
      </c>
      <c r="P709" s="603"/>
      <c r="Q709" s="869"/>
      <c r="R709" s="869"/>
      <c r="S709" s="869"/>
      <c r="T709" s="869"/>
      <c r="U709" s="869"/>
      <c r="V709" s="869"/>
      <c r="W709" s="869"/>
      <c r="X709" s="869"/>
    </row>
    <row r="710" spans="1:24">
      <c r="A710" s="1045">
        <f t="shared" si="10"/>
        <v>9</v>
      </c>
      <c r="B710" s="134">
        <v>45560</v>
      </c>
      <c r="C710" s="70">
        <v>1025</v>
      </c>
      <c r="D710" s="70" t="s">
        <v>5120</v>
      </c>
      <c r="E710" s="280" t="s">
        <v>3308</v>
      </c>
      <c r="F710" s="1049">
        <v>0</v>
      </c>
      <c r="G710" s="1049">
        <v>761.59</v>
      </c>
      <c r="H710" s="564"/>
      <c r="I710" s="609"/>
      <c r="J710" s="1155"/>
      <c r="K710" s="609"/>
      <c r="L710" s="609"/>
      <c r="M710" s="609"/>
      <c r="N710" s="599"/>
      <c r="O710" s="552" t="s">
        <v>1584</v>
      </c>
      <c r="P710" s="603"/>
      <c r="Q710" s="869"/>
      <c r="R710" s="869"/>
      <c r="S710" s="869"/>
      <c r="T710" s="869"/>
      <c r="U710" s="869"/>
      <c r="V710" s="869"/>
      <c r="W710" s="869"/>
      <c r="X710" s="869"/>
    </row>
    <row r="711" spans="1:24">
      <c r="A711" s="1045">
        <f t="shared" si="10"/>
        <v>9</v>
      </c>
      <c r="B711" s="134">
        <v>45560</v>
      </c>
      <c r="C711" s="70">
        <v>6009</v>
      </c>
      <c r="D711" s="70" t="s">
        <v>100</v>
      </c>
      <c r="E711" s="280" t="s">
        <v>3309</v>
      </c>
      <c r="F711" s="1049">
        <v>249</v>
      </c>
      <c r="G711" s="1049">
        <v>0</v>
      </c>
      <c r="H711" s="564"/>
      <c r="I711" s="609"/>
      <c r="J711" s="1155"/>
      <c r="K711" s="609"/>
      <c r="L711" s="609"/>
      <c r="M711" s="609"/>
      <c r="N711" s="599"/>
      <c r="O711" s="552" t="s">
        <v>1584</v>
      </c>
      <c r="P711" s="603"/>
      <c r="Q711" s="869"/>
      <c r="R711" s="869"/>
      <c r="S711" s="869"/>
      <c r="T711" s="869"/>
      <c r="U711" s="869"/>
      <c r="V711" s="869"/>
      <c r="W711" s="869"/>
      <c r="X711" s="869"/>
    </row>
    <row r="712" spans="1:24">
      <c r="A712" s="1045">
        <f t="shared" si="10"/>
        <v>9</v>
      </c>
      <c r="B712" s="134">
        <v>45560</v>
      </c>
      <c r="C712" s="70">
        <v>2018</v>
      </c>
      <c r="D712" s="70" t="s">
        <v>58</v>
      </c>
      <c r="E712" s="280" t="s">
        <v>3309</v>
      </c>
      <c r="F712" s="1049">
        <v>12.45</v>
      </c>
      <c r="G712" s="1049">
        <v>0</v>
      </c>
      <c r="H712" s="564"/>
      <c r="I712" s="609"/>
      <c r="J712" s="1155"/>
      <c r="K712" s="609"/>
      <c r="L712" s="609"/>
      <c r="M712" s="609"/>
      <c r="N712" s="599"/>
      <c r="O712" s="552" t="s">
        <v>1584</v>
      </c>
      <c r="P712" s="603"/>
      <c r="Q712" s="869"/>
      <c r="R712" s="869"/>
      <c r="S712" s="869"/>
      <c r="T712" s="869"/>
      <c r="U712" s="869"/>
      <c r="V712" s="869"/>
      <c r="W712" s="869"/>
      <c r="X712" s="869"/>
    </row>
    <row r="713" spans="1:24">
      <c r="A713" s="1045">
        <f t="shared" si="10"/>
        <v>9</v>
      </c>
      <c r="B713" s="134">
        <v>45560</v>
      </c>
      <c r="C713" s="70">
        <v>1025</v>
      </c>
      <c r="D713" s="70" t="s">
        <v>5120</v>
      </c>
      <c r="E713" s="280" t="s">
        <v>3309</v>
      </c>
      <c r="F713" s="1049">
        <v>0</v>
      </c>
      <c r="G713" s="1049">
        <v>261.45</v>
      </c>
      <c r="H713" s="564"/>
      <c r="I713" s="609"/>
      <c r="J713" s="1155"/>
      <c r="K713" s="609"/>
      <c r="L713" s="609"/>
      <c r="M713" s="609"/>
      <c r="N713" s="599"/>
      <c r="O713" s="552" t="s">
        <v>1584</v>
      </c>
      <c r="P713" s="603"/>
      <c r="Q713" s="869"/>
      <c r="R713" s="869"/>
      <c r="S713" s="869"/>
      <c r="T713" s="869"/>
      <c r="U713" s="869"/>
      <c r="V713" s="869"/>
      <c r="W713" s="869"/>
      <c r="X713" s="869"/>
    </row>
    <row r="714" spans="1:24">
      <c r="A714" s="1045">
        <f t="shared" si="10"/>
        <v>9</v>
      </c>
      <c r="B714" s="134">
        <v>45560</v>
      </c>
      <c r="C714" s="70">
        <v>6004</v>
      </c>
      <c r="D714" s="70" t="s">
        <v>95</v>
      </c>
      <c r="E714" s="280" t="s">
        <v>3310</v>
      </c>
      <c r="F714" s="1049">
        <v>940.76</v>
      </c>
      <c r="G714" s="1049">
        <v>0</v>
      </c>
      <c r="H714" s="564"/>
      <c r="I714" s="609"/>
      <c r="J714" s="1155"/>
      <c r="K714" s="609"/>
      <c r="L714" s="609"/>
      <c r="M714" s="609"/>
      <c r="N714" s="599"/>
      <c r="O714" s="552" t="s">
        <v>1584</v>
      </c>
      <c r="P714" s="603" t="s">
        <v>1779</v>
      </c>
      <c r="Q714" s="869"/>
      <c r="R714" s="869"/>
      <c r="S714" s="869"/>
      <c r="T714" s="869"/>
      <c r="U714" s="869"/>
      <c r="V714" s="869"/>
      <c r="W714" s="869"/>
      <c r="X714" s="869"/>
    </row>
    <row r="715" spans="1:24">
      <c r="A715" s="1045">
        <f t="shared" si="10"/>
        <v>9</v>
      </c>
      <c r="B715" s="134">
        <v>45560</v>
      </c>
      <c r="C715" s="70">
        <v>2018</v>
      </c>
      <c r="D715" s="70" t="s">
        <v>58</v>
      </c>
      <c r="E715" s="280" t="s">
        <v>3310</v>
      </c>
      <c r="F715" s="1049">
        <v>45.24</v>
      </c>
      <c r="G715" s="1049">
        <v>0</v>
      </c>
      <c r="H715" s="564"/>
      <c r="I715" s="609"/>
      <c r="J715" s="1155"/>
      <c r="K715" s="609"/>
      <c r="L715" s="609"/>
      <c r="M715" s="609"/>
      <c r="N715" s="599"/>
      <c r="O715" s="552" t="s">
        <v>1584</v>
      </c>
      <c r="P715" s="603"/>
      <c r="Q715" s="869"/>
      <c r="R715" s="869"/>
      <c r="S715" s="869"/>
      <c r="T715" s="869"/>
      <c r="U715" s="869"/>
      <c r="V715" s="869"/>
      <c r="W715" s="869"/>
      <c r="X715" s="869"/>
    </row>
    <row r="716" spans="1:24">
      <c r="A716" s="1045">
        <f t="shared" si="10"/>
        <v>9</v>
      </c>
      <c r="B716" s="134">
        <v>45560</v>
      </c>
      <c r="C716" s="70">
        <v>1025</v>
      </c>
      <c r="D716" s="70" t="s">
        <v>5120</v>
      </c>
      <c r="E716" s="280" t="s">
        <v>3310</v>
      </c>
      <c r="F716" s="1049">
        <v>0</v>
      </c>
      <c r="G716" s="1049">
        <v>986</v>
      </c>
      <c r="H716" s="564"/>
      <c r="I716" s="609"/>
      <c r="J716" s="1155"/>
      <c r="K716" s="609"/>
      <c r="L716" s="609"/>
      <c r="M716" s="609"/>
      <c r="N716" s="599"/>
      <c r="O716" s="552" t="s">
        <v>1584</v>
      </c>
      <c r="P716" s="603"/>
      <c r="Q716" s="869"/>
      <c r="R716" s="869"/>
      <c r="S716" s="869"/>
      <c r="T716" s="869"/>
      <c r="U716" s="869"/>
      <c r="V716" s="869"/>
      <c r="W716" s="869"/>
      <c r="X716" s="869"/>
    </row>
    <row r="717" spans="1:24">
      <c r="A717" s="1045">
        <f t="shared" si="10"/>
        <v>9</v>
      </c>
      <c r="B717" s="134">
        <v>45560</v>
      </c>
      <c r="C717" s="70">
        <v>6004</v>
      </c>
      <c r="D717" s="70" t="s">
        <v>95</v>
      </c>
      <c r="E717" s="280" t="s">
        <v>3311</v>
      </c>
      <c r="F717" s="1049">
        <v>1062.08</v>
      </c>
      <c r="G717" s="1049">
        <v>0</v>
      </c>
      <c r="H717" s="564"/>
      <c r="I717" s="609"/>
      <c r="J717" s="1155"/>
      <c r="K717" s="609"/>
      <c r="L717" s="609"/>
      <c r="M717" s="609"/>
      <c r="N717" s="599"/>
      <c r="O717" s="552" t="s">
        <v>1584</v>
      </c>
      <c r="P717" s="603"/>
      <c r="Q717" s="869"/>
      <c r="R717" s="869"/>
      <c r="S717" s="869"/>
      <c r="T717" s="869"/>
      <c r="U717" s="869"/>
      <c r="V717" s="869"/>
      <c r="W717" s="869"/>
      <c r="X717" s="869"/>
    </row>
    <row r="718" spans="1:24">
      <c r="A718" s="1045">
        <f t="shared" si="10"/>
        <v>9</v>
      </c>
      <c r="B718" s="134">
        <v>45560</v>
      </c>
      <c r="C718" s="70">
        <v>2018</v>
      </c>
      <c r="D718" s="70" t="s">
        <v>58</v>
      </c>
      <c r="E718" s="280" t="s">
        <v>3311</v>
      </c>
      <c r="F718" s="1049">
        <v>50.92</v>
      </c>
      <c r="G718" s="1049">
        <v>0</v>
      </c>
      <c r="H718" s="564"/>
      <c r="I718" s="609"/>
      <c r="J718" s="1155"/>
      <c r="K718" s="609"/>
      <c r="L718" s="609"/>
      <c r="M718" s="609"/>
      <c r="N718" s="599"/>
      <c r="O718" s="552" t="s">
        <v>1584</v>
      </c>
      <c r="P718" s="603"/>
      <c r="Q718" s="869"/>
      <c r="R718" s="869"/>
      <c r="S718" s="869"/>
      <c r="T718" s="869"/>
      <c r="U718" s="869"/>
      <c r="V718" s="869"/>
      <c r="W718" s="869"/>
      <c r="X718" s="869"/>
    </row>
    <row r="719" spans="1:24">
      <c r="A719" s="1045">
        <f t="shared" si="10"/>
        <v>9</v>
      </c>
      <c r="B719" s="134">
        <v>45560</v>
      </c>
      <c r="C719" s="70">
        <v>1025</v>
      </c>
      <c r="D719" s="70" t="s">
        <v>5120</v>
      </c>
      <c r="E719" s="280" t="s">
        <v>3311</v>
      </c>
      <c r="F719" s="1049">
        <v>0</v>
      </c>
      <c r="G719" s="1049">
        <v>1113</v>
      </c>
      <c r="H719" s="564"/>
      <c r="I719" s="609"/>
      <c r="J719" s="1155"/>
      <c r="K719" s="609"/>
      <c r="L719" s="609"/>
      <c r="M719" s="609"/>
      <c r="N719" s="599"/>
      <c r="O719" s="552" t="s">
        <v>1584</v>
      </c>
      <c r="P719" s="603"/>
      <c r="Q719" s="869"/>
      <c r="R719" s="869"/>
      <c r="S719" s="869"/>
      <c r="T719" s="869"/>
      <c r="U719" s="869"/>
      <c r="V719" s="869"/>
      <c r="W719" s="869"/>
      <c r="X719" s="869"/>
    </row>
    <row r="720" spans="1:24">
      <c r="A720" s="1045">
        <f t="shared" si="10"/>
        <v>9</v>
      </c>
      <c r="B720" s="134">
        <v>45560</v>
      </c>
      <c r="C720" s="70">
        <v>6004</v>
      </c>
      <c r="D720" s="70" t="s">
        <v>95</v>
      </c>
      <c r="E720" s="280" t="s">
        <v>3312</v>
      </c>
      <c r="F720" s="1049">
        <v>913.42</v>
      </c>
      <c r="G720" s="1049">
        <v>0</v>
      </c>
      <c r="H720" s="564"/>
      <c r="I720" s="609"/>
      <c r="J720" s="1155"/>
      <c r="K720" s="609"/>
      <c r="L720" s="609"/>
      <c r="M720" s="609"/>
      <c r="N720" s="599"/>
      <c r="O720" s="552" t="s">
        <v>1584</v>
      </c>
      <c r="P720" s="603"/>
      <c r="Q720" s="869"/>
      <c r="R720" s="869"/>
      <c r="S720" s="869"/>
      <c r="T720" s="869"/>
      <c r="U720" s="869"/>
      <c r="V720" s="869"/>
      <c r="W720" s="869"/>
      <c r="X720" s="869"/>
    </row>
    <row r="721" spans="1:24">
      <c r="A721" s="1045">
        <f t="shared" si="10"/>
        <v>9</v>
      </c>
      <c r="B721" s="134">
        <v>45560</v>
      </c>
      <c r="C721" s="70">
        <v>2018</v>
      </c>
      <c r="D721" s="70" t="s">
        <v>58</v>
      </c>
      <c r="E721" s="280" t="s">
        <v>3312</v>
      </c>
      <c r="F721" s="1049">
        <v>43.59</v>
      </c>
      <c r="G721" s="1049">
        <v>0</v>
      </c>
      <c r="H721" s="564"/>
      <c r="I721" s="609"/>
      <c r="J721" s="1155"/>
      <c r="K721" s="609"/>
      <c r="L721" s="609"/>
      <c r="M721" s="609"/>
      <c r="N721" s="599"/>
      <c r="O721" s="552" t="s">
        <v>1584</v>
      </c>
      <c r="P721" s="603" t="s">
        <v>1779</v>
      </c>
      <c r="Q721" s="869"/>
      <c r="R721" s="869"/>
      <c r="S721" s="869"/>
      <c r="T721" s="869"/>
      <c r="U721" s="869"/>
      <c r="V721" s="869"/>
      <c r="W721" s="869"/>
      <c r="X721" s="869"/>
    </row>
    <row r="722" spans="1:24">
      <c r="A722" s="1045">
        <f t="shared" ref="A722:A788" si="11">IF(B722="","",MONTH(B722))</f>
        <v>9</v>
      </c>
      <c r="B722" s="134">
        <v>45560</v>
      </c>
      <c r="C722" s="70">
        <v>1025</v>
      </c>
      <c r="D722" s="70" t="s">
        <v>5120</v>
      </c>
      <c r="E722" s="280" t="s">
        <v>3312</v>
      </c>
      <c r="F722" s="1049">
        <v>0</v>
      </c>
      <c r="G722" s="1049">
        <v>957.01</v>
      </c>
      <c r="H722" s="564"/>
      <c r="I722" s="609"/>
      <c r="J722" s="1155"/>
      <c r="K722" s="609"/>
      <c r="L722" s="609"/>
      <c r="M722" s="609"/>
      <c r="N722" s="599"/>
      <c r="O722" s="552" t="s">
        <v>1584</v>
      </c>
      <c r="P722" s="603"/>
      <c r="Q722" s="869"/>
      <c r="R722" s="869"/>
      <c r="S722" s="869"/>
      <c r="T722" s="869"/>
      <c r="U722" s="869"/>
      <c r="V722" s="869"/>
      <c r="W722" s="869"/>
      <c r="X722" s="869"/>
    </row>
    <row r="723" spans="1:24">
      <c r="A723" s="1045">
        <f t="shared" si="11"/>
        <v>9</v>
      </c>
      <c r="B723" s="134">
        <v>45560</v>
      </c>
      <c r="C723" s="70">
        <v>6004</v>
      </c>
      <c r="D723" s="70" t="s">
        <v>95</v>
      </c>
      <c r="E723" s="280" t="s">
        <v>3313</v>
      </c>
      <c r="F723" s="1049">
        <v>848.62</v>
      </c>
      <c r="G723" s="1049">
        <v>0</v>
      </c>
      <c r="H723" s="564"/>
      <c r="I723" s="609"/>
      <c r="J723" s="1155"/>
      <c r="K723" s="609"/>
      <c r="L723" s="609"/>
      <c r="M723" s="609"/>
      <c r="N723" s="599"/>
      <c r="O723" s="552" t="s">
        <v>1584</v>
      </c>
      <c r="P723" s="603"/>
      <c r="Q723" s="869"/>
      <c r="R723" s="869"/>
      <c r="S723" s="869"/>
      <c r="T723" s="682"/>
      <c r="U723" s="869"/>
      <c r="V723" s="869"/>
      <c r="W723" s="682"/>
      <c r="X723" s="682"/>
    </row>
    <row r="724" spans="1:24">
      <c r="A724" s="1045">
        <f t="shared" si="11"/>
        <v>9</v>
      </c>
      <c r="B724" s="134">
        <v>45560</v>
      </c>
      <c r="C724" s="70">
        <v>2018</v>
      </c>
      <c r="D724" s="70" t="s">
        <v>58</v>
      </c>
      <c r="E724" s="280" t="s">
        <v>3313</v>
      </c>
      <c r="F724" s="1049">
        <v>41.38</v>
      </c>
      <c r="G724" s="1049">
        <v>0</v>
      </c>
      <c r="H724" s="564"/>
      <c r="I724" s="609"/>
      <c r="J724" s="1155"/>
      <c r="K724" s="609"/>
      <c r="L724" s="609"/>
      <c r="M724" s="609"/>
      <c r="N724" s="599"/>
      <c r="O724" s="552" t="s">
        <v>1584</v>
      </c>
      <c r="P724" s="603"/>
      <c r="Q724" s="869"/>
      <c r="R724" s="869"/>
      <c r="S724" s="869"/>
      <c r="T724" s="682"/>
      <c r="U724" s="869"/>
      <c r="V724" s="869"/>
      <c r="W724" s="682"/>
      <c r="X724" s="682"/>
    </row>
    <row r="725" spans="1:24">
      <c r="A725" s="1045">
        <f t="shared" si="11"/>
        <v>9</v>
      </c>
      <c r="B725" s="134">
        <v>45560</v>
      </c>
      <c r="C725" s="70">
        <v>1025</v>
      </c>
      <c r="D725" s="70" t="s">
        <v>5120</v>
      </c>
      <c r="E725" s="280" t="s">
        <v>3313</v>
      </c>
      <c r="F725" s="1049">
        <v>0</v>
      </c>
      <c r="G725" s="1049">
        <v>890</v>
      </c>
      <c r="H725" s="564"/>
      <c r="I725" s="609"/>
      <c r="J725" s="1155"/>
      <c r="K725" s="609"/>
      <c r="L725" s="609"/>
      <c r="M725" s="609"/>
      <c r="N725" s="599"/>
      <c r="O725" s="552" t="s">
        <v>1584</v>
      </c>
      <c r="P725" s="603"/>
      <c r="Q725" s="869"/>
      <c r="R725" s="869"/>
      <c r="S725" s="869"/>
      <c r="T725" s="682"/>
      <c r="U725" s="869"/>
      <c r="V725" s="869"/>
      <c r="W725" s="682"/>
      <c r="X725" s="682"/>
    </row>
    <row r="726" spans="1:24">
      <c r="A726" s="1045">
        <f t="shared" si="11"/>
        <v>9</v>
      </c>
      <c r="B726" s="134">
        <v>45560</v>
      </c>
      <c r="C726" s="70">
        <v>6004</v>
      </c>
      <c r="D726" s="70" t="s">
        <v>95</v>
      </c>
      <c r="E726" s="280" t="s">
        <v>3314</v>
      </c>
      <c r="F726" s="1049">
        <v>442.1</v>
      </c>
      <c r="G726" s="1049">
        <v>0</v>
      </c>
      <c r="H726" s="564"/>
      <c r="I726" s="609"/>
      <c r="J726" s="1155"/>
      <c r="K726" s="609"/>
      <c r="L726" s="609"/>
      <c r="M726" s="609"/>
      <c r="N726" s="599"/>
      <c r="O726" s="552" t="s">
        <v>1584</v>
      </c>
      <c r="P726" s="603"/>
      <c r="Q726" s="869"/>
      <c r="R726" s="869"/>
      <c r="S726" s="869"/>
      <c r="T726" s="682"/>
      <c r="U726" s="869"/>
      <c r="V726" s="869"/>
      <c r="W726" s="682"/>
      <c r="X726" s="682"/>
    </row>
    <row r="727" spans="1:24">
      <c r="A727" s="1045">
        <f t="shared" si="11"/>
        <v>9</v>
      </c>
      <c r="B727" s="134">
        <v>45560</v>
      </c>
      <c r="C727" s="70">
        <v>2018</v>
      </c>
      <c r="D727" s="70" t="s">
        <v>58</v>
      </c>
      <c r="E727" s="280" t="s">
        <v>3314</v>
      </c>
      <c r="F727" s="1049">
        <v>21.99</v>
      </c>
      <c r="G727" s="1049">
        <v>0</v>
      </c>
      <c r="H727" s="564"/>
      <c r="I727" s="609"/>
      <c r="J727" s="1155"/>
      <c r="K727" s="609"/>
      <c r="L727" s="609"/>
      <c r="M727" s="609"/>
      <c r="N727" s="599"/>
      <c r="O727" s="552" t="s">
        <v>1584</v>
      </c>
      <c r="P727" s="603"/>
      <c r="Q727" s="869"/>
      <c r="R727" s="869"/>
      <c r="S727" s="869"/>
      <c r="T727" s="682"/>
      <c r="U727" s="869"/>
      <c r="V727" s="869"/>
      <c r="W727" s="682"/>
      <c r="X727" s="682"/>
    </row>
    <row r="728" spans="1:24">
      <c r="A728" s="1045">
        <f t="shared" si="11"/>
        <v>9</v>
      </c>
      <c r="B728" s="134">
        <v>45560</v>
      </c>
      <c r="C728" s="70">
        <v>1025</v>
      </c>
      <c r="D728" s="70" t="s">
        <v>5120</v>
      </c>
      <c r="E728" s="280" t="s">
        <v>3314</v>
      </c>
      <c r="F728" s="1049">
        <v>0</v>
      </c>
      <c r="G728" s="1049">
        <v>464.09</v>
      </c>
      <c r="H728" s="564"/>
      <c r="I728" s="609"/>
      <c r="J728" s="1155"/>
      <c r="K728" s="609"/>
      <c r="L728" s="609"/>
      <c r="M728" s="609"/>
      <c r="N728" s="599"/>
      <c r="O728" s="552" t="s">
        <v>1584</v>
      </c>
      <c r="P728" s="603"/>
      <c r="Q728" s="869"/>
      <c r="R728" s="869"/>
      <c r="S728" s="869"/>
      <c r="T728" s="682"/>
      <c r="U728" s="869"/>
      <c r="V728" s="869"/>
      <c r="W728" s="682"/>
      <c r="X728" s="682"/>
    </row>
    <row r="729" spans="1:24">
      <c r="A729" s="1045">
        <f t="shared" si="11"/>
        <v>9</v>
      </c>
      <c r="B729" s="134">
        <v>45560</v>
      </c>
      <c r="C729" s="70">
        <v>6004</v>
      </c>
      <c r="D729" s="70" t="s">
        <v>95</v>
      </c>
      <c r="E729" s="280" t="s">
        <v>3315</v>
      </c>
      <c r="F729" s="1049">
        <v>353.62</v>
      </c>
      <c r="G729" s="1049">
        <v>0</v>
      </c>
      <c r="H729" s="564"/>
      <c r="I729" s="609"/>
      <c r="J729" s="1155"/>
      <c r="K729" s="609"/>
      <c r="L729" s="609"/>
      <c r="M729" s="609"/>
      <c r="N729" s="599"/>
      <c r="O729" s="552" t="s">
        <v>1584</v>
      </c>
      <c r="P729" s="603"/>
      <c r="Q729" s="869"/>
      <c r="R729" s="869"/>
      <c r="S729" s="869"/>
      <c r="T729" s="682"/>
      <c r="U729" s="869"/>
      <c r="V729" s="869"/>
      <c r="W729" s="682"/>
      <c r="X729" s="682"/>
    </row>
    <row r="730" spans="1:24">
      <c r="A730" s="1045">
        <f t="shared" si="11"/>
        <v>9</v>
      </c>
      <c r="B730" s="134">
        <v>45560</v>
      </c>
      <c r="C730" s="70">
        <v>2018</v>
      </c>
      <c r="D730" s="70" t="s">
        <v>58</v>
      </c>
      <c r="E730" s="280" t="s">
        <v>3315</v>
      </c>
      <c r="F730" s="1049">
        <v>17.38</v>
      </c>
      <c r="G730" s="1049">
        <v>0</v>
      </c>
      <c r="H730" s="564"/>
      <c r="I730" s="609"/>
      <c r="J730" s="1155"/>
      <c r="K730" s="609"/>
      <c r="L730" s="609"/>
      <c r="M730" s="609"/>
      <c r="N730" s="599"/>
      <c r="O730" s="552" t="s">
        <v>1584</v>
      </c>
      <c r="P730" s="603"/>
      <c r="Q730" s="869"/>
      <c r="R730" s="869"/>
      <c r="S730" s="869"/>
      <c r="T730" s="682"/>
      <c r="U730" s="869"/>
      <c r="V730" s="869"/>
      <c r="W730" s="682"/>
      <c r="X730" s="682"/>
    </row>
    <row r="731" spans="1:24">
      <c r="A731" s="1045">
        <f t="shared" si="11"/>
        <v>9</v>
      </c>
      <c r="B731" s="134">
        <v>45560</v>
      </c>
      <c r="C731" s="70">
        <v>1025</v>
      </c>
      <c r="D731" s="70" t="s">
        <v>5120</v>
      </c>
      <c r="E731" s="280" t="s">
        <v>3315</v>
      </c>
      <c r="F731" s="1049">
        <v>0</v>
      </c>
      <c r="G731" s="1049">
        <v>371</v>
      </c>
      <c r="H731" s="564"/>
      <c r="I731" s="609"/>
      <c r="J731" s="1155"/>
      <c r="K731" s="609"/>
      <c r="L731" s="609"/>
      <c r="M731" s="609"/>
      <c r="N731" s="599"/>
      <c r="O731" s="552" t="s">
        <v>1584</v>
      </c>
      <c r="P731" s="603"/>
      <c r="Q731" s="869"/>
      <c r="R731" s="869"/>
      <c r="S731" s="869"/>
      <c r="T731" s="682"/>
      <c r="U731" s="869"/>
      <c r="V731" s="869"/>
      <c r="W731" s="682"/>
      <c r="X731" s="682"/>
    </row>
    <row r="732" spans="1:24">
      <c r="A732" s="1045">
        <f t="shared" si="11"/>
        <v>9</v>
      </c>
      <c r="B732" s="134">
        <v>45560</v>
      </c>
      <c r="C732" s="70">
        <v>6026</v>
      </c>
      <c r="D732" s="70" t="s">
        <v>117</v>
      </c>
      <c r="E732" s="280" t="s">
        <v>3316</v>
      </c>
      <c r="F732" s="1049">
        <v>381</v>
      </c>
      <c r="G732" s="1049">
        <v>0</v>
      </c>
      <c r="H732" s="564"/>
      <c r="I732" s="609"/>
      <c r="J732" s="1155"/>
      <c r="K732" s="609"/>
      <c r="L732" s="609"/>
      <c r="M732" s="609"/>
      <c r="N732" s="599"/>
      <c r="O732" s="552" t="s">
        <v>1584</v>
      </c>
      <c r="P732" s="603"/>
      <c r="Q732" s="682"/>
      <c r="R732" s="682"/>
      <c r="S732" s="682"/>
      <c r="T732" s="682"/>
      <c r="U732" s="682"/>
      <c r="V732" s="682"/>
      <c r="W732" s="682"/>
      <c r="X732" s="682"/>
    </row>
    <row r="733" spans="1:24">
      <c r="A733" s="1045">
        <f t="shared" si="11"/>
        <v>9</v>
      </c>
      <c r="B733" s="134">
        <v>45560</v>
      </c>
      <c r="C733" s="70">
        <v>1025</v>
      </c>
      <c r="D733" s="70" t="s">
        <v>5120</v>
      </c>
      <c r="E733" s="280" t="s">
        <v>3316</v>
      </c>
      <c r="F733" s="1049">
        <v>0</v>
      </c>
      <c r="G733" s="1049">
        <v>381</v>
      </c>
      <c r="H733" s="564"/>
      <c r="I733" s="609"/>
      <c r="J733" s="1155"/>
      <c r="K733" s="609"/>
      <c r="L733" s="609"/>
      <c r="M733" s="609"/>
      <c r="N733" s="599"/>
      <c r="O733" s="552" t="s">
        <v>1584</v>
      </c>
      <c r="P733" s="603"/>
      <c r="Q733" s="682"/>
      <c r="R733" s="682"/>
      <c r="S733" s="682"/>
      <c r="T733" s="682"/>
      <c r="U733" s="682"/>
      <c r="V733" s="682"/>
      <c r="W733" s="682"/>
      <c r="X733" s="682"/>
    </row>
    <row r="734" spans="1:24">
      <c r="A734" s="1045">
        <f t="shared" si="11"/>
        <v>9</v>
      </c>
      <c r="B734" s="134">
        <v>45560</v>
      </c>
      <c r="C734" s="70">
        <v>6026</v>
      </c>
      <c r="D734" s="70" t="s">
        <v>117</v>
      </c>
      <c r="E734" s="280" t="s">
        <v>3317</v>
      </c>
      <c r="F734" s="1049">
        <v>967</v>
      </c>
      <c r="G734" s="1049">
        <v>0</v>
      </c>
      <c r="H734" s="564"/>
      <c r="I734" s="609"/>
      <c r="J734" s="1155"/>
      <c r="K734" s="609"/>
      <c r="L734" s="609"/>
      <c r="M734" s="609"/>
      <c r="N734" s="599"/>
      <c r="O734" s="552" t="s">
        <v>1584</v>
      </c>
      <c r="P734" s="603"/>
      <c r="Q734" s="682"/>
      <c r="R734" s="682"/>
      <c r="S734" s="682"/>
      <c r="T734" s="682"/>
      <c r="U734" s="682"/>
      <c r="V734" s="682"/>
      <c r="W734" s="682"/>
      <c r="X734" s="682"/>
    </row>
    <row r="735" spans="1:24">
      <c r="A735" s="1045">
        <f t="shared" si="11"/>
        <v>9</v>
      </c>
      <c r="B735" s="134">
        <v>45560</v>
      </c>
      <c r="C735" s="70">
        <v>1025</v>
      </c>
      <c r="D735" s="70" t="s">
        <v>5120</v>
      </c>
      <c r="E735" s="280" t="s">
        <v>3317</v>
      </c>
      <c r="F735" s="1049">
        <v>0</v>
      </c>
      <c r="G735" s="1049">
        <v>967</v>
      </c>
      <c r="H735" s="564"/>
      <c r="I735" s="609"/>
      <c r="J735" s="1155"/>
      <c r="K735" s="609"/>
      <c r="L735" s="609"/>
      <c r="M735" s="609"/>
      <c r="N735" s="599"/>
      <c r="O735" s="552" t="s">
        <v>1584</v>
      </c>
      <c r="P735" s="603"/>
      <c r="Q735" s="682"/>
      <c r="R735" s="682"/>
      <c r="S735" s="682"/>
      <c r="T735" s="682"/>
      <c r="U735" s="682"/>
      <c r="V735" s="682"/>
      <c r="W735" s="682"/>
      <c r="X735" s="682"/>
    </row>
    <row r="736" spans="1:24">
      <c r="A736" s="1045">
        <f t="shared" si="11"/>
        <v>9</v>
      </c>
      <c r="B736" s="134">
        <v>45560</v>
      </c>
      <c r="C736" s="70">
        <v>6012</v>
      </c>
      <c r="D736" s="70" t="s">
        <v>103</v>
      </c>
      <c r="E736" s="280" t="s">
        <v>3318</v>
      </c>
      <c r="F736" s="1049">
        <v>133.1</v>
      </c>
      <c r="G736" s="1049">
        <v>0</v>
      </c>
      <c r="H736" s="564"/>
      <c r="I736" s="609"/>
      <c r="J736" s="1155"/>
      <c r="K736" s="609"/>
      <c r="L736" s="609"/>
      <c r="M736" s="609"/>
      <c r="N736" s="599"/>
      <c r="O736" s="552" t="s">
        <v>1584</v>
      </c>
      <c r="P736" s="603"/>
      <c r="Q736" s="682"/>
      <c r="R736" s="682"/>
      <c r="S736" s="682"/>
      <c r="T736" s="682"/>
      <c r="U736" s="682"/>
      <c r="V736" s="682"/>
      <c r="W736" s="682"/>
      <c r="X736" s="682"/>
    </row>
    <row r="737" spans="1:24">
      <c r="A737" s="1045">
        <f t="shared" si="11"/>
        <v>9</v>
      </c>
      <c r="B737" s="398">
        <v>45560</v>
      </c>
      <c r="C737" s="306">
        <v>1025</v>
      </c>
      <c r="D737" s="70" t="s">
        <v>5120</v>
      </c>
      <c r="E737" s="280" t="s">
        <v>3318</v>
      </c>
      <c r="F737" s="1049">
        <v>0</v>
      </c>
      <c r="G737" s="1049">
        <v>133.1</v>
      </c>
      <c r="H737" s="564"/>
      <c r="I737" s="609"/>
      <c r="J737" s="1155"/>
      <c r="K737" s="609"/>
      <c r="L737" s="609"/>
      <c r="M737" s="609"/>
      <c r="N737" s="599"/>
      <c r="O737" s="552" t="s">
        <v>1584</v>
      </c>
      <c r="P737" s="603"/>
      <c r="Q737" s="682"/>
      <c r="R737" s="682"/>
      <c r="S737" s="682"/>
      <c r="T737" s="682"/>
      <c r="U737" s="682"/>
      <c r="V737" s="682"/>
      <c r="W737" s="682"/>
      <c r="X737" s="682"/>
    </row>
    <row r="738" spans="1:24">
      <c r="A738" s="1045">
        <f t="shared" si="11"/>
        <v>9</v>
      </c>
      <c r="B738" s="134">
        <v>45560</v>
      </c>
      <c r="C738" s="70">
        <v>6028</v>
      </c>
      <c r="D738" s="70" t="str">
        <f>IFERROR(VLOOKUP(C738,Mychart!$A$6:$B$123,2,FALSE),"")</f>
        <v>SCHOOL EXPENSES</v>
      </c>
      <c r="E738" s="280" t="s">
        <v>3319</v>
      </c>
      <c r="F738" s="1049">
        <v>105920</v>
      </c>
      <c r="G738" s="1049">
        <v>0</v>
      </c>
      <c r="H738" s="564"/>
      <c r="I738" s="609"/>
      <c r="J738" s="1155"/>
      <c r="K738" s="609"/>
      <c r="L738" s="609"/>
      <c r="M738" s="609"/>
      <c r="N738" s="599"/>
      <c r="O738" s="552" t="s">
        <v>1584</v>
      </c>
      <c r="P738" s="603"/>
      <c r="Q738" s="682"/>
      <c r="R738" s="682"/>
      <c r="S738" s="682"/>
      <c r="T738" s="682"/>
      <c r="U738" s="682"/>
      <c r="V738" s="682"/>
      <c r="W738" s="682"/>
      <c r="X738" s="682"/>
    </row>
    <row r="739" spans="1:24">
      <c r="A739" s="1045">
        <f t="shared" ref="A739:A742" si="12">IF(B739="","",MONTH(B739))</f>
        <v>9</v>
      </c>
      <c r="B739" s="134">
        <v>45560</v>
      </c>
      <c r="C739" s="70">
        <v>2370</v>
      </c>
      <c r="D739" s="70" t="str">
        <f>IFERROR(VLOOKUP(C739,Mychart!$A$6:$B$123,2,FALSE),"")</f>
        <v>Cheecks Payable</v>
      </c>
      <c r="E739" s="280" t="s">
        <v>5824</v>
      </c>
      <c r="F739" s="1049"/>
      <c r="G739" s="1049">
        <v>26480</v>
      </c>
      <c r="H739" s="564"/>
      <c r="I739" s="609">
        <v>943</v>
      </c>
      <c r="J739" s="1155">
        <v>45575</v>
      </c>
      <c r="K739" s="609"/>
      <c r="L739" s="609"/>
      <c r="M739" s="609"/>
      <c r="N739" s="599"/>
      <c r="O739" s="552" t="s">
        <v>1584</v>
      </c>
      <c r="P739" s="603"/>
      <c r="Q739" s="682"/>
      <c r="R739" s="682"/>
      <c r="S739" s="682"/>
      <c r="T739" s="682"/>
      <c r="U739" s="682"/>
      <c r="V739" s="682"/>
      <c r="W739" s="682"/>
      <c r="X739" s="682"/>
    </row>
    <row r="740" spans="1:24">
      <c r="A740" s="1045">
        <f t="shared" si="12"/>
        <v>9</v>
      </c>
      <c r="B740" s="134">
        <v>45560</v>
      </c>
      <c r="C740" s="70">
        <v>2370</v>
      </c>
      <c r="D740" s="70" t="str">
        <f>IFERROR(VLOOKUP(C740,Mychart!$A$6:$B$123,2,FALSE),"")</f>
        <v>Cheecks Payable</v>
      </c>
      <c r="E740" s="280" t="s">
        <v>5821</v>
      </c>
      <c r="F740" s="1049"/>
      <c r="G740" s="1049">
        <v>26480</v>
      </c>
      <c r="H740" s="564"/>
      <c r="I740" s="609">
        <v>944</v>
      </c>
      <c r="J740" s="1155">
        <v>45641</v>
      </c>
      <c r="K740" s="609"/>
      <c r="L740" s="609"/>
      <c r="M740" s="609"/>
      <c r="N740" s="599"/>
      <c r="O740" s="552" t="s">
        <v>1584</v>
      </c>
      <c r="P740" s="603"/>
      <c r="Q740" s="682"/>
      <c r="R740" s="682"/>
      <c r="S740" s="682"/>
      <c r="T740" s="682"/>
      <c r="U740" s="682"/>
      <c r="V740" s="682"/>
      <c r="W740" s="682"/>
      <c r="X740" s="682"/>
    </row>
    <row r="741" spans="1:24">
      <c r="A741" s="1045">
        <f t="shared" si="12"/>
        <v>9</v>
      </c>
      <c r="B741" s="134">
        <v>45560</v>
      </c>
      <c r="C741" s="70">
        <v>2370</v>
      </c>
      <c r="D741" s="70" t="str">
        <f>IFERROR(VLOOKUP(C741,Mychart!$A$6:$B$123,2,FALSE),"")</f>
        <v>Cheecks Payable</v>
      </c>
      <c r="E741" s="280" t="s">
        <v>5822</v>
      </c>
      <c r="F741" s="1049"/>
      <c r="G741" s="1049">
        <v>26480</v>
      </c>
      <c r="H741" s="564"/>
      <c r="I741" s="609">
        <v>945</v>
      </c>
      <c r="J741" s="1155">
        <v>45703</v>
      </c>
      <c r="K741" s="609"/>
      <c r="L741" s="609"/>
      <c r="M741" s="609"/>
      <c r="N741" s="599"/>
      <c r="O741" s="552" t="s">
        <v>1584</v>
      </c>
      <c r="P741" s="603"/>
      <c r="Q741" s="682"/>
      <c r="R741" s="682"/>
      <c r="S741" s="682"/>
      <c r="T741" s="682"/>
      <c r="U741" s="682"/>
      <c r="V741" s="682"/>
      <c r="W741" s="682"/>
      <c r="X741" s="682"/>
    </row>
    <row r="742" spans="1:24">
      <c r="A742" s="1045">
        <f t="shared" si="12"/>
        <v>9</v>
      </c>
      <c r="B742" s="134">
        <v>45560</v>
      </c>
      <c r="C742" s="70">
        <v>2370</v>
      </c>
      <c r="D742" s="70" t="str">
        <f>IFERROR(VLOOKUP(C742,Mychart!$A$6:$B$123,2,FALSE),"")</f>
        <v>Cheecks Payable</v>
      </c>
      <c r="E742" s="280" t="s">
        <v>5823</v>
      </c>
      <c r="F742" s="1049"/>
      <c r="G742" s="1049">
        <v>26480</v>
      </c>
      <c r="H742" s="564"/>
      <c r="I742" s="609">
        <v>946</v>
      </c>
      <c r="J742" s="1155">
        <v>45762</v>
      </c>
      <c r="K742" s="609"/>
      <c r="L742" s="609"/>
      <c r="M742" s="609"/>
      <c r="N742" s="599"/>
      <c r="O742" s="552" t="s">
        <v>1584</v>
      </c>
      <c r="P742" s="603"/>
      <c r="Q742" s="682"/>
      <c r="R742" s="682"/>
      <c r="S742" s="682"/>
      <c r="T742" s="682"/>
      <c r="U742" s="682"/>
      <c r="V742" s="682"/>
      <c r="W742" s="682"/>
      <c r="X742" s="682"/>
    </row>
    <row r="743" spans="1:24">
      <c r="A743" s="1045">
        <f t="shared" si="11"/>
        <v>9</v>
      </c>
      <c r="B743" s="134">
        <v>45560</v>
      </c>
      <c r="C743" s="70">
        <v>6028</v>
      </c>
      <c r="D743" s="70" t="s">
        <v>119</v>
      </c>
      <c r="E743" s="280" t="s">
        <v>3320</v>
      </c>
      <c r="F743" s="1049">
        <v>11585</v>
      </c>
      <c r="G743" s="1049">
        <v>0</v>
      </c>
      <c r="H743" s="564"/>
      <c r="I743" s="609"/>
      <c r="J743" s="1155"/>
      <c r="K743" s="609"/>
      <c r="L743" s="609"/>
      <c r="M743" s="609"/>
      <c r="N743" s="599"/>
      <c r="O743" s="552" t="s">
        <v>1584</v>
      </c>
      <c r="P743" s="603"/>
      <c r="Q743" s="682"/>
      <c r="R743" s="682"/>
      <c r="S743" s="682"/>
      <c r="T743" s="682"/>
      <c r="U743" s="682"/>
      <c r="V743" s="682"/>
      <c r="W743" s="682"/>
      <c r="X743" s="682"/>
    </row>
    <row r="744" spans="1:24">
      <c r="A744" s="1045">
        <f t="shared" si="11"/>
        <v>9</v>
      </c>
      <c r="B744" s="134">
        <v>45560</v>
      </c>
      <c r="C744" s="70">
        <v>1400</v>
      </c>
      <c r="D744" s="70" t="s">
        <v>49</v>
      </c>
      <c r="E744" s="280" t="s">
        <v>3320</v>
      </c>
      <c r="F744" s="1049">
        <v>0</v>
      </c>
      <c r="G744" s="1049">
        <v>11585</v>
      </c>
      <c r="H744" s="564"/>
      <c r="I744" s="609"/>
      <c r="J744" s="1155"/>
      <c r="K744" s="609"/>
      <c r="L744" s="609"/>
      <c r="M744" s="609"/>
      <c r="N744" s="599"/>
      <c r="O744" s="552" t="s">
        <v>1584</v>
      </c>
      <c r="P744" s="603"/>
      <c r="Q744" s="682"/>
      <c r="R744" s="682"/>
      <c r="S744" s="682"/>
      <c r="T744" s="682"/>
      <c r="U744" s="682"/>
      <c r="V744" s="682"/>
      <c r="W744" s="682"/>
      <c r="X744" s="682"/>
    </row>
    <row r="745" spans="1:24">
      <c r="A745" s="1045">
        <f t="shared" si="11"/>
        <v>9</v>
      </c>
      <c r="B745" s="134">
        <v>45560</v>
      </c>
      <c r="C745" s="70">
        <v>6003</v>
      </c>
      <c r="D745" s="70" t="s">
        <v>94</v>
      </c>
      <c r="E745" s="280" t="s">
        <v>3321</v>
      </c>
      <c r="F745" s="1049">
        <v>178.8</v>
      </c>
      <c r="G745" s="1049">
        <v>0</v>
      </c>
      <c r="H745" s="564"/>
      <c r="I745" s="609"/>
      <c r="J745" s="1155"/>
      <c r="K745" s="609"/>
      <c r="L745" s="609"/>
      <c r="M745" s="609"/>
      <c r="N745" s="599"/>
      <c r="O745" s="552" t="s">
        <v>1584</v>
      </c>
      <c r="P745" s="603"/>
      <c r="Q745" s="682"/>
      <c r="R745" s="682"/>
      <c r="S745" s="682"/>
      <c r="T745" s="682"/>
      <c r="U745" s="682"/>
      <c r="V745" s="682"/>
      <c r="W745" s="682"/>
      <c r="X745" s="682"/>
    </row>
    <row r="746" spans="1:24">
      <c r="A746" s="1045">
        <f t="shared" si="11"/>
        <v>9</v>
      </c>
      <c r="B746" s="134">
        <v>45560</v>
      </c>
      <c r="C746" s="70">
        <v>2018</v>
      </c>
      <c r="D746" s="70" t="s">
        <v>58</v>
      </c>
      <c r="E746" s="280" t="s">
        <v>3321</v>
      </c>
      <c r="F746" s="1049">
        <v>8.82</v>
      </c>
      <c r="G746" s="1049">
        <v>0</v>
      </c>
      <c r="H746" s="564"/>
      <c r="I746" s="609"/>
      <c r="J746" s="1155"/>
      <c r="K746" s="609"/>
      <c r="L746" s="609"/>
      <c r="M746" s="609"/>
      <c r="N746" s="599"/>
      <c r="O746" s="552" t="s">
        <v>1584</v>
      </c>
      <c r="P746" s="603" t="s">
        <v>1779</v>
      </c>
      <c r="Q746" s="682"/>
      <c r="R746" s="682"/>
      <c r="S746" s="682"/>
      <c r="T746" s="682"/>
      <c r="U746" s="682"/>
      <c r="V746" s="682"/>
      <c r="W746" s="682"/>
      <c r="X746" s="682"/>
    </row>
    <row r="747" spans="1:24">
      <c r="A747" s="1045">
        <f t="shared" si="11"/>
        <v>9</v>
      </c>
      <c r="B747" s="134">
        <v>45560</v>
      </c>
      <c r="C747" s="70">
        <v>1025</v>
      </c>
      <c r="D747" s="70" t="s">
        <v>5120</v>
      </c>
      <c r="E747" s="280" t="s">
        <v>3321</v>
      </c>
      <c r="F747" s="1049">
        <v>0</v>
      </c>
      <c r="G747" s="1049">
        <v>187.62</v>
      </c>
      <c r="H747" s="564"/>
      <c r="I747" s="609"/>
      <c r="J747" s="1155"/>
      <c r="K747" s="609"/>
      <c r="L747" s="609"/>
      <c r="M747" s="609"/>
      <c r="N747" s="599"/>
      <c r="O747" s="552" t="s">
        <v>1584</v>
      </c>
      <c r="P747" s="603"/>
      <c r="Q747" s="682"/>
      <c r="R747" s="682"/>
      <c r="S747" s="682"/>
      <c r="T747" s="682"/>
      <c r="U747" s="682"/>
      <c r="V747" s="682"/>
      <c r="W747" s="682"/>
      <c r="X747" s="682"/>
    </row>
    <row r="748" spans="1:24">
      <c r="A748" s="1045">
        <f t="shared" si="11"/>
        <v>9</v>
      </c>
      <c r="B748" s="134">
        <v>45561</v>
      </c>
      <c r="C748" s="70">
        <v>7300</v>
      </c>
      <c r="D748" s="70" t="s">
        <v>142</v>
      </c>
      <c r="E748" s="280" t="s">
        <v>3322</v>
      </c>
      <c r="F748" s="1049">
        <v>2320</v>
      </c>
      <c r="G748" s="1049">
        <v>0</v>
      </c>
      <c r="H748" s="564"/>
      <c r="I748" s="609"/>
      <c r="J748" s="1155"/>
      <c r="K748" s="609"/>
      <c r="L748" s="609"/>
      <c r="M748" s="609"/>
      <c r="N748" s="599"/>
      <c r="O748" s="552" t="s">
        <v>1584</v>
      </c>
      <c r="P748" s="603"/>
      <c r="Q748" s="682"/>
      <c r="R748" s="682"/>
      <c r="S748" s="682"/>
      <c r="T748" s="682"/>
      <c r="U748" s="682"/>
      <c r="V748" s="682"/>
      <c r="W748" s="682"/>
      <c r="X748" s="682"/>
    </row>
    <row r="749" spans="1:24">
      <c r="A749" s="1045">
        <f t="shared" si="11"/>
        <v>9</v>
      </c>
      <c r="B749" s="134">
        <v>45561</v>
      </c>
      <c r="C749" s="70">
        <v>2018</v>
      </c>
      <c r="D749" s="70" t="s">
        <v>58</v>
      </c>
      <c r="E749" s="280" t="s">
        <v>3322</v>
      </c>
      <c r="F749" s="1049">
        <v>116</v>
      </c>
      <c r="G749" s="1049">
        <v>0</v>
      </c>
      <c r="H749" s="564"/>
      <c r="I749" s="609"/>
      <c r="J749" s="1155"/>
      <c r="K749" s="609"/>
      <c r="L749" s="609"/>
      <c r="M749" s="609"/>
      <c r="N749" s="599"/>
      <c r="O749" s="552" t="s">
        <v>1584</v>
      </c>
      <c r="P749" s="603"/>
      <c r="Q749" s="682"/>
      <c r="R749" s="682"/>
      <c r="S749" s="682"/>
      <c r="T749" s="682"/>
      <c r="U749" s="682"/>
      <c r="V749" s="682"/>
      <c r="W749" s="682"/>
      <c r="X749" s="682"/>
    </row>
    <row r="750" spans="1:24">
      <c r="A750" s="1045">
        <f t="shared" si="11"/>
        <v>9</v>
      </c>
      <c r="B750" s="134">
        <v>45561</v>
      </c>
      <c r="C750" s="70">
        <v>7300</v>
      </c>
      <c r="D750" s="70" t="s">
        <v>142</v>
      </c>
      <c r="E750" s="280" t="s">
        <v>3323</v>
      </c>
      <c r="F750" s="1049">
        <v>2320</v>
      </c>
      <c r="G750" s="1049">
        <v>0</v>
      </c>
      <c r="H750" s="564"/>
      <c r="I750" s="609"/>
      <c r="J750" s="1155"/>
      <c r="K750" s="609"/>
      <c r="L750" s="609"/>
      <c r="M750" s="609"/>
      <c r="N750" s="599"/>
      <c r="O750" s="552" t="s">
        <v>1584</v>
      </c>
      <c r="P750" s="603"/>
      <c r="Q750" s="682"/>
      <c r="R750" s="682"/>
      <c r="S750" s="682"/>
      <c r="T750" s="682"/>
      <c r="U750" s="682"/>
      <c r="V750" s="682"/>
      <c r="W750" s="682"/>
      <c r="X750" s="682"/>
    </row>
    <row r="751" spans="1:24">
      <c r="A751" s="1045">
        <f t="shared" si="11"/>
        <v>9</v>
      </c>
      <c r="B751" s="134">
        <v>45561</v>
      </c>
      <c r="C751" s="70">
        <v>2018</v>
      </c>
      <c r="D751" s="70" t="s">
        <v>58</v>
      </c>
      <c r="E751" s="280" t="s">
        <v>3323</v>
      </c>
      <c r="F751" s="1049">
        <v>116</v>
      </c>
      <c r="G751" s="1049">
        <v>0</v>
      </c>
      <c r="H751" s="564"/>
      <c r="I751" s="609"/>
      <c r="J751" s="1155"/>
      <c r="K751" s="609"/>
      <c r="L751" s="609"/>
      <c r="M751" s="609"/>
      <c r="N751" s="599"/>
      <c r="O751" s="552" t="s">
        <v>1584</v>
      </c>
      <c r="P751" s="603"/>
      <c r="Q751" s="682"/>
      <c r="R751" s="682"/>
      <c r="S751" s="682"/>
      <c r="T751" s="682"/>
      <c r="U751" s="682"/>
      <c r="V751" s="682"/>
      <c r="W751" s="682"/>
      <c r="X751" s="682"/>
    </row>
    <row r="752" spans="1:24">
      <c r="A752" s="1045">
        <f t="shared" si="11"/>
        <v>9</v>
      </c>
      <c r="B752" s="134">
        <v>45561</v>
      </c>
      <c r="C752" s="70">
        <v>1025</v>
      </c>
      <c r="D752" s="70" t="s">
        <v>5120</v>
      </c>
      <c r="E752" s="280" t="s">
        <v>3324</v>
      </c>
      <c r="F752" s="1049">
        <v>0</v>
      </c>
      <c r="G752" s="1049">
        <v>4872</v>
      </c>
      <c r="H752" s="564"/>
      <c r="I752" s="609"/>
      <c r="J752" s="1155"/>
      <c r="K752" s="609"/>
      <c r="L752" s="609"/>
      <c r="M752" s="609"/>
      <c r="N752" s="599"/>
      <c r="O752" s="552" t="s">
        <v>1584</v>
      </c>
      <c r="P752" s="603"/>
      <c r="Q752" s="682"/>
      <c r="R752" s="682"/>
      <c r="S752" s="682"/>
      <c r="T752" s="682"/>
      <c r="U752" s="682"/>
      <c r="V752" s="682"/>
      <c r="W752" s="682"/>
      <c r="X752" s="682"/>
    </row>
    <row r="753" spans="1:24">
      <c r="A753" s="1045">
        <f t="shared" si="11"/>
        <v>9</v>
      </c>
      <c r="B753" s="134">
        <v>45563</v>
      </c>
      <c r="C753" s="70">
        <v>6013</v>
      </c>
      <c r="D753" s="70" t="s">
        <v>104</v>
      </c>
      <c r="E753" s="280" t="s">
        <v>3325</v>
      </c>
      <c r="F753" s="1049">
        <v>278.77</v>
      </c>
      <c r="G753" s="1049">
        <v>0</v>
      </c>
      <c r="H753" s="564"/>
      <c r="I753" s="609"/>
      <c r="J753" s="1155"/>
      <c r="K753" s="609"/>
      <c r="L753" s="609"/>
      <c r="M753" s="609"/>
      <c r="N753" s="599"/>
      <c r="O753" s="552" t="s">
        <v>1584</v>
      </c>
      <c r="P753" s="603"/>
      <c r="Q753" s="682"/>
      <c r="R753" s="682"/>
      <c r="S753" s="682"/>
      <c r="T753" s="682"/>
      <c r="U753" s="682"/>
      <c r="V753" s="682"/>
      <c r="W753" s="682"/>
      <c r="X753" s="682"/>
    </row>
    <row r="754" spans="1:24">
      <c r="A754" s="1045">
        <f t="shared" si="11"/>
        <v>9</v>
      </c>
      <c r="B754" s="134">
        <v>45563</v>
      </c>
      <c r="C754" s="70">
        <v>7300</v>
      </c>
      <c r="D754" s="70" t="s">
        <v>142</v>
      </c>
      <c r="E754" s="280" t="s">
        <v>3326</v>
      </c>
      <c r="F754" s="1049">
        <v>180</v>
      </c>
      <c r="G754" s="1049">
        <v>0</v>
      </c>
      <c r="H754" s="564"/>
      <c r="I754" s="609"/>
      <c r="J754" s="1155"/>
      <c r="K754" s="609"/>
      <c r="L754" s="609"/>
      <c r="M754" s="609"/>
      <c r="N754" s="599"/>
      <c r="O754" s="552" t="s">
        <v>1584</v>
      </c>
      <c r="P754" s="603"/>
      <c r="Q754" s="682"/>
      <c r="R754" s="682"/>
      <c r="S754" s="682"/>
      <c r="T754" s="682"/>
      <c r="U754" s="682"/>
      <c r="V754" s="682"/>
      <c r="W754" s="682"/>
      <c r="X754" s="682"/>
    </row>
    <row r="755" spans="1:24">
      <c r="A755" s="1045">
        <f t="shared" si="11"/>
        <v>9</v>
      </c>
      <c r="B755" s="134">
        <v>45563</v>
      </c>
      <c r="C755" s="70">
        <v>2018</v>
      </c>
      <c r="D755" s="70" t="s">
        <v>58</v>
      </c>
      <c r="E755" s="280" t="s">
        <v>3327</v>
      </c>
      <c r="F755" s="1049">
        <v>9</v>
      </c>
      <c r="G755" s="1049">
        <v>0</v>
      </c>
      <c r="H755" s="564"/>
      <c r="I755" s="609"/>
      <c r="J755" s="1155"/>
      <c r="K755" s="609"/>
      <c r="L755" s="609"/>
      <c r="M755" s="609"/>
      <c r="N755" s="599"/>
      <c r="O755" s="552" t="s">
        <v>1584</v>
      </c>
      <c r="P755" s="603"/>
      <c r="Q755" s="682"/>
      <c r="R755" s="682"/>
      <c r="S755" s="682"/>
      <c r="T755" s="682"/>
      <c r="U755" s="682"/>
      <c r="V755" s="682"/>
      <c r="W755" s="682"/>
      <c r="X755" s="682"/>
    </row>
    <row r="756" spans="1:24">
      <c r="A756" s="1045">
        <f t="shared" si="11"/>
        <v>9</v>
      </c>
      <c r="B756" s="134">
        <v>45563</v>
      </c>
      <c r="C756" s="70">
        <v>6013</v>
      </c>
      <c r="D756" s="70" t="s">
        <v>104</v>
      </c>
      <c r="E756" s="280" t="s">
        <v>3328</v>
      </c>
      <c r="F756" s="1049">
        <v>3550.77</v>
      </c>
      <c r="G756" s="1049">
        <v>0</v>
      </c>
      <c r="H756" s="564"/>
      <c r="I756" s="609"/>
      <c r="J756" s="1155"/>
      <c r="K756" s="609"/>
      <c r="L756" s="609"/>
      <c r="M756" s="609"/>
      <c r="N756" s="599"/>
      <c r="O756" s="552" t="s">
        <v>1584</v>
      </c>
      <c r="P756" s="603"/>
      <c r="Q756" s="682"/>
      <c r="R756" s="682"/>
      <c r="S756" s="682"/>
      <c r="T756" s="682"/>
      <c r="U756" s="682"/>
      <c r="V756" s="682"/>
      <c r="W756" s="682"/>
      <c r="X756" s="682"/>
    </row>
    <row r="757" spans="1:24">
      <c r="A757" s="1045">
        <f t="shared" si="11"/>
        <v>9</v>
      </c>
      <c r="B757" s="134">
        <v>45563</v>
      </c>
      <c r="C757" s="70">
        <v>1025</v>
      </c>
      <c r="D757" s="70" t="s">
        <v>5120</v>
      </c>
      <c r="E757" s="280" t="s">
        <v>3329</v>
      </c>
      <c r="F757" s="1049">
        <v>0</v>
      </c>
      <c r="G757" s="1049">
        <v>4018.54</v>
      </c>
      <c r="H757" s="564"/>
      <c r="I757" s="609"/>
      <c r="J757" s="1155"/>
      <c r="K757" s="609"/>
      <c r="L757" s="609"/>
      <c r="M757" s="609"/>
      <c r="N757" s="599"/>
      <c r="O757" s="552" t="s">
        <v>1584</v>
      </c>
      <c r="P757" s="603"/>
      <c r="Q757" s="682"/>
      <c r="R757" s="682"/>
      <c r="S757" s="682"/>
      <c r="T757" s="682"/>
      <c r="U757" s="682"/>
      <c r="V757" s="682"/>
      <c r="W757" s="682"/>
      <c r="X757" s="682"/>
    </row>
    <row r="758" spans="1:24">
      <c r="A758" s="1045">
        <f t="shared" si="11"/>
        <v>9</v>
      </c>
      <c r="B758" s="134">
        <v>45563</v>
      </c>
      <c r="C758" s="70">
        <v>6013</v>
      </c>
      <c r="D758" s="70" t="s">
        <v>104</v>
      </c>
      <c r="E758" s="280" t="s">
        <v>3330</v>
      </c>
      <c r="F758" s="1049">
        <v>76.14</v>
      </c>
      <c r="G758" s="1049">
        <v>0</v>
      </c>
      <c r="H758" s="564"/>
      <c r="I758" s="609"/>
      <c r="J758" s="1155"/>
      <c r="K758" s="609"/>
      <c r="L758" s="609"/>
      <c r="M758" s="609"/>
      <c r="N758" s="599"/>
      <c r="O758" s="552" t="s">
        <v>1584</v>
      </c>
      <c r="P758" s="603"/>
      <c r="Q758" s="682"/>
      <c r="R758" s="682"/>
      <c r="S758" s="682"/>
      <c r="T758" s="682"/>
      <c r="U758" s="682"/>
      <c r="V758" s="682"/>
      <c r="W758" s="682"/>
      <c r="X758" s="682"/>
    </row>
    <row r="759" spans="1:24">
      <c r="A759" s="1045">
        <f t="shared" si="11"/>
        <v>9</v>
      </c>
      <c r="B759" s="134">
        <v>45563</v>
      </c>
      <c r="C759" s="70">
        <v>6013</v>
      </c>
      <c r="D759" s="70" t="s">
        <v>104</v>
      </c>
      <c r="E759" s="280" t="s">
        <v>3331</v>
      </c>
      <c r="F759" s="1049">
        <v>3626.91</v>
      </c>
      <c r="G759" s="1049">
        <v>0</v>
      </c>
      <c r="H759" s="564"/>
      <c r="I759" s="609"/>
      <c r="J759" s="1155"/>
      <c r="K759" s="609"/>
      <c r="L759" s="609"/>
      <c r="M759" s="609"/>
      <c r="N759" s="599"/>
      <c r="O759" s="552" t="s">
        <v>1584</v>
      </c>
      <c r="P759" s="603"/>
      <c r="Q759" s="682"/>
      <c r="R759" s="682"/>
      <c r="S759" s="682"/>
      <c r="T759" s="682"/>
      <c r="U759" s="682"/>
      <c r="V759" s="682"/>
      <c r="W759" s="682"/>
      <c r="X759" s="682"/>
    </row>
    <row r="760" spans="1:24">
      <c r="A760" s="1045">
        <f t="shared" si="11"/>
        <v>9</v>
      </c>
      <c r="B760" s="134">
        <v>45563</v>
      </c>
      <c r="C760" s="70">
        <v>7300</v>
      </c>
      <c r="D760" s="70" t="s">
        <v>142</v>
      </c>
      <c r="E760" s="280" t="s">
        <v>3332</v>
      </c>
      <c r="F760" s="1049">
        <v>180</v>
      </c>
      <c r="G760" s="1049">
        <v>0</v>
      </c>
      <c r="H760" s="564"/>
      <c r="I760" s="609"/>
      <c r="J760" s="1155"/>
      <c r="K760" s="609"/>
      <c r="L760" s="609"/>
      <c r="M760" s="609"/>
      <c r="N760" s="599"/>
      <c r="O760" s="552" t="s">
        <v>1584</v>
      </c>
      <c r="P760" s="603"/>
      <c r="Q760" s="682"/>
      <c r="R760" s="682"/>
      <c r="S760" s="682"/>
      <c r="T760" s="682"/>
      <c r="U760" s="682"/>
      <c r="V760" s="682"/>
      <c r="W760" s="682"/>
      <c r="X760" s="682"/>
    </row>
    <row r="761" spans="1:24">
      <c r="A761" s="1045">
        <f t="shared" si="11"/>
        <v>9</v>
      </c>
      <c r="B761" s="134">
        <v>45563</v>
      </c>
      <c r="C761" s="70">
        <v>2018</v>
      </c>
      <c r="D761" s="70" t="s">
        <v>58</v>
      </c>
      <c r="E761" s="280" t="s">
        <v>3333</v>
      </c>
      <c r="F761" s="1049">
        <v>9</v>
      </c>
      <c r="G761" s="1049">
        <v>0</v>
      </c>
      <c r="H761" s="564"/>
      <c r="I761" s="609"/>
      <c r="J761" s="1155"/>
      <c r="K761" s="609"/>
      <c r="L761" s="609"/>
      <c r="M761" s="609"/>
      <c r="N761" s="599"/>
      <c r="O761" s="552" t="s">
        <v>1584</v>
      </c>
      <c r="P761" s="603"/>
      <c r="Q761" s="682"/>
      <c r="R761" s="682"/>
      <c r="S761" s="682"/>
      <c r="T761" s="682"/>
      <c r="U761" s="682"/>
      <c r="V761" s="682"/>
      <c r="W761" s="682"/>
      <c r="X761" s="682"/>
    </row>
    <row r="762" spans="1:24">
      <c r="A762" s="1045">
        <f t="shared" si="11"/>
        <v>9</v>
      </c>
      <c r="B762" s="675">
        <v>45563</v>
      </c>
      <c r="C762" s="70">
        <v>1025</v>
      </c>
      <c r="D762" s="70" t="s">
        <v>5120</v>
      </c>
      <c r="E762" s="280" t="s">
        <v>3334</v>
      </c>
      <c r="F762" s="1049">
        <v>0</v>
      </c>
      <c r="G762" s="1049">
        <v>3892.05</v>
      </c>
      <c r="H762" s="564"/>
      <c r="I762" s="609"/>
      <c r="J762" s="1155"/>
      <c r="K762" s="609"/>
      <c r="L762" s="609"/>
      <c r="M762" s="609"/>
      <c r="N762" s="599"/>
      <c r="O762" s="552" t="s">
        <v>1584</v>
      </c>
      <c r="P762" s="603"/>
      <c r="Q762" s="682"/>
      <c r="R762" s="682"/>
      <c r="S762" s="682"/>
      <c r="T762" s="682"/>
      <c r="U762" s="682"/>
      <c r="V762" s="682"/>
      <c r="W762" s="682"/>
      <c r="X762" s="682"/>
    </row>
    <row r="763" spans="1:24">
      <c r="A763" s="1045">
        <f t="shared" si="11"/>
        <v>9</v>
      </c>
      <c r="B763" s="675">
        <v>45564</v>
      </c>
      <c r="C763" s="70">
        <v>6000</v>
      </c>
      <c r="D763" s="70" t="s">
        <v>91</v>
      </c>
      <c r="E763" s="280" t="s">
        <v>3335</v>
      </c>
      <c r="F763" s="1049">
        <v>74837</v>
      </c>
      <c r="G763" s="1049">
        <v>0</v>
      </c>
      <c r="H763" s="564"/>
      <c r="I763" s="609"/>
      <c r="J763" s="1155"/>
      <c r="K763" s="609"/>
      <c r="L763" s="609"/>
      <c r="M763" s="609"/>
      <c r="N763" s="599"/>
      <c r="O763" s="552" t="s">
        <v>1584</v>
      </c>
      <c r="P763" s="603"/>
      <c r="Q763" s="682"/>
      <c r="R763" s="682"/>
      <c r="S763" s="682"/>
      <c r="T763" s="682"/>
      <c r="U763" s="682"/>
      <c r="V763" s="682"/>
      <c r="W763" s="682"/>
      <c r="X763" s="682"/>
    </row>
    <row r="764" spans="1:24">
      <c r="A764" s="1045">
        <f t="shared" si="11"/>
        <v>9</v>
      </c>
      <c r="B764" s="675">
        <v>45564</v>
      </c>
      <c r="C764" s="70">
        <v>7200</v>
      </c>
      <c r="D764" s="70" t="s">
        <v>140</v>
      </c>
      <c r="E764" s="280" t="s">
        <v>3335</v>
      </c>
      <c r="F764" s="1049">
        <v>100</v>
      </c>
      <c r="G764" s="1049">
        <v>0</v>
      </c>
      <c r="H764" s="564"/>
      <c r="I764" s="609"/>
      <c r="J764" s="1155"/>
      <c r="K764" s="609"/>
      <c r="L764" s="609"/>
      <c r="M764" s="609"/>
      <c r="N764" s="599"/>
      <c r="O764" s="552" t="s">
        <v>1584</v>
      </c>
      <c r="P764" s="603"/>
      <c r="Q764" s="682"/>
      <c r="R764" s="682"/>
      <c r="S764" s="682"/>
      <c r="T764" s="682"/>
      <c r="U764" s="682"/>
      <c r="V764" s="682"/>
      <c r="W764" s="682"/>
      <c r="X764" s="682"/>
    </row>
    <row r="765" spans="1:24">
      <c r="A765" s="1045">
        <f t="shared" si="11"/>
        <v>9</v>
      </c>
      <c r="B765" s="134">
        <v>45564</v>
      </c>
      <c r="C765" s="70">
        <v>2018</v>
      </c>
      <c r="D765" s="70" t="s">
        <v>58</v>
      </c>
      <c r="E765" s="280" t="s">
        <v>3335</v>
      </c>
      <c r="F765" s="1049">
        <v>5</v>
      </c>
      <c r="G765" s="1049">
        <v>0</v>
      </c>
      <c r="H765" s="564"/>
      <c r="I765" s="609"/>
      <c r="J765" s="1155"/>
      <c r="K765" s="609"/>
      <c r="L765" s="609"/>
      <c r="M765" s="609"/>
      <c r="N765" s="599"/>
      <c r="O765" s="552" t="s">
        <v>1584</v>
      </c>
      <c r="P765" s="603"/>
      <c r="Q765" s="682"/>
      <c r="R765" s="682"/>
      <c r="S765" s="682"/>
      <c r="T765" s="682"/>
      <c r="U765" s="682"/>
      <c r="V765" s="682"/>
      <c r="W765" s="682"/>
      <c r="X765" s="682"/>
    </row>
    <row r="766" spans="1:24">
      <c r="A766" s="1045">
        <f t="shared" si="11"/>
        <v>9</v>
      </c>
      <c r="B766" s="134">
        <v>45564</v>
      </c>
      <c r="C766" s="70">
        <v>1022</v>
      </c>
      <c r="D766" s="70" t="s">
        <v>5119</v>
      </c>
      <c r="E766" s="280" t="s">
        <v>3335</v>
      </c>
      <c r="F766" s="1049">
        <v>0</v>
      </c>
      <c r="G766" s="1049">
        <v>74942</v>
      </c>
      <c r="H766" s="564"/>
      <c r="I766" s="609"/>
      <c r="J766" s="1155"/>
      <c r="K766" s="609"/>
      <c r="L766" s="609"/>
      <c r="M766" s="609"/>
      <c r="N766" s="599"/>
      <c r="O766" s="552" t="s">
        <v>1584</v>
      </c>
      <c r="P766" s="603"/>
      <c r="Q766" s="682"/>
      <c r="R766" s="682"/>
      <c r="S766" s="682"/>
      <c r="T766" s="682"/>
      <c r="U766" s="682"/>
      <c r="V766" s="682"/>
      <c r="W766" s="682"/>
      <c r="X766" s="682"/>
    </row>
    <row r="767" spans="1:24">
      <c r="A767" s="1045">
        <f t="shared" si="11"/>
        <v>9</v>
      </c>
      <c r="B767" s="675">
        <v>45565</v>
      </c>
      <c r="C767" s="70">
        <v>6001</v>
      </c>
      <c r="D767" s="70" t="s">
        <v>92</v>
      </c>
      <c r="E767" s="280" t="s">
        <v>3336</v>
      </c>
      <c r="F767" s="1049">
        <v>6087.63</v>
      </c>
      <c r="G767" s="1049">
        <v>0</v>
      </c>
      <c r="H767" s="564"/>
      <c r="I767" s="609"/>
      <c r="J767" s="1155"/>
      <c r="K767" s="609"/>
      <c r="L767" s="609"/>
      <c r="M767" s="609"/>
      <c r="N767" s="599"/>
      <c r="O767" s="552" t="s">
        <v>1584</v>
      </c>
      <c r="P767" s="603"/>
      <c r="Q767" s="682"/>
      <c r="R767" s="682"/>
      <c r="S767" s="682"/>
      <c r="T767" s="682"/>
      <c r="U767" s="682"/>
      <c r="V767" s="682"/>
      <c r="W767" s="682"/>
      <c r="X767" s="682"/>
    </row>
    <row r="768" spans="1:24">
      <c r="A768" s="1045">
        <f t="shared" si="11"/>
        <v>9</v>
      </c>
      <c r="B768" s="134">
        <v>45565</v>
      </c>
      <c r="C768" s="70">
        <v>2018</v>
      </c>
      <c r="D768" s="70" t="s">
        <v>58</v>
      </c>
      <c r="E768" s="280" t="s">
        <v>3337</v>
      </c>
      <c r="F768" s="1049">
        <v>304.33999999999997</v>
      </c>
      <c r="G768" s="1049">
        <v>0</v>
      </c>
      <c r="H768" s="564"/>
      <c r="I768" s="609"/>
      <c r="J768" s="1155"/>
      <c r="K768" s="609"/>
      <c r="L768" s="609"/>
      <c r="M768" s="609"/>
      <c r="N768" s="599"/>
      <c r="O768" s="552" t="s">
        <v>1584</v>
      </c>
      <c r="P768" s="603"/>
      <c r="Q768" s="682"/>
      <c r="R768" s="682"/>
      <c r="S768" s="682"/>
      <c r="T768" s="682"/>
      <c r="U768" s="682"/>
      <c r="V768" s="682"/>
      <c r="W768" s="682"/>
      <c r="X768" s="682"/>
    </row>
    <row r="769" spans="1:24">
      <c r="A769" s="1045">
        <f t="shared" si="11"/>
        <v>9</v>
      </c>
      <c r="B769" s="134">
        <v>45565</v>
      </c>
      <c r="C769" s="70">
        <v>1011</v>
      </c>
      <c r="D769" s="70" t="s">
        <v>34</v>
      </c>
      <c r="E769" s="280" t="s">
        <v>3336</v>
      </c>
      <c r="F769" s="1049">
        <v>0</v>
      </c>
      <c r="G769" s="1049">
        <v>6391.97</v>
      </c>
      <c r="H769" s="564"/>
      <c r="I769" s="609"/>
      <c r="J769" s="1155"/>
      <c r="K769" s="609"/>
      <c r="L769" s="609"/>
      <c r="M769" s="609"/>
      <c r="N769" s="599"/>
      <c r="O769" s="552" t="s">
        <v>1584</v>
      </c>
      <c r="P769" s="603" t="s">
        <v>1779</v>
      </c>
      <c r="Q769" s="682"/>
      <c r="R769" s="682"/>
      <c r="S769" s="682"/>
      <c r="T769" s="682"/>
      <c r="U769" s="682"/>
      <c r="V769" s="682"/>
      <c r="W769" s="682"/>
      <c r="X769" s="682"/>
    </row>
    <row r="770" spans="1:24">
      <c r="A770" s="1045">
        <f t="shared" si="11"/>
        <v>9</v>
      </c>
      <c r="B770" s="134">
        <v>45565</v>
      </c>
      <c r="C770" s="70">
        <v>1017</v>
      </c>
      <c r="D770" s="70" t="s">
        <v>5118</v>
      </c>
      <c r="E770" s="280" t="s">
        <v>3338</v>
      </c>
      <c r="F770" s="1049">
        <v>2600</v>
      </c>
      <c r="G770" s="1049">
        <v>0</v>
      </c>
      <c r="H770" s="564"/>
      <c r="I770" s="609"/>
      <c r="J770" s="1155"/>
      <c r="K770" s="609"/>
      <c r="L770" s="609"/>
      <c r="M770" s="609"/>
      <c r="N770" s="599"/>
      <c r="O770" s="552" t="s">
        <v>1584</v>
      </c>
      <c r="P770" s="603"/>
      <c r="Q770" s="682"/>
      <c r="R770" s="682"/>
      <c r="S770" s="682"/>
      <c r="T770" s="682"/>
      <c r="U770" s="682"/>
      <c r="V770" s="682"/>
      <c r="W770" s="682"/>
      <c r="X770" s="682"/>
    </row>
    <row r="771" spans="1:24">
      <c r="A771" s="1045">
        <f t="shared" si="11"/>
        <v>9</v>
      </c>
      <c r="B771" s="134">
        <v>45565</v>
      </c>
      <c r="C771" s="70">
        <v>4010</v>
      </c>
      <c r="D771" s="70" t="s">
        <v>75</v>
      </c>
      <c r="E771" s="280" t="s">
        <v>3338</v>
      </c>
      <c r="F771" s="1049">
        <v>0</v>
      </c>
      <c r="G771" s="1049">
        <v>2600</v>
      </c>
      <c r="H771" s="564"/>
      <c r="I771" s="609"/>
      <c r="J771" s="1155"/>
      <c r="K771" s="609"/>
      <c r="L771" s="609"/>
      <c r="M771" s="609"/>
      <c r="N771" s="599"/>
      <c r="O771" s="552" t="s">
        <v>1584</v>
      </c>
      <c r="P771" s="603"/>
      <c r="Q771" s="682"/>
      <c r="R771" s="682"/>
      <c r="S771" s="682"/>
      <c r="T771" s="682"/>
      <c r="U771" s="682"/>
      <c r="V771" s="682"/>
      <c r="W771" s="682"/>
      <c r="X771" s="682"/>
    </row>
    <row r="772" spans="1:24">
      <c r="A772" s="1045">
        <f t="shared" si="11"/>
        <v>9</v>
      </c>
      <c r="B772" s="134">
        <v>45565</v>
      </c>
      <c r="C772" s="70">
        <v>6250</v>
      </c>
      <c r="D772" s="70" t="s">
        <v>129</v>
      </c>
      <c r="E772" s="280" t="s">
        <v>3339</v>
      </c>
      <c r="F772" s="1049">
        <v>1000</v>
      </c>
      <c r="G772" s="1049">
        <v>0</v>
      </c>
      <c r="H772" s="564"/>
      <c r="I772" s="609"/>
      <c r="J772" s="1155"/>
      <c r="K772" s="609"/>
      <c r="L772" s="609"/>
      <c r="M772" s="609"/>
      <c r="N772" s="599"/>
      <c r="O772" s="552" t="s">
        <v>1584</v>
      </c>
      <c r="P772" s="603"/>
      <c r="Q772" s="682"/>
      <c r="R772" s="682"/>
      <c r="S772" s="682"/>
      <c r="T772" s="682"/>
      <c r="U772" s="682"/>
      <c r="V772" s="682"/>
      <c r="W772" s="682"/>
      <c r="X772" s="682"/>
    </row>
    <row r="773" spans="1:24">
      <c r="A773" s="1045">
        <f t="shared" si="11"/>
        <v>9</v>
      </c>
      <c r="B773" s="134">
        <v>45565</v>
      </c>
      <c r="C773" s="70">
        <v>6250</v>
      </c>
      <c r="D773" s="70" t="s">
        <v>129</v>
      </c>
      <c r="E773" s="280" t="s">
        <v>3340</v>
      </c>
      <c r="F773" s="1049">
        <v>500</v>
      </c>
      <c r="G773" s="1049">
        <v>0</v>
      </c>
      <c r="H773" s="564"/>
      <c r="I773" s="609"/>
      <c r="J773" s="1155"/>
      <c r="K773" s="609"/>
      <c r="L773" s="609"/>
      <c r="M773" s="609"/>
      <c r="N773" s="599"/>
      <c r="O773" s="552" t="s">
        <v>1584</v>
      </c>
      <c r="P773" s="603"/>
      <c r="Q773" s="682"/>
      <c r="R773" s="682"/>
      <c r="S773" s="682"/>
      <c r="T773" s="682"/>
      <c r="U773" s="682"/>
      <c r="V773" s="682"/>
      <c r="W773" s="682"/>
      <c r="X773" s="682"/>
    </row>
    <row r="774" spans="1:24">
      <c r="A774" s="1045">
        <f t="shared" si="11"/>
        <v>9</v>
      </c>
      <c r="B774" s="134">
        <v>45565</v>
      </c>
      <c r="C774" s="70">
        <v>1025</v>
      </c>
      <c r="D774" s="70" t="s">
        <v>5120</v>
      </c>
      <c r="E774" s="280" t="s">
        <v>3341</v>
      </c>
      <c r="F774" s="1049">
        <v>0</v>
      </c>
      <c r="G774" s="1049">
        <v>1500</v>
      </c>
      <c r="H774" s="564"/>
      <c r="I774" s="609"/>
      <c r="J774" s="1155"/>
      <c r="K774" s="609"/>
      <c r="L774" s="609"/>
      <c r="M774" s="609"/>
      <c r="N774" s="599"/>
      <c r="O774" s="552" t="s">
        <v>1584</v>
      </c>
      <c r="P774" s="603"/>
      <c r="Q774" s="682"/>
      <c r="R774" s="682"/>
      <c r="S774" s="682"/>
      <c r="T774" s="682"/>
      <c r="U774" s="682"/>
      <c r="V774" s="682"/>
      <c r="W774" s="682"/>
      <c r="X774" s="682"/>
    </row>
    <row r="775" spans="1:24">
      <c r="A775" s="1045">
        <f t="shared" si="11"/>
        <v>9</v>
      </c>
      <c r="B775" s="134">
        <v>45565</v>
      </c>
      <c r="C775" s="70">
        <v>6007</v>
      </c>
      <c r="D775" s="70" t="s">
        <v>98</v>
      </c>
      <c r="E775" s="280" t="s">
        <v>3342</v>
      </c>
      <c r="F775" s="1049">
        <v>100</v>
      </c>
      <c r="G775" s="1049">
        <v>0</v>
      </c>
      <c r="H775" s="564"/>
      <c r="I775" s="609"/>
      <c r="J775" s="1155"/>
      <c r="K775" s="609"/>
      <c r="L775" s="609"/>
      <c r="M775" s="609"/>
      <c r="N775" s="599"/>
      <c r="O775" s="552" t="s">
        <v>1584</v>
      </c>
      <c r="P775" s="603"/>
      <c r="Q775" s="682"/>
      <c r="R775" s="682"/>
      <c r="S775" s="682"/>
      <c r="T775" s="682"/>
      <c r="U775" s="682"/>
      <c r="V775" s="682"/>
      <c r="W775" s="682"/>
      <c r="X775" s="682"/>
    </row>
    <row r="776" spans="1:24">
      <c r="A776" s="1045">
        <f t="shared" si="11"/>
        <v>9</v>
      </c>
      <c r="B776" s="134">
        <v>45565</v>
      </c>
      <c r="C776" s="70">
        <v>6250</v>
      </c>
      <c r="D776" s="70" t="s">
        <v>129</v>
      </c>
      <c r="E776" s="280" t="s">
        <v>3343</v>
      </c>
      <c r="F776" s="1049">
        <v>12</v>
      </c>
      <c r="G776" s="1049">
        <v>0</v>
      </c>
      <c r="H776" s="564"/>
      <c r="I776" s="609"/>
      <c r="J776" s="1155"/>
      <c r="K776" s="609"/>
      <c r="L776" s="609"/>
      <c r="M776" s="609"/>
      <c r="N776" s="599"/>
      <c r="O776" s="552" t="s">
        <v>1584</v>
      </c>
      <c r="P776" s="603"/>
      <c r="Q776" s="682"/>
      <c r="R776" s="682"/>
      <c r="S776" s="682"/>
      <c r="T776" s="682"/>
      <c r="U776" s="682"/>
      <c r="V776" s="682"/>
      <c r="W776" s="682"/>
      <c r="X776" s="682"/>
    </row>
    <row r="777" spans="1:24">
      <c r="A777" s="1045">
        <f t="shared" si="11"/>
        <v>9</v>
      </c>
      <c r="B777" s="134">
        <v>45565</v>
      </c>
      <c r="C777" s="70">
        <v>6005</v>
      </c>
      <c r="D777" s="70" t="s">
        <v>96</v>
      </c>
      <c r="E777" s="280" t="s">
        <v>3344</v>
      </c>
      <c r="F777" s="1049">
        <v>10</v>
      </c>
      <c r="G777" s="1049">
        <v>0</v>
      </c>
      <c r="H777" s="564"/>
      <c r="I777" s="609"/>
      <c r="J777" s="1155"/>
      <c r="K777" s="609"/>
      <c r="L777" s="609"/>
      <c r="M777" s="609"/>
      <c r="N777" s="599"/>
      <c r="O777" s="552" t="s">
        <v>1584</v>
      </c>
      <c r="P777" s="603"/>
      <c r="Q777" s="682"/>
      <c r="R777" s="682"/>
      <c r="S777" s="682"/>
      <c r="T777" s="682"/>
      <c r="U777" s="682"/>
      <c r="V777" s="682"/>
      <c r="W777" s="682"/>
      <c r="X777" s="682"/>
    </row>
    <row r="778" spans="1:24">
      <c r="A778" s="1045">
        <f t="shared" si="11"/>
        <v>9</v>
      </c>
      <c r="B778" s="134">
        <v>45565</v>
      </c>
      <c r="C778" s="70">
        <v>6007</v>
      </c>
      <c r="D778" s="70" t="s">
        <v>98</v>
      </c>
      <c r="E778" s="280" t="s">
        <v>3345</v>
      </c>
      <c r="F778" s="1049">
        <v>55</v>
      </c>
      <c r="G778" s="1049">
        <v>0</v>
      </c>
      <c r="H778" s="564"/>
      <c r="I778" s="609"/>
      <c r="J778" s="1155"/>
      <c r="K778" s="609"/>
      <c r="L778" s="609"/>
      <c r="M778" s="609"/>
      <c r="N778" s="599"/>
      <c r="O778" s="552" t="s">
        <v>1584</v>
      </c>
      <c r="P778" s="603"/>
      <c r="Q778" s="682"/>
      <c r="R778" s="682"/>
      <c r="S778" s="682"/>
      <c r="T778" s="682"/>
      <c r="U778" s="682"/>
      <c r="V778" s="682"/>
      <c r="W778" s="682"/>
      <c r="X778" s="682"/>
    </row>
    <row r="779" spans="1:24">
      <c r="A779" s="1045">
        <f t="shared" si="11"/>
        <v>9</v>
      </c>
      <c r="B779" s="134">
        <v>45565</v>
      </c>
      <c r="C779" s="70">
        <v>6250</v>
      </c>
      <c r="D779" s="70" t="s">
        <v>129</v>
      </c>
      <c r="E779" s="280" t="s">
        <v>3346</v>
      </c>
      <c r="F779" s="1049">
        <v>15</v>
      </c>
      <c r="G779" s="1049">
        <v>0</v>
      </c>
      <c r="H779" s="564"/>
      <c r="I779" s="609"/>
      <c r="J779" s="1155"/>
      <c r="K779" s="609"/>
      <c r="L779" s="609"/>
      <c r="M779" s="609"/>
      <c r="N779" s="599"/>
      <c r="O779" s="552" t="s">
        <v>1584</v>
      </c>
      <c r="P779" s="603"/>
      <c r="Q779" s="682"/>
      <c r="R779" s="682"/>
      <c r="S779" s="682"/>
      <c r="T779" s="682"/>
      <c r="U779" s="682"/>
      <c r="V779" s="682"/>
      <c r="W779" s="682"/>
      <c r="X779" s="682"/>
    </row>
    <row r="780" spans="1:24">
      <c r="A780" s="1045">
        <f t="shared" si="11"/>
        <v>9</v>
      </c>
      <c r="B780" s="134">
        <v>45565</v>
      </c>
      <c r="C780" s="70">
        <v>6017</v>
      </c>
      <c r="D780" s="70" t="s">
        <v>108</v>
      </c>
      <c r="E780" s="280" t="s">
        <v>3347</v>
      </c>
      <c r="F780" s="1049">
        <v>38</v>
      </c>
      <c r="G780" s="1049">
        <v>0</v>
      </c>
      <c r="H780" s="564"/>
      <c r="I780" s="609"/>
      <c r="J780" s="1155"/>
      <c r="K780" s="609"/>
      <c r="L780" s="609"/>
      <c r="M780" s="609"/>
      <c r="N780" s="599"/>
      <c r="O780" s="552" t="s">
        <v>1584</v>
      </c>
      <c r="P780" s="603"/>
      <c r="Q780" s="682"/>
      <c r="R780" s="682"/>
      <c r="S780" s="682"/>
      <c r="T780" s="682"/>
      <c r="U780" s="682"/>
      <c r="V780" s="682"/>
      <c r="W780" s="682"/>
      <c r="X780" s="682"/>
    </row>
    <row r="781" spans="1:24">
      <c r="A781" s="1045">
        <f t="shared" si="11"/>
        <v>9</v>
      </c>
      <c r="B781" s="134">
        <v>45565</v>
      </c>
      <c r="C781" s="70">
        <v>2018</v>
      </c>
      <c r="D781" s="70" t="s">
        <v>58</v>
      </c>
      <c r="E781" s="280" t="s">
        <v>3347</v>
      </c>
      <c r="F781" s="1049">
        <v>1.38</v>
      </c>
      <c r="G781" s="1049">
        <v>0</v>
      </c>
      <c r="H781" s="564"/>
      <c r="I781" s="609"/>
      <c r="J781" s="1155"/>
      <c r="K781" s="609"/>
      <c r="L781" s="609"/>
      <c r="M781" s="609"/>
      <c r="N781" s="599"/>
      <c r="O781" s="552" t="s">
        <v>1584</v>
      </c>
      <c r="P781" s="603"/>
      <c r="Q781" s="682"/>
      <c r="R781" s="682"/>
      <c r="S781" s="682"/>
      <c r="T781" s="682"/>
      <c r="U781" s="682"/>
      <c r="V781" s="682"/>
      <c r="W781" s="682"/>
      <c r="X781" s="682"/>
    </row>
    <row r="782" spans="1:24">
      <c r="A782" s="1045">
        <f t="shared" si="11"/>
        <v>9</v>
      </c>
      <c r="B782" s="134">
        <v>45565</v>
      </c>
      <c r="C782" s="70">
        <v>6017</v>
      </c>
      <c r="D782" s="70" t="s">
        <v>108</v>
      </c>
      <c r="E782" s="280" t="s">
        <v>3347</v>
      </c>
      <c r="F782" s="1049">
        <v>38</v>
      </c>
      <c r="G782" s="1049">
        <v>0</v>
      </c>
      <c r="H782" s="564"/>
      <c r="I782" s="609"/>
      <c r="J782" s="1155"/>
      <c r="K782" s="609"/>
      <c r="L782" s="609"/>
      <c r="M782" s="609"/>
      <c r="N782" s="599"/>
      <c r="O782" s="552" t="s">
        <v>1584</v>
      </c>
      <c r="P782" s="603"/>
      <c r="Q782" s="682"/>
      <c r="R782" s="682"/>
      <c r="S782" s="682"/>
      <c r="T782" s="682"/>
      <c r="U782" s="682"/>
      <c r="V782" s="682"/>
      <c r="W782" s="682"/>
      <c r="X782" s="682"/>
    </row>
    <row r="783" spans="1:24">
      <c r="A783" s="1045">
        <f t="shared" si="11"/>
        <v>9</v>
      </c>
      <c r="B783" s="134">
        <v>45565</v>
      </c>
      <c r="C783" s="70">
        <v>2018</v>
      </c>
      <c r="D783" s="70" t="s">
        <v>58</v>
      </c>
      <c r="E783" s="280" t="s">
        <v>3347</v>
      </c>
      <c r="F783" s="1049">
        <v>1.38</v>
      </c>
      <c r="G783" s="1049">
        <v>0</v>
      </c>
      <c r="H783" s="564"/>
      <c r="I783" s="609"/>
      <c r="J783" s="1155"/>
      <c r="K783" s="609"/>
      <c r="L783" s="609"/>
      <c r="M783" s="609"/>
      <c r="N783" s="599"/>
      <c r="O783" s="552" t="s">
        <v>1584</v>
      </c>
      <c r="P783" s="603"/>
      <c r="Q783" s="682"/>
      <c r="R783" s="682"/>
      <c r="S783" s="682"/>
      <c r="T783" s="682"/>
      <c r="U783" s="682"/>
      <c r="V783" s="682"/>
      <c r="W783" s="682"/>
      <c r="X783" s="682"/>
    </row>
    <row r="784" spans="1:24">
      <c r="A784" s="1045">
        <f t="shared" si="11"/>
        <v>9</v>
      </c>
      <c r="B784" s="134">
        <v>45565</v>
      </c>
      <c r="C784" s="70">
        <v>6250</v>
      </c>
      <c r="D784" s="70" t="s">
        <v>129</v>
      </c>
      <c r="E784" s="280" t="s">
        <v>3348</v>
      </c>
      <c r="F784" s="1049">
        <v>14.29</v>
      </c>
      <c r="G784" s="1049">
        <v>0</v>
      </c>
      <c r="H784" s="564"/>
      <c r="I784" s="609"/>
      <c r="J784" s="1155"/>
      <c r="K784" s="609"/>
      <c r="L784" s="609"/>
      <c r="M784" s="609"/>
      <c r="N784" s="599"/>
      <c r="O784" s="552" t="s">
        <v>1584</v>
      </c>
      <c r="P784" s="603"/>
      <c r="Q784" s="682"/>
      <c r="R784" s="682"/>
      <c r="S784" s="682"/>
      <c r="T784" s="682"/>
      <c r="U784" s="682"/>
      <c r="V784" s="682"/>
      <c r="W784" s="682"/>
      <c r="X784" s="682"/>
    </row>
    <row r="785" spans="1:24">
      <c r="A785" s="1045">
        <f t="shared" si="11"/>
        <v>9</v>
      </c>
      <c r="B785" s="134">
        <v>45565</v>
      </c>
      <c r="C785" s="70">
        <v>2018</v>
      </c>
      <c r="D785" s="70" t="s">
        <v>58</v>
      </c>
      <c r="E785" s="280" t="s">
        <v>3348</v>
      </c>
      <c r="F785" s="1049">
        <v>0.71</v>
      </c>
      <c r="G785" s="1049">
        <v>0</v>
      </c>
      <c r="H785" s="564"/>
      <c r="I785" s="609"/>
      <c r="J785" s="1155"/>
      <c r="K785" s="609"/>
      <c r="L785" s="609"/>
      <c r="M785" s="609"/>
      <c r="N785" s="599"/>
      <c r="O785" s="552" t="s">
        <v>1584</v>
      </c>
      <c r="P785" s="603"/>
      <c r="Q785" s="682"/>
      <c r="R785" s="682"/>
      <c r="S785" s="682"/>
      <c r="T785" s="682"/>
      <c r="U785" s="682"/>
      <c r="V785" s="682"/>
      <c r="W785" s="682"/>
      <c r="X785" s="682"/>
    </row>
    <row r="786" spans="1:24">
      <c r="A786" s="1045">
        <f t="shared" si="11"/>
        <v>9</v>
      </c>
      <c r="B786" s="134">
        <v>45565</v>
      </c>
      <c r="C786" s="70">
        <v>6017</v>
      </c>
      <c r="D786" s="70" t="s">
        <v>108</v>
      </c>
      <c r="E786" s="280" t="s">
        <v>3347</v>
      </c>
      <c r="F786" s="1049">
        <v>50</v>
      </c>
      <c r="G786" s="1049">
        <v>0</v>
      </c>
      <c r="H786" s="564"/>
      <c r="I786" s="609"/>
      <c r="J786" s="1155"/>
      <c r="K786" s="609"/>
      <c r="L786" s="609"/>
      <c r="M786" s="609"/>
      <c r="N786" s="599"/>
      <c r="O786" s="552" t="s">
        <v>1584</v>
      </c>
      <c r="P786" s="603"/>
      <c r="Q786" s="682"/>
      <c r="R786" s="682"/>
      <c r="S786" s="682"/>
      <c r="T786" s="682"/>
      <c r="U786" s="682"/>
      <c r="V786" s="682"/>
      <c r="W786" s="682"/>
      <c r="X786" s="682"/>
    </row>
    <row r="787" spans="1:24">
      <c r="A787" s="1045">
        <f t="shared" si="11"/>
        <v>9</v>
      </c>
      <c r="B787" s="134">
        <v>45565</v>
      </c>
      <c r="C787" s="70">
        <v>6250</v>
      </c>
      <c r="D787" s="70" t="s">
        <v>129</v>
      </c>
      <c r="E787" s="280" t="s">
        <v>3349</v>
      </c>
      <c r="F787" s="1049">
        <v>35</v>
      </c>
      <c r="G787" s="1049">
        <v>0</v>
      </c>
      <c r="H787" s="564"/>
      <c r="I787" s="609"/>
      <c r="J787" s="1155"/>
      <c r="K787" s="609"/>
      <c r="L787" s="609"/>
      <c r="M787" s="609"/>
      <c r="N787" s="599"/>
      <c r="O787" s="552" t="s">
        <v>1584</v>
      </c>
      <c r="P787" s="603"/>
      <c r="Q787" s="682"/>
      <c r="R787" s="682"/>
      <c r="S787" s="682"/>
      <c r="T787" s="682"/>
      <c r="U787" s="682"/>
      <c r="V787" s="682"/>
      <c r="W787" s="682"/>
      <c r="X787" s="682"/>
    </row>
    <row r="788" spans="1:24">
      <c r="A788" s="1045">
        <f t="shared" si="11"/>
        <v>9</v>
      </c>
      <c r="B788" s="134">
        <v>45565</v>
      </c>
      <c r="C788" s="70">
        <v>2018</v>
      </c>
      <c r="D788" s="70" t="s">
        <v>58</v>
      </c>
      <c r="E788" s="280" t="s">
        <v>3349</v>
      </c>
      <c r="F788" s="1049">
        <v>1.42</v>
      </c>
      <c r="G788" s="1049">
        <v>0</v>
      </c>
      <c r="H788" s="564"/>
      <c r="I788" s="609"/>
      <c r="J788" s="1155"/>
      <c r="K788" s="609"/>
      <c r="L788" s="609"/>
      <c r="M788" s="609"/>
      <c r="N788" s="599"/>
      <c r="O788" s="552" t="s">
        <v>1584</v>
      </c>
      <c r="P788" s="603"/>
      <c r="Q788" s="682"/>
      <c r="R788" s="682"/>
      <c r="S788" s="682"/>
      <c r="T788" s="682"/>
      <c r="U788" s="682"/>
      <c r="V788" s="682"/>
      <c r="W788" s="682"/>
      <c r="X788" s="682"/>
    </row>
    <row r="789" spans="1:24">
      <c r="A789" s="1045">
        <f t="shared" ref="A789:A852" si="13">IF(B789="","",MONTH(B789))</f>
        <v>9</v>
      </c>
      <c r="B789" s="134">
        <v>45565</v>
      </c>
      <c r="C789" s="70">
        <v>6017</v>
      </c>
      <c r="D789" s="70" t="s">
        <v>108</v>
      </c>
      <c r="E789" s="280" t="s">
        <v>3350</v>
      </c>
      <c r="F789" s="1049">
        <v>35</v>
      </c>
      <c r="G789" s="1049">
        <v>0</v>
      </c>
      <c r="H789" s="564"/>
      <c r="I789" s="609"/>
      <c r="J789" s="1155"/>
      <c r="K789" s="609"/>
      <c r="L789" s="609"/>
      <c r="M789" s="609"/>
      <c r="N789" s="599"/>
      <c r="O789" s="552" t="s">
        <v>1584</v>
      </c>
      <c r="P789" s="603"/>
      <c r="Q789" s="682"/>
      <c r="R789" s="682"/>
      <c r="S789" s="682"/>
      <c r="T789" s="682"/>
      <c r="U789" s="682"/>
      <c r="V789" s="682"/>
      <c r="W789" s="682"/>
      <c r="X789" s="682"/>
    </row>
    <row r="790" spans="1:24">
      <c r="A790" s="1045">
        <f t="shared" si="13"/>
        <v>9</v>
      </c>
      <c r="B790" s="134">
        <v>45565</v>
      </c>
      <c r="C790" s="70">
        <v>2018</v>
      </c>
      <c r="D790" s="70" t="s">
        <v>58</v>
      </c>
      <c r="E790" s="280" t="s">
        <v>3350</v>
      </c>
      <c r="F790" s="1049">
        <v>1</v>
      </c>
      <c r="G790" s="1049">
        <v>0</v>
      </c>
      <c r="H790" s="564"/>
      <c r="I790" s="609"/>
      <c r="J790" s="1155"/>
      <c r="K790" s="609"/>
      <c r="L790" s="609"/>
      <c r="M790" s="609"/>
      <c r="N790" s="599"/>
      <c r="O790" s="552" t="s">
        <v>1584</v>
      </c>
      <c r="P790" s="603"/>
      <c r="Q790" s="682"/>
      <c r="R790" s="682"/>
      <c r="S790" s="682"/>
      <c r="T790" s="682"/>
      <c r="U790" s="682"/>
      <c r="V790" s="682"/>
      <c r="W790" s="682"/>
      <c r="X790" s="682"/>
    </row>
    <row r="791" spans="1:24">
      <c r="A791" s="1045">
        <f t="shared" si="13"/>
        <v>9</v>
      </c>
      <c r="B791" s="134">
        <v>45565</v>
      </c>
      <c r="C791" s="70">
        <v>6250</v>
      </c>
      <c r="D791" s="70" t="s">
        <v>129</v>
      </c>
      <c r="E791" s="280" t="s">
        <v>3349</v>
      </c>
      <c r="F791" s="1049">
        <v>60</v>
      </c>
      <c r="G791" s="1049">
        <v>0</v>
      </c>
      <c r="H791" s="564"/>
      <c r="I791" s="609"/>
      <c r="J791" s="1155"/>
      <c r="K791" s="609"/>
      <c r="L791" s="609"/>
      <c r="M791" s="609"/>
      <c r="N791" s="599"/>
      <c r="O791" s="552" t="s">
        <v>1584</v>
      </c>
      <c r="P791" s="603"/>
      <c r="Q791" s="682"/>
      <c r="R791" s="682"/>
      <c r="S791" s="682"/>
      <c r="T791" s="682"/>
      <c r="U791" s="682"/>
      <c r="V791" s="682"/>
      <c r="W791" s="682"/>
      <c r="X791" s="682"/>
    </row>
    <row r="792" spans="1:24">
      <c r="A792" s="1045">
        <f t="shared" si="13"/>
        <v>9</v>
      </c>
      <c r="B792" s="134">
        <v>45565</v>
      </c>
      <c r="C792" s="70">
        <v>2018</v>
      </c>
      <c r="D792" s="70" t="s">
        <v>58</v>
      </c>
      <c r="E792" s="280" t="s">
        <v>3349</v>
      </c>
      <c r="F792" s="1049">
        <v>3</v>
      </c>
      <c r="G792" s="1049">
        <v>0</v>
      </c>
      <c r="H792" s="564"/>
      <c r="I792" s="609"/>
      <c r="J792" s="1155"/>
      <c r="K792" s="609"/>
      <c r="L792" s="609"/>
      <c r="M792" s="609"/>
      <c r="N792" s="599"/>
      <c r="O792" s="552" t="s">
        <v>1584</v>
      </c>
      <c r="P792" s="603"/>
      <c r="Q792" s="682"/>
      <c r="R792" s="682"/>
      <c r="S792" s="682"/>
      <c r="T792" s="682"/>
      <c r="U792" s="682"/>
      <c r="V792" s="682"/>
      <c r="W792" s="682"/>
      <c r="X792" s="682"/>
    </row>
    <row r="793" spans="1:24">
      <c r="A793" s="1045">
        <f t="shared" si="13"/>
        <v>9</v>
      </c>
      <c r="B793" s="134">
        <v>45565</v>
      </c>
      <c r="C793" s="70">
        <v>6017</v>
      </c>
      <c r="D793" s="70" t="s">
        <v>108</v>
      </c>
      <c r="E793" s="280" t="s">
        <v>3351</v>
      </c>
      <c r="F793" s="1049">
        <v>35</v>
      </c>
      <c r="G793" s="1049">
        <v>0</v>
      </c>
      <c r="H793" s="564"/>
      <c r="I793" s="609"/>
      <c r="J793" s="1155"/>
      <c r="K793" s="609"/>
      <c r="L793" s="609"/>
      <c r="M793" s="609"/>
      <c r="N793" s="599"/>
      <c r="O793" s="552" t="s">
        <v>1584</v>
      </c>
      <c r="P793" s="603"/>
      <c r="Q793" s="682"/>
      <c r="R793" s="682"/>
      <c r="S793" s="682"/>
      <c r="T793" s="682"/>
      <c r="U793" s="682"/>
      <c r="V793" s="682"/>
      <c r="W793" s="682"/>
      <c r="X793" s="682"/>
    </row>
    <row r="794" spans="1:24">
      <c r="A794" s="1045">
        <f t="shared" si="13"/>
        <v>9</v>
      </c>
      <c r="B794" s="134">
        <v>45565</v>
      </c>
      <c r="C794" s="70">
        <v>6250</v>
      </c>
      <c r="D794" s="70" t="s">
        <v>129</v>
      </c>
      <c r="E794" s="280" t="s">
        <v>3352</v>
      </c>
      <c r="F794" s="1049">
        <v>24</v>
      </c>
      <c r="G794" s="1049">
        <v>0</v>
      </c>
      <c r="H794" s="564"/>
      <c r="I794" s="609"/>
      <c r="J794" s="1155"/>
      <c r="K794" s="609"/>
      <c r="L794" s="609"/>
      <c r="M794" s="609"/>
      <c r="N794" s="599"/>
      <c r="O794" s="552" t="s">
        <v>1584</v>
      </c>
      <c r="P794" s="603"/>
      <c r="Q794" s="682"/>
      <c r="R794" s="682"/>
      <c r="S794" s="682"/>
      <c r="T794" s="682"/>
      <c r="U794" s="682"/>
      <c r="V794" s="682"/>
      <c r="W794" s="682"/>
      <c r="X794" s="682"/>
    </row>
    <row r="795" spans="1:24">
      <c r="A795" s="1045">
        <f t="shared" si="13"/>
        <v>9</v>
      </c>
      <c r="B795" s="134">
        <v>45565</v>
      </c>
      <c r="C795" s="70">
        <v>2018</v>
      </c>
      <c r="D795" s="70" t="s">
        <v>58</v>
      </c>
      <c r="E795" s="280" t="s">
        <v>3352</v>
      </c>
      <c r="F795" s="1049">
        <v>1.2</v>
      </c>
      <c r="G795" s="1049">
        <v>0</v>
      </c>
      <c r="H795" s="564"/>
      <c r="I795" s="609"/>
      <c r="J795" s="1155"/>
      <c r="K795" s="609"/>
      <c r="L795" s="609"/>
      <c r="M795" s="609"/>
      <c r="N795" s="599"/>
      <c r="O795" s="552" t="s">
        <v>1584</v>
      </c>
      <c r="P795" s="603"/>
      <c r="Q795" s="682"/>
      <c r="R795" s="682"/>
      <c r="S795" s="682"/>
      <c r="T795" s="682"/>
      <c r="U795" s="682"/>
      <c r="V795" s="682"/>
      <c r="W795" s="682"/>
      <c r="X795" s="682"/>
    </row>
    <row r="796" spans="1:24">
      <c r="A796" s="1045">
        <f t="shared" si="13"/>
        <v>9</v>
      </c>
      <c r="B796" s="134">
        <v>45565</v>
      </c>
      <c r="C796" s="70">
        <v>6050</v>
      </c>
      <c r="D796" s="70" t="s">
        <v>125</v>
      </c>
      <c r="E796" s="280" t="s">
        <v>3353</v>
      </c>
      <c r="F796" s="1049">
        <v>400</v>
      </c>
      <c r="G796" s="1049">
        <v>0</v>
      </c>
      <c r="H796" s="564"/>
      <c r="I796" s="609"/>
      <c r="J796" s="1155"/>
      <c r="K796" s="609"/>
      <c r="L796" s="609"/>
      <c r="M796" s="609"/>
      <c r="N796" s="599"/>
      <c r="O796" s="552" t="s">
        <v>1584</v>
      </c>
      <c r="P796" s="603"/>
      <c r="Q796" s="682"/>
      <c r="R796" s="682"/>
      <c r="S796" s="682"/>
      <c r="T796" s="682"/>
      <c r="U796" s="682"/>
      <c r="V796" s="682"/>
      <c r="W796" s="682"/>
      <c r="X796" s="682"/>
    </row>
    <row r="797" spans="1:24">
      <c r="A797" s="1045">
        <f t="shared" si="13"/>
        <v>9</v>
      </c>
      <c r="B797" s="134">
        <v>45565</v>
      </c>
      <c r="C797" s="70">
        <v>6017</v>
      </c>
      <c r="D797" s="70" t="s">
        <v>108</v>
      </c>
      <c r="E797" s="280" t="s">
        <v>3354</v>
      </c>
      <c r="F797" s="1049">
        <v>142.86000000000001</v>
      </c>
      <c r="G797" s="1049">
        <v>0</v>
      </c>
      <c r="H797" s="564"/>
      <c r="I797" s="609"/>
      <c r="J797" s="1155"/>
      <c r="K797" s="609"/>
      <c r="L797" s="609"/>
      <c r="M797" s="609"/>
      <c r="N797" s="599"/>
      <c r="O797" s="552" t="s">
        <v>1584</v>
      </c>
      <c r="P797" s="603"/>
      <c r="Q797" s="682"/>
      <c r="R797" s="682"/>
      <c r="S797" s="682"/>
      <c r="T797" s="682"/>
      <c r="U797" s="682"/>
      <c r="V797" s="682"/>
      <c r="W797" s="682"/>
      <c r="X797" s="682"/>
    </row>
    <row r="798" spans="1:24">
      <c r="A798" s="1045">
        <f t="shared" si="13"/>
        <v>9</v>
      </c>
      <c r="B798" s="134">
        <v>45565</v>
      </c>
      <c r="C798" s="70">
        <v>2018</v>
      </c>
      <c r="D798" s="70" t="s">
        <v>58</v>
      </c>
      <c r="E798" s="280" t="s">
        <v>3354</v>
      </c>
      <c r="F798" s="1049">
        <v>7.14</v>
      </c>
      <c r="G798" s="1049">
        <v>0</v>
      </c>
      <c r="H798" s="564"/>
      <c r="I798" s="609"/>
      <c r="J798" s="1155"/>
      <c r="K798" s="609"/>
      <c r="L798" s="609"/>
      <c r="M798" s="609"/>
      <c r="N798" s="599"/>
      <c r="O798" s="552" t="s">
        <v>1584</v>
      </c>
      <c r="P798" s="603"/>
      <c r="Q798" s="682"/>
      <c r="R798" s="682"/>
      <c r="S798" s="682"/>
      <c r="T798" s="682"/>
      <c r="U798" s="682"/>
      <c r="V798" s="682"/>
      <c r="W798" s="682"/>
      <c r="X798" s="682"/>
    </row>
    <row r="799" spans="1:24">
      <c r="A799" s="1045">
        <f t="shared" si="13"/>
        <v>9</v>
      </c>
      <c r="B799" s="134">
        <v>45565</v>
      </c>
      <c r="C799" s="70">
        <v>6017</v>
      </c>
      <c r="D799" s="70" t="s">
        <v>108</v>
      </c>
      <c r="E799" s="280" t="s">
        <v>3355</v>
      </c>
      <c r="F799" s="1049">
        <v>140</v>
      </c>
      <c r="G799" s="1049">
        <v>0</v>
      </c>
      <c r="H799" s="564"/>
      <c r="I799" s="609"/>
      <c r="J799" s="1155"/>
      <c r="K799" s="609"/>
      <c r="L799" s="609"/>
      <c r="M799" s="609"/>
      <c r="N799" s="599"/>
      <c r="O799" s="552" t="s">
        <v>1584</v>
      </c>
      <c r="P799" s="603"/>
      <c r="Q799" s="682"/>
      <c r="R799" s="682"/>
      <c r="S799" s="682"/>
      <c r="T799" s="682"/>
      <c r="U799" s="682"/>
      <c r="V799" s="682"/>
      <c r="W799" s="682"/>
      <c r="X799" s="682"/>
    </row>
    <row r="800" spans="1:24">
      <c r="A800" s="1045">
        <f t="shared" si="13"/>
        <v>9</v>
      </c>
      <c r="B800" s="134">
        <v>45565</v>
      </c>
      <c r="C800" s="70">
        <v>2018</v>
      </c>
      <c r="D800" s="70" t="s">
        <v>58</v>
      </c>
      <c r="E800" s="280" t="s">
        <v>3356</v>
      </c>
      <c r="F800" s="1049">
        <v>7</v>
      </c>
      <c r="G800" s="1049">
        <v>0</v>
      </c>
      <c r="H800" s="564"/>
      <c r="I800" s="609"/>
      <c r="J800" s="1155"/>
      <c r="K800" s="609"/>
      <c r="L800" s="609"/>
      <c r="M800" s="609"/>
      <c r="N800" s="599"/>
      <c r="O800" s="552" t="s">
        <v>1584</v>
      </c>
      <c r="P800" s="603"/>
      <c r="Q800" s="682"/>
      <c r="R800" s="682"/>
      <c r="S800" s="682"/>
      <c r="T800" s="682"/>
      <c r="U800" s="682"/>
      <c r="V800" s="682"/>
      <c r="W800" s="682"/>
      <c r="X800" s="682"/>
    </row>
    <row r="801" spans="1:24">
      <c r="A801" s="1045">
        <f t="shared" si="13"/>
        <v>9</v>
      </c>
      <c r="B801" s="134">
        <v>45565</v>
      </c>
      <c r="C801" s="70">
        <v>6017</v>
      </c>
      <c r="D801" s="70" t="s">
        <v>108</v>
      </c>
      <c r="E801" s="280" t="s">
        <v>3355</v>
      </c>
      <c r="F801" s="1049">
        <v>9.52</v>
      </c>
      <c r="G801" s="1049">
        <v>0</v>
      </c>
      <c r="H801" s="564"/>
      <c r="I801" s="609"/>
      <c r="J801" s="1155"/>
      <c r="K801" s="609"/>
      <c r="L801" s="609"/>
      <c r="M801" s="609"/>
      <c r="N801" s="599"/>
      <c r="O801" s="552" t="s">
        <v>1584</v>
      </c>
      <c r="P801" s="603"/>
      <c r="Q801" s="682"/>
      <c r="R801" s="682"/>
      <c r="S801" s="682"/>
      <c r="T801" s="682"/>
      <c r="U801" s="682"/>
      <c r="V801" s="682"/>
      <c r="W801" s="682"/>
      <c r="X801" s="682"/>
    </row>
    <row r="802" spans="1:24">
      <c r="A802" s="1045">
        <f t="shared" si="13"/>
        <v>9</v>
      </c>
      <c r="B802" s="134">
        <v>45565</v>
      </c>
      <c r="C802" s="70">
        <v>2018</v>
      </c>
      <c r="D802" s="70" t="s">
        <v>58</v>
      </c>
      <c r="E802" s="280" t="s">
        <v>3355</v>
      </c>
      <c r="F802" s="1049">
        <v>0.48</v>
      </c>
      <c r="G802" s="1049">
        <v>0</v>
      </c>
      <c r="H802" s="564"/>
      <c r="I802" s="609"/>
      <c r="J802" s="1155"/>
      <c r="K802" s="609"/>
      <c r="L802" s="609"/>
      <c r="M802" s="609"/>
      <c r="N802" s="599"/>
      <c r="O802" s="552" t="s">
        <v>1584</v>
      </c>
      <c r="P802" s="603"/>
      <c r="Q802" s="682"/>
      <c r="R802" s="682"/>
      <c r="S802" s="682"/>
      <c r="T802" s="682"/>
      <c r="U802" s="682"/>
      <c r="V802" s="682"/>
      <c r="W802" s="682"/>
      <c r="X802" s="682"/>
    </row>
    <row r="803" spans="1:24">
      <c r="A803" s="1045">
        <f t="shared" si="13"/>
        <v>9</v>
      </c>
      <c r="B803" s="134">
        <v>45565</v>
      </c>
      <c r="C803" s="70">
        <v>6017</v>
      </c>
      <c r="D803" s="70" t="s">
        <v>108</v>
      </c>
      <c r="E803" s="280" t="s">
        <v>3357</v>
      </c>
      <c r="F803" s="1049">
        <v>9.52</v>
      </c>
      <c r="G803" s="1049">
        <v>0</v>
      </c>
      <c r="H803" s="564"/>
      <c r="I803" s="609"/>
      <c r="J803" s="1155"/>
      <c r="K803" s="609"/>
      <c r="L803" s="609"/>
      <c r="M803" s="609"/>
      <c r="N803" s="599"/>
      <c r="O803" s="552" t="s">
        <v>1584</v>
      </c>
      <c r="P803" s="603"/>
      <c r="Q803" s="682"/>
      <c r="R803" s="682"/>
      <c r="S803" s="682"/>
      <c r="T803" s="682"/>
      <c r="U803" s="682"/>
      <c r="V803" s="682"/>
      <c r="W803" s="682"/>
      <c r="X803" s="682"/>
    </row>
    <row r="804" spans="1:24">
      <c r="A804" s="1045">
        <f t="shared" si="13"/>
        <v>9</v>
      </c>
      <c r="B804" s="134">
        <v>45565</v>
      </c>
      <c r="C804" s="70">
        <v>2018</v>
      </c>
      <c r="D804" s="70" t="s">
        <v>58</v>
      </c>
      <c r="E804" s="280" t="s">
        <v>3357</v>
      </c>
      <c r="F804" s="1049">
        <v>48</v>
      </c>
      <c r="G804" s="1049">
        <v>0</v>
      </c>
      <c r="H804" s="564"/>
      <c r="I804" s="609"/>
      <c r="J804" s="1155"/>
      <c r="K804" s="609"/>
      <c r="L804" s="609"/>
      <c r="M804" s="609"/>
      <c r="N804" s="599"/>
      <c r="O804" s="552" t="s">
        <v>1584</v>
      </c>
      <c r="P804" s="603"/>
      <c r="Q804" s="682"/>
      <c r="R804" s="682"/>
      <c r="S804" s="682"/>
      <c r="T804" s="682"/>
      <c r="U804" s="682"/>
      <c r="V804" s="682"/>
      <c r="W804" s="682"/>
      <c r="X804" s="682"/>
    </row>
    <row r="805" spans="1:24">
      <c r="A805" s="1045">
        <f t="shared" si="13"/>
        <v>9</v>
      </c>
      <c r="B805" s="134">
        <v>45565</v>
      </c>
      <c r="C805" s="70">
        <v>6017</v>
      </c>
      <c r="D805" s="70" t="s">
        <v>108</v>
      </c>
      <c r="E805" s="280" t="s">
        <v>3358</v>
      </c>
      <c r="F805" s="1049">
        <v>642.86</v>
      </c>
      <c r="G805" s="1049">
        <v>0</v>
      </c>
      <c r="H805" s="564"/>
      <c r="I805" s="609"/>
      <c r="J805" s="1155"/>
      <c r="K805" s="609"/>
      <c r="L805" s="609"/>
      <c r="M805" s="609"/>
      <c r="N805" s="599"/>
      <c r="O805" s="552" t="s">
        <v>1584</v>
      </c>
      <c r="P805" s="603"/>
      <c r="Q805" s="682"/>
      <c r="R805" s="682"/>
      <c r="S805" s="682"/>
      <c r="T805" s="682"/>
      <c r="U805" s="682"/>
      <c r="V805" s="682"/>
      <c r="W805" s="682"/>
      <c r="X805" s="682"/>
    </row>
    <row r="806" spans="1:24">
      <c r="A806" s="1045">
        <f t="shared" si="13"/>
        <v>9</v>
      </c>
      <c r="B806" s="134">
        <v>45565</v>
      </c>
      <c r="C806" s="70">
        <v>2018</v>
      </c>
      <c r="D806" s="70" t="s">
        <v>58</v>
      </c>
      <c r="E806" s="280" t="s">
        <v>3358</v>
      </c>
      <c r="F806" s="1049">
        <v>32.14</v>
      </c>
      <c r="G806" s="1049">
        <v>0</v>
      </c>
      <c r="H806" s="564"/>
      <c r="I806" s="609"/>
      <c r="J806" s="1155"/>
      <c r="K806" s="609"/>
      <c r="L806" s="609"/>
      <c r="M806" s="609"/>
      <c r="N806" s="599"/>
      <c r="O806" s="552" t="s">
        <v>1584</v>
      </c>
      <c r="P806" s="603"/>
      <c r="Q806" s="682"/>
      <c r="R806" s="682"/>
      <c r="S806" s="682"/>
      <c r="T806" s="682"/>
      <c r="U806" s="682"/>
      <c r="V806" s="682"/>
      <c r="W806" s="682"/>
      <c r="X806" s="682"/>
    </row>
    <row r="807" spans="1:24">
      <c r="A807" s="1045">
        <f t="shared" si="13"/>
        <v>9</v>
      </c>
      <c r="B807" s="134">
        <v>45565</v>
      </c>
      <c r="C807" s="70">
        <v>6007</v>
      </c>
      <c r="D807" s="70" t="s">
        <v>98</v>
      </c>
      <c r="E807" s="280" t="s">
        <v>3359</v>
      </c>
      <c r="F807" s="1049">
        <v>200</v>
      </c>
      <c r="G807" s="1049">
        <v>0</v>
      </c>
      <c r="H807" s="564"/>
      <c r="I807" s="609"/>
      <c r="J807" s="1155"/>
      <c r="K807" s="609"/>
      <c r="L807" s="609"/>
      <c r="M807" s="609"/>
      <c r="N807" s="599"/>
      <c r="O807" s="552" t="s">
        <v>1584</v>
      </c>
      <c r="P807" s="603"/>
      <c r="Q807" s="682"/>
      <c r="R807" s="682"/>
      <c r="S807" s="682"/>
      <c r="T807" s="682"/>
      <c r="U807" s="682"/>
      <c r="V807" s="682"/>
      <c r="W807" s="682"/>
      <c r="X807" s="682"/>
    </row>
    <row r="808" spans="1:24">
      <c r="A808" s="1045">
        <f t="shared" si="13"/>
        <v>9</v>
      </c>
      <c r="B808" s="134">
        <v>45565</v>
      </c>
      <c r="C808" s="70">
        <v>6024</v>
      </c>
      <c r="D808" s="70" t="s">
        <v>115</v>
      </c>
      <c r="E808" s="280" t="s">
        <v>3360</v>
      </c>
      <c r="F808" s="1049">
        <v>170</v>
      </c>
      <c r="G808" s="1049">
        <v>0</v>
      </c>
      <c r="H808" s="564"/>
      <c r="I808" s="609"/>
      <c r="J808" s="1155"/>
      <c r="K808" s="609"/>
      <c r="L808" s="609"/>
      <c r="M808" s="609"/>
      <c r="N808" s="599"/>
      <c r="O808" s="552" t="s">
        <v>1584</v>
      </c>
      <c r="P808" s="603"/>
      <c r="Q808" s="682"/>
      <c r="R808" s="682"/>
      <c r="S808" s="682"/>
      <c r="T808" s="682"/>
      <c r="U808" s="682"/>
      <c r="V808" s="682"/>
      <c r="W808" s="682"/>
      <c r="X808" s="682"/>
    </row>
    <row r="809" spans="1:24">
      <c r="A809" s="1045">
        <f t="shared" si="13"/>
        <v>9</v>
      </c>
      <c r="B809" s="134">
        <v>45565</v>
      </c>
      <c r="C809" s="70">
        <v>6007</v>
      </c>
      <c r="D809" s="70" t="s">
        <v>98</v>
      </c>
      <c r="E809" s="280" t="s">
        <v>3361</v>
      </c>
      <c r="F809" s="1049">
        <v>400</v>
      </c>
      <c r="G809" s="1049">
        <v>0</v>
      </c>
      <c r="H809" s="564"/>
      <c r="I809" s="609"/>
      <c r="J809" s="1155"/>
      <c r="K809" s="609"/>
      <c r="L809" s="609"/>
      <c r="M809" s="609"/>
      <c r="N809" s="599"/>
      <c r="O809" s="552" t="s">
        <v>1584</v>
      </c>
      <c r="P809" s="603"/>
      <c r="Q809" s="682"/>
      <c r="R809" s="682"/>
      <c r="S809" s="682"/>
      <c r="T809" s="682"/>
      <c r="U809" s="682"/>
      <c r="V809" s="682"/>
      <c r="W809" s="682"/>
      <c r="X809" s="682"/>
    </row>
    <row r="810" spans="1:24">
      <c r="A810" s="1045">
        <f t="shared" si="13"/>
        <v>9</v>
      </c>
      <c r="B810" s="134">
        <v>45565</v>
      </c>
      <c r="C810" s="70">
        <v>6250</v>
      </c>
      <c r="D810" s="70" t="s">
        <v>129</v>
      </c>
      <c r="E810" s="280" t="s">
        <v>3362</v>
      </c>
      <c r="F810" s="1049">
        <v>100</v>
      </c>
      <c r="G810" s="1049">
        <v>0</v>
      </c>
      <c r="H810" s="564"/>
      <c r="I810" s="609"/>
      <c r="J810" s="1155"/>
      <c r="K810" s="609"/>
      <c r="L810" s="609"/>
      <c r="M810" s="609"/>
      <c r="N810" s="599"/>
      <c r="O810" s="552" t="s">
        <v>1584</v>
      </c>
      <c r="P810" s="603"/>
      <c r="Q810" s="682"/>
      <c r="R810" s="682"/>
      <c r="S810" s="682"/>
      <c r="T810" s="682"/>
      <c r="U810" s="682"/>
      <c r="V810" s="682"/>
      <c r="W810" s="682"/>
      <c r="X810" s="682"/>
    </row>
    <row r="811" spans="1:24">
      <c r="A811" s="1045">
        <f t="shared" si="13"/>
        <v>9</v>
      </c>
      <c r="B811" s="134">
        <v>45565</v>
      </c>
      <c r="C811" s="70">
        <v>6250</v>
      </c>
      <c r="D811" s="70" t="s">
        <v>129</v>
      </c>
      <c r="E811" s="280" t="s">
        <v>3363</v>
      </c>
      <c r="F811" s="1049">
        <v>30</v>
      </c>
      <c r="G811" s="1049">
        <v>0</v>
      </c>
      <c r="H811" s="564"/>
      <c r="I811" s="609"/>
      <c r="J811" s="1155"/>
      <c r="K811" s="609"/>
      <c r="L811" s="609"/>
      <c r="M811" s="609"/>
      <c r="N811" s="599"/>
      <c r="O811" s="552" t="s">
        <v>1584</v>
      </c>
      <c r="P811" s="603"/>
      <c r="Q811" s="682"/>
      <c r="R811" s="682"/>
      <c r="S811" s="682"/>
      <c r="T811" s="682"/>
      <c r="U811" s="682"/>
      <c r="V811" s="682"/>
      <c r="W811" s="682"/>
      <c r="X811" s="682"/>
    </row>
    <row r="812" spans="1:24">
      <c r="A812" s="1045">
        <f t="shared" si="13"/>
        <v>9</v>
      </c>
      <c r="B812" s="134">
        <v>45565</v>
      </c>
      <c r="C812" s="70">
        <v>1017</v>
      </c>
      <c r="D812" s="70" t="s">
        <v>5118</v>
      </c>
      <c r="E812" s="280" t="s">
        <v>3364</v>
      </c>
      <c r="F812" s="1049">
        <v>0</v>
      </c>
      <c r="G812" s="1049">
        <v>2870.9</v>
      </c>
      <c r="H812" s="564"/>
      <c r="I812" s="609"/>
      <c r="J812" s="1155"/>
      <c r="K812" s="609"/>
      <c r="L812" s="609"/>
      <c r="M812" s="609"/>
      <c r="N812" s="599"/>
      <c r="O812" s="552" t="s">
        <v>1584</v>
      </c>
      <c r="P812" s="603"/>
      <c r="Q812" s="682"/>
      <c r="R812" s="682"/>
      <c r="S812" s="682"/>
      <c r="T812" s="682"/>
      <c r="U812" s="682"/>
      <c r="V812" s="682"/>
      <c r="W812" s="682"/>
      <c r="X812" s="682"/>
    </row>
    <row r="813" spans="1:24">
      <c r="A813" s="1045">
        <f t="shared" si="13"/>
        <v>9</v>
      </c>
      <c r="B813" s="134">
        <v>45565</v>
      </c>
      <c r="C813" s="70">
        <v>1017</v>
      </c>
      <c r="D813" s="70" t="s">
        <v>5118</v>
      </c>
      <c r="E813" s="1141" t="s">
        <v>3365</v>
      </c>
      <c r="F813" s="1049">
        <v>15000</v>
      </c>
      <c r="G813" s="1049">
        <v>0</v>
      </c>
      <c r="H813" s="564"/>
      <c r="I813" s="609"/>
      <c r="J813" s="1155"/>
      <c r="K813" s="609"/>
      <c r="L813" s="609"/>
      <c r="M813" s="609"/>
      <c r="N813" s="599"/>
      <c r="O813" s="552" t="s">
        <v>1584</v>
      </c>
      <c r="P813" s="603"/>
      <c r="Q813" s="682"/>
      <c r="R813" s="682"/>
      <c r="S813" s="682"/>
      <c r="T813" s="682"/>
      <c r="U813" s="682"/>
      <c r="V813" s="682"/>
      <c r="W813" s="682"/>
      <c r="X813" s="682"/>
    </row>
    <row r="814" spans="1:24">
      <c r="A814" s="1045">
        <f t="shared" si="13"/>
        <v>10</v>
      </c>
      <c r="B814" s="134">
        <v>45566</v>
      </c>
      <c r="C814" s="70">
        <v>1022</v>
      </c>
      <c r="D814" s="70" t="s">
        <v>5119</v>
      </c>
      <c r="E814" s="280" t="s">
        <v>3365</v>
      </c>
      <c r="F814" s="1049">
        <v>0</v>
      </c>
      <c r="G814" s="1049">
        <v>15000</v>
      </c>
      <c r="H814" s="564"/>
      <c r="I814" s="609"/>
      <c r="J814" s="1155"/>
      <c r="K814" s="609"/>
      <c r="L814" s="609"/>
      <c r="M814" s="609"/>
      <c r="N814" s="599"/>
      <c r="O814" s="552" t="s">
        <v>1584</v>
      </c>
      <c r="P814" s="603"/>
      <c r="Q814" s="682"/>
      <c r="R814" s="682"/>
      <c r="S814" s="682"/>
      <c r="T814" s="682"/>
      <c r="U814" s="682"/>
      <c r="V814" s="682"/>
      <c r="W814" s="682"/>
      <c r="X814" s="682"/>
    </row>
    <row r="815" spans="1:24">
      <c r="A815" s="1045">
        <f t="shared" si="13"/>
        <v>10</v>
      </c>
      <c r="B815" s="134">
        <v>45566</v>
      </c>
      <c r="C815" s="70">
        <v>6011</v>
      </c>
      <c r="D815" s="70" t="s">
        <v>102</v>
      </c>
      <c r="E815" s="280" t="s">
        <v>3366</v>
      </c>
      <c r="F815" s="1049">
        <v>500</v>
      </c>
      <c r="G815" s="1049">
        <v>0</v>
      </c>
      <c r="H815" s="564"/>
      <c r="I815" s="609"/>
      <c r="J815" s="1155"/>
      <c r="K815" s="609"/>
      <c r="L815" s="609"/>
      <c r="M815" s="609"/>
      <c r="N815" s="599"/>
      <c r="O815" s="552" t="s">
        <v>1584</v>
      </c>
      <c r="P815" s="603"/>
      <c r="Q815" s="682"/>
      <c r="R815" s="682"/>
      <c r="S815" s="682"/>
      <c r="T815" s="682"/>
      <c r="U815" s="682"/>
      <c r="V815" s="682"/>
      <c r="W815" s="682"/>
      <c r="X815" s="682"/>
    </row>
    <row r="816" spans="1:24">
      <c r="A816" s="1045">
        <f t="shared" si="13"/>
        <v>10</v>
      </c>
      <c r="B816" s="134">
        <v>45566</v>
      </c>
      <c r="C816" s="70">
        <v>6011</v>
      </c>
      <c r="D816" s="70" t="s">
        <v>102</v>
      </c>
      <c r="E816" s="280" t="s">
        <v>3367</v>
      </c>
      <c r="F816" s="1049">
        <v>600</v>
      </c>
      <c r="G816" s="1049">
        <v>0</v>
      </c>
      <c r="H816" s="564"/>
      <c r="I816" s="609"/>
      <c r="J816" s="1155"/>
      <c r="K816" s="609"/>
      <c r="L816" s="609"/>
      <c r="M816" s="609"/>
      <c r="N816" s="599"/>
      <c r="O816" s="552" t="s">
        <v>1584</v>
      </c>
      <c r="P816" s="603"/>
      <c r="Q816" s="682"/>
      <c r="R816" s="682"/>
      <c r="S816" s="682"/>
      <c r="T816" s="682"/>
      <c r="U816" s="682"/>
      <c r="V816" s="682"/>
      <c r="W816" s="682"/>
      <c r="X816" s="682"/>
    </row>
    <row r="817" spans="1:24">
      <c r="A817" s="1045">
        <f t="shared" si="13"/>
        <v>10</v>
      </c>
      <c r="B817" s="134">
        <v>45566</v>
      </c>
      <c r="C817" s="70">
        <v>6011</v>
      </c>
      <c r="D817" s="70" t="s">
        <v>102</v>
      </c>
      <c r="E817" s="280" t="s">
        <v>3368</v>
      </c>
      <c r="F817" s="1049">
        <v>500</v>
      </c>
      <c r="G817" s="1049">
        <v>0</v>
      </c>
      <c r="H817" s="564"/>
      <c r="I817" s="609"/>
      <c r="J817" s="1155"/>
      <c r="K817" s="609"/>
      <c r="L817" s="609"/>
      <c r="M817" s="609"/>
      <c r="N817" s="599"/>
      <c r="O817" s="552" t="s">
        <v>1584</v>
      </c>
      <c r="P817" s="603"/>
      <c r="Q817" s="682"/>
      <c r="R817" s="682"/>
      <c r="S817" s="682"/>
      <c r="T817" s="682"/>
      <c r="U817" s="682"/>
      <c r="V817" s="682"/>
      <c r="W817" s="682"/>
      <c r="X817" s="682"/>
    </row>
    <row r="818" spans="1:24">
      <c r="A818" s="1045">
        <f t="shared" si="13"/>
        <v>10</v>
      </c>
      <c r="B818" s="134">
        <v>45566</v>
      </c>
      <c r="C818" s="70">
        <v>6011</v>
      </c>
      <c r="D818" s="70" t="s">
        <v>102</v>
      </c>
      <c r="E818" s="280" t="s">
        <v>3369</v>
      </c>
      <c r="F818" s="1049">
        <v>400</v>
      </c>
      <c r="G818" s="1049">
        <v>0</v>
      </c>
      <c r="H818" s="564"/>
      <c r="I818" s="609"/>
      <c r="J818" s="1155"/>
      <c r="K818" s="609"/>
      <c r="L818" s="609"/>
      <c r="M818" s="609"/>
      <c r="N818" s="599"/>
      <c r="O818" s="552" t="s">
        <v>1584</v>
      </c>
      <c r="P818" s="603"/>
      <c r="Q818" s="682"/>
      <c r="R818" s="682"/>
      <c r="S818" s="682"/>
      <c r="T818" s="682"/>
      <c r="U818" s="682"/>
      <c r="V818" s="682"/>
      <c r="W818" s="682"/>
      <c r="X818" s="682"/>
    </row>
    <row r="819" spans="1:24">
      <c r="A819" s="1045">
        <f t="shared" si="13"/>
        <v>10</v>
      </c>
      <c r="B819" s="134">
        <v>45566</v>
      </c>
      <c r="C819" s="70">
        <v>7200</v>
      </c>
      <c r="D819" s="70" t="s">
        <v>140</v>
      </c>
      <c r="E819" s="280" t="s">
        <v>3370</v>
      </c>
      <c r="F819" s="1049">
        <v>10</v>
      </c>
      <c r="G819" s="1049">
        <v>0</v>
      </c>
      <c r="H819" s="564"/>
      <c r="I819" s="609"/>
      <c r="J819" s="1155"/>
      <c r="K819" s="609"/>
      <c r="L819" s="609"/>
      <c r="M819" s="609"/>
      <c r="N819" s="599"/>
      <c r="O819" s="552" t="s">
        <v>1584</v>
      </c>
      <c r="P819" s="603"/>
      <c r="Q819" s="682"/>
      <c r="R819" s="682"/>
      <c r="S819" s="682"/>
      <c r="T819" s="682"/>
      <c r="U819" s="682"/>
      <c r="V819" s="682"/>
      <c r="W819" s="682"/>
      <c r="X819" s="682"/>
    </row>
    <row r="820" spans="1:24">
      <c r="A820" s="1045">
        <f t="shared" si="13"/>
        <v>10</v>
      </c>
      <c r="B820" s="134">
        <v>45566</v>
      </c>
      <c r="C820" s="70">
        <v>2018</v>
      </c>
      <c r="D820" s="70" t="s">
        <v>58</v>
      </c>
      <c r="E820" s="280" t="s">
        <v>3370</v>
      </c>
      <c r="F820" s="1049">
        <v>0.5</v>
      </c>
      <c r="G820" s="1049">
        <v>0</v>
      </c>
      <c r="H820" s="564"/>
      <c r="I820" s="609"/>
      <c r="J820" s="1155"/>
      <c r="K820" s="609"/>
      <c r="L820" s="609"/>
      <c r="M820" s="609"/>
      <c r="N820" s="599"/>
      <c r="O820" s="552" t="s">
        <v>1584</v>
      </c>
      <c r="P820" s="603"/>
      <c r="Q820" s="682"/>
      <c r="R820" s="682"/>
      <c r="S820" s="682"/>
      <c r="T820" s="682"/>
      <c r="U820" s="682"/>
      <c r="V820" s="682"/>
      <c r="W820" s="682"/>
      <c r="X820" s="682"/>
    </row>
    <row r="821" spans="1:24">
      <c r="A821" s="1045">
        <f t="shared" si="13"/>
        <v>10</v>
      </c>
      <c r="B821" s="134">
        <v>45566</v>
      </c>
      <c r="C821" s="70">
        <v>1025</v>
      </c>
      <c r="D821" s="70" t="s">
        <v>5120</v>
      </c>
      <c r="E821" s="280" t="s">
        <v>3370</v>
      </c>
      <c r="F821" s="1049">
        <v>0</v>
      </c>
      <c r="G821" s="1049">
        <v>2010.5</v>
      </c>
      <c r="H821" s="564"/>
      <c r="I821" s="609"/>
      <c r="J821" s="1155"/>
      <c r="K821" s="609"/>
      <c r="L821" s="609"/>
      <c r="M821" s="609"/>
      <c r="N821" s="599"/>
      <c r="O821" s="552" t="s">
        <v>1584</v>
      </c>
      <c r="P821" s="603"/>
      <c r="Q821" s="682"/>
      <c r="R821" s="682"/>
      <c r="S821" s="682"/>
      <c r="T821" s="682"/>
      <c r="U821" s="682"/>
      <c r="V821" s="682"/>
      <c r="W821" s="682"/>
      <c r="X821" s="682"/>
    </row>
    <row r="822" spans="1:24">
      <c r="A822" s="1045">
        <f t="shared" si="13"/>
        <v>10</v>
      </c>
      <c r="B822" s="134">
        <v>45571</v>
      </c>
      <c r="C822" s="70">
        <v>1017</v>
      </c>
      <c r="D822" s="70" t="s">
        <v>5118</v>
      </c>
      <c r="E822" s="280" t="s">
        <v>3371</v>
      </c>
      <c r="F822" s="1049">
        <v>15000</v>
      </c>
      <c r="G822" s="1049">
        <v>0</v>
      </c>
      <c r="H822" s="564"/>
      <c r="I822" s="609"/>
      <c r="J822" s="1155"/>
      <c r="K822" s="609"/>
      <c r="L822" s="609"/>
      <c r="M822" s="609"/>
      <c r="N822" s="599"/>
      <c r="O822" s="552" t="s">
        <v>1584</v>
      </c>
      <c r="P822" s="603"/>
      <c r="Q822" s="682"/>
      <c r="R822" s="682"/>
      <c r="S822" s="682"/>
      <c r="T822" s="682"/>
      <c r="U822" s="682"/>
      <c r="V822" s="682"/>
      <c r="W822" s="682"/>
    </row>
    <row r="823" spans="1:24">
      <c r="A823" s="1045">
        <f t="shared" si="13"/>
        <v>10</v>
      </c>
      <c r="B823" s="134">
        <v>45571</v>
      </c>
      <c r="C823" s="70">
        <v>1022</v>
      </c>
      <c r="D823" s="70" t="s">
        <v>5119</v>
      </c>
      <c r="E823" s="280" t="s">
        <v>3371</v>
      </c>
      <c r="F823" s="1049">
        <v>0</v>
      </c>
      <c r="G823" s="1049">
        <v>15000</v>
      </c>
      <c r="H823" s="564"/>
      <c r="I823" s="609"/>
      <c r="J823" s="1155"/>
      <c r="K823" s="609"/>
      <c r="L823" s="609"/>
      <c r="M823" s="609"/>
      <c r="N823" s="599"/>
      <c r="O823" s="552" t="s">
        <v>1584</v>
      </c>
      <c r="P823" s="603"/>
      <c r="Q823" s="682"/>
      <c r="R823" s="682"/>
      <c r="S823" s="682"/>
      <c r="T823" s="682"/>
      <c r="U823" s="682"/>
      <c r="V823" s="682"/>
      <c r="W823" s="682"/>
    </row>
    <row r="824" spans="1:24">
      <c r="A824" s="1045">
        <f t="shared" si="13"/>
        <v>10</v>
      </c>
      <c r="B824" s="134">
        <v>45572</v>
      </c>
      <c r="C824" s="70">
        <v>1018</v>
      </c>
      <c r="D824" s="70" t="s">
        <v>5113</v>
      </c>
      <c r="E824" s="280" t="s">
        <v>3372</v>
      </c>
      <c r="F824" s="1049">
        <v>2468.5</v>
      </c>
      <c r="G824" s="1049">
        <v>0</v>
      </c>
      <c r="H824" s="564"/>
      <c r="I824" s="609"/>
      <c r="J824" s="1155"/>
      <c r="K824" s="609"/>
      <c r="L824" s="609"/>
      <c r="M824" s="609"/>
      <c r="N824" s="599"/>
      <c r="O824" s="552" t="s">
        <v>1584</v>
      </c>
      <c r="P824" s="603"/>
      <c r="Q824" s="682"/>
      <c r="R824" s="682"/>
      <c r="S824" s="682"/>
      <c r="T824" s="682"/>
      <c r="U824" s="682"/>
      <c r="V824" s="682"/>
      <c r="W824" s="682"/>
    </row>
    <row r="825" spans="1:24">
      <c r="A825" s="1045">
        <f t="shared" si="13"/>
        <v>10</v>
      </c>
      <c r="B825" s="134">
        <v>45572</v>
      </c>
      <c r="C825" s="70">
        <v>7200</v>
      </c>
      <c r="D825" s="70" t="s">
        <v>140</v>
      </c>
      <c r="E825" s="280" t="s">
        <v>3372</v>
      </c>
      <c r="F825" s="1049">
        <v>30</v>
      </c>
      <c r="G825" s="1049">
        <v>0</v>
      </c>
      <c r="H825" s="564"/>
      <c r="I825" s="609"/>
      <c r="J825" s="1155"/>
      <c r="K825" s="609"/>
      <c r="L825" s="609"/>
      <c r="M825" s="609"/>
      <c r="N825" s="599"/>
      <c r="O825" s="552" t="s">
        <v>1584</v>
      </c>
      <c r="P825" s="603"/>
      <c r="Q825" s="682"/>
      <c r="R825" s="682"/>
      <c r="S825" s="682"/>
      <c r="T825" s="682"/>
      <c r="U825" s="682"/>
      <c r="V825" s="682"/>
      <c r="W825" s="682"/>
    </row>
    <row r="826" spans="1:24">
      <c r="A826" s="1045">
        <f t="shared" si="13"/>
        <v>10</v>
      </c>
      <c r="B826" s="134">
        <v>45572</v>
      </c>
      <c r="C826" s="70">
        <v>2018</v>
      </c>
      <c r="D826" s="70" t="s">
        <v>58</v>
      </c>
      <c r="E826" s="280" t="s">
        <v>3372</v>
      </c>
      <c r="F826" s="1049">
        <v>1.5</v>
      </c>
      <c r="G826" s="1049">
        <v>0</v>
      </c>
      <c r="H826" s="564"/>
      <c r="I826" s="609"/>
      <c r="J826" s="1155"/>
      <c r="K826" s="609"/>
      <c r="L826" s="609"/>
      <c r="M826" s="609"/>
      <c r="N826" s="599"/>
      <c r="O826" s="552" t="s">
        <v>1584</v>
      </c>
      <c r="P826" s="603"/>
      <c r="Q826" s="682"/>
      <c r="R826" s="682"/>
      <c r="S826" s="682"/>
      <c r="T826" s="682"/>
      <c r="U826" s="682"/>
      <c r="V826" s="682"/>
      <c r="W826" s="682"/>
    </row>
    <row r="827" spans="1:24">
      <c r="A827" s="1045">
        <f t="shared" si="13"/>
        <v>10</v>
      </c>
      <c r="B827" s="134">
        <v>45572</v>
      </c>
      <c r="C827" s="70">
        <v>1025</v>
      </c>
      <c r="D827" s="70" t="s">
        <v>5120</v>
      </c>
      <c r="E827" s="280" t="s">
        <v>3372</v>
      </c>
      <c r="F827" s="1049">
        <v>0</v>
      </c>
      <c r="G827" s="1049">
        <v>2500</v>
      </c>
      <c r="H827" s="564"/>
      <c r="I827" s="609"/>
      <c r="J827" s="1155"/>
      <c r="K827" s="609"/>
      <c r="L827" s="609"/>
      <c r="M827" s="609"/>
      <c r="N827" s="599"/>
      <c r="O827" s="552" t="s">
        <v>1584</v>
      </c>
      <c r="P827" s="603"/>
      <c r="Q827" s="682"/>
      <c r="R827" s="682"/>
      <c r="S827" s="682"/>
      <c r="T827" s="682"/>
      <c r="U827" s="682"/>
      <c r="V827" s="682"/>
      <c r="W827" s="682"/>
    </row>
    <row r="828" spans="1:24">
      <c r="A828" s="1045">
        <f t="shared" si="13"/>
        <v>10</v>
      </c>
      <c r="B828" s="134">
        <v>45573</v>
      </c>
      <c r="C828" s="70">
        <v>6013</v>
      </c>
      <c r="D828" s="70" t="s">
        <v>104</v>
      </c>
      <c r="E828" s="280" t="s">
        <v>3373</v>
      </c>
      <c r="F828" s="1049">
        <v>1020</v>
      </c>
      <c r="G828" s="1049">
        <v>0</v>
      </c>
      <c r="H828" s="564"/>
      <c r="I828" s="609"/>
      <c r="J828" s="1155"/>
      <c r="K828" s="609"/>
      <c r="L828" s="609"/>
      <c r="M828" s="609"/>
      <c r="N828" s="599"/>
      <c r="O828" s="552" t="s">
        <v>1584</v>
      </c>
      <c r="P828" s="603"/>
      <c r="Q828" s="682"/>
      <c r="R828" s="682"/>
      <c r="S828" s="682"/>
      <c r="T828" s="682"/>
      <c r="U828" s="682"/>
      <c r="V828" s="682"/>
      <c r="W828" s="682"/>
    </row>
    <row r="829" spans="1:24">
      <c r="A829" s="1045">
        <f t="shared" si="13"/>
        <v>10</v>
      </c>
      <c r="B829" s="134">
        <v>45573</v>
      </c>
      <c r="C829" s="70">
        <v>2018</v>
      </c>
      <c r="D829" s="70" t="s">
        <v>58</v>
      </c>
      <c r="E829" s="280" t="s">
        <v>3373</v>
      </c>
      <c r="F829" s="1049">
        <v>2.5</v>
      </c>
      <c r="G829" s="1049">
        <v>0</v>
      </c>
      <c r="H829" s="564"/>
      <c r="I829" s="609"/>
      <c r="J829" s="1155"/>
      <c r="K829" s="609"/>
      <c r="L829" s="609"/>
      <c r="M829" s="609"/>
      <c r="N829" s="599"/>
      <c r="O829" s="552" t="s">
        <v>1584</v>
      </c>
      <c r="P829" s="603"/>
      <c r="Q829" s="682"/>
      <c r="R829" s="682"/>
      <c r="S829" s="682"/>
      <c r="T829" s="682"/>
      <c r="U829" s="682"/>
      <c r="V829" s="682"/>
      <c r="W829" s="682"/>
    </row>
    <row r="830" spans="1:24">
      <c r="A830" s="1045">
        <f t="shared" si="13"/>
        <v>10</v>
      </c>
      <c r="B830" s="134">
        <v>45573</v>
      </c>
      <c r="C830" s="70">
        <v>7200</v>
      </c>
      <c r="D830" s="70" t="s">
        <v>140</v>
      </c>
      <c r="E830" s="280" t="s">
        <v>3374</v>
      </c>
      <c r="F830" s="1049">
        <v>3</v>
      </c>
      <c r="G830" s="1049">
        <v>0</v>
      </c>
      <c r="H830" s="564"/>
      <c r="I830" s="609"/>
      <c r="J830" s="1155"/>
      <c r="K830" s="609"/>
      <c r="L830" s="609"/>
      <c r="M830" s="609"/>
      <c r="N830" s="599"/>
      <c r="O830" s="552" t="s">
        <v>1584</v>
      </c>
      <c r="P830" s="603"/>
      <c r="Q830" s="682"/>
      <c r="R830" s="682"/>
      <c r="S830" s="682"/>
      <c r="T830" s="682"/>
      <c r="U830" s="682"/>
      <c r="V830" s="682"/>
      <c r="W830" s="682"/>
    </row>
    <row r="831" spans="1:24">
      <c r="A831" s="1045">
        <f t="shared" si="13"/>
        <v>10</v>
      </c>
      <c r="B831" s="134">
        <v>45573</v>
      </c>
      <c r="C831" s="70">
        <v>2018</v>
      </c>
      <c r="D831" s="70" t="s">
        <v>58</v>
      </c>
      <c r="E831" s="280" t="s">
        <v>3373</v>
      </c>
      <c r="F831" s="1049">
        <v>0.15</v>
      </c>
      <c r="G831" s="1049">
        <v>0</v>
      </c>
      <c r="H831" s="564"/>
      <c r="I831" s="609"/>
      <c r="J831" s="1155"/>
      <c r="K831" s="609"/>
      <c r="L831" s="609"/>
      <c r="M831" s="609"/>
      <c r="N831" s="599"/>
      <c r="O831" s="552" t="s">
        <v>1584</v>
      </c>
      <c r="P831" s="603"/>
      <c r="Q831" s="682"/>
      <c r="R831" s="682"/>
      <c r="S831" s="682"/>
      <c r="T831" s="682"/>
      <c r="U831" s="682"/>
      <c r="V831" s="682"/>
      <c r="W831" s="682"/>
    </row>
    <row r="832" spans="1:24">
      <c r="A832" s="1045">
        <f t="shared" si="13"/>
        <v>10</v>
      </c>
      <c r="B832" s="134">
        <v>45573</v>
      </c>
      <c r="C832" s="70">
        <v>1018</v>
      </c>
      <c r="D832" s="70" t="s">
        <v>5113</v>
      </c>
      <c r="E832" s="280" t="s">
        <v>3375</v>
      </c>
      <c r="F832" s="1049">
        <v>0</v>
      </c>
      <c r="G832" s="1049">
        <v>1025.6500000000001</v>
      </c>
      <c r="H832" s="564"/>
      <c r="I832" s="609"/>
      <c r="J832" s="1155"/>
      <c r="K832" s="609"/>
      <c r="L832" s="609"/>
      <c r="M832" s="609"/>
      <c r="N832" s="599"/>
      <c r="O832" s="552" t="s">
        <v>1584</v>
      </c>
      <c r="P832" s="603"/>
      <c r="Q832" s="682"/>
      <c r="R832" s="682"/>
      <c r="S832" s="682"/>
      <c r="T832" s="682"/>
      <c r="U832" s="682"/>
      <c r="V832" s="682"/>
      <c r="W832" s="682"/>
    </row>
    <row r="833" spans="1:23">
      <c r="A833" s="1045">
        <f t="shared" si="13"/>
        <v>10</v>
      </c>
      <c r="B833" s="134">
        <v>45573</v>
      </c>
      <c r="C833" s="70">
        <v>6013</v>
      </c>
      <c r="D833" s="70" t="s">
        <v>104</v>
      </c>
      <c r="E833" s="280" t="s">
        <v>3376</v>
      </c>
      <c r="F833" s="1049">
        <v>1020</v>
      </c>
      <c r="G833" s="1049">
        <v>0</v>
      </c>
      <c r="H833" s="564"/>
      <c r="I833" s="609"/>
      <c r="J833" s="1155"/>
      <c r="K833" s="609"/>
      <c r="L833" s="609"/>
      <c r="M833" s="609"/>
      <c r="N833" s="599"/>
      <c r="O833" s="552" t="s">
        <v>1584</v>
      </c>
      <c r="P833" s="603"/>
      <c r="Q833" s="682"/>
      <c r="R833" s="682"/>
      <c r="S833" s="682"/>
      <c r="T833" s="682"/>
      <c r="U833" s="682"/>
      <c r="V833" s="682"/>
      <c r="W833" s="682"/>
    </row>
    <row r="834" spans="1:23">
      <c r="A834" s="1045">
        <f t="shared" si="13"/>
        <v>10</v>
      </c>
      <c r="B834" s="134">
        <v>45573</v>
      </c>
      <c r="C834" s="70">
        <v>7200</v>
      </c>
      <c r="D834" s="70" t="s">
        <v>140</v>
      </c>
      <c r="E834" s="280" t="s">
        <v>3377</v>
      </c>
      <c r="F834" s="1049">
        <v>3</v>
      </c>
      <c r="G834" s="1049">
        <v>0</v>
      </c>
      <c r="H834" s="564"/>
      <c r="I834" s="609"/>
      <c r="J834" s="1155"/>
      <c r="K834" s="609"/>
      <c r="L834" s="609"/>
      <c r="M834" s="609"/>
      <c r="N834" s="599"/>
      <c r="O834" s="552" t="s">
        <v>1584</v>
      </c>
      <c r="P834" s="603"/>
      <c r="Q834" s="682"/>
      <c r="R834" s="682"/>
      <c r="S834" s="682"/>
      <c r="T834" s="682"/>
      <c r="U834" s="682"/>
      <c r="V834" s="682"/>
      <c r="W834" s="682"/>
    </row>
    <row r="835" spans="1:23">
      <c r="A835" s="1045">
        <f t="shared" si="13"/>
        <v>10</v>
      </c>
      <c r="B835" s="134">
        <v>45573</v>
      </c>
      <c r="C835" s="70">
        <v>2018</v>
      </c>
      <c r="D835" s="70" t="s">
        <v>58</v>
      </c>
      <c r="E835" s="280" t="s">
        <v>3377</v>
      </c>
      <c r="F835" s="1049">
        <v>0.15</v>
      </c>
      <c r="G835" s="1049">
        <v>0</v>
      </c>
      <c r="H835" s="564"/>
      <c r="I835" s="609"/>
      <c r="J835" s="1155"/>
      <c r="K835" s="609"/>
      <c r="L835" s="609"/>
      <c r="M835" s="609"/>
      <c r="N835" s="599"/>
      <c r="O835" s="552" t="s">
        <v>1584</v>
      </c>
      <c r="P835" s="603"/>
      <c r="Q835" s="682"/>
      <c r="R835" s="682"/>
      <c r="S835" s="682"/>
      <c r="T835" s="682"/>
      <c r="U835" s="682"/>
      <c r="V835" s="682"/>
      <c r="W835" s="682"/>
    </row>
    <row r="836" spans="1:23">
      <c r="A836" s="1045">
        <f t="shared" si="13"/>
        <v>10</v>
      </c>
      <c r="B836" s="134">
        <v>45573</v>
      </c>
      <c r="C836" s="70">
        <v>2018</v>
      </c>
      <c r="D836" s="70" t="s">
        <v>58</v>
      </c>
      <c r="E836" s="280" t="s">
        <v>3378</v>
      </c>
      <c r="F836" s="1049">
        <v>2.5</v>
      </c>
      <c r="G836" s="1049">
        <v>0</v>
      </c>
      <c r="H836" s="564"/>
      <c r="I836" s="609"/>
      <c r="J836" s="1155"/>
      <c r="K836" s="609"/>
      <c r="L836" s="609"/>
      <c r="M836" s="609"/>
      <c r="N836" s="599"/>
      <c r="O836" s="552" t="s">
        <v>1584</v>
      </c>
      <c r="P836" s="603"/>
      <c r="Q836" s="682"/>
      <c r="R836" s="682"/>
      <c r="S836" s="682"/>
      <c r="T836" s="682"/>
      <c r="U836" s="682"/>
      <c r="V836" s="682"/>
      <c r="W836" s="682"/>
    </row>
    <row r="837" spans="1:23">
      <c r="A837" s="1045">
        <f t="shared" si="13"/>
        <v>10</v>
      </c>
      <c r="B837" s="134">
        <v>45573</v>
      </c>
      <c r="C837" s="70">
        <v>1018</v>
      </c>
      <c r="D837" s="70" t="s">
        <v>5113</v>
      </c>
      <c r="E837" s="280" t="s">
        <v>3376</v>
      </c>
      <c r="F837" s="1049">
        <v>0</v>
      </c>
      <c r="G837" s="1049">
        <v>1025.6500000000001</v>
      </c>
      <c r="H837" s="564"/>
      <c r="I837" s="609"/>
      <c r="J837" s="1155"/>
      <c r="K837" s="609"/>
      <c r="L837" s="609"/>
      <c r="M837" s="609"/>
      <c r="N837" s="599"/>
      <c r="O837" s="552" t="s">
        <v>1584</v>
      </c>
      <c r="P837" s="603"/>
      <c r="Q837" s="682"/>
      <c r="R837" s="682"/>
      <c r="S837" s="682"/>
      <c r="T837" s="682"/>
      <c r="U837" s="682"/>
      <c r="V837" s="682"/>
      <c r="W837" s="682"/>
    </row>
    <row r="838" spans="1:23">
      <c r="A838" s="1045">
        <f t="shared" si="13"/>
        <v>11</v>
      </c>
      <c r="B838" s="134">
        <v>45621</v>
      </c>
      <c r="C838" s="70">
        <v>6016</v>
      </c>
      <c r="D838" s="70" t="s">
        <v>107</v>
      </c>
      <c r="E838" s="280" t="s">
        <v>3379</v>
      </c>
      <c r="F838" s="1048">
        <v>10794</v>
      </c>
      <c r="G838" s="1048">
        <v>0</v>
      </c>
      <c r="H838" s="564"/>
      <c r="I838" s="609"/>
      <c r="J838" s="1155"/>
      <c r="K838" s="609"/>
      <c r="L838" s="609"/>
      <c r="M838" s="609"/>
      <c r="N838" s="599"/>
      <c r="O838" s="552" t="s">
        <v>1584</v>
      </c>
      <c r="P838" s="603"/>
      <c r="Q838" s="682"/>
      <c r="R838" s="682"/>
      <c r="S838" s="682"/>
      <c r="T838" s="682"/>
      <c r="U838" s="682"/>
      <c r="V838" s="682"/>
      <c r="W838" s="682"/>
    </row>
    <row r="839" spans="1:23">
      <c r="A839" s="1045">
        <f t="shared" si="13"/>
        <v>11</v>
      </c>
      <c r="B839" s="134">
        <v>45621</v>
      </c>
      <c r="C839" s="70">
        <v>1022</v>
      </c>
      <c r="D839" s="70" t="s">
        <v>5119</v>
      </c>
      <c r="E839" s="280" t="s">
        <v>3379</v>
      </c>
      <c r="F839" s="1048">
        <v>0</v>
      </c>
      <c r="G839" s="1048">
        <v>10794</v>
      </c>
      <c r="H839" s="564"/>
      <c r="I839" s="609"/>
      <c r="J839" s="1155"/>
      <c r="K839" s="609"/>
      <c r="L839" s="609"/>
      <c r="M839" s="609"/>
      <c r="N839" s="599"/>
      <c r="O839" s="552" t="s">
        <v>1584</v>
      </c>
      <c r="P839" s="603"/>
      <c r="Q839" s="682"/>
      <c r="R839" s="682"/>
      <c r="S839" s="682"/>
      <c r="T839" s="682"/>
      <c r="U839" s="682"/>
      <c r="V839" s="682"/>
      <c r="W839" s="682"/>
    </row>
    <row r="840" spans="1:23">
      <c r="A840" s="1045">
        <f t="shared" si="13"/>
        <v>6</v>
      </c>
      <c r="B840" s="134">
        <v>45444</v>
      </c>
      <c r="C840" s="70">
        <v>6250</v>
      </c>
      <c r="D840" s="70" t="s">
        <v>129</v>
      </c>
      <c r="E840" s="280" t="s">
        <v>3380</v>
      </c>
      <c r="F840" s="1049"/>
      <c r="G840" s="1049">
        <v>1057.5</v>
      </c>
      <c r="H840" s="564"/>
      <c r="I840" s="609"/>
      <c r="J840" s="1155"/>
      <c r="K840" s="609"/>
      <c r="L840" s="609"/>
      <c r="M840" s="609"/>
      <c r="N840" s="599"/>
      <c r="O840" s="552" t="s">
        <v>1584</v>
      </c>
      <c r="P840" s="603"/>
      <c r="Q840" s="682"/>
      <c r="R840" s="682"/>
      <c r="S840" s="682"/>
      <c r="T840" s="682"/>
      <c r="U840" s="682"/>
      <c r="V840" s="682"/>
      <c r="W840" s="682"/>
    </row>
    <row r="841" spans="1:23">
      <c r="A841" s="1045">
        <f t="shared" si="13"/>
        <v>6</v>
      </c>
      <c r="B841" s="134">
        <v>45444</v>
      </c>
      <c r="C841" s="70">
        <v>4000</v>
      </c>
      <c r="D841" s="70" t="s">
        <v>74</v>
      </c>
      <c r="E841" s="280" t="s">
        <v>3380</v>
      </c>
      <c r="F841" s="1049"/>
      <c r="G841" s="1049">
        <v>21150</v>
      </c>
      <c r="H841" s="564"/>
      <c r="I841" s="609"/>
      <c r="J841" s="1155"/>
      <c r="K841" s="609"/>
      <c r="L841" s="609"/>
      <c r="M841" s="609"/>
      <c r="N841" s="599"/>
      <c r="O841" s="552" t="s">
        <v>1584</v>
      </c>
      <c r="P841" s="603"/>
      <c r="Q841" s="682"/>
      <c r="R841" s="682"/>
      <c r="S841" s="682"/>
      <c r="T841" s="682"/>
      <c r="U841" s="682"/>
      <c r="V841" s="682"/>
      <c r="W841" s="682"/>
    </row>
    <row r="842" spans="1:23">
      <c r="A842" s="1045">
        <f t="shared" si="13"/>
        <v>6</v>
      </c>
      <c r="B842" s="134">
        <v>45448</v>
      </c>
      <c r="C842" s="70">
        <v>2018</v>
      </c>
      <c r="D842" s="70" t="s">
        <v>58</v>
      </c>
      <c r="E842" s="280" t="s">
        <v>3381</v>
      </c>
      <c r="F842" s="1049"/>
      <c r="G842" s="1049">
        <v>230</v>
      </c>
      <c r="H842" s="564"/>
      <c r="I842" s="609"/>
      <c r="J842" s="1155"/>
      <c r="K842" s="609"/>
      <c r="L842" s="609"/>
      <c r="M842" s="609"/>
      <c r="N842" s="599"/>
      <c r="O842" s="552" t="s">
        <v>1584</v>
      </c>
      <c r="P842" s="603" t="s">
        <v>1779</v>
      </c>
      <c r="Q842" s="682"/>
      <c r="R842" s="682"/>
      <c r="S842" s="682"/>
      <c r="T842" s="682"/>
      <c r="U842" s="682"/>
      <c r="V842" s="682"/>
      <c r="W842" s="682"/>
    </row>
    <row r="843" spans="1:23">
      <c r="A843" s="1045">
        <f t="shared" si="13"/>
        <v>6</v>
      </c>
      <c r="B843" s="134">
        <v>45448</v>
      </c>
      <c r="C843" s="70">
        <v>4000</v>
      </c>
      <c r="D843" s="70" t="s">
        <v>74</v>
      </c>
      <c r="E843" s="280" t="s">
        <v>3381</v>
      </c>
      <c r="F843" s="1049"/>
      <c r="G843" s="1049">
        <v>4600</v>
      </c>
      <c r="H843" s="564"/>
      <c r="I843" s="609"/>
      <c r="J843" s="1155"/>
      <c r="K843" s="609"/>
      <c r="L843" s="609"/>
      <c r="M843" s="609"/>
      <c r="N843" s="599"/>
      <c r="O843" s="552" t="s">
        <v>1584</v>
      </c>
      <c r="P843" s="603"/>
      <c r="Q843" s="682"/>
      <c r="R843" s="682"/>
      <c r="S843" s="682"/>
      <c r="T843" s="682"/>
      <c r="U843" s="682"/>
      <c r="V843" s="682"/>
      <c r="W843" s="682"/>
    </row>
    <row r="844" spans="1:23">
      <c r="A844" s="1045">
        <f t="shared" si="13"/>
        <v>6</v>
      </c>
      <c r="B844" s="134">
        <v>45448</v>
      </c>
      <c r="C844" s="70">
        <v>2018</v>
      </c>
      <c r="D844" s="70" t="s">
        <v>58</v>
      </c>
      <c r="E844" s="280" t="s">
        <v>3382</v>
      </c>
      <c r="F844" s="1049"/>
      <c r="G844" s="1049">
        <v>337.5</v>
      </c>
      <c r="H844" s="564"/>
      <c r="I844" s="609"/>
      <c r="J844" s="1155"/>
      <c r="K844" s="609"/>
      <c r="L844" s="609"/>
      <c r="M844" s="609"/>
      <c r="N844" s="599"/>
      <c r="O844" s="552" t="s">
        <v>1584</v>
      </c>
      <c r="P844" s="603"/>
      <c r="Q844" s="682"/>
      <c r="R844" s="682"/>
      <c r="S844" s="682"/>
      <c r="T844" s="682"/>
      <c r="U844" s="682"/>
      <c r="V844" s="682"/>
      <c r="W844" s="682"/>
    </row>
    <row r="845" spans="1:23">
      <c r="A845" s="1045">
        <f t="shared" si="13"/>
        <v>6</v>
      </c>
      <c r="B845" s="134">
        <v>45448</v>
      </c>
      <c r="C845" s="70">
        <v>4000</v>
      </c>
      <c r="D845" s="70" t="s">
        <v>74</v>
      </c>
      <c r="E845" s="280" t="s">
        <v>3382</v>
      </c>
      <c r="F845" s="1049"/>
      <c r="G845" s="1049">
        <v>6750</v>
      </c>
      <c r="H845" s="564"/>
      <c r="I845" s="609"/>
      <c r="J845" s="1155"/>
      <c r="K845" s="609"/>
      <c r="L845" s="609"/>
      <c r="M845" s="609"/>
      <c r="N845" s="599"/>
      <c r="O845" s="552" t="s">
        <v>1584</v>
      </c>
      <c r="P845" s="603" t="s">
        <v>1779</v>
      </c>
      <c r="Q845" s="682"/>
      <c r="R845" s="682"/>
      <c r="S845" s="682"/>
      <c r="T845" s="682"/>
      <c r="U845" s="682"/>
      <c r="V845" s="682"/>
      <c r="W845" s="682"/>
    </row>
    <row r="846" spans="1:23">
      <c r="A846" s="1045">
        <f t="shared" si="13"/>
        <v>6</v>
      </c>
      <c r="B846" s="134">
        <v>45465</v>
      </c>
      <c r="C846" s="70">
        <v>2018</v>
      </c>
      <c r="D846" s="70" t="s">
        <v>58</v>
      </c>
      <c r="E846" s="280" t="s">
        <v>3383</v>
      </c>
      <c r="F846" s="1049"/>
      <c r="G846" s="1049">
        <v>2179</v>
      </c>
      <c r="H846" s="564"/>
      <c r="I846" s="609"/>
      <c r="J846" s="1155"/>
      <c r="K846" s="609"/>
      <c r="L846" s="609"/>
      <c r="M846" s="609"/>
      <c r="N846" s="599"/>
      <c r="O846" s="552" t="s">
        <v>1584</v>
      </c>
      <c r="P846" s="603"/>
      <c r="Q846" s="682"/>
      <c r="R846" s="682"/>
      <c r="S846" s="682"/>
      <c r="T846" s="682"/>
      <c r="U846" s="682"/>
      <c r="V846" s="682"/>
      <c r="W846" s="682"/>
    </row>
    <row r="847" spans="1:23">
      <c r="A847" s="1045">
        <f t="shared" si="13"/>
        <v>6</v>
      </c>
      <c r="B847" s="134">
        <v>45465</v>
      </c>
      <c r="C847" s="70">
        <v>4000</v>
      </c>
      <c r="D847" s="70" t="s">
        <v>74</v>
      </c>
      <c r="E847" s="280" t="s">
        <v>3383</v>
      </c>
      <c r="F847" s="1049"/>
      <c r="G847" s="1049">
        <v>13581</v>
      </c>
      <c r="H847" s="564"/>
      <c r="I847" s="609"/>
      <c r="J847" s="1155"/>
      <c r="K847" s="609"/>
      <c r="L847" s="609"/>
      <c r="M847" s="609"/>
      <c r="N847" s="599"/>
      <c r="O847" s="552" t="s">
        <v>1584</v>
      </c>
      <c r="P847" s="603"/>
      <c r="Q847" s="682"/>
      <c r="R847" s="682"/>
      <c r="S847" s="682"/>
      <c r="T847" s="682"/>
      <c r="U847" s="682"/>
      <c r="V847" s="682"/>
      <c r="W847" s="682"/>
    </row>
    <row r="848" spans="1:23">
      <c r="A848" s="1045">
        <f t="shared" si="13"/>
        <v>7</v>
      </c>
      <c r="B848" s="134">
        <v>45474</v>
      </c>
      <c r="C848" s="70">
        <v>2018</v>
      </c>
      <c r="D848" s="70" t="s">
        <v>58</v>
      </c>
      <c r="E848" s="280" t="s">
        <v>3384</v>
      </c>
      <c r="F848" s="1049"/>
      <c r="G848" s="1049">
        <v>300</v>
      </c>
      <c r="H848" s="564"/>
      <c r="I848" s="609"/>
      <c r="J848" s="1155"/>
      <c r="K848" s="609"/>
      <c r="L848" s="609"/>
      <c r="M848" s="609"/>
      <c r="N848" s="599"/>
      <c r="O848" s="552" t="s">
        <v>1584</v>
      </c>
      <c r="P848" s="603"/>
      <c r="Q848" s="682"/>
      <c r="R848" s="682"/>
      <c r="S848" s="682"/>
      <c r="T848" s="682"/>
      <c r="U848" s="682"/>
      <c r="V848" s="682"/>
      <c r="W848" s="682"/>
    </row>
    <row r="849" spans="1:31">
      <c r="A849" s="1045">
        <f t="shared" si="13"/>
        <v>7</v>
      </c>
      <c r="B849" s="134">
        <v>45474</v>
      </c>
      <c r="C849" s="70">
        <v>4000</v>
      </c>
      <c r="D849" s="70" t="s">
        <v>74</v>
      </c>
      <c r="E849" s="280" t="s">
        <v>3384</v>
      </c>
      <c r="F849" s="1049"/>
      <c r="G849" s="1049">
        <v>6000</v>
      </c>
      <c r="H849" s="564"/>
      <c r="I849" s="609"/>
      <c r="J849" s="1155"/>
      <c r="K849" s="609"/>
      <c r="L849" s="609"/>
      <c r="M849" s="609"/>
      <c r="N849" s="599"/>
      <c r="O849" s="552" t="s">
        <v>1584</v>
      </c>
      <c r="P849" s="603"/>
      <c r="Q849" s="682"/>
      <c r="R849" s="682"/>
      <c r="S849" s="682"/>
      <c r="T849" s="682"/>
      <c r="U849" s="682"/>
      <c r="V849" s="682"/>
      <c r="W849" s="682"/>
    </row>
    <row r="850" spans="1:31">
      <c r="A850" s="1045">
        <f t="shared" si="13"/>
        <v>7</v>
      </c>
      <c r="B850" s="134">
        <v>45474</v>
      </c>
      <c r="C850" s="70">
        <v>2018</v>
      </c>
      <c r="D850" s="70" t="s">
        <v>58</v>
      </c>
      <c r="E850" s="280" t="s">
        <v>3385</v>
      </c>
      <c r="F850" s="1049"/>
      <c r="G850" s="1049">
        <v>70</v>
      </c>
      <c r="H850" s="564"/>
      <c r="I850" s="609"/>
      <c r="J850" s="1155"/>
      <c r="K850" s="609"/>
      <c r="L850" s="609"/>
      <c r="M850" s="609"/>
      <c r="N850" s="599"/>
      <c r="O850" s="552" t="s">
        <v>1584</v>
      </c>
      <c r="P850" s="603"/>
      <c r="Q850" s="682"/>
      <c r="R850" s="682"/>
      <c r="S850" s="682"/>
      <c r="T850" s="682"/>
      <c r="U850" s="682"/>
      <c r="V850" s="682"/>
      <c r="W850" s="682"/>
    </row>
    <row r="851" spans="1:31">
      <c r="A851" s="1045">
        <f t="shared" si="13"/>
        <v>7</v>
      </c>
      <c r="B851" s="134">
        <v>45474</v>
      </c>
      <c r="C851" s="70">
        <v>4000</v>
      </c>
      <c r="D851" s="70" t="s">
        <v>74</v>
      </c>
      <c r="E851" s="280" t="s">
        <v>3385</v>
      </c>
      <c r="F851" s="1049"/>
      <c r="G851" s="1049">
        <v>1400</v>
      </c>
      <c r="H851" s="564"/>
      <c r="I851" s="609"/>
      <c r="J851" s="1155"/>
      <c r="K851" s="609"/>
      <c r="L851" s="609"/>
      <c r="M851" s="609"/>
      <c r="N851" s="599"/>
      <c r="O851" s="552" t="s">
        <v>1584</v>
      </c>
      <c r="P851" s="603"/>
      <c r="Q851" s="682"/>
      <c r="R851" s="682"/>
      <c r="S851" s="682"/>
      <c r="T851" s="682"/>
      <c r="U851" s="682"/>
      <c r="V851" s="682"/>
      <c r="W851" s="682"/>
    </row>
    <row r="852" spans="1:31">
      <c r="A852" s="1045">
        <f t="shared" si="13"/>
        <v>7</v>
      </c>
      <c r="B852" s="134">
        <v>45474</v>
      </c>
      <c r="C852" s="70">
        <v>2018</v>
      </c>
      <c r="D852" s="70" t="s">
        <v>58</v>
      </c>
      <c r="E852" s="280" t="s">
        <v>3386</v>
      </c>
      <c r="F852" s="1049"/>
      <c r="G852" s="1049">
        <v>3400</v>
      </c>
      <c r="H852" s="564"/>
      <c r="I852" s="609"/>
      <c r="J852" s="1155"/>
      <c r="K852" s="609"/>
      <c r="L852" s="609"/>
      <c r="M852" s="609"/>
      <c r="N852" s="599"/>
      <c r="O852" s="552" t="s">
        <v>1584</v>
      </c>
      <c r="P852" s="603"/>
      <c r="Q852" s="682"/>
      <c r="R852" s="682"/>
      <c r="S852" s="682"/>
      <c r="T852" s="682"/>
      <c r="U852" s="682"/>
      <c r="V852" s="682"/>
      <c r="W852" s="682"/>
    </row>
    <row r="853" spans="1:31">
      <c r="A853" s="1045">
        <f t="shared" ref="A853:A916" si="14">IF(B853="","",MONTH(B853))</f>
        <v>7</v>
      </c>
      <c r="B853" s="134">
        <v>45474</v>
      </c>
      <c r="C853" s="70">
        <v>4000</v>
      </c>
      <c r="D853" s="70" t="s">
        <v>74</v>
      </c>
      <c r="E853" s="280" t="s">
        <v>3386</v>
      </c>
      <c r="F853" s="1049"/>
      <c r="G853" s="1049">
        <v>68000</v>
      </c>
      <c r="H853" s="564"/>
      <c r="I853" s="609"/>
      <c r="J853" s="1155"/>
      <c r="K853" s="609"/>
      <c r="L853" s="609"/>
      <c r="M853" s="609"/>
      <c r="N853" s="599"/>
      <c r="O853" s="552" t="s">
        <v>1584</v>
      </c>
      <c r="P853" s="603"/>
      <c r="Q853" s="682"/>
      <c r="R853" s="682"/>
      <c r="S853" s="682"/>
      <c r="T853" s="682"/>
      <c r="U853" s="682"/>
      <c r="V853" s="682"/>
      <c r="W853" s="682"/>
    </row>
    <row r="854" spans="1:31">
      <c r="A854" s="1045">
        <f t="shared" si="14"/>
        <v>7</v>
      </c>
      <c r="B854" s="134">
        <v>45474</v>
      </c>
      <c r="C854" s="70">
        <v>2018</v>
      </c>
      <c r="D854" s="70" t="s">
        <v>58</v>
      </c>
      <c r="E854" s="280" t="s">
        <v>3387</v>
      </c>
      <c r="F854" s="1049"/>
      <c r="G854" s="1049">
        <v>2275</v>
      </c>
      <c r="H854" s="564"/>
      <c r="I854" s="609"/>
      <c r="J854" s="1155"/>
      <c r="K854" s="609"/>
      <c r="L854" s="609"/>
      <c r="M854" s="609"/>
      <c r="N854" s="599"/>
      <c r="O854" s="552" t="s">
        <v>1584</v>
      </c>
      <c r="P854" s="603"/>
      <c r="Q854" s="682"/>
      <c r="R854" s="682"/>
      <c r="S854" s="682"/>
      <c r="T854" s="682"/>
      <c r="U854" s="682"/>
      <c r="V854" s="682"/>
      <c r="W854" s="682"/>
    </row>
    <row r="855" spans="1:31">
      <c r="A855" s="1045">
        <f t="shared" si="14"/>
        <v>7</v>
      </c>
      <c r="B855" s="134">
        <v>45474</v>
      </c>
      <c r="C855" s="70">
        <v>4000</v>
      </c>
      <c r="D855" s="70" t="s">
        <v>74</v>
      </c>
      <c r="E855" s="280" t="s">
        <v>3387</v>
      </c>
      <c r="F855" s="1049"/>
      <c r="G855" s="1049">
        <v>45500</v>
      </c>
      <c r="H855" s="564"/>
      <c r="I855" s="609"/>
      <c r="J855" s="1155"/>
      <c r="K855" s="609"/>
      <c r="L855" s="609"/>
      <c r="M855" s="609"/>
      <c r="N855" s="599"/>
      <c r="O855" s="552" t="s">
        <v>1584</v>
      </c>
      <c r="P855" s="603"/>
      <c r="Q855" s="682"/>
      <c r="R855" s="682"/>
      <c r="S855" s="682"/>
      <c r="T855" s="682"/>
      <c r="U855" s="682"/>
      <c r="V855" s="682"/>
      <c r="W855" s="682"/>
    </row>
    <row r="856" spans="1:31">
      <c r="A856" s="1045">
        <f t="shared" si="14"/>
        <v>7</v>
      </c>
      <c r="B856" s="134">
        <v>45474</v>
      </c>
      <c r="C856" s="70">
        <v>2018</v>
      </c>
      <c r="D856" s="70" t="s">
        <v>58</v>
      </c>
      <c r="E856" s="280" t="s">
        <v>3388</v>
      </c>
      <c r="F856" s="1049"/>
      <c r="G856" s="1049">
        <v>1020</v>
      </c>
      <c r="H856" s="564"/>
      <c r="I856" s="609"/>
      <c r="J856" s="1155"/>
      <c r="K856" s="609"/>
      <c r="L856" s="609"/>
      <c r="M856" s="609"/>
      <c r="N856" s="599"/>
      <c r="O856" s="552" t="s">
        <v>1584</v>
      </c>
      <c r="P856" s="603"/>
      <c r="Q856" s="682"/>
      <c r="R856" s="682"/>
      <c r="S856" s="682"/>
      <c r="T856" s="682"/>
      <c r="U856" s="682"/>
      <c r="V856" s="682"/>
      <c r="W856" s="682"/>
    </row>
    <row r="857" spans="1:31">
      <c r="A857" s="1045">
        <f t="shared" si="14"/>
        <v>7</v>
      </c>
      <c r="B857" s="134">
        <v>45474</v>
      </c>
      <c r="C857" s="70">
        <v>4000</v>
      </c>
      <c r="D857" s="70" t="s">
        <v>74</v>
      </c>
      <c r="E857" s="280" t="s">
        <v>3388</v>
      </c>
      <c r="F857" s="1049"/>
      <c r="G857" s="1049">
        <v>20400</v>
      </c>
      <c r="H857" s="564"/>
      <c r="I857" s="609"/>
      <c r="J857" s="1155"/>
      <c r="K857" s="609"/>
      <c r="L857" s="609"/>
      <c r="M857" s="609"/>
      <c r="N857" s="599"/>
      <c r="O857" s="552" t="s">
        <v>1584</v>
      </c>
      <c r="P857" s="603"/>
      <c r="Q857" s="682"/>
      <c r="R857" s="682"/>
      <c r="S857" s="682"/>
      <c r="T857" s="682"/>
      <c r="U857" s="682"/>
      <c r="V857" s="682"/>
      <c r="W857" s="682"/>
    </row>
    <row r="858" spans="1:31">
      <c r="A858" s="1045">
        <f t="shared" si="14"/>
        <v>10</v>
      </c>
      <c r="B858" s="398">
        <v>45566</v>
      </c>
      <c r="C858" s="70">
        <v>2018</v>
      </c>
      <c r="D858" s="70" t="s">
        <v>58</v>
      </c>
      <c r="E858" s="380" t="s">
        <v>3389</v>
      </c>
      <c r="F858" s="1049"/>
      <c r="G858" s="1049">
        <v>1462.5</v>
      </c>
      <c r="H858" s="564"/>
      <c r="I858" s="609"/>
      <c r="J858" s="1155"/>
      <c r="K858" s="609"/>
      <c r="L858" s="609"/>
      <c r="M858" s="609"/>
      <c r="N858" s="599"/>
      <c r="O858" s="552" t="s">
        <v>1584</v>
      </c>
      <c r="P858" s="603"/>
      <c r="Q858" s="682"/>
      <c r="R858" s="682"/>
      <c r="S858" s="682"/>
      <c r="T858" s="682"/>
      <c r="U858" s="682"/>
      <c r="V858" s="682"/>
      <c r="W858" s="682"/>
    </row>
    <row r="859" spans="1:31">
      <c r="A859" s="1045">
        <f t="shared" si="14"/>
        <v>10</v>
      </c>
      <c r="B859" s="398">
        <v>45566</v>
      </c>
      <c r="C859" s="70">
        <v>4000</v>
      </c>
      <c r="D859" s="70" t="s">
        <v>74</v>
      </c>
      <c r="E859" s="380" t="s">
        <v>3389</v>
      </c>
      <c r="F859" s="1049"/>
      <c r="G859" s="1049">
        <v>29250</v>
      </c>
      <c r="H859" s="564"/>
      <c r="I859" s="609"/>
      <c r="J859" s="1155"/>
      <c r="K859" s="609"/>
      <c r="L859" s="609"/>
      <c r="M859" s="609"/>
      <c r="N859" s="599"/>
      <c r="O859" s="552" t="s">
        <v>1584</v>
      </c>
      <c r="P859" s="603"/>
      <c r="Q859" s="682"/>
      <c r="R859" s="682"/>
      <c r="S859" s="682"/>
      <c r="T859" s="682"/>
      <c r="U859" s="682"/>
      <c r="V859" s="682"/>
      <c r="W859" s="682"/>
      <c r="AE859" s="2" t="s">
        <v>2903</v>
      </c>
    </row>
    <row r="860" spans="1:31">
      <c r="A860" s="1045">
        <f t="shared" si="14"/>
        <v>10</v>
      </c>
      <c r="B860" s="398">
        <v>45566</v>
      </c>
      <c r="C860" s="70">
        <v>2018</v>
      </c>
      <c r="D860" s="70" t="s">
        <v>58</v>
      </c>
      <c r="E860" s="380" t="s">
        <v>3390</v>
      </c>
      <c r="F860" s="1049"/>
      <c r="G860" s="1049">
        <v>1725</v>
      </c>
      <c r="H860" s="564"/>
      <c r="I860" s="609"/>
      <c r="J860" s="1155"/>
      <c r="K860" s="609"/>
      <c r="L860" s="609"/>
      <c r="M860" s="609"/>
      <c r="N860" s="599"/>
      <c r="O860" s="552" t="s">
        <v>1584</v>
      </c>
      <c r="P860" s="603"/>
      <c r="Q860" s="682"/>
      <c r="R860" s="682"/>
      <c r="S860" s="682"/>
      <c r="T860" s="682"/>
      <c r="U860" s="682"/>
      <c r="V860" s="682"/>
      <c r="W860" s="682"/>
    </row>
    <row r="861" spans="1:31">
      <c r="A861" s="1045">
        <f t="shared" si="14"/>
        <v>10</v>
      </c>
      <c r="B861" s="398">
        <v>45566</v>
      </c>
      <c r="C861" s="70">
        <v>4000</v>
      </c>
      <c r="D861" s="70" t="s">
        <v>74</v>
      </c>
      <c r="E861" s="380" t="s">
        <v>3390</v>
      </c>
      <c r="F861" s="1049"/>
      <c r="G861" s="1049">
        <v>34500</v>
      </c>
      <c r="H861" s="564"/>
      <c r="I861" s="609"/>
      <c r="J861" s="1155"/>
      <c r="K861" s="609"/>
      <c r="L861" s="609"/>
      <c r="M861" s="609"/>
      <c r="N861" s="599"/>
      <c r="O861" s="552" t="s">
        <v>1584</v>
      </c>
      <c r="P861" s="603"/>
      <c r="Q861" s="682"/>
      <c r="R861" s="682"/>
      <c r="S861" s="682"/>
      <c r="T861" s="682"/>
      <c r="U861" s="682"/>
      <c r="V861" s="682"/>
      <c r="W861" s="682"/>
    </row>
    <row r="862" spans="1:31">
      <c r="A862" s="1045">
        <f t="shared" si="14"/>
        <v>10</v>
      </c>
      <c r="B862" s="398">
        <v>45566</v>
      </c>
      <c r="C862" s="70">
        <v>2018</v>
      </c>
      <c r="D862" s="70" t="s">
        <v>58</v>
      </c>
      <c r="E862" s="380" t="s">
        <v>3391</v>
      </c>
      <c r="F862" s="1049"/>
      <c r="G862" s="1049">
        <v>1950</v>
      </c>
      <c r="H862" s="564"/>
      <c r="I862" s="609"/>
      <c r="J862" s="1155"/>
      <c r="K862" s="609"/>
      <c r="L862" s="609"/>
      <c r="M862" s="609"/>
      <c r="N862" s="599"/>
      <c r="O862" s="552" t="s">
        <v>1584</v>
      </c>
      <c r="P862" s="603"/>
      <c r="Q862" s="682"/>
      <c r="R862" s="682"/>
      <c r="S862" s="682"/>
      <c r="T862" s="682"/>
      <c r="U862" s="682"/>
      <c r="V862" s="682"/>
      <c r="W862" s="682"/>
    </row>
    <row r="863" spans="1:31">
      <c r="A863" s="1045">
        <f t="shared" si="14"/>
        <v>10</v>
      </c>
      <c r="B863" s="398">
        <v>45566</v>
      </c>
      <c r="C863" s="70">
        <v>4000</v>
      </c>
      <c r="D863" s="70" t="s">
        <v>74</v>
      </c>
      <c r="E863" s="380" t="s">
        <v>3391</v>
      </c>
      <c r="F863" s="1049"/>
      <c r="G863" s="1049">
        <v>39000</v>
      </c>
      <c r="H863" s="564"/>
      <c r="I863" s="609"/>
      <c r="J863" s="1155"/>
      <c r="K863" s="609"/>
      <c r="L863" s="609"/>
      <c r="M863" s="609"/>
      <c r="N863" s="599"/>
      <c r="O863" s="552" t="s">
        <v>1584</v>
      </c>
      <c r="P863" s="603"/>
      <c r="Q863" s="682"/>
      <c r="R863" s="682"/>
      <c r="S863" s="682"/>
      <c r="T863" s="682"/>
      <c r="U863" s="682"/>
      <c r="V863" s="682"/>
      <c r="W863" s="682"/>
    </row>
    <row r="864" spans="1:31">
      <c r="A864" s="1045">
        <f t="shared" si="14"/>
        <v>10</v>
      </c>
      <c r="B864" s="398">
        <v>45566</v>
      </c>
      <c r="C864" s="70">
        <v>2018</v>
      </c>
      <c r="D864" s="70" t="s">
        <v>58</v>
      </c>
      <c r="E864" s="380" t="s">
        <v>3392</v>
      </c>
      <c r="F864" s="1049"/>
      <c r="G864" s="1049">
        <v>1428.57</v>
      </c>
      <c r="H864" s="564"/>
      <c r="I864" s="609"/>
      <c r="J864" s="1155"/>
      <c r="K864" s="609"/>
      <c r="L864" s="609"/>
      <c r="M864" s="609"/>
      <c r="N864" s="599"/>
      <c r="O864" s="552" t="s">
        <v>1584</v>
      </c>
      <c r="P864" s="603"/>
      <c r="Q864" s="682"/>
      <c r="R864" s="682"/>
      <c r="S864" s="682"/>
      <c r="T864" s="682"/>
      <c r="U864" s="682"/>
      <c r="V864" s="682"/>
      <c r="W864" s="682"/>
    </row>
    <row r="865" spans="1:31">
      <c r="A865" s="1045">
        <f t="shared" si="14"/>
        <v>10</v>
      </c>
      <c r="B865" s="398">
        <v>45566</v>
      </c>
      <c r="C865" s="70">
        <v>4000</v>
      </c>
      <c r="D865" s="70" t="s">
        <v>74</v>
      </c>
      <c r="E865" s="380" t="s">
        <v>3392</v>
      </c>
      <c r="F865" s="1049"/>
      <c r="G865" s="1049">
        <v>28571.43</v>
      </c>
      <c r="H865" s="564"/>
      <c r="I865" s="609"/>
      <c r="J865" s="1155"/>
      <c r="K865" s="609"/>
      <c r="L865" s="609"/>
      <c r="M865" s="609"/>
      <c r="N865" s="599"/>
      <c r="O865" s="552" t="s">
        <v>1584</v>
      </c>
      <c r="P865" s="603"/>
      <c r="Q865" s="682"/>
      <c r="R865" s="682"/>
      <c r="S865" s="682"/>
      <c r="T865" s="682"/>
      <c r="U865" s="682"/>
      <c r="V865" s="682"/>
      <c r="W865" s="682"/>
    </row>
    <row r="866" spans="1:31">
      <c r="A866" s="1045">
        <f t="shared" si="14"/>
        <v>10</v>
      </c>
      <c r="B866" s="398">
        <v>45566</v>
      </c>
      <c r="C866" s="70">
        <v>2018</v>
      </c>
      <c r="D866" s="70" t="s">
        <v>58</v>
      </c>
      <c r="E866" s="380" t="s">
        <v>3393</v>
      </c>
      <c r="F866" s="1049"/>
      <c r="G866" s="1049">
        <v>575</v>
      </c>
      <c r="H866" s="564"/>
      <c r="I866" s="609"/>
      <c r="J866" s="1155"/>
      <c r="K866" s="609"/>
      <c r="L866" s="609"/>
      <c r="M866" s="609"/>
      <c r="N866" s="599"/>
      <c r="O866" s="552" t="s">
        <v>1584</v>
      </c>
      <c r="P866" s="603"/>
      <c r="Q866" s="682"/>
      <c r="R866" s="682"/>
      <c r="S866" s="682"/>
      <c r="T866" s="682"/>
      <c r="U866" s="682"/>
      <c r="V866" s="682"/>
      <c r="W866" s="682"/>
    </row>
    <row r="867" spans="1:31">
      <c r="A867" s="1045">
        <f t="shared" si="14"/>
        <v>10</v>
      </c>
      <c r="B867" s="398">
        <v>45566</v>
      </c>
      <c r="C867" s="70">
        <v>4000</v>
      </c>
      <c r="D867" s="70" t="s">
        <v>74</v>
      </c>
      <c r="E867" s="380" t="s">
        <v>3393</v>
      </c>
      <c r="F867" s="1049"/>
      <c r="G867" s="1049">
        <v>11500</v>
      </c>
      <c r="H867" s="564"/>
      <c r="I867" s="609"/>
      <c r="J867" s="1155"/>
      <c r="K867" s="609"/>
      <c r="L867" s="609"/>
      <c r="M867" s="609"/>
      <c r="N867" s="599"/>
      <c r="O867" s="552" t="s">
        <v>1584</v>
      </c>
      <c r="P867" s="603"/>
      <c r="Q867" s="682"/>
      <c r="R867" s="682"/>
      <c r="S867" s="682"/>
      <c r="T867" s="682"/>
      <c r="U867" s="682"/>
      <c r="V867" s="682"/>
      <c r="W867" s="682"/>
    </row>
    <row r="868" spans="1:31">
      <c r="A868" s="1045">
        <f t="shared" si="14"/>
        <v>7</v>
      </c>
      <c r="B868" s="134">
        <v>45476</v>
      </c>
      <c r="C868" s="70">
        <v>2018</v>
      </c>
      <c r="D868" s="70" t="s">
        <v>58</v>
      </c>
      <c r="E868" s="280" t="s">
        <v>3394</v>
      </c>
      <c r="F868" s="1049"/>
      <c r="G868" s="1049">
        <v>1650</v>
      </c>
      <c r="H868" s="564"/>
      <c r="I868" s="609"/>
      <c r="J868" s="1155"/>
      <c r="K868" s="609"/>
      <c r="L868" s="609"/>
      <c r="M868" s="609"/>
      <c r="N868" s="599"/>
      <c r="O868" s="552" t="s">
        <v>1584</v>
      </c>
      <c r="P868" s="603"/>
      <c r="Q868" s="682"/>
      <c r="R868" s="682"/>
      <c r="S868" s="682"/>
      <c r="T868" s="682"/>
      <c r="U868" s="682"/>
      <c r="V868" s="682"/>
      <c r="W868" s="682"/>
    </row>
    <row r="869" spans="1:31">
      <c r="A869" s="1045">
        <f t="shared" si="14"/>
        <v>7</v>
      </c>
      <c r="B869" s="134">
        <v>45476</v>
      </c>
      <c r="C869" s="70">
        <v>4000</v>
      </c>
      <c r="D869" s="70" t="s">
        <v>74</v>
      </c>
      <c r="E869" s="280" t="s">
        <v>3394</v>
      </c>
      <c r="F869" s="1049"/>
      <c r="G869" s="1049">
        <v>33000</v>
      </c>
      <c r="H869" s="564"/>
      <c r="I869" s="609"/>
      <c r="J869" s="1155"/>
      <c r="K869" s="609"/>
      <c r="L869" s="609"/>
      <c r="M869" s="609"/>
      <c r="N869" s="599"/>
      <c r="O869" s="552" t="s">
        <v>1584</v>
      </c>
      <c r="P869" s="603"/>
      <c r="Q869" s="682"/>
      <c r="R869" s="682"/>
      <c r="S869" s="682"/>
      <c r="T869" s="682"/>
      <c r="U869" s="682"/>
      <c r="V869" s="682"/>
      <c r="W869" s="682"/>
    </row>
    <row r="870" spans="1:31">
      <c r="A870" s="1045">
        <f t="shared" si="14"/>
        <v>7</v>
      </c>
      <c r="B870" s="134">
        <v>45476</v>
      </c>
      <c r="C870" s="70">
        <v>2018</v>
      </c>
      <c r="D870" s="70" t="s">
        <v>58</v>
      </c>
      <c r="E870" s="280" t="s">
        <v>3395</v>
      </c>
      <c r="F870" s="1049"/>
      <c r="G870" s="1049">
        <v>960</v>
      </c>
      <c r="H870" s="564"/>
      <c r="I870" s="609"/>
      <c r="J870" s="1155"/>
      <c r="K870" s="609"/>
      <c r="L870" s="609"/>
      <c r="M870" s="609"/>
      <c r="N870" s="599"/>
      <c r="O870" s="552" t="s">
        <v>1584</v>
      </c>
      <c r="P870" s="603"/>
      <c r="Q870" s="682"/>
      <c r="R870" s="682"/>
      <c r="S870" s="682"/>
      <c r="T870" s="682"/>
      <c r="U870" s="682"/>
      <c r="V870" s="682"/>
      <c r="W870" s="682"/>
    </row>
    <row r="871" spans="1:31">
      <c r="A871" s="1045">
        <f t="shared" si="14"/>
        <v>7</v>
      </c>
      <c r="B871" s="134">
        <v>45476</v>
      </c>
      <c r="C871" s="70">
        <v>4000</v>
      </c>
      <c r="D871" s="70" t="s">
        <v>74</v>
      </c>
      <c r="E871" s="280" t="s">
        <v>3395</v>
      </c>
      <c r="F871" s="1049"/>
      <c r="G871" s="1049">
        <v>19200</v>
      </c>
      <c r="H871" s="564"/>
      <c r="I871" s="609"/>
      <c r="J871" s="1155"/>
      <c r="K871" s="609"/>
      <c r="L871" s="609"/>
      <c r="M871" s="609"/>
      <c r="N871" s="599"/>
      <c r="O871" s="552" t="s">
        <v>1584</v>
      </c>
      <c r="P871" s="603"/>
      <c r="Q871" s="682"/>
      <c r="R871" s="682"/>
      <c r="S871" s="682"/>
      <c r="T871" s="682"/>
      <c r="U871" s="682"/>
      <c r="V871" s="682"/>
      <c r="W871" s="682"/>
    </row>
    <row r="872" spans="1:31">
      <c r="A872" s="1045">
        <f t="shared" si="14"/>
        <v>7</v>
      </c>
      <c r="B872" s="134">
        <v>45481</v>
      </c>
      <c r="C872" s="70">
        <v>6250</v>
      </c>
      <c r="D872" s="70" t="s">
        <v>129</v>
      </c>
      <c r="E872" s="280" t="s">
        <v>3396</v>
      </c>
      <c r="F872" s="1049"/>
      <c r="G872" s="1049">
        <v>1100</v>
      </c>
      <c r="H872" s="564"/>
      <c r="I872" s="609"/>
      <c r="J872" s="1155"/>
      <c r="K872" s="609"/>
      <c r="L872" s="609"/>
      <c r="M872" s="609"/>
      <c r="N872" s="599"/>
      <c r="O872" s="552" t="s">
        <v>1584</v>
      </c>
      <c r="P872" s="603"/>
      <c r="Q872" s="682"/>
      <c r="R872" s="682"/>
      <c r="S872" s="682"/>
      <c r="T872" s="682"/>
      <c r="U872" s="682"/>
      <c r="V872" s="682"/>
      <c r="W872" s="682"/>
    </row>
    <row r="873" spans="1:31">
      <c r="A873" s="1045">
        <f t="shared" si="14"/>
        <v>7</v>
      </c>
      <c r="B873" s="134">
        <v>45481</v>
      </c>
      <c r="C873" s="70">
        <v>4000</v>
      </c>
      <c r="D873" s="70" t="s">
        <v>74</v>
      </c>
      <c r="E873" s="280" t="s">
        <v>3396</v>
      </c>
      <c r="F873" s="1049"/>
      <c r="G873" s="1049">
        <v>22000</v>
      </c>
      <c r="H873" s="1635">
        <v>45481</v>
      </c>
      <c r="I873" s="609"/>
      <c r="J873" s="1155"/>
      <c r="K873" s="609"/>
      <c r="L873" s="609"/>
      <c r="M873" s="609"/>
      <c r="N873" s="599"/>
      <c r="O873" s="552" t="s">
        <v>1584</v>
      </c>
      <c r="P873" s="603"/>
      <c r="Q873" s="682"/>
      <c r="R873" s="682"/>
      <c r="S873" s="682"/>
      <c r="T873" s="682"/>
      <c r="U873" s="682"/>
      <c r="V873" s="682"/>
      <c r="W873" s="682"/>
      <c r="AE873" s="2" t="s">
        <v>2958</v>
      </c>
    </row>
    <row r="874" spans="1:31">
      <c r="A874" s="1045">
        <f t="shared" si="14"/>
        <v>10</v>
      </c>
      <c r="B874" s="398">
        <v>45566</v>
      </c>
      <c r="C874" s="70">
        <v>2018</v>
      </c>
      <c r="D874" s="70" t="s">
        <v>58</v>
      </c>
      <c r="E874" s="380" t="s">
        <v>3397</v>
      </c>
      <c r="F874" s="1049"/>
      <c r="G874" s="1049">
        <v>700</v>
      </c>
      <c r="H874" s="1635">
        <v>45481</v>
      </c>
      <c r="I874" s="609"/>
      <c r="J874" s="1155"/>
      <c r="K874" s="609"/>
      <c r="L874" s="609"/>
      <c r="M874" s="609"/>
      <c r="N874" s="599"/>
      <c r="O874" s="552" t="s">
        <v>1584</v>
      </c>
      <c r="P874" s="603"/>
      <c r="Q874" s="682"/>
      <c r="R874" s="682"/>
      <c r="S874" s="682"/>
      <c r="T874" s="682"/>
      <c r="U874" s="682"/>
      <c r="V874" s="682"/>
      <c r="W874" s="682"/>
      <c r="AE874" s="2" t="s">
        <v>2960</v>
      </c>
    </row>
    <row r="875" spans="1:31">
      <c r="A875" s="1045">
        <f t="shared" si="14"/>
        <v>10</v>
      </c>
      <c r="B875" s="398">
        <v>45566</v>
      </c>
      <c r="C875" s="70">
        <v>4000</v>
      </c>
      <c r="D875" s="70" t="s">
        <v>74</v>
      </c>
      <c r="E875" s="380" t="s">
        <v>3397</v>
      </c>
      <c r="F875" s="1049"/>
      <c r="G875" s="1049">
        <v>14000</v>
      </c>
      <c r="H875" s="564"/>
      <c r="I875" s="609"/>
      <c r="J875" s="1155"/>
      <c r="K875" s="609"/>
      <c r="L875" s="609"/>
      <c r="M875" s="609"/>
      <c r="N875" s="599"/>
      <c r="O875" s="552" t="s">
        <v>1584</v>
      </c>
      <c r="P875" s="603"/>
      <c r="Q875" s="682"/>
      <c r="R875" s="682"/>
      <c r="S875" s="682"/>
      <c r="T875" s="682"/>
      <c r="U875" s="682"/>
      <c r="V875" s="682"/>
      <c r="W875" s="682"/>
      <c r="AE875" s="2" t="s">
        <v>2961</v>
      </c>
    </row>
    <row r="876" spans="1:31">
      <c r="A876" s="1045">
        <f t="shared" si="14"/>
        <v>7</v>
      </c>
      <c r="B876" s="134">
        <v>45483</v>
      </c>
      <c r="C876" s="70">
        <v>2018</v>
      </c>
      <c r="D876" s="70" t="s">
        <v>58</v>
      </c>
      <c r="E876" s="280" t="s">
        <v>3398</v>
      </c>
      <c r="F876" s="1049"/>
      <c r="G876" s="1049">
        <v>3982.88</v>
      </c>
      <c r="H876" s="564"/>
      <c r="I876" s="609"/>
      <c r="J876" s="1155"/>
      <c r="K876" s="609"/>
      <c r="L876" s="609"/>
      <c r="M876" s="609"/>
      <c r="N876" s="599"/>
      <c r="O876" s="552" t="s">
        <v>1584</v>
      </c>
      <c r="P876" s="603"/>
      <c r="Q876" s="682"/>
      <c r="R876" s="682"/>
      <c r="S876" s="682"/>
      <c r="T876" s="682"/>
      <c r="U876" s="682"/>
      <c r="V876" s="682"/>
      <c r="W876" s="682"/>
      <c r="AE876" s="2" t="s">
        <v>2960</v>
      </c>
    </row>
    <row r="877" spans="1:31">
      <c r="A877" s="1045">
        <f t="shared" si="14"/>
        <v>7</v>
      </c>
      <c r="B877" s="134">
        <v>45483</v>
      </c>
      <c r="C877" s="70">
        <v>4000</v>
      </c>
      <c r="D877" s="70" t="s">
        <v>74</v>
      </c>
      <c r="E877" s="280" t="s">
        <v>3398</v>
      </c>
      <c r="F877" s="1049"/>
      <c r="G877" s="1049">
        <v>79657.5</v>
      </c>
      <c r="H877" s="564"/>
      <c r="I877" s="609"/>
      <c r="J877" s="1155"/>
      <c r="K877" s="609"/>
      <c r="L877" s="609"/>
      <c r="M877" s="609"/>
      <c r="N877" s="599"/>
      <c r="O877" s="552" t="s">
        <v>1584</v>
      </c>
      <c r="P877" s="603"/>
      <c r="Q877" s="682"/>
      <c r="R877" s="682"/>
      <c r="S877" s="682"/>
      <c r="T877" s="682"/>
      <c r="U877" s="682"/>
      <c r="V877" s="682"/>
      <c r="W877" s="682"/>
      <c r="AE877" s="2" t="s">
        <v>2966</v>
      </c>
    </row>
    <row r="878" spans="1:31">
      <c r="A878" s="1045">
        <f t="shared" si="14"/>
        <v>7</v>
      </c>
      <c r="B878" s="134">
        <v>45483</v>
      </c>
      <c r="C878" s="70">
        <v>2018</v>
      </c>
      <c r="D878" s="70" t="s">
        <v>58</v>
      </c>
      <c r="E878" s="280" t="s">
        <v>3399</v>
      </c>
      <c r="F878" s="1049"/>
      <c r="G878" s="1049">
        <v>2371.1999999999998</v>
      </c>
      <c r="H878" s="564"/>
      <c r="I878" s="609"/>
      <c r="J878" s="1155"/>
      <c r="K878" s="609"/>
      <c r="L878" s="609"/>
      <c r="M878" s="609"/>
      <c r="N878" s="599"/>
      <c r="O878" s="552" t="s">
        <v>1584</v>
      </c>
      <c r="P878" s="603"/>
      <c r="Q878" s="682"/>
      <c r="R878" s="682"/>
      <c r="S878" s="682"/>
      <c r="T878" s="682"/>
      <c r="U878" s="682"/>
      <c r="V878" s="682"/>
      <c r="W878" s="682"/>
    </row>
    <row r="879" spans="1:31">
      <c r="A879" s="1045">
        <f t="shared" si="14"/>
        <v>7</v>
      </c>
      <c r="B879" s="134">
        <v>45483</v>
      </c>
      <c r="C879" s="70">
        <v>4000</v>
      </c>
      <c r="D879" s="70" t="s">
        <v>74</v>
      </c>
      <c r="E879" s="280" t="s">
        <v>3399</v>
      </c>
      <c r="F879" s="1049"/>
      <c r="G879" s="1049">
        <v>47424</v>
      </c>
      <c r="H879" s="564"/>
      <c r="I879" s="609"/>
      <c r="J879" s="1155"/>
      <c r="K879" s="609"/>
      <c r="L879" s="609"/>
      <c r="M879" s="609"/>
      <c r="N879" s="599"/>
      <c r="O879" s="552" t="s">
        <v>1584</v>
      </c>
      <c r="P879" s="603"/>
      <c r="Q879" s="682"/>
      <c r="R879" s="682"/>
      <c r="S879" s="682"/>
      <c r="T879" s="682"/>
      <c r="U879" s="682"/>
      <c r="V879" s="682"/>
      <c r="W879" s="682"/>
      <c r="AE879" s="2" t="s">
        <v>2967</v>
      </c>
    </row>
    <row r="880" spans="1:31">
      <c r="A880" s="1045">
        <f t="shared" si="14"/>
        <v>10</v>
      </c>
      <c r="B880" s="398">
        <v>45566</v>
      </c>
      <c r="C880" s="70">
        <v>2018</v>
      </c>
      <c r="D880" s="70" t="s">
        <v>58</v>
      </c>
      <c r="E880" s="380" t="s">
        <v>3400</v>
      </c>
      <c r="F880" s="1049"/>
      <c r="G880" s="1049">
        <v>317.5</v>
      </c>
      <c r="H880" s="1635">
        <v>45486</v>
      </c>
      <c r="I880" s="609"/>
      <c r="J880" s="1155"/>
      <c r="K880" s="609"/>
      <c r="L880" s="609"/>
      <c r="M880" s="609"/>
      <c r="N880" s="599"/>
      <c r="O880" s="552" t="s">
        <v>1584</v>
      </c>
      <c r="P880" s="603"/>
      <c r="Q880" s="682"/>
      <c r="R880" s="682"/>
      <c r="S880" s="682"/>
      <c r="T880" s="682"/>
      <c r="U880" s="682"/>
      <c r="V880" s="682"/>
      <c r="W880" s="682"/>
    </row>
    <row r="881" spans="1:31">
      <c r="A881" s="1045">
        <f t="shared" si="14"/>
        <v>10</v>
      </c>
      <c r="B881" s="398">
        <v>45566</v>
      </c>
      <c r="C881" s="70">
        <v>4000</v>
      </c>
      <c r="D881" s="70" t="s">
        <v>74</v>
      </c>
      <c r="E881" s="380" t="s">
        <v>3400</v>
      </c>
      <c r="F881" s="1049"/>
      <c r="G881" s="1049">
        <v>6350</v>
      </c>
      <c r="H881" s="1635">
        <v>45486</v>
      </c>
      <c r="I881" s="609"/>
      <c r="J881" s="1155"/>
      <c r="K881" s="609"/>
      <c r="L881" s="609"/>
      <c r="M881" s="609"/>
      <c r="N881" s="599"/>
      <c r="O881" s="552" t="s">
        <v>1584</v>
      </c>
      <c r="P881" s="603"/>
      <c r="Q881" s="682"/>
      <c r="R881" s="682"/>
      <c r="S881" s="682"/>
      <c r="T881" s="682"/>
      <c r="U881" s="682"/>
      <c r="V881" s="682"/>
      <c r="W881" s="682"/>
    </row>
    <row r="882" spans="1:31">
      <c r="A882" s="1045">
        <f t="shared" si="14"/>
        <v>7</v>
      </c>
      <c r="B882" s="134">
        <v>45493</v>
      </c>
      <c r="C882" s="70">
        <v>2018</v>
      </c>
      <c r="D882" s="70" t="s">
        <v>58</v>
      </c>
      <c r="E882" s="280" t="s">
        <v>3401</v>
      </c>
      <c r="F882" s="1049"/>
      <c r="G882" s="1049">
        <v>358.95</v>
      </c>
      <c r="H882" s="564"/>
      <c r="I882" s="609"/>
      <c r="J882" s="1155"/>
      <c r="K882" s="609"/>
      <c r="L882" s="609"/>
      <c r="M882" s="609"/>
      <c r="N882" s="599"/>
      <c r="O882" s="552" t="s">
        <v>1584</v>
      </c>
      <c r="P882" s="603"/>
      <c r="Q882" s="682"/>
      <c r="R882" s="682"/>
      <c r="S882" s="682"/>
      <c r="T882" s="682"/>
      <c r="U882" s="682"/>
      <c r="V882" s="682"/>
      <c r="W882" s="682"/>
    </row>
    <row r="883" spans="1:31">
      <c r="A883" s="1045">
        <f t="shared" si="14"/>
        <v>7</v>
      </c>
      <c r="B883" s="134">
        <v>45493</v>
      </c>
      <c r="C883" s="70">
        <v>4000</v>
      </c>
      <c r="D883" s="70" t="s">
        <v>74</v>
      </c>
      <c r="E883" s="280" t="s">
        <v>3401</v>
      </c>
      <c r="F883" s="1049"/>
      <c r="G883" s="1049">
        <v>3179</v>
      </c>
      <c r="H883" s="564"/>
      <c r="I883" s="609"/>
      <c r="J883" s="1155"/>
      <c r="K883" s="609"/>
      <c r="L883" s="609"/>
      <c r="M883" s="609"/>
      <c r="N883" s="599"/>
      <c r="O883" s="552" t="s">
        <v>1584</v>
      </c>
      <c r="P883" s="603"/>
      <c r="Q883" s="682"/>
      <c r="R883" s="682"/>
      <c r="S883" s="682"/>
      <c r="T883" s="682"/>
      <c r="U883" s="682"/>
      <c r="V883" s="682"/>
      <c r="W883" s="682"/>
    </row>
    <row r="884" spans="1:31">
      <c r="A884" s="1045">
        <f t="shared" si="14"/>
        <v>7</v>
      </c>
      <c r="B884" s="134">
        <v>45493</v>
      </c>
      <c r="C884" s="70">
        <v>4000</v>
      </c>
      <c r="D884" s="70" t="s">
        <v>74</v>
      </c>
      <c r="E884" s="280" t="s">
        <v>3401</v>
      </c>
      <c r="F884" s="1049"/>
      <c r="G884" s="1049">
        <v>4000</v>
      </c>
      <c r="H884" s="564"/>
      <c r="I884" s="609"/>
      <c r="J884" s="1155"/>
      <c r="K884" s="609"/>
      <c r="L884" s="609"/>
      <c r="M884" s="609"/>
      <c r="N884" s="599"/>
      <c r="O884" s="552" t="s">
        <v>1584</v>
      </c>
      <c r="P884" s="603"/>
      <c r="Q884" s="682"/>
      <c r="R884" s="682"/>
      <c r="S884" s="682"/>
      <c r="T884" s="682"/>
      <c r="U884" s="682"/>
      <c r="V884" s="682"/>
      <c r="W884" s="682"/>
    </row>
    <row r="885" spans="1:31">
      <c r="A885" s="1045">
        <f t="shared" si="14"/>
        <v>7</v>
      </c>
      <c r="B885" s="134">
        <v>45494</v>
      </c>
      <c r="C885" s="70">
        <v>2018</v>
      </c>
      <c r="D885" s="70" t="s">
        <v>58</v>
      </c>
      <c r="E885" s="280" t="s">
        <v>3402</v>
      </c>
      <c r="F885" s="1049"/>
      <c r="G885" s="1049">
        <v>724.2</v>
      </c>
      <c r="H885" s="564"/>
      <c r="I885" s="609"/>
      <c r="J885" s="1155"/>
      <c r="K885" s="609"/>
      <c r="L885" s="609"/>
      <c r="M885" s="609"/>
      <c r="N885" s="599"/>
      <c r="O885" s="552" t="s">
        <v>1584</v>
      </c>
      <c r="P885" s="603"/>
      <c r="Q885" s="682"/>
      <c r="R885" s="682"/>
      <c r="S885" s="682"/>
      <c r="T885" s="682"/>
      <c r="U885" s="682"/>
      <c r="V885" s="682"/>
      <c r="W885" s="682"/>
    </row>
    <row r="886" spans="1:31">
      <c r="A886" s="1045">
        <f t="shared" si="14"/>
        <v>7</v>
      </c>
      <c r="B886" s="134">
        <v>45494</v>
      </c>
      <c r="C886" s="70">
        <v>4000</v>
      </c>
      <c r="D886" s="70" t="s">
        <v>74</v>
      </c>
      <c r="E886" s="280" t="s">
        <v>3402</v>
      </c>
      <c r="F886" s="1049"/>
      <c r="G886" s="1049">
        <v>14484</v>
      </c>
      <c r="H886" s="564"/>
      <c r="I886" s="609"/>
      <c r="J886" s="1155"/>
      <c r="K886" s="609"/>
      <c r="L886" s="609"/>
      <c r="M886" s="609"/>
      <c r="N886" s="599"/>
      <c r="O886" s="552" t="s">
        <v>1584</v>
      </c>
      <c r="P886" s="603"/>
      <c r="Q886" s="682"/>
      <c r="R886" s="682"/>
      <c r="S886" s="682"/>
      <c r="T886" s="682"/>
      <c r="U886" s="682"/>
      <c r="V886" s="682"/>
      <c r="W886" s="682"/>
    </row>
    <row r="887" spans="1:31">
      <c r="A887" s="1045">
        <f t="shared" si="14"/>
        <v>7</v>
      </c>
      <c r="B887" s="134">
        <v>45497</v>
      </c>
      <c r="C887" s="70">
        <v>2018</v>
      </c>
      <c r="D887" s="70" t="s">
        <v>58</v>
      </c>
      <c r="E887" s="280" t="s">
        <v>3403</v>
      </c>
      <c r="F887" s="1049"/>
      <c r="G887" s="1049">
        <v>3260</v>
      </c>
      <c r="H887" s="564"/>
      <c r="I887" s="609"/>
      <c r="J887" s="1155"/>
      <c r="K887" s="609"/>
      <c r="L887" s="609"/>
      <c r="M887" s="609"/>
      <c r="N887" s="599"/>
      <c r="O887" s="552" t="s">
        <v>1584</v>
      </c>
      <c r="P887" s="603"/>
      <c r="Q887" s="682"/>
      <c r="R887" s="682"/>
      <c r="S887" s="682"/>
      <c r="T887" s="682"/>
      <c r="U887" s="682"/>
      <c r="V887" s="682"/>
      <c r="W887" s="682"/>
    </row>
    <row r="888" spans="1:31">
      <c r="A888" s="1045">
        <f t="shared" si="14"/>
        <v>7</v>
      </c>
      <c r="B888" s="134">
        <v>45497</v>
      </c>
      <c r="C888" s="70">
        <v>4000</v>
      </c>
      <c r="D888" s="70" t="s">
        <v>74</v>
      </c>
      <c r="E888" s="280" t="s">
        <v>3403</v>
      </c>
      <c r="F888" s="1049"/>
      <c r="G888" s="1049">
        <v>65200</v>
      </c>
      <c r="H888" s="564"/>
      <c r="I888" s="609"/>
      <c r="J888" s="1155"/>
      <c r="K888" s="609"/>
      <c r="L888" s="609"/>
      <c r="M888" s="609"/>
      <c r="N888" s="599"/>
      <c r="O888" s="552" t="s">
        <v>1584</v>
      </c>
      <c r="P888" s="603"/>
      <c r="Q888" s="682"/>
      <c r="R888" s="682"/>
      <c r="S888" s="682"/>
      <c r="T888" s="682"/>
      <c r="U888" s="682"/>
      <c r="V888" s="682"/>
      <c r="W888" s="682"/>
    </row>
    <row r="889" spans="1:31">
      <c r="A889" s="1045">
        <f t="shared" si="14"/>
        <v>7</v>
      </c>
      <c r="B889" s="134">
        <v>45498</v>
      </c>
      <c r="C889" s="70">
        <v>2018</v>
      </c>
      <c r="D889" s="70" t="s">
        <v>58</v>
      </c>
      <c r="E889" s="280" t="s">
        <v>3404</v>
      </c>
      <c r="F889" s="1049"/>
      <c r="G889" s="1049">
        <v>3615</v>
      </c>
      <c r="H889" s="564"/>
      <c r="I889" s="609"/>
      <c r="J889" s="1155"/>
      <c r="K889" s="609"/>
      <c r="L889" s="609"/>
      <c r="M889" s="609"/>
      <c r="N889" s="599"/>
      <c r="O889" s="552" t="s">
        <v>1584</v>
      </c>
      <c r="P889" s="603"/>
      <c r="Q889" s="682"/>
      <c r="R889" s="682"/>
      <c r="S889" s="682"/>
      <c r="T889" s="682"/>
      <c r="U889" s="682"/>
      <c r="V889" s="682"/>
      <c r="W889" s="682"/>
    </row>
    <row r="890" spans="1:31">
      <c r="A890" s="1045">
        <f t="shared" si="14"/>
        <v>7</v>
      </c>
      <c r="B890" s="134">
        <v>45498</v>
      </c>
      <c r="C890" s="70">
        <v>4000</v>
      </c>
      <c r="D890" s="70" t="s">
        <v>74</v>
      </c>
      <c r="E890" s="280" t="s">
        <v>3404</v>
      </c>
      <c r="F890" s="1049"/>
      <c r="G890" s="1049">
        <v>72300</v>
      </c>
      <c r="H890" s="564"/>
      <c r="I890" s="609"/>
      <c r="J890" s="1155"/>
      <c r="K890" s="609"/>
      <c r="L890" s="609"/>
      <c r="M890" s="609"/>
      <c r="N890" s="599"/>
      <c r="O890" s="552" t="s">
        <v>1584</v>
      </c>
      <c r="P890" s="603"/>
      <c r="Q890" s="682"/>
      <c r="R890" s="682"/>
      <c r="S890" s="682"/>
      <c r="T890" s="682"/>
      <c r="U890" s="682"/>
      <c r="V890" s="682"/>
      <c r="W890" s="682"/>
    </row>
    <row r="891" spans="1:31">
      <c r="A891" s="1045">
        <f t="shared" si="14"/>
        <v>7</v>
      </c>
      <c r="B891" s="134">
        <v>45501</v>
      </c>
      <c r="C891" s="70">
        <v>2018</v>
      </c>
      <c r="D891" s="70" t="s">
        <v>58</v>
      </c>
      <c r="E891" s="280" t="s">
        <v>3405</v>
      </c>
      <c r="F891" s="1049"/>
      <c r="G891" s="1049">
        <v>475</v>
      </c>
      <c r="H891" s="564"/>
      <c r="I891" s="609"/>
      <c r="J891" s="1155"/>
      <c r="K891" s="609"/>
      <c r="L891" s="609"/>
      <c r="M891" s="609"/>
      <c r="N891" s="599"/>
      <c r="O891" s="552" t="s">
        <v>1584</v>
      </c>
      <c r="P891" s="603"/>
      <c r="Q891" s="682"/>
      <c r="R891" s="682"/>
      <c r="S891" s="682"/>
      <c r="T891" s="682"/>
      <c r="U891" s="682"/>
      <c r="V891" s="682"/>
      <c r="W891" s="682"/>
    </row>
    <row r="892" spans="1:31">
      <c r="A892" s="1045">
        <f t="shared" si="14"/>
        <v>7</v>
      </c>
      <c r="B892" s="134">
        <v>45501</v>
      </c>
      <c r="C892" s="70">
        <v>4000</v>
      </c>
      <c r="D892" s="70" t="s">
        <v>74</v>
      </c>
      <c r="E892" s="280" t="s">
        <v>3405</v>
      </c>
      <c r="F892" s="1049"/>
      <c r="G892" s="1049">
        <v>9500</v>
      </c>
      <c r="H892" s="564"/>
      <c r="I892" s="609"/>
      <c r="J892" s="1155"/>
      <c r="K892" s="609"/>
      <c r="L892" s="609"/>
      <c r="M892" s="609"/>
      <c r="N892" s="599"/>
      <c r="O892" s="552" t="s">
        <v>1584</v>
      </c>
      <c r="P892" s="603"/>
      <c r="Q892" s="682"/>
      <c r="R892" s="682"/>
      <c r="S892" s="682"/>
      <c r="T892" s="682"/>
      <c r="U892" s="682"/>
      <c r="V892" s="682"/>
      <c r="W892" s="682"/>
    </row>
    <row r="893" spans="1:31">
      <c r="A893" s="1045">
        <f t="shared" si="14"/>
        <v>10</v>
      </c>
      <c r="B893" s="398">
        <v>45566</v>
      </c>
      <c r="C893" s="70">
        <v>2018</v>
      </c>
      <c r="D893" s="70" t="s">
        <v>58</v>
      </c>
      <c r="E893" s="380" t="s">
        <v>3406</v>
      </c>
      <c r="F893" s="1049"/>
      <c r="G893" s="1049">
        <v>1800</v>
      </c>
      <c r="H893" s="1635">
        <v>45508</v>
      </c>
      <c r="I893" s="609"/>
      <c r="J893" s="1155"/>
      <c r="K893" s="609"/>
      <c r="L893" s="609"/>
      <c r="M893" s="609"/>
      <c r="N893" s="599"/>
      <c r="O893" s="552" t="s">
        <v>1584</v>
      </c>
      <c r="P893" s="603"/>
      <c r="Q893" s="682"/>
      <c r="R893" s="682"/>
      <c r="S893" s="682"/>
      <c r="T893" s="682"/>
      <c r="U893" s="682"/>
      <c r="V893" s="682"/>
      <c r="W893" s="682"/>
    </row>
    <row r="894" spans="1:31">
      <c r="A894" s="1045">
        <f t="shared" si="14"/>
        <v>10</v>
      </c>
      <c r="B894" s="398">
        <v>45566</v>
      </c>
      <c r="C894" s="70">
        <v>4000</v>
      </c>
      <c r="D894" s="70" t="s">
        <v>74</v>
      </c>
      <c r="E894" s="380" t="s">
        <v>3406</v>
      </c>
      <c r="F894" s="1049"/>
      <c r="G894" s="1049">
        <v>36000</v>
      </c>
      <c r="H894" s="1635">
        <v>45508</v>
      </c>
      <c r="I894" s="609"/>
      <c r="J894" s="1155"/>
      <c r="K894" s="609"/>
      <c r="L894" s="609"/>
      <c r="M894" s="609"/>
      <c r="N894" s="599"/>
      <c r="O894" s="552" t="s">
        <v>1584</v>
      </c>
      <c r="P894" s="603"/>
      <c r="Q894" s="682"/>
      <c r="R894" s="682"/>
      <c r="S894" s="682"/>
      <c r="T894" s="682"/>
      <c r="U894" s="682"/>
      <c r="V894" s="682"/>
      <c r="W894" s="682"/>
      <c r="AE894" s="2" t="s">
        <v>2972</v>
      </c>
    </row>
    <row r="895" spans="1:31">
      <c r="A895" s="1045">
        <f t="shared" si="14"/>
        <v>8</v>
      </c>
      <c r="B895" s="134">
        <v>45513</v>
      </c>
      <c r="C895" s="70">
        <v>2018</v>
      </c>
      <c r="D895" s="70" t="s">
        <v>58</v>
      </c>
      <c r="E895" s="280" t="s">
        <v>3407</v>
      </c>
      <c r="F895" s="1049"/>
      <c r="G895" s="1049">
        <v>825</v>
      </c>
      <c r="H895" s="564"/>
      <c r="I895" s="609"/>
      <c r="J895" s="1155"/>
      <c r="K895" s="609"/>
      <c r="L895" s="609"/>
      <c r="M895" s="609"/>
      <c r="N895" s="599"/>
      <c r="O895" s="552" t="s">
        <v>1584</v>
      </c>
      <c r="P895" s="603"/>
      <c r="Q895" s="682"/>
      <c r="R895" s="682"/>
      <c r="S895" s="682"/>
      <c r="T895" s="682"/>
      <c r="U895" s="682"/>
      <c r="V895" s="682"/>
      <c r="W895" s="682"/>
    </row>
    <row r="896" spans="1:31">
      <c r="A896" s="1045">
        <f t="shared" si="14"/>
        <v>8</v>
      </c>
      <c r="B896" s="134">
        <v>45513</v>
      </c>
      <c r="C896" s="70">
        <v>4000</v>
      </c>
      <c r="D896" s="70" t="s">
        <v>74</v>
      </c>
      <c r="E896" s="280" t="s">
        <v>3407</v>
      </c>
      <c r="F896" s="1049"/>
      <c r="G896" s="1049">
        <v>16500</v>
      </c>
      <c r="H896" s="564"/>
      <c r="I896" s="609"/>
      <c r="J896" s="1155"/>
      <c r="K896" s="609"/>
      <c r="L896" s="609"/>
      <c r="M896" s="609"/>
      <c r="N896" s="599"/>
      <c r="O896" s="552" t="s">
        <v>1584</v>
      </c>
      <c r="P896" s="603"/>
      <c r="Q896" s="682"/>
      <c r="R896" s="682"/>
      <c r="S896" s="682"/>
      <c r="T896" s="682"/>
      <c r="U896" s="682"/>
      <c r="V896" s="682"/>
      <c r="W896" s="682"/>
    </row>
    <row r="897" spans="1:31">
      <c r="A897" s="1045">
        <f t="shared" si="14"/>
        <v>8</v>
      </c>
      <c r="B897" s="134">
        <v>45514</v>
      </c>
      <c r="C897" s="70">
        <v>2018</v>
      </c>
      <c r="D897" s="70" t="s">
        <v>58</v>
      </c>
      <c r="E897" s="280" t="s">
        <v>3408</v>
      </c>
      <c r="F897" s="1049"/>
      <c r="G897" s="1049">
        <v>2537.5</v>
      </c>
      <c r="H897" s="564"/>
      <c r="I897" s="609"/>
      <c r="J897" s="1155"/>
      <c r="K897" s="609"/>
      <c r="L897" s="609"/>
      <c r="M897" s="609"/>
      <c r="N897" s="599"/>
      <c r="O897" s="552" t="s">
        <v>1584</v>
      </c>
      <c r="P897" s="603"/>
      <c r="Q897" s="682"/>
      <c r="R897" s="682"/>
      <c r="S897" s="682"/>
      <c r="T897" s="682"/>
      <c r="U897" s="682"/>
      <c r="V897" s="682"/>
      <c r="W897" s="682"/>
    </row>
    <row r="898" spans="1:31">
      <c r="A898" s="1045">
        <f t="shared" si="14"/>
        <v>8</v>
      </c>
      <c r="B898" s="134">
        <v>45514</v>
      </c>
      <c r="C898" s="70">
        <v>4000</v>
      </c>
      <c r="D898" s="70" t="s">
        <v>74</v>
      </c>
      <c r="E898" s="280" t="s">
        <v>3408</v>
      </c>
      <c r="F898" s="1049"/>
      <c r="G898" s="1049">
        <v>50750</v>
      </c>
      <c r="H898" s="564"/>
      <c r="I898" s="609"/>
      <c r="J898" s="1155"/>
      <c r="K898" s="609"/>
      <c r="L898" s="609"/>
      <c r="M898" s="609"/>
      <c r="N898" s="599"/>
      <c r="O898" s="552" t="s">
        <v>1584</v>
      </c>
      <c r="P898" s="603"/>
      <c r="Q898" s="682"/>
      <c r="R898" s="682"/>
      <c r="S898" s="682"/>
      <c r="T898" s="682"/>
      <c r="U898" s="682"/>
      <c r="V898" s="682"/>
      <c r="W898" s="682"/>
    </row>
    <row r="899" spans="1:31">
      <c r="A899" s="1045">
        <f t="shared" si="14"/>
        <v>8</v>
      </c>
      <c r="B899" s="134">
        <v>45515</v>
      </c>
      <c r="C899" s="70">
        <v>2018</v>
      </c>
      <c r="D899" s="70" t="s">
        <v>58</v>
      </c>
      <c r="E899" s="280" t="s">
        <v>3409</v>
      </c>
      <c r="F899" s="1049"/>
      <c r="G899" s="1049">
        <v>885</v>
      </c>
      <c r="H899" s="564"/>
      <c r="I899" s="609"/>
      <c r="J899" s="1155"/>
      <c r="K899" s="609"/>
      <c r="L899" s="609"/>
      <c r="M899" s="609"/>
      <c r="N899" s="599"/>
      <c r="O899" s="552" t="s">
        <v>1584</v>
      </c>
      <c r="P899" s="603"/>
      <c r="Q899" s="682"/>
      <c r="R899" s="682"/>
      <c r="S899" s="682"/>
      <c r="T899" s="682"/>
      <c r="U899" s="682"/>
      <c r="V899" s="682"/>
      <c r="W899" s="682"/>
    </row>
    <row r="900" spans="1:31">
      <c r="A900" s="1045">
        <f t="shared" si="14"/>
        <v>8</v>
      </c>
      <c r="B900" s="134">
        <v>45515</v>
      </c>
      <c r="C900" s="70">
        <v>4000</v>
      </c>
      <c r="D900" s="70" t="s">
        <v>74</v>
      </c>
      <c r="E900" s="280" t="s">
        <v>3409</v>
      </c>
      <c r="F900" s="1049"/>
      <c r="G900" s="1049">
        <v>17700</v>
      </c>
      <c r="H900" s="564"/>
      <c r="I900" s="609"/>
      <c r="J900" s="1155"/>
      <c r="K900" s="609"/>
      <c r="L900" s="609"/>
      <c r="M900" s="609"/>
      <c r="N900" s="599"/>
      <c r="O900" s="552" t="s">
        <v>1584</v>
      </c>
      <c r="P900" s="603"/>
      <c r="Q900" s="682"/>
      <c r="R900" s="682"/>
      <c r="S900" s="682"/>
      <c r="T900" s="682"/>
      <c r="U900" s="682"/>
      <c r="V900" s="682"/>
      <c r="W900" s="682"/>
    </row>
    <row r="901" spans="1:31">
      <c r="A901" s="1045">
        <f t="shared" si="14"/>
        <v>8</v>
      </c>
      <c r="B901" s="134">
        <v>45515</v>
      </c>
      <c r="C901" s="70">
        <v>2018</v>
      </c>
      <c r="D901" s="70" t="s">
        <v>58</v>
      </c>
      <c r="E901" s="280" t="s">
        <v>3410</v>
      </c>
      <c r="F901" s="1049"/>
      <c r="G901" s="1049">
        <v>212.5</v>
      </c>
      <c r="H901" s="564"/>
      <c r="I901" s="609"/>
      <c r="J901" s="1155"/>
      <c r="K901" s="609"/>
      <c r="L901" s="609"/>
      <c r="M901" s="609"/>
      <c r="N901" s="599"/>
      <c r="O901" s="552" t="s">
        <v>1584</v>
      </c>
      <c r="P901" s="603"/>
      <c r="Q901" s="682"/>
      <c r="R901" s="682"/>
      <c r="S901" s="682"/>
      <c r="T901" s="682"/>
      <c r="U901" s="682"/>
      <c r="V901" s="682"/>
      <c r="W901" s="682"/>
    </row>
    <row r="902" spans="1:31">
      <c r="A902" s="1045">
        <f t="shared" si="14"/>
        <v>8</v>
      </c>
      <c r="B902" s="134">
        <v>45515</v>
      </c>
      <c r="C902" s="70">
        <v>4000</v>
      </c>
      <c r="D902" s="70" t="s">
        <v>74</v>
      </c>
      <c r="E902" s="280" t="s">
        <v>3410</v>
      </c>
      <c r="F902" s="1049"/>
      <c r="G902" s="1049">
        <v>4250</v>
      </c>
      <c r="H902" s="564"/>
      <c r="I902" s="609"/>
      <c r="J902" s="1155"/>
      <c r="K902" s="609"/>
      <c r="L902" s="609"/>
      <c r="M902" s="609"/>
      <c r="N902" s="599"/>
      <c r="O902" s="552" t="s">
        <v>1584</v>
      </c>
      <c r="P902" s="603"/>
      <c r="Q902" s="682"/>
      <c r="R902" s="682"/>
      <c r="S902" s="682"/>
      <c r="T902" s="682"/>
      <c r="U902" s="682"/>
      <c r="V902" s="682"/>
      <c r="W902" s="682"/>
    </row>
    <row r="903" spans="1:31">
      <c r="A903" s="1045">
        <f t="shared" si="14"/>
        <v>8</v>
      </c>
      <c r="B903" s="134">
        <v>45517</v>
      </c>
      <c r="C903" s="70">
        <v>2018</v>
      </c>
      <c r="D903" s="70" t="s">
        <v>58</v>
      </c>
      <c r="E903" s="280" t="s">
        <v>3411</v>
      </c>
      <c r="F903" s="1049"/>
      <c r="G903" s="1049">
        <v>487.5</v>
      </c>
      <c r="H903" s="564"/>
      <c r="I903" s="609"/>
      <c r="J903" s="1155"/>
      <c r="K903" s="609"/>
      <c r="L903" s="609"/>
      <c r="M903" s="609"/>
      <c r="N903" s="599"/>
      <c r="O903" s="552" t="s">
        <v>1584</v>
      </c>
      <c r="P903" s="603"/>
      <c r="Q903" s="682"/>
      <c r="R903" s="682"/>
      <c r="S903" s="682"/>
      <c r="T903" s="682"/>
      <c r="U903" s="682"/>
      <c r="V903" s="682"/>
      <c r="W903" s="682"/>
    </row>
    <row r="904" spans="1:31">
      <c r="A904" s="1045">
        <f t="shared" si="14"/>
        <v>8</v>
      </c>
      <c r="B904" s="134">
        <v>45517</v>
      </c>
      <c r="C904" s="70">
        <v>4000</v>
      </c>
      <c r="D904" s="70" t="s">
        <v>74</v>
      </c>
      <c r="E904" s="280" t="s">
        <v>3411</v>
      </c>
      <c r="F904" s="1049"/>
      <c r="G904" s="1049">
        <v>9750</v>
      </c>
      <c r="H904" s="564"/>
      <c r="I904" s="609"/>
      <c r="J904" s="1155"/>
      <c r="K904" s="609"/>
      <c r="L904" s="609"/>
      <c r="M904" s="609"/>
      <c r="N904" s="599"/>
      <c r="O904" s="552" t="s">
        <v>1584</v>
      </c>
      <c r="P904" s="603"/>
      <c r="Q904" s="682"/>
      <c r="R904" s="682"/>
      <c r="S904" s="682"/>
      <c r="T904" s="682"/>
      <c r="U904" s="682"/>
      <c r="V904" s="682"/>
      <c r="W904" s="682"/>
    </row>
    <row r="905" spans="1:31">
      <c r="A905" s="1045">
        <f t="shared" si="14"/>
        <v>8</v>
      </c>
      <c r="B905" s="134">
        <v>45517</v>
      </c>
      <c r="C905" s="70">
        <v>2018</v>
      </c>
      <c r="D905" s="70" t="s">
        <v>58</v>
      </c>
      <c r="E905" s="280" t="s">
        <v>3412</v>
      </c>
      <c r="F905" s="1049"/>
      <c r="G905" s="1049">
        <v>750</v>
      </c>
      <c r="H905" s="564"/>
      <c r="I905" s="609"/>
      <c r="J905" s="1155"/>
      <c r="K905" s="609"/>
      <c r="L905" s="609"/>
      <c r="M905" s="609"/>
      <c r="N905" s="599"/>
      <c r="O905" s="552" t="s">
        <v>1584</v>
      </c>
      <c r="P905" s="603"/>
      <c r="Q905" s="682"/>
      <c r="R905" s="682"/>
      <c r="S905" s="682"/>
      <c r="T905" s="682"/>
      <c r="U905" s="682"/>
      <c r="V905" s="682"/>
      <c r="W905" s="682"/>
    </row>
    <row r="906" spans="1:31">
      <c r="A906" s="1045">
        <f t="shared" si="14"/>
        <v>8</v>
      </c>
      <c r="B906" s="134">
        <v>45517</v>
      </c>
      <c r="C906" s="70">
        <v>4000</v>
      </c>
      <c r="D906" s="70" t="s">
        <v>74</v>
      </c>
      <c r="E906" s="280" t="s">
        <v>3412</v>
      </c>
      <c r="F906" s="1049"/>
      <c r="G906" s="1049">
        <v>15000</v>
      </c>
      <c r="H906" s="564"/>
      <c r="I906" s="609"/>
      <c r="J906" s="1155"/>
      <c r="K906" s="609"/>
      <c r="L906" s="609"/>
      <c r="M906" s="609"/>
      <c r="N906" s="599"/>
      <c r="O906" s="552" t="s">
        <v>1584</v>
      </c>
      <c r="P906" s="603"/>
      <c r="Q906" s="682"/>
      <c r="R906" s="682"/>
      <c r="S906" s="682"/>
      <c r="T906" s="682"/>
      <c r="U906" s="682"/>
      <c r="V906" s="682"/>
      <c r="W906" s="682"/>
    </row>
    <row r="907" spans="1:31">
      <c r="A907" s="1045">
        <f t="shared" si="14"/>
        <v>8</v>
      </c>
      <c r="B907" s="134">
        <v>45518</v>
      </c>
      <c r="C907" s="70">
        <v>6250</v>
      </c>
      <c r="D907" s="70" t="s">
        <v>129</v>
      </c>
      <c r="E907" s="280" t="s">
        <v>3413</v>
      </c>
      <c r="F907" s="1049"/>
      <c r="G907" s="1049">
        <v>7662.2</v>
      </c>
      <c r="H907" s="564"/>
      <c r="I907" s="609"/>
      <c r="J907" s="1155"/>
      <c r="K907" s="609"/>
      <c r="L907" s="609"/>
      <c r="M907" s="609"/>
      <c r="N907" s="599"/>
      <c r="O907" s="552" t="s">
        <v>1584</v>
      </c>
      <c r="P907" s="603"/>
      <c r="Q907" s="682"/>
      <c r="R907" s="682"/>
      <c r="S907" s="682"/>
      <c r="T907" s="682"/>
      <c r="U907" s="682"/>
      <c r="V907" s="682"/>
      <c r="W907" s="682"/>
      <c r="AE907" s="2" t="s">
        <v>2994</v>
      </c>
    </row>
    <row r="908" spans="1:31">
      <c r="A908" s="1045">
        <f t="shared" si="14"/>
        <v>8</v>
      </c>
      <c r="B908" s="134">
        <v>45518</v>
      </c>
      <c r="C908" s="70">
        <v>4000</v>
      </c>
      <c r="D908" s="70" t="s">
        <v>74</v>
      </c>
      <c r="E908" s="280" t="s">
        <v>3413</v>
      </c>
      <c r="F908" s="1049"/>
      <c r="G908" s="1049">
        <v>153244</v>
      </c>
      <c r="H908" s="564"/>
      <c r="I908" s="609"/>
      <c r="J908" s="1155"/>
      <c r="K908" s="609"/>
      <c r="L908" s="609"/>
      <c r="M908" s="609"/>
      <c r="N908" s="599"/>
      <c r="O908" s="552" t="s">
        <v>1584</v>
      </c>
      <c r="P908" s="603"/>
      <c r="Q908" s="682"/>
      <c r="R908" s="682"/>
      <c r="S908" s="682"/>
      <c r="T908" s="682"/>
      <c r="U908" s="682"/>
      <c r="V908" s="682"/>
      <c r="W908" s="682"/>
    </row>
    <row r="909" spans="1:31">
      <c r="A909" s="1045">
        <f t="shared" si="14"/>
        <v>8</v>
      </c>
      <c r="B909" s="134">
        <v>45526</v>
      </c>
      <c r="C909" s="70">
        <v>6250</v>
      </c>
      <c r="D909" s="70" t="s">
        <v>129</v>
      </c>
      <c r="E909" s="280" t="s">
        <v>3414</v>
      </c>
      <c r="F909" s="1049"/>
      <c r="G909" s="1049">
        <v>3240.34</v>
      </c>
      <c r="H909" s="564"/>
      <c r="I909" s="609"/>
      <c r="J909" s="1155"/>
      <c r="K909" s="609"/>
      <c r="L909" s="609"/>
      <c r="M909" s="609"/>
      <c r="N909" s="599"/>
      <c r="O909" s="552" t="s">
        <v>1584</v>
      </c>
      <c r="P909" s="603"/>
      <c r="Q909" s="682"/>
      <c r="R909" s="682"/>
      <c r="S909" s="682"/>
      <c r="T909" s="682"/>
      <c r="U909" s="682"/>
      <c r="V909" s="682"/>
      <c r="W909" s="682"/>
    </row>
    <row r="910" spans="1:31">
      <c r="A910" s="1045">
        <f t="shared" si="14"/>
        <v>8</v>
      </c>
      <c r="B910" s="134">
        <v>45526</v>
      </c>
      <c r="C910" s="70">
        <v>4000</v>
      </c>
      <c r="D910" s="70" t="s">
        <v>74</v>
      </c>
      <c r="E910" s="280" t="s">
        <v>3414</v>
      </c>
      <c r="F910" s="1049"/>
      <c r="G910" s="1049">
        <v>64806.8</v>
      </c>
      <c r="H910" s="564"/>
      <c r="I910" s="609"/>
      <c r="J910" s="1155"/>
      <c r="K910" s="609"/>
      <c r="L910" s="609"/>
      <c r="M910" s="609"/>
      <c r="N910" s="599"/>
      <c r="O910" s="552" t="s">
        <v>1584</v>
      </c>
      <c r="P910" s="603"/>
      <c r="Q910" s="682"/>
      <c r="R910" s="682"/>
      <c r="S910" s="682"/>
      <c r="T910" s="682"/>
      <c r="U910" s="682"/>
      <c r="V910" s="682"/>
      <c r="W910" s="682"/>
    </row>
    <row r="911" spans="1:31">
      <c r="A911" s="1045">
        <f t="shared" si="14"/>
        <v>9</v>
      </c>
      <c r="B911" s="134">
        <v>45538</v>
      </c>
      <c r="C911" s="70">
        <v>6250</v>
      </c>
      <c r="D911" s="70" t="s">
        <v>129</v>
      </c>
      <c r="E911" s="280" t="s">
        <v>3415</v>
      </c>
      <c r="F911" s="1049"/>
      <c r="G911" s="1049">
        <v>640</v>
      </c>
      <c r="H911" s="564"/>
      <c r="I911" s="609"/>
      <c r="J911" s="1155"/>
      <c r="K911" s="609"/>
      <c r="L911" s="609"/>
      <c r="M911" s="609"/>
      <c r="N911" s="599"/>
      <c r="O911" s="552" t="s">
        <v>1584</v>
      </c>
      <c r="P911" s="603"/>
      <c r="Q911" s="682"/>
      <c r="R911" s="682"/>
      <c r="S911" s="682"/>
      <c r="T911" s="682"/>
      <c r="U911" s="682"/>
      <c r="V911" s="682"/>
      <c r="W911" s="682"/>
    </row>
    <row r="912" spans="1:31">
      <c r="A912" s="1045">
        <f t="shared" si="14"/>
        <v>9</v>
      </c>
      <c r="B912" s="134">
        <v>45538</v>
      </c>
      <c r="C912" s="70">
        <v>4000</v>
      </c>
      <c r="D912" s="70" t="s">
        <v>74</v>
      </c>
      <c r="E912" s="280" t="s">
        <v>3415</v>
      </c>
      <c r="F912" s="1049"/>
      <c r="G912" s="1049">
        <v>12800</v>
      </c>
      <c r="H912" s="564"/>
      <c r="I912" s="609"/>
      <c r="J912" s="1155"/>
      <c r="K912" s="609"/>
      <c r="L912" s="609"/>
      <c r="M912" s="609"/>
      <c r="N912" s="599"/>
      <c r="O912" s="552" t="s">
        <v>1584</v>
      </c>
      <c r="P912" s="603"/>
      <c r="Q912" s="682"/>
      <c r="R912" s="682"/>
      <c r="S912" s="682"/>
      <c r="T912" s="682"/>
      <c r="U912" s="682"/>
      <c r="V912" s="682"/>
      <c r="W912" s="682"/>
    </row>
    <row r="913" spans="1:31">
      <c r="A913" s="1045">
        <f t="shared" si="14"/>
        <v>9</v>
      </c>
      <c r="B913" s="134">
        <v>45538</v>
      </c>
      <c r="C913" s="70">
        <v>6250</v>
      </c>
      <c r="D913" s="70" t="s">
        <v>129</v>
      </c>
      <c r="E913" s="280" t="s">
        <v>3416</v>
      </c>
      <c r="F913" s="1049"/>
      <c r="G913" s="1049">
        <v>1500</v>
      </c>
      <c r="H913" s="564"/>
      <c r="I913" s="609"/>
      <c r="J913" s="1155"/>
      <c r="K913" s="609"/>
      <c r="L913" s="609"/>
      <c r="M913" s="609"/>
      <c r="N913" s="599"/>
      <c r="O913" s="552" t="s">
        <v>1584</v>
      </c>
      <c r="P913" s="603"/>
      <c r="Q913" s="682"/>
      <c r="R913" s="682"/>
      <c r="S913" s="682"/>
      <c r="T913" s="682"/>
      <c r="U913" s="682"/>
      <c r="V913" s="682"/>
      <c r="W913" s="682"/>
    </row>
    <row r="914" spans="1:31">
      <c r="A914" s="1045">
        <f t="shared" si="14"/>
        <v>9</v>
      </c>
      <c r="B914" s="134">
        <v>45538</v>
      </c>
      <c r="C914" s="70">
        <v>4000</v>
      </c>
      <c r="D914" s="70" t="s">
        <v>74</v>
      </c>
      <c r="E914" s="280" t="s">
        <v>3416</v>
      </c>
      <c r="F914" s="1049"/>
      <c r="G914" s="1049">
        <v>30000</v>
      </c>
      <c r="H914" s="564"/>
      <c r="I914" s="609"/>
      <c r="J914" s="1155"/>
      <c r="K914" s="609"/>
      <c r="L914" s="609"/>
      <c r="M914" s="609"/>
      <c r="N914" s="599"/>
      <c r="O914" s="552" t="s">
        <v>1584</v>
      </c>
      <c r="P914" s="603"/>
      <c r="Q914" s="682"/>
      <c r="R914" s="682"/>
      <c r="S914" s="682"/>
      <c r="T914" s="682"/>
      <c r="U914" s="682"/>
      <c r="V914" s="682"/>
      <c r="W914" s="682"/>
    </row>
    <row r="915" spans="1:31">
      <c r="A915" s="1045">
        <f t="shared" si="14"/>
        <v>10</v>
      </c>
      <c r="B915" s="398">
        <v>45566</v>
      </c>
      <c r="C915" s="70">
        <v>6250</v>
      </c>
      <c r="D915" s="70" t="s">
        <v>129</v>
      </c>
      <c r="E915" s="380" t="s">
        <v>3417</v>
      </c>
      <c r="F915" s="1049"/>
      <c r="G915" s="1049">
        <v>750</v>
      </c>
      <c r="H915" s="1635">
        <v>45544</v>
      </c>
      <c r="I915" s="609"/>
      <c r="J915" s="1155"/>
      <c r="K915" s="609"/>
      <c r="L915" s="609"/>
      <c r="M915" s="609"/>
      <c r="N915" s="599"/>
      <c r="O915" s="552" t="s">
        <v>1584</v>
      </c>
      <c r="P915" s="603"/>
      <c r="Q915" s="682"/>
      <c r="R915" s="682"/>
      <c r="S915" s="682"/>
      <c r="T915" s="682"/>
      <c r="U915" s="682"/>
      <c r="V915" s="682"/>
      <c r="W915" s="682"/>
    </row>
    <row r="916" spans="1:31">
      <c r="A916" s="1045">
        <f t="shared" si="14"/>
        <v>10</v>
      </c>
      <c r="B916" s="398">
        <v>45566</v>
      </c>
      <c r="C916" s="70">
        <v>4000</v>
      </c>
      <c r="D916" s="70" t="s">
        <v>74</v>
      </c>
      <c r="E916" s="380" t="s">
        <v>3417</v>
      </c>
      <c r="F916" s="1049"/>
      <c r="G916" s="1049">
        <v>15000</v>
      </c>
      <c r="H916" s="1635">
        <v>45544</v>
      </c>
      <c r="I916" s="609"/>
      <c r="J916" s="1155"/>
      <c r="K916" s="609"/>
      <c r="L916" s="609"/>
      <c r="M916" s="609"/>
      <c r="N916" s="599"/>
      <c r="O916" s="552" t="s">
        <v>1584</v>
      </c>
      <c r="P916" s="603"/>
      <c r="Q916" s="682"/>
      <c r="R916" s="682"/>
      <c r="S916" s="682"/>
      <c r="T916" s="682"/>
      <c r="U916" s="682"/>
      <c r="V916" s="682"/>
      <c r="W916" s="682"/>
    </row>
    <row r="917" spans="1:31">
      <c r="A917" s="1045">
        <f t="shared" ref="A917:A980" si="15">IF(B917="","",MONTH(B917))</f>
        <v>9</v>
      </c>
      <c r="B917" s="134">
        <v>45547</v>
      </c>
      <c r="C917" s="70">
        <v>6250</v>
      </c>
      <c r="D917" s="70" t="s">
        <v>129</v>
      </c>
      <c r="E917" s="280" t="s">
        <v>3418</v>
      </c>
      <c r="F917" s="1049"/>
      <c r="G917" s="1049">
        <v>437.5</v>
      </c>
      <c r="H917" s="564"/>
      <c r="I917" s="609"/>
      <c r="J917" s="1155"/>
      <c r="K917" s="609"/>
      <c r="L917" s="609"/>
      <c r="M917" s="609"/>
      <c r="N917" s="599"/>
      <c r="O917" s="552" t="s">
        <v>1584</v>
      </c>
      <c r="P917" s="603"/>
      <c r="Q917" s="682"/>
      <c r="R917" s="682"/>
      <c r="S917" s="682"/>
      <c r="T917" s="682"/>
      <c r="U917" s="682"/>
      <c r="V917" s="682"/>
      <c r="W917" s="682"/>
    </row>
    <row r="918" spans="1:31">
      <c r="A918" s="1045">
        <f t="shared" si="15"/>
        <v>9</v>
      </c>
      <c r="B918" s="134">
        <v>45547</v>
      </c>
      <c r="C918" s="70">
        <v>4000</v>
      </c>
      <c r="D918" s="70" t="s">
        <v>74</v>
      </c>
      <c r="E918" s="280" t="s">
        <v>3418</v>
      </c>
      <c r="F918" s="1049"/>
      <c r="G918" s="1049">
        <v>8750</v>
      </c>
      <c r="H918" s="564"/>
      <c r="I918" s="609"/>
      <c r="J918" s="1155"/>
      <c r="K918" s="609"/>
      <c r="L918" s="609"/>
      <c r="M918" s="609"/>
      <c r="N918" s="599"/>
      <c r="O918" s="552" t="s">
        <v>1584</v>
      </c>
      <c r="P918" s="603"/>
      <c r="Q918" s="682"/>
      <c r="R918" s="682"/>
      <c r="S918" s="682"/>
      <c r="T918" s="682"/>
      <c r="U918" s="682"/>
      <c r="V918" s="682"/>
      <c r="W918" s="682"/>
    </row>
    <row r="919" spans="1:31">
      <c r="A919" s="1045">
        <f t="shared" si="15"/>
        <v>10</v>
      </c>
      <c r="B919" s="398">
        <v>45566</v>
      </c>
      <c r="C919" s="70">
        <v>6250</v>
      </c>
      <c r="D919" s="70" t="s">
        <v>129</v>
      </c>
      <c r="E919" s="380" t="s">
        <v>3419</v>
      </c>
      <c r="F919" s="1049"/>
      <c r="G919" s="1049">
        <v>2360</v>
      </c>
      <c r="H919" s="1635">
        <v>45549</v>
      </c>
      <c r="I919" s="609"/>
      <c r="J919" s="1155"/>
      <c r="K919" s="609"/>
      <c r="L919" s="609"/>
      <c r="M919" s="609"/>
      <c r="N919" s="599"/>
      <c r="O919" s="552" t="s">
        <v>1584</v>
      </c>
      <c r="P919" s="603"/>
      <c r="Q919" s="682"/>
      <c r="R919" s="682"/>
      <c r="S919" s="682"/>
      <c r="T919" s="682"/>
      <c r="U919" s="682"/>
      <c r="V919" s="682"/>
      <c r="W919" s="682"/>
    </row>
    <row r="920" spans="1:31">
      <c r="A920" s="1045">
        <f t="shared" si="15"/>
        <v>10</v>
      </c>
      <c r="B920" s="398">
        <v>45566</v>
      </c>
      <c r="C920" s="70">
        <v>4000</v>
      </c>
      <c r="D920" s="70" t="s">
        <v>74</v>
      </c>
      <c r="E920" s="380" t="s">
        <v>3419</v>
      </c>
      <c r="F920" s="1049"/>
      <c r="G920" s="1049">
        <v>47200</v>
      </c>
      <c r="H920" s="1635">
        <v>45549</v>
      </c>
      <c r="I920" s="609"/>
      <c r="J920" s="1155"/>
      <c r="K920" s="609"/>
      <c r="L920" s="609"/>
      <c r="M920" s="609"/>
      <c r="N920" s="599"/>
      <c r="O920" s="552" t="s">
        <v>1584</v>
      </c>
      <c r="P920" s="603"/>
      <c r="Q920" s="682"/>
      <c r="R920" s="682"/>
      <c r="S920" s="682"/>
      <c r="T920" s="682"/>
      <c r="U920" s="682"/>
      <c r="V920" s="682"/>
      <c r="W920" s="682"/>
    </row>
    <row r="921" spans="1:31">
      <c r="A921" s="1045">
        <f t="shared" si="15"/>
        <v>10</v>
      </c>
      <c r="B921" s="398">
        <v>45566</v>
      </c>
      <c r="C921" s="70">
        <v>6250</v>
      </c>
      <c r="D921" s="70" t="s">
        <v>129</v>
      </c>
      <c r="E921" s="380" t="s">
        <v>3420</v>
      </c>
      <c r="F921" s="1049"/>
      <c r="G921" s="1049">
        <v>500</v>
      </c>
      <c r="H921" s="1635">
        <v>45549</v>
      </c>
      <c r="I921" s="609"/>
      <c r="J921" s="1155"/>
      <c r="K921" s="609"/>
      <c r="L921" s="609"/>
      <c r="M921" s="609"/>
      <c r="N921" s="599"/>
      <c r="O921" s="552" t="s">
        <v>1584</v>
      </c>
      <c r="P921" s="603"/>
      <c r="Q921" s="682"/>
      <c r="R921" s="682"/>
      <c r="S921" s="682"/>
      <c r="T921" s="682"/>
      <c r="U921" s="682"/>
      <c r="V921" s="682"/>
      <c r="W921" s="682"/>
    </row>
    <row r="922" spans="1:31">
      <c r="A922" s="1045">
        <f t="shared" si="15"/>
        <v>10</v>
      </c>
      <c r="B922" s="398">
        <v>45566</v>
      </c>
      <c r="C922" s="70">
        <v>4000</v>
      </c>
      <c r="D922" s="70" t="s">
        <v>74</v>
      </c>
      <c r="E922" s="380" t="s">
        <v>3420</v>
      </c>
      <c r="F922" s="1049"/>
      <c r="G922" s="1049">
        <v>10000</v>
      </c>
      <c r="H922" s="1635">
        <v>45549</v>
      </c>
      <c r="I922" s="609"/>
      <c r="J922" s="1155"/>
      <c r="K922" s="609"/>
      <c r="L922" s="609"/>
      <c r="M922" s="609"/>
      <c r="N922" s="599"/>
      <c r="O922" s="552" t="s">
        <v>1584</v>
      </c>
      <c r="P922" s="603"/>
      <c r="Q922" s="682"/>
      <c r="R922" s="682"/>
      <c r="S922" s="682"/>
      <c r="T922" s="682"/>
      <c r="U922" s="682"/>
      <c r="V922" s="682"/>
      <c r="W922" s="682"/>
    </row>
    <row r="923" spans="1:31">
      <c r="A923" s="1045">
        <f t="shared" si="15"/>
        <v>10</v>
      </c>
      <c r="B923" s="398">
        <v>45566</v>
      </c>
      <c r="C923" s="70">
        <v>6250</v>
      </c>
      <c r="D923" s="70" t="s">
        <v>129</v>
      </c>
      <c r="E923" s="380" t="s">
        <v>3421</v>
      </c>
      <c r="F923" s="1049"/>
      <c r="G923" s="1049">
        <v>1412.5</v>
      </c>
      <c r="H923" s="1635">
        <v>45549</v>
      </c>
      <c r="I923" s="609"/>
      <c r="J923" s="1155"/>
      <c r="K923" s="609"/>
      <c r="L923" s="609"/>
      <c r="M923" s="609"/>
      <c r="N923" s="599"/>
      <c r="O923" s="552" t="s">
        <v>1584</v>
      </c>
      <c r="P923" s="603"/>
      <c r="Q923" s="682"/>
      <c r="R923" s="682"/>
      <c r="S923" s="682"/>
      <c r="T923" s="682"/>
      <c r="U923" s="682"/>
      <c r="V923" s="682"/>
      <c r="W923" s="682"/>
    </row>
    <row r="924" spans="1:31">
      <c r="A924" s="1045">
        <f t="shared" si="15"/>
        <v>10</v>
      </c>
      <c r="B924" s="398">
        <v>45566</v>
      </c>
      <c r="C924" s="70">
        <v>4000</v>
      </c>
      <c r="D924" s="70" t="s">
        <v>74</v>
      </c>
      <c r="E924" s="380" t="s">
        <v>3421</v>
      </c>
      <c r="F924" s="1049"/>
      <c r="G924" s="1049">
        <v>28250</v>
      </c>
      <c r="H924" s="1635">
        <v>45549</v>
      </c>
      <c r="I924" s="609"/>
      <c r="J924" s="1155"/>
      <c r="K924" s="609"/>
      <c r="L924" s="609"/>
      <c r="M924" s="609"/>
      <c r="N924" s="599"/>
      <c r="O924" s="552" t="s">
        <v>1584</v>
      </c>
      <c r="P924" s="603"/>
      <c r="Q924" s="682"/>
      <c r="R924" s="682"/>
      <c r="S924" s="682"/>
      <c r="T924" s="682"/>
      <c r="U924" s="682"/>
      <c r="V924" s="682"/>
      <c r="W924" s="682"/>
    </row>
    <row r="925" spans="1:31">
      <c r="A925" s="1045">
        <f t="shared" si="15"/>
        <v>10</v>
      </c>
      <c r="B925" s="398">
        <v>45566</v>
      </c>
      <c r="C925" s="70">
        <v>6250</v>
      </c>
      <c r="D925" s="70" t="s">
        <v>129</v>
      </c>
      <c r="E925" s="380" t="s">
        <v>3422</v>
      </c>
      <c r="F925" s="1049"/>
      <c r="G925" s="1049">
        <v>1125</v>
      </c>
      <c r="H925" s="1635">
        <v>45549</v>
      </c>
      <c r="I925" s="609"/>
      <c r="J925" s="1155"/>
      <c r="K925" s="609"/>
      <c r="L925" s="609"/>
      <c r="M925" s="609"/>
      <c r="N925" s="599"/>
      <c r="O925" s="552" t="s">
        <v>1584</v>
      </c>
      <c r="P925" s="603"/>
      <c r="Q925" s="682"/>
      <c r="R925" s="682"/>
      <c r="S925" s="682"/>
      <c r="T925" s="682"/>
      <c r="U925" s="682"/>
      <c r="V925" s="682"/>
      <c r="W925" s="682"/>
      <c r="AE925" s="2" t="s">
        <v>3039</v>
      </c>
    </row>
    <row r="926" spans="1:31">
      <c r="A926" s="1045">
        <f t="shared" si="15"/>
        <v>10</v>
      </c>
      <c r="B926" s="398">
        <v>45566</v>
      </c>
      <c r="C926" s="70">
        <v>4000</v>
      </c>
      <c r="D926" s="70" t="s">
        <v>74</v>
      </c>
      <c r="E926" s="380" t="s">
        <v>3422</v>
      </c>
      <c r="F926" s="1049"/>
      <c r="G926" s="1049">
        <v>22500</v>
      </c>
      <c r="H926" s="1635">
        <v>45549</v>
      </c>
      <c r="I926" s="609"/>
      <c r="J926" s="1155"/>
      <c r="K926" s="609"/>
      <c r="L926" s="609"/>
      <c r="M926" s="609"/>
      <c r="N926" s="599"/>
      <c r="O926" s="552" t="s">
        <v>1584</v>
      </c>
      <c r="P926" s="603"/>
      <c r="Q926" s="682"/>
      <c r="R926" s="682"/>
      <c r="S926" s="682"/>
      <c r="T926" s="682"/>
      <c r="U926" s="682"/>
      <c r="V926" s="682"/>
      <c r="W926" s="682"/>
      <c r="AE926" s="2" t="s">
        <v>3040</v>
      </c>
    </row>
    <row r="927" spans="1:31">
      <c r="A927" s="1045">
        <f t="shared" si="15"/>
        <v>9</v>
      </c>
      <c r="B927" s="134">
        <v>45549</v>
      </c>
      <c r="C927" s="70">
        <v>6250</v>
      </c>
      <c r="D927" s="70" t="s">
        <v>129</v>
      </c>
      <c r="E927" s="280" t="s">
        <v>3423</v>
      </c>
      <c r="F927" s="1049"/>
      <c r="G927" s="1049">
        <v>979.8</v>
      </c>
      <c r="H927" s="564"/>
      <c r="I927" s="609"/>
      <c r="J927" s="1155"/>
      <c r="K927" s="609"/>
      <c r="L927" s="609"/>
      <c r="M927" s="609"/>
      <c r="N927" s="599"/>
      <c r="O927" s="552" t="s">
        <v>1584</v>
      </c>
      <c r="P927" s="603"/>
      <c r="Q927" s="682"/>
      <c r="R927" s="682"/>
      <c r="S927" s="682"/>
      <c r="T927" s="682"/>
      <c r="U927" s="682"/>
      <c r="V927" s="682"/>
      <c r="W927" s="682"/>
    </row>
    <row r="928" spans="1:31">
      <c r="A928" s="1045">
        <f t="shared" si="15"/>
        <v>9</v>
      </c>
      <c r="B928" s="134">
        <v>45549</v>
      </c>
      <c r="C928" s="70">
        <v>4000</v>
      </c>
      <c r="D928" s="70" t="s">
        <v>74</v>
      </c>
      <c r="E928" s="280" t="s">
        <v>3423</v>
      </c>
      <c r="F928" s="1049"/>
      <c r="G928" s="1049">
        <v>19596</v>
      </c>
      <c r="H928" s="564"/>
      <c r="I928" s="609"/>
      <c r="J928" s="1155"/>
      <c r="K928" s="609"/>
      <c r="L928" s="609"/>
      <c r="M928" s="609"/>
      <c r="N928" s="599"/>
      <c r="O928" s="552" t="s">
        <v>1584</v>
      </c>
      <c r="P928" s="603"/>
      <c r="Q928" s="682"/>
      <c r="R928" s="682"/>
      <c r="S928" s="682"/>
      <c r="T928" s="682"/>
      <c r="U928" s="682"/>
      <c r="V928" s="682"/>
      <c r="W928" s="682"/>
      <c r="AE928" s="2" t="s">
        <v>3041</v>
      </c>
    </row>
    <row r="929" spans="1:31">
      <c r="A929" s="1045">
        <f t="shared" si="15"/>
        <v>9</v>
      </c>
      <c r="B929" s="134">
        <v>45550</v>
      </c>
      <c r="C929" s="70">
        <v>6250</v>
      </c>
      <c r="D929" s="70" t="s">
        <v>129</v>
      </c>
      <c r="E929" s="280" t="s">
        <v>3424</v>
      </c>
      <c r="F929" s="1049"/>
      <c r="G929" s="1049">
        <v>262.5</v>
      </c>
      <c r="H929" s="564"/>
      <c r="I929" s="609"/>
      <c r="J929" s="1155"/>
      <c r="K929" s="609"/>
      <c r="L929" s="609"/>
      <c r="M929" s="609"/>
      <c r="N929" s="599"/>
      <c r="O929" s="552" t="s">
        <v>1584</v>
      </c>
      <c r="P929" s="603"/>
      <c r="Q929" s="682"/>
      <c r="R929" s="682"/>
      <c r="S929" s="682"/>
      <c r="T929" s="682"/>
      <c r="U929" s="682"/>
      <c r="V929" s="682"/>
      <c r="W929" s="682"/>
    </row>
    <row r="930" spans="1:31">
      <c r="A930" s="1045">
        <f t="shared" si="15"/>
        <v>9</v>
      </c>
      <c r="B930" s="134">
        <v>45550</v>
      </c>
      <c r="C930" s="70">
        <v>4000</v>
      </c>
      <c r="D930" s="70" t="s">
        <v>74</v>
      </c>
      <c r="E930" s="280" t="s">
        <v>3424</v>
      </c>
      <c r="F930" s="1049"/>
      <c r="G930" s="1049">
        <v>5250</v>
      </c>
      <c r="H930" s="564"/>
      <c r="I930" s="609"/>
      <c r="J930" s="1155"/>
      <c r="K930" s="609"/>
      <c r="L930" s="609"/>
      <c r="M930" s="609"/>
      <c r="N930" s="599"/>
      <c r="O930" s="552" t="s">
        <v>1584</v>
      </c>
      <c r="P930" s="603"/>
      <c r="Q930" s="682"/>
      <c r="R930" s="682"/>
      <c r="S930" s="682"/>
      <c r="T930" s="682"/>
      <c r="U930" s="682"/>
      <c r="V930" s="682"/>
      <c r="W930" s="682"/>
    </row>
    <row r="931" spans="1:31">
      <c r="A931" s="1045">
        <f t="shared" si="15"/>
        <v>9</v>
      </c>
      <c r="B931" s="134">
        <v>45563</v>
      </c>
      <c r="C931" s="70">
        <v>6250</v>
      </c>
      <c r="D931" s="70" t="s">
        <v>129</v>
      </c>
      <c r="E931" s="280" t="s">
        <v>3425</v>
      </c>
      <c r="F931" s="1049"/>
      <c r="G931" s="1049">
        <v>2720</v>
      </c>
      <c r="H931" s="564"/>
      <c r="I931" s="609"/>
      <c r="J931" s="1155"/>
      <c r="K931" s="609"/>
      <c r="L931" s="609"/>
      <c r="M931" s="609"/>
      <c r="N931" s="599"/>
      <c r="O931" s="552" t="s">
        <v>1584</v>
      </c>
      <c r="P931" s="603"/>
      <c r="Q931" s="682"/>
      <c r="R931" s="682"/>
      <c r="S931" s="682"/>
      <c r="T931" s="682"/>
      <c r="U931" s="682"/>
      <c r="V931" s="682"/>
      <c r="W931" s="682"/>
    </row>
    <row r="932" spans="1:31">
      <c r="A932" s="1045">
        <f t="shared" si="15"/>
        <v>9</v>
      </c>
      <c r="B932" s="134">
        <v>45563</v>
      </c>
      <c r="C932" s="70">
        <v>4000</v>
      </c>
      <c r="D932" s="70" t="s">
        <v>74</v>
      </c>
      <c r="E932" s="280" t="s">
        <v>3425</v>
      </c>
      <c r="F932" s="1049"/>
      <c r="G932" s="1049">
        <v>54400</v>
      </c>
      <c r="H932" s="564"/>
      <c r="I932" s="609"/>
      <c r="J932" s="1155"/>
      <c r="K932" s="609"/>
      <c r="L932" s="609"/>
      <c r="M932" s="609"/>
      <c r="N932" s="599"/>
      <c r="O932" s="552" t="s">
        <v>1584</v>
      </c>
      <c r="P932" s="603"/>
      <c r="Q932" s="682"/>
      <c r="R932" s="682"/>
      <c r="S932" s="682"/>
      <c r="T932" s="682"/>
      <c r="U932" s="682"/>
      <c r="V932" s="682"/>
      <c r="W932" s="682"/>
    </row>
    <row r="933" spans="1:31">
      <c r="A933" s="1045">
        <f t="shared" si="15"/>
        <v>10</v>
      </c>
      <c r="B933" s="134">
        <v>45570</v>
      </c>
      <c r="C933" s="70">
        <v>6250</v>
      </c>
      <c r="D933" s="70" t="s">
        <v>129</v>
      </c>
      <c r="E933" s="280" t="s">
        <v>3426</v>
      </c>
      <c r="F933" s="1049"/>
      <c r="G933" s="1049">
        <v>658.75</v>
      </c>
      <c r="H933" s="564"/>
      <c r="I933" s="609"/>
      <c r="J933" s="1155"/>
      <c r="K933" s="609"/>
      <c r="L933" s="609"/>
      <c r="M933" s="609"/>
      <c r="N933" s="599"/>
      <c r="O933" s="552" t="s">
        <v>1584</v>
      </c>
      <c r="P933" s="603"/>
      <c r="Q933" s="682"/>
      <c r="R933" s="682"/>
      <c r="S933" s="682"/>
      <c r="T933" s="682"/>
      <c r="U933" s="682"/>
      <c r="V933" s="682"/>
      <c r="W933" s="682"/>
    </row>
    <row r="934" spans="1:31">
      <c r="A934" s="1045">
        <f t="shared" si="15"/>
        <v>10</v>
      </c>
      <c r="B934" s="134">
        <v>45570</v>
      </c>
      <c r="C934" s="70">
        <v>4000</v>
      </c>
      <c r="D934" s="70" t="s">
        <v>74</v>
      </c>
      <c r="E934" s="280" t="s">
        <v>3426</v>
      </c>
      <c r="F934" s="1049"/>
      <c r="G934" s="1049">
        <v>13175</v>
      </c>
      <c r="H934" s="564"/>
      <c r="I934" s="609"/>
      <c r="J934" s="1155"/>
      <c r="K934" s="609"/>
      <c r="L934" s="609"/>
      <c r="M934" s="609"/>
      <c r="N934" s="599"/>
      <c r="O934" s="552" t="s">
        <v>1584</v>
      </c>
      <c r="P934" s="603" t="s">
        <v>1779</v>
      </c>
      <c r="Q934" s="682"/>
      <c r="R934" s="682"/>
      <c r="S934" s="682"/>
      <c r="T934" s="682"/>
      <c r="U934" s="682"/>
      <c r="V934" s="682"/>
      <c r="W934" s="682"/>
    </row>
    <row r="935" spans="1:31">
      <c r="A935" s="1045">
        <f t="shared" si="15"/>
        <v>10</v>
      </c>
      <c r="B935" s="134">
        <v>45573</v>
      </c>
      <c r="C935" s="70">
        <v>2018</v>
      </c>
      <c r="D935" s="70" t="s">
        <v>58</v>
      </c>
      <c r="E935" s="280" t="s">
        <v>3427</v>
      </c>
      <c r="F935" s="1049"/>
      <c r="G935" s="1049">
        <v>462</v>
      </c>
      <c r="H935" s="564"/>
      <c r="I935" s="609"/>
      <c r="J935" s="1155"/>
      <c r="K935" s="609"/>
      <c r="L935" s="609"/>
      <c r="M935" s="609"/>
      <c r="N935" s="599"/>
      <c r="O935" s="552" t="s">
        <v>1584</v>
      </c>
      <c r="P935" s="603"/>
      <c r="Q935" s="682"/>
      <c r="R935" s="682"/>
      <c r="S935" s="682"/>
      <c r="T935" s="682"/>
      <c r="U935" s="682"/>
      <c r="V935" s="682"/>
      <c r="W935" s="682"/>
      <c r="AE935" s="2" t="s">
        <v>3042</v>
      </c>
    </row>
    <row r="936" spans="1:31">
      <c r="A936" s="1045">
        <f t="shared" si="15"/>
        <v>10</v>
      </c>
      <c r="B936" s="134">
        <v>45573</v>
      </c>
      <c r="C936" s="70">
        <v>4000</v>
      </c>
      <c r="D936" s="70" t="s">
        <v>74</v>
      </c>
      <c r="E936" s="280" t="s">
        <v>3427</v>
      </c>
      <c r="F936" s="1049"/>
      <c r="G936" s="1049">
        <v>9240</v>
      </c>
      <c r="H936" s="564"/>
      <c r="I936" s="609"/>
      <c r="J936" s="1155"/>
      <c r="K936" s="609"/>
      <c r="L936" s="609"/>
      <c r="M936" s="609"/>
      <c r="N936" s="599"/>
      <c r="O936" s="552" t="s">
        <v>1584</v>
      </c>
      <c r="P936" s="603"/>
      <c r="Q936" s="682"/>
      <c r="R936" s="682"/>
      <c r="S936" s="682"/>
      <c r="T936" s="682"/>
      <c r="U936" s="682"/>
      <c r="V936" s="682"/>
      <c r="W936" s="682"/>
    </row>
    <row r="937" spans="1:31">
      <c r="A937" s="1045">
        <f t="shared" si="15"/>
        <v>10</v>
      </c>
      <c r="B937" s="134">
        <v>45573</v>
      </c>
      <c r="C937" s="70">
        <v>1100</v>
      </c>
      <c r="D937" s="70" t="s">
        <v>46</v>
      </c>
      <c r="E937" s="280" t="s">
        <v>3428</v>
      </c>
      <c r="F937" s="1049">
        <v>1434391.6199999999</v>
      </c>
      <c r="G937" s="1049"/>
      <c r="H937" s="564"/>
      <c r="I937" s="609"/>
      <c r="J937" s="1155"/>
      <c r="K937" s="609"/>
      <c r="L937" s="609"/>
      <c r="M937" s="609"/>
      <c r="N937" s="599"/>
      <c r="O937" s="552" t="s">
        <v>1584</v>
      </c>
      <c r="P937" s="603"/>
      <c r="Q937" s="682"/>
      <c r="R937" s="682"/>
      <c r="S937" s="682"/>
      <c r="T937" s="682"/>
      <c r="U937" s="682"/>
      <c r="V937" s="682"/>
      <c r="W937" s="682"/>
    </row>
    <row r="938" spans="1:31">
      <c r="A938" s="1045">
        <f t="shared" si="15"/>
        <v>6</v>
      </c>
      <c r="B938" s="134">
        <v>45444</v>
      </c>
      <c r="C938" s="70">
        <v>1022</v>
      </c>
      <c r="D938" s="70" t="s">
        <v>5119</v>
      </c>
      <c r="E938" s="280" t="s">
        <v>3429</v>
      </c>
      <c r="F938" s="1049">
        <v>22207.5</v>
      </c>
      <c r="G938" s="1049"/>
      <c r="H938" s="564"/>
      <c r="I938" s="609"/>
      <c r="J938" s="1155"/>
      <c r="K938" s="609"/>
      <c r="L938" s="609"/>
      <c r="M938" s="609"/>
      <c r="N938" s="599"/>
      <c r="O938" s="552" t="s">
        <v>1584</v>
      </c>
      <c r="P938" s="603"/>
      <c r="Q938" s="682"/>
      <c r="R938" s="682"/>
      <c r="S938" s="682"/>
      <c r="T938" s="682"/>
      <c r="U938" s="682"/>
      <c r="V938" s="682"/>
      <c r="W938" s="682"/>
    </row>
    <row r="939" spans="1:31">
      <c r="A939" s="1045">
        <f t="shared" si="15"/>
        <v>6</v>
      </c>
      <c r="B939" s="134">
        <v>45448</v>
      </c>
      <c r="C939" s="70">
        <v>1025</v>
      </c>
      <c r="D939" s="70" t="s">
        <v>5120</v>
      </c>
      <c r="E939" s="280" t="s">
        <v>3430</v>
      </c>
      <c r="F939" s="1049">
        <v>7087.5</v>
      </c>
      <c r="G939" s="1049"/>
      <c r="H939" s="564"/>
      <c r="I939" s="609"/>
      <c r="J939" s="1155"/>
      <c r="K939" s="609"/>
      <c r="L939" s="609"/>
      <c r="M939" s="609"/>
      <c r="N939" s="599"/>
      <c r="O939" s="552" t="s">
        <v>1584</v>
      </c>
      <c r="P939" s="603"/>
      <c r="Q939" s="682"/>
      <c r="R939" s="682"/>
      <c r="S939" s="682"/>
      <c r="T939" s="682"/>
      <c r="U939" s="682"/>
      <c r="V939" s="682"/>
      <c r="W939" s="682"/>
    </row>
    <row r="940" spans="1:31">
      <c r="A940" s="1045">
        <f t="shared" si="15"/>
        <v>6</v>
      </c>
      <c r="B940" s="134">
        <v>45448</v>
      </c>
      <c r="C940" s="70">
        <v>1025</v>
      </c>
      <c r="D940" s="70" t="s">
        <v>5120</v>
      </c>
      <c r="E940" s="280" t="s">
        <v>3431</v>
      </c>
      <c r="F940" s="1049">
        <v>4830</v>
      </c>
      <c r="G940" s="1049"/>
      <c r="H940" s="564"/>
      <c r="I940" s="609"/>
      <c r="J940" s="1155"/>
      <c r="K940" s="609"/>
      <c r="L940" s="609"/>
      <c r="M940" s="609"/>
      <c r="N940" s="599"/>
      <c r="O940" s="552" t="s">
        <v>1584</v>
      </c>
      <c r="P940" s="603"/>
      <c r="Q940" s="682"/>
      <c r="R940" s="682"/>
      <c r="S940" s="682"/>
      <c r="T940" s="682"/>
      <c r="U940" s="682"/>
      <c r="V940" s="682"/>
      <c r="W940" s="682"/>
      <c r="AE940" s="2" t="s">
        <v>3044</v>
      </c>
    </row>
    <row r="941" spans="1:31">
      <c r="A941" s="1045">
        <f t="shared" si="15"/>
        <v>6</v>
      </c>
      <c r="B941" s="134">
        <v>45463</v>
      </c>
      <c r="C941" s="70">
        <v>1022</v>
      </c>
      <c r="D941" s="70" t="s">
        <v>5119</v>
      </c>
      <c r="E941" s="280" t="s">
        <v>3432</v>
      </c>
      <c r="F941" s="1049">
        <v>20000</v>
      </c>
      <c r="G941" s="1049"/>
      <c r="H941" s="564"/>
      <c r="I941" s="609"/>
      <c r="J941" s="1155"/>
      <c r="K941" s="609"/>
      <c r="L941" s="609"/>
      <c r="M941" s="609"/>
      <c r="N941" s="599"/>
      <c r="O941" s="552" t="s">
        <v>1584</v>
      </c>
      <c r="P941" s="603"/>
      <c r="Q941" s="682"/>
      <c r="R941" s="682"/>
      <c r="S941" s="682"/>
      <c r="T941" s="682"/>
      <c r="U941" s="682"/>
      <c r="V941" s="682"/>
      <c r="W941" s="682"/>
      <c r="AE941" s="2" t="s">
        <v>3045</v>
      </c>
    </row>
    <row r="942" spans="1:31">
      <c r="A942" s="1045">
        <f t="shared" si="15"/>
        <v>6</v>
      </c>
      <c r="B942" s="134">
        <v>45465</v>
      </c>
      <c r="C942" s="70">
        <v>1022</v>
      </c>
      <c r="D942" s="70" t="s">
        <v>5119</v>
      </c>
      <c r="E942" s="280" t="s">
        <v>3433</v>
      </c>
      <c r="F942" s="1049">
        <v>15760.05</v>
      </c>
      <c r="G942" s="1049"/>
      <c r="H942" s="564"/>
      <c r="I942" s="609"/>
      <c r="J942" s="1155"/>
      <c r="K942" s="609"/>
      <c r="L942" s="609"/>
      <c r="M942" s="609"/>
      <c r="N942" s="599"/>
      <c r="O942" s="552" t="s">
        <v>1584</v>
      </c>
      <c r="P942" s="603"/>
      <c r="Q942" s="682"/>
      <c r="R942" s="682"/>
      <c r="S942" s="682"/>
      <c r="T942" s="682"/>
      <c r="U942" s="682"/>
      <c r="V942" s="682"/>
      <c r="W942" s="682"/>
    </row>
    <row r="943" spans="1:31">
      <c r="A943" s="1045">
        <f t="shared" si="15"/>
        <v>6</v>
      </c>
      <c r="B943" s="134">
        <v>45468</v>
      </c>
      <c r="C943" s="70">
        <v>1022</v>
      </c>
      <c r="D943" s="70" t="s">
        <v>5119</v>
      </c>
      <c r="E943" s="280" t="s">
        <v>3434</v>
      </c>
      <c r="F943" s="1049">
        <v>6399.99</v>
      </c>
      <c r="G943" s="1049"/>
      <c r="H943" s="564"/>
      <c r="I943" s="609"/>
      <c r="J943" s="1155"/>
      <c r="K943" s="609"/>
      <c r="L943" s="609"/>
      <c r="M943" s="609"/>
      <c r="N943" s="599"/>
      <c r="O943" s="552" t="s">
        <v>1584</v>
      </c>
      <c r="P943" s="603"/>
      <c r="Q943" s="682"/>
      <c r="R943" s="682"/>
      <c r="S943" s="682"/>
      <c r="T943" s="682"/>
      <c r="U943" s="682"/>
      <c r="V943" s="682"/>
      <c r="W943" s="682"/>
    </row>
    <row r="944" spans="1:31">
      <c r="A944" s="1045">
        <f t="shared" si="15"/>
        <v>6</v>
      </c>
      <c r="B944" s="134">
        <v>45468</v>
      </c>
      <c r="C944" s="70">
        <v>1022</v>
      </c>
      <c r="D944" s="70" t="s">
        <v>5119</v>
      </c>
      <c r="E944" s="280" t="s">
        <v>3435</v>
      </c>
      <c r="F944" s="1049">
        <v>0.01</v>
      </c>
      <c r="G944" s="1049"/>
      <c r="H944" s="564"/>
      <c r="I944" s="609"/>
      <c r="J944" s="1155"/>
      <c r="K944" s="609"/>
      <c r="L944" s="609"/>
      <c r="M944" s="609"/>
      <c r="N944" s="599"/>
      <c r="O944" s="552" t="s">
        <v>1584</v>
      </c>
      <c r="P944" s="603"/>
      <c r="Q944" s="682"/>
      <c r="R944" s="682"/>
      <c r="S944" s="682"/>
      <c r="T944" s="682"/>
      <c r="U944" s="682"/>
      <c r="V944" s="682"/>
      <c r="W944" s="682"/>
    </row>
    <row r="945" spans="1:23">
      <c r="A945" s="1045">
        <f t="shared" si="15"/>
        <v>6</v>
      </c>
      <c r="B945" s="134">
        <v>45472</v>
      </c>
      <c r="C945" s="70">
        <v>1022</v>
      </c>
      <c r="D945" s="70" t="s">
        <v>5119</v>
      </c>
      <c r="E945" s="280" t="s">
        <v>3436</v>
      </c>
      <c r="F945" s="1049">
        <v>69720</v>
      </c>
      <c r="G945" s="1049"/>
      <c r="H945" s="564"/>
      <c r="I945" s="609"/>
      <c r="J945" s="1155"/>
      <c r="K945" s="609"/>
      <c r="L945" s="609"/>
      <c r="M945" s="609"/>
      <c r="N945" s="599"/>
      <c r="O945" s="552" t="s">
        <v>1584</v>
      </c>
      <c r="P945" s="603"/>
      <c r="Q945" s="682"/>
      <c r="R945" s="682"/>
      <c r="S945" s="682"/>
      <c r="T945" s="682"/>
      <c r="U945" s="682"/>
      <c r="V945" s="682"/>
      <c r="W945" s="682"/>
    </row>
    <row r="946" spans="1:23">
      <c r="A946" s="1045">
        <f t="shared" si="15"/>
        <v>6</v>
      </c>
      <c r="B946" s="134">
        <v>45473</v>
      </c>
      <c r="C946" s="70">
        <v>1022</v>
      </c>
      <c r="D946" s="70" t="s">
        <v>5119</v>
      </c>
      <c r="E946" s="280" t="s">
        <v>3437</v>
      </c>
      <c r="F946" s="1049">
        <v>6300</v>
      </c>
      <c r="G946" s="1049"/>
      <c r="H946" s="564"/>
      <c r="I946" s="609"/>
      <c r="J946" s="1155"/>
      <c r="K946" s="609"/>
      <c r="L946" s="609"/>
      <c r="M946" s="609"/>
      <c r="N946" s="599"/>
      <c r="O946" s="552" t="s">
        <v>1584</v>
      </c>
      <c r="P946" s="603"/>
      <c r="Q946" s="682"/>
      <c r="R946" s="682"/>
      <c r="S946" s="682"/>
      <c r="T946" s="682"/>
      <c r="U946" s="682"/>
      <c r="V946" s="682"/>
      <c r="W946" s="682"/>
    </row>
    <row r="947" spans="1:23">
      <c r="A947" s="1045">
        <f t="shared" si="15"/>
        <v>7</v>
      </c>
      <c r="B947" s="134">
        <v>45474</v>
      </c>
      <c r="C947" s="70">
        <v>1022</v>
      </c>
      <c r="D947" s="70" t="s">
        <v>5119</v>
      </c>
      <c r="E947" s="280" t="s">
        <v>3438</v>
      </c>
      <c r="F947" s="1049">
        <v>1470</v>
      </c>
      <c r="G947" s="1049"/>
      <c r="H947" s="564"/>
      <c r="I947" s="609"/>
      <c r="J947" s="1155"/>
      <c r="K947" s="609"/>
      <c r="L947" s="609"/>
      <c r="M947" s="609"/>
      <c r="N947" s="599"/>
      <c r="O947" s="552" t="s">
        <v>1584</v>
      </c>
      <c r="P947" s="603"/>
      <c r="Q947" s="682"/>
      <c r="R947" s="682"/>
      <c r="S947" s="682"/>
      <c r="T947" s="682"/>
      <c r="U947" s="682"/>
      <c r="V947" s="682"/>
      <c r="W947" s="682"/>
    </row>
    <row r="948" spans="1:23">
      <c r="A948" s="1045">
        <f t="shared" si="15"/>
        <v>7</v>
      </c>
      <c r="B948" s="134">
        <v>45476</v>
      </c>
      <c r="C948" s="70">
        <v>1022</v>
      </c>
      <c r="D948" s="70" t="s">
        <v>5119</v>
      </c>
      <c r="E948" s="280" t="s">
        <v>3439</v>
      </c>
      <c r="F948" s="1049">
        <v>19200</v>
      </c>
      <c r="G948" s="1049"/>
      <c r="H948" s="564"/>
      <c r="I948" s="609"/>
      <c r="J948" s="1155"/>
      <c r="K948" s="609"/>
      <c r="L948" s="609"/>
      <c r="M948" s="609"/>
      <c r="N948" s="599"/>
      <c r="O948" s="552" t="s">
        <v>1584</v>
      </c>
      <c r="P948" s="603"/>
      <c r="Q948" s="682"/>
      <c r="R948" s="682"/>
      <c r="S948" s="682"/>
      <c r="T948" s="682"/>
      <c r="U948" s="682"/>
      <c r="V948" s="682"/>
      <c r="W948" s="682"/>
    </row>
    <row r="949" spans="1:23">
      <c r="A949" s="1045">
        <f t="shared" si="15"/>
        <v>7</v>
      </c>
      <c r="B949" s="134">
        <v>45476</v>
      </c>
      <c r="C949" s="70">
        <v>1022</v>
      </c>
      <c r="D949" s="70" t="s">
        <v>5119</v>
      </c>
      <c r="E949" s="280" t="s">
        <v>3440</v>
      </c>
      <c r="F949" s="1049">
        <v>34650</v>
      </c>
      <c r="G949" s="1049"/>
      <c r="H949" s="564"/>
      <c r="I949" s="609"/>
      <c r="J949" s="1155"/>
      <c r="K949" s="609"/>
      <c r="L949" s="609"/>
      <c r="M949" s="609"/>
      <c r="N949" s="599"/>
      <c r="O949" s="552" t="s">
        <v>1584</v>
      </c>
      <c r="P949" s="603"/>
      <c r="Q949" s="682"/>
      <c r="R949" s="682"/>
      <c r="S949" s="682"/>
      <c r="T949" s="682"/>
      <c r="U949" s="682"/>
      <c r="V949" s="682"/>
      <c r="W949" s="682"/>
    </row>
    <row r="950" spans="1:23">
      <c r="A950" s="1045">
        <f t="shared" si="15"/>
        <v>7</v>
      </c>
      <c r="B950" s="134">
        <v>45481</v>
      </c>
      <c r="C950" s="70">
        <v>1022</v>
      </c>
      <c r="D950" s="70" t="s">
        <v>5119</v>
      </c>
      <c r="E950" s="280" t="s">
        <v>3441</v>
      </c>
      <c r="F950" s="1049">
        <v>14700</v>
      </c>
      <c r="G950" s="1049"/>
      <c r="H950" s="564"/>
      <c r="I950" s="609"/>
      <c r="J950" s="1155"/>
      <c r="K950" s="609"/>
      <c r="L950" s="609"/>
      <c r="M950" s="609"/>
      <c r="N950" s="599"/>
      <c r="O950" s="552" t="s">
        <v>1584</v>
      </c>
      <c r="P950" s="603"/>
      <c r="Q950" s="682"/>
      <c r="R950" s="682"/>
      <c r="S950" s="682"/>
      <c r="T950" s="682"/>
      <c r="U950" s="682"/>
      <c r="V950" s="682"/>
      <c r="W950" s="682"/>
    </row>
    <row r="951" spans="1:23">
      <c r="A951" s="1045">
        <f t="shared" si="15"/>
        <v>7</v>
      </c>
      <c r="B951" s="134">
        <v>45481</v>
      </c>
      <c r="C951" s="70">
        <v>1025</v>
      </c>
      <c r="D951" s="70" t="s">
        <v>5120</v>
      </c>
      <c r="E951" s="280" t="s">
        <v>3442</v>
      </c>
      <c r="F951" s="1049">
        <v>23100</v>
      </c>
      <c r="G951" s="1049"/>
      <c r="H951" s="564"/>
      <c r="I951" s="609"/>
      <c r="J951" s="1155"/>
      <c r="K951" s="609"/>
      <c r="L951" s="609"/>
      <c r="M951" s="609"/>
      <c r="N951" s="599"/>
      <c r="O951" s="552" t="s">
        <v>1584</v>
      </c>
      <c r="P951" s="603"/>
      <c r="Q951" s="682"/>
      <c r="R951" s="682"/>
      <c r="S951" s="682"/>
      <c r="T951" s="682"/>
      <c r="U951" s="682"/>
      <c r="V951" s="682"/>
      <c r="W951" s="682"/>
    </row>
    <row r="952" spans="1:23">
      <c r="A952" s="1045">
        <f t="shared" si="15"/>
        <v>7</v>
      </c>
      <c r="B952" s="134">
        <v>45482</v>
      </c>
      <c r="C952" s="70">
        <v>1022</v>
      </c>
      <c r="D952" s="70" t="s">
        <v>5119</v>
      </c>
      <c r="E952" s="280" t="s">
        <v>3443</v>
      </c>
      <c r="F952" s="1049">
        <v>83639.850000000006</v>
      </c>
      <c r="G952" s="1049"/>
      <c r="H952" s="564"/>
      <c r="I952" s="609"/>
      <c r="J952" s="1155"/>
      <c r="K952" s="609"/>
      <c r="L952" s="609"/>
      <c r="M952" s="609"/>
      <c r="N952" s="599"/>
      <c r="O952" s="552" t="s">
        <v>1584</v>
      </c>
      <c r="P952" s="603"/>
      <c r="Q952" s="682"/>
      <c r="R952" s="682"/>
      <c r="S952" s="682"/>
      <c r="T952" s="682"/>
      <c r="U952" s="682"/>
      <c r="V952" s="682"/>
      <c r="W952" s="682"/>
    </row>
    <row r="953" spans="1:23">
      <c r="A953" s="1045">
        <f t="shared" si="15"/>
        <v>7</v>
      </c>
      <c r="B953" s="134">
        <v>45483</v>
      </c>
      <c r="C953" s="70">
        <v>1022</v>
      </c>
      <c r="D953" s="70" t="s">
        <v>5119</v>
      </c>
      <c r="E953" s="280" t="s">
        <v>3444</v>
      </c>
      <c r="F953" s="1049">
        <v>49795</v>
      </c>
      <c r="G953" s="1049"/>
      <c r="H953" s="564"/>
      <c r="I953" s="609"/>
      <c r="J953" s="1155"/>
      <c r="K953" s="609"/>
      <c r="L953" s="609"/>
      <c r="M953" s="609"/>
      <c r="N953" s="599"/>
      <c r="O953" s="552" t="s">
        <v>1584</v>
      </c>
      <c r="P953" s="603"/>
      <c r="Q953" s="682"/>
      <c r="R953" s="682"/>
      <c r="S953" s="682"/>
      <c r="T953" s="682"/>
      <c r="U953" s="682"/>
      <c r="V953" s="682"/>
      <c r="W953" s="682"/>
    </row>
    <row r="954" spans="1:23">
      <c r="A954" s="1045">
        <f t="shared" si="15"/>
        <v>7</v>
      </c>
      <c r="B954" s="134">
        <v>45486</v>
      </c>
      <c r="C954" s="70">
        <v>1022</v>
      </c>
      <c r="D954" s="70" t="s">
        <v>5119</v>
      </c>
      <c r="E954" s="280" t="s">
        <v>3445</v>
      </c>
      <c r="F954" s="1049">
        <v>6667.5</v>
      </c>
      <c r="G954" s="1049"/>
      <c r="H954" s="564"/>
      <c r="I954" s="609"/>
      <c r="J954" s="1155"/>
      <c r="K954" s="609"/>
      <c r="L954" s="609"/>
      <c r="M954" s="609"/>
      <c r="N954" s="599"/>
      <c r="O954" s="552" t="s">
        <v>1584</v>
      </c>
      <c r="P954" s="603"/>
      <c r="Q954" s="682"/>
      <c r="R954" s="682"/>
      <c r="S954" s="682"/>
      <c r="T954" s="682"/>
      <c r="U954" s="682"/>
      <c r="V954" s="682"/>
      <c r="W954" s="682"/>
    </row>
    <row r="955" spans="1:23">
      <c r="A955" s="1045">
        <f t="shared" si="15"/>
        <v>7</v>
      </c>
      <c r="B955" s="134">
        <v>45486</v>
      </c>
      <c r="C955" s="70">
        <v>1022</v>
      </c>
      <c r="D955" s="70" t="s">
        <v>5119</v>
      </c>
      <c r="E955" s="280" t="s">
        <v>3446</v>
      </c>
      <c r="F955" s="1049">
        <v>32.5</v>
      </c>
      <c r="G955" s="1049"/>
      <c r="H955" s="564"/>
      <c r="I955" s="609"/>
      <c r="J955" s="1155"/>
      <c r="K955" s="609"/>
      <c r="L955" s="609"/>
      <c r="M955" s="609"/>
      <c r="N955" s="599"/>
      <c r="O955" s="552" t="s">
        <v>1584</v>
      </c>
      <c r="P955" s="603"/>
      <c r="Q955" s="682"/>
      <c r="R955" s="682"/>
      <c r="S955" s="682"/>
      <c r="T955" s="682"/>
      <c r="U955" s="682"/>
      <c r="V955" s="682"/>
      <c r="W955" s="682"/>
    </row>
    <row r="956" spans="1:23">
      <c r="A956" s="1045">
        <f t="shared" si="15"/>
        <v>7</v>
      </c>
      <c r="B956" s="134">
        <v>45493</v>
      </c>
      <c r="C956" s="70">
        <v>1022</v>
      </c>
      <c r="D956" s="70" t="s">
        <v>5119</v>
      </c>
      <c r="E956" s="280" t="s">
        <v>3447</v>
      </c>
      <c r="F956" s="1049">
        <v>14593</v>
      </c>
      <c r="G956" s="1049"/>
      <c r="H956" s="564"/>
      <c r="I956" s="609"/>
      <c r="J956" s="1155"/>
      <c r="K956" s="609"/>
      <c r="L956" s="609"/>
      <c r="M956" s="609"/>
      <c r="N956" s="599"/>
      <c r="O956" s="552" t="s">
        <v>1584</v>
      </c>
      <c r="P956" s="603"/>
      <c r="Q956" s="682"/>
      <c r="R956" s="682"/>
      <c r="S956" s="682"/>
      <c r="T956" s="682"/>
      <c r="U956" s="682"/>
      <c r="V956" s="682"/>
      <c r="W956" s="682"/>
    </row>
    <row r="957" spans="1:23">
      <c r="A957" s="1045">
        <f t="shared" si="15"/>
        <v>7</v>
      </c>
      <c r="B957" s="134">
        <v>45493</v>
      </c>
      <c r="C957" s="70">
        <v>1022</v>
      </c>
      <c r="D957" s="70" t="s">
        <v>5119</v>
      </c>
      <c r="E957" s="280" t="s">
        <v>3447</v>
      </c>
      <c r="F957" s="1049">
        <v>7537</v>
      </c>
      <c r="G957" s="1049"/>
      <c r="H957" s="564"/>
      <c r="I957" s="609"/>
      <c r="J957" s="1155"/>
      <c r="K957" s="609"/>
      <c r="L957" s="609"/>
      <c r="M957" s="609"/>
      <c r="N957" s="599"/>
      <c r="O957" s="552" t="s">
        <v>1584</v>
      </c>
      <c r="P957" s="603"/>
      <c r="Q957" s="682"/>
      <c r="R957" s="682"/>
      <c r="S957" s="682"/>
      <c r="T957" s="682"/>
      <c r="U957" s="682"/>
      <c r="V957" s="682"/>
      <c r="W957" s="682"/>
    </row>
    <row r="958" spans="1:23">
      <c r="A958" s="1045">
        <f t="shared" si="15"/>
        <v>7</v>
      </c>
      <c r="B958" s="134">
        <v>45494</v>
      </c>
      <c r="C958" s="70">
        <v>1022</v>
      </c>
      <c r="D958" s="70" t="s">
        <v>5119</v>
      </c>
      <c r="E958" s="280" t="s">
        <v>3448</v>
      </c>
      <c r="F958" s="1049">
        <v>15208</v>
      </c>
      <c r="G958" s="1049"/>
      <c r="H958" s="564"/>
      <c r="I958" s="609"/>
      <c r="J958" s="1155"/>
      <c r="K958" s="609"/>
      <c r="L958" s="609"/>
      <c r="M958" s="609"/>
      <c r="N958" s="599"/>
      <c r="O958" s="552" t="s">
        <v>1584</v>
      </c>
      <c r="P958" s="603"/>
      <c r="Q958" s="682"/>
      <c r="R958" s="682"/>
      <c r="S958" s="682"/>
      <c r="T958" s="682"/>
      <c r="U958" s="682"/>
      <c r="V958" s="682"/>
      <c r="W958" s="682"/>
    </row>
    <row r="959" spans="1:23">
      <c r="A959" s="1045">
        <f t="shared" si="15"/>
        <v>7</v>
      </c>
      <c r="B959" s="134">
        <v>45498</v>
      </c>
      <c r="C959" s="70">
        <v>1022</v>
      </c>
      <c r="D959" s="70" t="s">
        <v>5119</v>
      </c>
      <c r="E959" s="280" t="s">
        <v>3449</v>
      </c>
      <c r="F959" s="1049">
        <v>75915</v>
      </c>
      <c r="G959" s="1049"/>
      <c r="H959" s="564"/>
      <c r="I959" s="609"/>
      <c r="J959" s="1155"/>
      <c r="K959" s="609"/>
      <c r="L959" s="609"/>
      <c r="M959" s="609"/>
      <c r="N959" s="599"/>
      <c r="O959" s="552" t="s">
        <v>1584</v>
      </c>
      <c r="P959" s="603"/>
      <c r="Q959" s="682"/>
      <c r="R959" s="682"/>
      <c r="S959" s="682"/>
      <c r="T959" s="682"/>
      <c r="U959" s="682"/>
      <c r="V959" s="682"/>
      <c r="W959" s="682"/>
    </row>
    <row r="960" spans="1:23">
      <c r="A960" s="1045">
        <f t="shared" si="15"/>
        <v>7</v>
      </c>
      <c r="B960" s="134">
        <v>45501</v>
      </c>
      <c r="C960" s="70">
        <v>1022</v>
      </c>
      <c r="D960" s="70" t="s">
        <v>5119</v>
      </c>
      <c r="E960" s="280" t="s">
        <v>3450</v>
      </c>
      <c r="F960" s="1049">
        <v>10000</v>
      </c>
      <c r="G960" s="1049"/>
      <c r="H960" s="564"/>
      <c r="I960" s="609"/>
      <c r="J960" s="1155"/>
      <c r="K960" s="609"/>
      <c r="L960" s="609"/>
      <c r="M960" s="609"/>
      <c r="N960" s="599"/>
      <c r="O960" s="552" t="s">
        <v>1584</v>
      </c>
      <c r="P960" s="603"/>
      <c r="Q960" s="682"/>
      <c r="R960" s="682"/>
      <c r="S960" s="682"/>
      <c r="T960" s="682"/>
      <c r="U960" s="682"/>
      <c r="V960" s="682"/>
      <c r="W960" s="682"/>
    </row>
    <row r="961" spans="1:31">
      <c r="A961" s="1045">
        <f t="shared" si="15"/>
        <v>7</v>
      </c>
      <c r="B961" s="134">
        <v>45501</v>
      </c>
      <c r="C961" s="70">
        <v>1022</v>
      </c>
      <c r="D961" s="70" t="s">
        <v>5119</v>
      </c>
      <c r="E961" s="280" t="s">
        <v>3451</v>
      </c>
      <c r="F961" s="1049">
        <v>9975</v>
      </c>
      <c r="G961" s="1049"/>
      <c r="H961" s="564"/>
      <c r="I961" s="609"/>
      <c r="J961" s="1155"/>
      <c r="K961" s="609"/>
      <c r="L961" s="609"/>
      <c r="M961" s="609"/>
      <c r="N961" s="599"/>
      <c r="O961" s="552" t="s">
        <v>1584</v>
      </c>
      <c r="P961" s="603"/>
      <c r="Q961" s="682"/>
      <c r="R961" s="682"/>
      <c r="S961" s="682"/>
      <c r="T961" s="682"/>
      <c r="U961" s="682"/>
      <c r="V961" s="682"/>
      <c r="W961" s="682"/>
      <c r="AE961" s="2" t="s">
        <v>3045</v>
      </c>
    </row>
    <row r="962" spans="1:31">
      <c r="A962" s="1045">
        <f t="shared" si="15"/>
        <v>7</v>
      </c>
      <c r="B962" s="134">
        <v>45502</v>
      </c>
      <c r="C962" s="70">
        <v>1022</v>
      </c>
      <c r="D962" s="70" t="s">
        <v>5119</v>
      </c>
      <c r="E962" s="280" t="s">
        <v>3452</v>
      </c>
      <c r="F962" s="1049">
        <v>69420</v>
      </c>
      <c r="G962" s="1049"/>
      <c r="H962" s="564"/>
      <c r="I962" s="609"/>
      <c r="J962" s="1155"/>
      <c r="K962" s="609"/>
      <c r="L962" s="609"/>
      <c r="M962" s="609"/>
      <c r="N962" s="599"/>
      <c r="O962" s="552" t="s">
        <v>1584</v>
      </c>
      <c r="P962" s="603"/>
      <c r="Q962" s="682"/>
      <c r="R962" s="682"/>
      <c r="S962" s="682"/>
      <c r="T962" s="682"/>
      <c r="U962" s="682"/>
      <c r="V962" s="682"/>
      <c r="W962" s="682"/>
    </row>
    <row r="963" spans="1:31">
      <c r="A963" s="1045">
        <f t="shared" si="15"/>
        <v>7</v>
      </c>
      <c r="B963" s="134">
        <v>45503</v>
      </c>
      <c r="C963" s="70">
        <v>1022</v>
      </c>
      <c r="D963" s="70" t="s">
        <v>5119</v>
      </c>
      <c r="E963" s="280" t="s">
        <v>3453</v>
      </c>
      <c r="F963" s="1049">
        <v>9650</v>
      </c>
      <c r="G963" s="1049"/>
      <c r="H963" s="564"/>
      <c r="I963" s="609"/>
      <c r="J963" s="1155"/>
      <c r="K963" s="609"/>
      <c r="L963" s="609"/>
      <c r="M963" s="609"/>
      <c r="N963" s="599"/>
      <c r="O963" s="552" t="s">
        <v>1584</v>
      </c>
      <c r="P963" s="603"/>
      <c r="Q963" s="682"/>
      <c r="R963" s="682"/>
      <c r="S963" s="682"/>
      <c r="T963" s="682"/>
      <c r="U963" s="682"/>
      <c r="V963" s="682"/>
      <c r="W963" s="682"/>
    </row>
    <row r="964" spans="1:31">
      <c r="A964" s="1045">
        <f t="shared" si="15"/>
        <v>8</v>
      </c>
      <c r="B964" s="134">
        <v>45509</v>
      </c>
      <c r="C964" s="70">
        <v>1022</v>
      </c>
      <c r="D964" s="70" t="s">
        <v>5119</v>
      </c>
      <c r="E964" s="280" t="s">
        <v>3454</v>
      </c>
      <c r="F964" s="1049">
        <v>37800</v>
      </c>
      <c r="G964" s="1049"/>
      <c r="H964" s="564"/>
      <c r="I964" s="609"/>
      <c r="J964" s="1155"/>
      <c r="K964" s="609"/>
      <c r="L964" s="609"/>
      <c r="M964" s="609"/>
      <c r="N964" s="599"/>
      <c r="O964" s="552" t="s">
        <v>1584</v>
      </c>
      <c r="P964" s="603"/>
      <c r="Q964" s="682"/>
      <c r="R964" s="682"/>
      <c r="S964" s="682"/>
      <c r="T964" s="682"/>
      <c r="U964" s="682"/>
      <c r="V964" s="682"/>
      <c r="W964" s="682"/>
    </row>
    <row r="965" spans="1:31">
      <c r="A965" s="1045">
        <f t="shared" si="15"/>
        <v>8</v>
      </c>
      <c r="B965" s="134">
        <v>45513</v>
      </c>
      <c r="C965" s="70">
        <v>1022</v>
      </c>
      <c r="D965" s="70" t="s">
        <v>5119</v>
      </c>
      <c r="E965" s="280" t="s">
        <v>3455</v>
      </c>
      <c r="F965" s="1049">
        <v>17325</v>
      </c>
      <c r="G965" s="1049"/>
      <c r="H965" s="564"/>
      <c r="I965" s="609"/>
      <c r="J965" s="1155"/>
      <c r="K965" s="609"/>
      <c r="L965" s="609"/>
      <c r="M965" s="609"/>
      <c r="N965" s="599"/>
      <c r="O965" s="552" t="s">
        <v>1584</v>
      </c>
      <c r="P965" s="603"/>
      <c r="Q965" s="682"/>
      <c r="R965" s="682"/>
      <c r="S965" s="682"/>
      <c r="T965" s="682"/>
      <c r="U965" s="682"/>
      <c r="V965" s="682"/>
      <c r="W965" s="682"/>
    </row>
    <row r="966" spans="1:31">
      <c r="A966" s="1045">
        <f t="shared" si="15"/>
        <v>8</v>
      </c>
      <c r="B966" s="134">
        <v>45514</v>
      </c>
      <c r="C966" s="70">
        <v>1022</v>
      </c>
      <c r="D966" s="70" t="s">
        <v>5119</v>
      </c>
      <c r="E966" s="280" t="s">
        <v>3456</v>
      </c>
      <c r="F966" s="1049">
        <v>53287.5</v>
      </c>
      <c r="G966" s="1049"/>
      <c r="H966" s="564"/>
      <c r="I966" s="609"/>
      <c r="J966" s="1155"/>
      <c r="K966" s="609"/>
      <c r="L966" s="609"/>
      <c r="M966" s="609"/>
      <c r="N966" s="599"/>
      <c r="O966" s="552" t="s">
        <v>1584</v>
      </c>
      <c r="P966" s="603"/>
      <c r="Q966" s="682"/>
      <c r="R966" s="682"/>
      <c r="S966" s="682"/>
      <c r="T966" s="682"/>
      <c r="U966" s="682"/>
      <c r="V966" s="682"/>
      <c r="W966" s="682"/>
    </row>
    <row r="967" spans="1:31">
      <c r="A967" s="1045">
        <f t="shared" si="15"/>
        <v>8</v>
      </c>
      <c r="B967" s="134">
        <v>45515</v>
      </c>
      <c r="C967" s="70">
        <v>1022</v>
      </c>
      <c r="D967" s="70" t="s">
        <v>5119</v>
      </c>
      <c r="E967" s="280" t="s">
        <v>3457</v>
      </c>
      <c r="F967" s="1049">
        <v>18585</v>
      </c>
      <c r="G967" s="1049"/>
      <c r="H967" s="564"/>
      <c r="I967" s="609"/>
      <c r="J967" s="1155"/>
      <c r="K967" s="609"/>
      <c r="L967" s="609"/>
      <c r="M967" s="609"/>
      <c r="N967" s="599"/>
      <c r="O967" s="552" t="s">
        <v>1584</v>
      </c>
      <c r="P967" s="603"/>
      <c r="Q967" s="682"/>
      <c r="R967" s="682"/>
      <c r="S967" s="682"/>
      <c r="T967" s="682"/>
      <c r="U967" s="682"/>
      <c r="V967" s="682"/>
      <c r="W967" s="682"/>
    </row>
    <row r="968" spans="1:31">
      <c r="A968" s="1045">
        <f t="shared" si="15"/>
        <v>8</v>
      </c>
      <c r="B968" s="134">
        <v>45515</v>
      </c>
      <c r="C968" s="70">
        <v>1022</v>
      </c>
      <c r="D968" s="70" t="s">
        <v>5119</v>
      </c>
      <c r="E968" s="280" t="s">
        <v>3458</v>
      </c>
      <c r="F968" s="1049">
        <v>4462.5</v>
      </c>
      <c r="G968" s="1049"/>
      <c r="H968" s="564"/>
      <c r="I968" s="609"/>
      <c r="J968" s="1155"/>
      <c r="K968" s="609"/>
      <c r="L968" s="609"/>
      <c r="M968" s="609"/>
      <c r="N968" s="599"/>
      <c r="O968" s="552" t="s">
        <v>1584</v>
      </c>
      <c r="P968" s="603"/>
      <c r="Q968" s="682"/>
      <c r="R968" s="682"/>
      <c r="S968" s="682"/>
      <c r="T968" s="682"/>
      <c r="U968" s="682"/>
      <c r="V968" s="682"/>
      <c r="W968" s="682"/>
    </row>
    <row r="969" spans="1:31">
      <c r="A969" s="1045">
        <f t="shared" si="15"/>
        <v>8</v>
      </c>
      <c r="B969" s="134">
        <v>45516</v>
      </c>
      <c r="C969" s="70">
        <v>1022</v>
      </c>
      <c r="D969" s="70" t="s">
        <v>5119</v>
      </c>
      <c r="E969" s="280" t="s">
        <v>3459</v>
      </c>
      <c r="F969" s="1049">
        <v>15750</v>
      </c>
      <c r="G969" s="1049"/>
      <c r="H969" s="564"/>
      <c r="I969" s="609"/>
      <c r="J969" s="1155"/>
      <c r="K969" s="609"/>
      <c r="L969" s="609"/>
      <c r="M969" s="609"/>
      <c r="N969" s="599"/>
      <c r="O969" s="552" t="s">
        <v>1584</v>
      </c>
      <c r="P969" s="603"/>
      <c r="Q969" s="682"/>
      <c r="R969" s="682"/>
      <c r="S969" s="682"/>
      <c r="T969" s="682"/>
      <c r="U969" s="682"/>
      <c r="V969" s="682"/>
      <c r="W969" s="682"/>
    </row>
    <row r="970" spans="1:31">
      <c r="A970" s="1045">
        <f t="shared" si="15"/>
        <v>8</v>
      </c>
      <c r="B970" s="134">
        <v>45517</v>
      </c>
      <c r="C970" s="70">
        <v>1022</v>
      </c>
      <c r="D970" s="70" t="s">
        <v>5119</v>
      </c>
      <c r="E970" s="280" t="s">
        <v>3460</v>
      </c>
      <c r="F970" s="1049">
        <v>10237.5</v>
      </c>
      <c r="G970" s="1049"/>
      <c r="H970" s="564"/>
      <c r="I970" s="609"/>
      <c r="J970" s="1155"/>
      <c r="K970" s="609"/>
      <c r="L970" s="609"/>
      <c r="M970" s="609"/>
      <c r="N970" s="599"/>
      <c r="O970" s="552" t="s">
        <v>1584</v>
      </c>
      <c r="P970" s="603"/>
      <c r="Q970" s="682"/>
      <c r="R970" s="682"/>
      <c r="S970" s="682"/>
      <c r="T970" s="682"/>
      <c r="U970" s="682"/>
      <c r="V970" s="682"/>
      <c r="W970" s="682"/>
    </row>
    <row r="971" spans="1:31">
      <c r="A971" s="1045">
        <f t="shared" si="15"/>
        <v>8</v>
      </c>
      <c r="B971" s="134">
        <v>45526</v>
      </c>
      <c r="C971" s="70">
        <v>1022</v>
      </c>
      <c r="D971" s="70" t="s">
        <v>5119</v>
      </c>
      <c r="E971" s="280" t="s">
        <v>3461</v>
      </c>
      <c r="F971" s="1049">
        <v>68047</v>
      </c>
      <c r="G971" s="1049"/>
      <c r="H971" s="564"/>
      <c r="I971" s="609"/>
      <c r="J971" s="1155"/>
      <c r="K971" s="609"/>
      <c r="L971" s="609"/>
      <c r="M971" s="609"/>
      <c r="N971" s="599"/>
      <c r="O971" s="552" t="s">
        <v>1584</v>
      </c>
      <c r="P971" s="603"/>
      <c r="Q971" s="682"/>
      <c r="R971" s="682"/>
      <c r="S971" s="682"/>
      <c r="T971" s="682"/>
      <c r="U971" s="682"/>
      <c r="V971" s="682"/>
      <c r="W971" s="682"/>
    </row>
    <row r="972" spans="1:31">
      <c r="A972" s="1045">
        <f t="shared" si="15"/>
        <v>9</v>
      </c>
      <c r="B972" s="134">
        <v>45538</v>
      </c>
      <c r="C972" s="70">
        <v>1025</v>
      </c>
      <c r="D972" s="70" t="s">
        <v>5120</v>
      </c>
      <c r="E972" s="280" t="s">
        <v>3462</v>
      </c>
      <c r="F972" s="1049">
        <v>13440</v>
      </c>
      <c r="G972" s="1049"/>
      <c r="H972" s="564"/>
      <c r="I972" s="609"/>
      <c r="J972" s="1155"/>
      <c r="K972" s="609"/>
      <c r="L972" s="609"/>
      <c r="M972" s="609"/>
      <c r="N972" s="599"/>
      <c r="O972" s="552" t="s">
        <v>1584</v>
      </c>
      <c r="P972" s="603"/>
      <c r="Q972" s="682"/>
      <c r="R972" s="682"/>
      <c r="S972" s="682"/>
      <c r="T972" s="682"/>
      <c r="U972" s="682"/>
      <c r="V972" s="682"/>
      <c r="W972" s="682"/>
    </row>
    <row r="973" spans="1:31">
      <c r="A973" s="1045">
        <f t="shared" si="15"/>
        <v>9</v>
      </c>
      <c r="B973" s="134">
        <v>45538</v>
      </c>
      <c r="C973" s="70">
        <v>1025</v>
      </c>
      <c r="D973" s="70" t="s">
        <v>5120</v>
      </c>
      <c r="E973" s="280" t="s">
        <v>3463</v>
      </c>
      <c r="F973" s="1049">
        <v>31500</v>
      </c>
      <c r="G973" s="1049"/>
      <c r="H973" s="564"/>
      <c r="I973" s="609"/>
      <c r="J973" s="1155"/>
      <c r="K973" s="609"/>
      <c r="L973" s="609"/>
      <c r="M973" s="609"/>
      <c r="N973" s="599"/>
      <c r="O973" s="552" t="s">
        <v>1584</v>
      </c>
      <c r="P973" s="603"/>
      <c r="Q973" s="682"/>
      <c r="R973" s="682"/>
      <c r="S973" s="682"/>
      <c r="T973" s="682"/>
      <c r="U973" s="682"/>
      <c r="V973" s="682"/>
      <c r="W973" s="682"/>
    </row>
    <row r="974" spans="1:31">
      <c r="A974" s="1045">
        <f t="shared" si="15"/>
        <v>9</v>
      </c>
      <c r="B974" s="134">
        <v>45544</v>
      </c>
      <c r="C974" s="70">
        <v>1022</v>
      </c>
      <c r="D974" s="70" t="s">
        <v>5119</v>
      </c>
      <c r="E974" s="280" t="s">
        <v>3464</v>
      </c>
      <c r="F974" s="1049">
        <v>15750</v>
      </c>
      <c r="G974" s="1049"/>
      <c r="H974" s="564"/>
      <c r="I974" s="609"/>
      <c r="J974" s="1155"/>
      <c r="K974" s="609"/>
      <c r="L974" s="609"/>
      <c r="M974" s="609"/>
      <c r="N974" s="599"/>
      <c r="O974" s="552" t="s">
        <v>1584</v>
      </c>
      <c r="P974" s="603"/>
      <c r="Q974" s="682"/>
      <c r="R974" s="682"/>
      <c r="S974" s="682"/>
      <c r="T974" s="682"/>
      <c r="U974" s="682"/>
      <c r="V974" s="682"/>
      <c r="W974" s="682"/>
    </row>
    <row r="975" spans="1:31">
      <c r="A975" s="1045">
        <f t="shared" si="15"/>
        <v>9</v>
      </c>
      <c r="B975" s="134">
        <v>45550</v>
      </c>
      <c r="C975" s="70">
        <v>1022</v>
      </c>
      <c r="D975" s="70" t="s">
        <v>5119</v>
      </c>
      <c r="E975" s="280" t="s">
        <v>3465</v>
      </c>
      <c r="F975" s="1049">
        <v>23625</v>
      </c>
      <c r="G975" s="1049"/>
      <c r="H975" s="564"/>
      <c r="I975" s="609"/>
      <c r="J975" s="1155"/>
      <c r="K975" s="609"/>
      <c r="L975" s="609"/>
      <c r="M975" s="609"/>
      <c r="N975" s="599"/>
      <c r="O975" s="552" t="s">
        <v>1584</v>
      </c>
      <c r="P975" s="603"/>
      <c r="Q975" s="682"/>
      <c r="R975" s="682"/>
      <c r="S975" s="682"/>
      <c r="T975" s="682"/>
      <c r="U975" s="682"/>
      <c r="V975" s="682"/>
      <c r="W975" s="682"/>
    </row>
    <row r="976" spans="1:31">
      <c r="A976" s="1045">
        <f t="shared" si="15"/>
        <v>9</v>
      </c>
      <c r="B976" s="134">
        <v>45551</v>
      </c>
      <c r="C976" s="70">
        <v>1022</v>
      </c>
      <c r="D976" s="70" t="s">
        <v>5119</v>
      </c>
      <c r="E976" s="280" t="s">
        <v>3466</v>
      </c>
      <c r="F976" s="1049">
        <v>20575.8</v>
      </c>
      <c r="G976" s="1049"/>
      <c r="H976" s="564"/>
      <c r="I976" s="609"/>
      <c r="J976" s="1155"/>
      <c r="K976" s="609"/>
      <c r="L976" s="609"/>
      <c r="M976" s="609"/>
      <c r="N976" s="599"/>
      <c r="O976" s="552" t="s">
        <v>1584</v>
      </c>
      <c r="P976" s="603"/>
      <c r="Q976" s="682"/>
      <c r="R976" s="682"/>
      <c r="S976" s="682"/>
      <c r="T976" s="682"/>
      <c r="U976" s="682"/>
      <c r="V976" s="682"/>
      <c r="W976" s="682"/>
    </row>
    <row r="977" spans="1:23">
      <c r="A977" s="1045">
        <f t="shared" si="15"/>
        <v>9</v>
      </c>
      <c r="B977" s="134">
        <v>45551</v>
      </c>
      <c r="C977" s="70">
        <v>1022</v>
      </c>
      <c r="D977" s="70" t="s">
        <v>5119</v>
      </c>
      <c r="E977" s="280" t="s">
        <v>3467</v>
      </c>
      <c r="F977" s="1049">
        <v>49560</v>
      </c>
      <c r="G977" s="1049"/>
      <c r="H977" s="564"/>
      <c r="I977" s="609"/>
      <c r="J977" s="1155"/>
      <c r="K977" s="609"/>
      <c r="L977" s="609"/>
      <c r="M977" s="609"/>
      <c r="N977" s="599"/>
      <c r="O977" s="552" t="s">
        <v>1584</v>
      </c>
      <c r="P977" s="603"/>
      <c r="Q977" s="682"/>
      <c r="R977" s="682"/>
      <c r="S977" s="682"/>
      <c r="T977" s="682"/>
      <c r="U977" s="682"/>
      <c r="V977" s="682"/>
      <c r="W977" s="682"/>
    </row>
    <row r="978" spans="1:23">
      <c r="A978" s="1045">
        <f t="shared" si="15"/>
        <v>9</v>
      </c>
      <c r="B978" s="134">
        <v>45551</v>
      </c>
      <c r="C978" s="70">
        <v>1022</v>
      </c>
      <c r="D978" s="70" t="s">
        <v>5119</v>
      </c>
      <c r="E978" s="280" t="s">
        <v>3468</v>
      </c>
      <c r="F978" s="1049">
        <v>29662.5</v>
      </c>
      <c r="G978" s="1049"/>
      <c r="H978" s="564"/>
      <c r="I978" s="609"/>
      <c r="J978" s="1155"/>
      <c r="K978" s="609"/>
      <c r="L978" s="609"/>
      <c r="M978" s="609"/>
      <c r="N978" s="599"/>
      <c r="O978" s="552" t="s">
        <v>1584</v>
      </c>
      <c r="P978" s="603"/>
      <c r="Q978" s="682"/>
      <c r="R978" s="682"/>
      <c r="S978" s="682"/>
      <c r="T978" s="682"/>
      <c r="U978" s="682"/>
      <c r="V978" s="682"/>
      <c r="W978" s="682"/>
    </row>
    <row r="979" spans="1:23">
      <c r="A979" s="1045">
        <f t="shared" si="15"/>
        <v>9</v>
      </c>
      <c r="B979" s="134">
        <v>45551</v>
      </c>
      <c r="C979" s="70">
        <v>1019</v>
      </c>
      <c r="D979" s="70" t="str">
        <f>IFERROR(VLOOKUP(C979,Mychart!$A$6:$B$123,2,FALSE),"")</f>
        <v>Checks For Collection</v>
      </c>
      <c r="E979" s="280" t="s">
        <v>3469</v>
      </c>
      <c r="F979" s="1049">
        <v>10500</v>
      </c>
      <c r="G979" s="1049"/>
      <c r="H979" s="564"/>
      <c r="I979" s="609"/>
      <c r="J979" s="1155"/>
      <c r="K979" s="609"/>
      <c r="L979" s="609"/>
      <c r="M979" s="609"/>
      <c r="N979" s="599"/>
      <c r="O979" s="552" t="s">
        <v>1584</v>
      </c>
      <c r="P979" s="603"/>
      <c r="Q979" s="682"/>
      <c r="R979" s="682"/>
      <c r="S979" s="682"/>
      <c r="T979" s="682"/>
      <c r="U979" s="682"/>
      <c r="V979" s="682"/>
      <c r="W979" s="682"/>
    </row>
    <row r="980" spans="1:23">
      <c r="A980" s="1045">
        <f t="shared" si="15"/>
        <v>9</v>
      </c>
      <c r="B980" s="134">
        <v>45558</v>
      </c>
      <c r="C980" s="70">
        <v>1022</v>
      </c>
      <c r="D980" s="70" t="s">
        <v>5119</v>
      </c>
      <c r="E980" s="280" t="s">
        <v>3470</v>
      </c>
      <c r="F980" s="1049">
        <v>160906.20000000001</v>
      </c>
      <c r="G980" s="1049"/>
      <c r="H980" s="564"/>
      <c r="I980" s="609"/>
      <c r="J980" s="1155"/>
      <c r="K980" s="609"/>
      <c r="L980" s="609"/>
      <c r="M980" s="609"/>
      <c r="N980" s="599"/>
      <c r="O980" s="552" t="s">
        <v>1584</v>
      </c>
      <c r="P980" s="603"/>
      <c r="Q980" s="682"/>
      <c r="R980" s="682"/>
      <c r="S980" s="682"/>
      <c r="T980" s="682"/>
      <c r="U980" s="682"/>
      <c r="V980" s="682"/>
      <c r="W980" s="682"/>
    </row>
    <row r="981" spans="1:23">
      <c r="A981" s="1045">
        <f t="shared" ref="A981:A1044" si="16">IF(B981="","",MONTH(B981))</f>
        <v>9</v>
      </c>
      <c r="B981" s="134">
        <v>45559</v>
      </c>
      <c r="C981" s="70">
        <v>1022</v>
      </c>
      <c r="D981" s="70" t="s">
        <v>5119</v>
      </c>
      <c r="E981" s="280" t="s">
        <v>3471</v>
      </c>
      <c r="F981" s="1049">
        <v>5512.5</v>
      </c>
      <c r="G981" s="1049"/>
      <c r="H981" s="564"/>
      <c r="I981" s="609"/>
      <c r="J981" s="1155"/>
      <c r="K981" s="609"/>
      <c r="L981" s="609"/>
      <c r="M981" s="609"/>
      <c r="N981" s="599"/>
      <c r="O981" s="552" t="s">
        <v>1584</v>
      </c>
      <c r="P981" s="603"/>
      <c r="Q981" s="682"/>
      <c r="R981" s="682"/>
      <c r="S981" s="682"/>
      <c r="T981" s="682"/>
      <c r="U981" s="682"/>
      <c r="V981" s="682"/>
      <c r="W981" s="682"/>
    </row>
    <row r="982" spans="1:23">
      <c r="A982" s="1045">
        <f t="shared" si="16"/>
        <v>9</v>
      </c>
      <c r="B982" s="134">
        <v>45559</v>
      </c>
      <c r="C982" s="70">
        <v>1025</v>
      </c>
      <c r="D982" s="70" t="s">
        <v>5120</v>
      </c>
      <c r="E982" s="280" t="s">
        <v>3472</v>
      </c>
      <c r="F982" s="1049">
        <v>9187.5</v>
      </c>
      <c r="G982" s="1049"/>
      <c r="H982" s="564"/>
      <c r="I982" s="609"/>
      <c r="J982" s="1155"/>
      <c r="K982" s="609"/>
      <c r="L982" s="609"/>
      <c r="M982" s="609"/>
      <c r="N982" s="599"/>
      <c r="O982" s="552" t="s">
        <v>1584</v>
      </c>
      <c r="P982" s="603"/>
      <c r="Q982" s="682"/>
      <c r="R982" s="682"/>
      <c r="S982" s="682"/>
      <c r="T982" s="682"/>
      <c r="U982" s="682"/>
      <c r="V982" s="682"/>
      <c r="W982" s="682"/>
    </row>
    <row r="983" spans="1:23">
      <c r="A983" s="1045">
        <f t="shared" si="16"/>
        <v>9</v>
      </c>
      <c r="B983" s="134">
        <v>45563</v>
      </c>
      <c r="C983" s="70">
        <v>1022</v>
      </c>
      <c r="D983" s="70" t="s">
        <v>5119</v>
      </c>
      <c r="E983" s="280" t="s">
        <v>3473</v>
      </c>
      <c r="F983" s="1049">
        <v>57120</v>
      </c>
      <c r="G983" s="1049"/>
      <c r="H983" s="564"/>
      <c r="I983" s="609"/>
      <c r="J983" s="1155"/>
      <c r="K983" s="609"/>
      <c r="L983" s="609"/>
      <c r="M983" s="609"/>
      <c r="N983" s="599"/>
      <c r="O983" s="552" t="s">
        <v>1584</v>
      </c>
      <c r="P983" s="603"/>
      <c r="Q983" s="682"/>
      <c r="R983" s="682"/>
      <c r="S983" s="682"/>
      <c r="T983" s="682"/>
      <c r="U983" s="682"/>
      <c r="V983" s="682"/>
      <c r="W983" s="682"/>
    </row>
    <row r="984" spans="1:23">
      <c r="A984" s="1045">
        <f t="shared" si="16"/>
        <v>10</v>
      </c>
      <c r="B984" s="134">
        <v>45570</v>
      </c>
      <c r="C984" s="70">
        <v>1022</v>
      </c>
      <c r="D984" s="70" t="s">
        <v>5119</v>
      </c>
      <c r="E984" s="280" t="s">
        <v>3474</v>
      </c>
      <c r="F984" s="1049">
        <v>13833.75</v>
      </c>
      <c r="G984" s="1049"/>
      <c r="H984" s="564"/>
      <c r="I984" s="609"/>
      <c r="J984" s="1155"/>
      <c r="K984" s="609"/>
      <c r="L984" s="609"/>
      <c r="M984" s="609"/>
      <c r="N984" s="599"/>
      <c r="O984" s="552" t="s">
        <v>1584</v>
      </c>
      <c r="P984" s="603"/>
      <c r="Q984" s="682"/>
      <c r="R984" s="682"/>
      <c r="S984" s="682"/>
      <c r="T984" s="682"/>
      <c r="U984" s="682"/>
      <c r="V984" s="682"/>
      <c r="W984" s="682"/>
    </row>
    <row r="985" spans="1:23">
      <c r="A985" s="1045">
        <f t="shared" si="16"/>
        <v>10</v>
      </c>
      <c r="B985" s="134">
        <v>45573</v>
      </c>
      <c r="C985" s="70">
        <v>1025</v>
      </c>
      <c r="D985" s="70" t="s">
        <v>5120</v>
      </c>
      <c r="E985" s="280" t="s">
        <v>3475</v>
      </c>
      <c r="F985" s="1049">
        <v>9702</v>
      </c>
      <c r="G985" s="1049"/>
      <c r="H985" s="564"/>
      <c r="I985" s="609"/>
      <c r="J985" s="1155"/>
      <c r="K985" s="609"/>
      <c r="L985" s="609"/>
      <c r="M985" s="609"/>
      <c r="N985" s="599"/>
      <c r="O985" s="552" t="s">
        <v>1584</v>
      </c>
      <c r="P985" s="603"/>
      <c r="Q985" s="682"/>
      <c r="R985" s="682"/>
      <c r="S985" s="682"/>
      <c r="T985" s="682"/>
      <c r="U985" s="682"/>
      <c r="V985" s="682"/>
      <c r="W985" s="682"/>
    </row>
    <row r="986" spans="1:23">
      <c r="A986" s="1045">
        <f t="shared" si="16"/>
        <v>10</v>
      </c>
      <c r="B986" s="134">
        <v>45573</v>
      </c>
      <c r="C986" s="70">
        <v>1022</v>
      </c>
      <c r="D986" s="70" t="s">
        <v>5119</v>
      </c>
      <c r="E986" s="280" t="s">
        <v>3476</v>
      </c>
      <c r="F986" s="1049">
        <v>3550</v>
      </c>
      <c r="G986" s="1049"/>
      <c r="H986" s="564"/>
      <c r="I986" s="609"/>
      <c r="J986" s="1155"/>
      <c r="K986" s="609"/>
      <c r="L986" s="609"/>
      <c r="M986" s="609"/>
      <c r="N986" s="599"/>
      <c r="O986" s="552" t="s">
        <v>1584</v>
      </c>
      <c r="P986" s="603"/>
      <c r="Q986" s="682"/>
      <c r="R986" s="682"/>
      <c r="S986" s="682"/>
      <c r="T986" s="682"/>
      <c r="U986" s="682"/>
      <c r="V986" s="682"/>
      <c r="W986" s="682"/>
    </row>
    <row r="987" spans="1:23">
      <c r="A987" s="1045">
        <f t="shared" si="16"/>
        <v>10</v>
      </c>
      <c r="B987" s="134">
        <v>45573</v>
      </c>
      <c r="C987" s="70">
        <v>1100</v>
      </c>
      <c r="D987" s="70" t="s">
        <v>46</v>
      </c>
      <c r="E987" s="380" t="s">
        <v>3477</v>
      </c>
      <c r="F987" s="1049"/>
      <c r="G987" s="1049">
        <v>1277777.6500000001</v>
      </c>
      <c r="H987" s="564"/>
      <c r="I987" s="609"/>
      <c r="J987" s="1155"/>
      <c r="K987" s="609"/>
      <c r="L987" s="609"/>
      <c r="M987" s="609"/>
      <c r="N987" s="599"/>
      <c r="O987" s="552" t="s">
        <v>1584</v>
      </c>
      <c r="P987" s="603"/>
      <c r="Q987" s="682"/>
      <c r="R987" s="682"/>
      <c r="S987" s="682"/>
      <c r="T987" s="682"/>
      <c r="U987" s="682"/>
      <c r="V987" s="682"/>
      <c r="W987" s="682"/>
    </row>
    <row r="988" spans="1:23">
      <c r="A988" s="1045">
        <f t="shared" si="16"/>
        <v>6</v>
      </c>
      <c r="B988" s="134">
        <v>45444</v>
      </c>
      <c r="C988" s="70">
        <v>5250</v>
      </c>
      <c r="D988" s="70" t="s">
        <v>85</v>
      </c>
      <c r="E988" s="280" t="s">
        <v>3478</v>
      </c>
      <c r="F988" s="1049">
        <v>5530</v>
      </c>
      <c r="G988" s="1049"/>
      <c r="H988" s="564"/>
      <c r="I988" s="609"/>
      <c r="J988" s="1155"/>
      <c r="K988" s="609"/>
      <c r="L988" s="609"/>
      <c r="M988" s="609"/>
      <c r="N988" s="599"/>
      <c r="O988" s="552" t="s">
        <v>1584</v>
      </c>
      <c r="P988" s="603"/>
      <c r="Q988" s="682"/>
      <c r="R988" s="682"/>
      <c r="S988" s="682"/>
      <c r="T988" s="682"/>
      <c r="U988" s="682"/>
      <c r="V988" s="682"/>
      <c r="W988" s="682"/>
    </row>
    <row r="989" spans="1:23">
      <c r="A989" s="1045">
        <f t="shared" si="16"/>
        <v>6</v>
      </c>
      <c r="B989" s="134">
        <v>45444</v>
      </c>
      <c r="C989" s="70">
        <v>2018</v>
      </c>
      <c r="D989" s="70" t="s">
        <v>58</v>
      </c>
      <c r="E989" s="280" t="s">
        <v>3478</v>
      </c>
      <c r="F989" s="1049">
        <v>276.5</v>
      </c>
      <c r="G989" s="1049"/>
      <c r="H989" s="564"/>
      <c r="I989" s="609"/>
      <c r="J989" s="1155"/>
      <c r="K989" s="609"/>
      <c r="L989" s="609"/>
      <c r="M989" s="609"/>
      <c r="N989" s="599"/>
      <c r="O989" s="552" t="s">
        <v>1584</v>
      </c>
      <c r="P989" s="603"/>
      <c r="Q989" s="682"/>
      <c r="R989" s="682"/>
      <c r="S989" s="682"/>
      <c r="T989" s="682"/>
      <c r="U989" s="682"/>
      <c r="V989" s="682"/>
      <c r="W989" s="682"/>
    </row>
    <row r="990" spans="1:23">
      <c r="A990" s="1045">
        <f t="shared" si="16"/>
        <v>6</v>
      </c>
      <c r="B990" s="134">
        <v>45444</v>
      </c>
      <c r="C990" s="70">
        <v>5250</v>
      </c>
      <c r="D990" s="70" t="s">
        <v>85</v>
      </c>
      <c r="E990" s="280" t="s">
        <v>3479</v>
      </c>
      <c r="F990" s="1049">
        <v>454.6</v>
      </c>
      <c r="G990" s="1049"/>
      <c r="H990" s="564"/>
      <c r="I990" s="609"/>
      <c r="J990" s="1155"/>
      <c r="K990" s="609"/>
      <c r="L990" s="609"/>
      <c r="M990" s="609"/>
      <c r="N990" s="599"/>
      <c r="O990" s="552" t="s">
        <v>1584</v>
      </c>
      <c r="P990" s="603"/>
      <c r="Q990" s="682"/>
      <c r="R990" s="682"/>
      <c r="S990" s="682"/>
      <c r="T990" s="682"/>
      <c r="U990" s="682"/>
      <c r="V990" s="682"/>
      <c r="W990" s="682"/>
    </row>
    <row r="991" spans="1:23">
      <c r="A991" s="1045">
        <f t="shared" si="16"/>
        <v>6</v>
      </c>
      <c r="B991" s="134">
        <v>45444</v>
      </c>
      <c r="C991" s="70">
        <v>2018</v>
      </c>
      <c r="D991" s="70" t="s">
        <v>58</v>
      </c>
      <c r="E991" s="280" t="s">
        <v>3479</v>
      </c>
      <c r="F991" s="1049">
        <v>22.73</v>
      </c>
      <c r="G991" s="1049"/>
      <c r="H991" s="564"/>
      <c r="I991" s="609"/>
      <c r="J991" s="1155"/>
      <c r="K991" s="609"/>
      <c r="L991" s="609"/>
      <c r="M991" s="609"/>
      <c r="N991" s="599"/>
      <c r="O991" s="552" t="s">
        <v>1584</v>
      </c>
      <c r="P991" s="603"/>
      <c r="Q991" s="682"/>
      <c r="R991" s="682"/>
      <c r="S991" s="682"/>
      <c r="T991" s="682"/>
      <c r="U991" s="682"/>
      <c r="V991" s="682"/>
      <c r="W991" s="682"/>
    </row>
    <row r="992" spans="1:23">
      <c r="A992" s="1045">
        <f t="shared" si="16"/>
        <v>6</v>
      </c>
      <c r="B992" s="134">
        <v>45444</v>
      </c>
      <c r="C992" s="70">
        <v>5250</v>
      </c>
      <c r="D992" s="70" t="s">
        <v>85</v>
      </c>
      <c r="E992" s="280" t="s">
        <v>3480</v>
      </c>
      <c r="F992" s="1049">
        <v>349.9</v>
      </c>
      <c r="G992" s="1049"/>
      <c r="H992" s="564"/>
      <c r="I992" s="609"/>
      <c r="J992" s="1155"/>
      <c r="K992" s="609"/>
      <c r="L992" s="609"/>
      <c r="M992" s="609"/>
      <c r="N992" s="599"/>
      <c r="O992" s="552" t="s">
        <v>1584</v>
      </c>
      <c r="P992" s="603"/>
      <c r="Q992" s="682"/>
      <c r="R992" s="682"/>
      <c r="S992" s="682"/>
      <c r="T992" s="682"/>
      <c r="U992" s="682"/>
      <c r="V992" s="682"/>
      <c r="W992" s="682"/>
    </row>
    <row r="993" spans="1:23">
      <c r="A993" s="1045">
        <f t="shared" si="16"/>
        <v>6</v>
      </c>
      <c r="B993" s="134">
        <v>45444</v>
      </c>
      <c r="C993" s="70">
        <v>2018</v>
      </c>
      <c r="D993" s="70" t="s">
        <v>58</v>
      </c>
      <c r="E993" s="280" t="s">
        <v>3480</v>
      </c>
      <c r="F993" s="1049">
        <v>17.5</v>
      </c>
      <c r="G993" s="1049"/>
      <c r="H993" s="564"/>
      <c r="I993" s="609"/>
      <c r="J993" s="1155"/>
      <c r="K993" s="609"/>
      <c r="L993" s="609"/>
      <c r="M993" s="609"/>
      <c r="N993" s="599"/>
      <c r="O993" s="552" t="s">
        <v>1584</v>
      </c>
      <c r="P993" s="603"/>
      <c r="Q993" s="682"/>
      <c r="R993" s="682"/>
      <c r="S993" s="682"/>
      <c r="T993" s="682"/>
      <c r="U993" s="682"/>
      <c r="V993" s="682"/>
      <c r="W993" s="682"/>
    </row>
    <row r="994" spans="1:23">
      <c r="A994" s="1045">
        <f t="shared" si="16"/>
        <v>6</v>
      </c>
      <c r="B994" s="134">
        <v>45444</v>
      </c>
      <c r="C994" s="70">
        <v>5250</v>
      </c>
      <c r="D994" s="70" t="s">
        <v>85</v>
      </c>
      <c r="E994" s="280" t="s">
        <v>3481</v>
      </c>
      <c r="F994" s="1049">
        <v>367.86</v>
      </c>
      <c r="G994" s="1049"/>
      <c r="H994" s="564"/>
      <c r="I994" s="609"/>
      <c r="J994" s="1155"/>
      <c r="K994" s="609"/>
      <c r="L994" s="609"/>
      <c r="M994" s="609"/>
      <c r="N994" s="599"/>
      <c r="O994" s="552" t="s">
        <v>1584</v>
      </c>
      <c r="P994" s="603"/>
      <c r="Q994" s="682"/>
      <c r="R994" s="682"/>
      <c r="S994" s="682"/>
      <c r="T994" s="682"/>
      <c r="U994" s="682"/>
      <c r="V994" s="682"/>
      <c r="W994" s="682"/>
    </row>
    <row r="995" spans="1:23">
      <c r="A995" s="1045">
        <f t="shared" si="16"/>
        <v>6</v>
      </c>
      <c r="B995" s="134">
        <v>45444</v>
      </c>
      <c r="C995" s="70">
        <v>2018</v>
      </c>
      <c r="D995" s="70" t="s">
        <v>58</v>
      </c>
      <c r="E995" s="280" t="s">
        <v>3481</v>
      </c>
      <c r="F995" s="1049">
        <v>18.39</v>
      </c>
      <c r="G995" s="1049"/>
      <c r="H995" s="564"/>
      <c r="I995" s="609"/>
      <c r="J995" s="1155"/>
      <c r="K995" s="609"/>
      <c r="L995" s="609"/>
      <c r="M995" s="609"/>
      <c r="N995" s="599"/>
      <c r="O995" s="552" t="s">
        <v>1584</v>
      </c>
      <c r="P995" s="603"/>
      <c r="Q995" s="682"/>
      <c r="R995" s="682"/>
      <c r="S995" s="682"/>
      <c r="T995" s="682"/>
      <c r="U995" s="682"/>
      <c r="V995" s="682"/>
      <c r="W995" s="682"/>
    </row>
    <row r="996" spans="1:23">
      <c r="A996" s="1045">
        <f t="shared" si="16"/>
        <v>6</v>
      </c>
      <c r="B996" s="134">
        <v>45445</v>
      </c>
      <c r="C996" s="70">
        <v>5250</v>
      </c>
      <c r="D996" s="70" t="s">
        <v>85</v>
      </c>
      <c r="E996" s="280" t="s">
        <v>3482</v>
      </c>
      <c r="F996" s="1049">
        <v>160</v>
      </c>
      <c r="G996" s="1049"/>
      <c r="H996" s="564"/>
      <c r="I996" s="609"/>
      <c r="J996" s="1155"/>
      <c r="K996" s="609"/>
      <c r="L996" s="609"/>
      <c r="M996" s="609"/>
      <c r="N996" s="599"/>
      <c r="O996" s="552" t="s">
        <v>1584</v>
      </c>
      <c r="P996" s="603"/>
      <c r="Q996" s="682"/>
      <c r="R996" s="682"/>
      <c r="S996" s="682"/>
      <c r="T996" s="682"/>
      <c r="U996" s="682"/>
      <c r="V996" s="682"/>
      <c r="W996" s="682"/>
    </row>
    <row r="997" spans="1:23">
      <c r="A997" s="1045">
        <f t="shared" si="16"/>
        <v>6</v>
      </c>
      <c r="B997" s="134">
        <v>45445</v>
      </c>
      <c r="C997" s="70">
        <v>2018</v>
      </c>
      <c r="D997" s="70" t="s">
        <v>58</v>
      </c>
      <c r="E997" s="280" t="s">
        <v>3482</v>
      </c>
      <c r="F997" s="1049">
        <v>8</v>
      </c>
      <c r="G997" s="1049"/>
      <c r="H997" s="564"/>
      <c r="I997" s="609"/>
      <c r="J997" s="1155"/>
      <c r="K997" s="609"/>
      <c r="L997" s="609"/>
      <c r="M997" s="609"/>
      <c r="N997" s="599"/>
      <c r="O997" s="552" t="s">
        <v>1584</v>
      </c>
      <c r="P997" s="603"/>
      <c r="Q997" s="682"/>
      <c r="R997" s="682"/>
      <c r="S997" s="682"/>
      <c r="T997" s="682"/>
      <c r="U997" s="682"/>
      <c r="V997" s="682"/>
      <c r="W997" s="682"/>
    </row>
    <row r="998" spans="1:23">
      <c r="A998" s="1045">
        <f t="shared" si="16"/>
        <v>6</v>
      </c>
      <c r="B998" s="134">
        <v>45446</v>
      </c>
      <c r="C998" s="70">
        <v>5250</v>
      </c>
      <c r="D998" s="70" t="s">
        <v>85</v>
      </c>
      <c r="E998" s="280" t="s">
        <v>3483</v>
      </c>
      <c r="F998" s="1049">
        <v>10</v>
      </c>
      <c r="G998" s="1049"/>
      <c r="H998" s="564"/>
      <c r="I998" s="609"/>
      <c r="J998" s="1155"/>
      <c r="K998" s="609"/>
      <c r="L998" s="609"/>
      <c r="M998" s="609"/>
      <c r="N998" s="599"/>
      <c r="O998" s="552" t="s">
        <v>1584</v>
      </c>
      <c r="P998" s="603"/>
      <c r="Q998" s="682"/>
      <c r="R998" s="682"/>
      <c r="S998" s="682"/>
      <c r="T998" s="682"/>
      <c r="U998" s="682"/>
      <c r="V998" s="682"/>
      <c r="W998" s="682"/>
    </row>
    <row r="999" spans="1:23">
      <c r="A999" s="1045">
        <f t="shared" si="16"/>
        <v>6</v>
      </c>
      <c r="B999" s="134">
        <v>45446</v>
      </c>
      <c r="C999" s="70">
        <v>2018</v>
      </c>
      <c r="D999" s="70" t="s">
        <v>58</v>
      </c>
      <c r="E999" s="280" t="s">
        <v>3483</v>
      </c>
      <c r="F999" s="1049">
        <v>0.5</v>
      </c>
      <c r="G999" s="1049"/>
      <c r="H999" s="564"/>
      <c r="I999" s="609"/>
      <c r="J999" s="1155"/>
      <c r="K999" s="609"/>
      <c r="L999" s="609"/>
      <c r="M999" s="609"/>
      <c r="N999" s="599"/>
      <c r="O999" s="552" t="s">
        <v>1584</v>
      </c>
      <c r="P999" s="603"/>
      <c r="Q999" s="682"/>
      <c r="R999" s="682"/>
      <c r="S999" s="682"/>
      <c r="T999" s="682"/>
      <c r="U999" s="682"/>
      <c r="V999" s="682"/>
      <c r="W999" s="682"/>
    </row>
    <row r="1000" spans="1:23">
      <c r="A1000" s="1045">
        <f t="shared" si="16"/>
        <v>6</v>
      </c>
      <c r="B1000" s="134">
        <v>45446</v>
      </c>
      <c r="C1000" s="70">
        <v>5250</v>
      </c>
      <c r="D1000" s="70" t="s">
        <v>85</v>
      </c>
      <c r="E1000" s="280" t="s">
        <v>3484</v>
      </c>
      <c r="F1000" s="1049">
        <v>35</v>
      </c>
      <c r="G1000" s="1049"/>
      <c r="H1000" s="564"/>
      <c r="I1000" s="609"/>
      <c r="J1000" s="1155"/>
      <c r="K1000" s="609"/>
      <c r="L1000" s="609"/>
      <c r="M1000" s="609"/>
      <c r="N1000" s="599"/>
      <c r="O1000" s="552" t="s">
        <v>1584</v>
      </c>
      <c r="P1000" s="603"/>
      <c r="Q1000" s="682"/>
      <c r="R1000" s="682"/>
      <c r="S1000" s="682"/>
      <c r="T1000" s="682"/>
      <c r="U1000" s="682"/>
      <c r="V1000" s="682"/>
      <c r="W1000" s="682"/>
    </row>
    <row r="1001" spans="1:23">
      <c r="A1001" s="1045">
        <f t="shared" si="16"/>
        <v>6</v>
      </c>
      <c r="B1001" s="134">
        <v>45446</v>
      </c>
      <c r="C1001" s="70">
        <v>2018</v>
      </c>
      <c r="D1001" s="70" t="s">
        <v>58</v>
      </c>
      <c r="E1001" s="280" t="s">
        <v>3484</v>
      </c>
      <c r="F1001" s="1049">
        <v>1.75</v>
      </c>
      <c r="G1001" s="1049"/>
      <c r="H1001" s="564"/>
      <c r="I1001" s="609"/>
      <c r="J1001" s="1155"/>
      <c r="K1001" s="609"/>
      <c r="L1001" s="609"/>
      <c r="M1001" s="609"/>
      <c r="N1001" s="599"/>
      <c r="O1001" s="552" t="s">
        <v>1584</v>
      </c>
      <c r="P1001" s="603"/>
      <c r="Q1001" s="682"/>
      <c r="R1001" s="682"/>
      <c r="S1001" s="682"/>
      <c r="T1001" s="682"/>
      <c r="U1001" s="682"/>
      <c r="V1001" s="682"/>
      <c r="W1001" s="682"/>
    </row>
    <row r="1002" spans="1:23">
      <c r="A1002" s="1045">
        <f t="shared" si="16"/>
        <v>6</v>
      </c>
      <c r="B1002" s="134">
        <v>45446</v>
      </c>
      <c r="C1002" s="70">
        <v>5250</v>
      </c>
      <c r="D1002" s="70" t="s">
        <v>85</v>
      </c>
      <c r="E1002" s="280" t="s">
        <v>3485</v>
      </c>
      <c r="F1002" s="1049">
        <v>560</v>
      </c>
      <c r="G1002" s="1049"/>
      <c r="H1002" s="564"/>
      <c r="I1002" s="609"/>
      <c r="J1002" s="1155"/>
      <c r="K1002" s="609"/>
      <c r="L1002" s="609"/>
      <c r="M1002" s="609"/>
      <c r="N1002" s="599"/>
      <c r="O1002" s="552" t="s">
        <v>1584</v>
      </c>
      <c r="P1002" s="603"/>
      <c r="Q1002" s="682"/>
      <c r="R1002" s="682"/>
      <c r="S1002" s="682"/>
      <c r="T1002" s="682"/>
      <c r="U1002" s="682"/>
      <c r="V1002" s="682"/>
      <c r="W1002" s="682"/>
    </row>
    <row r="1003" spans="1:23">
      <c r="A1003" s="1045">
        <f t="shared" si="16"/>
        <v>6</v>
      </c>
      <c r="B1003" s="134">
        <v>45446</v>
      </c>
      <c r="C1003" s="70">
        <v>2018</v>
      </c>
      <c r="D1003" s="70" t="s">
        <v>58</v>
      </c>
      <c r="E1003" s="280" t="s">
        <v>3485</v>
      </c>
      <c r="F1003" s="1049">
        <v>28</v>
      </c>
      <c r="G1003" s="1049"/>
      <c r="H1003" s="564"/>
      <c r="I1003" s="609"/>
      <c r="J1003" s="1155"/>
      <c r="K1003" s="609"/>
      <c r="L1003" s="609"/>
      <c r="M1003" s="609"/>
      <c r="N1003" s="599"/>
      <c r="O1003" s="552" t="s">
        <v>1584</v>
      </c>
      <c r="P1003" s="603"/>
      <c r="Q1003" s="682"/>
      <c r="R1003" s="682"/>
      <c r="S1003" s="682"/>
      <c r="T1003" s="682"/>
      <c r="U1003" s="682"/>
      <c r="V1003" s="682"/>
      <c r="W1003" s="682"/>
    </row>
    <row r="1004" spans="1:23">
      <c r="A1004" s="1045">
        <f t="shared" si="16"/>
        <v>6</v>
      </c>
      <c r="B1004" s="134">
        <v>45446</v>
      </c>
      <c r="C1004" s="70">
        <v>5220</v>
      </c>
      <c r="D1004" s="70" t="s">
        <v>84</v>
      </c>
      <c r="E1004" s="280" t="s">
        <v>3486</v>
      </c>
      <c r="F1004" s="1049">
        <v>2286</v>
      </c>
      <c r="G1004" s="1049"/>
      <c r="H1004" s="564"/>
      <c r="I1004" s="609"/>
      <c r="J1004" s="1155"/>
      <c r="K1004" s="609"/>
      <c r="L1004" s="609"/>
      <c r="M1004" s="609"/>
      <c r="N1004" s="599"/>
      <c r="O1004" s="552" t="s">
        <v>1584</v>
      </c>
      <c r="P1004" s="603"/>
      <c r="Q1004" s="682"/>
      <c r="R1004" s="682"/>
      <c r="S1004" s="682"/>
      <c r="T1004" s="682"/>
      <c r="U1004" s="682"/>
      <c r="V1004" s="682"/>
      <c r="W1004" s="682"/>
    </row>
    <row r="1005" spans="1:23">
      <c r="A1005" s="1045">
        <f t="shared" si="16"/>
        <v>6</v>
      </c>
      <c r="B1005" s="134">
        <v>45446</v>
      </c>
      <c r="C1005" s="70">
        <v>2018</v>
      </c>
      <c r="D1005" s="70" t="s">
        <v>58</v>
      </c>
      <c r="E1005" s="280" t="s">
        <v>3486</v>
      </c>
      <c r="F1005" s="1049">
        <v>114.3</v>
      </c>
      <c r="G1005" s="1049"/>
      <c r="H1005" s="564"/>
      <c r="I1005" s="609"/>
      <c r="J1005" s="1155"/>
      <c r="K1005" s="609"/>
      <c r="L1005" s="609"/>
      <c r="M1005" s="609"/>
      <c r="N1005" s="599"/>
      <c r="O1005" s="552" t="s">
        <v>1584</v>
      </c>
      <c r="P1005" s="603"/>
      <c r="Q1005" s="682"/>
      <c r="R1005" s="682"/>
      <c r="S1005" s="682"/>
      <c r="T1005" s="682"/>
      <c r="U1005" s="682"/>
      <c r="V1005" s="682"/>
      <c r="W1005" s="682"/>
    </row>
    <row r="1006" spans="1:23">
      <c r="A1006" s="1045">
        <f t="shared" si="16"/>
        <v>6</v>
      </c>
      <c r="B1006" s="134">
        <v>45446</v>
      </c>
      <c r="C1006" s="70">
        <v>5220</v>
      </c>
      <c r="D1006" s="70" t="s">
        <v>84</v>
      </c>
      <c r="E1006" s="280" t="s">
        <v>3487</v>
      </c>
      <c r="F1006" s="1049">
        <v>1591.7</v>
      </c>
      <c r="G1006" s="1049"/>
      <c r="H1006" s="564"/>
      <c r="I1006" s="609"/>
      <c r="J1006" s="1155"/>
      <c r="K1006" s="609"/>
      <c r="L1006" s="609"/>
      <c r="M1006" s="609"/>
      <c r="N1006" s="599"/>
      <c r="O1006" s="552" t="s">
        <v>1584</v>
      </c>
      <c r="P1006" s="603"/>
      <c r="Q1006" s="682"/>
      <c r="R1006" s="682"/>
      <c r="S1006" s="682"/>
      <c r="T1006" s="682"/>
      <c r="U1006" s="682"/>
      <c r="V1006" s="682"/>
      <c r="W1006" s="682"/>
    </row>
    <row r="1007" spans="1:23">
      <c r="A1007" s="1045">
        <f t="shared" si="16"/>
        <v>6</v>
      </c>
      <c r="B1007" s="134">
        <v>45446</v>
      </c>
      <c r="C1007" s="70">
        <v>2018</v>
      </c>
      <c r="D1007" s="70" t="s">
        <v>58</v>
      </c>
      <c r="E1007" s="280" t="s">
        <v>3487</v>
      </c>
      <c r="F1007" s="1049">
        <v>79.59</v>
      </c>
      <c r="G1007" s="1049"/>
      <c r="H1007" s="564"/>
      <c r="I1007" s="609"/>
      <c r="J1007" s="1155"/>
      <c r="K1007" s="609"/>
      <c r="L1007" s="609"/>
      <c r="M1007" s="609"/>
      <c r="N1007" s="599"/>
      <c r="O1007" s="552" t="s">
        <v>1584</v>
      </c>
      <c r="P1007" s="603"/>
      <c r="Q1007" s="682"/>
      <c r="R1007" s="682"/>
      <c r="S1007" s="682"/>
      <c r="T1007" s="682"/>
      <c r="U1007" s="682"/>
      <c r="V1007" s="682"/>
      <c r="W1007" s="682"/>
    </row>
    <row r="1008" spans="1:23">
      <c r="A1008" s="1045">
        <f t="shared" si="16"/>
        <v>6</v>
      </c>
      <c r="B1008" s="134">
        <v>45446</v>
      </c>
      <c r="C1008" s="70">
        <v>5250</v>
      </c>
      <c r="D1008" s="70" t="s">
        <v>85</v>
      </c>
      <c r="E1008" s="280" t="s">
        <v>3488</v>
      </c>
      <c r="F1008" s="1049">
        <v>40</v>
      </c>
      <c r="G1008" s="1049"/>
      <c r="H1008" s="564"/>
      <c r="I1008" s="609"/>
      <c r="J1008" s="1155"/>
      <c r="K1008" s="609"/>
      <c r="L1008" s="609"/>
      <c r="M1008" s="609"/>
      <c r="N1008" s="599"/>
      <c r="O1008" s="552" t="s">
        <v>1584</v>
      </c>
      <c r="P1008" s="603"/>
      <c r="Q1008" s="682"/>
      <c r="R1008" s="682"/>
      <c r="S1008" s="682"/>
      <c r="T1008" s="682"/>
      <c r="U1008" s="682"/>
      <c r="V1008" s="682"/>
      <c r="W1008" s="682"/>
    </row>
    <row r="1009" spans="1:23">
      <c r="A1009" s="1045">
        <f t="shared" si="16"/>
        <v>6</v>
      </c>
      <c r="B1009" s="134">
        <v>45446</v>
      </c>
      <c r="C1009" s="70">
        <v>2018</v>
      </c>
      <c r="D1009" s="70" t="s">
        <v>58</v>
      </c>
      <c r="E1009" s="280" t="s">
        <v>3488</v>
      </c>
      <c r="F1009" s="1049">
        <v>2</v>
      </c>
      <c r="G1009" s="1049"/>
      <c r="H1009" s="564"/>
      <c r="I1009" s="609"/>
      <c r="J1009" s="1155"/>
      <c r="K1009" s="609"/>
      <c r="L1009" s="609"/>
      <c r="M1009" s="609"/>
      <c r="N1009" s="599"/>
      <c r="O1009" s="552" t="s">
        <v>1584</v>
      </c>
      <c r="P1009" s="603"/>
      <c r="Q1009" s="682"/>
      <c r="R1009" s="682"/>
      <c r="S1009" s="682"/>
      <c r="T1009" s="682"/>
      <c r="U1009" s="682"/>
      <c r="V1009" s="682"/>
      <c r="W1009" s="682"/>
    </row>
    <row r="1010" spans="1:23">
      <c r="A1010" s="1045">
        <f t="shared" si="16"/>
        <v>6</v>
      </c>
      <c r="B1010" s="134">
        <v>45447</v>
      </c>
      <c r="C1010" s="70">
        <v>5200</v>
      </c>
      <c r="D1010" s="70" t="s">
        <v>83</v>
      </c>
      <c r="E1010" s="280" t="s">
        <v>3489</v>
      </c>
      <c r="F1010" s="1049">
        <v>4762.6099999999997</v>
      </c>
      <c r="G1010" s="1049"/>
      <c r="H1010" s="564"/>
      <c r="I1010" s="609"/>
      <c r="J1010" s="1155"/>
      <c r="K1010" s="609"/>
      <c r="L1010" s="609"/>
      <c r="M1010" s="609"/>
      <c r="N1010" s="599"/>
      <c r="O1010" s="552" t="s">
        <v>1584</v>
      </c>
      <c r="P1010" s="603"/>
      <c r="Q1010" s="682"/>
      <c r="R1010" s="682"/>
      <c r="S1010" s="682"/>
      <c r="T1010" s="682"/>
      <c r="U1010" s="682"/>
      <c r="V1010" s="682"/>
      <c r="W1010" s="682"/>
    </row>
    <row r="1011" spans="1:23">
      <c r="A1011" s="1045">
        <f t="shared" si="16"/>
        <v>6</v>
      </c>
      <c r="B1011" s="134">
        <v>45447</v>
      </c>
      <c r="C1011" s="70">
        <v>2018</v>
      </c>
      <c r="D1011" s="70" t="s">
        <v>58</v>
      </c>
      <c r="E1011" s="280" t="s">
        <v>3489</v>
      </c>
      <c r="F1011" s="1049">
        <v>238.13</v>
      </c>
      <c r="G1011" s="1049"/>
      <c r="H1011" s="564"/>
      <c r="I1011" s="609"/>
      <c r="J1011" s="1155"/>
      <c r="K1011" s="609"/>
      <c r="L1011" s="609"/>
      <c r="M1011" s="609"/>
      <c r="N1011" s="599"/>
      <c r="O1011" s="552" t="s">
        <v>1584</v>
      </c>
      <c r="P1011" s="603"/>
      <c r="Q1011" s="682"/>
      <c r="R1011" s="682"/>
      <c r="S1011" s="682"/>
      <c r="T1011" s="682"/>
      <c r="U1011" s="682"/>
      <c r="V1011" s="682"/>
      <c r="W1011" s="682"/>
    </row>
    <row r="1012" spans="1:23">
      <c r="A1012" s="1045">
        <f t="shared" si="16"/>
        <v>6</v>
      </c>
      <c r="B1012" s="134">
        <v>45447</v>
      </c>
      <c r="C1012" s="70">
        <v>5200</v>
      </c>
      <c r="D1012" s="70" t="s">
        <v>83</v>
      </c>
      <c r="E1012" s="280" t="s">
        <v>3490</v>
      </c>
      <c r="F1012" s="1049">
        <v>95.2</v>
      </c>
      <c r="G1012" s="1049"/>
      <c r="H1012" s="564"/>
      <c r="I1012" s="609"/>
      <c r="J1012" s="1155"/>
      <c r="K1012" s="609"/>
      <c r="L1012" s="609"/>
      <c r="M1012" s="609"/>
      <c r="N1012" s="599"/>
      <c r="O1012" s="552" t="s">
        <v>1584</v>
      </c>
      <c r="P1012" s="603"/>
      <c r="Q1012" s="682"/>
      <c r="R1012" s="682"/>
      <c r="S1012" s="682"/>
      <c r="T1012" s="682"/>
      <c r="U1012" s="682"/>
      <c r="V1012" s="682"/>
      <c r="W1012" s="682"/>
    </row>
    <row r="1013" spans="1:23">
      <c r="A1013" s="1045">
        <f t="shared" si="16"/>
        <v>6</v>
      </c>
      <c r="B1013" s="134">
        <v>45447</v>
      </c>
      <c r="C1013" s="70">
        <v>2018</v>
      </c>
      <c r="D1013" s="70" t="s">
        <v>58</v>
      </c>
      <c r="E1013" s="280" t="s">
        <v>3490</v>
      </c>
      <c r="F1013" s="1049">
        <v>4.76</v>
      </c>
      <c r="G1013" s="1049"/>
      <c r="H1013" s="564"/>
      <c r="I1013" s="609"/>
      <c r="J1013" s="1155"/>
      <c r="K1013" s="609"/>
      <c r="L1013" s="609"/>
      <c r="M1013" s="609"/>
      <c r="N1013" s="599"/>
      <c r="O1013" s="552" t="s">
        <v>1584</v>
      </c>
      <c r="P1013" s="603"/>
      <c r="Q1013" s="682"/>
      <c r="R1013" s="682"/>
      <c r="S1013" s="682"/>
      <c r="T1013" s="682"/>
      <c r="U1013" s="682"/>
      <c r="V1013" s="682"/>
      <c r="W1013" s="682"/>
    </row>
    <row r="1014" spans="1:23">
      <c r="A1014" s="1045">
        <f t="shared" si="16"/>
        <v>6</v>
      </c>
      <c r="B1014" s="134">
        <v>45447</v>
      </c>
      <c r="C1014" s="70">
        <v>5250</v>
      </c>
      <c r="D1014" s="70" t="s">
        <v>85</v>
      </c>
      <c r="E1014" s="280" t="s">
        <v>3491</v>
      </c>
      <c r="F1014" s="1049">
        <v>10</v>
      </c>
      <c r="G1014" s="1049"/>
      <c r="H1014" s="564"/>
      <c r="I1014" s="609"/>
      <c r="J1014" s="1155"/>
      <c r="K1014" s="609"/>
      <c r="L1014" s="609"/>
      <c r="M1014" s="609"/>
      <c r="N1014" s="599"/>
      <c r="O1014" s="552" t="s">
        <v>1584</v>
      </c>
      <c r="P1014" s="603"/>
      <c r="Q1014" s="682"/>
      <c r="R1014" s="682"/>
      <c r="S1014" s="682"/>
      <c r="T1014" s="682"/>
      <c r="U1014" s="682"/>
      <c r="V1014" s="682"/>
      <c r="W1014" s="682"/>
    </row>
    <row r="1015" spans="1:23">
      <c r="A1015" s="1045">
        <f t="shared" si="16"/>
        <v>6</v>
      </c>
      <c r="B1015" s="134">
        <v>45447</v>
      </c>
      <c r="C1015" s="70">
        <v>2018</v>
      </c>
      <c r="D1015" s="70" t="s">
        <v>58</v>
      </c>
      <c r="E1015" s="280" t="s">
        <v>3491</v>
      </c>
      <c r="F1015" s="1049">
        <v>0.5</v>
      </c>
      <c r="G1015" s="1049"/>
      <c r="H1015" s="564"/>
      <c r="I1015" s="609"/>
      <c r="J1015" s="1155"/>
      <c r="K1015" s="609"/>
      <c r="L1015" s="609"/>
      <c r="M1015" s="609"/>
      <c r="N1015" s="599"/>
      <c r="O1015" s="552" t="s">
        <v>1584</v>
      </c>
      <c r="P1015" s="603"/>
      <c r="Q1015" s="682"/>
      <c r="R1015" s="682"/>
      <c r="S1015" s="682"/>
      <c r="T1015" s="682"/>
      <c r="U1015" s="682"/>
      <c r="V1015" s="682"/>
      <c r="W1015" s="682"/>
    </row>
    <row r="1016" spans="1:23">
      <c r="A1016" s="1045">
        <f t="shared" si="16"/>
        <v>6</v>
      </c>
      <c r="B1016" s="134">
        <v>45447</v>
      </c>
      <c r="C1016" s="70">
        <v>5250</v>
      </c>
      <c r="D1016" s="70" t="s">
        <v>85</v>
      </c>
      <c r="E1016" s="280" t="s">
        <v>3492</v>
      </c>
      <c r="F1016" s="1049">
        <v>855</v>
      </c>
      <c r="G1016" s="1049"/>
      <c r="H1016" s="564"/>
      <c r="I1016" s="609"/>
      <c r="J1016" s="1155"/>
      <c r="K1016" s="609"/>
      <c r="L1016" s="609"/>
      <c r="M1016" s="609"/>
      <c r="N1016" s="599"/>
      <c r="O1016" s="552" t="s">
        <v>1584</v>
      </c>
      <c r="P1016" s="603"/>
      <c r="Q1016" s="682"/>
      <c r="R1016" s="682"/>
      <c r="S1016" s="682"/>
      <c r="T1016" s="682"/>
      <c r="U1016" s="682"/>
      <c r="V1016" s="682"/>
      <c r="W1016" s="682"/>
    </row>
    <row r="1017" spans="1:23">
      <c r="A1017" s="1045">
        <f t="shared" si="16"/>
        <v>6</v>
      </c>
      <c r="B1017" s="134">
        <v>45447</v>
      </c>
      <c r="C1017" s="70">
        <v>2018</v>
      </c>
      <c r="D1017" s="70" t="s">
        <v>58</v>
      </c>
      <c r="E1017" s="280" t="s">
        <v>3492</v>
      </c>
      <c r="F1017" s="1049">
        <v>42.75</v>
      </c>
      <c r="G1017" s="1049"/>
      <c r="H1017" s="564"/>
      <c r="I1017" s="609"/>
      <c r="J1017" s="1155"/>
      <c r="K1017" s="609"/>
      <c r="L1017" s="609"/>
      <c r="M1017" s="609"/>
      <c r="N1017" s="599"/>
      <c r="O1017" s="552" t="s">
        <v>1584</v>
      </c>
      <c r="P1017" s="603"/>
      <c r="Q1017" s="682"/>
      <c r="R1017" s="682"/>
      <c r="S1017" s="682"/>
      <c r="T1017" s="682"/>
      <c r="U1017" s="682"/>
      <c r="V1017" s="682"/>
      <c r="W1017" s="682"/>
    </row>
    <row r="1018" spans="1:23">
      <c r="A1018" s="1045">
        <f t="shared" si="16"/>
        <v>6</v>
      </c>
      <c r="B1018" s="134">
        <v>45447</v>
      </c>
      <c r="C1018" s="70">
        <v>5250</v>
      </c>
      <c r="D1018" s="70" t="s">
        <v>85</v>
      </c>
      <c r="E1018" s="280" t="s">
        <v>3493</v>
      </c>
      <c r="F1018" s="1049">
        <v>252</v>
      </c>
      <c r="G1018" s="1049"/>
      <c r="H1018" s="564"/>
      <c r="I1018" s="609"/>
      <c r="J1018" s="1155"/>
      <c r="K1018" s="609"/>
      <c r="L1018" s="609"/>
      <c r="M1018" s="609"/>
      <c r="N1018" s="599"/>
      <c r="O1018" s="552" t="s">
        <v>1584</v>
      </c>
      <c r="P1018" s="603"/>
      <c r="Q1018" s="682"/>
      <c r="R1018" s="682"/>
      <c r="S1018" s="682"/>
      <c r="T1018" s="682"/>
      <c r="U1018" s="682"/>
      <c r="V1018" s="682"/>
      <c r="W1018" s="682"/>
    </row>
    <row r="1019" spans="1:23">
      <c r="A1019" s="1045">
        <f t="shared" si="16"/>
        <v>6</v>
      </c>
      <c r="B1019" s="134">
        <v>45447</v>
      </c>
      <c r="C1019" s="70">
        <v>2018</v>
      </c>
      <c r="D1019" s="70" t="s">
        <v>58</v>
      </c>
      <c r="E1019" s="280" t="s">
        <v>3493</v>
      </c>
      <c r="F1019" s="1049">
        <v>12.6</v>
      </c>
      <c r="G1019" s="1049"/>
      <c r="H1019" s="564"/>
      <c r="I1019" s="609"/>
      <c r="J1019" s="1155"/>
      <c r="K1019" s="609"/>
      <c r="L1019" s="609"/>
      <c r="M1019" s="609"/>
      <c r="N1019" s="599"/>
      <c r="O1019" s="552" t="s">
        <v>1584</v>
      </c>
      <c r="P1019" s="603"/>
      <c r="Q1019" s="682"/>
      <c r="R1019" s="682"/>
      <c r="S1019" s="682"/>
      <c r="T1019" s="682"/>
      <c r="U1019" s="682"/>
      <c r="V1019" s="682"/>
      <c r="W1019" s="682"/>
    </row>
    <row r="1020" spans="1:23">
      <c r="A1020" s="1045">
        <f t="shared" si="16"/>
        <v>6</v>
      </c>
      <c r="B1020" s="134">
        <v>45447</v>
      </c>
      <c r="C1020" s="70">
        <v>5250</v>
      </c>
      <c r="D1020" s="70" t="s">
        <v>85</v>
      </c>
      <c r="E1020" s="280" t="s">
        <v>3494</v>
      </c>
      <c r="F1020" s="1049">
        <v>25</v>
      </c>
      <c r="G1020" s="1049"/>
      <c r="H1020" s="564"/>
      <c r="I1020" s="609"/>
      <c r="J1020" s="1155"/>
      <c r="K1020" s="609"/>
      <c r="L1020" s="609"/>
      <c r="M1020" s="609"/>
      <c r="N1020" s="599"/>
      <c r="O1020" s="552" t="s">
        <v>1584</v>
      </c>
      <c r="P1020" s="603"/>
      <c r="Q1020" s="682"/>
      <c r="R1020" s="682"/>
      <c r="S1020" s="682"/>
      <c r="T1020" s="682"/>
      <c r="U1020" s="682"/>
      <c r="V1020" s="682"/>
      <c r="W1020" s="682"/>
    </row>
    <row r="1021" spans="1:23">
      <c r="A1021" s="1045">
        <f t="shared" si="16"/>
        <v>6</v>
      </c>
      <c r="B1021" s="134">
        <v>45447</v>
      </c>
      <c r="C1021" s="70">
        <v>2018</v>
      </c>
      <c r="D1021" s="70" t="s">
        <v>58</v>
      </c>
      <c r="E1021" s="280" t="s">
        <v>3494</v>
      </c>
      <c r="F1021" s="1049">
        <v>1.25</v>
      </c>
      <c r="G1021" s="1049"/>
      <c r="H1021" s="564"/>
      <c r="I1021" s="609"/>
      <c r="J1021" s="1155"/>
      <c r="K1021" s="609"/>
      <c r="L1021" s="609"/>
      <c r="M1021" s="609"/>
      <c r="N1021" s="599"/>
      <c r="O1021" s="552" t="s">
        <v>1584</v>
      </c>
      <c r="P1021" s="603"/>
      <c r="Q1021" s="682"/>
      <c r="R1021" s="682"/>
      <c r="S1021" s="682"/>
      <c r="T1021" s="682"/>
      <c r="U1021" s="682"/>
      <c r="V1021" s="682"/>
      <c r="W1021" s="682"/>
    </row>
    <row r="1022" spans="1:23">
      <c r="A1022" s="1045">
        <f t="shared" si="16"/>
        <v>6</v>
      </c>
      <c r="B1022" s="134">
        <v>45447</v>
      </c>
      <c r="C1022" s="70">
        <v>5250</v>
      </c>
      <c r="D1022" s="70" t="s">
        <v>85</v>
      </c>
      <c r="E1022" s="280" t="s">
        <v>3495</v>
      </c>
      <c r="F1022" s="1049">
        <v>291</v>
      </c>
      <c r="G1022" s="1049"/>
      <c r="H1022" s="564"/>
      <c r="I1022" s="609"/>
      <c r="J1022" s="1155"/>
      <c r="K1022" s="609"/>
      <c r="L1022" s="609"/>
      <c r="M1022" s="609"/>
      <c r="N1022" s="599"/>
      <c r="O1022" s="552" t="s">
        <v>1584</v>
      </c>
      <c r="P1022" s="603"/>
      <c r="Q1022" s="682"/>
      <c r="R1022" s="682"/>
      <c r="S1022" s="682"/>
      <c r="T1022" s="682"/>
      <c r="U1022" s="682"/>
      <c r="V1022" s="682"/>
      <c r="W1022" s="682"/>
    </row>
    <row r="1023" spans="1:23">
      <c r="A1023" s="1045">
        <f t="shared" si="16"/>
        <v>6</v>
      </c>
      <c r="B1023" s="134">
        <v>45447</v>
      </c>
      <c r="C1023" s="70">
        <v>2018</v>
      </c>
      <c r="D1023" s="70" t="s">
        <v>58</v>
      </c>
      <c r="E1023" s="280" t="s">
        <v>3495</v>
      </c>
      <c r="F1023" s="1049">
        <v>14.5</v>
      </c>
      <c r="G1023" s="1049"/>
      <c r="H1023" s="564"/>
      <c r="I1023" s="609"/>
      <c r="J1023" s="1155"/>
      <c r="K1023" s="609"/>
      <c r="L1023" s="609"/>
      <c r="M1023" s="609"/>
      <c r="N1023" s="599"/>
      <c r="O1023" s="552" t="s">
        <v>1584</v>
      </c>
      <c r="P1023" s="603"/>
      <c r="Q1023" s="682"/>
      <c r="R1023" s="682"/>
      <c r="S1023" s="682"/>
      <c r="T1023" s="682"/>
      <c r="U1023" s="682"/>
      <c r="V1023" s="682"/>
      <c r="W1023" s="682"/>
    </row>
    <row r="1024" spans="1:23">
      <c r="A1024" s="1045">
        <f t="shared" si="16"/>
        <v>6</v>
      </c>
      <c r="B1024" s="134">
        <v>45447</v>
      </c>
      <c r="C1024" s="70">
        <v>5250</v>
      </c>
      <c r="D1024" s="70" t="s">
        <v>85</v>
      </c>
      <c r="E1024" s="280" t="s">
        <v>3496</v>
      </c>
      <c r="F1024" s="1049">
        <v>240</v>
      </c>
      <c r="G1024" s="1049"/>
      <c r="H1024" s="564"/>
      <c r="I1024" s="609"/>
      <c r="J1024" s="1155"/>
      <c r="K1024" s="609"/>
      <c r="L1024" s="609"/>
      <c r="M1024" s="609"/>
      <c r="N1024" s="599"/>
      <c r="O1024" s="552" t="s">
        <v>1584</v>
      </c>
      <c r="P1024" s="603"/>
      <c r="Q1024" s="682"/>
      <c r="R1024" s="682"/>
      <c r="S1024" s="682"/>
      <c r="T1024" s="682"/>
      <c r="U1024" s="682"/>
      <c r="V1024" s="682"/>
      <c r="W1024" s="682"/>
    </row>
    <row r="1025" spans="1:23">
      <c r="A1025" s="1045">
        <f t="shared" si="16"/>
        <v>6</v>
      </c>
      <c r="B1025" s="134">
        <v>45447</v>
      </c>
      <c r="C1025" s="70">
        <v>2018</v>
      </c>
      <c r="D1025" s="70" t="s">
        <v>58</v>
      </c>
      <c r="E1025" s="280" t="s">
        <v>3496</v>
      </c>
      <c r="F1025" s="1049">
        <v>12</v>
      </c>
      <c r="G1025" s="1049"/>
      <c r="H1025" s="564"/>
      <c r="I1025" s="609"/>
      <c r="J1025" s="1155"/>
      <c r="K1025" s="609"/>
      <c r="L1025" s="609"/>
      <c r="M1025" s="609"/>
      <c r="N1025" s="599"/>
      <c r="O1025" s="552" t="s">
        <v>1584</v>
      </c>
      <c r="P1025" s="603"/>
      <c r="Q1025" s="682"/>
      <c r="R1025" s="682"/>
      <c r="S1025" s="682"/>
      <c r="T1025" s="682"/>
      <c r="U1025" s="682"/>
      <c r="V1025" s="682"/>
      <c r="W1025" s="682"/>
    </row>
    <row r="1026" spans="1:23">
      <c r="A1026" s="1045">
        <f t="shared" si="16"/>
        <v>6</v>
      </c>
      <c r="B1026" s="134">
        <v>45447</v>
      </c>
      <c r="C1026" s="70">
        <v>5250</v>
      </c>
      <c r="D1026" s="70" t="s">
        <v>85</v>
      </c>
      <c r="E1026" s="280" t="s">
        <v>3497</v>
      </c>
      <c r="F1026" s="1049">
        <v>143.58000000000001</v>
      </c>
      <c r="G1026" s="1049"/>
      <c r="H1026" s="564"/>
      <c r="I1026" s="609"/>
      <c r="J1026" s="1155"/>
      <c r="K1026" s="609"/>
      <c r="L1026" s="609"/>
      <c r="M1026" s="609"/>
      <c r="N1026" s="599"/>
      <c r="O1026" s="552" t="s">
        <v>1584</v>
      </c>
      <c r="P1026" s="603"/>
      <c r="Q1026" s="682"/>
      <c r="R1026" s="682"/>
      <c r="S1026" s="682"/>
      <c r="T1026" s="682"/>
      <c r="U1026" s="682"/>
      <c r="V1026" s="682"/>
      <c r="W1026" s="682"/>
    </row>
    <row r="1027" spans="1:23">
      <c r="A1027" s="1045">
        <f t="shared" si="16"/>
        <v>6</v>
      </c>
      <c r="B1027" s="134">
        <v>45447</v>
      </c>
      <c r="C1027" s="70">
        <v>2018</v>
      </c>
      <c r="D1027" s="70" t="s">
        <v>58</v>
      </c>
      <c r="E1027" s="280" t="s">
        <v>3497</v>
      </c>
      <c r="F1027" s="1049">
        <v>7.18</v>
      </c>
      <c r="G1027" s="1049"/>
      <c r="H1027" s="564"/>
      <c r="I1027" s="609"/>
      <c r="J1027" s="1155"/>
      <c r="K1027" s="609"/>
      <c r="L1027" s="609"/>
      <c r="M1027" s="609"/>
      <c r="N1027" s="599"/>
      <c r="O1027" s="552" t="s">
        <v>1584</v>
      </c>
      <c r="P1027" s="603"/>
      <c r="Q1027" s="682"/>
      <c r="R1027" s="682"/>
      <c r="S1027" s="682"/>
      <c r="T1027" s="682"/>
      <c r="U1027" s="682"/>
      <c r="V1027" s="682"/>
      <c r="W1027" s="682"/>
    </row>
    <row r="1028" spans="1:23">
      <c r="A1028" s="1045">
        <f t="shared" si="16"/>
        <v>6</v>
      </c>
      <c r="B1028" s="134">
        <v>45448</v>
      </c>
      <c r="C1028" s="70">
        <v>5150</v>
      </c>
      <c r="D1028" s="70" t="s">
        <v>82</v>
      </c>
      <c r="E1028" s="280" t="s">
        <v>3498</v>
      </c>
      <c r="F1028" s="1049">
        <v>24815</v>
      </c>
      <c r="G1028" s="1049"/>
      <c r="H1028" s="564"/>
      <c r="I1028" s="609"/>
      <c r="J1028" s="1155"/>
      <c r="K1028" s="609"/>
      <c r="L1028" s="609"/>
      <c r="M1028" s="609"/>
      <c r="N1028" s="599"/>
      <c r="O1028" s="552" t="s">
        <v>1584</v>
      </c>
      <c r="P1028" s="603"/>
      <c r="Q1028" s="682"/>
      <c r="R1028" s="682"/>
      <c r="S1028" s="682"/>
      <c r="T1028" s="682"/>
      <c r="U1028" s="682"/>
      <c r="V1028" s="682"/>
      <c r="W1028" s="682"/>
    </row>
    <row r="1029" spans="1:23">
      <c r="A1029" s="1045">
        <f t="shared" si="16"/>
        <v>6</v>
      </c>
      <c r="B1029" s="134">
        <v>45448</v>
      </c>
      <c r="C1029" s="70">
        <v>2018</v>
      </c>
      <c r="D1029" s="70" t="s">
        <v>58</v>
      </c>
      <c r="E1029" s="280" t="s">
        <v>3498</v>
      </c>
      <c r="F1029" s="1049">
        <v>1240.75</v>
      </c>
      <c r="G1029" s="1049"/>
      <c r="H1029" s="564"/>
      <c r="I1029" s="609"/>
      <c r="J1029" s="1155"/>
      <c r="K1029" s="609"/>
      <c r="L1029" s="609"/>
      <c r="M1029" s="609"/>
      <c r="N1029" s="599"/>
      <c r="O1029" s="552" t="s">
        <v>1584</v>
      </c>
      <c r="P1029" s="603"/>
      <c r="Q1029" s="682"/>
      <c r="R1029" s="682"/>
      <c r="S1029" s="682"/>
      <c r="T1029" s="682"/>
      <c r="U1029" s="682"/>
      <c r="V1029" s="682"/>
      <c r="W1029" s="682"/>
    </row>
    <row r="1030" spans="1:23">
      <c r="A1030" s="1045">
        <f t="shared" si="16"/>
        <v>6</v>
      </c>
      <c r="B1030" s="134">
        <v>45448</v>
      </c>
      <c r="C1030" s="70">
        <v>5150</v>
      </c>
      <c r="D1030" s="70" t="s">
        <v>82</v>
      </c>
      <c r="E1030" s="280" t="s">
        <v>3499</v>
      </c>
      <c r="F1030" s="1049">
        <v>31215</v>
      </c>
      <c r="G1030" s="1049"/>
      <c r="H1030" s="564"/>
      <c r="I1030" s="609"/>
      <c r="J1030" s="1155"/>
      <c r="K1030" s="609"/>
      <c r="L1030" s="609"/>
      <c r="M1030" s="609"/>
      <c r="N1030" s="599"/>
      <c r="O1030" s="552" t="s">
        <v>1584</v>
      </c>
      <c r="P1030" s="603"/>
      <c r="Q1030" s="682"/>
      <c r="R1030" s="682"/>
      <c r="S1030" s="682"/>
      <c r="T1030" s="682"/>
      <c r="U1030" s="682"/>
      <c r="V1030" s="682"/>
      <c r="W1030" s="682"/>
    </row>
    <row r="1031" spans="1:23">
      <c r="A1031" s="1045">
        <f t="shared" si="16"/>
        <v>6</v>
      </c>
      <c r="B1031" s="134">
        <v>45448</v>
      </c>
      <c r="C1031" s="70">
        <v>2018</v>
      </c>
      <c r="D1031" s="70" t="s">
        <v>58</v>
      </c>
      <c r="E1031" s="280" t="s">
        <v>3499</v>
      </c>
      <c r="F1031" s="1049">
        <v>1560.75</v>
      </c>
      <c r="G1031" s="1049"/>
      <c r="H1031" s="564"/>
      <c r="I1031" s="609"/>
      <c r="J1031" s="1155"/>
      <c r="K1031" s="609"/>
      <c r="L1031" s="609"/>
      <c r="M1031" s="609"/>
      <c r="N1031" s="599"/>
      <c r="O1031" s="552" t="s">
        <v>1584</v>
      </c>
      <c r="P1031" s="603"/>
      <c r="Q1031" s="682"/>
      <c r="R1031" s="682"/>
      <c r="S1031" s="682"/>
      <c r="T1031" s="682"/>
      <c r="U1031" s="682"/>
      <c r="V1031" s="682"/>
      <c r="W1031" s="682"/>
    </row>
    <row r="1032" spans="1:23">
      <c r="A1032" s="1045">
        <f t="shared" si="16"/>
        <v>6</v>
      </c>
      <c r="B1032" s="134">
        <v>45448</v>
      </c>
      <c r="C1032" s="70">
        <v>5150</v>
      </c>
      <c r="D1032" s="70" t="s">
        <v>82</v>
      </c>
      <c r="E1032" s="280" t="s">
        <v>3500</v>
      </c>
      <c r="F1032" s="1049">
        <v>27600</v>
      </c>
      <c r="G1032" s="1049"/>
      <c r="H1032" s="564"/>
      <c r="I1032" s="609"/>
      <c r="J1032" s="1155"/>
      <c r="K1032" s="609"/>
      <c r="L1032" s="609"/>
      <c r="M1032" s="609"/>
      <c r="N1032" s="599"/>
      <c r="O1032" s="552" t="s">
        <v>1584</v>
      </c>
      <c r="P1032" s="603"/>
      <c r="Q1032" s="682"/>
      <c r="R1032" s="682"/>
      <c r="S1032" s="682"/>
      <c r="T1032" s="682"/>
      <c r="U1032" s="682"/>
      <c r="V1032" s="682"/>
      <c r="W1032" s="682"/>
    </row>
    <row r="1033" spans="1:23">
      <c r="A1033" s="1045">
        <f t="shared" si="16"/>
        <v>6</v>
      </c>
      <c r="B1033" s="134">
        <v>45448</v>
      </c>
      <c r="C1033" s="70">
        <v>2018</v>
      </c>
      <c r="D1033" s="70" t="s">
        <v>58</v>
      </c>
      <c r="E1033" s="280" t="s">
        <v>3500</v>
      </c>
      <c r="F1033" s="1049">
        <v>1380</v>
      </c>
      <c r="G1033" s="1049"/>
      <c r="H1033" s="564"/>
      <c r="I1033" s="609"/>
      <c r="J1033" s="1155"/>
      <c r="K1033" s="609"/>
      <c r="L1033" s="609"/>
      <c r="M1033" s="609"/>
      <c r="N1033" s="599"/>
      <c r="O1033" s="552" t="s">
        <v>1584</v>
      </c>
      <c r="P1033" s="603"/>
      <c r="Q1033" s="682"/>
      <c r="R1033" s="682"/>
      <c r="S1033" s="682"/>
      <c r="T1033" s="682"/>
      <c r="U1033" s="682"/>
      <c r="V1033" s="682"/>
      <c r="W1033" s="682"/>
    </row>
    <row r="1034" spans="1:23">
      <c r="A1034" s="1045">
        <f t="shared" si="16"/>
        <v>6</v>
      </c>
      <c r="B1034" s="134">
        <v>45448</v>
      </c>
      <c r="C1034" s="70">
        <v>5250</v>
      </c>
      <c r="D1034" s="70" t="s">
        <v>85</v>
      </c>
      <c r="E1034" s="280" t="s">
        <v>3501</v>
      </c>
      <c r="F1034" s="1049">
        <v>100</v>
      </c>
      <c r="G1034" s="1049"/>
      <c r="H1034" s="564"/>
      <c r="I1034" s="609"/>
      <c r="J1034" s="1155"/>
      <c r="K1034" s="609"/>
      <c r="L1034" s="609"/>
      <c r="M1034" s="609"/>
      <c r="N1034" s="599"/>
      <c r="O1034" s="552" t="s">
        <v>1584</v>
      </c>
      <c r="P1034" s="603"/>
      <c r="Q1034" s="682"/>
      <c r="R1034" s="682"/>
      <c r="S1034" s="682"/>
      <c r="T1034" s="682"/>
      <c r="U1034" s="682"/>
      <c r="V1034" s="682"/>
      <c r="W1034" s="682"/>
    </row>
    <row r="1035" spans="1:23">
      <c r="A1035" s="1045">
        <f t="shared" si="16"/>
        <v>6</v>
      </c>
      <c r="B1035" s="134">
        <v>45448</v>
      </c>
      <c r="C1035" s="70">
        <v>2018</v>
      </c>
      <c r="D1035" s="70" t="s">
        <v>58</v>
      </c>
      <c r="E1035" s="280" t="s">
        <v>3501</v>
      </c>
      <c r="F1035" s="1049">
        <v>5</v>
      </c>
      <c r="G1035" s="1049"/>
      <c r="H1035" s="564"/>
      <c r="I1035" s="609"/>
      <c r="J1035" s="1155"/>
      <c r="K1035" s="609"/>
      <c r="L1035" s="609"/>
      <c r="M1035" s="609"/>
      <c r="N1035" s="599"/>
      <c r="O1035" s="552" t="s">
        <v>1584</v>
      </c>
      <c r="P1035" s="603"/>
      <c r="Q1035" s="682"/>
      <c r="R1035" s="682"/>
      <c r="S1035" s="682"/>
      <c r="T1035" s="682"/>
      <c r="U1035" s="682"/>
      <c r="V1035" s="682"/>
      <c r="W1035" s="682"/>
    </row>
    <row r="1036" spans="1:23">
      <c r="A1036" s="1045">
        <f t="shared" si="16"/>
        <v>6</v>
      </c>
      <c r="B1036" s="134">
        <v>45448</v>
      </c>
      <c r="C1036" s="70">
        <v>5250</v>
      </c>
      <c r="D1036" s="70" t="s">
        <v>85</v>
      </c>
      <c r="E1036" s="280" t="s">
        <v>3502</v>
      </c>
      <c r="F1036" s="1049">
        <v>386.5</v>
      </c>
      <c r="G1036" s="1049"/>
      <c r="H1036" s="564"/>
      <c r="I1036" s="609"/>
      <c r="J1036" s="1155"/>
      <c r="K1036" s="609"/>
      <c r="L1036" s="609"/>
      <c r="M1036" s="609"/>
      <c r="N1036" s="599"/>
      <c r="O1036" s="552" t="s">
        <v>1584</v>
      </c>
      <c r="P1036" s="603"/>
      <c r="Q1036" s="682"/>
      <c r="R1036" s="682"/>
      <c r="S1036" s="682"/>
      <c r="T1036" s="682"/>
      <c r="U1036" s="682"/>
      <c r="V1036" s="682"/>
      <c r="W1036" s="682"/>
    </row>
    <row r="1037" spans="1:23">
      <c r="A1037" s="1045">
        <f t="shared" si="16"/>
        <v>6</v>
      </c>
      <c r="B1037" s="134">
        <v>45448</v>
      </c>
      <c r="C1037" s="70">
        <v>2018</v>
      </c>
      <c r="D1037" s="70" t="s">
        <v>58</v>
      </c>
      <c r="E1037" s="280" t="s">
        <v>3502</v>
      </c>
      <c r="F1037" s="1049">
        <v>19.329999999999998</v>
      </c>
      <c r="G1037" s="1049"/>
      <c r="H1037" s="564"/>
      <c r="I1037" s="609"/>
      <c r="J1037" s="1155"/>
      <c r="K1037" s="609"/>
      <c r="L1037" s="609"/>
      <c r="M1037" s="609"/>
      <c r="N1037" s="599"/>
      <c r="O1037" s="552" t="s">
        <v>1584</v>
      </c>
      <c r="P1037" s="603"/>
      <c r="Q1037" s="682"/>
      <c r="R1037" s="682"/>
      <c r="S1037" s="682"/>
      <c r="T1037" s="682"/>
      <c r="U1037" s="682"/>
      <c r="V1037" s="682"/>
      <c r="W1037" s="682"/>
    </row>
    <row r="1038" spans="1:23">
      <c r="A1038" s="1045">
        <f t="shared" si="16"/>
        <v>6</v>
      </c>
      <c r="B1038" s="134">
        <v>45448</v>
      </c>
      <c r="C1038" s="70">
        <v>5250</v>
      </c>
      <c r="D1038" s="70" t="s">
        <v>85</v>
      </c>
      <c r="E1038" s="280" t="s">
        <v>3503</v>
      </c>
      <c r="F1038" s="1049">
        <v>100</v>
      </c>
      <c r="G1038" s="1049"/>
      <c r="H1038" s="564"/>
      <c r="I1038" s="609"/>
      <c r="J1038" s="1155"/>
      <c r="K1038" s="609"/>
      <c r="L1038" s="609"/>
      <c r="M1038" s="609"/>
      <c r="N1038" s="599"/>
      <c r="O1038" s="552" t="s">
        <v>1584</v>
      </c>
      <c r="P1038" s="603"/>
      <c r="Q1038" s="682"/>
      <c r="R1038" s="682"/>
      <c r="S1038" s="682"/>
      <c r="T1038" s="682"/>
      <c r="U1038" s="682"/>
      <c r="V1038" s="682"/>
      <c r="W1038" s="682"/>
    </row>
    <row r="1039" spans="1:23">
      <c r="A1039" s="1045">
        <f t="shared" si="16"/>
        <v>6</v>
      </c>
      <c r="B1039" s="134">
        <v>45448</v>
      </c>
      <c r="C1039" s="70">
        <v>2018</v>
      </c>
      <c r="D1039" s="70" t="s">
        <v>58</v>
      </c>
      <c r="E1039" s="280" t="s">
        <v>3503</v>
      </c>
      <c r="F1039" s="1049">
        <v>5</v>
      </c>
      <c r="G1039" s="1049"/>
      <c r="H1039" s="564"/>
      <c r="I1039" s="609"/>
      <c r="J1039" s="1155"/>
      <c r="K1039" s="609"/>
      <c r="L1039" s="609"/>
      <c r="M1039" s="609"/>
      <c r="N1039" s="599"/>
      <c r="O1039" s="552" t="s">
        <v>1584</v>
      </c>
      <c r="P1039" s="603"/>
      <c r="Q1039" s="682"/>
      <c r="R1039" s="682"/>
      <c r="S1039" s="682"/>
      <c r="T1039" s="682"/>
      <c r="U1039" s="682"/>
      <c r="V1039" s="682"/>
      <c r="W1039" s="682"/>
    </row>
    <row r="1040" spans="1:23">
      <c r="A1040" s="1045">
        <f t="shared" si="16"/>
        <v>6</v>
      </c>
      <c r="B1040" s="134">
        <v>45449</v>
      </c>
      <c r="C1040" s="70">
        <v>5150</v>
      </c>
      <c r="D1040" s="70" t="s">
        <v>82</v>
      </c>
      <c r="E1040" s="280" t="s">
        <v>3504</v>
      </c>
      <c r="F1040" s="1049">
        <v>5254.99</v>
      </c>
      <c r="G1040" s="1049"/>
      <c r="H1040" s="564"/>
      <c r="I1040" s="609"/>
      <c r="J1040" s="1155"/>
      <c r="K1040" s="609"/>
      <c r="L1040" s="609"/>
      <c r="M1040" s="609"/>
      <c r="N1040" s="599"/>
      <c r="O1040" s="552" t="s">
        <v>1584</v>
      </c>
      <c r="P1040" s="603"/>
      <c r="Q1040" s="682"/>
      <c r="R1040" s="682"/>
      <c r="S1040" s="682"/>
      <c r="T1040" s="682"/>
      <c r="U1040" s="682"/>
      <c r="V1040" s="682"/>
      <c r="W1040" s="682"/>
    </row>
    <row r="1041" spans="1:23">
      <c r="A1041" s="1045">
        <f t="shared" si="16"/>
        <v>6</v>
      </c>
      <c r="B1041" s="134">
        <v>45449</v>
      </c>
      <c r="C1041" s="70">
        <v>2018</v>
      </c>
      <c r="D1041" s="70" t="s">
        <v>58</v>
      </c>
      <c r="E1041" s="280" t="s">
        <v>3504</v>
      </c>
      <c r="F1041" s="1049">
        <v>262.75</v>
      </c>
      <c r="G1041" s="1049"/>
      <c r="H1041" s="564"/>
      <c r="I1041" s="609"/>
      <c r="J1041" s="1155"/>
      <c r="K1041" s="609"/>
      <c r="L1041" s="609"/>
      <c r="M1041" s="609"/>
      <c r="N1041" s="599"/>
      <c r="O1041" s="552" t="s">
        <v>1584</v>
      </c>
      <c r="P1041" s="603"/>
      <c r="Q1041" s="682"/>
      <c r="R1041" s="682"/>
      <c r="S1041" s="682"/>
      <c r="T1041" s="682"/>
      <c r="U1041" s="682"/>
      <c r="V1041" s="682"/>
      <c r="W1041" s="682"/>
    </row>
    <row r="1042" spans="1:23">
      <c r="A1042" s="1045">
        <f t="shared" si="16"/>
        <v>6</v>
      </c>
      <c r="B1042" s="134">
        <v>45449</v>
      </c>
      <c r="C1042" s="70">
        <v>5250</v>
      </c>
      <c r="D1042" s="70" t="s">
        <v>85</v>
      </c>
      <c r="E1042" s="280" t="s">
        <v>3505</v>
      </c>
      <c r="F1042" s="1049">
        <v>84</v>
      </c>
      <c r="G1042" s="1049"/>
      <c r="H1042" s="564"/>
      <c r="I1042" s="609"/>
      <c r="J1042" s="1155"/>
      <c r="K1042" s="609"/>
      <c r="L1042" s="609"/>
      <c r="M1042" s="609"/>
      <c r="N1042" s="599"/>
      <c r="O1042" s="552" t="s">
        <v>1584</v>
      </c>
      <c r="P1042" s="603"/>
      <c r="Q1042" s="682"/>
      <c r="R1042" s="682"/>
      <c r="S1042" s="682"/>
      <c r="T1042" s="682"/>
      <c r="U1042" s="682"/>
      <c r="V1042" s="682"/>
      <c r="W1042" s="682"/>
    </row>
    <row r="1043" spans="1:23">
      <c r="A1043" s="1045">
        <f t="shared" si="16"/>
        <v>6</v>
      </c>
      <c r="B1043" s="134">
        <v>45449</v>
      </c>
      <c r="C1043" s="70">
        <v>2018</v>
      </c>
      <c r="D1043" s="70" t="s">
        <v>58</v>
      </c>
      <c r="E1043" s="280" t="s">
        <v>3505</v>
      </c>
      <c r="F1043" s="1049">
        <v>4.2</v>
      </c>
      <c r="G1043" s="1049"/>
      <c r="H1043" s="564"/>
      <c r="I1043" s="609"/>
      <c r="J1043" s="1155"/>
      <c r="K1043" s="609"/>
      <c r="L1043" s="609"/>
      <c r="M1043" s="609"/>
      <c r="N1043" s="599"/>
      <c r="O1043" s="552" t="s">
        <v>1584</v>
      </c>
      <c r="P1043" s="603"/>
      <c r="Q1043" s="682"/>
      <c r="R1043" s="682"/>
      <c r="S1043" s="682"/>
      <c r="T1043" s="682"/>
      <c r="U1043" s="682"/>
      <c r="V1043" s="682"/>
      <c r="W1043" s="682"/>
    </row>
    <row r="1044" spans="1:23">
      <c r="A1044" s="1045">
        <f t="shared" si="16"/>
        <v>6</v>
      </c>
      <c r="B1044" s="134">
        <v>45449</v>
      </c>
      <c r="C1044" s="70">
        <v>5250</v>
      </c>
      <c r="D1044" s="70" t="s">
        <v>85</v>
      </c>
      <c r="E1044" s="280" t="s">
        <v>3506</v>
      </c>
      <c r="F1044" s="1049">
        <v>165</v>
      </c>
      <c r="G1044" s="1049"/>
      <c r="H1044" s="564"/>
      <c r="I1044" s="609"/>
      <c r="J1044" s="1155"/>
      <c r="K1044" s="609"/>
      <c r="L1044" s="609"/>
      <c r="M1044" s="609"/>
      <c r="N1044" s="599"/>
      <c r="O1044" s="552" t="s">
        <v>1584</v>
      </c>
      <c r="P1044" s="603"/>
      <c r="Q1044" s="682"/>
      <c r="R1044" s="682"/>
      <c r="S1044" s="682"/>
      <c r="T1044" s="682"/>
      <c r="U1044" s="682"/>
      <c r="V1044" s="682"/>
      <c r="W1044" s="682"/>
    </row>
    <row r="1045" spans="1:23">
      <c r="A1045" s="1045">
        <f t="shared" ref="A1045:A1108" si="17">IF(B1045="","",MONTH(B1045))</f>
        <v>6</v>
      </c>
      <c r="B1045" s="134">
        <v>45449</v>
      </c>
      <c r="C1045" s="70">
        <v>2018</v>
      </c>
      <c r="D1045" s="70" t="s">
        <v>58</v>
      </c>
      <c r="E1045" s="280" t="s">
        <v>3506</v>
      </c>
      <c r="F1045" s="1049">
        <v>8.25</v>
      </c>
      <c r="G1045" s="1049"/>
      <c r="H1045" s="564"/>
      <c r="I1045" s="609"/>
      <c r="J1045" s="1155"/>
      <c r="K1045" s="609"/>
      <c r="L1045" s="609"/>
      <c r="M1045" s="609"/>
      <c r="N1045" s="599"/>
      <c r="O1045" s="552" t="s">
        <v>1584</v>
      </c>
      <c r="P1045" s="603"/>
      <c r="Q1045" s="682"/>
      <c r="R1045" s="682"/>
      <c r="S1045" s="682"/>
      <c r="T1045" s="682"/>
      <c r="U1045" s="682"/>
      <c r="V1045" s="682"/>
      <c r="W1045" s="682"/>
    </row>
    <row r="1046" spans="1:23">
      <c r="A1046" s="1045">
        <f t="shared" si="17"/>
        <v>6</v>
      </c>
      <c r="B1046" s="134">
        <v>45449</v>
      </c>
      <c r="C1046" s="70">
        <v>5250</v>
      </c>
      <c r="D1046" s="70" t="s">
        <v>85</v>
      </c>
      <c r="E1046" s="280" t="s">
        <v>3507</v>
      </c>
      <c r="F1046" s="1049">
        <v>185.88</v>
      </c>
      <c r="G1046" s="1049"/>
      <c r="H1046" s="564"/>
      <c r="I1046" s="609"/>
      <c r="J1046" s="1155"/>
      <c r="K1046" s="609"/>
      <c r="L1046" s="609"/>
      <c r="M1046" s="609"/>
      <c r="N1046" s="599"/>
      <c r="O1046" s="552" t="s">
        <v>1584</v>
      </c>
      <c r="P1046" s="603"/>
      <c r="Q1046" s="682"/>
      <c r="R1046" s="682"/>
      <c r="S1046" s="682"/>
      <c r="T1046" s="682"/>
      <c r="U1046" s="682"/>
      <c r="V1046" s="682"/>
      <c r="W1046" s="682"/>
    </row>
    <row r="1047" spans="1:23">
      <c r="A1047" s="1045">
        <f t="shared" si="17"/>
        <v>6</v>
      </c>
      <c r="B1047" s="134">
        <v>45449</v>
      </c>
      <c r="C1047" s="70">
        <v>2018</v>
      </c>
      <c r="D1047" s="70" t="s">
        <v>58</v>
      </c>
      <c r="E1047" s="280" t="s">
        <v>3507</v>
      </c>
      <c r="F1047" s="1049">
        <v>9.2899999999999991</v>
      </c>
      <c r="G1047" s="1049"/>
      <c r="H1047" s="564"/>
      <c r="I1047" s="609"/>
      <c r="J1047" s="1155"/>
      <c r="K1047" s="609"/>
      <c r="L1047" s="609"/>
      <c r="M1047" s="609"/>
      <c r="N1047" s="599"/>
      <c r="O1047" s="552" t="s">
        <v>1584</v>
      </c>
      <c r="P1047" s="603"/>
      <c r="Q1047" s="682"/>
      <c r="R1047" s="682"/>
      <c r="S1047" s="682"/>
      <c r="T1047" s="682"/>
      <c r="U1047" s="682"/>
      <c r="V1047" s="682"/>
      <c r="W1047" s="682"/>
    </row>
    <row r="1048" spans="1:23">
      <c r="A1048" s="1045">
        <f t="shared" si="17"/>
        <v>6</v>
      </c>
      <c r="B1048" s="134">
        <v>45449</v>
      </c>
      <c r="C1048" s="70">
        <v>5250</v>
      </c>
      <c r="D1048" s="70" t="s">
        <v>85</v>
      </c>
      <c r="E1048" s="280" t="s">
        <v>3508</v>
      </c>
      <c r="F1048" s="1049">
        <v>220</v>
      </c>
      <c r="G1048" s="1049"/>
      <c r="H1048" s="564"/>
      <c r="I1048" s="609"/>
      <c r="J1048" s="1155"/>
      <c r="K1048" s="609"/>
      <c r="L1048" s="609"/>
      <c r="M1048" s="609"/>
      <c r="N1048" s="599"/>
      <c r="O1048" s="552" t="s">
        <v>1584</v>
      </c>
      <c r="P1048" s="603"/>
      <c r="Q1048" s="682"/>
      <c r="R1048" s="682"/>
      <c r="S1048" s="682"/>
      <c r="T1048" s="682"/>
      <c r="U1048" s="682"/>
      <c r="V1048" s="682"/>
      <c r="W1048" s="682"/>
    </row>
    <row r="1049" spans="1:23">
      <c r="A1049" s="1045">
        <f t="shared" si="17"/>
        <v>6</v>
      </c>
      <c r="B1049" s="134">
        <v>45449</v>
      </c>
      <c r="C1049" s="70">
        <v>2018</v>
      </c>
      <c r="D1049" s="70" t="s">
        <v>58</v>
      </c>
      <c r="E1049" s="280" t="s">
        <v>3508</v>
      </c>
      <c r="F1049" s="1049">
        <v>11</v>
      </c>
      <c r="G1049" s="1049"/>
      <c r="H1049" s="564"/>
      <c r="I1049" s="609"/>
      <c r="J1049" s="1155"/>
      <c r="K1049" s="609"/>
      <c r="L1049" s="609"/>
      <c r="M1049" s="609"/>
      <c r="N1049" s="599"/>
      <c r="O1049" s="552" t="s">
        <v>1584</v>
      </c>
      <c r="P1049" s="603"/>
      <c r="Q1049" s="682"/>
      <c r="R1049" s="682"/>
      <c r="S1049" s="682"/>
      <c r="T1049" s="682"/>
      <c r="U1049" s="682"/>
      <c r="V1049" s="682"/>
      <c r="W1049" s="682"/>
    </row>
    <row r="1050" spans="1:23">
      <c r="A1050" s="1045">
        <f t="shared" si="17"/>
        <v>6</v>
      </c>
      <c r="B1050" s="134">
        <v>45450</v>
      </c>
      <c r="C1050" s="70">
        <v>5250</v>
      </c>
      <c r="D1050" s="70" t="s">
        <v>85</v>
      </c>
      <c r="E1050" s="280" t="s">
        <v>3509</v>
      </c>
      <c r="F1050" s="1049">
        <v>23</v>
      </c>
      <c r="G1050" s="1049"/>
      <c r="H1050" s="564"/>
      <c r="I1050" s="609"/>
      <c r="J1050" s="1155"/>
      <c r="K1050" s="609"/>
      <c r="L1050" s="609"/>
      <c r="M1050" s="609"/>
      <c r="N1050" s="599"/>
      <c r="O1050" s="552" t="s">
        <v>1584</v>
      </c>
      <c r="P1050" s="603"/>
      <c r="Q1050" s="682"/>
      <c r="R1050" s="682"/>
      <c r="S1050" s="682"/>
      <c r="T1050" s="682"/>
      <c r="U1050" s="682"/>
      <c r="V1050" s="682"/>
      <c r="W1050" s="682"/>
    </row>
    <row r="1051" spans="1:23">
      <c r="A1051" s="1045">
        <f t="shared" si="17"/>
        <v>6</v>
      </c>
      <c r="B1051" s="134">
        <v>45450</v>
      </c>
      <c r="C1051" s="70">
        <v>2018</v>
      </c>
      <c r="D1051" s="70" t="s">
        <v>58</v>
      </c>
      <c r="E1051" s="280" t="s">
        <v>3509</v>
      </c>
      <c r="F1051" s="1049">
        <v>1.1499999999999999</v>
      </c>
      <c r="G1051" s="1049"/>
      <c r="H1051" s="564"/>
      <c r="I1051" s="609"/>
      <c r="J1051" s="1155"/>
      <c r="K1051" s="609"/>
      <c r="L1051" s="609"/>
      <c r="M1051" s="609"/>
      <c r="N1051" s="599"/>
      <c r="O1051" s="552" t="s">
        <v>1584</v>
      </c>
      <c r="P1051" s="603"/>
      <c r="Q1051" s="682"/>
      <c r="R1051" s="682"/>
      <c r="S1051" s="682"/>
      <c r="T1051" s="682"/>
      <c r="U1051" s="682"/>
      <c r="V1051" s="682"/>
      <c r="W1051" s="682"/>
    </row>
    <row r="1052" spans="1:23">
      <c r="A1052" s="1045">
        <f t="shared" si="17"/>
        <v>6</v>
      </c>
      <c r="B1052" s="134">
        <v>45450</v>
      </c>
      <c r="C1052" s="70">
        <v>5200</v>
      </c>
      <c r="D1052" s="70" t="s">
        <v>83</v>
      </c>
      <c r="E1052" s="280" t="s">
        <v>3510</v>
      </c>
      <c r="F1052" s="1049">
        <v>404.12</v>
      </c>
      <c r="G1052" s="1049"/>
      <c r="H1052" s="564"/>
      <c r="I1052" s="609"/>
      <c r="J1052" s="1155"/>
      <c r="K1052" s="609"/>
      <c r="L1052" s="609"/>
      <c r="M1052" s="609"/>
      <c r="N1052" s="599"/>
      <c r="O1052" s="552" t="s">
        <v>1584</v>
      </c>
      <c r="P1052" s="603"/>
      <c r="Q1052" s="682"/>
      <c r="R1052" s="682"/>
      <c r="S1052" s="682"/>
      <c r="T1052" s="682"/>
      <c r="U1052" s="682"/>
      <c r="V1052" s="682"/>
      <c r="W1052" s="682"/>
    </row>
    <row r="1053" spans="1:23">
      <c r="A1053" s="1045">
        <f t="shared" si="17"/>
        <v>6</v>
      </c>
      <c r="B1053" s="134">
        <v>45450</v>
      </c>
      <c r="C1053" s="70">
        <v>2018</v>
      </c>
      <c r="D1053" s="70" t="s">
        <v>58</v>
      </c>
      <c r="E1053" s="280" t="s">
        <v>3510</v>
      </c>
      <c r="F1053" s="1049">
        <v>20.21</v>
      </c>
      <c r="G1053" s="1049"/>
      <c r="H1053" s="564"/>
      <c r="I1053" s="609"/>
      <c r="J1053" s="1155"/>
      <c r="K1053" s="609"/>
      <c r="L1053" s="609"/>
      <c r="M1053" s="609"/>
      <c r="N1053" s="599"/>
      <c r="O1053" s="552" t="s">
        <v>1584</v>
      </c>
      <c r="P1053" s="603"/>
      <c r="Q1053" s="682"/>
      <c r="R1053" s="682"/>
      <c r="S1053" s="682"/>
      <c r="T1053" s="682"/>
      <c r="U1053" s="682"/>
      <c r="V1053" s="682"/>
      <c r="W1053" s="682"/>
    </row>
    <row r="1054" spans="1:23">
      <c r="A1054" s="1045">
        <f t="shared" si="17"/>
        <v>6</v>
      </c>
      <c r="B1054" s="134">
        <v>45450</v>
      </c>
      <c r="C1054" s="70">
        <v>5200</v>
      </c>
      <c r="D1054" s="70" t="s">
        <v>83</v>
      </c>
      <c r="E1054" s="280" t="s">
        <v>3511</v>
      </c>
      <c r="F1054" s="1049">
        <v>1869.3</v>
      </c>
      <c r="G1054" s="1049"/>
      <c r="H1054" s="564"/>
      <c r="I1054" s="609"/>
      <c r="J1054" s="1155"/>
      <c r="K1054" s="609"/>
      <c r="L1054" s="609"/>
      <c r="M1054" s="609"/>
      <c r="N1054" s="599"/>
      <c r="O1054" s="552" t="s">
        <v>1584</v>
      </c>
      <c r="P1054" s="603"/>
      <c r="Q1054" s="682"/>
      <c r="R1054" s="682"/>
      <c r="S1054" s="682"/>
      <c r="T1054" s="682"/>
      <c r="U1054" s="682"/>
      <c r="V1054" s="682"/>
      <c r="W1054" s="682"/>
    </row>
    <row r="1055" spans="1:23">
      <c r="A1055" s="1045">
        <f t="shared" si="17"/>
        <v>6</v>
      </c>
      <c r="B1055" s="134">
        <v>45450</v>
      </c>
      <c r="C1055" s="70">
        <v>2018</v>
      </c>
      <c r="D1055" s="70" t="s">
        <v>58</v>
      </c>
      <c r="E1055" s="280" t="s">
        <v>3511</v>
      </c>
      <c r="F1055" s="1049">
        <v>93.47</v>
      </c>
      <c r="G1055" s="1049"/>
      <c r="H1055" s="564"/>
      <c r="I1055" s="609"/>
      <c r="J1055" s="1155"/>
      <c r="K1055" s="609"/>
      <c r="L1055" s="609"/>
      <c r="M1055" s="609"/>
      <c r="N1055" s="599"/>
      <c r="O1055" s="552" t="s">
        <v>1584</v>
      </c>
      <c r="P1055" s="603"/>
      <c r="Q1055" s="682"/>
      <c r="R1055" s="682"/>
      <c r="S1055" s="682"/>
      <c r="T1055" s="682"/>
      <c r="U1055" s="682"/>
      <c r="V1055" s="682"/>
      <c r="W1055" s="682"/>
    </row>
    <row r="1056" spans="1:23">
      <c r="A1056" s="1045">
        <f t="shared" si="17"/>
        <v>6</v>
      </c>
      <c r="B1056" s="134">
        <v>45450</v>
      </c>
      <c r="C1056" s="70">
        <v>5250</v>
      </c>
      <c r="D1056" s="70" t="s">
        <v>85</v>
      </c>
      <c r="E1056" s="280" t="s">
        <v>3512</v>
      </c>
      <c r="F1056" s="1049">
        <v>110</v>
      </c>
      <c r="G1056" s="1049"/>
      <c r="H1056" s="564"/>
      <c r="I1056" s="609"/>
      <c r="J1056" s="1155"/>
      <c r="K1056" s="609"/>
      <c r="L1056" s="609"/>
      <c r="M1056" s="609"/>
      <c r="N1056" s="599"/>
      <c r="O1056" s="552" t="s">
        <v>1584</v>
      </c>
      <c r="P1056" s="603"/>
      <c r="Q1056" s="682"/>
      <c r="R1056" s="682"/>
      <c r="S1056" s="682"/>
      <c r="T1056" s="682"/>
      <c r="U1056" s="682"/>
      <c r="V1056" s="682"/>
      <c r="W1056" s="682"/>
    </row>
    <row r="1057" spans="1:23">
      <c r="A1057" s="1045">
        <f t="shared" si="17"/>
        <v>6</v>
      </c>
      <c r="B1057" s="134">
        <v>45450</v>
      </c>
      <c r="C1057" s="70">
        <v>5150</v>
      </c>
      <c r="D1057" s="70" t="s">
        <v>82</v>
      </c>
      <c r="E1057" s="280" t="s">
        <v>3513</v>
      </c>
      <c r="F1057" s="1049">
        <v>3235</v>
      </c>
      <c r="G1057" s="1049"/>
      <c r="H1057" s="564"/>
      <c r="I1057" s="609"/>
      <c r="J1057" s="1155"/>
      <c r="K1057" s="609"/>
      <c r="L1057" s="609"/>
      <c r="M1057" s="609"/>
      <c r="N1057" s="599"/>
      <c r="O1057" s="552" t="s">
        <v>1584</v>
      </c>
      <c r="P1057" s="603"/>
      <c r="Q1057" s="682"/>
      <c r="R1057" s="682"/>
      <c r="S1057" s="682"/>
      <c r="T1057" s="682"/>
      <c r="U1057" s="682"/>
      <c r="V1057" s="682"/>
      <c r="W1057" s="682"/>
    </row>
    <row r="1058" spans="1:23">
      <c r="A1058" s="1045">
        <f t="shared" si="17"/>
        <v>6</v>
      </c>
      <c r="B1058" s="134">
        <v>45450</v>
      </c>
      <c r="C1058" s="70">
        <v>2018</v>
      </c>
      <c r="D1058" s="70" t="s">
        <v>58</v>
      </c>
      <c r="E1058" s="280" t="s">
        <v>3513</v>
      </c>
      <c r="F1058" s="1049">
        <v>161.75</v>
      </c>
      <c r="G1058" s="1049"/>
      <c r="H1058" s="564"/>
      <c r="I1058" s="609"/>
      <c r="J1058" s="1155"/>
      <c r="K1058" s="609"/>
      <c r="L1058" s="609"/>
      <c r="M1058" s="609"/>
      <c r="N1058" s="599"/>
      <c r="O1058" s="552" t="s">
        <v>1584</v>
      </c>
      <c r="P1058" s="603"/>
      <c r="Q1058" s="682"/>
      <c r="R1058" s="682"/>
      <c r="S1058" s="682"/>
      <c r="T1058" s="682"/>
      <c r="U1058" s="682"/>
      <c r="V1058" s="682"/>
      <c r="W1058" s="682"/>
    </row>
    <row r="1059" spans="1:23">
      <c r="A1059" s="1045">
        <f t="shared" si="17"/>
        <v>6</v>
      </c>
      <c r="B1059" s="134">
        <v>45450</v>
      </c>
      <c r="C1059" s="70">
        <v>5150</v>
      </c>
      <c r="D1059" s="70" t="s">
        <v>82</v>
      </c>
      <c r="E1059" s="280" t="s">
        <v>3514</v>
      </c>
      <c r="F1059" s="1049">
        <v>3250</v>
      </c>
      <c r="G1059" s="1049"/>
      <c r="H1059" s="564"/>
      <c r="I1059" s="609"/>
      <c r="J1059" s="1155"/>
      <c r="K1059" s="609"/>
      <c r="L1059" s="609"/>
      <c r="M1059" s="609"/>
      <c r="N1059" s="599"/>
      <c r="O1059" s="552" t="s">
        <v>1584</v>
      </c>
      <c r="P1059" s="603"/>
      <c r="Q1059" s="682"/>
      <c r="R1059" s="682"/>
      <c r="S1059" s="682"/>
      <c r="T1059" s="682"/>
      <c r="U1059" s="682"/>
      <c r="V1059" s="682"/>
      <c r="W1059" s="682"/>
    </row>
    <row r="1060" spans="1:23">
      <c r="A1060" s="1045">
        <f t="shared" si="17"/>
        <v>6</v>
      </c>
      <c r="B1060" s="134">
        <v>45450</v>
      </c>
      <c r="C1060" s="70">
        <v>2018</v>
      </c>
      <c r="D1060" s="70" t="s">
        <v>58</v>
      </c>
      <c r="E1060" s="280" t="s">
        <v>3514</v>
      </c>
      <c r="F1060" s="1049">
        <v>162.5</v>
      </c>
      <c r="G1060" s="1049"/>
      <c r="H1060" s="564"/>
      <c r="I1060" s="609"/>
      <c r="J1060" s="1155"/>
      <c r="K1060" s="609"/>
      <c r="L1060" s="609"/>
      <c r="M1060" s="609"/>
      <c r="N1060" s="599"/>
      <c r="O1060" s="552" t="s">
        <v>1584</v>
      </c>
      <c r="P1060" s="603"/>
      <c r="Q1060" s="682"/>
      <c r="R1060" s="682"/>
      <c r="S1060" s="682"/>
      <c r="T1060" s="682"/>
      <c r="U1060" s="682"/>
      <c r="V1060" s="682"/>
      <c r="W1060" s="682"/>
    </row>
    <row r="1061" spans="1:23">
      <c r="A1061" s="1045">
        <f t="shared" si="17"/>
        <v>6</v>
      </c>
      <c r="B1061" s="134">
        <v>45450</v>
      </c>
      <c r="C1061" s="70">
        <v>5250</v>
      </c>
      <c r="D1061" s="70" t="s">
        <v>85</v>
      </c>
      <c r="E1061" s="280" t="s">
        <v>3515</v>
      </c>
      <c r="F1061" s="1049">
        <v>760</v>
      </c>
      <c r="G1061" s="1049"/>
      <c r="H1061" s="564"/>
      <c r="I1061" s="609"/>
      <c r="J1061" s="1155"/>
      <c r="K1061" s="609"/>
      <c r="L1061" s="609"/>
      <c r="M1061" s="609"/>
      <c r="N1061" s="599"/>
      <c r="O1061" s="552" t="s">
        <v>1584</v>
      </c>
      <c r="P1061" s="603"/>
      <c r="Q1061" s="682"/>
      <c r="R1061" s="682"/>
      <c r="S1061" s="682"/>
      <c r="T1061" s="682"/>
      <c r="U1061" s="682"/>
      <c r="V1061" s="682"/>
      <c r="W1061" s="682"/>
    </row>
    <row r="1062" spans="1:23">
      <c r="A1062" s="1045">
        <f t="shared" si="17"/>
        <v>6</v>
      </c>
      <c r="B1062" s="134">
        <v>45450</v>
      </c>
      <c r="C1062" s="70">
        <v>2018</v>
      </c>
      <c r="D1062" s="70" t="s">
        <v>58</v>
      </c>
      <c r="E1062" s="280" t="s">
        <v>3515</v>
      </c>
      <c r="F1062" s="1049">
        <v>38</v>
      </c>
      <c r="G1062" s="1049"/>
      <c r="H1062" s="564"/>
      <c r="I1062" s="609"/>
      <c r="J1062" s="1155"/>
      <c r="K1062" s="609"/>
      <c r="L1062" s="609"/>
      <c r="M1062" s="609"/>
      <c r="N1062" s="599"/>
      <c r="O1062" s="552" t="s">
        <v>1584</v>
      </c>
      <c r="P1062" s="603"/>
      <c r="Q1062" s="682"/>
      <c r="R1062" s="682"/>
      <c r="S1062" s="682"/>
      <c r="T1062" s="682"/>
      <c r="U1062" s="682"/>
      <c r="V1062" s="682"/>
      <c r="W1062" s="682"/>
    </row>
    <row r="1063" spans="1:23">
      <c r="A1063" s="1045">
        <f t="shared" si="17"/>
        <v>6</v>
      </c>
      <c r="B1063" s="134">
        <v>45450</v>
      </c>
      <c r="C1063" s="70">
        <v>5250</v>
      </c>
      <c r="D1063" s="70" t="s">
        <v>85</v>
      </c>
      <c r="E1063" s="280" t="s">
        <v>3516</v>
      </c>
      <c r="F1063" s="1049">
        <v>759.04</v>
      </c>
      <c r="G1063" s="1049"/>
      <c r="H1063" s="564"/>
      <c r="I1063" s="609"/>
      <c r="J1063" s="1155"/>
      <c r="K1063" s="609"/>
      <c r="L1063" s="609"/>
      <c r="M1063" s="609"/>
      <c r="N1063" s="599"/>
      <c r="O1063" s="552" t="s">
        <v>1584</v>
      </c>
      <c r="P1063" s="603"/>
      <c r="Q1063" s="682"/>
      <c r="R1063" s="682"/>
      <c r="S1063" s="682"/>
      <c r="T1063" s="682"/>
      <c r="U1063" s="682"/>
      <c r="V1063" s="682"/>
      <c r="W1063" s="682"/>
    </row>
    <row r="1064" spans="1:23">
      <c r="A1064" s="1045">
        <f t="shared" si="17"/>
        <v>6</v>
      </c>
      <c r="B1064" s="134">
        <v>45450</v>
      </c>
      <c r="C1064" s="70">
        <v>2018</v>
      </c>
      <c r="D1064" s="70" t="s">
        <v>58</v>
      </c>
      <c r="E1064" s="280" t="s">
        <v>3516</v>
      </c>
      <c r="F1064" s="1049">
        <v>37.9</v>
      </c>
      <c r="G1064" s="1049"/>
      <c r="H1064" s="564"/>
      <c r="I1064" s="609"/>
      <c r="J1064" s="1155"/>
      <c r="K1064" s="609"/>
      <c r="L1064" s="609"/>
      <c r="M1064" s="609"/>
      <c r="N1064" s="599"/>
      <c r="O1064" s="552" t="s">
        <v>1584</v>
      </c>
      <c r="P1064" s="603"/>
      <c r="Q1064" s="682"/>
      <c r="R1064" s="682"/>
      <c r="S1064" s="682"/>
      <c r="T1064" s="682"/>
      <c r="U1064" s="682"/>
      <c r="V1064" s="682"/>
      <c r="W1064" s="682"/>
    </row>
    <row r="1065" spans="1:23">
      <c r="A1065" s="1045">
        <f t="shared" si="17"/>
        <v>6</v>
      </c>
      <c r="B1065" s="134">
        <v>45450</v>
      </c>
      <c r="C1065" s="70">
        <v>5250</v>
      </c>
      <c r="D1065" s="70" t="s">
        <v>85</v>
      </c>
      <c r="E1065" s="280" t="s">
        <v>3517</v>
      </c>
      <c r="F1065" s="1049">
        <v>216</v>
      </c>
      <c r="G1065" s="1049"/>
      <c r="H1065" s="564"/>
      <c r="I1065" s="609"/>
      <c r="J1065" s="1155"/>
      <c r="K1065" s="609"/>
      <c r="L1065" s="609"/>
      <c r="M1065" s="609"/>
      <c r="N1065" s="599"/>
      <c r="O1065" s="552" t="s">
        <v>1584</v>
      </c>
      <c r="P1065" s="603"/>
      <c r="Q1065" s="682"/>
      <c r="R1065" s="682"/>
      <c r="S1065" s="682"/>
      <c r="T1065" s="682"/>
      <c r="U1065" s="682"/>
      <c r="V1065" s="682"/>
      <c r="W1065" s="682"/>
    </row>
    <row r="1066" spans="1:23">
      <c r="A1066" s="1045">
        <f t="shared" si="17"/>
        <v>6</v>
      </c>
      <c r="B1066" s="134">
        <v>45450</v>
      </c>
      <c r="C1066" s="70">
        <v>2018</v>
      </c>
      <c r="D1066" s="70" t="s">
        <v>58</v>
      </c>
      <c r="E1066" s="280" t="s">
        <v>3517</v>
      </c>
      <c r="F1066" s="1049">
        <v>10.8</v>
      </c>
      <c r="G1066" s="1049"/>
      <c r="H1066" s="564"/>
      <c r="I1066" s="609"/>
      <c r="J1066" s="1155"/>
      <c r="K1066" s="609"/>
      <c r="L1066" s="609"/>
      <c r="M1066" s="609"/>
      <c r="N1066" s="599"/>
      <c r="O1066" s="552" t="s">
        <v>1584</v>
      </c>
      <c r="P1066" s="603"/>
      <c r="Q1066" s="682"/>
      <c r="R1066" s="682"/>
      <c r="S1066" s="682"/>
      <c r="T1066" s="682"/>
      <c r="U1066" s="682"/>
      <c r="V1066" s="682"/>
      <c r="W1066" s="682"/>
    </row>
    <row r="1067" spans="1:23">
      <c r="A1067" s="1045">
        <f t="shared" si="17"/>
        <v>6</v>
      </c>
      <c r="B1067" s="134">
        <v>45450</v>
      </c>
      <c r="C1067" s="70">
        <v>5250</v>
      </c>
      <c r="D1067" s="70" t="s">
        <v>85</v>
      </c>
      <c r="E1067" s="280" t="s">
        <v>3518</v>
      </c>
      <c r="F1067" s="1049">
        <v>141.36000000000001</v>
      </c>
      <c r="G1067" s="1049"/>
      <c r="H1067" s="564"/>
      <c r="I1067" s="609"/>
      <c r="J1067" s="1155"/>
      <c r="K1067" s="609"/>
      <c r="L1067" s="609"/>
      <c r="M1067" s="609"/>
      <c r="N1067" s="599"/>
      <c r="O1067" s="552" t="s">
        <v>1584</v>
      </c>
      <c r="P1067" s="603"/>
      <c r="Q1067" s="682"/>
      <c r="R1067" s="682"/>
      <c r="S1067" s="682"/>
      <c r="T1067" s="682"/>
      <c r="U1067" s="682"/>
      <c r="V1067" s="682"/>
      <c r="W1067" s="682"/>
    </row>
    <row r="1068" spans="1:23">
      <c r="A1068" s="1045">
        <f t="shared" si="17"/>
        <v>6</v>
      </c>
      <c r="B1068" s="134">
        <v>45450</v>
      </c>
      <c r="C1068" s="70">
        <v>2018</v>
      </c>
      <c r="D1068" s="70" t="s">
        <v>58</v>
      </c>
      <c r="E1068" s="280" t="s">
        <v>3518</v>
      </c>
      <c r="F1068" s="1049">
        <v>7.07</v>
      </c>
      <c r="G1068" s="1049"/>
      <c r="H1068" s="564"/>
      <c r="I1068" s="609"/>
      <c r="J1068" s="1155"/>
      <c r="K1068" s="609"/>
      <c r="L1068" s="609"/>
      <c r="M1068" s="609"/>
      <c r="N1068" s="599"/>
      <c r="O1068" s="552" t="s">
        <v>1584</v>
      </c>
      <c r="P1068" s="603"/>
      <c r="Q1068" s="682"/>
      <c r="R1068" s="682"/>
      <c r="S1068" s="682"/>
      <c r="T1068" s="682"/>
      <c r="U1068" s="682"/>
      <c r="V1068" s="682"/>
      <c r="W1068" s="682"/>
    </row>
    <row r="1069" spans="1:23">
      <c r="A1069" s="1045">
        <f t="shared" si="17"/>
        <v>6</v>
      </c>
      <c r="B1069" s="134">
        <v>45451</v>
      </c>
      <c r="C1069" s="70">
        <v>5150</v>
      </c>
      <c r="D1069" s="70" t="s">
        <v>82</v>
      </c>
      <c r="E1069" s="280" t="s">
        <v>3519</v>
      </c>
      <c r="F1069" s="1049">
        <v>201</v>
      </c>
      <c r="G1069" s="1049"/>
      <c r="H1069" s="564"/>
      <c r="I1069" s="609"/>
      <c r="J1069" s="1155"/>
      <c r="K1069" s="609"/>
      <c r="L1069" s="609"/>
      <c r="M1069" s="609"/>
      <c r="N1069" s="599"/>
      <c r="O1069" s="552" t="s">
        <v>1584</v>
      </c>
      <c r="P1069" s="603"/>
      <c r="Q1069" s="682"/>
      <c r="R1069" s="682"/>
      <c r="S1069" s="682"/>
      <c r="T1069" s="682"/>
      <c r="U1069" s="682"/>
      <c r="V1069" s="682"/>
      <c r="W1069" s="682"/>
    </row>
    <row r="1070" spans="1:23">
      <c r="A1070" s="1045">
        <f t="shared" si="17"/>
        <v>6</v>
      </c>
      <c r="B1070" s="134">
        <v>45451</v>
      </c>
      <c r="C1070" s="70">
        <v>2018</v>
      </c>
      <c r="D1070" s="70" t="s">
        <v>58</v>
      </c>
      <c r="E1070" s="280" t="s">
        <v>3519</v>
      </c>
      <c r="F1070" s="1049">
        <v>162.55000000000001</v>
      </c>
      <c r="G1070" s="1049"/>
      <c r="H1070" s="564"/>
      <c r="I1070" s="609"/>
      <c r="J1070" s="1155"/>
      <c r="K1070" s="609"/>
      <c r="L1070" s="609"/>
      <c r="M1070" s="609"/>
      <c r="N1070" s="599"/>
      <c r="O1070" s="552" t="s">
        <v>1584</v>
      </c>
      <c r="P1070" s="603"/>
      <c r="Q1070" s="682"/>
      <c r="R1070" s="682"/>
      <c r="S1070" s="682"/>
      <c r="T1070" s="682"/>
      <c r="U1070" s="682"/>
      <c r="V1070" s="682"/>
      <c r="W1070" s="682"/>
    </row>
    <row r="1071" spans="1:23">
      <c r="A1071" s="1045">
        <f t="shared" si="17"/>
        <v>6</v>
      </c>
      <c r="B1071" s="134">
        <v>45451</v>
      </c>
      <c r="C1071" s="70">
        <v>5150</v>
      </c>
      <c r="D1071" s="70" t="s">
        <v>82</v>
      </c>
      <c r="E1071" s="280" t="s">
        <v>3520</v>
      </c>
      <c r="F1071" s="1049">
        <v>3050</v>
      </c>
      <c r="G1071" s="1049"/>
      <c r="H1071" s="564"/>
      <c r="I1071" s="609"/>
      <c r="J1071" s="1155"/>
      <c r="K1071" s="609"/>
      <c r="L1071" s="609"/>
      <c r="M1071" s="609"/>
      <c r="N1071" s="599"/>
      <c r="O1071" s="552" t="s">
        <v>1584</v>
      </c>
      <c r="P1071" s="603"/>
      <c r="Q1071" s="682"/>
      <c r="R1071" s="682"/>
      <c r="S1071" s="682"/>
      <c r="T1071" s="682"/>
      <c r="U1071" s="682"/>
      <c r="V1071" s="682"/>
      <c r="W1071" s="682"/>
    </row>
    <row r="1072" spans="1:23">
      <c r="A1072" s="1045">
        <f t="shared" si="17"/>
        <v>6</v>
      </c>
      <c r="B1072" s="134">
        <v>45451</v>
      </c>
      <c r="C1072" s="70">
        <v>5150</v>
      </c>
      <c r="D1072" s="70" t="s">
        <v>82</v>
      </c>
      <c r="E1072" s="280" t="s">
        <v>3521</v>
      </c>
      <c r="F1072" s="1049">
        <v>3300</v>
      </c>
      <c r="G1072" s="1049"/>
      <c r="H1072" s="564"/>
      <c r="I1072" s="609"/>
      <c r="J1072" s="1155"/>
      <c r="K1072" s="609"/>
      <c r="L1072" s="609"/>
      <c r="M1072" s="609"/>
      <c r="N1072" s="599"/>
      <c r="O1072" s="552" t="s">
        <v>1584</v>
      </c>
      <c r="P1072" s="603"/>
      <c r="Q1072" s="682"/>
      <c r="R1072" s="682"/>
      <c r="S1072" s="682"/>
      <c r="T1072" s="682"/>
      <c r="U1072" s="682"/>
      <c r="V1072" s="682"/>
      <c r="W1072" s="682"/>
    </row>
    <row r="1073" spans="1:23">
      <c r="A1073" s="1045">
        <f t="shared" si="17"/>
        <v>6</v>
      </c>
      <c r="B1073" s="134">
        <v>45451</v>
      </c>
      <c r="C1073" s="70">
        <v>2018</v>
      </c>
      <c r="D1073" s="70" t="s">
        <v>58</v>
      </c>
      <c r="E1073" s="280" t="s">
        <v>3521</v>
      </c>
      <c r="F1073" s="1049">
        <v>165</v>
      </c>
      <c r="G1073" s="1049"/>
      <c r="H1073" s="564"/>
      <c r="I1073" s="609"/>
      <c r="J1073" s="1155"/>
      <c r="K1073" s="609"/>
      <c r="L1073" s="609"/>
      <c r="M1073" s="609"/>
      <c r="N1073" s="599"/>
      <c r="O1073" s="552" t="s">
        <v>1584</v>
      </c>
      <c r="P1073" s="603"/>
      <c r="Q1073" s="682"/>
      <c r="R1073" s="682"/>
      <c r="S1073" s="682"/>
      <c r="T1073" s="682"/>
      <c r="U1073" s="682"/>
      <c r="V1073" s="682"/>
      <c r="W1073" s="682"/>
    </row>
    <row r="1074" spans="1:23">
      <c r="A1074" s="1045">
        <f t="shared" si="17"/>
        <v>6</v>
      </c>
      <c r="B1074" s="134">
        <v>45451</v>
      </c>
      <c r="C1074" s="70">
        <v>5250</v>
      </c>
      <c r="D1074" s="70" t="s">
        <v>85</v>
      </c>
      <c r="E1074" s="280" t="s">
        <v>3522</v>
      </c>
      <c r="F1074" s="1049">
        <v>296.5</v>
      </c>
      <c r="G1074" s="1049"/>
      <c r="H1074" s="564"/>
      <c r="I1074" s="609"/>
      <c r="J1074" s="1155"/>
      <c r="K1074" s="609"/>
      <c r="L1074" s="609"/>
      <c r="M1074" s="609"/>
      <c r="N1074" s="599"/>
      <c r="O1074" s="552" t="s">
        <v>1584</v>
      </c>
      <c r="P1074" s="603"/>
      <c r="Q1074" s="682"/>
      <c r="R1074" s="682"/>
      <c r="S1074" s="682"/>
      <c r="T1074" s="682"/>
      <c r="U1074" s="682"/>
      <c r="V1074" s="682"/>
      <c r="W1074" s="682"/>
    </row>
    <row r="1075" spans="1:23">
      <c r="A1075" s="1045">
        <f t="shared" si="17"/>
        <v>6</v>
      </c>
      <c r="B1075" s="134">
        <v>45451</v>
      </c>
      <c r="C1075" s="70">
        <v>2018</v>
      </c>
      <c r="D1075" s="70" t="s">
        <v>58</v>
      </c>
      <c r="E1075" s="280" t="s">
        <v>3522</v>
      </c>
      <c r="F1075" s="1049">
        <v>14.84</v>
      </c>
      <c r="G1075" s="1049"/>
      <c r="H1075" s="564"/>
      <c r="I1075" s="609"/>
      <c r="J1075" s="1155"/>
      <c r="K1075" s="609"/>
      <c r="L1075" s="609"/>
      <c r="M1075" s="609"/>
      <c r="N1075" s="599"/>
      <c r="O1075" s="552" t="s">
        <v>1584</v>
      </c>
      <c r="P1075" s="603"/>
      <c r="Q1075" s="682"/>
      <c r="R1075" s="682"/>
      <c r="S1075" s="682"/>
      <c r="T1075" s="682"/>
      <c r="U1075" s="682"/>
      <c r="V1075" s="682"/>
      <c r="W1075" s="682"/>
    </row>
    <row r="1076" spans="1:23">
      <c r="A1076" s="1045">
        <f t="shared" si="17"/>
        <v>6</v>
      </c>
      <c r="B1076" s="134">
        <v>45451</v>
      </c>
      <c r="C1076" s="70">
        <v>5250</v>
      </c>
      <c r="D1076" s="70" t="s">
        <v>85</v>
      </c>
      <c r="E1076" s="280" t="s">
        <v>3523</v>
      </c>
      <c r="F1076" s="1049">
        <v>33.35</v>
      </c>
      <c r="G1076" s="1049"/>
      <c r="H1076" s="564"/>
      <c r="I1076" s="609"/>
      <c r="J1076" s="1155"/>
      <c r="K1076" s="609"/>
      <c r="L1076" s="609"/>
      <c r="M1076" s="609"/>
      <c r="N1076" s="599"/>
      <c r="O1076" s="552" t="s">
        <v>1584</v>
      </c>
      <c r="P1076" s="603"/>
      <c r="Q1076" s="682"/>
      <c r="R1076" s="682"/>
      <c r="S1076" s="682"/>
      <c r="T1076" s="682"/>
      <c r="U1076" s="682"/>
      <c r="V1076" s="682"/>
      <c r="W1076" s="682"/>
    </row>
    <row r="1077" spans="1:23">
      <c r="A1077" s="1045">
        <f t="shared" si="17"/>
        <v>6</v>
      </c>
      <c r="B1077" s="134">
        <v>45451</v>
      </c>
      <c r="C1077" s="70">
        <v>2018</v>
      </c>
      <c r="D1077" s="70" t="s">
        <v>58</v>
      </c>
      <c r="E1077" s="280" t="s">
        <v>3523</v>
      </c>
      <c r="F1077" s="1049">
        <v>1.67</v>
      </c>
      <c r="G1077" s="1049"/>
      <c r="H1077" s="564"/>
      <c r="I1077" s="609"/>
      <c r="J1077" s="1155"/>
      <c r="K1077" s="609"/>
      <c r="L1077" s="609"/>
      <c r="M1077" s="609"/>
      <c r="N1077" s="599"/>
      <c r="O1077" s="552" t="s">
        <v>1584</v>
      </c>
      <c r="P1077" s="603"/>
      <c r="Q1077" s="682"/>
      <c r="R1077" s="682"/>
      <c r="S1077" s="682"/>
      <c r="T1077" s="682"/>
      <c r="U1077" s="682"/>
      <c r="V1077" s="682"/>
      <c r="W1077" s="682"/>
    </row>
    <row r="1078" spans="1:23">
      <c r="A1078" s="1045">
        <f t="shared" si="17"/>
        <v>6</v>
      </c>
      <c r="B1078" s="134">
        <v>45452</v>
      </c>
      <c r="C1078" s="70">
        <v>5250</v>
      </c>
      <c r="D1078" s="70" t="s">
        <v>85</v>
      </c>
      <c r="E1078" s="280" t="s">
        <v>3524</v>
      </c>
      <c r="F1078" s="1049">
        <v>72</v>
      </c>
      <c r="G1078" s="1049"/>
      <c r="H1078" s="564"/>
      <c r="I1078" s="609"/>
      <c r="J1078" s="1155"/>
      <c r="K1078" s="609"/>
      <c r="L1078" s="609"/>
      <c r="M1078" s="609"/>
      <c r="N1078" s="599"/>
      <c r="O1078" s="552" t="s">
        <v>1584</v>
      </c>
      <c r="P1078" s="603"/>
      <c r="Q1078" s="682"/>
      <c r="R1078" s="682"/>
      <c r="S1078" s="682"/>
      <c r="T1078" s="682"/>
      <c r="U1078" s="682"/>
      <c r="V1078" s="682"/>
      <c r="W1078" s="682"/>
    </row>
    <row r="1079" spans="1:23">
      <c r="A1079" s="1045">
        <f t="shared" si="17"/>
        <v>6</v>
      </c>
      <c r="B1079" s="134">
        <v>45452</v>
      </c>
      <c r="C1079" s="70">
        <v>2018</v>
      </c>
      <c r="D1079" s="70" t="s">
        <v>58</v>
      </c>
      <c r="E1079" s="280" t="s">
        <v>3524</v>
      </c>
      <c r="F1079" s="1049">
        <v>3.6</v>
      </c>
      <c r="G1079" s="1049"/>
      <c r="H1079" s="564"/>
      <c r="I1079" s="609"/>
      <c r="J1079" s="1155"/>
      <c r="K1079" s="609"/>
      <c r="L1079" s="609"/>
      <c r="M1079" s="609"/>
      <c r="N1079" s="599"/>
      <c r="O1079" s="552" t="s">
        <v>1584</v>
      </c>
      <c r="P1079" s="603"/>
      <c r="Q1079" s="682"/>
      <c r="R1079" s="682"/>
      <c r="S1079" s="682"/>
      <c r="T1079" s="682"/>
      <c r="U1079" s="682"/>
      <c r="V1079" s="682"/>
      <c r="W1079" s="682"/>
    </row>
    <row r="1080" spans="1:23">
      <c r="A1080" s="1045">
        <f t="shared" si="17"/>
        <v>6</v>
      </c>
      <c r="B1080" s="134">
        <v>45452</v>
      </c>
      <c r="C1080" s="70">
        <v>5250</v>
      </c>
      <c r="D1080" s="70" t="s">
        <v>85</v>
      </c>
      <c r="E1080" s="280" t="s">
        <v>3525</v>
      </c>
      <c r="F1080" s="1049">
        <v>15</v>
      </c>
      <c r="G1080" s="1049"/>
      <c r="H1080" s="564"/>
      <c r="I1080" s="609"/>
      <c r="J1080" s="1155"/>
      <c r="K1080" s="609"/>
      <c r="L1080" s="609"/>
      <c r="M1080" s="609"/>
      <c r="N1080" s="599"/>
      <c r="O1080" s="552" t="s">
        <v>1584</v>
      </c>
      <c r="P1080" s="603"/>
      <c r="Q1080" s="682"/>
      <c r="R1080" s="682"/>
      <c r="S1080" s="682"/>
      <c r="T1080" s="682"/>
      <c r="U1080" s="682"/>
      <c r="V1080" s="682"/>
      <c r="W1080" s="682"/>
    </row>
    <row r="1081" spans="1:23">
      <c r="A1081" s="1045">
        <f t="shared" si="17"/>
        <v>6</v>
      </c>
      <c r="B1081" s="134">
        <v>45452</v>
      </c>
      <c r="C1081" s="70">
        <v>2018</v>
      </c>
      <c r="D1081" s="70" t="s">
        <v>58</v>
      </c>
      <c r="E1081" s="280" t="s">
        <v>3525</v>
      </c>
      <c r="F1081" s="1049">
        <v>0.75</v>
      </c>
      <c r="G1081" s="1049"/>
      <c r="H1081" s="564"/>
      <c r="I1081" s="609"/>
      <c r="J1081" s="1155"/>
      <c r="K1081" s="609"/>
      <c r="L1081" s="609"/>
      <c r="M1081" s="609"/>
      <c r="N1081" s="599"/>
      <c r="O1081" s="552" t="s">
        <v>1584</v>
      </c>
      <c r="P1081" s="603"/>
      <c r="Q1081" s="682"/>
      <c r="R1081" s="682"/>
      <c r="S1081" s="682"/>
      <c r="T1081" s="682"/>
      <c r="U1081" s="682"/>
      <c r="V1081" s="682"/>
      <c r="W1081" s="682"/>
    </row>
    <row r="1082" spans="1:23">
      <c r="A1082" s="1045">
        <f t="shared" si="17"/>
        <v>6</v>
      </c>
      <c r="B1082" s="134">
        <v>45452</v>
      </c>
      <c r="C1082" s="70">
        <v>5250</v>
      </c>
      <c r="D1082" s="70" t="s">
        <v>85</v>
      </c>
      <c r="E1082" s="280" t="s">
        <v>3526</v>
      </c>
      <c r="F1082" s="1049">
        <v>52.77</v>
      </c>
      <c r="G1082" s="1049"/>
      <c r="H1082" s="564"/>
      <c r="I1082" s="609"/>
      <c r="J1082" s="1155"/>
      <c r="K1082" s="609"/>
      <c r="L1082" s="609"/>
      <c r="M1082" s="609"/>
      <c r="N1082" s="599"/>
      <c r="O1082" s="552" t="s">
        <v>1584</v>
      </c>
      <c r="P1082" s="603"/>
      <c r="Q1082" s="682"/>
      <c r="R1082" s="682"/>
      <c r="S1082" s="682"/>
      <c r="T1082" s="682"/>
      <c r="U1082" s="682"/>
      <c r="V1082" s="682"/>
      <c r="W1082" s="682"/>
    </row>
    <row r="1083" spans="1:23">
      <c r="A1083" s="1045">
        <f t="shared" si="17"/>
        <v>6</v>
      </c>
      <c r="B1083" s="134">
        <v>45452</v>
      </c>
      <c r="C1083" s="70">
        <v>2018</v>
      </c>
      <c r="D1083" s="70" t="s">
        <v>58</v>
      </c>
      <c r="E1083" s="280" t="s">
        <v>3526</v>
      </c>
      <c r="F1083" s="1049">
        <v>2.64</v>
      </c>
      <c r="G1083" s="1049"/>
      <c r="H1083" s="564"/>
      <c r="I1083" s="609"/>
      <c r="J1083" s="1155"/>
      <c r="K1083" s="609"/>
      <c r="L1083" s="609"/>
      <c r="M1083" s="609"/>
      <c r="N1083" s="599"/>
      <c r="O1083" s="552" t="s">
        <v>1584</v>
      </c>
      <c r="P1083" s="603"/>
      <c r="Q1083" s="682"/>
      <c r="R1083" s="682"/>
      <c r="S1083" s="682"/>
      <c r="T1083" s="682"/>
      <c r="U1083" s="682"/>
      <c r="V1083" s="682"/>
      <c r="W1083" s="682"/>
    </row>
    <row r="1084" spans="1:23">
      <c r="A1084" s="1045">
        <f t="shared" si="17"/>
        <v>6</v>
      </c>
      <c r="B1084" s="134">
        <v>45453</v>
      </c>
      <c r="C1084" s="70">
        <v>5250</v>
      </c>
      <c r="D1084" s="70" t="s">
        <v>85</v>
      </c>
      <c r="E1084" s="280" t="s">
        <v>3527</v>
      </c>
      <c r="F1084" s="1049">
        <v>12</v>
      </c>
      <c r="G1084" s="1049"/>
      <c r="H1084" s="564"/>
      <c r="I1084" s="609"/>
      <c r="J1084" s="1155"/>
      <c r="K1084" s="609"/>
      <c r="L1084" s="609"/>
      <c r="M1084" s="609"/>
      <c r="N1084" s="599"/>
      <c r="O1084" s="552" t="s">
        <v>1584</v>
      </c>
      <c r="P1084" s="603"/>
      <c r="Q1084" s="682"/>
      <c r="R1084" s="682"/>
      <c r="S1084" s="682"/>
      <c r="T1084" s="682"/>
      <c r="U1084" s="682"/>
      <c r="V1084" s="682"/>
      <c r="W1084" s="682"/>
    </row>
    <row r="1085" spans="1:23">
      <c r="A1085" s="1045">
        <f t="shared" si="17"/>
        <v>6</v>
      </c>
      <c r="B1085" s="134">
        <v>45453</v>
      </c>
      <c r="C1085" s="70">
        <v>2018</v>
      </c>
      <c r="D1085" s="70" t="s">
        <v>58</v>
      </c>
      <c r="E1085" s="280" t="s">
        <v>3527</v>
      </c>
      <c r="F1085" s="1049">
        <v>0.6</v>
      </c>
      <c r="G1085" s="1049"/>
      <c r="H1085" s="564"/>
      <c r="I1085" s="609"/>
      <c r="J1085" s="1155"/>
      <c r="K1085" s="609"/>
      <c r="L1085" s="609"/>
      <c r="M1085" s="609"/>
      <c r="N1085" s="599"/>
      <c r="O1085" s="552" t="s">
        <v>1584</v>
      </c>
      <c r="P1085" s="603"/>
      <c r="Q1085" s="682"/>
      <c r="R1085" s="682"/>
      <c r="S1085" s="682"/>
      <c r="T1085" s="682"/>
      <c r="U1085" s="682"/>
      <c r="V1085" s="682"/>
      <c r="W1085" s="682"/>
    </row>
    <row r="1086" spans="1:23">
      <c r="A1086" s="1045">
        <f t="shared" si="17"/>
        <v>6</v>
      </c>
      <c r="B1086" s="134">
        <v>45453</v>
      </c>
      <c r="C1086" s="70">
        <v>5250</v>
      </c>
      <c r="D1086" s="70" t="s">
        <v>85</v>
      </c>
      <c r="E1086" s="280" t="s">
        <v>3528</v>
      </c>
      <c r="F1086" s="1049">
        <v>16</v>
      </c>
      <c r="G1086" s="1049"/>
      <c r="H1086" s="564"/>
      <c r="I1086" s="609"/>
      <c r="J1086" s="1155"/>
      <c r="K1086" s="609"/>
      <c r="L1086" s="609"/>
      <c r="M1086" s="609"/>
      <c r="N1086" s="599"/>
      <c r="O1086" s="552" t="s">
        <v>1584</v>
      </c>
      <c r="P1086" s="603"/>
      <c r="Q1086" s="682"/>
      <c r="R1086" s="682"/>
      <c r="S1086" s="682"/>
      <c r="T1086" s="682"/>
      <c r="U1086" s="682"/>
      <c r="V1086" s="682"/>
      <c r="W1086" s="682"/>
    </row>
    <row r="1087" spans="1:23">
      <c r="A1087" s="1045">
        <f t="shared" si="17"/>
        <v>6</v>
      </c>
      <c r="B1087" s="134">
        <v>45453</v>
      </c>
      <c r="C1087" s="70">
        <v>2018</v>
      </c>
      <c r="D1087" s="70" t="s">
        <v>58</v>
      </c>
      <c r="E1087" s="280" t="s">
        <v>3528</v>
      </c>
      <c r="F1087" s="1049">
        <v>0.8</v>
      </c>
      <c r="G1087" s="1049"/>
      <c r="H1087" s="564"/>
      <c r="I1087" s="609"/>
      <c r="J1087" s="1155"/>
      <c r="K1087" s="609"/>
      <c r="L1087" s="609"/>
      <c r="M1087" s="609"/>
      <c r="N1087" s="599"/>
      <c r="O1087" s="552" t="s">
        <v>1584</v>
      </c>
      <c r="P1087" s="603"/>
      <c r="Q1087" s="682"/>
      <c r="R1087" s="682"/>
      <c r="S1087" s="682"/>
      <c r="T1087" s="682"/>
      <c r="U1087" s="682"/>
      <c r="V1087" s="682"/>
      <c r="W1087" s="682"/>
    </row>
    <row r="1088" spans="1:23">
      <c r="A1088" s="1045">
        <f t="shared" si="17"/>
        <v>6</v>
      </c>
      <c r="B1088" s="134">
        <v>45453</v>
      </c>
      <c r="C1088" s="70">
        <v>5250</v>
      </c>
      <c r="D1088" s="70" t="s">
        <v>85</v>
      </c>
      <c r="E1088" s="280" t="s">
        <v>3529</v>
      </c>
      <c r="F1088" s="1049">
        <v>55</v>
      </c>
      <c r="G1088" s="1049"/>
      <c r="H1088" s="564"/>
      <c r="I1088" s="609"/>
      <c r="J1088" s="1155"/>
      <c r="K1088" s="609"/>
      <c r="L1088" s="609"/>
      <c r="M1088" s="609"/>
      <c r="N1088" s="599"/>
      <c r="O1088" s="552" t="s">
        <v>1584</v>
      </c>
      <c r="P1088" s="603"/>
      <c r="Q1088" s="682"/>
      <c r="R1088" s="682"/>
      <c r="S1088" s="682"/>
      <c r="T1088" s="682"/>
      <c r="U1088" s="682"/>
      <c r="V1088" s="682"/>
      <c r="W1088" s="682"/>
    </row>
    <row r="1089" spans="1:23">
      <c r="A1089" s="1045">
        <f t="shared" si="17"/>
        <v>6</v>
      </c>
      <c r="B1089" s="134">
        <v>45453</v>
      </c>
      <c r="C1089" s="70">
        <v>2018</v>
      </c>
      <c r="D1089" s="70" t="s">
        <v>58</v>
      </c>
      <c r="E1089" s="280" t="s">
        <v>3529</v>
      </c>
      <c r="F1089" s="1049">
        <v>2.75</v>
      </c>
      <c r="G1089" s="1049"/>
      <c r="H1089" s="564"/>
      <c r="I1089" s="609"/>
      <c r="J1089" s="1155"/>
      <c r="K1089" s="609"/>
      <c r="L1089" s="609"/>
      <c r="M1089" s="609"/>
      <c r="N1089" s="599"/>
      <c r="O1089" s="552" t="s">
        <v>1584</v>
      </c>
      <c r="P1089" s="603"/>
      <c r="Q1089" s="682"/>
      <c r="R1089" s="682"/>
      <c r="S1089" s="682"/>
      <c r="T1089" s="682"/>
      <c r="U1089" s="682"/>
      <c r="V1089" s="682"/>
      <c r="W1089" s="682"/>
    </row>
    <row r="1090" spans="1:23">
      <c r="A1090" s="1045">
        <f t="shared" si="17"/>
        <v>6</v>
      </c>
      <c r="B1090" s="134">
        <v>45453</v>
      </c>
      <c r="C1090" s="70">
        <v>5250</v>
      </c>
      <c r="D1090" s="70" t="s">
        <v>85</v>
      </c>
      <c r="E1090" s="280" t="s">
        <v>3530</v>
      </c>
      <c r="F1090" s="1049">
        <v>35</v>
      </c>
      <c r="G1090" s="1049"/>
      <c r="H1090" s="564"/>
      <c r="I1090" s="609"/>
      <c r="J1090" s="1155"/>
      <c r="K1090" s="609"/>
      <c r="L1090" s="609"/>
      <c r="M1090" s="609"/>
      <c r="N1090" s="599"/>
      <c r="O1090" s="552" t="s">
        <v>1584</v>
      </c>
      <c r="P1090" s="603"/>
      <c r="Q1090" s="682"/>
      <c r="R1090" s="682"/>
      <c r="S1090" s="682"/>
      <c r="T1090" s="682"/>
      <c r="U1090" s="682"/>
      <c r="V1090" s="682"/>
      <c r="W1090" s="682"/>
    </row>
    <row r="1091" spans="1:23">
      <c r="A1091" s="1045">
        <f t="shared" si="17"/>
        <v>6</v>
      </c>
      <c r="B1091" s="134">
        <v>45453</v>
      </c>
      <c r="C1091" s="70">
        <v>2018</v>
      </c>
      <c r="D1091" s="70" t="s">
        <v>58</v>
      </c>
      <c r="E1091" s="280" t="s">
        <v>3530</v>
      </c>
      <c r="F1091" s="1049">
        <v>1.75</v>
      </c>
      <c r="G1091" s="1049"/>
      <c r="H1091" s="564"/>
      <c r="I1091" s="609"/>
      <c r="J1091" s="1155"/>
      <c r="K1091" s="609"/>
      <c r="L1091" s="609"/>
      <c r="M1091" s="609"/>
      <c r="N1091" s="599"/>
      <c r="O1091" s="552" t="s">
        <v>1584</v>
      </c>
      <c r="P1091" s="603"/>
      <c r="Q1091" s="682"/>
      <c r="R1091" s="682"/>
      <c r="S1091" s="682"/>
      <c r="T1091" s="682"/>
      <c r="U1091" s="682"/>
      <c r="V1091" s="682"/>
      <c r="W1091" s="682"/>
    </row>
    <row r="1092" spans="1:23">
      <c r="A1092" s="1045">
        <f t="shared" si="17"/>
        <v>6</v>
      </c>
      <c r="B1092" s="134">
        <v>45453</v>
      </c>
      <c r="C1092" s="70">
        <v>5250</v>
      </c>
      <c r="D1092" s="70" t="s">
        <v>85</v>
      </c>
      <c r="E1092" s="280" t="s">
        <v>3531</v>
      </c>
      <c r="F1092" s="1049">
        <v>336.43</v>
      </c>
      <c r="G1092" s="1049"/>
      <c r="H1092" s="564"/>
      <c r="I1092" s="609"/>
      <c r="J1092" s="1155"/>
      <c r="K1092" s="609"/>
      <c r="L1092" s="609"/>
      <c r="M1092" s="609"/>
      <c r="N1092" s="599"/>
      <c r="O1092" s="552" t="s">
        <v>1584</v>
      </c>
      <c r="P1092" s="603"/>
      <c r="Q1092" s="682"/>
      <c r="R1092" s="682"/>
      <c r="S1092" s="682"/>
      <c r="T1092" s="682"/>
      <c r="U1092" s="682"/>
      <c r="V1092" s="682"/>
      <c r="W1092" s="682"/>
    </row>
    <row r="1093" spans="1:23">
      <c r="A1093" s="1045">
        <f t="shared" si="17"/>
        <v>6</v>
      </c>
      <c r="B1093" s="134">
        <v>45453</v>
      </c>
      <c r="C1093" s="70">
        <v>2018</v>
      </c>
      <c r="D1093" s="70" t="s">
        <v>58</v>
      </c>
      <c r="E1093" s="280" t="s">
        <v>3531</v>
      </c>
      <c r="F1093" s="1049">
        <v>16.829999999999998</v>
      </c>
      <c r="G1093" s="1049"/>
      <c r="H1093" s="564"/>
      <c r="I1093" s="609"/>
      <c r="J1093" s="1155"/>
      <c r="K1093" s="609"/>
      <c r="L1093" s="609"/>
      <c r="M1093" s="609"/>
      <c r="N1093" s="599"/>
      <c r="O1093" s="552" t="s">
        <v>1584</v>
      </c>
      <c r="P1093" s="603"/>
      <c r="Q1093" s="682"/>
      <c r="R1093" s="682"/>
      <c r="S1093" s="682"/>
      <c r="T1093" s="682"/>
      <c r="U1093" s="682"/>
      <c r="V1093" s="682"/>
      <c r="W1093" s="682"/>
    </row>
    <row r="1094" spans="1:23">
      <c r="A1094" s="1045">
        <f t="shared" si="17"/>
        <v>6</v>
      </c>
      <c r="B1094" s="134">
        <v>45454</v>
      </c>
      <c r="C1094" s="70">
        <v>5250</v>
      </c>
      <c r="D1094" s="70" t="s">
        <v>85</v>
      </c>
      <c r="E1094" s="280" t="s">
        <v>3532</v>
      </c>
      <c r="F1094" s="1049">
        <v>25.5</v>
      </c>
      <c r="G1094" s="1049"/>
      <c r="H1094" s="564"/>
      <c r="I1094" s="609"/>
      <c r="J1094" s="1155"/>
      <c r="K1094" s="609"/>
      <c r="L1094" s="609"/>
      <c r="M1094" s="609"/>
      <c r="N1094" s="599"/>
      <c r="O1094" s="552" t="s">
        <v>1584</v>
      </c>
      <c r="P1094" s="603"/>
      <c r="Q1094" s="682"/>
      <c r="R1094" s="682"/>
      <c r="S1094" s="682"/>
      <c r="T1094" s="682"/>
      <c r="U1094" s="682"/>
      <c r="V1094" s="682"/>
      <c r="W1094" s="682"/>
    </row>
    <row r="1095" spans="1:23">
      <c r="A1095" s="1045">
        <f t="shared" si="17"/>
        <v>6</v>
      </c>
      <c r="B1095" s="134">
        <v>45454</v>
      </c>
      <c r="C1095" s="70">
        <v>2018</v>
      </c>
      <c r="D1095" s="70" t="s">
        <v>58</v>
      </c>
      <c r="E1095" s="280" t="s">
        <v>3532</v>
      </c>
      <c r="F1095" s="1049">
        <v>1.28</v>
      </c>
      <c r="G1095" s="1049"/>
      <c r="H1095" s="564"/>
      <c r="I1095" s="609"/>
      <c r="J1095" s="1155"/>
      <c r="K1095" s="609"/>
      <c r="L1095" s="609"/>
      <c r="M1095" s="609"/>
      <c r="N1095" s="599"/>
      <c r="O1095" s="552" t="s">
        <v>1584</v>
      </c>
      <c r="P1095" s="603"/>
      <c r="Q1095" s="682"/>
      <c r="R1095" s="682"/>
      <c r="S1095" s="682"/>
      <c r="T1095" s="682"/>
      <c r="U1095" s="682"/>
      <c r="V1095" s="682"/>
      <c r="W1095" s="682"/>
    </row>
    <row r="1096" spans="1:23">
      <c r="A1096" s="1045">
        <f t="shared" si="17"/>
        <v>6</v>
      </c>
      <c r="B1096" s="134">
        <v>45454</v>
      </c>
      <c r="C1096" s="70">
        <v>6300</v>
      </c>
      <c r="D1096" s="70" t="s">
        <v>130</v>
      </c>
      <c r="E1096" s="280" t="s">
        <v>3533</v>
      </c>
      <c r="F1096" s="1049">
        <v>400</v>
      </c>
      <c r="G1096" s="1049"/>
      <c r="H1096" s="564"/>
      <c r="I1096" s="609"/>
      <c r="J1096" s="1155"/>
      <c r="K1096" s="609"/>
      <c r="L1096" s="609"/>
      <c r="M1096" s="609"/>
      <c r="N1096" s="599"/>
      <c r="O1096" s="552" t="s">
        <v>1584</v>
      </c>
      <c r="P1096" s="603"/>
      <c r="Q1096" s="682"/>
      <c r="R1096" s="682"/>
      <c r="S1096" s="682"/>
      <c r="T1096" s="682"/>
      <c r="U1096" s="682"/>
      <c r="V1096" s="682"/>
      <c r="W1096" s="682"/>
    </row>
    <row r="1097" spans="1:23">
      <c r="A1097" s="1045">
        <f t="shared" si="17"/>
        <v>6</v>
      </c>
      <c r="B1097" s="134">
        <v>45454</v>
      </c>
      <c r="C1097" s="70">
        <v>5200</v>
      </c>
      <c r="D1097" s="70" t="s">
        <v>83</v>
      </c>
      <c r="E1097" s="280" t="s">
        <v>3534</v>
      </c>
      <c r="F1097" s="1049">
        <v>101.98</v>
      </c>
      <c r="G1097" s="1049"/>
      <c r="H1097" s="564"/>
      <c r="I1097" s="609"/>
      <c r="J1097" s="1155"/>
      <c r="K1097" s="609"/>
      <c r="L1097" s="609"/>
      <c r="M1097" s="609"/>
      <c r="N1097" s="599"/>
      <c r="O1097" s="552" t="s">
        <v>1584</v>
      </c>
      <c r="P1097" s="603"/>
      <c r="Q1097" s="682"/>
      <c r="R1097" s="682"/>
      <c r="S1097" s="682"/>
      <c r="T1097" s="682"/>
      <c r="U1097" s="682"/>
      <c r="V1097" s="682"/>
      <c r="W1097" s="682"/>
    </row>
    <row r="1098" spans="1:23">
      <c r="A1098" s="1045">
        <f t="shared" si="17"/>
        <v>6</v>
      </c>
      <c r="B1098" s="134">
        <v>45454</v>
      </c>
      <c r="C1098" s="70">
        <v>2018</v>
      </c>
      <c r="D1098" s="70" t="s">
        <v>58</v>
      </c>
      <c r="E1098" s="280" t="s">
        <v>3534</v>
      </c>
      <c r="F1098" s="1049">
        <v>5.0999999999999996</v>
      </c>
      <c r="G1098" s="1049"/>
      <c r="H1098" s="564"/>
      <c r="I1098" s="609"/>
      <c r="J1098" s="1155"/>
      <c r="K1098" s="609"/>
      <c r="L1098" s="609"/>
      <c r="M1098" s="609"/>
      <c r="N1098" s="599"/>
      <c r="O1098" s="552" t="s">
        <v>1584</v>
      </c>
      <c r="P1098" s="603"/>
      <c r="Q1098" s="682"/>
      <c r="R1098" s="682"/>
      <c r="S1098" s="682"/>
      <c r="T1098" s="682"/>
      <c r="U1098" s="682"/>
      <c r="V1098" s="682"/>
      <c r="W1098" s="682"/>
    </row>
    <row r="1099" spans="1:23">
      <c r="A1099" s="1045">
        <f t="shared" si="17"/>
        <v>6</v>
      </c>
      <c r="B1099" s="134">
        <v>45454</v>
      </c>
      <c r="C1099" s="70">
        <v>5200</v>
      </c>
      <c r="D1099" s="70" t="s">
        <v>83</v>
      </c>
      <c r="E1099" s="280" t="s">
        <v>3535</v>
      </c>
      <c r="F1099" s="1049">
        <v>42.4</v>
      </c>
      <c r="G1099" s="1049"/>
      <c r="H1099" s="564"/>
      <c r="I1099" s="609"/>
      <c r="J1099" s="1155"/>
      <c r="K1099" s="609"/>
      <c r="L1099" s="609"/>
      <c r="M1099" s="609"/>
      <c r="N1099" s="599"/>
      <c r="O1099" s="552" t="s">
        <v>1584</v>
      </c>
      <c r="P1099" s="603"/>
      <c r="Q1099" s="682"/>
      <c r="R1099" s="682"/>
      <c r="S1099" s="682"/>
      <c r="T1099" s="682"/>
      <c r="U1099" s="682"/>
      <c r="V1099" s="682"/>
      <c r="W1099" s="682"/>
    </row>
    <row r="1100" spans="1:23">
      <c r="A1100" s="1045">
        <f t="shared" si="17"/>
        <v>6</v>
      </c>
      <c r="B1100" s="134">
        <v>45454</v>
      </c>
      <c r="C1100" s="70">
        <v>2018</v>
      </c>
      <c r="D1100" s="70" t="s">
        <v>58</v>
      </c>
      <c r="E1100" s="280" t="s">
        <v>3535</v>
      </c>
      <c r="F1100" s="1049">
        <v>2.12</v>
      </c>
      <c r="G1100" s="1049"/>
      <c r="H1100" s="564"/>
      <c r="I1100" s="609"/>
      <c r="J1100" s="1155"/>
      <c r="K1100" s="609"/>
      <c r="L1100" s="609"/>
      <c r="M1100" s="609"/>
      <c r="N1100" s="599"/>
      <c r="O1100" s="552" t="s">
        <v>1584</v>
      </c>
      <c r="P1100" s="603"/>
      <c r="Q1100" s="682"/>
      <c r="R1100" s="682"/>
      <c r="S1100" s="682"/>
      <c r="T1100" s="682"/>
      <c r="U1100" s="682"/>
      <c r="V1100" s="682"/>
      <c r="W1100" s="682"/>
    </row>
    <row r="1101" spans="1:23">
      <c r="A1101" s="1045">
        <f t="shared" si="17"/>
        <v>6</v>
      </c>
      <c r="B1101" s="134">
        <v>45454</v>
      </c>
      <c r="C1101" s="70">
        <v>5250</v>
      </c>
      <c r="D1101" s="70" t="s">
        <v>85</v>
      </c>
      <c r="E1101" s="280" t="s">
        <v>3536</v>
      </c>
      <c r="F1101" s="1049">
        <v>2046.25</v>
      </c>
      <c r="G1101" s="1049"/>
      <c r="H1101" s="564"/>
      <c r="I1101" s="609"/>
      <c r="J1101" s="1155"/>
      <c r="K1101" s="609"/>
      <c r="L1101" s="609"/>
      <c r="M1101" s="609"/>
      <c r="N1101" s="599"/>
      <c r="O1101" s="552" t="s">
        <v>1584</v>
      </c>
      <c r="P1101" s="603"/>
      <c r="Q1101" s="682"/>
      <c r="R1101" s="682"/>
      <c r="S1101" s="682"/>
      <c r="T1101" s="682"/>
      <c r="U1101" s="682"/>
      <c r="V1101" s="682"/>
      <c r="W1101" s="682"/>
    </row>
    <row r="1102" spans="1:23">
      <c r="A1102" s="1045">
        <f t="shared" si="17"/>
        <v>6</v>
      </c>
      <c r="B1102" s="134">
        <v>45454</v>
      </c>
      <c r="C1102" s="70">
        <v>2018</v>
      </c>
      <c r="D1102" s="70" t="s">
        <v>58</v>
      </c>
      <c r="E1102" s="280" t="s">
        <v>3536</v>
      </c>
      <c r="F1102" s="1049">
        <v>102.31</v>
      </c>
      <c r="G1102" s="1049"/>
      <c r="H1102" s="564"/>
      <c r="I1102" s="609"/>
      <c r="J1102" s="1155"/>
      <c r="K1102" s="609"/>
      <c r="L1102" s="609"/>
      <c r="M1102" s="609"/>
      <c r="N1102" s="599"/>
      <c r="O1102" s="552" t="s">
        <v>1584</v>
      </c>
      <c r="P1102" s="603"/>
      <c r="Q1102" s="682"/>
      <c r="R1102" s="682"/>
      <c r="S1102" s="682"/>
      <c r="T1102" s="682"/>
      <c r="U1102" s="682"/>
      <c r="V1102" s="682"/>
      <c r="W1102" s="682"/>
    </row>
    <row r="1103" spans="1:23">
      <c r="A1103" s="1045">
        <f t="shared" si="17"/>
        <v>6</v>
      </c>
      <c r="B1103" s="134">
        <v>45454</v>
      </c>
      <c r="C1103" s="70">
        <v>5250</v>
      </c>
      <c r="D1103" s="70" t="s">
        <v>85</v>
      </c>
      <c r="E1103" s="280" t="s">
        <v>3537</v>
      </c>
      <c r="F1103" s="1049">
        <v>50</v>
      </c>
      <c r="G1103" s="1049"/>
      <c r="H1103" s="564"/>
      <c r="I1103" s="609"/>
      <c r="J1103" s="1155"/>
      <c r="K1103" s="609"/>
      <c r="L1103" s="609"/>
      <c r="M1103" s="609"/>
      <c r="N1103" s="599"/>
      <c r="O1103" s="552" t="s">
        <v>1584</v>
      </c>
      <c r="P1103" s="603"/>
      <c r="Q1103" s="682"/>
      <c r="R1103" s="682"/>
      <c r="S1103" s="682"/>
      <c r="T1103" s="682"/>
      <c r="U1103" s="682"/>
      <c r="V1103" s="682"/>
      <c r="W1103" s="682"/>
    </row>
    <row r="1104" spans="1:23">
      <c r="A1104" s="1045">
        <f t="shared" si="17"/>
        <v>6</v>
      </c>
      <c r="B1104" s="134">
        <v>45454</v>
      </c>
      <c r="C1104" s="70">
        <v>2018</v>
      </c>
      <c r="D1104" s="70" t="s">
        <v>58</v>
      </c>
      <c r="E1104" s="280" t="s">
        <v>3537</v>
      </c>
      <c r="F1104" s="1049">
        <v>2.5</v>
      </c>
      <c r="G1104" s="1049"/>
      <c r="H1104" s="564"/>
      <c r="I1104" s="609"/>
      <c r="J1104" s="1155"/>
      <c r="K1104" s="609"/>
      <c r="L1104" s="609"/>
      <c r="M1104" s="609"/>
      <c r="N1104" s="599"/>
      <c r="O1104" s="552" t="s">
        <v>1584</v>
      </c>
      <c r="P1104" s="603"/>
      <c r="Q1104" s="682"/>
      <c r="R1104" s="682"/>
      <c r="S1104" s="682"/>
      <c r="T1104" s="682"/>
      <c r="U1104" s="682"/>
      <c r="V1104" s="682"/>
      <c r="W1104" s="682"/>
    </row>
    <row r="1105" spans="1:23">
      <c r="A1105" s="1045">
        <f t="shared" si="17"/>
        <v>6</v>
      </c>
      <c r="B1105" s="134">
        <v>45454</v>
      </c>
      <c r="C1105" s="70">
        <v>5250</v>
      </c>
      <c r="D1105" s="70" t="s">
        <v>85</v>
      </c>
      <c r="E1105" s="280" t="s">
        <v>3538</v>
      </c>
      <c r="F1105" s="1049">
        <v>38</v>
      </c>
      <c r="G1105" s="1049"/>
      <c r="H1105" s="564"/>
      <c r="I1105" s="609"/>
      <c r="J1105" s="1155"/>
      <c r="K1105" s="609"/>
      <c r="L1105" s="609"/>
      <c r="M1105" s="609"/>
      <c r="N1105" s="599"/>
      <c r="O1105" s="552" t="s">
        <v>1584</v>
      </c>
      <c r="P1105" s="603"/>
      <c r="Q1105" s="682"/>
      <c r="R1105" s="682"/>
      <c r="S1105" s="682"/>
      <c r="T1105" s="682"/>
      <c r="U1105" s="682"/>
      <c r="V1105" s="682"/>
      <c r="W1105" s="682"/>
    </row>
    <row r="1106" spans="1:23">
      <c r="A1106" s="1045">
        <f t="shared" si="17"/>
        <v>6</v>
      </c>
      <c r="B1106" s="134">
        <v>45454</v>
      </c>
      <c r="C1106" s="70">
        <v>2018</v>
      </c>
      <c r="D1106" s="70" t="s">
        <v>58</v>
      </c>
      <c r="E1106" s="280" t="s">
        <v>3538</v>
      </c>
      <c r="F1106" s="1049">
        <v>1.9</v>
      </c>
      <c r="G1106" s="1049"/>
      <c r="H1106" s="564"/>
      <c r="I1106" s="609"/>
      <c r="J1106" s="1155"/>
      <c r="K1106" s="609"/>
      <c r="L1106" s="609"/>
      <c r="M1106" s="609"/>
      <c r="N1106" s="599"/>
      <c r="O1106" s="552" t="s">
        <v>1584</v>
      </c>
      <c r="P1106" s="603"/>
      <c r="Q1106" s="682"/>
      <c r="R1106" s="682"/>
      <c r="S1106" s="682"/>
      <c r="T1106" s="682"/>
      <c r="U1106" s="682"/>
      <c r="V1106" s="682"/>
      <c r="W1106" s="682"/>
    </row>
    <row r="1107" spans="1:23">
      <c r="A1107" s="1045">
        <f t="shared" si="17"/>
        <v>6</v>
      </c>
      <c r="B1107" s="134">
        <v>45454</v>
      </c>
      <c r="C1107" s="70">
        <v>5250</v>
      </c>
      <c r="D1107" s="70" t="s">
        <v>85</v>
      </c>
      <c r="E1107" s="280" t="s">
        <v>3539</v>
      </c>
      <c r="F1107" s="1049">
        <v>90.48</v>
      </c>
      <c r="G1107" s="1049"/>
      <c r="H1107" s="564"/>
      <c r="I1107" s="609"/>
      <c r="J1107" s="1155"/>
      <c r="K1107" s="609"/>
      <c r="L1107" s="609"/>
      <c r="M1107" s="609"/>
      <c r="N1107" s="599"/>
      <c r="O1107" s="552" t="s">
        <v>1584</v>
      </c>
      <c r="P1107" s="603"/>
      <c r="Q1107" s="682"/>
      <c r="R1107" s="682"/>
      <c r="S1107" s="682"/>
      <c r="T1107" s="682"/>
      <c r="U1107" s="682"/>
      <c r="V1107" s="682"/>
      <c r="W1107" s="682"/>
    </row>
    <row r="1108" spans="1:23">
      <c r="A1108" s="1045">
        <f t="shared" si="17"/>
        <v>6</v>
      </c>
      <c r="B1108" s="134">
        <v>45454</v>
      </c>
      <c r="C1108" s="70">
        <v>2018</v>
      </c>
      <c r="D1108" s="70" t="s">
        <v>58</v>
      </c>
      <c r="E1108" s="280" t="s">
        <v>3539</v>
      </c>
      <c r="F1108" s="1049">
        <v>4.5199999999999996</v>
      </c>
      <c r="G1108" s="1049"/>
      <c r="H1108" s="564"/>
      <c r="I1108" s="609"/>
      <c r="J1108" s="1155"/>
      <c r="K1108" s="609"/>
      <c r="L1108" s="609"/>
      <c r="M1108" s="609"/>
      <c r="N1108" s="599"/>
      <c r="O1108" s="552" t="s">
        <v>1584</v>
      </c>
      <c r="P1108" s="603"/>
      <c r="Q1108" s="682"/>
      <c r="R1108" s="682"/>
      <c r="S1108" s="682"/>
      <c r="T1108" s="682"/>
      <c r="U1108" s="682"/>
      <c r="V1108" s="682"/>
      <c r="W1108" s="682"/>
    </row>
    <row r="1109" spans="1:23">
      <c r="A1109" s="1045">
        <f t="shared" ref="A1109:A1172" si="18">IF(B1109="","",MONTH(B1109))</f>
        <v>6</v>
      </c>
      <c r="B1109" s="134">
        <v>45455</v>
      </c>
      <c r="C1109" s="70">
        <v>5250</v>
      </c>
      <c r="D1109" s="70" t="s">
        <v>85</v>
      </c>
      <c r="E1109" s="280" t="s">
        <v>3540</v>
      </c>
      <c r="F1109" s="1049">
        <v>52.5</v>
      </c>
      <c r="G1109" s="1049"/>
      <c r="H1109" s="564"/>
      <c r="I1109" s="609"/>
      <c r="J1109" s="1155"/>
      <c r="K1109" s="609"/>
      <c r="L1109" s="609"/>
      <c r="M1109" s="609"/>
      <c r="N1109" s="599"/>
      <c r="O1109" s="552" t="s">
        <v>1584</v>
      </c>
      <c r="P1109" s="603"/>
      <c r="Q1109" s="682"/>
      <c r="R1109" s="682"/>
      <c r="S1109" s="682"/>
      <c r="T1109" s="682"/>
      <c r="U1109" s="682"/>
      <c r="V1109" s="682"/>
      <c r="W1109" s="682"/>
    </row>
    <row r="1110" spans="1:23">
      <c r="A1110" s="1045">
        <f t="shared" si="18"/>
        <v>6</v>
      </c>
      <c r="B1110" s="134">
        <v>45455</v>
      </c>
      <c r="C1110" s="70">
        <v>2018</v>
      </c>
      <c r="D1110" s="70" t="s">
        <v>58</v>
      </c>
      <c r="E1110" s="280" t="s">
        <v>3540</v>
      </c>
      <c r="F1110" s="1049">
        <v>2.63</v>
      </c>
      <c r="G1110" s="1049"/>
      <c r="H1110" s="564"/>
      <c r="I1110" s="609"/>
      <c r="J1110" s="1155"/>
      <c r="K1110" s="609"/>
      <c r="L1110" s="609"/>
      <c r="M1110" s="609"/>
      <c r="N1110" s="599"/>
      <c r="O1110" s="552" t="s">
        <v>1584</v>
      </c>
      <c r="P1110" s="603"/>
      <c r="Q1110" s="682"/>
      <c r="R1110" s="682"/>
      <c r="S1110" s="682"/>
      <c r="T1110" s="682"/>
      <c r="U1110" s="682"/>
      <c r="V1110" s="682"/>
      <c r="W1110" s="682"/>
    </row>
    <row r="1111" spans="1:23">
      <c r="A1111" s="1045">
        <f t="shared" si="18"/>
        <v>6</v>
      </c>
      <c r="B1111" s="134">
        <v>45455</v>
      </c>
      <c r="C1111" s="70">
        <v>5250</v>
      </c>
      <c r="D1111" s="70" t="s">
        <v>85</v>
      </c>
      <c r="E1111" s="280" t="s">
        <v>3541</v>
      </c>
      <c r="F1111" s="1049">
        <v>70</v>
      </c>
      <c r="G1111" s="1049"/>
      <c r="H1111" s="564"/>
      <c r="I1111" s="609"/>
      <c r="J1111" s="1155"/>
      <c r="K1111" s="609"/>
      <c r="L1111" s="609"/>
      <c r="M1111" s="609"/>
      <c r="N1111" s="599"/>
      <c r="O1111" s="552" t="s">
        <v>1584</v>
      </c>
      <c r="P1111" s="603"/>
      <c r="Q1111" s="682"/>
      <c r="R1111" s="682"/>
      <c r="S1111" s="682"/>
      <c r="T1111" s="682"/>
      <c r="U1111" s="682"/>
      <c r="V1111" s="682"/>
      <c r="W1111" s="682"/>
    </row>
    <row r="1112" spans="1:23">
      <c r="A1112" s="1045">
        <f t="shared" si="18"/>
        <v>6</v>
      </c>
      <c r="B1112" s="134">
        <v>45455</v>
      </c>
      <c r="C1112" s="70">
        <v>2018</v>
      </c>
      <c r="D1112" s="70" t="s">
        <v>58</v>
      </c>
      <c r="E1112" s="280" t="s">
        <v>3541</v>
      </c>
      <c r="F1112" s="1049">
        <v>3.5</v>
      </c>
      <c r="G1112" s="1049"/>
      <c r="H1112" s="564"/>
      <c r="I1112" s="609"/>
      <c r="J1112" s="1155"/>
      <c r="K1112" s="609"/>
      <c r="L1112" s="609"/>
      <c r="M1112" s="609"/>
      <c r="N1112" s="599"/>
      <c r="O1112" s="552" t="s">
        <v>1584</v>
      </c>
      <c r="P1112" s="603"/>
      <c r="Q1112" s="682"/>
      <c r="R1112" s="682"/>
      <c r="S1112" s="682"/>
      <c r="T1112" s="682"/>
      <c r="U1112" s="682"/>
      <c r="V1112" s="682"/>
      <c r="W1112" s="682"/>
    </row>
    <row r="1113" spans="1:23">
      <c r="A1113" s="1045">
        <f t="shared" si="18"/>
        <v>6</v>
      </c>
      <c r="B1113" s="134">
        <v>45455</v>
      </c>
      <c r="C1113" s="70">
        <v>5250</v>
      </c>
      <c r="D1113" s="70" t="s">
        <v>85</v>
      </c>
      <c r="E1113" s="280" t="s">
        <v>3542</v>
      </c>
      <c r="F1113" s="1049">
        <v>3800</v>
      </c>
      <c r="G1113" s="1049"/>
      <c r="H1113" s="564"/>
      <c r="I1113" s="609"/>
      <c r="J1113" s="1155"/>
      <c r="K1113" s="609"/>
      <c r="L1113" s="609"/>
      <c r="M1113" s="609"/>
      <c r="N1113" s="599"/>
      <c r="O1113" s="552" t="s">
        <v>1584</v>
      </c>
      <c r="P1113" s="603"/>
      <c r="Q1113" s="682"/>
      <c r="R1113" s="682"/>
      <c r="S1113" s="682"/>
      <c r="T1113" s="682"/>
      <c r="U1113" s="682"/>
      <c r="V1113" s="682"/>
      <c r="W1113" s="682"/>
    </row>
    <row r="1114" spans="1:23">
      <c r="A1114" s="1045">
        <f t="shared" si="18"/>
        <v>6</v>
      </c>
      <c r="B1114" s="134">
        <v>45455</v>
      </c>
      <c r="C1114" s="70">
        <v>2018</v>
      </c>
      <c r="D1114" s="70" t="s">
        <v>58</v>
      </c>
      <c r="E1114" s="280" t="s">
        <v>3542</v>
      </c>
      <c r="F1114" s="1049">
        <v>190</v>
      </c>
      <c r="G1114" s="1049"/>
      <c r="H1114" s="564"/>
      <c r="I1114" s="609"/>
      <c r="J1114" s="1155"/>
      <c r="K1114" s="609"/>
      <c r="L1114" s="609"/>
      <c r="M1114" s="609"/>
      <c r="N1114" s="599"/>
      <c r="O1114" s="552" t="s">
        <v>1584</v>
      </c>
      <c r="P1114" s="603"/>
      <c r="Q1114" s="682"/>
      <c r="R1114" s="682"/>
      <c r="S1114" s="682"/>
      <c r="T1114" s="682"/>
      <c r="U1114" s="682"/>
      <c r="V1114" s="682"/>
      <c r="W1114" s="682"/>
    </row>
    <row r="1115" spans="1:23">
      <c r="A1115" s="1045">
        <f t="shared" si="18"/>
        <v>6</v>
      </c>
      <c r="B1115" s="134">
        <v>45455</v>
      </c>
      <c r="C1115" s="70">
        <v>5250</v>
      </c>
      <c r="D1115" s="70" t="s">
        <v>85</v>
      </c>
      <c r="E1115" s="280" t="s">
        <v>3543</v>
      </c>
      <c r="F1115" s="1049">
        <v>1777</v>
      </c>
      <c r="G1115" s="1049"/>
      <c r="H1115" s="564"/>
      <c r="I1115" s="609"/>
      <c r="J1115" s="1155"/>
      <c r="K1115" s="609"/>
      <c r="L1115" s="609"/>
      <c r="M1115" s="609"/>
      <c r="N1115" s="599"/>
      <c r="O1115" s="552" t="s">
        <v>1584</v>
      </c>
      <c r="P1115" s="603"/>
      <c r="Q1115" s="682"/>
      <c r="R1115" s="682"/>
      <c r="S1115" s="682"/>
      <c r="T1115" s="682"/>
      <c r="U1115" s="682"/>
      <c r="V1115" s="682"/>
      <c r="W1115" s="682"/>
    </row>
    <row r="1116" spans="1:23">
      <c r="A1116" s="1045">
        <f t="shared" si="18"/>
        <v>6</v>
      </c>
      <c r="B1116" s="134">
        <v>45455</v>
      </c>
      <c r="C1116" s="70">
        <v>2018</v>
      </c>
      <c r="D1116" s="70" t="s">
        <v>58</v>
      </c>
      <c r="E1116" s="280" t="s">
        <v>3543</v>
      </c>
      <c r="F1116" s="1049">
        <v>88.85</v>
      </c>
      <c r="G1116" s="1049"/>
      <c r="H1116" s="564"/>
      <c r="I1116" s="609"/>
      <c r="J1116" s="1155"/>
      <c r="K1116" s="609"/>
      <c r="L1116" s="609"/>
      <c r="M1116" s="609"/>
      <c r="N1116" s="599"/>
      <c r="O1116" s="552" t="s">
        <v>1584</v>
      </c>
      <c r="P1116" s="603"/>
      <c r="Q1116" s="682"/>
      <c r="R1116" s="682"/>
      <c r="S1116" s="682"/>
      <c r="T1116" s="682"/>
      <c r="U1116" s="682"/>
      <c r="V1116" s="682"/>
      <c r="W1116" s="682"/>
    </row>
    <row r="1117" spans="1:23">
      <c r="A1117" s="1045">
        <f t="shared" si="18"/>
        <v>6</v>
      </c>
      <c r="B1117" s="134">
        <v>45455</v>
      </c>
      <c r="C1117" s="70">
        <v>5250</v>
      </c>
      <c r="D1117" s="70" t="s">
        <v>85</v>
      </c>
      <c r="E1117" s="280" t="s">
        <v>3544</v>
      </c>
      <c r="F1117" s="1049">
        <v>461.57</v>
      </c>
      <c r="G1117" s="1049"/>
      <c r="H1117" s="564"/>
      <c r="I1117" s="609"/>
      <c r="J1117" s="1155"/>
      <c r="K1117" s="609"/>
      <c r="L1117" s="609"/>
      <c r="M1117" s="609"/>
      <c r="N1117" s="599"/>
      <c r="O1117" s="552" t="s">
        <v>1584</v>
      </c>
      <c r="P1117" s="603"/>
      <c r="Q1117" s="682"/>
      <c r="R1117" s="682"/>
      <c r="S1117" s="682"/>
      <c r="T1117" s="682"/>
      <c r="U1117" s="682"/>
      <c r="V1117" s="682"/>
      <c r="W1117" s="682"/>
    </row>
    <row r="1118" spans="1:23">
      <c r="A1118" s="1045">
        <f t="shared" si="18"/>
        <v>6</v>
      </c>
      <c r="B1118" s="134">
        <v>45455</v>
      </c>
      <c r="C1118" s="70">
        <v>2018</v>
      </c>
      <c r="D1118" s="70" t="s">
        <v>58</v>
      </c>
      <c r="E1118" s="280" t="s">
        <v>3544</v>
      </c>
      <c r="F1118" s="1049">
        <v>23.08</v>
      </c>
      <c r="G1118" s="1049"/>
      <c r="H1118" s="564"/>
      <c r="I1118" s="609"/>
      <c r="J1118" s="1155"/>
      <c r="K1118" s="609"/>
      <c r="L1118" s="609"/>
      <c r="M1118" s="609"/>
      <c r="N1118" s="599"/>
      <c r="O1118" s="552" t="s">
        <v>1584</v>
      </c>
      <c r="P1118" s="603"/>
      <c r="Q1118" s="682"/>
      <c r="R1118" s="682"/>
      <c r="S1118" s="682"/>
      <c r="T1118" s="682"/>
      <c r="U1118" s="682"/>
      <c r="V1118" s="682"/>
      <c r="W1118" s="682"/>
    </row>
    <row r="1119" spans="1:23">
      <c r="A1119" s="1045">
        <f t="shared" si="18"/>
        <v>6</v>
      </c>
      <c r="B1119" s="134">
        <v>45456</v>
      </c>
      <c r="C1119" s="70">
        <v>5250</v>
      </c>
      <c r="D1119" s="70" t="s">
        <v>85</v>
      </c>
      <c r="E1119" s="280" t="s">
        <v>3545</v>
      </c>
      <c r="F1119" s="1049">
        <v>194</v>
      </c>
      <c r="G1119" s="1049"/>
      <c r="H1119" s="564"/>
      <c r="I1119" s="609"/>
      <c r="J1119" s="1155"/>
      <c r="K1119" s="609"/>
      <c r="L1119" s="609"/>
      <c r="M1119" s="609"/>
      <c r="N1119" s="599"/>
      <c r="O1119" s="552" t="s">
        <v>1584</v>
      </c>
      <c r="P1119" s="603"/>
      <c r="Q1119" s="682"/>
      <c r="R1119" s="682"/>
      <c r="S1119" s="682"/>
      <c r="T1119" s="682"/>
      <c r="U1119" s="682"/>
      <c r="V1119" s="682"/>
      <c r="W1119" s="682"/>
    </row>
    <row r="1120" spans="1:23">
      <c r="A1120" s="1045">
        <f t="shared" si="18"/>
        <v>6</v>
      </c>
      <c r="B1120" s="134">
        <v>45456</v>
      </c>
      <c r="C1120" s="70">
        <v>2018</v>
      </c>
      <c r="D1120" s="70" t="s">
        <v>58</v>
      </c>
      <c r="E1120" s="280" t="s">
        <v>3545</v>
      </c>
      <c r="F1120" s="1049">
        <v>9.6999999999999993</v>
      </c>
      <c r="G1120" s="1049"/>
      <c r="H1120" s="564"/>
      <c r="I1120" s="609"/>
      <c r="J1120" s="1155"/>
      <c r="K1120" s="609"/>
      <c r="L1120" s="609"/>
      <c r="M1120" s="609"/>
      <c r="N1120" s="599"/>
      <c r="O1120" s="552" t="s">
        <v>1584</v>
      </c>
      <c r="P1120" s="603"/>
      <c r="Q1120" s="682"/>
      <c r="R1120" s="682"/>
      <c r="S1120" s="682"/>
      <c r="T1120" s="682"/>
      <c r="U1120" s="682"/>
      <c r="V1120" s="682"/>
      <c r="W1120" s="682"/>
    </row>
    <row r="1121" spans="1:23">
      <c r="A1121" s="1045">
        <f t="shared" si="18"/>
        <v>6</v>
      </c>
      <c r="B1121" s="134">
        <v>45456</v>
      </c>
      <c r="C1121" s="70">
        <v>5250</v>
      </c>
      <c r="D1121" s="70" t="s">
        <v>85</v>
      </c>
      <c r="E1121" s="280" t="s">
        <v>3546</v>
      </c>
      <c r="F1121" s="1049">
        <v>5</v>
      </c>
      <c r="G1121" s="1049"/>
      <c r="H1121" s="564"/>
      <c r="I1121" s="609"/>
      <c r="J1121" s="1155"/>
      <c r="K1121" s="609"/>
      <c r="L1121" s="609"/>
      <c r="M1121" s="609"/>
      <c r="N1121" s="599"/>
      <c r="O1121" s="552" t="s">
        <v>1584</v>
      </c>
      <c r="P1121" s="603"/>
      <c r="Q1121" s="682"/>
      <c r="R1121" s="682"/>
      <c r="S1121" s="682"/>
      <c r="T1121" s="682"/>
      <c r="U1121" s="682"/>
      <c r="V1121" s="682"/>
      <c r="W1121" s="682"/>
    </row>
    <row r="1122" spans="1:23">
      <c r="A1122" s="1045">
        <f t="shared" si="18"/>
        <v>6</v>
      </c>
      <c r="B1122" s="134">
        <v>45456</v>
      </c>
      <c r="C1122" s="70">
        <v>5250</v>
      </c>
      <c r="D1122" s="70" t="s">
        <v>85</v>
      </c>
      <c r="E1122" s="280" t="s">
        <v>3547</v>
      </c>
      <c r="F1122" s="1049">
        <v>19.05</v>
      </c>
      <c r="G1122" s="1049"/>
      <c r="H1122" s="564"/>
      <c r="I1122" s="609"/>
      <c r="J1122" s="1155"/>
      <c r="K1122" s="609"/>
      <c r="L1122" s="609"/>
      <c r="M1122" s="609"/>
      <c r="N1122" s="599"/>
      <c r="O1122" s="552" t="s">
        <v>1584</v>
      </c>
      <c r="P1122" s="603"/>
      <c r="Q1122" s="682"/>
      <c r="R1122" s="682"/>
      <c r="S1122" s="682"/>
      <c r="T1122" s="682"/>
      <c r="U1122" s="682"/>
      <c r="V1122" s="682"/>
      <c r="W1122" s="682"/>
    </row>
    <row r="1123" spans="1:23">
      <c r="A1123" s="1045">
        <f t="shared" si="18"/>
        <v>6</v>
      </c>
      <c r="B1123" s="134">
        <v>45456</v>
      </c>
      <c r="C1123" s="70">
        <v>2018</v>
      </c>
      <c r="D1123" s="70" t="s">
        <v>58</v>
      </c>
      <c r="E1123" s="280" t="s">
        <v>3547</v>
      </c>
      <c r="F1123" s="1049">
        <v>0.95</v>
      </c>
      <c r="G1123" s="1049"/>
      <c r="H1123" s="564"/>
      <c r="I1123" s="609"/>
      <c r="J1123" s="1155"/>
      <c r="K1123" s="609"/>
      <c r="L1123" s="609"/>
      <c r="M1123" s="609"/>
      <c r="N1123" s="599"/>
      <c r="O1123" s="552" t="s">
        <v>1584</v>
      </c>
      <c r="P1123" s="603"/>
      <c r="Q1123" s="682"/>
      <c r="R1123" s="682"/>
      <c r="S1123" s="682"/>
      <c r="T1123" s="682"/>
      <c r="U1123" s="682"/>
      <c r="V1123" s="682"/>
      <c r="W1123" s="682"/>
    </row>
    <row r="1124" spans="1:23">
      <c r="A1124" s="1045">
        <f t="shared" si="18"/>
        <v>6</v>
      </c>
      <c r="B1124" s="134">
        <v>45456</v>
      </c>
      <c r="C1124" s="70">
        <v>5250</v>
      </c>
      <c r="D1124" s="70" t="s">
        <v>85</v>
      </c>
      <c r="E1124" s="280" t="s">
        <v>3548</v>
      </c>
      <c r="F1124" s="1049">
        <v>28.57</v>
      </c>
      <c r="G1124" s="1049"/>
      <c r="H1124" s="564"/>
      <c r="I1124" s="609"/>
      <c r="J1124" s="1155"/>
      <c r="K1124" s="609"/>
      <c r="L1124" s="609"/>
      <c r="M1124" s="609"/>
      <c r="N1124" s="599"/>
      <c r="O1124" s="552" t="s">
        <v>1584</v>
      </c>
      <c r="P1124" s="603"/>
      <c r="Q1124" s="682"/>
      <c r="R1124" s="682"/>
      <c r="S1124" s="682"/>
      <c r="T1124" s="682"/>
      <c r="U1124" s="682"/>
      <c r="V1124" s="682"/>
      <c r="W1124" s="682"/>
    </row>
    <row r="1125" spans="1:23">
      <c r="A1125" s="1045">
        <f t="shared" si="18"/>
        <v>6</v>
      </c>
      <c r="B1125" s="134">
        <v>45456</v>
      </c>
      <c r="C1125" s="70">
        <v>2018</v>
      </c>
      <c r="D1125" s="70" t="s">
        <v>58</v>
      </c>
      <c r="E1125" s="280" t="s">
        <v>3548</v>
      </c>
      <c r="F1125" s="1049">
        <v>1.43</v>
      </c>
      <c r="G1125" s="1049"/>
      <c r="H1125" s="564"/>
      <c r="I1125" s="609"/>
      <c r="J1125" s="1155"/>
      <c r="K1125" s="609"/>
      <c r="L1125" s="609"/>
      <c r="M1125" s="609"/>
      <c r="N1125" s="599"/>
      <c r="O1125" s="552" t="s">
        <v>1584</v>
      </c>
      <c r="P1125" s="603"/>
      <c r="Q1125" s="682"/>
      <c r="R1125" s="682"/>
      <c r="S1125" s="682"/>
      <c r="T1125" s="682"/>
      <c r="U1125" s="682"/>
      <c r="V1125" s="682"/>
      <c r="W1125" s="682"/>
    </row>
    <row r="1126" spans="1:23">
      <c r="A1126" s="1045">
        <f t="shared" si="18"/>
        <v>6</v>
      </c>
      <c r="B1126" s="134">
        <v>45457</v>
      </c>
      <c r="C1126" s="70">
        <v>5250</v>
      </c>
      <c r="D1126" s="70" t="s">
        <v>85</v>
      </c>
      <c r="E1126" s="280" t="s">
        <v>3549</v>
      </c>
      <c r="F1126" s="1049">
        <v>16</v>
      </c>
      <c r="G1126" s="1049"/>
      <c r="H1126" s="564"/>
      <c r="I1126" s="609"/>
      <c r="J1126" s="1155"/>
      <c r="K1126" s="609"/>
      <c r="L1126" s="609"/>
      <c r="M1126" s="609"/>
      <c r="N1126" s="599"/>
      <c r="O1126" s="552" t="s">
        <v>1584</v>
      </c>
      <c r="P1126" s="603"/>
      <c r="Q1126" s="682"/>
      <c r="R1126" s="682"/>
      <c r="S1126" s="682"/>
      <c r="T1126" s="682"/>
      <c r="U1126" s="682"/>
      <c r="V1126" s="682"/>
      <c r="W1126" s="682"/>
    </row>
    <row r="1127" spans="1:23">
      <c r="A1127" s="1045">
        <f t="shared" si="18"/>
        <v>6</v>
      </c>
      <c r="B1127" s="134">
        <v>45457</v>
      </c>
      <c r="C1127" s="70">
        <v>5200</v>
      </c>
      <c r="D1127" s="70" t="s">
        <v>83</v>
      </c>
      <c r="E1127" s="280" t="s">
        <v>3550</v>
      </c>
      <c r="F1127" s="1049">
        <v>7524</v>
      </c>
      <c r="G1127" s="1049"/>
      <c r="H1127" s="564"/>
      <c r="I1127" s="609"/>
      <c r="J1127" s="1155"/>
      <c r="K1127" s="609"/>
      <c r="L1127" s="609"/>
      <c r="M1127" s="609"/>
      <c r="N1127" s="599"/>
      <c r="O1127" s="552" t="s">
        <v>1584</v>
      </c>
      <c r="P1127" s="603"/>
      <c r="Q1127" s="682"/>
      <c r="R1127" s="682"/>
      <c r="S1127" s="682"/>
      <c r="T1127" s="682"/>
      <c r="U1127" s="682"/>
      <c r="V1127" s="682"/>
      <c r="W1127" s="682"/>
    </row>
    <row r="1128" spans="1:23">
      <c r="A1128" s="1045">
        <f t="shared" si="18"/>
        <v>6</v>
      </c>
      <c r="B1128" s="134">
        <v>45457</v>
      </c>
      <c r="C1128" s="70">
        <v>2018</v>
      </c>
      <c r="D1128" s="70" t="s">
        <v>58</v>
      </c>
      <c r="E1128" s="280" t="s">
        <v>3550</v>
      </c>
      <c r="F1128" s="1049">
        <v>376.19</v>
      </c>
      <c r="G1128" s="1049"/>
      <c r="H1128" s="564"/>
      <c r="I1128" s="609"/>
      <c r="J1128" s="1155"/>
      <c r="K1128" s="609"/>
      <c r="L1128" s="609"/>
      <c r="M1128" s="609"/>
      <c r="N1128" s="599"/>
      <c r="O1128" s="552" t="s">
        <v>1584</v>
      </c>
      <c r="P1128" s="603"/>
      <c r="Q1128" s="682"/>
      <c r="R1128" s="682"/>
      <c r="S1128" s="682"/>
      <c r="T1128" s="682"/>
      <c r="U1128" s="682"/>
      <c r="V1128" s="682"/>
      <c r="W1128" s="682"/>
    </row>
    <row r="1129" spans="1:23">
      <c r="A1129" s="1045">
        <f t="shared" si="18"/>
        <v>6</v>
      </c>
      <c r="B1129" s="134">
        <v>45457</v>
      </c>
      <c r="C1129" s="70">
        <v>5250</v>
      </c>
      <c r="D1129" s="70" t="s">
        <v>85</v>
      </c>
      <c r="E1129" s="280" t="s">
        <v>3551</v>
      </c>
      <c r="F1129" s="1049">
        <v>1845</v>
      </c>
      <c r="G1129" s="1049"/>
      <c r="H1129" s="564"/>
      <c r="I1129" s="609"/>
      <c r="J1129" s="1155"/>
      <c r="K1129" s="609"/>
      <c r="L1129" s="609"/>
      <c r="M1129" s="609"/>
      <c r="N1129" s="599"/>
      <c r="O1129" s="552" t="s">
        <v>1584</v>
      </c>
      <c r="P1129" s="603"/>
      <c r="Q1129" s="682"/>
      <c r="R1129" s="682"/>
      <c r="S1129" s="682"/>
      <c r="T1129" s="682"/>
      <c r="U1129" s="682"/>
      <c r="V1129" s="682"/>
      <c r="W1129" s="682"/>
    </row>
    <row r="1130" spans="1:23">
      <c r="A1130" s="1045">
        <f t="shared" si="18"/>
        <v>6</v>
      </c>
      <c r="B1130" s="134">
        <v>45457</v>
      </c>
      <c r="C1130" s="70">
        <v>2018</v>
      </c>
      <c r="D1130" s="70" t="s">
        <v>58</v>
      </c>
      <c r="E1130" s="280" t="s">
        <v>3551</v>
      </c>
      <c r="F1130" s="1049">
        <v>92.52</v>
      </c>
      <c r="G1130" s="1049"/>
      <c r="H1130" s="564"/>
      <c r="I1130" s="609"/>
      <c r="J1130" s="1155"/>
      <c r="K1130" s="609"/>
      <c r="L1130" s="609"/>
      <c r="M1130" s="609"/>
      <c r="N1130" s="599"/>
      <c r="O1130" s="552" t="s">
        <v>1584</v>
      </c>
      <c r="P1130" s="603"/>
      <c r="Q1130" s="682"/>
      <c r="R1130" s="682"/>
      <c r="S1130" s="682"/>
      <c r="T1130" s="682"/>
      <c r="U1130" s="682"/>
      <c r="V1130" s="682"/>
      <c r="W1130" s="682"/>
    </row>
    <row r="1131" spans="1:23">
      <c r="A1131" s="1045">
        <f t="shared" si="18"/>
        <v>6</v>
      </c>
      <c r="B1131" s="134">
        <v>45457</v>
      </c>
      <c r="C1131" s="70">
        <v>5250</v>
      </c>
      <c r="D1131" s="70" t="s">
        <v>85</v>
      </c>
      <c r="E1131" s="280" t="s">
        <v>3552</v>
      </c>
      <c r="F1131" s="1049">
        <v>857</v>
      </c>
      <c r="G1131" s="1049"/>
      <c r="H1131" s="564"/>
      <c r="I1131" s="609"/>
      <c r="J1131" s="1155"/>
      <c r="K1131" s="609"/>
      <c r="L1131" s="609"/>
      <c r="M1131" s="609"/>
      <c r="N1131" s="599"/>
      <c r="O1131" s="552" t="s">
        <v>1584</v>
      </c>
      <c r="P1131" s="603"/>
      <c r="Q1131" s="682"/>
      <c r="R1131" s="682"/>
      <c r="S1131" s="682"/>
      <c r="T1131" s="682"/>
      <c r="U1131" s="682"/>
      <c r="V1131" s="682"/>
      <c r="W1131" s="682"/>
    </row>
    <row r="1132" spans="1:23">
      <c r="A1132" s="1045">
        <f t="shared" si="18"/>
        <v>6</v>
      </c>
      <c r="B1132" s="134">
        <v>45457</v>
      </c>
      <c r="C1132" s="70">
        <v>2018</v>
      </c>
      <c r="D1132" s="70" t="s">
        <v>58</v>
      </c>
      <c r="E1132" s="280" t="s">
        <v>3552</v>
      </c>
      <c r="F1132" s="1049">
        <v>42.85</v>
      </c>
      <c r="G1132" s="1049"/>
      <c r="H1132" s="564"/>
      <c r="I1132" s="609"/>
      <c r="J1132" s="1155"/>
      <c r="K1132" s="609"/>
      <c r="L1132" s="609"/>
      <c r="M1132" s="609"/>
      <c r="N1132" s="599"/>
      <c r="O1132" s="552" t="s">
        <v>1584</v>
      </c>
      <c r="P1132" s="603"/>
      <c r="Q1132" s="682"/>
      <c r="R1132" s="682"/>
      <c r="S1132" s="682"/>
      <c r="T1132" s="682"/>
      <c r="U1132" s="682"/>
      <c r="V1132" s="682"/>
      <c r="W1132" s="682"/>
    </row>
    <row r="1133" spans="1:23">
      <c r="A1133" s="1045">
        <f t="shared" si="18"/>
        <v>6</v>
      </c>
      <c r="B1133" s="134">
        <v>45458</v>
      </c>
      <c r="C1133" s="70">
        <v>5250</v>
      </c>
      <c r="D1133" s="70" t="s">
        <v>85</v>
      </c>
      <c r="E1133" s="280" t="s">
        <v>3553</v>
      </c>
      <c r="F1133" s="1049">
        <v>35</v>
      </c>
      <c r="G1133" s="1049"/>
      <c r="H1133" s="564"/>
      <c r="I1133" s="609"/>
      <c r="J1133" s="1155"/>
      <c r="K1133" s="609"/>
      <c r="L1133" s="609"/>
      <c r="M1133" s="609"/>
      <c r="N1133" s="599"/>
      <c r="O1133" s="552" t="s">
        <v>1584</v>
      </c>
      <c r="P1133" s="603"/>
      <c r="Q1133" s="682"/>
      <c r="R1133" s="682"/>
      <c r="S1133" s="682"/>
      <c r="T1133" s="682"/>
      <c r="U1133" s="682"/>
      <c r="V1133" s="682"/>
      <c r="W1133" s="682"/>
    </row>
    <row r="1134" spans="1:23">
      <c r="A1134" s="1045">
        <f t="shared" si="18"/>
        <v>6</v>
      </c>
      <c r="B1134" s="134">
        <v>45458</v>
      </c>
      <c r="C1134" s="70">
        <v>2018</v>
      </c>
      <c r="D1134" s="70" t="s">
        <v>58</v>
      </c>
      <c r="E1134" s="280" t="s">
        <v>3553</v>
      </c>
      <c r="F1134" s="1049">
        <v>1.75</v>
      </c>
      <c r="G1134" s="1049"/>
      <c r="H1134" s="564"/>
      <c r="I1134" s="609"/>
      <c r="J1134" s="1155"/>
      <c r="K1134" s="609"/>
      <c r="L1134" s="609"/>
      <c r="M1134" s="609"/>
      <c r="N1134" s="599"/>
      <c r="O1134" s="552" t="s">
        <v>1584</v>
      </c>
      <c r="P1134" s="603"/>
      <c r="Q1134" s="682"/>
      <c r="R1134" s="682"/>
      <c r="S1134" s="682"/>
      <c r="T1134" s="682"/>
      <c r="U1134" s="682"/>
      <c r="V1134" s="682"/>
      <c r="W1134" s="682"/>
    </row>
    <row r="1135" spans="1:23">
      <c r="A1135" s="1045">
        <f t="shared" si="18"/>
        <v>6</v>
      </c>
      <c r="B1135" s="134">
        <v>45460</v>
      </c>
      <c r="C1135" s="70">
        <v>5250</v>
      </c>
      <c r="D1135" s="70" t="s">
        <v>85</v>
      </c>
      <c r="E1135" s="280" t="s">
        <v>3554</v>
      </c>
      <c r="F1135" s="1049">
        <v>37</v>
      </c>
      <c r="G1135" s="1049"/>
      <c r="H1135" s="564"/>
      <c r="I1135" s="609"/>
      <c r="J1135" s="1155"/>
      <c r="K1135" s="609"/>
      <c r="L1135" s="609"/>
      <c r="M1135" s="609"/>
      <c r="N1135" s="599"/>
      <c r="O1135" s="552" t="s">
        <v>1584</v>
      </c>
      <c r="P1135" s="603"/>
      <c r="Q1135" s="682"/>
      <c r="R1135" s="682"/>
      <c r="S1135" s="682"/>
      <c r="T1135" s="682"/>
      <c r="U1135" s="682"/>
      <c r="V1135" s="682"/>
      <c r="W1135" s="682"/>
    </row>
    <row r="1136" spans="1:23">
      <c r="A1136" s="1045">
        <f t="shared" si="18"/>
        <v>6</v>
      </c>
      <c r="B1136" s="134">
        <v>45461</v>
      </c>
      <c r="C1136" s="70">
        <v>5250</v>
      </c>
      <c r="D1136" s="70" t="s">
        <v>85</v>
      </c>
      <c r="E1136" s="280" t="s">
        <v>3555</v>
      </c>
      <c r="F1136" s="1049">
        <v>44.05</v>
      </c>
      <c r="G1136" s="1049"/>
      <c r="H1136" s="564"/>
      <c r="I1136" s="609"/>
      <c r="J1136" s="1155"/>
      <c r="K1136" s="609"/>
      <c r="L1136" s="609"/>
      <c r="M1136" s="609"/>
      <c r="N1136" s="599"/>
      <c r="O1136" s="552" t="s">
        <v>1584</v>
      </c>
      <c r="P1136" s="603"/>
      <c r="Q1136" s="682"/>
      <c r="R1136" s="682"/>
      <c r="S1136" s="682"/>
      <c r="T1136" s="682"/>
      <c r="U1136" s="682"/>
      <c r="V1136" s="682"/>
      <c r="W1136" s="682"/>
    </row>
    <row r="1137" spans="1:23">
      <c r="A1137" s="1045">
        <f t="shared" si="18"/>
        <v>6</v>
      </c>
      <c r="B1137" s="134">
        <v>45461</v>
      </c>
      <c r="C1137" s="70">
        <v>2018</v>
      </c>
      <c r="D1137" s="70" t="s">
        <v>58</v>
      </c>
      <c r="E1137" s="280" t="s">
        <v>3555</v>
      </c>
      <c r="F1137" s="1049">
        <v>2.2000000000000002</v>
      </c>
      <c r="G1137" s="1049"/>
      <c r="H1137" s="564"/>
      <c r="I1137" s="609"/>
      <c r="J1137" s="1155"/>
      <c r="K1137" s="609"/>
      <c r="L1137" s="609"/>
      <c r="M1137" s="609"/>
      <c r="N1137" s="599"/>
      <c r="O1137" s="552" t="s">
        <v>1584</v>
      </c>
      <c r="P1137" s="603"/>
      <c r="Q1137" s="682"/>
      <c r="R1137" s="682"/>
      <c r="S1137" s="682"/>
      <c r="T1137" s="682"/>
      <c r="U1137" s="682"/>
      <c r="V1137" s="682"/>
      <c r="W1137" s="682"/>
    </row>
    <row r="1138" spans="1:23">
      <c r="A1138" s="1045">
        <f t="shared" si="18"/>
        <v>6</v>
      </c>
      <c r="B1138" s="134">
        <v>45461</v>
      </c>
      <c r="C1138" s="70">
        <v>5250</v>
      </c>
      <c r="D1138" s="70" t="s">
        <v>85</v>
      </c>
      <c r="E1138" s="280" t="s">
        <v>3556</v>
      </c>
      <c r="F1138" s="1049">
        <v>4.29</v>
      </c>
      <c r="G1138" s="1049"/>
      <c r="H1138" s="564"/>
      <c r="I1138" s="609"/>
      <c r="J1138" s="1155"/>
      <c r="K1138" s="609"/>
      <c r="L1138" s="609"/>
      <c r="M1138" s="609"/>
      <c r="N1138" s="599"/>
      <c r="O1138" s="552" t="s">
        <v>1584</v>
      </c>
      <c r="P1138" s="603"/>
      <c r="Q1138" s="682"/>
      <c r="R1138" s="682"/>
      <c r="S1138" s="682"/>
      <c r="T1138" s="682"/>
      <c r="U1138" s="682"/>
      <c r="V1138" s="682"/>
      <c r="W1138" s="682"/>
    </row>
    <row r="1139" spans="1:23">
      <c r="A1139" s="1045">
        <f t="shared" si="18"/>
        <v>6</v>
      </c>
      <c r="B1139" s="134">
        <v>45461</v>
      </c>
      <c r="C1139" s="70">
        <v>2018</v>
      </c>
      <c r="D1139" s="70" t="s">
        <v>58</v>
      </c>
      <c r="E1139" s="280" t="s">
        <v>3557</v>
      </c>
      <c r="F1139" s="1049">
        <v>0.21</v>
      </c>
      <c r="G1139" s="1049"/>
      <c r="H1139" s="564"/>
      <c r="I1139" s="609"/>
      <c r="J1139" s="1155"/>
      <c r="K1139" s="609"/>
      <c r="L1139" s="609"/>
      <c r="M1139" s="609"/>
      <c r="N1139" s="599"/>
      <c r="O1139" s="552" t="s">
        <v>1584</v>
      </c>
      <c r="P1139" s="603"/>
      <c r="Q1139" s="682"/>
      <c r="R1139" s="682"/>
      <c r="S1139" s="682"/>
      <c r="T1139" s="682"/>
      <c r="U1139" s="682"/>
      <c r="V1139" s="682"/>
      <c r="W1139" s="682"/>
    </row>
    <row r="1140" spans="1:23">
      <c r="A1140" s="1045">
        <f t="shared" si="18"/>
        <v>6</v>
      </c>
      <c r="B1140" s="134">
        <v>45461</v>
      </c>
      <c r="C1140" s="70">
        <v>5250</v>
      </c>
      <c r="D1140" s="70" t="s">
        <v>85</v>
      </c>
      <c r="E1140" s="280" t="s">
        <v>3558</v>
      </c>
      <c r="F1140" s="1049">
        <v>284.74</v>
      </c>
      <c r="G1140" s="1049"/>
      <c r="H1140" s="564"/>
      <c r="I1140" s="609"/>
      <c r="J1140" s="1155"/>
      <c r="K1140" s="609"/>
      <c r="L1140" s="609"/>
      <c r="M1140" s="609"/>
      <c r="N1140" s="599"/>
      <c r="O1140" s="552" t="s">
        <v>1584</v>
      </c>
      <c r="P1140" s="603"/>
      <c r="Q1140" s="682"/>
      <c r="R1140" s="682"/>
      <c r="S1140" s="682"/>
      <c r="T1140" s="682"/>
      <c r="U1140" s="682"/>
      <c r="V1140" s="682"/>
      <c r="W1140" s="682"/>
    </row>
    <row r="1141" spans="1:23">
      <c r="A1141" s="1045">
        <f t="shared" si="18"/>
        <v>6</v>
      </c>
      <c r="B1141" s="134">
        <v>45461</v>
      </c>
      <c r="C1141" s="70">
        <v>2018</v>
      </c>
      <c r="D1141" s="70" t="s">
        <v>58</v>
      </c>
      <c r="E1141" s="280" t="s">
        <v>3558</v>
      </c>
      <c r="F1141" s="1049">
        <v>14.23</v>
      </c>
      <c r="G1141" s="1049"/>
      <c r="H1141" s="564"/>
      <c r="I1141" s="609"/>
      <c r="J1141" s="1155"/>
      <c r="K1141" s="609"/>
      <c r="L1141" s="609"/>
      <c r="M1141" s="609"/>
      <c r="N1141" s="599"/>
      <c r="O1141" s="552" t="s">
        <v>1584</v>
      </c>
      <c r="P1141" s="603"/>
      <c r="Q1141" s="682"/>
      <c r="R1141" s="682"/>
      <c r="S1141" s="682"/>
      <c r="T1141" s="682"/>
      <c r="U1141" s="682"/>
      <c r="V1141" s="682"/>
      <c r="W1141" s="682"/>
    </row>
    <row r="1142" spans="1:23">
      <c r="A1142" s="1045">
        <f t="shared" si="18"/>
        <v>6</v>
      </c>
      <c r="B1142" s="134">
        <v>45461</v>
      </c>
      <c r="C1142" s="70">
        <v>5250</v>
      </c>
      <c r="D1142" s="70" t="s">
        <v>85</v>
      </c>
      <c r="E1142" s="280" t="s">
        <v>3559</v>
      </c>
      <c r="F1142" s="1049">
        <v>223.57</v>
      </c>
      <c r="G1142" s="1049"/>
      <c r="H1142" s="564"/>
      <c r="I1142" s="609"/>
      <c r="J1142" s="1155"/>
      <c r="K1142" s="609"/>
      <c r="L1142" s="609"/>
      <c r="M1142" s="609"/>
      <c r="N1142" s="599"/>
      <c r="O1142" s="552" t="s">
        <v>1584</v>
      </c>
      <c r="P1142" s="603"/>
      <c r="Q1142" s="682"/>
      <c r="R1142" s="682"/>
      <c r="S1142" s="682"/>
      <c r="T1142" s="682"/>
      <c r="U1142" s="682"/>
      <c r="V1142" s="682"/>
      <c r="W1142" s="682"/>
    </row>
    <row r="1143" spans="1:23">
      <c r="A1143" s="1045">
        <f t="shared" si="18"/>
        <v>6</v>
      </c>
      <c r="B1143" s="134">
        <v>45461</v>
      </c>
      <c r="C1143" s="70">
        <v>2018</v>
      </c>
      <c r="D1143" s="70" t="s">
        <v>58</v>
      </c>
      <c r="E1143" s="280" t="s">
        <v>3559</v>
      </c>
      <c r="F1143" s="1049">
        <v>11.18</v>
      </c>
      <c r="G1143" s="1049"/>
      <c r="H1143" s="564"/>
      <c r="I1143" s="609"/>
      <c r="J1143" s="1155"/>
      <c r="K1143" s="609"/>
      <c r="L1143" s="609"/>
      <c r="M1143" s="609"/>
      <c r="N1143" s="599"/>
      <c r="O1143" s="552" t="s">
        <v>1584</v>
      </c>
      <c r="P1143" s="603"/>
      <c r="Q1143" s="682"/>
      <c r="R1143" s="682"/>
      <c r="S1143" s="682"/>
      <c r="T1143" s="682"/>
      <c r="U1143" s="682"/>
      <c r="V1143" s="682"/>
      <c r="W1143" s="682"/>
    </row>
    <row r="1144" spans="1:23">
      <c r="A1144" s="1045">
        <f t="shared" si="18"/>
        <v>6</v>
      </c>
      <c r="B1144" s="134">
        <v>45462</v>
      </c>
      <c r="C1144" s="70">
        <v>5250</v>
      </c>
      <c r="D1144" s="70" t="s">
        <v>85</v>
      </c>
      <c r="E1144" s="280" t="s">
        <v>3560</v>
      </c>
      <c r="F1144" s="1049">
        <v>12</v>
      </c>
      <c r="G1144" s="1049"/>
      <c r="H1144" s="564"/>
      <c r="I1144" s="609"/>
      <c r="J1144" s="1155"/>
      <c r="K1144" s="609"/>
      <c r="L1144" s="609"/>
      <c r="M1144" s="609"/>
      <c r="N1144" s="599"/>
      <c r="O1144" s="552" t="s">
        <v>1584</v>
      </c>
      <c r="P1144" s="603"/>
      <c r="Q1144" s="682"/>
      <c r="R1144" s="682"/>
      <c r="S1144" s="682"/>
      <c r="T1144" s="682"/>
      <c r="U1144" s="682"/>
      <c r="V1144" s="682"/>
      <c r="W1144" s="682"/>
    </row>
    <row r="1145" spans="1:23">
      <c r="A1145" s="1045">
        <f t="shared" si="18"/>
        <v>6</v>
      </c>
      <c r="B1145" s="134">
        <v>45462</v>
      </c>
      <c r="C1145" s="70">
        <v>2018</v>
      </c>
      <c r="D1145" s="70" t="s">
        <v>58</v>
      </c>
      <c r="E1145" s="280" t="s">
        <v>3560</v>
      </c>
      <c r="F1145" s="1049">
        <v>0.6</v>
      </c>
      <c r="G1145" s="1049"/>
      <c r="H1145" s="564"/>
      <c r="I1145" s="609"/>
      <c r="J1145" s="1155"/>
      <c r="K1145" s="609"/>
      <c r="L1145" s="609"/>
      <c r="M1145" s="609"/>
      <c r="N1145" s="599"/>
      <c r="O1145" s="552" t="s">
        <v>1584</v>
      </c>
      <c r="P1145" s="603"/>
      <c r="Q1145" s="682"/>
      <c r="R1145" s="682"/>
      <c r="S1145" s="682"/>
      <c r="T1145" s="682"/>
      <c r="U1145" s="682"/>
      <c r="V1145" s="682"/>
      <c r="W1145" s="682"/>
    </row>
    <row r="1146" spans="1:23">
      <c r="A1146" s="1045">
        <f t="shared" si="18"/>
        <v>6</v>
      </c>
      <c r="B1146" s="134">
        <v>45462</v>
      </c>
      <c r="C1146" s="70">
        <v>5250</v>
      </c>
      <c r="D1146" s="70" t="s">
        <v>85</v>
      </c>
      <c r="E1146" s="280" t="s">
        <v>3561</v>
      </c>
      <c r="F1146" s="1049">
        <v>81</v>
      </c>
      <c r="G1146" s="1049"/>
      <c r="H1146" s="564"/>
      <c r="I1146" s="609"/>
      <c r="J1146" s="1155"/>
      <c r="K1146" s="609"/>
      <c r="L1146" s="609"/>
      <c r="M1146" s="609"/>
      <c r="N1146" s="599"/>
      <c r="O1146" s="552" t="s">
        <v>1584</v>
      </c>
      <c r="P1146" s="603"/>
      <c r="Q1146" s="682"/>
      <c r="R1146" s="682"/>
      <c r="S1146" s="682"/>
      <c r="T1146" s="682"/>
      <c r="U1146" s="682"/>
      <c r="V1146" s="682"/>
      <c r="W1146" s="682"/>
    </row>
    <row r="1147" spans="1:23">
      <c r="A1147" s="1045">
        <f t="shared" si="18"/>
        <v>6</v>
      </c>
      <c r="B1147" s="134">
        <v>45462</v>
      </c>
      <c r="C1147" s="70">
        <v>2018</v>
      </c>
      <c r="D1147" s="70" t="s">
        <v>58</v>
      </c>
      <c r="E1147" s="280" t="s">
        <v>3561</v>
      </c>
      <c r="F1147" s="1049">
        <v>4.05</v>
      </c>
      <c r="G1147" s="1049"/>
      <c r="H1147" s="564"/>
      <c r="I1147" s="609"/>
      <c r="J1147" s="1155"/>
      <c r="K1147" s="609"/>
      <c r="L1147" s="609"/>
      <c r="M1147" s="609"/>
      <c r="N1147" s="599"/>
      <c r="O1147" s="552" t="s">
        <v>1584</v>
      </c>
      <c r="P1147" s="603"/>
      <c r="Q1147" s="682"/>
      <c r="R1147" s="682"/>
      <c r="S1147" s="682"/>
      <c r="T1147" s="682"/>
      <c r="U1147" s="682"/>
      <c r="V1147" s="682"/>
      <c r="W1147" s="682"/>
    </row>
    <row r="1148" spans="1:23">
      <c r="A1148" s="1045">
        <f t="shared" si="18"/>
        <v>6</v>
      </c>
      <c r="B1148" s="134">
        <v>45462</v>
      </c>
      <c r="C1148" s="70">
        <v>5250</v>
      </c>
      <c r="D1148" s="70" t="s">
        <v>85</v>
      </c>
      <c r="E1148" s="280" t="s">
        <v>3562</v>
      </c>
      <c r="F1148" s="1049">
        <v>210</v>
      </c>
      <c r="G1148" s="1049"/>
      <c r="H1148" s="564"/>
      <c r="I1148" s="609"/>
      <c r="J1148" s="1155"/>
      <c r="K1148" s="609"/>
      <c r="L1148" s="609"/>
      <c r="M1148" s="609"/>
      <c r="N1148" s="599"/>
      <c r="O1148" s="552" t="s">
        <v>1584</v>
      </c>
      <c r="P1148" s="603"/>
      <c r="Q1148" s="682"/>
      <c r="R1148" s="682"/>
      <c r="S1148" s="682"/>
      <c r="T1148" s="682"/>
      <c r="U1148" s="682"/>
      <c r="V1148" s="682"/>
      <c r="W1148" s="682"/>
    </row>
    <row r="1149" spans="1:23">
      <c r="A1149" s="1045">
        <f t="shared" si="18"/>
        <v>6</v>
      </c>
      <c r="B1149" s="134">
        <v>45462</v>
      </c>
      <c r="C1149" s="70">
        <v>2018</v>
      </c>
      <c r="D1149" s="70" t="s">
        <v>58</v>
      </c>
      <c r="E1149" s="280" t="s">
        <v>3562</v>
      </c>
      <c r="F1149" s="1049">
        <v>10.5</v>
      </c>
      <c r="G1149" s="1049"/>
      <c r="H1149" s="564"/>
      <c r="I1149" s="609"/>
      <c r="J1149" s="1155"/>
      <c r="K1149" s="609"/>
      <c r="L1149" s="609"/>
      <c r="M1149" s="609"/>
      <c r="N1149" s="599"/>
      <c r="O1149" s="552" t="s">
        <v>1584</v>
      </c>
      <c r="P1149" s="603"/>
      <c r="Q1149" s="682"/>
      <c r="R1149" s="682"/>
      <c r="S1149" s="682"/>
      <c r="T1149" s="682"/>
      <c r="U1149" s="682"/>
      <c r="V1149" s="682"/>
      <c r="W1149" s="682"/>
    </row>
    <row r="1150" spans="1:23">
      <c r="A1150" s="1045">
        <f t="shared" si="18"/>
        <v>6</v>
      </c>
      <c r="B1150" s="134">
        <v>45463</v>
      </c>
      <c r="C1150" s="70">
        <v>5250</v>
      </c>
      <c r="D1150" s="70" t="s">
        <v>85</v>
      </c>
      <c r="E1150" s="280" t="s">
        <v>3563</v>
      </c>
      <c r="F1150" s="1049">
        <v>200</v>
      </c>
      <c r="G1150" s="1049"/>
      <c r="H1150" s="564"/>
      <c r="I1150" s="609"/>
      <c r="J1150" s="1155"/>
      <c r="K1150" s="609"/>
      <c r="L1150" s="609"/>
      <c r="M1150" s="609"/>
      <c r="N1150" s="599"/>
      <c r="O1150" s="552" t="s">
        <v>1584</v>
      </c>
      <c r="P1150" s="603"/>
      <c r="Q1150" s="682"/>
      <c r="R1150" s="682"/>
      <c r="S1150" s="682"/>
      <c r="T1150" s="682"/>
      <c r="U1150" s="682"/>
      <c r="V1150" s="682"/>
      <c r="W1150" s="682"/>
    </row>
    <row r="1151" spans="1:23">
      <c r="A1151" s="1045">
        <f t="shared" si="18"/>
        <v>6</v>
      </c>
      <c r="B1151" s="134">
        <v>45463</v>
      </c>
      <c r="C1151" s="70">
        <v>5150</v>
      </c>
      <c r="D1151" s="70" t="s">
        <v>82</v>
      </c>
      <c r="E1151" s="280" t="s">
        <v>3564</v>
      </c>
      <c r="F1151" s="1049">
        <v>5279.99</v>
      </c>
      <c r="G1151" s="1049"/>
      <c r="H1151" s="564"/>
      <c r="I1151" s="609"/>
      <c r="J1151" s="1155"/>
      <c r="K1151" s="609"/>
      <c r="L1151" s="609"/>
      <c r="M1151" s="609"/>
      <c r="N1151" s="599"/>
      <c r="O1151" s="552" t="s">
        <v>1584</v>
      </c>
      <c r="P1151" s="603"/>
      <c r="Q1151" s="682"/>
      <c r="R1151" s="682"/>
      <c r="S1151" s="682"/>
      <c r="T1151" s="682"/>
      <c r="U1151" s="682"/>
      <c r="V1151" s="682"/>
      <c r="W1151" s="682"/>
    </row>
    <row r="1152" spans="1:23">
      <c r="A1152" s="1045">
        <f t="shared" si="18"/>
        <v>6</v>
      </c>
      <c r="B1152" s="134">
        <v>45463</v>
      </c>
      <c r="C1152" s="70">
        <v>2018</v>
      </c>
      <c r="D1152" s="70" t="s">
        <v>58</v>
      </c>
      <c r="E1152" s="280" t="s">
        <v>3564</v>
      </c>
      <c r="F1152" s="1049">
        <v>264</v>
      </c>
      <c r="G1152" s="1049"/>
      <c r="H1152" s="564"/>
      <c r="I1152" s="609"/>
      <c r="J1152" s="1155"/>
      <c r="K1152" s="609"/>
      <c r="L1152" s="609"/>
      <c r="M1152" s="609"/>
      <c r="N1152" s="599"/>
      <c r="O1152" s="552" t="s">
        <v>1584</v>
      </c>
      <c r="P1152" s="603"/>
      <c r="Q1152" s="682"/>
      <c r="R1152" s="682"/>
      <c r="S1152" s="682"/>
      <c r="T1152" s="682"/>
      <c r="U1152" s="682"/>
      <c r="V1152" s="682"/>
      <c r="W1152" s="682"/>
    </row>
    <row r="1153" spans="1:23">
      <c r="A1153" s="1045">
        <f t="shared" si="18"/>
        <v>6</v>
      </c>
      <c r="B1153" s="134">
        <v>45463</v>
      </c>
      <c r="C1153" s="70">
        <v>5150</v>
      </c>
      <c r="D1153" s="70" t="s">
        <v>82</v>
      </c>
      <c r="E1153" s="280" t="s">
        <v>3565</v>
      </c>
      <c r="F1153" s="1049">
        <v>2710</v>
      </c>
      <c r="G1153" s="1049"/>
      <c r="H1153" s="564"/>
      <c r="I1153" s="609"/>
      <c r="J1153" s="1155"/>
      <c r="K1153" s="609"/>
      <c r="L1153" s="609"/>
      <c r="M1153" s="609"/>
      <c r="N1153" s="599"/>
      <c r="O1153" s="552" t="s">
        <v>1584</v>
      </c>
      <c r="P1153" s="603"/>
      <c r="Q1153" s="682"/>
      <c r="R1153" s="682"/>
      <c r="S1153" s="682"/>
      <c r="T1153" s="682"/>
      <c r="U1153" s="682"/>
      <c r="V1153" s="682"/>
      <c r="W1153" s="682"/>
    </row>
    <row r="1154" spans="1:23">
      <c r="A1154" s="1045">
        <f t="shared" si="18"/>
        <v>6</v>
      </c>
      <c r="B1154" s="134">
        <v>45463</v>
      </c>
      <c r="C1154" s="70">
        <v>2018</v>
      </c>
      <c r="D1154" s="70" t="s">
        <v>58</v>
      </c>
      <c r="E1154" s="280" t="s">
        <v>3565</v>
      </c>
      <c r="F1154" s="1049">
        <v>135</v>
      </c>
      <c r="G1154" s="1049"/>
      <c r="H1154" s="564"/>
      <c r="I1154" s="609"/>
      <c r="J1154" s="1155"/>
      <c r="K1154" s="609"/>
      <c r="L1154" s="609"/>
      <c r="M1154" s="609"/>
      <c r="N1154" s="599"/>
      <c r="O1154" s="552" t="s">
        <v>1584</v>
      </c>
      <c r="P1154" s="603"/>
      <c r="Q1154" s="682"/>
      <c r="R1154" s="682"/>
      <c r="S1154" s="682"/>
      <c r="T1154" s="682"/>
      <c r="U1154" s="682"/>
      <c r="V1154" s="682"/>
      <c r="W1154" s="682"/>
    </row>
    <row r="1155" spans="1:23">
      <c r="A1155" s="1045">
        <f t="shared" si="18"/>
        <v>6</v>
      </c>
      <c r="B1155" s="134">
        <v>45463</v>
      </c>
      <c r="C1155" s="70">
        <v>5150</v>
      </c>
      <c r="D1155" s="70" t="s">
        <v>82</v>
      </c>
      <c r="E1155" s="280" t="s">
        <v>3566</v>
      </c>
      <c r="F1155" s="1049">
        <v>8780</v>
      </c>
      <c r="G1155" s="1049"/>
      <c r="H1155" s="564"/>
      <c r="I1155" s="609"/>
      <c r="J1155" s="1155"/>
      <c r="K1155" s="609"/>
      <c r="L1155" s="609"/>
      <c r="M1155" s="609"/>
      <c r="N1155" s="599"/>
      <c r="O1155" s="552" t="s">
        <v>1584</v>
      </c>
      <c r="P1155" s="603"/>
      <c r="Q1155" s="682"/>
      <c r="R1155" s="682"/>
      <c r="S1155" s="682"/>
      <c r="T1155" s="682"/>
      <c r="U1155" s="682"/>
      <c r="V1155" s="682"/>
      <c r="W1155" s="682"/>
    </row>
    <row r="1156" spans="1:23">
      <c r="A1156" s="1045">
        <f t="shared" si="18"/>
        <v>6</v>
      </c>
      <c r="B1156" s="134">
        <v>45463</v>
      </c>
      <c r="C1156" s="70">
        <v>2018</v>
      </c>
      <c r="D1156" s="70" t="s">
        <v>58</v>
      </c>
      <c r="E1156" s="280" t="s">
        <v>3566</v>
      </c>
      <c r="F1156" s="1049">
        <v>439</v>
      </c>
      <c r="G1156" s="1049"/>
      <c r="H1156" s="564"/>
      <c r="I1156" s="609"/>
      <c r="J1156" s="1155"/>
      <c r="K1156" s="609"/>
      <c r="L1156" s="609"/>
      <c r="M1156" s="609"/>
      <c r="N1156" s="599"/>
      <c r="O1156" s="552" t="s">
        <v>1584</v>
      </c>
      <c r="P1156" s="603"/>
      <c r="Q1156" s="682"/>
      <c r="R1156" s="682"/>
      <c r="S1156" s="682"/>
      <c r="T1156" s="682"/>
      <c r="U1156" s="682"/>
      <c r="V1156" s="682"/>
      <c r="W1156" s="682"/>
    </row>
    <row r="1157" spans="1:23">
      <c r="A1157" s="1045">
        <f t="shared" si="18"/>
        <v>6</v>
      </c>
      <c r="B1157" s="134">
        <v>45463</v>
      </c>
      <c r="C1157" s="70">
        <v>5150</v>
      </c>
      <c r="D1157" s="70" t="s">
        <v>82</v>
      </c>
      <c r="E1157" s="280" t="s">
        <v>3567</v>
      </c>
      <c r="F1157" s="1049">
        <v>2700</v>
      </c>
      <c r="G1157" s="1049"/>
      <c r="H1157" s="564"/>
      <c r="I1157" s="609"/>
      <c r="J1157" s="1155"/>
      <c r="K1157" s="609"/>
      <c r="L1157" s="609"/>
      <c r="M1157" s="609"/>
      <c r="N1157" s="599"/>
      <c r="O1157" s="552" t="s">
        <v>1584</v>
      </c>
      <c r="P1157" s="603"/>
      <c r="Q1157" s="682"/>
      <c r="R1157" s="682"/>
      <c r="S1157" s="682"/>
      <c r="T1157" s="682"/>
      <c r="U1157" s="682"/>
      <c r="V1157" s="682"/>
      <c r="W1157" s="682"/>
    </row>
    <row r="1158" spans="1:23">
      <c r="A1158" s="1045">
        <f t="shared" si="18"/>
        <v>6</v>
      </c>
      <c r="B1158" s="134">
        <v>45463</v>
      </c>
      <c r="C1158" s="70">
        <v>2018</v>
      </c>
      <c r="D1158" s="70" t="s">
        <v>58</v>
      </c>
      <c r="E1158" s="280" t="s">
        <v>3567</v>
      </c>
      <c r="F1158" s="1049">
        <v>135</v>
      </c>
      <c r="G1158" s="1049"/>
      <c r="H1158" s="564"/>
      <c r="I1158" s="609"/>
      <c r="J1158" s="1155"/>
      <c r="K1158" s="609"/>
      <c r="L1158" s="609"/>
      <c r="M1158" s="609"/>
      <c r="N1158" s="599"/>
      <c r="O1158" s="552" t="s">
        <v>1584</v>
      </c>
      <c r="P1158" s="603"/>
      <c r="Q1158" s="682"/>
      <c r="R1158" s="682"/>
      <c r="S1158" s="682"/>
      <c r="T1158" s="682"/>
      <c r="U1158" s="682"/>
      <c r="V1158" s="682"/>
      <c r="W1158" s="682"/>
    </row>
    <row r="1159" spans="1:23">
      <c r="A1159" s="1045">
        <f t="shared" si="18"/>
        <v>6</v>
      </c>
      <c r="B1159" s="134">
        <v>45463</v>
      </c>
      <c r="C1159" s="70">
        <v>5150</v>
      </c>
      <c r="D1159" s="70" t="s">
        <v>82</v>
      </c>
      <c r="E1159" s="280" t="s">
        <v>3568</v>
      </c>
      <c r="F1159" s="1049">
        <v>63</v>
      </c>
      <c r="G1159" s="1049"/>
      <c r="H1159" s="564"/>
      <c r="I1159" s="609"/>
      <c r="J1159" s="1155"/>
      <c r="K1159" s="609"/>
      <c r="L1159" s="609"/>
      <c r="M1159" s="609"/>
      <c r="N1159" s="599"/>
      <c r="O1159" s="552" t="s">
        <v>1584</v>
      </c>
      <c r="P1159" s="603"/>
      <c r="Q1159" s="682"/>
      <c r="R1159" s="682"/>
      <c r="S1159" s="682"/>
      <c r="T1159" s="682"/>
      <c r="U1159" s="682"/>
      <c r="V1159" s="682"/>
      <c r="W1159" s="682"/>
    </row>
    <row r="1160" spans="1:23">
      <c r="A1160" s="1045">
        <f t="shared" si="18"/>
        <v>6</v>
      </c>
      <c r="B1160" s="134">
        <v>45463</v>
      </c>
      <c r="C1160" s="70">
        <v>5250</v>
      </c>
      <c r="D1160" s="70" t="s">
        <v>85</v>
      </c>
      <c r="E1160" s="280" t="s">
        <v>3569</v>
      </c>
      <c r="F1160" s="1049">
        <v>840</v>
      </c>
      <c r="G1160" s="1049"/>
      <c r="H1160" s="564"/>
      <c r="I1160" s="609"/>
      <c r="J1160" s="1155"/>
      <c r="K1160" s="609"/>
      <c r="L1160" s="609"/>
      <c r="M1160" s="609"/>
      <c r="N1160" s="599"/>
      <c r="O1160" s="552" t="s">
        <v>1584</v>
      </c>
      <c r="P1160" s="603"/>
      <c r="Q1160" s="682"/>
      <c r="R1160" s="682"/>
      <c r="S1160" s="682"/>
      <c r="T1160" s="682"/>
      <c r="U1160" s="682"/>
      <c r="V1160" s="682"/>
      <c r="W1160" s="682"/>
    </row>
    <row r="1161" spans="1:23">
      <c r="A1161" s="1045">
        <f t="shared" si="18"/>
        <v>6</v>
      </c>
      <c r="B1161" s="134">
        <v>45463</v>
      </c>
      <c r="C1161" s="70">
        <v>2018</v>
      </c>
      <c r="D1161" s="70" t="s">
        <v>58</v>
      </c>
      <c r="E1161" s="280" t="s">
        <v>3569</v>
      </c>
      <c r="F1161" s="1049">
        <v>42</v>
      </c>
      <c r="G1161" s="1049"/>
      <c r="H1161" s="564"/>
      <c r="I1161" s="609"/>
      <c r="J1161" s="1155"/>
      <c r="K1161" s="609"/>
      <c r="L1161" s="609"/>
      <c r="M1161" s="609"/>
      <c r="N1161" s="599"/>
      <c r="O1161" s="552" t="s">
        <v>1584</v>
      </c>
      <c r="P1161" s="603"/>
      <c r="Q1161" s="682"/>
      <c r="R1161" s="682"/>
      <c r="S1161" s="682"/>
      <c r="T1161" s="682"/>
      <c r="U1161" s="682"/>
      <c r="V1161" s="682"/>
      <c r="W1161" s="682"/>
    </row>
    <row r="1162" spans="1:23">
      <c r="A1162" s="1045">
        <f t="shared" si="18"/>
        <v>6</v>
      </c>
      <c r="B1162" s="134">
        <v>45464</v>
      </c>
      <c r="C1162" s="70">
        <v>5200</v>
      </c>
      <c r="D1162" s="70" t="s">
        <v>83</v>
      </c>
      <c r="E1162" s="280" t="s">
        <v>3570</v>
      </c>
      <c r="F1162" s="1049">
        <v>81.2</v>
      </c>
      <c r="G1162" s="1049"/>
      <c r="H1162" s="564"/>
      <c r="I1162" s="609"/>
      <c r="J1162" s="1155"/>
      <c r="K1162" s="609"/>
      <c r="L1162" s="609"/>
      <c r="M1162" s="609"/>
      <c r="N1162" s="599"/>
      <c r="O1162" s="552" t="s">
        <v>1584</v>
      </c>
      <c r="P1162" s="603"/>
      <c r="Q1162" s="682"/>
      <c r="R1162" s="682"/>
      <c r="S1162" s="682"/>
      <c r="T1162" s="682"/>
      <c r="U1162" s="682"/>
      <c r="V1162" s="682"/>
      <c r="W1162" s="682"/>
    </row>
    <row r="1163" spans="1:23">
      <c r="A1163" s="1045">
        <f t="shared" si="18"/>
        <v>6</v>
      </c>
      <c r="B1163" s="134">
        <v>45464</v>
      </c>
      <c r="C1163" s="70">
        <v>2018</v>
      </c>
      <c r="D1163" s="70" t="s">
        <v>58</v>
      </c>
      <c r="E1163" s="280" t="s">
        <v>3570</v>
      </c>
      <c r="F1163" s="1049">
        <v>4.0599999999999996</v>
      </c>
      <c r="G1163" s="1049"/>
      <c r="H1163" s="564"/>
      <c r="I1163" s="609"/>
      <c r="J1163" s="1155"/>
      <c r="K1163" s="609"/>
      <c r="L1163" s="609"/>
      <c r="M1163" s="609"/>
      <c r="N1163" s="599"/>
      <c r="O1163" s="552" t="s">
        <v>1584</v>
      </c>
      <c r="P1163" s="603"/>
      <c r="Q1163" s="682"/>
      <c r="R1163" s="682"/>
      <c r="S1163" s="682"/>
      <c r="T1163" s="682"/>
      <c r="U1163" s="682"/>
      <c r="V1163" s="682"/>
      <c r="W1163" s="682"/>
    </row>
    <row r="1164" spans="1:23">
      <c r="A1164" s="1045">
        <f t="shared" si="18"/>
        <v>6</v>
      </c>
      <c r="B1164" s="134">
        <v>45464</v>
      </c>
      <c r="C1164" s="70">
        <v>5220</v>
      </c>
      <c r="D1164" s="70" t="s">
        <v>84</v>
      </c>
      <c r="E1164" s="280" t="s">
        <v>3571</v>
      </c>
      <c r="F1164" s="1049">
        <v>1498.25</v>
      </c>
      <c r="G1164" s="1049"/>
      <c r="H1164" s="564"/>
      <c r="I1164" s="609"/>
      <c r="J1164" s="1155"/>
      <c r="K1164" s="609"/>
      <c r="L1164" s="609"/>
      <c r="M1164" s="609"/>
      <c r="N1164" s="599"/>
      <c r="O1164" s="552" t="s">
        <v>1584</v>
      </c>
      <c r="P1164" s="603"/>
      <c r="Q1164" s="682"/>
      <c r="R1164" s="682"/>
      <c r="S1164" s="682"/>
      <c r="T1164" s="682"/>
      <c r="U1164" s="682"/>
      <c r="V1164" s="682"/>
      <c r="W1164" s="682"/>
    </row>
    <row r="1165" spans="1:23">
      <c r="A1165" s="1045">
        <f t="shared" si="18"/>
        <v>6</v>
      </c>
      <c r="B1165" s="134">
        <v>45464</v>
      </c>
      <c r="C1165" s="70">
        <v>2018</v>
      </c>
      <c r="D1165" s="70" t="s">
        <v>58</v>
      </c>
      <c r="E1165" s="280" t="s">
        <v>3571</v>
      </c>
      <c r="F1165" s="1049">
        <v>74.91</v>
      </c>
      <c r="G1165" s="1049"/>
      <c r="H1165" s="564"/>
      <c r="I1165" s="609"/>
      <c r="J1165" s="1155"/>
      <c r="K1165" s="609"/>
      <c r="L1165" s="609"/>
      <c r="M1165" s="609"/>
      <c r="N1165" s="599"/>
      <c r="O1165" s="552" t="s">
        <v>1584</v>
      </c>
      <c r="P1165" s="603"/>
      <c r="Q1165" s="682"/>
      <c r="R1165" s="682"/>
      <c r="S1165" s="682"/>
      <c r="T1165" s="682"/>
      <c r="U1165" s="682"/>
      <c r="V1165" s="682"/>
      <c r="W1165" s="682"/>
    </row>
    <row r="1166" spans="1:23">
      <c r="A1166" s="1045">
        <f t="shared" si="18"/>
        <v>6</v>
      </c>
      <c r="B1166" s="134">
        <v>45464</v>
      </c>
      <c r="C1166" s="70">
        <v>5250</v>
      </c>
      <c r="D1166" s="70" t="s">
        <v>85</v>
      </c>
      <c r="E1166" s="280" t="s">
        <v>3572</v>
      </c>
      <c r="F1166" s="1049">
        <v>669</v>
      </c>
      <c r="G1166" s="1049"/>
      <c r="H1166" s="564"/>
      <c r="I1166" s="609"/>
      <c r="J1166" s="1155"/>
      <c r="K1166" s="609"/>
      <c r="L1166" s="609"/>
      <c r="M1166" s="609"/>
      <c r="N1166" s="599"/>
      <c r="O1166" s="552" t="s">
        <v>1584</v>
      </c>
      <c r="P1166" s="603"/>
      <c r="Q1166" s="682"/>
      <c r="R1166" s="682"/>
      <c r="S1166" s="682"/>
      <c r="T1166" s="682"/>
      <c r="U1166" s="682"/>
      <c r="V1166" s="682"/>
      <c r="W1166" s="682"/>
    </row>
    <row r="1167" spans="1:23">
      <c r="A1167" s="1045">
        <f t="shared" si="18"/>
        <v>6</v>
      </c>
      <c r="B1167" s="134">
        <v>45464</v>
      </c>
      <c r="C1167" s="70">
        <v>2018</v>
      </c>
      <c r="D1167" s="70" t="s">
        <v>58</v>
      </c>
      <c r="E1167" s="280" t="s">
        <v>3572</v>
      </c>
      <c r="F1167" s="1049">
        <v>33.450000000000003</v>
      </c>
      <c r="G1167" s="1049"/>
      <c r="H1167" s="564"/>
      <c r="I1167" s="609"/>
      <c r="J1167" s="1155"/>
      <c r="K1167" s="609"/>
      <c r="L1167" s="609"/>
      <c r="M1167" s="609"/>
      <c r="N1167" s="599"/>
      <c r="O1167" s="552" t="s">
        <v>1584</v>
      </c>
      <c r="P1167" s="603"/>
      <c r="Q1167" s="682"/>
      <c r="R1167" s="682"/>
      <c r="S1167" s="682"/>
      <c r="T1167" s="682"/>
      <c r="U1167" s="682"/>
      <c r="V1167" s="682"/>
      <c r="W1167" s="682"/>
    </row>
    <row r="1168" spans="1:23">
      <c r="A1168" s="1045">
        <f t="shared" si="18"/>
        <v>6</v>
      </c>
      <c r="B1168" s="134">
        <v>45464</v>
      </c>
      <c r="C1168" s="70">
        <v>5250</v>
      </c>
      <c r="D1168" s="70" t="s">
        <v>85</v>
      </c>
      <c r="E1168" s="280" t="s">
        <v>3573</v>
      </c>
      <c r="F1168" s="1049">
        <v>3054.7</v>
      </c>
      <c r="G1168" s="1049"/>
      <c r="H1168" s="564"/>
      <c r="I1168" s="609"/>
      <c r="J1168" s="1155"/>
      <c r="K1168" s="609"/>
      <c r="L1168" s="609"/>
      <c r="M1168" s="609"/>
      <c r="N1168" s="599"/>
      <c r="O1168" s="552" t="s">
        <v>1584</v>
      </c>
      <c r="P1168" s="603"/>
      <c r="Q1168" s="682"/>
      <c r="R1168" s="682"/>
      <c r="S1168" s="682"/>
      <c r="T1168" s="682"/>
      <c r="U1168" s="682"/>
      <c r="V1168" s="682"/>
      <c r="W1168" s="682"/>
    </row>
    <row r="1169" spans="1:23">
      <c r="A1169" s="1045">
        <f t="shared" si="18"/>
        <v>6</v>
      </c>
      <c r="B1169" s="134">
        <v>45464</v>
      </c>
      <c r="C1169" s="70">
        <v>2018</v>
      </c>
      <c r="D1169" s="70" t="s">
        <v>58</v>
      </c>
      <c r="E1169" s="280" t="s">
        <v>3573</v>
      </c>
      <c r="F1169" s="1049">
        <v>152.74</v>
      </c>
      <c r="G1169" s="1049"/>
      <c r="H1169" s="564"/>
      <c r="I1169" s="609"/>
      <c r="J1169" s="1155"/>
      <c r="K1169" s="609"/>
      <c r="L1169" s="609"/>
      <c r="M1169" s="609"/>
      <c r="N1169" s="599"/>
      <c r="O1169" s="552" t="s">
        <v>1584</v>
      </c>
      <c r="P1169" s="603"/>
      <c r="Q1169" s="682"/>
      <c r="R1169" s="682"/>
      <c r="S1169" s="682"/>
      <c r="T1169" s="682"/>
      <c r="U1169" s="682"/>
      <c r="V1169" s="682"/>
      <c r="W1169" s="682"/>
    </row>
    <row r="1170" spans="1:23">
      <c r="A1170" s="1045">
        <f t="shared" si="18"/>
        <v>6</v>
      </c>
      <c r="B1170" s="134">
        <v>45465</v>
      </c>
      <c r="C1170" s="70">
        <v>5250</v>
      </c>
      <c r="D1170" s="70" t="s">
        <v>85</v>
      </c>
      <c r="E1170" s="280" t="s">
        <v>3574</v>
      </c>
      <c r="F1170" s="1049">
        <v>10</v>
      </c>
      <c r="G1170" s="1049"/>
      <c r="H1170" s="564"/>
      <c r="I1170" s="609"/>
      <c r="J1170" s="1155"/>
      <c r="K1170" s="609"/>
      <c r="L1170" s="609"/>
      <c r="M1170" s="609"/>
      <c r="N1170" s="599"/>
      <c r="O1170" s="552" t="s">
        <v>1584</v>
      </c>
      <c r="P1170" s="603"/>
      <c r="Q1170" s="682"/>
      <c r="R1170" s="682"/>
      <c r="S1170" s="682"/>
      <c r="T1170" s="682"/>
      <c r="U1170" s="682"/>
      <c r="V1170" s="682"/>
      <c r="W1170" s="682"/>
    </row>
    <row r="1171" spans="1:23">
      <c r="A1171" s="1045">
        <f t="shared" si="18"/>
        <v>6</v>
      </c>
      <c r="B1171" s="134">
        <v>45465</v>
      </c>
      <c r="C1171" s="70">
        <v>2018</v>
      </c>
      <c r="D1171" s="70" t="s">
        <v>58</v>
      </c>
      <c r="E1171" s="280" t="s">
        <v>3574</v>
      </c>
      <c r="F1171" s="1049">
        <v>0.5</v>
      </c>
      <c r="G1171" s="1049"/>
      <c r="H1171" s="564"/>
      <c r="I1171" s="609"/>
      <c r="J1171" s="1155"/>
      <c r="K1171" s="609"/>
      <c r="L1171" s="609"/>
      <c r="M1171" s="609"/>
      <c r="N1171" s="599"/>
      <c r="O1171" s="552" t="s">
        <v>1584</v>
      </c>
      <c r="P1171" s="603"/>
      <c r="Q1171" s="682"/>
      <c r="R1171" s="682"/>
      <c r="S1171" s="682"/>
      <c r="T1171" s="682"/>
      <c r="U1171" s="682"/>
      <c r="V1171" s="682"/>
      <c r="W1171" s="682"/>
    </row>
    <row r="1172" spans="1:23">
      <c r="A1172" s="1045">
        <f t="shared" si="18"/>
        <v>6</v>
      </c>
      <c r="B1172" s="134">
        <v>45465</v>
      </c>
      <c r="C1172" s="70">
        <v>5220</v>
      </c>
      <c r="D1172" s="70" t="s">
        <v>84</v>
      </c>
      <c r="E1172" s="280" t="s">
        <v>3575</v>
      </c>
      <c r="F1172" s="1049">
        <v>503.4</v>
      </c>
      <c r="G1172" s="1049"/>
      <c r="H1172" s="564"/>
      <c r="I1172" s="609"/>
      <c r="J1172" s="1155"/>
      <c r="K1172" s="609"/>
      <c r="L1172" s="609"/>
      <c r="M1172" s="609"/>
      <c r="N1172" s="599"/>
      <c r="O1172" s="552" t="s">
        <v>1584</v>
      </c>
      <c r="P1172" s="603"/>
      <c r="Q1172" s="682"/>
      <c r="R1172" s="682"/>
      <c r="S1172" s="682"/>
      <c r="T1172" s="682"/>
      <c r="U1172" s="682"/>
      <c r="V1172" s="682"/>
      <c r="W1172" s="682"/>
    </row>
    <row r="1173" spans="1:23">
      <c r="A1173" s="1045">
        <f t="shared" ref="A1173:A1236" si="19">IF(B1173="","",MONTH(B1173))</f>
        <v>6</v>
      </c>
      <c r="B1173" s="134">
        <v>45465</v>
      </c>
      <c r="C1173" s="70">
        <v>2018</v>
      </c>
      <c r="D1173" s="70" t="s">
        <v>58</v>
      </c>
      <c r="E1173" s="280" t="s">
        <v>3575</v>
      </c>
      <c r="F1173" s="1049">
        <v>25.17</v>
      </c>
      <c r="G1173" s="1049"/>
      <c r="H1173" s="564"/>
      <c r="I1173" s="609"/>
      <c r="J1173" s="1155"/>
      <c r="K1173" s="609"/>
      <c r="L1173" s="609"/>
      <c r="M1173" s="609"/>
      <c r="N1173" s="599"/>
      <c r="O1173" s="552" t="s">
        <v>1584</v>
      </c>
      <c r="P1173" s="603"/>
      <c r="Q1173" s="682"/>
      <c r="R1173" s="682"/>
      <c r="S1173" s="682"/>
      <c r="T1173" s="682"/>
      <c r="U1173" s="682"/>
      <c r="V1173" s="682"/>
      <c r="W1173" s="682"/>
    </row>
    <row r="1174" spans="1:23">
      <c r="A1174" s="1045">
        <f t="shared" si="19"/>
        <v>6</v>
      </c>
      <c r="B1174" s="134">
        <v>45465</v>
      </c>
      <c r="C1174" s="70">
        <v>5250</v>
      </c>
      <c r="D1174" s="70" t="s">
        <v>85</v>
      </c>
      <c r="E1174" s="280" t="s">
        <v>3576</v>
      </c>
      <c r="F1174" s="1049">
        <v>117.5</v>
      </c>
      <c r="G1174" s="1049"/>
      <c r="H1174" s="564"/>
      <c r="I1174" s="609"/>
      <c r="J1174" s="1155"/>
      <c r="K1174" s="609"/>
      <c r="L1174" s="609"/>
      <c r="M1174" s="609"/>
      <c r="N1174" s="599"/>
      <c r="O1174" s="552" t="s">
        <v>1584</v>
      </c>
      <c r="P1174" s="603"/>
      <c r="Q1174" s="682"/>
      <c r="R1174" s="682"/>
      <c r="S1174" s="682"/>
      <c r="T1174" s="682"/>
      <c r="U1174" s="682"/>
      <c r="V1174" s="682"/>
      <c r="W1174" s="682"/>
    </row>
    <row r="1175" spans="1:23">
      <c r="A1175" s="1045">
        <f t="shared" si="19"/>
        <v>6</v>
      </c>
      <c r="B1175" s="134">
        <v>45465</v>
      </c>
      <c r="C1175" s="70">
        <v>2018</v>
      </c>
      <c r="D1175" s="70" t="s">
        <v>58</v>
      </c>
      <c r="E1175" s="280" t="s">
        <v>3576</v>
      </c>
      <c r="F1175" s="1049">
        <v>5.55</v>
      </c>
      <c r="G1175" s="1049"/>
      <c r="H1175" s="564"/>
      <c r="I1175" s="609"/>
      <c r="J1175" s="1155"/>
      <c r="K1175" s="609"/>
      <c r="L1175" s="609"/>
      <c r="M1175" s="609"/>
      <c r="N1175" s="599"/>
      <c r="O1175" s="552" t="s">
        <v>1584</v>
      </c>
      <c r="P1175" s="603"/>
      <c r="Q1175" s="682"/>
      <c r="R1175" s="682"/>
      <c r="S1175" s="682"/>
      <c r="T1175" s="682"/>
      <c r="U1175" s="682"/>
      <c r="V1175" s="682"/>
      <c r="W1175" s="682"/>
    </row>
    <row r="1176" spans="1:23">
      <c r="A1176" s="1045">
        <f t="shared" si="19"/>
        <v>6</v>
      </c>
      <c r="B1176" s="134">
        <v>45465</v>
      </c>
      <c r="C1176" s="70">
        <v>5250</v>
      </c>
      <c r="D1176" s="70" t="s">
        <v>85</v>
      </c>
      <c r="E1176" s="280" t="s">
        <v>3577</v>
      </c>
      <c r="F1176" s="1049">
        <v>884.52</v>
      </c>
      <c r="G1176" s="1049"/>
      <c r="H1176" s="564"/>
      <c r="I1176" s="609"/>
      <c r="J1176" s="1155"/>
      <c r="K1176" s="609"/>
      <c r="L1176" s="609"/>
      <c r="M1176" s="609"/>
      <c r="N1176" s="599"/>
      <c r="O1176" s="552" t="s">
        <v>1584</v>
      </c>
      <c r="P1176" s="603"/>
      <c r="Q1176" s="682"/>
      <c r="R1176" s="682"/>
      <c r="S1176" s="682"/>
      <c r="T1176" s="682"/>
      <c r="U1176" s="682"/>
      <c r="V1176" s="682"/>
      <c r="W1176" s="682"/>
    </row>
    <row r="1177" spans="1:23">
      <c r="A1177" s="1045">
        <f t="shared" si="19"/>
        <v>6</v>
      </c>
      <c r="B1177" s="134">
        <v>45465</v>
      </c>
      <c r="C1177" s="70">
        <v>2018</v>
      </c>
      <c r="D1177" s="70" t="s">
        <v>58</v>
      </c>
      <c r="E1177" s="280" t="s">
        <v>3577</v>
      </c>
      <c r="F1177" s="1049">
        <v>44.23</v>
      </c>
      <c r="G1177" s="1049"/>
      <c r="H1177" s="564"/>
      <c r="I1177" s="609"/>
      <c r="J1177" s="1155"/>
      <c r="K1177" s="609"/>
      <c r="L1177" s="609"/>
      <c r="M1177" s="609"/>
      <c r="N1177" s="599"/>
      <c r="O1177" s="552" t="s">
        <v>1584</v>
      </c>
      <c r="P1177" s="603"/>
      <c r="Q1177" s="682"/>
      <c r="R1177" s="682"/>
      <c r="S1177" s="682"/>
      <c r="T1177" s="682"/>
      <c r="U1177" s="682"/>
      <c r="V1177" s="682"/>
      <c r="W1177" s="682"/>
    </row>
    <row r="1178" spans="1:23">
      <c r="A1178" s="1045">
        <f t="shared" si="19"/>
        <v>6</v>
      </c>
      <c r="B1178" s="134">
        <v>45465</v>
      </c>
      <c r="C1178" s="70">
        <v>5250</v>
      </c>
      <c r="D1178" s="70" t="s">
        <v>85</v>
      </c>
      <c r="E1178" s="280" t="s">
        <v>3578</v>
      </c>
      <c r="F1178" s="1049">
        <v>71.430000000000007</v>
      </c>
      <c r="G1178" s="1049"/>
      <c r="H1178" s="564"/>
      <c r="I1178" s="609"/>
      <c r="J1178" s="1155"/>
      <c r="K1178" s="609"/>
      <c r="L1178" s="609"/>
      <c r="M1178" s="609"/>
      <c r="N1178" s="599"/>
      <c r="O1178" s="552" t="s">
        <v>1584</v>
      </c>
      <c r="P1178" s="603"/>
      <c r="Q1178" s="682"/>
      <c r="R1178" s="682"/>
      <c r="S1178" s="682"/>
      <c r="T1178" s="682"/>
      <c r="U1178" s="682"/>
      <c r="V1178" s="682"/>
      <c r="W1178" s="682"/>
    </row>
    <row r="1179" spans="1:23">
      <c r="A1179" s="1045">
        <f t="shared" si="19"/>
        <v>6</v>
      </c>
      <c r="B1179" s="134">
        <v>45465</v>
      </c>
      <c r="C1179" s="70">
        <v>2018</v>
      </c>
      <c r="D1179" s="70" t="s">
        <v>58</v>
      </c>
      <c r="E1179" s="280" t="s">
        <v>3578</v>
      </c>
      <c r="F1179" s="1049">
        <v>3.58</v>
      </c>
      <c r="G1179" s="1049"/>
      <c r="H1179" s="564"/>
      <c r="I1179" s="609"/>
      <c r="J1179" s="1155"/>
      <c r="K1179" s="609"/>
      <c r="L1179" s="609"/>
      <c r="M1179" s="609"/>
      <c r="N1179" s="599"/>
      <c r="O1179" s="552" t="s">
        <v>1584</v>
      </c>
      <c r="P1179" s="603"/>
      <c r="Q1179" s="682"/>
      <c r="R1179" s="682"/>
      <c r="S1179" s="682"/>
      <c r="T1179" s="682"/>
      <c r="U1179" s="682"/>
      <c r="V1179" s="682"/>
      <c r="W1179" s="682"/>
    </row>
    <row r="1180" spans="1:23">
      <c r="A1180" s="1045">
        <f t="shared" si="19"/>
        <v>6</v>
      </c>
      <c r="B1180" s="134">
        <v>45465</v>
      </c>
      <c r="C1180" s="70">
        <v>5250</v>
      </c>
      <c r="D1180" s="70" t="s">
        <v>85</v>
      </c>
      <c r="E1180" s="280" t="s">
        <v>3579</v>
      </c>
      <c r="F1180" s="1049">
        <v>12</v>
      </c>
      <c r="G1180" s="1049"/>
      <c r="H1180" s="564"/>
      <c r="I1180" s="609"/>
      <c r="J1180" s="1155"/>
      <c r="K1180" s="609"/>
      <c r="L1180" s="609"/>
      <c r="M1180" s="609"/>
      <c r="N1180" s="599"/>
      <c r="O1180" s="552" t="s">
        <v>1584</v>
      </c>
      <c r="P1180" s="603"/>
      <c r="Q1180" s="682"/>
      <c r="R1180" s="682"/>
      <c r="S1180" s="682"/>
      <c r="T1180" s="682"/>
      <c r="U1180" s="682"/>
      <c r="V1180" s="682"/>
      <c r="W1180" s="682"/>
    </row>
    <row r="1181" spans="1:23">
      <c r="A1181" s="1045">
        <f t="shared" si="19"/>
        <v>6</v>
      </c>
      <c r="B1181" s="134">
        <v>45465</v>
      </c>
      <c r="C1181" s="70">
        <v>2018</v>
      </c>
      <c r="D1181" s="70" t="s">
        <v>58</v>
      </c>
      <c r="E1181" s="280" t="s">
        <v>3579</v>
      </c>
      <c r="F1181" s="1049">
        <v>0.6</v>
      </c>
      <c r="G1181" s="1049"/>
      <c r="H1181" s="564"/>
      <c r="I1181" s="609"/>
      <c r="J1181" s="1155"/>
      <c r="K1181" s="609"/>
      <c r="L1181" s="609"/>
      <c r="M1181" s="609"/>
      <c r="N1181" s="599"/>
      <c r="O1181" s="552" t="s">
        <v>1584</v>
      </c>
      <c r="P1181" s="603"/>
      <c r="Q1181" s="682"/>
      <c r="R1181" s="682"/>
      <c r="S1181" s="682"/>
      <c r="T1181" s="682"/>
      <c r="U1181" s="682"/>
      <c r="V1181" s="682"/>
      <c r="W1181" s="682"/>
    </row>
    <row r="1182" spans="1:23">
      <c r="A1182" s="1045">
        <f t="shared" si="19"/>
        <v>6</v>
      </c>
      <c r="B1182" s="134">
        <v>45466</v>
      </c>
      <c r="C1182" s="70">
        <v>5250</v>
      </c>
      <c r="D1182" s="70" t="s">
        <v>85</v>
      </c>
      <c r="E1182" s="280" t="s">
        <v>3580</v>
      </c>
      <c r="F1182" s="1049">
        <v>257</v>
      </c>
      <c r="G1182" s="1049"/>
      <c r="H1182" s="564"/>
      <c r="I1182" s="609"/>
      <c r="J1182" s="1155"/>
      <c r="K1182" s="609"/>
      <c r="L1182" s="609"/>
      <c r="M1182" s="609"/>
      <c r="N1182" s="599"/>
      <c r="O1182" s="552" t="s">
        <v>1584</v>
      </c>
      <c r="P1182" s="603"/>
      <c r="Q1182" s="682"/>
      <c r="R1182" s="682"/>
      <c r="S1182" s="682"/>
      <c r="T1182" s="682"/>
      <c r="U1182" s="682"/>
      <c r="V1182" s="682"/>
      <c r="W1182" s="682"/>
    </row>
    <row r="1183" spans="1:23">
      <c r="A1183" s="1045">
        <f t="shared" si="19"/>
        <v>6</v>
      </c>
      <c r="B1183" s="134">
        <v>45466</v>
      </c>
      <c r="C1183" s="70">
        <v>2018</v>
      </c>
      <c r="D1183" s="70" t="s">
        <v>58</v>
      </c>
      <c r="E1183" s="280" t="s">
        <v>3580</v>
      </c>
      <c r="F1183" s="1049">
        <v>12.85</v>
      </c>
      <c r="G1183" s="1049"/>
      <c r="H1183" s="564"/>
      <c r="I1183" s="609"/>
      <c r="J1183" s="1155"/>
      <c r="K1183" s="609"/>
      <c r="L1183" s="609"/>
      <c r="M1183" s="609"/>
      <c r="N1183" s="599"/>
      <c r="O1183" s="552" t="s">
        <v>1584</v>
      </c>
      <c r="P1183" s="603"/>
      <c r="Q1183" s="682"/>
      <c r="R1183" s="682"/>
      <c r="S1183" s="682"/>
      <c r="T1183" s="682"/>
      <c r="U1183" s="682"/>
      <c r="V1183" s="682"/>
      <c r="W1183" s="682"/>
    </row>
    <row r="1184" spans="1:23">
      <c r="A1184" s="1045">
        <f t="shared" si="19"/>
        <v>6</v>
      </c>
      <c r="B1184" s="134">
        <v>45466</v>
      </c>
      <c r="C1184" s="70">
        <v>5250</v>
      </c>
      <c r="D1184" s="70" t="s">
        <v>85</v>
      </c>
      <c r="E1184" s="280" t="s">
        <v>3581</v>
      </c>
      <c r="F1184" s="1049">
        <v>14.3</v>
      </c>
      <c r="G1184" s="1049"/>
      <c r="H1184" s="564"/>
      <c r="I1184" s="609"/>
      <c r="J1184" s="1155"/>
      <c r="K1184" s="609"/>
      <c r="L1184" s="609"/>
      <c r="M1184" s="609"/>
      <c r="N1184" s="599"/>
      <c r="O1184" s="552" t="s">
        <v>1584</v>
      </c>
      <c r="P1184" s="603"/>
      <c r="Q1184" s="682"/>
      <c r="R1184" s="682"/>
      <c r="S1184" s="682"/>
      <c r="T1184" s="682"/>
      <c r="U1184" s="682"/>
      <c r="V1184" s="682"/>
      <c r="W1184" s="682"/>
    </row>
    <row r="1185" spans="1:23">
      <c r="A1185" s="1045">
        <f t="shared" si="19"/>
        <v>6</v>
      </c>
      <c r="B1185" s="134">
        <v>45466</v>
      </c>
      <c r="C1185" s="70">
        <v>2018</v>
      </c>
      <c r="D1185" s="70" t="s">
        <v>58</v>
      </c>
      <c r="E1185" s="280" t="s">
        <v>3581</v>
      </c>
      <c r="F1185" s="1049">
        <v>0.72</v>
      </c>
      <c r="G1185" s="1049"/>
      <c r="H1185" s="564"/>
      <c r="I1185" s="609"/>
      <c r="J1185" s="1155"/>
      <c r="K1185" s="609"/>
      <c r="L1185" s="609"/>
      <c r="M1185" s="609"/>
      <c r="N1185" s="599"/>
      <c r="O1185" s="552" t="s">
        <v>1584</v>
      </c>
      <c r="P1185" s="603"/>
      <c r="Q1185" s="682"/>
      <c r="R1185" s="682"/>
      <c r="S1185" s="682"/>
      <c r="T1185" s="682"/>
      <c r="U1185" s="682"/>
      <c r="V1185" s="682"/>
      <c r="W1185" s="682"/>
    </row>
    <row r="1186" spans="1:23">
      <c r="A1186" s="1045">
        <f t="shared" si="19"/>
        <v>6</v>
      </c>
      <c r="B1186" s="134">
        <v>45467</v>
      </c>
      <c r="C1186" s="70">
        <v>6026</v>
      </c>
      <c r="D1186" s="70" t="s">
        <v>117</v>
      </c>
      <c r="E1186" s="280" t="s">
        <v>3582</v>
      </c>
      <c r="F1186" s="1049">
        <v>40</v>
      </c>
      <c r="G1186" s="1049"/>
      <c r="H1186" s="564"/>
      <c r="I1186" s="609"/>
      <c r="J1186" s="1155"/>
      <c r="K1186" s="609"/>
      <c r="L1186" s="609"/>
      <c r="M1186" s="609"/>
      <c r="N1186" s="599"/>
      <c r="O1186" s="552" t="s">
        <v>1584</v>
      </c>
      <c r="P1186" s="603"/>
      <c r="Q1186" s="682"/>
      <c r="R1186" s="682"/>
      <c r="S1186" s="682"/>
      <c r="T1186" s="682"/>
      <c r="U1186" s="682"/>
      <c r="V1186" s="682"/>
      <c r="W1186" s="682"/>
    </row>
    <row r="1187" spans="1:23">
      <c r="A1187" s="1045">
        <f t="shared" si="19"/>
        <v>6</v>
      </c>
      <c r="B1187" s="134">
        <v>45467</v>
      </c>
      <c r="C1187" s="70">
        <v>2018</v>
      </c>
      <c r="D1187" s="70" t="s">
        <v>58</v>
      </c>
      <c r="E1187" s="280" t="s">
        <v>3582</v>
      </c>
      <c r="F1187" s="1049">
        <v>2</v>
      </c>
      <c r="G1187" s="1049"/>
      <c r="H1187" s="564"/>
      <c r="I1187" s="609"/>
      <c r="J1187" s="1155"/>
      <c r="K1187" s="609"/>
      <c r="L1187" s="609"/>
      <c r="M1187" s="609"/>
      <c r="N1187" s="599"/>
      <c r="O1187" s="552" t="s">
        <v>1584</v>
      </c>
      <c r="P1187" s="603"/>
      <c r="Q1187" s="682"/>
      <c r="R1187" s="682"/>
      <c r="S1187" s="682"/>
      <c r="T1187" s="682"/>
      <c r="U1187" s="682"/>
      <c r="V1187" s="682"/>
      <c r="W1187" s="682"/>
    </row>
    <row r="1188" spans="1:23">
      <c r="A1188" s="1045">
        <f t="shared" si="19"/>
        <v>6</v>
      </c>
      <c r="B1188" s="134">
        <v>45467</v>
      </c>
      <c r="C1188" s="70">
        <v>5250</v>
      </c>
      <c r="D1188" s="70" t="s">
        <v>85</v>
      </c>
      <c r="E1188" s="280" t="s">
        <v>3583</v>
      </c>
      <c r="F1188" s="1049">
        <v>36</v>
      </c>
      <c r="G1188" s="1049"/>
      <c r="H1188" s="564"/>
      <c r="I1188" s="609"/>
      <c r="J1188" s="1155"/>
      <c r="K1188" s="609"/>
      <c r="L1188" s="609"/>
      <c r="M1188" s="609"/>
      <c r="N1188" s="599"/>
      <c r="O1188" s="552" t="s">
        <v>1584</v>
      </c>
      <c r="P1188" s="603"/>
      <c r="Q1188" s="682"/>
      <c r="R1188" s="682"/>
      <c r="S1188" s="682"/>
      <c r="T1188" s="682"/>
      <c r="U1188" s="682"/>
      <c r="V1188" s="682"/>
      <c r="W1188" s="682"/>
    </row>
    <row r="1189" spans="1:23">
      <c r="A1189" s="1045">
        <f t="shared" si="19"/>
        <v>6</v>
      </c>
      <c r="B1189" s="134">
        <v>45467</v>
      </c>
      <c r="C1189" s="70">
        <v>2018</v>
      </c>
      <c r="D1189" s="70" t="s">
        <v>58</v>
      </c>
      <c r="E1189" s="280" t="s">
        <v>3583</v>
      </c>
      <c r="F1189" s="1049">
        <v>1.8</v>
      </c>
      <c r="G1189" s="1049"/>
      <c r="H1189" s="564"/>
      <c r="I1189" s="609"/>
      <c r="J1189" s="1155"/>
      <c r="K1189" s="609"/>
      <c r="L1189" s="609"/>
      <c r="M1189" s="609"/>
      <c r="N1189" s="599"/>
      <c r="O1189" s="552" t="s">
        <v>1584</v>
      </c>
      <c r="P1189" s="603"/>
      <c r="Q1189" s="682"/>
      <c r="R1189" s="682"/>
      <c r="S1189" s="682"/>
      <c r="T1189" s="682"/>
      <c r="U1189" s="682"/>
      <c r="V1189" s="682"/>
      <c r="W1189" s="682"/>
    </row>
    <row r="1190" spans="1:23">
      <c r="A1190" s="1045">
        <f t="shared" si="19"/>
        <v>6</v>
      </c>
      <c r="B1190" s="134">
        <v>45467</v>
      </c>
      <c r="C1190" s="70">
        <v>5250</v>
      </c>
      <c r="D1190" s="70" t="s">
        <v>85</v>
      </c>
      <c r="E1190" s="280" t="s">
        <v>3584</v>
      </c>
      <c r="F1190" s="1049">
        <v>248.75</v>
      </c>
      <c r="G1190" s="1049"/>
      <c r="H1190" s="564"/>
      <c r="I1190" s="609"/>
      <c r="J1190" s="1155"/>
      <c r="K1190" s="609"/>
      <c r="L1190" s="609"/>
      <c r="M1190" s="609"/>
      <c r="N1190" s="599"/>
      <c r="O1190" s="552" t="s">
        <v>1584</v>
      </c>
      <c r="P1190" s="603"/>
      <c r="Q1190" s="682"/>
      <c r="R1190" s="682"/>
      <c r="S1190" s="682"/>
      <c r="T1190" s="682"/>
      <c r="U1190" s="682"/>
      <c r="V1190" s="682"/>
      <c r="W1190" s="682"/>
    </row>
    <row r="1191" spans="1:23">
      <c r="A1191" s="1045">
        <f t="shared" si="19"/>
        <v>6</v>
      </c>
      <c r="B1191" s="134">
        <v>45467</v>
      </c>
      <c r="C1191" s="70">
        <v>2018</v>
      </c>
      <c r="D1191" s="70" t="s">
        <v>58</v>
      </c>
      <c r="E1191" s="280" t="s">
        <v>3584</v>
      </c>
      <c r="F1191" s="1049">
        <v>12.44</v>
      </c>
      <c r="G1191" s="1049"/>
      <c r="H1191" s="564"/>
      <c r="I1191" s="609"/>
      <c r="J1191" s="1155"/>
      <c r="K1191" s="609"/>
      <c r="L1191" s="609"/>
      <c r="M1191" s="609"/>
      <c r="N1191" s="599"/>
      <c r="O1191" s="552" t="s">
        <v>1584</v>
      </c>
      <c r="P1191" s="603"/>
      <c r="Q1191" s="682"/>
      <c r="R1191" s="682"/>
      <c r="S1191" s="682"/>
      <c r="T1191" s="682"/>
      <c r="U1191" s="682"/>
      <c r="V1191" s="682"/>
      <c r="W1191" s="682"/>
    </row>
    <row r="1192" spans="1:23">
      <c r="A1192" s="1045">
        <f t="shared" si="19"/>
        <v>6</v>
      </c>
      <c r="B1192" s="134">
        <v>45467</v>
      </c>
      <c r="C1192" s="70">
        <v>5250</v>
      </c>
      <c r="D1192" s="70" t="s">
        <v>85</v>
      </c>
      <c r="E1192" s="280" t="s">
        <v>3585</v>
      </c>
      <c r="F1192" s="1049">
        <v>122.85</v>
      </c>
      <c r="G1192" s="1049"/>
      <c r="H1192" s="564"/>
      <c r="I1192" s="609"/>
      <c r="J1192" s="1155"/>
      <c r="K1192" s="609"/>
      <c r="L1192" s="609"/>
      <c r="M1192" s="609"/>
      <c r="N1192" s="599"/>
      <c r="O1192" s="552" t="s">
        <v>1584</v>
      </c>
      <c r="P1192" s="603"/>
      <c r="Q1192" s="682"/>
      <c r="R1192" s="682"/>
      <c r="S1192" s="682"/>
      <c r="T1192" s="682"/>
      <c r="U1192" s="682"/>
      <c r="V1192" s="682"/>
      <c r="W1192" s="682"/>
    </row>
    <row r="1193" spans="1:23">
      <c r="A1193" s="1045">
        <f t="shared" si="19"/>
        <v>6</v>
      </c>
      <c r="B1193" s="134">
        <v>45467</v>
      </c>
      <c r="C1193" s="70">
        <v>2018</v>
      </c>
      <c r="D1193" s="70" t="s">
        <v>58</v>
      </c>
      <c r="E1193" s="280" t="s">
        <v>3585</v>
      </c>
      <c r="F1193" s="1049">
        <v>6.15</v>
      </c>
      <c r="G1193" s="1049"/>
      <c r="H1193" s="564"/>
      <c r="I1193" s="609"/>
      <c r="J1193" s="1155"/>
      <c r="K1193" s="609"/>
      <c r="L1193" s="609"/>
      <c r="M1193" s="609"/>
      <c r="N1193" s="599"/>
      <c r="O1193" s="552" t="s">
        <v>1584</v>
      </c>
      <c r="P1193" s="603"/>
      <c r="Q1193" s="682"/>
      <c r="R1193" s="682"/>
      <c r="S1193" s="682"/>
      <c r="T1193" s="682"/>
      <c r="U1193" s="682"/>
      <c r="V1193" s="682"/>
      <c r="W1193" s="682"/>
    </row>
    <row r="1194" spans="1:23">
      <c r="A1194" s="1045">
        <f t="shared" si="19"/>
        <v>6</v>
      </c>
      <c r="B1194" s="134">
        <v>45467</v>
      </c>
      <c r="C1194" s="70">
        <v>5250</v>
      </c>
      <c r="D1194" s="70" t="s">
        <v>85</v>
      </c>
      <c r="E1194" s="280" t="s">
        <v>3586</v>
      </c>
      <c r="F1194" s="1049">
        <v>354.29</v>
      </c>
      <c r="G1194" s="1049"/>
      <c r="H1194" s="564"/>
      <c r="I1194" s="609"/>
      <c r="J1194" s="1155"/>
      <c r="K1194" s="609"/>
      <c r="L1194" s="609"/>
      <c r="M1194" s="609"/>
      <c r="N1194" s="599"/>
      <c r="O1194" s="552" t="s">
        <v>1584</v>
      </c>
      <c r="P1194" s="603"/>
      <c r="Q1194" s="682"/>
      <c r="R1194" s="682"/>
      <c r="S1194" s="682"/>
      <c r="T1194" s="682"/>
      <c r="U1194" s="682"/>
      <c r="V1194" s="682"/>
      <c r="W1194" s="682"/>
    </row>
    <row r="1195" spans="1:23">
      <c r="A1195" s="1045">
        <f t="shared" si="19"/>
        <v>6</v>
      </c>
      <c r="B1195" s="134">
        <v>45467</v>
      </c>
      <c r="C1195" s="70">
        <v>2018</v>
      </c>
      <c r="D1195" s="70" t="s">
        <v>58</v>
      </c>
      <c r="E1195" s="280" t="s">
        <v>3586</v>
      </c>
      <c r="F1195" s="1049">
        <v>17.71</v>
      </c>
      <c r="G1195" s="1049"/>
      <c r="H1195" s="564"/>
      <c r="I1195" s="609"/>
      <c r="J1195" s="1155"/>
      <c r="K1195" s="609"/>
      <c r="L1195" s="609"/>
      <c r="M1195" s="609"/>
      <c r="N1195" s="599"/>
      <c r="O1195" s="552" t="s">
        <v>1584</v>
      </c>
      <c r="P1195" s="603"/>
      <c r="Q1195" s="682"/>
      <c r="R1195" s="682"/>
      <c r="S1195" s="682"/>
      <c r="T1195" s="682"/>
      <c r="U1195" s="682"/>
      <c r="V1195" s="682"/>
      <c r="W1195" s="682"/>
    </row>
    <row r="1196" spans="1:23">
      <c r="A1196" s="1045">
        <f t="shared" si="19"/>
        <v>6</v>
      </c>
      <c r="B1196" s="134">
        <v>45468</v>
      </c>
      <c r="C1196" s="70">
        <v>5250</v>
      </c>
      <c r="D1196" s="70" t="s">
        <v>85</v>
      </c>
      <c r="E1196" s="280" t="s">
        <v>3587</v>
      </c>
      <c r="F1196" s="1049">
        <v>49</v>
      </c>
      <c r="G1196" s="1049"/>
      <c r="H1196" s="564"/>
      <c r="I1196" s="609"/>
      <c r="J1196" s="1155"/>
      <c r="K1196" s="609"/>
      <c r="L1196" s="609"/>
      <c r="M1196" s="609"/>
      <c r="N1196" s="599"/>
      <c r="O1196" s="552" t="s">
        <v>1584</v>
      </c>
      <c r="P1196" s="603"/>
      <c r="Q1196" s="682"/>
      <c r="R1196" s="682"/>
      <c r="S1196" s="682"/>
      <c r="T1196" s="682"/>
      <c r="U1196" s="682"/>
      <c r="V1196" s="682"/>
      <c r="W1196" s="682"/>
    </row>
    <row r="1197" spans="1:23">
      <c r="A1197" s="1045">
        <f t="shared" si="19"/>
        <v>6</v>
      </c>
      <c r="B1197" s="134">
        <v>45468</v>
      </c>
      <c r="C1197" s="70">
        <v>2018</v>
      </c>
      <c r="D1197" s="70" t="s">
        <v>58</v>
      </c>
      <c r="E1197" s="280" t="s">
        <v>3587</v>
      </c>
      <c r="F1197" s="1049">
        <v>2.4500000000000002</v>
      </c>
      <c r="G1197" s="1049"/>
      <c r="H1197" s="564"/>
      <c r="I1197" s="609"/>
      <c r="J1197" s="1155"/>
      <c r="K1197" s="609"/>
      <c r="L1197" s="609"/>
      <c r="M1197" s="609"/>
      <c r="N1197" s="599"/>
      <c r="O1197" s="552" t="s">
        <v>1584</v>
      </c>
      <c r="P1197" s="603"/>
      <c r="Q1197" s="682"/>
      <c r="R1197" s="682"/>
      <c r="S1197" s="682"/>
      <c r="T1197" s="682"/>
      <c r="U1197" s="682"/>
      <c r="V1197" s="682"/>
      <c r="W1197" s="682"/>
    </row>
    <row r="1198" spans="1:23">
      <c r="A1198" s="1045">
        <f t="shared" si="19"/>
        <v>6</v>
      </c>
      <c r="B1198" s="134">
        <v>45468</v>
      </c>
      <c r="C1198" s="70">
        <v>5250</v>
      </c>
      <c r="D1198" s="70" t="s">
        <v>85</v>
      </c>
      <c r="E1198" s="280" t="s">
        <v>3588</v>
      </c>
      <c r="F1198" s="1049">
        <v>242.87</v>
      </c>
      <c r="G1198" s="1049"/>
      <c r="H1198" s="564"/>
      <c r="I1198" s="609"/>
      <c r="J1198" s="1155"/>
      <c r="K1198" s="609"/>
      <c r="L1198" s="609"/>
      <c r="M1198" s="609"/>
      <c r="N1198" s="599"/>
      <c r="O1198" s="552" t="s">
        <v>1584</v>
      </c>
      <c r="P1198" s="603"/>
      <c r="Q1198" s="682"/>
      <c r="R1198" s="682"/>
      <c r="S1198" s="682"/>
      <c r="T1198" s="682"/>
      <c r="U1198" s="682"/>
      <c r="V1198" s="682"/>
      <c r="W1198" s="682"/>
    </row>
    <row r="1199" spans="1:23">
      <c r="A1199" s="1045">
        <f t="shared" si="19"/>
        <v>6</v>
      </c>
      <c r="B1199" s="134">
        <v>45468</v>
      </c>
      <c r="C1199" s="70">
        <v>2018</v>
      </c>
      <c r="D1199" s="70" t="s">
        <v>58</v>
      </c>
      <c r="E1199" s="280" t="s">
        <v>3588</v>
      </c>
      <c r="F1199" s="1049">
        <v>12.14</v>
      </c>
      <c r="G1199" s="1049"/>
      <c r="H1199" s="564"/>
      <c r="I1199" s="609"/>
      <c r="J1199" s="1155"/>
      <c r="K1199" s="609"/>
      <c r="L1199" s="609"/>
      <c r="M1199" s="609"/>
      <c r="N1199" s="599"/>
      <c r="O1199" s="552" t="s">
        <v>1584</v>
      </c>
      <c r="P1199" s="603"/>
      <c r="Q1199" s="682"/>
      <c r="R1199" s="682"/>
      <c r="S1199" s="682"/>
      <c r="T1199" s="682"/>
      <c r="U1199" s="682"/>
      <c r="V1199" s="682"/>
      <c r="W1199" s="682"/>
    </row>
    <row r="1200" spans="1:23">
      <c r="A1200" s="1045">
        <f t="shared" si="19"/>
        <v>6</v>
      </c>
      <c r="B1200" s="134">
        <v>45469</v>
      </c>
      <c r="C1200" s="70">
        <v>5250</v>
      </c>
      <c r="D1200" s="70" t="s">
        <v>85</v>
      </c>
      <c r="E1200" s="280" t="s">
        <v>3589</v>
      </c>
      <c r="F1200" s="1049">
        <v>34</v>
      </c>
      <c r="G1200" s="1049"/>
      <c r="H1200" s="564"/>
      <c r="I1200" s="609"/>
      <c r="J1200" s="1155"/>
      <c r="K1200" s="609"/>
      <c r="L1200" s="609"/>
      <c r="M1200" s="609"/>
      <c r="N1200" s="599"/>
      <c r="O1200" s="552" t="s">
        <v>1584</v>
      </c>
      <c r="P1200" s="603"/>
      <c r="Q1200" s="682"/>
      <c r="R1200" s="682"/>
      <c r="S1200" s="682"/>
      <c r="T1200" s="682"/>
      <c r="U1200" s="682"/>
      <c r="V1200" s="682"/>
      <c r="W1200" s="682"/>
    </row>
    <row r="1201" spans="1:23">
      <c r="A1201" s="1045">
        <f t="shared" si="19"/>
        <v>6</v>
      </c>
      <c r="B1201" s="134">
        <v>45469</v>
      </c>
      <c r="C1201" s="70">
        <v>2018</v>
      </c>
      <c r="D1201" s="70" t="s">
        <v>58</v>
      </c>
      <c r="E1201" s="280" t="s">
        <v>3589</v>
      </c>
      <c r="F1201" s="1049">
        <v>1.7</v>
      </c>
      <c r="G1201" s="1049"/>
      <c r="H1201" s="564"/>
      <c r="I1201" s="609"/>
      <c r="J1201" s="1155"/>
      <c r="K1201" s="609"/>
      <c r="L1201" s="609"/>
      <c r="M1201" s="609"/>
      <c r="N1201" s="599"/>
      <c r="O1201" s="552" t="s">
        <v>1584</v>
      </c>
      <c r="P1201" s="603"/>
      <c r="Q1201" s="682"/>
      <c r="R1201" s="682"/>
      <c r="S1201" s="682"/>
      <c r="T1201" s="682"/>
      <c r="U1201" s="682"/>
      <c r="V1201" s="682"/>
      <c r="W1201" s="682"/>
    </row>
    <row r="1202" spans="1:23">
      <c r="A1202" s="1045">
        <f t="shared" si="19"/>
        <v>6</v>
      </c>
      <c r="B1202" s="134">
        <v>45469</v>
      </c>
      <c r="C1202" s="70">
        <v>5250</v>
      </c>
      <c r="D1202" s="70" t="s">
        <v>85</v>
      </c>
      <c r="E1202" s="280" t="s">
        <v>3590</v>
      </c>
      <c r="F1202" s="1049">
        <v>68</v>
      </c>
      <c r="G1202" s="1049"/>
      <c r="H1202" s="564"/>
      <c r="I1202" s="609"/>
      <c r="J1202" s="1155"/>
      <c r="K1202" s="609"/>
      <c r="L1202" s="609"/>
      <c r="M1202" s="609"/>
      <c r="N1202" s="599"/>
      <c r="O1202" s="552" t="s">
        <v>1584</v>
      </c>
      <c r="P1202" s="603"/>
      <c r="Q1202" s="682"/>
      <c r="R1202" s="682"/>
      <c r="S1202" s="682"/>
      <c r="T1202" s="682"/>
      <c r="U1202" s="682"/>
      <c r="V1202" s="682"/>
      <c r="W1202" s="682"/>
    </row>
    <row r="1203" spans="1:23">
      <c r="A1203" s="1045">
        <f t="shared" si="19"/>
        <v>6</v>
      </c>
      <c r="B1203" s="134">
        <v>45469</v>
      </c>
      <c r="C1203" s="70">
        <v>2018</v>
      </c>
      <c r="D1203" s="70" t="s">
        <v>58</v>
      </c>
      <c r="E1203" s="280" t="s">
        <v>3590</v>
      </c>
      <c r="F1203" s="1049">
        <v>3.4</v>
      </c>
      <c r="G1203" s="1049"/>
      <c r="H1203" s="564"/>
      <c r="I1203" s="609"/>
      <c r="J1203" s="1155"/>
      <c r="K1203" s="609"/>
      <c r="L1203" s="609"/>
      <c r="M1203" s="609"/>
      <c r="N1203" s="599"/>
      <c r="O1203" s="552" t="s">
        <v>1584</v>
      </c>
      <c r="P1203" s="603"/>
      <c r="Q1203" s="682"/>
      <c r="R1203" s="682"/>
      <c r="S1203" s="682"/>
      <c r="T1203" s="682"/>
      <c r="U1203" s="682"/>
      <c r="V1203" s="682"/>
      <c r="W1203" s="682"/>
    </row>
    <row r="1204" spans="1:23">
      <c r="A1204" s="1045">
        <f t="shared" si="19"/>
        <v>6</v>
      </c>
      <c r="B1204" s="134">
        <v>45469</v>
      </c>
      <c r="C1204" s="70">
        <v>5200</v>
      </c>
      <c r="D1204" s="70" t="s">
        <v>83</v>
      </c>
      <c r="E1204" s="280" t="s">
        <v>3591</v>
      </c>
      <c r="F1204" s="1049">
        <v>987.83</v>
      </c>
      <c r="G1204" s="1049"/>
      <c r="H1204" s="564"/>
      <c r="I1204" s="609"/>
      <c r="J1204" s="1155"/>
      <c r="K1204" s="609"/>
      <c r="L1204" s="609"/>
      <c r="M1204" s="609"/>
      <c r="N1204" s="599"/>
      <c r="O1204" s="552" t="s">
        <v>1584</v>
      </c>
      <c r="P1204" s="603"/>
      <c r="Q1204" s="682"/>
      <c r="R1204" s="682"/>
      <c r="S1204" s="682"/>
      <c r="T1204" s="682"/>
      <c r="U1204" s="682"/>
      <c r="V1204" s="682"/>
      <c r="W1204" s="682"/>
    </row>
    <row r="1205" spans="1:23">
      <c r="A1205" s="1045">
        <f t="shared" si="19"/>
        <v>6</v>
      </c>
      <c r="B1205" s="134">
        <v>45469</v>
      </c>
      <c r="C1205" s="70">
        <v>2018</v>
      </c>
      <c r="D1205" s="70" t="s">
        <v>58</v>
      </c>
      <c r="E1205" s="280" t="s">
        <v>3591</v>
      </c>
      <c r="F1205" s="1049">
        <v>49.39</v>
      </c>
      <c r="G1205" s="1049"/>
      <c r="H1205" s="564"/>
      <c r="I1205" s="609"/>
      <c r="J1205" s="1155"/>
      <c r="K1205" s="609"/>
      <c r="L1205" s="609"/>
      <c r="M1205" s="609"/>
      <c r="N1205" s="599"/>
      <c r="O1205" s="552" t="s">
        <v>1584</v>
      </c>
      <c r="P1205" s="603"/>
      <c r="Q1205" s="682"/>
      <c r="R1205" s="682"/>
      <c r="S1205" s="682"/>
      <c r="T1205" s="682"/>
      <c r="U1205" s="682"/>
      <c r="V1205" s="682"/>
      <c r="W1205" s="682"/>
    </row>
    <row r="1206" spans="1:23">
      <c r="A1206" s="1045">
        <f t="shared" si="19"/>
        <v>6</v>
      </c>
      <c r="B1206" s="134">
        <v>45469</v>
      </c>
      <c r="C1206" s="70">
        <v>5250</v>
      </c>
      <c r="D1206" s="70" t="s">
        <v>85</v>
      </c>
      <c r="E1206" s="280" t="s">
        <v>3592</v>
      </c>
      <c r="F1206" s="1049">
        <v>419.03</v>
      </c>
      <c r="G1206" s="1049"/>
      <c r="H1206" s="564"/>
      <c r="I1206" s="609"/>
      <c r="J1206" s="1155"/>
      <c r="K1206" s="609"/>
      <c r="L1206" s="609"/>
      <c r="M1206" s="609"/>
      <c r="N1206" s="599"/>
      <c r="O1206" s="552" t="s">
        <v>1584</v>
      </c>
      <c r="P1206" s="603"/>
      <c r="Q1206" s="682"/>
      <c r="R1206" s="682"/>
      <c r="S1206" s="682"/>
      <c r="T1206" s="682"/>
      <c r="U1206" s="682"/>
      <c r="V1206" s="682"/>
      <c r="W1206" s="682"/>
    </row>
    <row r="1207" spans="1:23">
      <c r="A1207" s="1045">
        <f t="shared" si="19"/>
        <v>6</v>
      </c>
      <c r="B1207" s="134">
        <v>45469</v>
      </c>
      <c r="C1207" s="70">
        <v>2018</v>
      </c>
      <c r="D1207" s="70" t="s">
        <v>58</v>
      </c>
      <c r="E1207" s="280" t="s">
        <v>3592</v>
      </c>
      <c r="F1207" s="1049">
        <v>20.97</v>
      </c>
      <c r="G1207" s="1049"/>
      <c r="H1207" s="564"/>
      <c r="I1207" s="609"/>
      <c r="J1207" s="1155"/>
      <c r="K1207" s="609"/>
      <c r="L1207" s="609"/>
      <c r="M1207" s="609"/>
      <c r="N1207" s="599"/>
      <c r="O1207" s="552" t="s">
        <v>1584</v>
      </c>
      <c r="P1207" s="603"/>
      <c r="Q1207" s="682"/>
      <c r="R1207" s="682"/>
      <c r="S1207" s="682"/>
      <c r="T1207" s="682"/>
      <c r="U1207" s="682"/>
      <c r="V1207" s="682"/>
      <c r="W1207" s="682"/>
    </row>
    <row r="1208" spans="1:23">
      <c r="A1208" s="1045">
        <f t="shared" si="19"/>
        <v>6</v>
      </c>
      <c r="B1208" s="134">
        <v>45469</v>
      </c>
      <c r="C1208" s="70">
        <v>5250</v>
      </c>
      <c r="D1208" s="70" t="s">
        <v>85</v>
      </c>
      <c r="E1208" s="280" t="s">
        <v>3593</v>
      </c>
      <c r="F1208" s="1049">
        <v>143.4</v>
      </c>
      <c r="G1208" s="1049"/>
      <c r="H1208" s="564"/>
      <c r="I1208" s="609"/>
      <c r="J1208" s="1155"/>
      <c r="K1208" s="609"/>
      <c r="L1208" s="609"/>
      <c r="M1208" s="609"/>
      <c r="N1208" s="599"/>
      <c r="O1208" s="552" t="s">
        <v>1584</v>
      </c>
      <c r="P1208" s="603"/>
      <c r="Q1208" s="682"/>
      <c r="R1208" s="682"/>
      <c r="S1208" s="682"/>
      <c r="T1208" s="682"/>
      <c r="U1208" s="682"/>
      <c r="V1208" s="682"/>
      <c r="W1208" s="682"/>
    </row>
    <row r="1209" spans="1:23">
      <c r="A1209" s="1045">
        <f t="shared" si="19"/>
        <v>6</v>
      </c>
      <c r="B1209" s="134">
        <v>45469</v>
      </c>
      <c r="C1209" s="70">
        <v>2018</v>
      </c>
      <c r="D1209" s="70" t="s">
        <v>58</v>
      </c>
      <c r="E1209" s="280" t="s">
        <v>3593</v>
      </c>
      <c r="F1209" s="1049">
        <v>7.17</v>
      </c>
      <c r="G1209" s="1049"/>
      <c r="H1209" s="564"/>
      <c r="I1209" s="609"/>
      <c r="J1209" s="1155"/>
      <c r="K1209" s="609"/>
      <c r="L1209" s="609"/>
      <c r="M1209" s="609"/>
      <c r="N1209" s="599"/>
      <c r="O1209" s="552" t="s">
        <v>1584</v>
      </c>
      <c r="P1209" s="603"/>
      <c r="Q1209" s="682"/>
      <c r="R1209" s="682"/>
      <c r="S1209" s="682"/>
      <c r="T1209" s="682"/>
      <c r="U1209" s="682"/>
      <c r="V1209" s="682"/>
      <c r="W1209" s="682"/>
    </row>
    <row r="1210" spans="1:23">
      <c r="A1210" s="1045">
        <f t="shared" si="19"/>
        <v>6</v>
      </c>
      <c r="B1210" s="134">
        <v>45469</v>
      </c>
      <c r="C1210" s="70">
        <v>5250</v>
      </c>
      <c r="D1210" s="70" t="s">
        <v>85</v>
      </c>
      <c r="E1210" s="280" t="s">
        <v>3594</v>
      </c>
      <c r="F1210" s="1049">
        <v>466</v>
      </c>
      <c r="G1210" s="1049"/>
      <c r="H1210" s="564"/>
      <c r="I1210" s="609"/>
      <c r="J1210" s="1155"/>
      <c r="K1210" s="609"/>
      <c r="L1210" s="609"/>
      <c r="M1210" s="609"/>
      <c r="N1210" s="599"/>
      <c r="O1210" s="552" t="s">
        <v>1584</v>
      </c>
      <c r="P1210" s="603"/>
      <c r="Q1210" s="682"/>
      <c r="R1210" s="682"/>
      <c r="S1210" s="682"/>
      <c r="T1210" s="682"/>
      <c r="U1210" s="682"/>
      <c r="V1210" s="682"/>
      <c r="W1210" s="682"/>
    </row>
    <row r="1211" spans="1:23">
      <c r="A1211" s="1045">
        <f t="shared" si="19"/>
        <v>6</v>
      </c>
      <c r="B1211" s="134">
        <v>45469</v>
      </c>
      <c r="C1211" s="70">
        <v>2018</v>
      </c>
      <c r="D1211" s="70" t="s">
        <v>58</v>
      </c>
      <c r="E1211" s="280" t="s">
        <v>3594</v>
      </c>
      <c r="F1211" s="1049">
        <v>23.3</v>
      </c>
      <c r="G1211" s="1049"/>
      <c r="H1211" s="564"/>
      <c r="I1211" s="609"/>
      <c r="J1211" s="1155"/>
      <c r="K1211" s="609"/>
      <c r="L1211" s="609"/>
      <c r="M1211" s="609"/>
      <c r="N1211" s="599"/>
      <c r="O1211" s="552" t="s">
        <v>1584</v>
      </c>
      <c r="P1211" s="603"/>
      <c r="Q1211" s="682"/>
      <c r="R1211" s="682"/>
      <c r="S1211" s="682"/>
      <c r="T1211" s="682"/>
      <c r="U1211" s="682"/>
      <c r="V1211" s="682"/>
      <c r="W1211" s="682"/>
    </row>
    <row r="1212" spans="1:23">
      <c r="A1212" s="1045">
        <f t="shared" si="19"/>
        <v>6</v>
      </c>
      <c r="B1212" s="134">
        <v>45470</v>
      </c>
      <c r="C1212" s="70">
        <v>5200</v>
      </c>
      <c r="D1212" s="70" t="s">
        <v>83</v>
      </c>
      <c r="E1212" s="280" t="s">
        <v>3595</v>
      </c>
      <c r="F1212" s="1049">
        <v>3047.63</v>
      </c>
      <c r="G1212" s="1049"/>
      <c r="H1212" s="564"/>
      <c r="I1212" s="609"/>
      <c r="J1212" s="1155"/>
      <c r="K1212" s="609"/>
      <c r="L1212" s="609"/>
      <c r="M1212" s="609"/>
      <c r="N1212" s="599"/>
      <c r="O1212" s="552" t="s">
        <v>1584</v>
      </c>
      <c r="P1212" s="603"/>
      <c r="Q1212" s="682"/>
      <c r="R1212" s="682"/>
      <c r="S1212" s="682"/>
      <c r="T1212" s="682"/>
      <c r="U1212" s="682"/>
      <c r="V1212" s="682"/>
      <c r="W1212" s="682"/>
    </row>
    <row r="1213" spans="1:23">
      <c r="A1213" s="1045">
        <f t="shared" si="19"/>
        <v>6</v>
      </c>
      <c r="B1213" s="134">
        <v>45470</v>
      </c>
      <c r="C1213" s="70">
        <v>2018</v>
      </c>
      <c r="D1213" s="70" t="s">
        <v>58</v>
      </c>
      <c r="E1213" s="280" t="s">
        <v>3595</v>
      </c>
      <c r="F1213" s="1049">
        <v>152.38999999999999</v>
      </c>
      <c r="G1213" s="1049"/>
      <c r="H1213" s="564"/>
      <c r="I1213" s="609"/>
      <c r="J1213" s="1155"/>
      <c r="K1213" s="609"/>
      <c r="L1213" s="609"/>
      <c r="M1213" s="609"/>
      <c r="N1213" s="599"/>
      <c r="O1213" s="552" t="s">
        <v>1584</v>
      </c>
      <c r="P1213" s="603"/>
      <c r="Q1213" s="682"/>
      <c r="R1213" s="682"/>
      <c r="S1213" s="682"/>
      <c r="T1213" s="682"/>
      <c r="U1213" s="682"/>
      <c r="V1213" s="682"/>
      <c r="W1213" s="682"/>
    </row>
    <row r="1214" spans="1:23">
      <c r="A1214" s="1045">
        <f t="shared" si="19"/>
        <v>6</v>
      </c>
      <c r="B1214" s="134">
        <v>45470</v>
      </c>
      <c r="C1214" s="70">
        <v>5250</v>
      </c>
      <c r="D1214" s="70" t="s">
        <v>85</v>
      </c>
      <c r="E1214" s="280" t="s">
        <v>3596</v>
      </c>
      <c r="F1214" s="1049">
        <v>760</v>
      </c>
      <c r="G1214" s="1049"/>
      <c r="H1214" s="564"/>
      <c r="I1214" s="609"/>
      <c r="J1214" s="1155"/>
      <c r="K1214" s="609"/>
      <c r="L1214" s="609"/>
      <c r="M1214" s="609"/>
      <c r="N1214" s="599"/>
      <c r="O1214" s="552" t="s">
        <v>1584</v>
      </c>
      <c r="P1214" s="603"/>
      <c r="Q1214" s="682"/>
      <c r="R1214" s="682"/>
      <c r="S1214" s="682"/>
      <c r="T1214" s="682"/>
      <c r="U1214" s="682"/>
      <c r="V1214" s="682"/>
      <c r="W1214" s="682"/>
    </row>
    <row r="1215" spans="1:23">
      <c r="A1215" s="1045">
        <f t="shared" si="19"/>
        <v>6</v>
      </c>
      <c r="B1215" s="134">
        <v>45470</v>
      </c>
      <c r="C1215" s="70">
        <v>2018</v>
      </c>
      <c r="D1215" s="70" t="s">
        <v>58</v>
      </c>
      <c r="E1215" s="280" t="s">
        <v>3596</v>
      </c>
      <c r="F1215" s="1049">
        <v>38</v>
      </c>
      <c r="G1215" s="1049"/>
      <c r="H1215" s="564"/>
      <c r="I1215" s="609"/>
      <c r="J1215" s="1155"/>
      <c r="K1215" s="609"/>
      <c r="L1215" s="609"/>
      <c r="M1215" s="609"/>
      <c r="N1215" s="599"/>
      <c r="O1215" s="552" t="s">
        <v>1584</v>
      </c>
      <c r="P1215" s="603"/>
      <c r="Q1215" s="682"/>
      <c r="R1215" s="682"/>
      <c r="S1215" s="682"/>
      <c r="T1215" s="682"/>
      <c r="U1215" s="682"/>
      <c r="V1215" s="682"/>
      <c r="W1215" s="682"/>
    </row>
    <row r="1216" spans="1:23">
      <c r="A1216" s="1045">
        <f t="shared" si="19"/>
        <v>6</v>
      </c>
      <c r="B1216" s="134">
        <v>45470</v>
      </c>
      <c r="C1216" s="70">
        <v>5250</v>
      </c>
      <c r="D1216" s="70" t="s">
        <v>85</v>
      </c>
      <c r="E1216" s="280" t="s">
        <v>3597</v>
      </c>
      <c r="F1216" s="1049">
        <v>410</v>
      </c>
      <c r="G1216" s="1049"/>
      <c r="H1216" s="564"/>
      <c r="I1216" s="609"/>
      <c r="J1216" s="1155"/>
      <c r="K1216" s="609"/>
      <c r="L1216" s="609"/>
      <c r="M1216" s="609"/>
      <c r="N1216" s="599"/>
      <c r="O1216" s="552" t="s">
        <v>1584</v>
      </c>
      <c r="P1216" s="603"/>
      <c r="Q1216" s="682"/>
      <c r="R1216" s="682"/>
      <c r="S1216" s="682"/>
      <c r="T1216" s="682"/>
      <c r="U1216" s="682"/>
      <c r="V1216" s="682"/>
      <c r="W1216" s="682"/>
    </row>
    <row r="1217" spans="1:23">
      <c r="A1217" s="1045">
        <f t="shared" si="19"/>
        <v>6</v>
      </c>
      <c r="B1217" s="134">
        <v>45470</v>
      </c>
      <c r="C1217" s="70">
        <v>2018</v>
      </c>
      <c r="D1217" s="70" t="s">
        <v>58</v>
      </c>
      <c r="E1217" s="280" t="s">
        <v>3597</v>
      </c>
      <c r="F1217" s="1049">
        <v>20.5</v>
      </c>
      <c r="G1217" s="1049"/>
      <c r="H1217" s="564"/>
      <c r="I1217" s="609"/>
      <c r="J1217" s="1155"/>
      <c r="K1217" s="609"/>
      <c r="L1217" s="609"/>
      <c r="M1217" s="609"/>
      <c r="N1217" s="599"/>
      <c r="O1217" s="552" t="s">
        <v>1584</v>
      </c>
      <c r="P1217" s="603"/>
      <c r="Q1217" s="682"/>
      <c r="R1217" s="682"/>
      <c r="S1217" s="682"/>
      <c r="T1217" s="682"/>
      <c r="U1217" s="682"/>
      <c r="V1217" s="682"/>
      <c r="W1217" s="682"/>
    </row>
    <row r="1218" spans="1:23">
      <c r="A1218" s="1045">
        <f t="shared" si="19"/>
        <v>6</v>
      </c>
      <c r="B1218" s="134">
        <v>45471</v>
      </c>
      <c r="C1218" s="70">
        <v>5200</v>
      </c>
      <c r="D1218" s="70" t="s">
        <v>83</v>
      </c>
      <c r="E1218" s="280" t="s">
        <v>3598</v>
      </c>
      <c r="F1218" s="1049">
        <v>110.76</v>
      </c>
      <c r="G1218" s="1049"/>
      <c r="H1218" s="564"/>
      <c r="I1218" s="609"/>
      <c r="J1218" s="1155"/>
      <c r="K1218" s="609"/>
      <c r="L1218" s="609"/>
      <c r="M1218" s="609"/>
      <c r="N1218" s="599"/>
      <c r="O1218" s="552" t="s">
        <v>1584</v>
      </c>
      <c r="P1218" s="603"/>
      <c r="Q1218" s="682"/>
      <c r="R1218" s="682"/>
      <c r="S1218" s="682"/>
      <c r="T1218" s="682"/>
      <c r="U1218" s="682"/>
      <c r="V1218" s="682"/>
      <c r="W1218" s="682"/>
    </row>
    <row r="1219" spans="1:23">
      <c r="A1219" s="1045">
        <f t="shared" si="19"/>
        <v>6</v>
      </c>
      <c r="B1219" s="134">
        <v>45471</v>
      </c>
      <c r="C1219" s="70">
        <v>2018</v>
      </c>
      <c r="D1219" s="70" t="s">
        <v>58</v>
      </c>
      <c r="E1219" s="280" t="s">
        <v>3598</v>
      </c>
      <c r="F1219" s="1049">
        <v>5.54</v>
      </c>
      <c r="G1219" s="1049"/>
      <c r="H1219" s="564"/>
      <c r="I1219" s="609"/>
      <c r="J1219" s="1155"/>
      <c r="K1219" s="609"/>
      <c r="L1219" s="609"/>
      <c r="M1219" s="609"/>
      <c r="N1219" s="599"/>
      <c r="O1219" s="552" t="s">
        <v>1584</v>
      </c>
      <c r="P1219" s="603"/>
      <c r="Q1219" s="682"/>
      <c r="R1219" s="682"/>
      <c r="S1219" s="682"/>
      <c r="T1219" s="682"/>
      <c r="U1219" s="682"/>
      <c r="V1219" s="682"/>
      <c r="W1219" s="682"/>
    </row>
    <row r="1220" spans="1:23">
      <c r="A1220" s="1045">
        <f t="shared" si="19"/>
        <v>6</v>
      </c>
      <c r="B1220" s="134">
        <v>45471</v>
      </c>
      <c r="C1220" s="70">
        <v>5200</v>
      </c>
      <c r="D1220" s="70" t="s">
        <v>83</v>
      </c>
      <c r="E1220" s="280" t="s">
        <v>3599</v>
      </c>
      <c r="F1220" s="1049">
        <v>95.2</v>
      </c>
      <c r="G1220" s="1049"/>
      <c r="H1220" s="564"/>
      <c r="I1220" s="609"/>
      <c r="J1220" s="1155"/>
      <c r="K1220" s="609"/>
      <c r="L1220" s="609"/>
      <c r="M1220" s="609"/>
      <c r="N1220" s="599"/>
      <c r="O1220" s="552" t="s">
        <v>1584</v>
      </c>
      <c r="P1220" s="603"/>
      <c r="Q1220" s="682"/>
      <c r="R1220" s="682"/>
      <c r="S1220" s="682"/>
      <c r="T1220" s="682"/>
      <c r="U1220" s="682"/>
      <c r="V1220" s="682"/>
      <c r="W1220" s="682"/>
    </row>
    <row r="1221" spans="1:23">
      <c r="A1221" s="1045">
        <f t="shared" si="19"/>
        <v>6</v>
      </c>
      <c r="B1221" s="134">
        <v>45471</v>
      </c>
      <c r="C1221" s="70">
        <v>2018</v>
      </c>
      <c r="D1221" s="70" t="s">
        <v>58</v>
      </c>
      <c r="E1221" s="280" t="s">
        <v>3599</v>
      </c>
      <c r="F1221" s="1049">
        <v>4.76</v>
      </c>
      <c r="G1221" s="1049"/>
      <c r="H1221" s="564"/>
      <c r="I1221" s="609"/>
      <c r="J1221" s="1155"/>
      <c r="K1221" s="609"/>
      <c r="L1221" s="609"/>
      <c r="M1221" s="609"/>
      <c r="N1221" s="599"/>
      <c r="O1221" s="552" t="s">
        <v>1584</v>
      </c>
      <c r="P1221" s="603"/>
      <c r="Q1221" s="682"/>
      <c r="R1221" s="682"/>
      <c r="S1221" s="682"/>
      <c r="T1221" s="682"/>
      <c r="U1221" s="682"/>
      <c r="V1221" s="682"/>
      <c r="W1221" s="682"/>
    </row>
    <row r="1222" spans="1:23">
      <c r="A1222" s="1045">
        <f t="shared" si="19"/>
        <v>6</v>
      </c>
      <c r="B1222" s="134">
        <v>45471</v>
      </c>
      <c r="C1222" s="70">
        <v>5220</v>
      </c>
      <c r="D1222" s="70" t="s">
        <v>84</v>
      </c>
      <c r="E1222" s="280" t="s">
        <v>3600</v>
      </c>
      <c r="F1222" s="1049">
        <v>1610</v>
      </c>
      <c r="G1222" s="1049"/>
      <c r="H1222" s="564"/>
      <c r="I1222" s="609"/>
      <c r="J1222" s="1155"/>
      <c r="K1222" s="609"/>
      <c r="L1222" s="609"/>
      <c r="M1222" s="609"/>
      <c r="N1222" s="599"/>
      <c r="O1222" s="552" t="s">
        <v>1584</v>
      </c>
      <c r="P1222" s="603"/>
      <c r="Q1222" s="682"/>
      <c r="R1222" s="682"/>
      <c r="S1222" s="682"/>
      <c r="T1222" s="682"/>
      <c r="U1222" s="682"/>
      <c r="V1222" s="682"/>
      <c r="W1222" s="682"/>
    </row>
    <row r="1223" spans="1:23">
      <c r="A1223" s="1045">
        <f t="shared" si="19"/>
        <v>6</v>
      </c>
      <c r="B1223" s="134">
        <v>45471</v>
      </c>
      <c r="C1223" s="70">
        <v>2018</v>
      </c>
      <c r="D1223" s="70" t="s">
        <v>58</v>
      </c>
      <c r="E1223" s="280" t="s">
        <v>3600</v>
      </c>
      <c r="F1223" s="1049">
        <v>80.5</v>
      </c>
      <c r="G1223" s="1049"/>
      <c r="H1223" s="564"/>
      <c r="I1223" s="609"/>
      <c r="J1223" s="1155"/>
      <c r="K1223" s="609"/>
      <c r="L1223" s="609"/>
      <c r="M1223" s="609"/>
      <c r="N1223" s="599"/>
      <c r="O1223" s="552" t="s">
        <v>1584</v>
      </c>
      <c r="P1223" s="603"/>
      <c r="Q1223" s="682"/>
      <c r="R1223" s="682"/>
      <c r="S1223" s="682"/>
      <c r="T1223" s="682"/>
      <c r="U1223" s="682"/>
      <c r="V1223" s="682"/>
      <c r="W1223" s="682"/>
    </row>
    <row r="1224" spans="1:23">
      <c r="A1224" s="1045">
        <f t="shared" si="19"/>
        <v>6</v>
      </c>
      <c r="B1224" s="134">
        <v>45471</v>
      </c>
      <c r="C1224" s="70">
        <v>5250</v>
      </c>
      <c r="D1224" s="70" t="s">
        <v>85</v>
      </c>
      <c r="E1224" s="280" t="s">
        <v>3601</v>
      </c>
      <c r="F1224" s="1049">
        <v>4529</v>
      </c>
      <c r="G1224" s="1049"/>
      <c r="H1224" s="564"/>
      <c r="I1224" s="609"/>
      <c r="J1224" s="1155"/>
      <c r="K1224" s="609"/>
      <c r="L1224" s="609"/>
      <c r="M1224" s="609"/>
      <c r="N1224" s="599"/>
      <c r="O1224" s="552" t="s">
        <v>1584</v>
      </c>
      <c r="P1224" s="603"/>
      <c r="Q1224" s="682"/>
      <c r="R1224" s="682"/>
      <c r="S1224" s="682"/>
      <c r="T1224" s="682"/>
      <c r="U1224" s="682"/>
      <c r="V1224" s="682"/>
      <c r="W1224" s="682"/>
    </row>
    <row r="1225" spans="1:23">
      <c r="A1225" s="1045">
        <f t="shared" si="19"/>
        <v>6</v>
      </c>
      <c r="B1225" s="134">
        <v>45471</v>
      </c>
      <c r="C1225" s="70">
        <v>2018</v>
      </c>
      <c r="D1225" s="70" t="s">
        <v>58</v>
      </c>
      <c r="E1225" s="280" t="s">
        <v>3601</v>
      </c>
      <c r="F1225" s="1049">
        <v>226.45</v>
      </c>
      <c r="G1225" s="1049"/>
      <c r="H1225" s="564"/>
      <c r="I1225" s="609"/>
      <c r="J1225" s="1155"/>
      <c r="K1225" s="609"/>
      <c r="L1225" s="609"/>
      <c r="M1225" s="609"/>
      <c r="N1225" s="599"/>
      <c r="O1225" s="552" t="s">
        <v>1584</v>
      </c>
      <c r="P1225" s="603"/>
      <c r="Q1225" s="682"/>
      <c r="R1225" s="682"/>
      <c r="S1225" s="682"/>
      <c r="T1225" s="682"/>
      <c r="U1225" s="682"/>
      <c r="V1225" s="682"/>
      <c r="W1225" s="682"/>
    </row>
    <row r="1226" spans="1:23">
      <c r="A1226" s="1045">
        <f t="shared" si="19"/>
        <v>6</v>
      </c>
      <c r="B1226" s="134">
        <v>45471</v>
      </c>
      <c r="C1226" s="70">
        <v>5250</v>
      </c>
      <c r="D1226" s="70" t="s">
        <v>85</v>
      </c>
      <c r="E1226" s="280" t="s">
        <v>3602</v>
      </c>
      <c r="F1226" s="1049">
        <v>75.7</v>
      </c>
      <c r="G1226" s="1049"/>
      <c r="H1226" s="564"/>
      <c r="I1226" s="609"/>
      <c r="J1226" s="1155"/>
      <c r="K1226" s="609"/>
      <c r="L1226" s="609"/>
      <c r="M1226" s="609"/>
      <c r="N1226" s="599"/>
      <c r="O1226" s="552" t="s">
        <v>1584</v>
      </c>
      <c r="P1226" s="603"/>
      <c r="Q1226" s="682"/>
      <c r="R1226" s="682"/>
      <c r="S1226" s="682"/>
      <c r="T1226" s="682"/>
      <c r="U1226" s="682"/>
      <c r="V1226" s="682"/>
      <c r="W1226" s="682"/>
    </row>
    <row r="1227" spans="1:23">
      <c r="A1227" s="1045">
        <f t="shared" si="19"/>
        <v>6</v>
      </c>
      <c r="B1227" s="134">
        <v>45471</v>
      </c>
      <c r="C1227" s="70">
        <v>2018</v>
      </c>
      <c r="D1227" s="70" t="s">
        <v>58</v>
      </c>
      <c r="E1227" s="280" t="s">
        <v>3602</v>
      </c>
      <c r="F1227" s="1049">
        <v>3.78</v>
      </c>
      <c r="G1227" s="1049"/>
      <c r="H1227" s="564"/>
      <c r="I1227" s="609"/>
      <c r="J1227" s="1155"/>
      <c r="K1227" s="609"/>
      <c r="L1227" s="609"/>
      <c r="M1227" s="609"/>
      <c r="N1227" s="599"/>
      <c r="O1227" s="552" t="s">
        <v>1584</v>
      </c>
      <c r="P1227" s="603"/>
      <c r="Q1227" s="682"/>
      <c r="R1227" s="682"/>
      <c r="S1227" s="682"/>
      <c r="T1227" s="682"/>
      <c r="U1227" s="682"/>
      <c r="V1227" s="682"/>
      <c r="W1227" s="682"/>
    </row>
    <row r="1228" spans="1:23">
      <c r="A1228" s="1045">
        <f t="shared" si="19"/>
        <v>6</v>
      </c>
      <c r="B1228" s="134">
        <v>45471</v>
      </c>
      <c r="C1228" s="70">
        <v>5250</v>
      </c>
      <c r="D1228" s="70" t="s">
        <v>85</v>
      </c>
      <c r="E1228" s="280" t="s">
        <v>3603</v>
      </c>
      <c r="F1228" s="1049">
        <v>193.33</v>
      </c>
      <c r="G1228" s="1049"/>
      <c r="H1228" s="564"/>
      <c r="I1228" s="609"/>
      <c r="J1228" s="1155"/>
      <c r="K1228" s="609"/>
      <c r="L1228" s="609"/>
      <c r="M1228" s="609"/>
      <c r="N1228" s="599"/>
      <c r="O1228" s="552" t="s">
        <v>1584</v>
      </c>
      <c r="P1228" s="603"/>
      <c r="Q1228" s="682"/>
      <c r="R1228" s="682"/>
      <c r="S1228" s="682"/>
      <c r="T1228" s="682"/>
      <c r="U1228" s="682"/>
      <c r="V1228" s="682"/>
      <c r="W1228" s="682"/>
    </row>
    <row r="1229" spans="1:23">
      <c r="A1229" s="1045">
        <f t="shared" si="19"/>
        <v>6</v>
      </c>
      <c r="B1229" s="134">
        <v>45471</v>
      </c>
      <c r="C1229" s="70">
        <v>2018</v>
      </c>
      <c r="D1229" s="70" t="s">
        <v>58</v>
      </c>
      <c r="E1229" s="280" t="s">
        <v>3603</v>
      </c>
      <c r="F1229" s="1049">
        <v>9.67</v>
      </c>
      <c r="G1229" s="1049"/>
      <c r="H1229" s="564"/>
      <c r="I1229" s="609"/>
      <c r="J1229" s="1155"/>
      <c r="K1229" s="609"/>
      <c r="L1229" s="609"/>
      <c r="M1229" s="609"/>
      <c r="N1229" s="599"/>
      <c r="O1229" s="552" t="s">
        <v>1584</v>
      </c>
      <c r="P1229" s="603"/>
      <c r="Q1229" s="682"/>
      <c r="R1229" s="682"/>
      <c r="S1229" s="682"/>
      <c r="T1229" s="682"/>
      <c r="U1229" s="682"/>
      <c r="V1229" s="682"/>
      <c r="W1229" s="682"/>
    </row>
    <row r="1230" spans="1:23">
      <c r="A1230" s="1045">
        <f t="shared" si="19"/>
        <v>6</v>
      </c>
      <c r="B1230" s="134">
        <v>45471</v>
      </c>
      <c r="C1230" s="70">
        <v>5250</v>
      </c>
      <c r="D1230" s="70" t="s">
        <v>85</v>
      </c>
      <c r="E1230" s="280" t="s">
        <v>3604</v>
      </c>
      <c r="F1230" s="1049">
        <v>136.16999999999999</v>
      </c>
      <c r="G1230" s="1049"/>
      <c r="H1230" s="564"/>
      <c r="I1230" s="609"/>
      <c r="J1230" s="1155"/>
      <c r="K1230" s="609"/>
      <c r="L1230" s="609"/>
      <c r="M1230" s="609"/>
      <c r="N1230" s="599"/>
      <c r="O1230" s="552" t="s">
        <v>1584</v>
      </c>
      <c r="P1230" s="603"/>
      <c r="Q1230" s="682"/>
      <c r="R1230" s="682"/>
      <c r="S1230" s="682"/>
      <c r="T1230" s="682"/>
      <c r="U1230" s="682"/>
      <c r="V1230" s="682"/>
      <c r="W1230" s="682"/>
    </row>
    <row r="1231" spans="1:23">
      <c r="A1231" s="1045">
        <f t="shared" si="19"/>
        <v>6</v>
      </c>
      <c r="B1231" s="134">
        <v>45471</v>
      </c>
      <c r="C1231" s="70">
        <v>2018</v>
      </c>
      <c r="D1231" s="70" t="s">
        <v>58</v>
      </c>
      <c r="E1231" s="280" t="s">
        <v>3604</v>
      </c>
      <c r="F1231" s="1049">
        <v>6.81</v>
      </c>
      <c r="G1231" s="1049"/>
      <c r="H1231" s="564"/>
      <c r="I1231" s="609"/>
      <c r="J1231" s="1155"/>
      <c r="K1231" s="609"/>
      <c r="L1231" s="609"/>
      <c r="M1231" s="609"/>
      <c r="N1231" s="599"/>
      <c r="O1231" s="552" t="s">
        <v>1584</v>
      </c>
      <c r="P1231" s="603"/>
      <c r="Q1231" s="682"/>
      <c r="R1231" s="682"/>
      <c r="S1231" s="682"/>
      <c r="T1231" s="682"/>
      <c r="U1231" s="682"/>
      <c r="V1231" s="682"/>
      <c r="W1231" s="682"/>
    </row>
    <row r="1232" spans="1:23">
      <c r="A1232" s="1045">
        <f t="shared" si="19"/>
        <v>6</v>
      </c>
      <c r="B1232" s="134">
        <v>45471</v>
      </c>
      <c r="C1232" s="70">
        <v>5250</v>
      </c>
      <c r="D1232" s="70" t="s">
        <v>85</v>
      </c>
      <c r="E1232" s="280" t="s">
        <v>3605</v>
      </c>
      <c r="F1232" s="1049">
        <v>230</v>
      </c>
      <c r="G1232" s="1049"/>
      <c r="H1232" s="564"/>
      <c r="I1232" s="609"/>
      <c r="J1232" s="1155"/>
      <c r="K1232" s="609"/>
      <c r="L1232" s="609"/>
      <c r="M1232" s="609"/>
      <c r="N1232" s="599"/>
      <c r="O1232" s="552" t="s">
        <v>1584</v>
      </c>
      <c r="P1232" s="603"/>
      <c r="Q1232" s="682"/>
      <c r="R1232" s="682"/>
      <c r="S1232" s="682"/>
      <c r="T1232" s="682"/>
      <c r="U1232" s="682"/>
      <c r="V1232" s="682"/>
      <c r="W1232" s="682"/>
    </row>
    <row r="1233" spans="1:23">
      <c r="A1233" s="1045">
        <f t="shared" si="19"/>
        <v>6</v>
      </c>
      <c r="B1233" s="134">
        <v>45471</v>
      </c>
      <c r="C1233" s="70">
        <v>2018</v>
      </c>
      <c r="D1233" s="70" t="s">
        <v>58</v>
      </c>
      <c r="E1233" s="280" t="s">
        <v>3605</v>
      </c>
      <c r="F1233" s="1049">
        <v>11.3</v>
      </c>
      <c r="G1233" s="1049"/>
      <c r="H1233" s="564"/>
      <c r="I1233" s="609"/>
      <c r="J1233" s="1155"/>
      <c r="K1233" s="609"/>
      <c r="L1233" s="609"/>
      <c r="M1233" s="609"/>
      <c r="N1233" s="599"/>
      <c r="O1233" s="552" t="s">
        <v>1584</v>
      </c>
      <c r="P1233" s="603"/>
      <c r="Q1233" s="682"/>
      <c r="R1233" s="682"/>
      <c r="S1233" s="682"/>
      <c r="T1233" s="682"/>
      <c r="U1233" s="682"/>
      <c r="V1233" s="682"/>
      <c r="W1233" s="682"/>
    </row>
    <row r="1234" spans="1:23">
      <c r="A1234" s="1045">
        <f t="shared" si="19"/>
        <v>6</v>
      </c>
      <c r="B1234" s="134">
        <v>45472</v>
      </c>
      <c r="C1234" s="70">
        <v>5250</v>
      </c>
      <c r="D1234" s="70" t="s">
        <v>85</v>
      </c>
      <c r="E1234" s="280" t="s">
        <v>3606</v>
      </c>
      <c r="F1234" s="1049">
        <v>54.5</v>
      </c>
      <c r="G1234" s="1049"/>
      <c r="H1234" s="564"/>
      <c r="I1234" s="609"/>
      <c r="J1234" s="1155"/>
      <c r="K1234" s="609"/>
      <c r="L1234" s="609"/>
      <c r="M1234" s="609"/>
      <c r="N1234" s="599"/>
      <c r="O1234" s="552" t="s">
        <v>1584</v>
      </c>
      <c r="P1234" s="603"/>
      <c r="Q1234" s="682"/>
      <c r="R1234" s="682"/>
      <c r="S1234" s="682"/>
      <c r="T1234" s="682"/>
      <c r="U1234" s="682"/>
      <c r="V1234" s="682"/>
      <c r="W1234" s="682"/>
    </row>
    <row r="1235" spans="1:23">
      <c r="A1235" s="1045">
        <f t="shared" si="19"/>
        <v>6</v>
      </c>
      <c r="B1235" s="134">
        <v>45472</v>
      </c>
      <c r="C1235" s="70">
        <v>2018</v>
      </c>
      <c r="D1235" s="70" t="s">
        <v>58</v>
      </c>
      <c r="E1235" s="280" t="s">
        <v>3606</v>
      </c>
      <c r="F1235" s="1049">
        <v>2.73</v>
      </c>
      <c r="G1235" s="1049"/>
      <c r="H1235" s="564"/>
      <c r="I1235" s="609"/>
      <c r="J1235" s="1155"/>
      <c r="K1235" s="609"/>
      <c r="L1235" s="609"/>
      <c r="M1235" s="609"/>
      <c r="N1235" s="599"/>
      <c r="O1235" s="552" t="s">
        <v>1584</v>
      </c>
      <c r="P1235" s="603"/>
      <c r="Q1235" s="682"/>
      <c r="R1235" s="682"/>
      <c r="S1235" s="682"/>
      <c r="T1235" s="682"/>
      <c r="U1235" s="682"/>
      <c r="V1235" s="682"/>
      <c r="W1235" s="682"/>
    </row>
    <row r="1236" spans="1:23">
      <c r="A1236" s="1045">
        <f t="shared" si="19"/>
        <v>6</v>
      </c>
      <c r="B1236" s="134">
        <v>45472</v>
      </c>
      <c r="C1236" s="70">
        <v>5200</v>
      </c>
      <c r="D1236" s="70" t="s">
        <v>83</v>
      </c>
      <c r="E1236" s="280" t="s">
        <v>3607</v>
      </c>
      <c r="F1236" s="1049">
        <v>492.79</v>
      </c>
      <c r="G1236" s="1049"/>
      <c r="H1236" s="564"/>
      <c r="I1236" s="609"/>
      <c r="J1236" s="1155"/>
      <c r="K1236" s="609"/>
      <c r="L1236" s="609"/>
      <c r="M1236" s="609"/>
      <c r="N1236" s="599"/>
      <c r="O1236" s="552" t="s">
        <v>1584</v>
      </c>
      <c r="P1236" s="603"/>
      <c r="Q1236" s="682"/>
      <c r="R1236" s="682"/>
      <c r="S1236" s="682"/>
      <c r="T1236" s="682"/>
      <c r="U1236" s="682"/>
      <c r="V1236" s="682"/>
      <c r="W1236" s="682"/>
    </row>
    <row r="1237" spans="1:23">
      <c r="A1237" s="1045">
        <f t="shared" ref="A1237:A1300" si="20">IF(B1237="","",MONTH(B1237))</f>
        <v>6</v>
      </c>
      <c r="B1237" s="134">
        <v>45472</v>
      </c>
      <c r="C1237" s="70">
        <v>5200</v>
      </c>
      <c r="D1237" s="70" t="s">
        <v>83</v>
      </c>
      <c r="E1237" s="280" t="s">
        <v>3607</v>
      </c>
      <c r="F1237" s="1049">
        <v>24.64</v>
      </c>
      <c r="G1237" s="1049"/>
      <c r="H1237" s="564"/>
      <c r="I1237" s="609"/>
      <c r="J1237" s="1155"/>
      <c r="K1237" s="609"/>
      <c r="L1237" s="609"/>
      <c r="M1237" s="609"/>
      <c r="N1237" s="599"/>
      <c r="O1237" s="552" t="s">
        <v>1584</v>
      </c>
      <c r="P1237" s="603"/>
      <c r="Q1237" s="682"/>
      <c r="R1237" s="682"/>
      <c r="S1237" s="682"/>
      <c r="T1237" s="682"/>
      <c r="U1237" s="682"/>
      <c r="V1237" s="682"/>
      <c r="W1237" s="682"/>
    </row>
    <row r="1238" spans="1:23">
      <c r="A1238" s="1045">
        <f t="shared" si="20"/>
        <v>6</v>
      </c>
      <c r="B1238" s="134">
        <v>45472</v>
      </c>
      <c r="C1238" s="70">
        <v>5200</v>
      </c>
      <c r="D1238" s="70" t="s">
        <v>83</v>
      </c>
      <c r="E1238" s="280" t="s">
        <v>3608</v>
      </c>
      <c r="F1238" s="1049">
        <v>70.099999999999994</v>
      </c>
      <c r="G1238" s="1049"/>
      <c r="H1238" s="564"/>
      <c r="I1238" s="609"/>
      <c r="J1238" s="1155"/>
      <c r="K1238" s="609"/>
      <c r="L1238" s="609"/>
      <c r="M1238" s="609"/>
      <c r="N1238" s="599"/>
      <c r="O1238" s="552" t="s">
        <v>1584</v>
      </c>
      <c r="P1238" s="603"/>
      <c r="Q1238" s="682"/>
      <c r="R1238" s="682"/>
      <c r="S1238" s="682"/>
      <c r="T1238" s="682"/>
      <c r="U1238" s="682"/>
      <c r="V1238" s="682"/>
      <c r="W1238" s="682"/>
    </row>
    <row r="1239" spans="1:23">
      <c r="A1239" s="1045">
        <f t="shared" si="20"/>
        <v>6</v>
      </c>
      <c r="B1239" s="134">
        <v>45472</v>
      </c>
      <c r="C1239" s="70">
        <v>2018</v>
      </c>
      <c r="D1239" s="70" t="s">
        <v>58</v>
      </c>
      <c r="E1239" s="280" t="s">
        <v>3608</v>
      </c>
      <c r="F1239" s="1049">
        <v>3.51</v>
      </c>
      <c r="G1239" s="1049"/>
      <c r="H1239" s="564"/>
      <c r="I1239" s="609"/>
      <c r="J1239" s="1155"/>
      <c r="K1239" s="609"/>
      <c r="L1239" s="609"/>
      <c r="M1239" s="609"/>
      <c r="N1239" s="599"/>
      <c r="O1239" s="552" t="s">
        <v>1584</v>
      </c>
      <c r="P1239" s="603"/>
      <c r="Q1239" s="682"/>
      <c r="R1239" s="682"/>
      <c r="S1239" s="682"/>
      <c r="T1239" s="682"/>
      <c r="U1239" s="682"/>
      <c r="V1239" s="682"/>
      <c r="W1239" s="682"/>
    </row>
    <row r="1240" spans="1:23">
      <c r="A1240" s="1045">
        <f t="shared" si="20"/>
        <v>6</v>
      </c>
      <c r="B1240" s="134">
        <v>45472</v>
      </c>
      <c r="C1240" s="70">
        <v>5250</v>
      </c>
      <c r="D1240" s="70" t="s">
        <v>85</v>
      </c>
      <c r="E1240" s="280" t="s">
        <v>3609</v>
      </c>
      <c r="F1240" s="1049">
        <v>70</v>
      </c>
      <c r="G1240" s="1049"/>
      <c r="H1240" s="564"/>
      <c r="I1240" s="609"/>
      <c r="J1240" s="1155"/>
      <c r="K1240" s="609"/>
      <c r="L1240" s="609"/>
      <c r="M1240" s="609"/>
      <c r="N1240" s="599"/>
      <c r="O1240" s="552" t="s">
        <v>1584</v>
      </c>
      <c r="P1240" s="603"/>
      <c r="Q1240" s="682"/>
      <c r="R1240" s="682"/>
      <c r="S1240" s="682"/>
      <c r="T1240" s="682"/>
      <c r="U1240" s="682"/>
      <c r="V1240" s="682"/>
      <c r="W1240" s="682"/>
    </row>
    <row r="1241" spans="1:23">
      <c r="A1241" s="1045">
        <f t="shared" si="20"/>
        <v>6</v>
      </c>
      <c r="B1241" s="134">
        <v>45472</v>
      </c>
      <c r="C1241" s="70">
        <v>2018</v>
      </c>
      <c r="D1241" s="70" t="s">
        <v>58</v>
      </c>
      <c r="E1241" s="280" t="s">
        <v>3609</v>
      </c>
      <c r="F1241" s="1049">
        <v>3.5</v>
      </c>
      <c r="G1241" s="1049"/>
      <c r="H1241" s="564"/>
      <c r="I1241" s="609"/>
      <c r="J1241" s="1155"/>
      <c r="K1241" s="609"/>
      <c r="L1241" s="609"/>
      <c r="M1241" s="609"/>
      <c r="N1241" s="599"/>
      <c r="O1241" s="552" t="s">
        <v>1584</v>
      </c>
      <c r="P1241" s="603"/>
      <c r="Q1241" s="682"/>
      <c r="R1241" s="682"/>
      <c r="S1241" s="682"/>
      <c r="T1241" s="682"/>
      <c r="U1241" s="682"/>
      <c r="V1241" s="682"/>
      <c r="W1241" s="682"/>
    </row>
    <row r="1242" spans="1:23">
      <c r="A1242" s="1045">
        <f t="shared" si="20"/>
        <v>6</v>
      </c>
      <c r="B1242" s="134">
        <v>45472</v>
      </c>
      <c r="C1242" s="70">
        <v>5250</v>
      </c>
      <c r="D1242" s="70" t="s">
        <v>85</v>
      </c>
      <c r="E1242" s="280" t="s">
        <v>3610</v>
      </c>
      <c r="F1242" s="1049">
        <v>13</v>
      </c>
      <c r="G1242" s="1049"/>
      <c r="H1242" s="564"/>
      <c r="I1242" s="609"/>
      <c r="J1242" s="1155"/>
      <c r="K1242" s="609"/>
      <c r="L1242" s="609"/>
      <c r="M1242" s="609"/>
      <c r="N1242" s="599"/>
      <c r="O1242" s="552" t="s">
        <v>1584</v>
      </c>
      <c r="P1242" s="603"/>
      <c r="Q1242" s="682"/>
      <c r="R1242" s="682"/>
      <c r="S1242" s="682"/>
      <c r="T1242" s="682"/>
      <c r="U1242" s="682"/>
      <c r="V1242" s="682"/>
      <c r="W1242" s="682"/>
    </row>
    <row r="1243" spans="1:23">
      <c r="A1243" s="1045">
        <f t="shared" si="20"/>
        <v>6</v>
      </c>
      <c r="B1243" s="134">
        <v>45472</v>
      </c>
      <c r="C1243" s="70">
        <v>2018</v>
      </c>
      <c r="D1243" s="70" t="s">
        <v>58</v>
      </c>
      <c r="E1243" s="280" t="s">
        <v>3610</v>
      </c>
      <c r="F1243" s="1049">
        <v>0.6</v>
      </c>
      <c r="G1243" s="1049"/>
      <c r="H1243" s="564"/>
      <c r="I1243" s="609"/>
      <c r="J1243" s="1155"/>
      <c r="K1243" s="609"/>
      <c r="L1243" s="609"/>
      <c r="M1243" s="609"/>
      <c r="N1243" s="599"/>
      <c r="O1243" s="552" t="s">
        <v>1584</v>
      </c>
      <c r="P1243" s="603"/>
      <c r="Q1243" s="682"/>
      <c r="R1243" s="682"/>
      <c r="S1243" s="682"/>
      <c r="T1243" s="682"/>
      <c r="U1243" s="682"/>
      <c r="V1243" s="682"/>
      <c r="W1243" s="682"/>
    </row>
    <row r="1244" spans="1:23">
      <c r="A1244" s="1045">
        <f t="shared" si="20"/>
        <v>6</v>
      </c>
      <c r="B1244" s="134">
        <v>45472</v>
      </c>
      <c r="C1244" s="70">
        <v>5250</v>
      </c>
      <c r="D1244" s="70" t="s">
        <v>85</v>
      </c>
      <c r="E1244" s="280" t="s">
        <v>3611</v>
      </c>
      <c r="F1244" s="1049">
        <v>62</v>
      </c>
      <c r="G1244" s="1049"/>
      <c r="H1244" s="564"/>
      <c r="I1244" s="609"/>
      <c r="J1244" s="1155"/>
      <c r="K1244" s="609"/>
      <c r="L1244" s="609"/>
      <c r="M1244" s="609"/>
      <c r="N1244" s="599"/>
      <c r="O1244" s="552" t="s">
        <v>1584</v>
      </c>
      <c r="P1244" s="603"/>
      <c r="Q1244" s="682"/>
      <c r="R1244" s="682"/>
      <c r="S1244" s="682"/>
      <c r="T1244" s="682"/>
      <c r="U1244" s="682"/>
      <c r="V1244" s="682"/>
      <c r="W1244" s="682"/>
    </row>
    <row r="1245" spans="1:23">
      <c r="A1245" s="1045">
        <f t="shared" si="20"/>
        <v>6</v>
      </c>
      <c r="B1245" s="134">
        <v>45472</v>
      </c>
      <c r="C1245" s="70">
        <v>2018</v>
      </c>
      <c r="D1245" s="70" t="s">
        <v>58</v>
      </c>
      <c r="E1245" s="280" t="s">
        <v>3611</v>
      </c>
      <c r="F1245" s="1049">
        <v>3.1</v>
      </c>
      <c r="G1245" s="1049"/>
      <c r="H1245" s="564"/>
      <c r="I1245" s="609"/>
      <c r="J1245" s="1155"/>
      <c r="K1245" s="609"/>
      <c r="L1245" s="609"/>
      <c r="M1245" s="609"/>
      <c r="N1245" s="599"/>
      <c r="O1245" s="552" t="s">
        <v>1584</v>
      </c>
      <c r="P1245" s="603"/>
      <c r="Q1245" s="682"/>
      <c r="R1245" s="682"/>
      <c r="S1245" s="682"/>
      <c r="T1245" s="682"/>
      <c r="U1245" s="682"/>
      <c r="V1245" s="682"/>
      <c r="W1245" s="682"/>
    </row>
    <row r="1246" spans="1:23">
      <c r="A1246" s="1045">
        <f t="shared" si="20"/>
        <v>6</v>
      </c>
      <c r="B1246" s="134">
        <v>45472</v>
      </c>
      <c r="C1246" s="70">
        <v>5250</v>
      </c>
      <c r="D1246" s="70" t="s">
        <v>85</v>
      </c>
      <c r="E1246" s="280" t="s">
        <v>3612</v>
      </c>
      <c r="F1246" s="1049">
        <v>80</v>
      </c>
      <c r="G1246" s="1049"/>
      <c r="H1246" s="564"/>
      <c r="I1246" s="609"/>
      <c r="J1246" s="1155"/>
      <c r="K1246" s="609"/>
      <c r="L1246" s="609"/>
      <c r="M1246" s="609"/>
      <c r="N1246" s="599"/>
      <c r="O1246" s="552" t="s">
        <v>1584</v>
      </c>
      <c r="P1246" s="603"/>
      <c r="Q1246" s="682"/>
      <c r="R1246" s="682"/>
      <c r="S1246" s="682"/>
      <c r="T1246" s="682"/>
      <c r="U1246" s="682"/>
      <c r="V1246" s="682"/>
      <c r="W1246" s="682"/>
    </row>
    <row r="1247" spans="1:23">
      <c r="A1247" s="1045">
        <f t="shared" si="20"/>
        <v>6</v>
      </c>
      <c r="B1247" s="134">
        <v>45472</v>
      </c>
      <c r="C1247" s="70">
        <v>2018</v>
      </c>
      <c r="D1247" s="70" t="s">
        <v>58</v>
      </c>
      <c r="E1247" s="280" t="s">
        <v>3612</v>
      </c>
      <c r="F1247" s="1049">
        <v>4</v>
      </c>
      <c r="G1247" s="1049"/>
      <c r="H1247" s="564"/>
      <c r="I1247" s="609"/>
      <c r="J1247" s="1155"/>
      <c r="K1247" s="609"/>
      <c r="L1247" s="609"/>
      <c r="M1247" s="609"/>
      <c r="N1247" s="599"/>
      <c r="O1247" s="552" t="s">
        <v>1584</v>
      </c>
      <c r="P1247" s="603"/>
      <c r="Q1247" s="682"/>
      <c r="R1247" s="682"/>
      <c r="S1247" s="682"/>
      <c r="T1247" s="682"/>
      <c r="U1247" s="682"/>
      <c r="V1247" s="682"/>
      <c r="W1247" s="682"/>
    </row>
    <row r="1248" spans="1:23">
      <c r="A1248" s="1045">
        <f t="shared" si="20"/>
        <v>6</v>
      </c>
      <c r="B1248" s="134">
        <v>45472</v>
      </c>
      <c r="C1248" s="70">
        <v>5250</v>
      </c>
      <c r="D1248" s="70" t="s">
        <v>85</v>
      </c>
      <c r="E1248" s="280" t="s">
        <v>3613</v>
      </c>
      <c r="F1248" s="1049">
        <v>304.04000000000002</v>
      </c>
      <c r="G1248" s="1049"/>
      <c r="H1248" s="564"/>
      <c r="I1248" s="609"/>
      <c r="J1248" s="1155"/>
      <c r="K1248" s="609"/>
      <c r="L1248" s="609"/>
      <c r="M1248" s="609"/>
      <c r="N1248" s="599"/>
      <c r="O1248" s="552" t="s">
        <v>1584</v>
      </c>
      <c r="P1248" s="603"/>
      <c r="Q1248" s="682"/>
      <c r="R1248" s="682"/>
      <c r="S1248" s="682"/>
      <c r="T1248" s="682"/>
      <c r="U1248" s="682"/>
      <c r="V1248" s="682"/>
      <c r="W1248" s="682"/>
    </row>
    <row r="1249" spans="1:23">
      <c r="A1249" s="1045">
        <f t="shared" si="20"/>
        <v>6</v>
      </c>
      <c r="B1249" s="134">
        <v>45472</v>
      </c>
      <c r="C1249" s="70">
        <v>2018</v>
      </c>
      <c r="D1249" s="70" t="s">
        <v>58</v>
      </c>
      <c r="E1249" s="280" t="s">
        <v>3613</v>
      </c>
      <c r="F1249" s="1049">
        <v>15.2</v>
      </c>
      <c r="G1249" s="1049"/>
      <c r="H1249" s="564"/>
      <c r="I1249" s="609"/>
      <c r="J1249" s="1155"/>
      <c r="K1249" s="609"/>
      <c r="L1249" s="609"/>
      <c r="M1249" s="609"/>
      <c r="N1249" s="599"/>
      <c r="O1249" s="552" t="s">
        <v>1584</v>
      </c>
      <c r="P1249" s="603"/>
      <c r="Q1249" s="682"/>
      <c r="R1249" s="682"/>
      <c r="S1249" s="682"/>
      <c r="T1249" s="682"/>
      <c r="U1249" s="682"/>
      <c r="V1249" s="682"/>
      <c r="W1249" s="682"/>
    </row>
    <row r="1250" spans="1:23">
      <c r="A1250" s="1045">
        <f t="shared" si="20"/>
        <v>6</v>
      </c>
      <c r="B1250" s="134">
        <v>45472</v>
      </c>
      <c r="C1250" s="70">
        <v>5250</v>
      </c>
      <c r="D1250" s="70" t="s">
        <v>85</v>
      </c>
      <c r="E1250" s="280" t="s">
        <v>3614</v>
      </c>
      <c r="F1250" s="1049">
        <v>340</v>
      </c>
      <c r="G1250" s="1049"/>
      <c r="H1250" s="564"/>
      <c r="I1250" s="609"/>
      <c r="J1250" s="1155"/>
      <c r="K1250" s="609"/>
      <c r="L1250" s="609"/>
      <c r="M1250" s="609"/>
      <c r="N1250" s="599"/>
      <c r="O1250" s="552" t="s">
        <v>1584</v>
      </c>
      <c r="P1250" s="603"/>
      <c r="Q1250" s="682"/>
      <c r="R1250" s="682"/>
      <c r="S1250" s="682"/>
      <c r="T1250" s="682"/>
      <c r="U1250" s="682"/>
      <c r="V1250" s="682"/>
      <c r="W1250" s="682"/>
    </row>
    <row r="1251" spans="1:23">
      <c r="A1251" s="1045">
        <f t="shared" si="20"/>
        <v>6</v>
      </c>
      <c r="B1251" s="134">
        <v>45472</v>
      </c>
      <c r="C1251" s="70">
        <v>2018</v>
      </c>
      <c r="D1251" s="70" t="s">
        <v>58</v>
      </c>
      <c r="E1251" s="280" t="s">
        <v>3614</v>
      </c>
      <c r="F1251" s="1049">
        <v>17</v>
      </c>
      <c r="G1251" s="1049"/>
      <c r="H1251" s="564"/>
      <c r="I1251" s="609"/>
      <c r="J1251" s="1155"/>
      <c r="K1251" s="609"/>
      <c r="L1251" s="609"/>
      <c r="M1251" s="609"/>
      <c r="N1251" s="599"/>
      <c r="O1251" s="552" t="s">
        <v>1584</v>
      </c>
      <c r="P1251" s="603"/>
      <c r="Q1251" s="682"/>
      <c r="R1251" s="682"/>
      <c r="S1251" s="682"/>
      <c r="T1251" s="682"/>
      <c r="U1251" s="682"/>
      <c r="V1251" s="682"/>
      <c r="W1251" s="682"/>
    </row>
    <row r="1252" spans="1:23">
      <c r="A1252" s="1045">
        <f t="shared" si="20"/>
        <v>6</v>
      </c>
      <c r="B1252" s="134">
        <v>45472</v>
      </c>
      <c r="C1252" s="70">
        <v>5250</v>
      </c>
      <c r="D1252" s="70" t="s">
        <v>85</v>
      </c>
      <c r="E1252" s="280" t="s">
        <v>3615</v>
      </c>
      <c r="F1252" s="1049">
        <v>60</v>
      </c>
      <c r="G1252" s="1049"/>
      <c r="H1252" s="564"/>
      <c r="I1252" s="609"/>
      <c r="J1252" s="1155"/>
      <c r="K1252" s="609"/>
      <c r="L1252" s="609"/>
      <c r="M1252" s="609"/>
      <c r="N1252" s="599"/>
      <c r="O1252" s="552" t="s">
        <v>1584</v>
      </c>
      <c r="P1252" s="603"/>
      <c r="Q1252" s="682"/>
      <c r="R1252" s="682"/>
      <c r="S1252" s="682"/>
      <c r="T1252" s="682"/>
      <c r="U1252" s="682"/>
      <c r="V1252" s="682"/>
      <c r="W1252" s="682"/>
    </row>
    <row r="1253" spans="1:23">
      <c r="A1253" s="1045">
        <f t="shared" si="20"/>
        <v>6</v>
      </c>
      <c r="B1253" s="134">
        <v>45472</v>
      </c>
      <c r="C1253" s="70">
        <v>2018</v>
      </c>
      <c r="D1253" s="70" t="s">
        <v>58</v>
      </c>
      <c r="E1253" s="280" t="s">
        <v>3615</v>
      </c>
      <c r="F1253" s="1049">
        <v>3</v>
      </c>
      <c r="G1253" s="1049"/>
      <c r="H1253" s="564"/>
      <c r="I1253" s="609"/>
      <c r="J1253" s="1155"/>
      <c r="K1253" s="609"/>
      <c r="L1253" s="609"/>
      <c r="M1253" s="609"/>
      <c r="N1253" s="599"/>
      <c r="O1253" s="552" t="s">
        <v>1584</v>
      </c>
      <c r="P1253" s="603"/>
      <c r="Q1253" s="682"/>
      <c r="R1253" s="682"/>
      <c r="S1253" s="682"/>
      <c r="T1253" s="682"/>
      <c r="U1253" s="682"/>
      <c r="V1253" s="682"/>
      <c r="W1253" s="682"/>
    </row>
    <row r="1254" spans="1:23">
      <c r="A1254" s="1045">
        <f t="shared" si="20"/>
        <v>6</v>
      </c>
      <c r="B1254" s="134">
        <v>45473</v>
      </c>
      <c r="C1254" s="70">
        <v>5250</v>
      </c>
      <c r="D1254" s="70" t="s">
        <v>85</v>
      </c>
      <c r="E1254" s="280" t="s">
        <v>3616</v>
      </c>
      <c r="F1254" s="1049">
        <v>30</v>
      </c>
      <c r="G1254" s="1049"/>
      <c r="H1254" s="564"/>
      <c r="I1254" s="609"/>
      <c r="J1254" s="1155"/>
      <c r="K1254" s="609"/>
      <c r="L1254" s="609"/>
      <c r="M1254" s="609"/>
      <c r="N1254" s="599"/>
      <c r="O1254" s="552" t="s">
        <v>1584</v>
      </c>
      <c r="P1254" s="603"/>
      <c r="Q1254" s="682"/>
      <c r="R1254" s="682"/>
      <c r="S1254" s="682"/>
      <c r="T1254" s="682"/>
      <c r="U1254" s="682"/>
      <c r="V1254" s="682"/>
      <c r="W1254" s="682"/>
    </row>
    <row r="1255" spans="1:23">
      <c r="A1255" s="1045">
        <f t="shared" si="20"/>
        <v>6</v>
      </c>
      <c r="B1255" s="134">
        <v>45473</v>
      </c>
      <c r="C1255" s="70">
        <v>2018</v>
      </c>
      <c r="D1255" s="70" t="s">
        <v>58</v>
      </c>
      <c r="E1255" s="280" t="s">
        <v>3616</v>
      </c>
      <c r="F1255" s="1049">
        <v>1.5</v>
      </c>
      <c r="G1255" s="1049"/>
      <c r="H1255" s="564"/>
      <c r="I1255" s="609"/>
      <c r="J1255" s="1155"/>
      <c r="K1255" s="609"/>
      <c r="L1255" s="609"/>
      <c r="M1255" s="609"/>
      <c r="N1255" s="599"/>
      <c r="O1255" s="552" t="s">
        <v>1584</v>
      </c>
      <c r="P1255" s="603"/>
      <c r="Q1255" s="682"/>
      <c r="R1255" s="682"/>
      <c r="S1255" s="682"/>
      <c r="T1255" s="682"/>
      <c r="U1255" s="682"/>
      <c r="V1255" s="682"/>
      <c r="W1255" s="682"/>
    </row>
    <row r="1256" spans="1:23">
      <c r="A1256" s="1045">
        <f t="shared" si="20"/>
        <v>6</v>
      </c>
      <c r="B1256" s="134">
        <v>45473</v>
      </c>
      <c r="C1256" s="70">
        <v>5250</v>
      </c>
      <c r="D1256" s="70" t="s">
        <v>85</v>
      </c>
      <c r="E1256" s="280" t="s">
        <v>3617</v>
      </c>
      <c r="F1256" s="1049">
        <v>160.56</v>
      </c>
      <c r="G1256" s="1049"/>
      <c r="H1256" s="564"/>
      <c r="I1256" s="609"/>
      <c r="J1256" s="1155"/>
      <c r="K1256" s="609"/>
      <c r="L1256" s="609"/>
      <c r="M1256" s="609"/>
      <c r="N1256" s="599"/>
      <c r="O1256" s="552" t="s">
        <v>1584</v>
      </c>
      <c r="P1256" s="603"/>
      <c r="Q1256" s="682"/>
      <c r="R1256" s="682"/>
      <c r="S1256" s="682"/>
      <c r="T1256" s="682"/>
      <c r="U1256" s="682"/>
      <c r="V1256" s="682"/>
      <c r="W1256" s="682"/>
    </row>
    <row r="1257" spans="1:23">
      <c r="A1257" s="1045">
        <f t="shared" si="20"/>
        <v>6</v>
      </c>
      <c r="B1257" s="134">
        <v>45473</v>
      </c>
      <c r="C1257" s="70">
        <v>2018</v>
      </c>
      <c r="D1257" s="70" t="s">
        <v>58</v>
      </c>
      <c r="E1257" s="280" t="s">
        <v>3617</v>
      </c>
      <c r="F1257" s="1049">
        <v>8.0299999999999994</v>
      </c>
      <c r="G1257" s="1049"/>
      <c r="H1257" s="564"/>
      <c r="I1257" s="609"/>
      <c r="J1257" s="1155"/>
      <c r="K1257" s="609"/>
      <c r="L1257" s="609"/>
      <c r="M1257" s="609"/>
      <c r="N1257" s="599"/>
      <c r="O1257" s="552" t="s">
        <v>1584</v>
      </c>
      <c r="P1257" s="603"/>
      <c r="Q1257" s="682"/>
      <c r="R1257" s="682"/>
      <c r="S1257" s="682"/>
      <c r="T1257" s="682"/>
      <c r="U1257" s="682"/>
      <c r="V1257" s="682"/>
      <c r="W1257" s="682"/>
    </row>
    <row r="1258" spans="1:23">
      <c r="A1258" s="1045">
        <f t="shared" si="20"/>
        <v>7</v>
      </c>
      <c r="B1258" s="134">
        <v>45474</v>
      </c>
      <c r="C1258" s="70">
        <v>5250</v>
      </c>
      <c r="D1258" s="70" t="s">
        <v>85</v>
      </c>
      <c r="E1258" s="280" t="s">
        <v>3618</v>
      </c>
      <c r="F1258" s="1049">
        <v>2.5</v>
      </c>
      <c r="G1258" s="1049"/>
      <c r="H1258" s="564"/>
      <c r="I1258" s="609"/>
      <c r="J1258" s="1155"/>
      <c r="K1258" s="609"/>
      <c r="L1258" s="609"/>
      <c r="M1258" s="609"/>
      <c r="N1258" s="599"/>
      <c r="O1258" s="552" t="s">
        <v>1584</v>
      </c>
      <c r="P1258" s="603"/>
      <c r="Q1258" s="682"/>
      <c r="R1258" s="682"/>
      <c r="S1258" s="682"/>
      <c r="T1258" s="682"/>
      <c r="U1258" s="682"/>
      <c r="V1258" s="682"/>
      <c r="W1258" s="682"/>
    </row>
    <row r="1259" spans="1:23">
      <c r="A1259" s="1045">
        <f t="shared" si="20"/>
        <v>7</v>
      </c>
      <c r="B1259" s="134">
        <v>45474</v>
      </c>
      <c r="C1259" s="70">
        <v>2018</v>
      </c>
      <c r="D1259" s="70" t="s">
        <v>58</v>
      </c>
      <c r="E1259" s="280" t="s">
        <v>3618</v>
      </c>
      <c r="F1259" s="1049">
        <v>0.13</v>
      </c>
      <c r="G1259" s="1049"/>
      <c r="H1259" s="564"/>
      <c r="I1259" s="609"/>
      <c r="J1259" s="1155"/>
      <c r="K1259" s="609"/>
      <c r="L1259" s="609"/>
      <c r="M1259" s="609"/>
      <c r="N1259" s="599"/>
      <c r="O1259" s="552" t="s">
        <v>1584</v>
      </c>
      <c r="P1259" s="603"/>
      <c r="Q1259" s="682"/>
      <c r="R1259" s="682"/>
      <c r="S1259" s="682"/>
      <c r="T1259" s="682"/>
      <c r="U1259" s="682"/>
      <c r="V1259" s="682"/>
      <c r="W1259" s="682"/>
    </row>
    <row r="1260" spans="1:23">
      <c r="A1260" s="1045">
        <f t="shared" si="20"/>
        <v>7</v>
      </c>
      <c r="B1260" s="134">
        <v>45474</v>
      </c>
      <c r="C1260" s="70">
        <v>5200</v>
      </c>
      <c r="D1260" s="70" t="s">
        <v>83</v>
      </c>
      <c r="E1260" s="280" t="s">
        <v>3619</v>
      </c>
      <c r="F1260" s="1049">
        <v>42.11</v>
      </c>
      <c r="G1260" s="1049"/>
      <c r="H1260" s="564"/>
      <c r="I1260" s="609"/>
      <c r="J1260" s="1155"/>
      <c r="K1260" s="609"/>
      <c r="L1260" s="609"/>
      <c r="M1260" s="609"/>
      <c r="N1260" s="599"/>
      <c r="O1260" s="552" t="s">
        <v>1584</v>
      </c>
      <c r="P1260" s="603"/>
      <c r="Q1260" s="682"/>
      <c r="R1260" s="682"/>
      <c r="S1260" s="682"/>
      <c r="T1260" s="682"/>
      <c r="U1260" s="682"/>
      <c r="V1260" s="682"/>
      <c r="W1260" s="682"/>
    </row>
    <row r="1261" spans="1:23">
      <c r="A1261" s="1045">
        <f t="shared" si="20"/>
        <v>7</v>
      </c>
      <c r="B1261" s="134">
        <v>45474</v>
      </c>
      <c r="C1261" s="70">
        <v>2018</v>
      </c>
      <c r="D1261" s="70" t="s">
        <v>58</v>
      </c>
      <c r="E1261" s="280" t="s">
        <v>3619</v>
      </c>
      <c r="F1261" s="1049">
        <v>2.11</v>
      </c>
      <c r="G1261" s="1049"/>
      <c r="H1261" s="564"/>
      <c r="I1261" s="609"/>
      <c r="J1261" s="1155"/>
      <c r="K1261" s="609"/>
      <c r="L1261" s="609"/>
      <c r="M1261" s="609"/>
      <c r="N1261" s="599"/>
      <c r="O1261" s="552" t="s">
        <v>1584</v>
      </c>
      <c r="P1261" s="603"/>
      <c r="Q1261" s="682"/>
      <c r="R1261" s="682"/>
      <c r="S1261" s="682"/>
      <c r="T1261" s="682"/>
      <c r="U1261" s="682"/>
      <c r="V1261" s="682"/>
      <c r="W1261" s="682"/>
    </row>
    <row r="1262" spans="1:23">
      <c r="A1262" s="1045">
        <f t="shared" si="20"/>
        <v>7</v>
      </c>
      <c r="B1262" s="134">
        <v>45474</v>
      </c>
      <c r="C1262" s="70">
        <v>5250</v>
      </c>
      <c r="D1262" s="70" t="s">
        <v>85</v>
      </c>
      <c r="E1262" s="280" t="s">
        <v>3620</v>
      </c>
      <c r="F1262" s="1049">
        <v>285</v>
      </c>
      <c r="G1262" s="1049"/>
      <c r="H1262" s="564"/>
      <c r="I1262" s="609"/>
      <c r="J1262" s="1155"/>
      <c r="K1262" s="609"/>
      <c r="L1262" s="609"/>
      <c r="M1262" s="609"/>
      <c r="N1262" s="599"/>
      <c r="O1262" s="552" t="s">
        <v>1584</v>
      </c>
      <c r="P1262" s="603"/>
      <c r="Q1262" s="682"/>
      <c r="R1262" s="682"/>
      <c r="S1262" s="682"/>
      <c r="T1262" s="682"/>
      <c r="U1262" s="682"/>
      <c r="V1262" s="682"/>
      <c r="W1262" s="682"/>
    </row>
    <row r="1263" spans="1:23">
      <c r="A1263" s="1045">
        <f t="shared" si="20"/>
        <v>7</v>
      </c>
      <c r="B1263" s="134">
        <v>45474</v>
      </c>
      <c r="C1263" s="70">
        <v>2018</v>
      </c>
      <c r="D1263" s="70" t="s">
        <v>58</v>
      </c>
      <c r="E1263" s="280" t="s">
        <v>3620</v>
      </c>
      <c r="F1263" s="1049">
        <v>14</v>
      </c>
      <c r="G1263" s="1049"/>
      <c r="H1263" s="564"/>
      <c r="I1263" s="609"/>
      <c r="J1263" s="1155"/>
      <c r="K1263" s="609"/>
      <c r="L1263" s="609"/>
      <c r="M1263" s="609"/>
      <c r="N1263" s="599"/>
      <c r="O1263" s="552" t="s">
        <v>1584</v>
      </c>
      <c r="P1263" s="603"/>
      <c r="Q1263" s="682"/>
      <c r="R1263" s="682"/>
      <c r="S1263" s="682"/>
      <c r="T1263" s="682"/>
      <c r="U1263" s="682"/>
      <c r="V1263" s="682"/>
      <c r="W1263" s="682"/>
    </row>
    <row r="1264" spans="1:23">
      <c r="A1264" s="1045">
        <f t="shared" si="20"/>
        <v>7</v>
      </c>
      <c r="B1264" s="134">
        <v>45474</v>
      </c>
      <c r="C1264" s="70">
        <v>5250</v>
      </c>
      <c r="D1264" s="70" t="s">
        <v>85</v>
      </c>
      <c r="E1264" s="280" t="s">
        <v>3621</v>
      </c>
      <c r="F1264" s="1049">
        <v>2280</v>
      </c>
      <c r="G1264" s="1049"/>
      <c r="H1264" s="564"/>
      <c r="I1264" s="609"/>
      <c r="J1264" s="1155"/>
      <c r="K1264" s="609"/>
      <c r="L1264" s="609"/>
      <c r="M1264" s="609"/>
      <c r="N1264" s="599"/>
      <c r="O1264" s="552" t="s">
        <v>1584</v>
      </c>
      <c r="P1264" s="603"/>
      <c r="Q1264" s="682"/>
      <c r="R1264" s="682"/>
      <c r="S1264" s="682"/>
      <c r="T1264" s="682"/>
      <c r="U1264" s="682"/>
      <c r="V1264" s="682"/>
      <c r="W1264" s="682"/>
    </row>
    <row r="1265" spans="1:23">
      <c r="A1265" s="1045">
        <f t="shared" si="20"/>
        <v>7</v>
      </c>
      <c r="B1265" s="134">
        <v>45474</v>
      </c>
      <c r="C1265" s="70">
        <v>2018</v>
      </c>
      <c r="D1265" s="70" t="s">
        <v>58</v>
      </c>
      <c r="E1265" s="280" t="s">
        <v>3621</v>
      </c>
      <c r="F1265" s="1049">
        <v>114</v>
      </c>
      <c r="G1265" s="1049"/>
      <c r="H1265" s="564"/>
      <c r="I1265" s="609"/>
      <c r="J1265" s="1155"/>
      <c r="K1265" s="609"/>
      <c r="L1265" s="609"/>
      <c r="M1265" s="609"/>
      <c r="N1265" s="599"/>
      <c r="O1265" s="552" t="s">
        <v>1584</v>
      </c>
      <c r="P1265" s="603"/>
      <c r="Q1265" s="682"/>
      <c r="R1265" s="682"/>
      <c r="S1265" s="682"/>
      <c r="T1265" s="682"/>
      <c r="U1265" s="682"/>
      <c r="V1265" s="682"/>
      <c r="W1265" s="682"/>
    </row>
    <row r="1266" spans="1:23">
      <c r="A1266" s="1045">
        <f t="shared" si="20"/>
        <v>7</v>
      </c>
      <c r="B1266" s="134">
        <v>45474</v>
      </c>
      <c r="C1266" s="70">
        <v>5150</v>
      </c>
      <c r="D1266" s="70" t="s">
        <v>82</v>
      </c>
      <c r="E1266" s="280" t="s">
        <v>3622</v>
      </c>
      <c r="F1266" s="1049">
        <v>17775</v>
      </c>
      <c r="G1266" s="1049"/>
      <c r="H1266" s="564"/>
      <c r="I1266" s="609"/>
      <c r="J1266" s="1155"/>
      <c r="K1266" s="609"/>
      <c r="L1266" s="609"/>
      <c r="M1266" s="609"/>
      <c r="N1266" s="599"/>
      <c r="O1266" s="552" t="s">
        <v>1584</v>
      </c>
      <c r="P1266" s="603"/>
      <c r="Q1266" s="682"/>
      <c r="R1266" s="682"/>
      <c r="S1266" s="682"/>
      <c r="T1266" s="682"/>
      <c r="U1266" s="682"/>
      <c r="V1266" s="682"/>
      <c r="W1266" s="682"/>
    </row>
    <row r="1267" spans="1:23">
      <c r="A1267" s="1045">
        <f t="shared" si="20"/>
        <v>7</v>
      </c>
      <c r="B1267" s="134">
        <v>45474</v>
      </c>
      <c r="C1267" s="70">
        <v>2018</v>
      </c>
      <c r="D1267" s="70" t="s">
        <v>58</v>
      </c>
      <c r="E1267" s="280" t="s">
        <v>3622</v>
      </c>
      <c r="F1267" s="1049">
        <v>888.76</v>
      </c>
      <c r="G1267" s="1049"/>
      <c r="H1267" s="564"/>
      <c r="I1267" s="609"/>
      <c r="J1267" s="1155"/>
      <c r="K1267" s="609"/>
      <c r="L1267" s="609"/>
      <c r="M1267" s="609"/>
      <c r="N1267" s="599"/>
      <c r="O1267" s="552" t="s">
        <v>1584</v>
      </c>
      <c r="P1267" s="603"/>
      <c r="Q1267" s="682"/>
      <c r="R1267" s="682"/>
      <c r="S1267" s="682"/>
      <c r="T1267" s="682"/>
      <c r="U1267" s="682"/>
      <c r="V1267" s="682"/>
      <c r="W1267" s="682"/>
    </row>
    <row r="1268" spans="1:23">
      <c r="A1268" s="1045">
        <f t="shared" si="20"/>
        <v>7</v>
      </c>
      <c r="B1268" s="134">
        <v>45474</v>
      </c>
      <c r="C1268" s="70">
        <v>5250</v>
      </c>
      <c r="D1268" s="70" t="s">
        <v>85</v>
      </c>
      <c r="E1268" s="280" t="s">
        <v>3623</v>
      </c>
      <c r="F1268" s="1049">
        <v>118.66</v>
      </c>
      <c r="G1268" s="1049"/>
      <c r="H1268" s="564"/>
      <c r="I1268" s="609"/>
      <c r="J1268" s="1155"/>
      <c r="K1268" s="609"/>
      <c r="L1268" s="609"/>
      <c r="M1268" s="609"/>
      <c r="N1268" s="599"/>
      <c r="O1268" s="552" t="s">
        <v>1584</v>
      </c>
      <c r="P1268" s="603"/>
      <c r="Q1268" s="682"/>
      <c r="R1268" s="682"/>
      <c r="S1268" s="682"/>
      <c r="T1268" s="682"/>
      <c r="U1268" s="682"/>
      <c r="V1268" s="682"/>
      <c r="W1268" s="682"/>
    </row>
    <row r="1269" spans="1:23">
      <c r="A1269" s="1045">
        <f t="shared" si="20"/>
        <v>7</v>
      </c>
      <c r="B1269" s="134">
        <v>45474</v>
      </c>
      <c r="C1269" s="70">
        <v>2018</v>
      </c>
      <c r="D1269" s="70" t="s">
        <v>58</v>
      </c>
      <c r="E1269" s="280" t="s">
        <v>3623</v>
      </c>
      <c r="F1269" s="1049">
        <v>5.93</v>
      </c>
      <c r="G1269" s="1049"/>
      <c r="H1269" s="564"/>
      <c r="I1269" s="609"/>
      <c r="J1269" s="1155"/>
      <c r="K1269" s="609"/>
      <c r="L1269" s="609"/>
      <c r="M1269" s="609"/>
      <c r="N1269" s="599"/>
      <c r="O1269" s="552" t="s">
        <v>1584</v>
      </c>
      <c r="P1269" s="603"/>
      <c r="Q1269" s="682"/>
      <c r="R1269" s="682"/>
      <c r="S1269" s="682"/>
      <c r="T1269" s="682"/>
      <c r="U1269" s="682"/>
      <c r="V1269" s="682"/>
      <c r="W1269" s="682"/>
    </row>
    <row r="1270" spans="1:23">
      <c r="A1270" s="1045">
        <f t="shared" si="20"/>
        <v>7</v>
      </c>
      <c r="B1270" s="134">
        <v>45474</v>
      </c>
      <c r="C1270" s="70">
        <v>5250</v>
      </c>
      <c r="D1270" s="70" t="s">
        <v>85</v>
      </c>
      <c r="E1270" s="280" t="s">
        <v>3624</v>
      </c>
      <c r="F1270" s="1049">
        <v>105</v>
      </c>
      <c r="G1270" s="1049"/>
      <c r="H1270" s="564"/>
      <c r="I1270" s="609"/>
      <c r="J1270" s="1155"/>
      <c r="K1270" s="609"/>
      <c r="L1270" s="609"/>
      <c r="M1270" s="609"/>
      <c r="N1270" s="599"/>
      <c r="O1270" s="552" t="s">
        <v>1584</v>
      </c>
      <c r="P1270" s="603"/>
      <c r="Q1270" s="682"/>
      <c r="R1270" s="682"/>
      <c r="S1270" s="682"/>
      <c r="T1270" s="682"/>
      <c r="U1270" s="682"/>
      <c r="V1270" s="682"/>
      <c r="W1270" s="682"/>
    </row>
    <row r="1271" spans="1:23">
      <c r="A1271" s="1045">
        <f t="shared" si="20"/>
        <v>7</v>
      </c>
      <c r="B1271" s="134">
        <v>45474</v>
      </c>
      <c r="C1271" s="70">
        <v>2018</v>
      </c>
      <c r="D1271" s="70" t="s">
        <v>58</v>
      </c>
      <c r="E1271" s="280" t="s">
        <v>3624</v>
      </c>
      <c r="F1271" s="1049">
        <v>5.25</v>
      </c>
      <c r="G1271" s="1049"/>
      <c r="H1271" s="564"/>
      <c r="I1271" s="609"/>
      <c r="J1271" s="1155"/>
      <c r="K1271" s="609"/>
      <c r="L1271" s="609"/>
      <c r="M1271" s="609"/>
      <c r="N1271" s="599"/>
      <c r="O1271" s="552" t="s">
        <v>1584</v>
      </c>
      <c r="P1271" s="603"/>
      <c r="Q1271" s="682"/>
      <c r="R1271" s="682"/>
      <c r="S1271" s="682"/>
      <c r="T1271" s="682"/>
      <c r="U1271" s="682"/>
      <c r="V1271" s="682"/>
      <c r="W1271" s="682"/>
    </row>
    <row r="1272" spans="1:23">
      <c r="A1272" s="1045">
        <f t="shared" si="20"/>
        <v>7</v>
      </c>
      <c r="B1272" s="134">
        <v>45474</v>
      </c>
      <c r="C1272" s="70">
        <v>5250</v>
      </c>
      <c r="D1272" s="70" t="s">
        <v>85</v>
      </c>
      <c r="E1272" s="280" t="s">
        <v>3625</v>
      </c>
      <c r="F1272" s="1049">
        <v>1000.58</v>
      </c>
      <c r="G1272" s="1049"/>
      <c r="H1272" s="564"/>
      <c r="I1272" s="609"/>
      <c r="J1272" s="1155"/>
      <c r="K1272" s="609"/>
      <c r="L1272" s="609"/>
      <c r="M1272" s="609"/>
      <c r="N1272" s="599"/>
      <c r="O1272" s="552" t="s">
        <v>1584</v>
      </c>
      <c r="P1272" s="603"/>
      <c r="Q1272" s="682"/>
      <c r="R1272" s="682"/>
      <c r="S1272" s="682"/>
      <c r="T1272" s="682"/>
      <c r="U1272" s="682"/>
      <c r="V1272" s="682"/>
      <c r="W1272" s="682"/>
    </row>
    <row r="1273" spans="1:23">
      <c r="A1273" s="1045">
        <f t="shared" si="20"/>
        <v>7</v>
      </c>
      <c r="B1273" s="134">
        <v>45474</v>
      </c>
      <c r="C1273" s="70">
        <v>2018</v>
      </c>
      <c r="D1273" s="70" t="s">
        <v>58</v>
      </c>
      <c r="E1273" s="280" t="s">
        <v>3625</v>
      </c>
      <c r="F1273" s="1049">
        <v>50.02</v>
      </c>
      <c r="G1273" s="1049"/>
      <c r="H1273" s="564"/>
      <c r="I1273" s="609"/>
      <c r="J1273" s="1155"/>
      <c r="K1273" s="609"/>
      <c r="L1273" s="609"/>
      <c r="M1273" s="609"/>
      <c r="N1273" s="599"/>
      <c r="O1273" s="552" t="s">
        <v>1584</v>
      </c>
      <c r="P1273" s="603"/>
      <c r="Q1273" s="682"/>
      <c r="R1273" s="682"/>
      <c r="S1273" s="682"/>
      <c r="T1273" s="682"/>
      <c r="U1273" s="682"/>
      <c r="V1273" s="682"/>
      <c r="W1273" s="682"/>
    </row>
    <row r="1274" spans="1:23">
      <c r="A1274" s="1045">
        <f t="shared" si="20"/>
        <v>7</v>
      </c>
      <c r="B1274" s="134">
        <v>45475</v>
      </c>
      <c r="C1274" s="70">
        <v>5200</v>
      </c>
      <c r="D1274" s="70" t="s">
        <v>83</v>
      </c>
      <c r="E1274" s="280" t="s">
        <v>3626</v>
      </c>
      <c r="F1274" s="1049">
        <v>139.68</v>
      </c>
      <c r="G1274" s="1049"/>
      <c r="H1274" s="564"/>
      <c r="I1274" s="609"/>
      <c r="J1274" s="1155"/>
      <c r="K1274" s="609"/>
      <c r="L1274" s="609"/>
      <c r="M1274" s="609"/>
      <c r="N1274" s="599"/>
      <c r="O1274" s="552" t="s">
        <v>1584</v>
      </c>
      <c r="P1274" s="603"/>
      <c r="Q1274" s="682"/>
      <c r="R1274" s="682"/>
      <c r="S1274" s="682"/>
      <c r="T1274" s="682"/>
      <c r="U1274" s="682"/>
      <c r="V1274" s="682"/>
      <c r="W1274" s="682"/>
    </row>
    <row r="1275" spans="1:23">
      <c r="A1275" s="1045">
        <f t="shared" si="20"/>
        <v>7</v>
      </c>
      <c r="B1275" s="134">
        <v>45475</v>
      </c>
      <c r="C1275" s="70">
        <v>2018</v>
      </c>
      <c r="D1275" s="70" t="s">
        <v>58</v>
      </c>
      <c r="E1275" s="280" t="s">
        <v>3626</v>
      </c>
      <c r="F1275" s="1049">
        <v>6.98</v>
      </c>
      <c r="G1275" s="1049"/>
      <c r="H1275" s="564"/>
      <c r="I1275" s="609"/>
      <c r="J1275" s="1155"/>
      <c r="K1275" s="609"/>
      <c r="L1275" s="609"/>
      <c r="M1275" s="609"/>
      <c r="N1275" s="599"/>
      <c r="O1275" s="552" t="s">
        <v>1584</v>
      </c>
      <c r="P1275" s="603"/>
      <c r="Q1275" s="682"/>
      <c r="R1275" s="682"/>
      <c r="S1275" s="682"/>
      <c r="T1275" s="682"/>
      <c r="U1275" s="682"/>
      <c r="V1275" s="682"/>
      <c r="W1275" s="682"/>
    </row>
    <row r="1276" spans="1:23">
      <c r="A1276" s="1045">
        <f t="shared" si="20"/>
        <v>7</v>
      </c>
      <c r="B1276" s="134">
        <v>45475</v>
      </c>
      <c r="C1276" s="70">
        <v>5250</v>
      </c>
      <c r="D1276" s="70" t="s">
        <v>85</v>
      </c>
      <c r="E1276" s="280" t="s">
        <v>3627</v>
      </c>
      <c r="F1276" s="1049">
        <v>260</v>
      </c>
      <c r="G1276" s="1049"/>
      <c r="H1276" s="564"/>
      <c r="I1276" s="609"/>
      <c r="J1276" s="1155"/>
      <c r="K1276" s="609"/>
      <c r="L1276" s="609"/>
      <c r="M1276" s="609"/>
      <c r="N1276" s="599"/>
      <c r="O1276" s="552" t="s">
        <v>1584</v>
      </c>
      <c r="P1276" s="603"/>
      <c r="Q1276" s="682"/>
      <c r="R1276" s="682"/>
      <c r="S1276" s="682"/>
      <c r="T1276" s="682"/>
      <c r="U1276" s="682"/>
      <c r="V1276" s="682"/>
      <c r="W1276" s="682"/>
    </row>
    <row r="1277" spans="1:23">
      <c r="A1277" s="1045">
        <f t="shared" si="20"/>
        <v>7</v>
      </c>
      <c r="B1277" s="134">
        <v>45475</v>
      </c>
      <c r="C1277" s="70">
        <v>2018</v>
      </c>
      <c r="D1277" s="70" t="s">
        <v>58</v>
      </c>
      <c r="E1277" s="280" t="s">
        <v>3627</v>
      </c>
      <c r="F1277" s="1049">
        <v>13</v>
      </c>
      <c r="G1277" s="1049"/>
      <c r="H1277" s="564"/>
      <c r="I1277" s="609"/>
      <c r="J1277" s="1155"/>
      <c r="K1277" s="609"/>
      <c r="L1277" s="609"/>
      <c r="M1277" s="609"/>
      <c r="N1277" s="599"/>
      <c r="O1277" s="552" t="s">
        <v>1584</v>
      </c>
      <c r="P1277" s="603"/>
      <c r="Q1277" s="682"/>
      <c r="R1277" s="682"/>
      <c r="S1277" s="682"/>
      <c r="T1277" s="682"/>
      <c r="U1277" s="682"/>
      <c r="V1277" s="682"/>
      <c r="W1277" s="682"/>
    </row>
    <row r="1278" spans="1:23">
      <c r="A1278" s="1045">
        <f t="shared" si="20"/>
        <v>7</v>
      </c>
      <c r="B1278" s="134">
        <v>45475</v>
      </c>
      <c r="C1278" s="70">
        <v>5250</v>
      </c>
      <c r="D1278" s="70" t="s">
        <v>85</v>
      </c>
      <c r="E1278" s="280" t="s">
        <v>3628</v>
      </c>
      <c r="F1278" s="1049">
        <v>30</v>
      </c>
      <c r="G1278" s="1049"/>
      <c r="H1278" s="564"/>
      <c r="I1278" s="609"/>
      <c r="J1278" s="1155"/>
      <c r="K1278" s="609"/>
      <c r="L1278" s="609"/>
      <c r="M1278" s="609"/>
      <c r="N1278" s="599"/>
      <c r="O1278" s="552" t="s">
        <v>1584</v>
      </c>
      <c r="P1278" s="603"/>
      <c r="Q1278" s="682"/>
      <c r="R1278" s="682"/>
      <c r="S1278" s="682"/>
      <c r="T1278" s="682"/>
      <c r="U1278" s="682"/>
      <c r="V1278" s="682"/>
      <c r="W1278" s="682"/>
    </row>
    <row r="1279" spans="1:23">
      <c r="A1279" s="1045">
        <f t="shared" si="20"/>
        <v>7</v>
      </c>
      <c r="B1279" s="134">
        <v>45475</v>
      </c>
      <c r="C1279" s="70">
        <v>2018</v>
      </c>
      <c r="D1279" s="70" t="s">
        <v>58</v>
      </c>
      <c r="E1279" s="280" t="s">
        <v>3628</v>
      </c>
      <c r="F1279" s="1049">
        <v>1.5</v>
      </c>
      <c r="G1279" s="1049"/>
      <c r="H1279" s="564"/>
      <c r="I1279" s="609"/>
      <c r="J1279" s="1155"/>
      <c r="K1279" s="609"/>
      <c r="L1279" s="609"/>
      <c r="M1279" s="609"/>
      <c r="N1279" s="599"/>
      <c r="O1279" s="552" t="s">
        <v>1584</v>
      </c>
      <c r="P1279" s="603"/>
      <c r="Q1279" s="682"/>
      <c r="R1279" s="682"/>
      <c r="S1279" s="682"/>
      <c r="T1279" s="682"/>
      <c r="U1279" s="682"/>
      <c r="V1279" s="682"/>
      <c r="W1279" s="682"/>
    </row>
    <row r="1280" spans="1:23">
      <c r="A1280" s="1045">
        <f t="shared" si="20"/>
        <v>7</v>
      </c>
      <c r="B1280" s="134">
        <v>45475</v>
      </c>
      <c r="C1280" s="70">
        <v>5250</v>
      </c>
      <c r="D1280" s="70" t="s">
        <v>85</v>
      </c>
      <c r="E1280" s="280" t="s">
        <v>3629</v>
      </c>
      <c r="F1280" s="1049">
        <v>76.23</v>
      </c>
      <c r="G1280" s="1049"/>
      <c r="H1280" s="564"/>
      <c r="I1280" s="609"/>
      <c r="J1280" s="1155"/>
      <c r="K1280" s="609"/>
      <c r="L1280" s="609"/>
      <c r="M1280" s="609"/>
      <c r="N1280" s="599"/>
      <c r="O1280" s="552" t="s">
        <v>1584</v>
      </c>
      <c r="P1280" s="603"/>
      <c r="Q1280" s="682"/>
      <c r="R1280" s="682"/>
      <c r="S1280" s="682"/>
      <c r="T1280" s="682"/>
      <c r="U1280" s="682"/>
      <c r="V1280" s="682"/>
      <c r="W1280" s="682"/>
    </row>
    <row r="1281" spans="1:23">
      <c r="A1281" s="1045">
        <f t="shared" si="20"/>
        <v>7</v>
      </c>
      <c r="B1281" s="134">
        <v>45475</v>
      </c>
      <c r="C1281" s="70">
        <v>2018</v>
      </c>
      <c r="D1281" s="70" t="s">
        <v>58</v>
      </c>
      <c r="E1281" s="280" t="s">
        <v>3629</v>
      </c>
      <c r="F1281" s="1049">
        <v>3.82</v>
      </c>
      <c r="G1281" s="1049"/>
      <c r="H1281" s="564"/>
      <c r="I1281" s="609"/>
      <c r="J1281" s="1155"/>
      <c r="K1281" s="609"/>
      <c r="L1281" s="609"/>
      <c r="M1281" s="609"/>
      <c r="N1281" s="599"/>
      <c r="O1281" s="552" t="s">
        <v>1584</v>
      </c>
      <c r="P1281" s="603"/>
      <c r="Q1281" s="682"/>
      <c r="R1281" s="682"/>
      <c r="S1281" s="682"/>
      <c r="T1281" s="682"/>
      <c r="U1281" s="682"/>
      <c r="V1281" s="682"/>
      <c r="W1281" s="682"/>
    </row>
    <row r="1282" spans="1:23">
      <c r="A1282" s="1045">
        <f t="shared" si="20"/>
        <v>7</v>
      </c>
      <c r="B1282" s="134">
        <v>45475</v>
      </c>
      <c r="C1282" s="70">
        <v>5250</v>
      </c>
      <c r="D1282" s="70" t="s">
        <v>85</v>
      </c>
      <c r="E1282" s="280" t="s">
        <v>3630</v>
      </c>
      <c r="F1282" s="1049">
        <v>25</v>
      </c>
      <c r="G1282" s="1049"/>
      <c r="H1282" s="564"/>
      <c r="I1282" s="609"/>
      <c r="J1282" s="1155"/>
      <c r="K1282" s="609"/>
      <c r="L1282" s="609"/>
      <c r="M1282" s="609"/>
      <c r="N1282" s="599"/>
      <c r="O1282" s="552" t="s">
        <v>1584</v>
      </c>
      <c r="P1282" s="603"/>
      <c r="Q1282" s="682"/>
      <c r="R1282" s="682"/>
      <c r="S1282" s="682"/>
      <c r="T1282" s="682"/>
      <c r="U1282" s="682"/>
      <c r="V1282" s="682"/>
      <c r="W1282" s="682"/>
    </row>
    <row r="1283" spans="1:23">
      <c r="A1283" s="1045">
        <f t="shared" si="20"/>
        <v>7</v>
      </c>
      <c r="B1283" s="134">
        <v>45475</v>
      </c>
      <c r="C1283" s="70">
        <v>2018</v>
      </c>
      <c r="D1283" s="70" t="s">
        <v>58</v>
      </c>
      <c r="E1283" s="280" t="s">
        <v>3630</v>
      </c>
      <c r="F1283" s="1049">
        <v>1.25</v>
      </c>
      <c r="G1283" s="1049"/>
      <c r="H1283" s="564"/>
      <c r="I1283" s="609"/>
      <c r="J1283" s="1155"/>
      <c r="K1283" s="609"/>
      <c r="L1283" s="609"/>
      <c r="M1283" s="609"/>
      <c r="N1283" s="599"/>
      <c r="O1283" s="552" t="s">
        <v>1584</v>
      </c>
      <c r="P1283" s="603"/>
      <c r="Q1283" s="682"/>
      <c r="R1283" s="682"/>
      <c r="S1283" s="682"/>
      <c r="T1283" s="682"/>
      <c r="U1283" s="682"/>
      <c r="V1283" s="682"/>
      <c r="W1283" s="682"/>
    </row>
    <row r="1284" spans="1:23">
      <c r="A1284" s="1045">
        <f t="shared" si="20"/>
        <v>7</v>
      </c>
      <c r="B1284" s="134">
        <v>45476</v>
      </c>
      <c r="C1284" s="70">
        <v>5200</v>
      </c>
      <c r="D1284" s="70" t="s">
        <v>83</v>
      </c>
      <c r="E1284" s="280" t="s">
        <v>3631</v>
      </c>
      <c r="F1284" s="1049">
        <v>3809.83</v>
      </c>
      <c r="G1284" s="1049"/>
      <c r="H1284" s="564"/>
      <c r="I1284" s="609"/>
      <c r="J1284" s="1155"/>
      <c r="K1284" s="609"/>
      <c r="L1284" s="609"/>
      <c r="M1284" s="609"/>
      <c r="N1284" s="599"/>
      <c r="O1284" s="552" t="s">
        <v>1584</v>
      </c>
      <c r="P1284" s="603"/>
      <c r="Q1284" s="682"/>
      <c r="R1284" s="682"/>
      <c r="S1284" s="682"/>
      <c r="T1284" s="682"/>
      <c r="U1284" s="682"/>
      <c r="V1284" s="682"/>
      <c r="W1284" s="682"/>
    </row>
    <row r="1285" spans="1:23">
      <c r="A1285" s="1045">
        <f t="shared" si="20"/>
        <v>7</v>
      </c>
      <c r="B1285" s="134">
        <v>45476</v>
      </c>
      <c r="C1285" s="70">
        <v>2018</v>
      </c>
      <c r="D1285" s="70" t="s">
        <v>58</v>
      </c>
      <c r="E1285" s="280" t="s">
        <v>3631</v>
      </c>
      <c r="F1285" s="1049">
        <v>190.5</v>
      </c>
      <c r="G1285" s="1049"/>
      <c r="H1285" s="564"/>
      <c r="I1285" s="609"/>
      <c r="J1285" s="1155"/>
      <c r="K1285" s="609"/>
      <c r="L1285" s="609"/>
      <c r="M1285" s="609"/>
      <c r="N1285" s="599"/>
      <c r="O1285" s="552" t="s">
        <v>1584</v>
      </c>
      <c r="P1285" s="603"/>
      <c r="Q1285" s="682"/>
      <c r="R1285" s="682"/>
      <c r="S1285" s="682"/>
      <c r="T1285" s="682"/>
      <c r="U1285" s="682"/>
      <c r="V1285" s="682"/>
      <c r="W1285" s="682"/>
    </row>
    <row r="1286" spans="1:23">
      <c r="A1286" s="1045">
        <f t="shared" si="20"/>
        <v>7</v>
      </c>
      <c r="B1286" s="134">
        <v>45476</v>
      </c>
      <c r="C1286" s="70">
        <v>5250</v>
      </c>
      <c r="D1286" s="70" t="s">
        <v>85</v>
      </c>
      <c r="E1286" s="280" t="s">
        <v>3632</v>
      </c>
      <c r="F1286" s="1049">
        <v>23</v>
      </c>
      <c r="G1286" s="1049"/>
      <c r="H1286" s="564"/>
      <c r="I1286" s="609"/>
      <c r="J1286" s="1155"/>
      <c r="K1286" s="609"/>
      <c r="L1286" s="609"/>
      <c r="M1286" s="609"/>
      <c r="N1286" s="599"/>
      <c r="O1286" s="552" t="s">
        <v>1584</v>
      </c>
      <c r="P1286" s="603"/>
      <c r="Q1286" s="682"/>
      <c r="R1286" s="682"/>
      <c r="S1286" s="682"/>
      <c r="T1286" s="682"/>
      <c r="U1286" s="682"/>
      <c r="V1286" s="682"/>
      <c r="W1286" s="682"/>
    </row>
    <row r="1287" spans="1:23">
      <c r="A1287" s="1045">
        <f t="shared" si="20"/>
        <v>7</v>
      </c>
      <c r="B1287" s="134">
        <v>45476</v>
      </c>
      <c r="C1287" s="70">
        <v>2018</v>
      </c>
      <c r="D1287" s="70" t="s">
        <v>58</v>
      </c>
      <c r="E1287" s="280" t="s">
        <v>3632</v>
      </c>
      <c r="F1287" s="1049">
        <v>1.1499999999999999</v>
      </c>
      <c r="G1287" s="1049"/>
      <c r="H1287" s="564"/>
      <c r="I1287" s="609"/>
      <c r="J1287" s="1155"/>
      <c r="K1287" s="609"/>
      <c r="L1287" s="609"/>
      <c r="M1287" s="609"/>
      <c r="N1287" s="599"/>
      <c r="O1287" s="552" t="s">
        <v>1584</v>
      </c>
      <c r="P1287" s="603"/>
      <c r="Q1287" s="682"/>
      <c r="R1287" s="682"/>
      <c r="S1287" s="682"/>
      <c r="T1287" s="682"/>
      <c r="U1287" s="682"/>
      <c r="V1287" s="682"/>
      <c r="W1287" s="682"/>
    </row>
    <row r="1288" spans="1:23">
      <c r="A1288" s="1045">
        <f t="shared" si="20"/>
        <v>7</v>
      </c>
      <c r="B1288" s="134">
        <v>45476</v>
      </c>
      <c r="C1288" s="70">
        <v>5250</v>
      </c>
      <c r="D1288" s="70" t="s">
        <v>85</v>
      </c>
      <c r="E1288" s="280" t="s">
        <v>3633</v>
      </c>
      <c r="F1288" s="1049">
        <v>156</v>
      </c>
      <c r="G1288" s="1049"/>
      <c r="H1288" s="564"/>
      <c r="I1288" s="609"/>
      <c r="J1288" s="1155"/>
      <c r="K1288" s="609"/>
      <c r="L1288" s="609"/>
      <c r="M1288" s="609"/>
      <c r="N1288" s="599"/>
      <c r="O1288" s="552" t="s">
        <v>1584</v>
      </c>
      <c r="P1288" s="603"/>
      <c r="Q1288" s="682"/>
      <c r="R1288" s="682"/>
      <c r="S1288" s="682"/>
      <c r="T1288" s="682"/>
      <c r="U1288" s="682"/>
      <c r="V1288" s="682"/>
      <c r="W1288" s="682"/>
    </row>
    <row r="1289" spans="1:23">
      <c r="A1289" s="1045">
        <f t="shared" si="20"/>
        <v>7</v>
      </c>
      <c r="B1289" s="134">
        <v>45476</v>
      </c>
      <c r="C1289" s="70">
        <v>2018</v>
      </c>
      <c r="D1289" s="70" t="s">
        <v>58</v>
      </c>
      <c r="E1289" s="280" t="s">
        <v>3633</v>
      </c>
      <c r="F1289" s="1049">
        <v>7.8</v>
      </c>
      <c r="G1289" s="1049"/>
      <c r="H1289" s="564"/>
      <c r="I1289" s="609"/>
      <c r="J1289" s="1155"/>
      <c r="K1289" s="609"/>
      <c r="L1289" s="609"/>
      <c r="M1289" s="609"/>
      <c r="N1289" s="599"/>
      <c r="O1289" s="552" t="s">
        <v>1584</v>
      </c>
      <c r="P1289" s="603"/>
      <c r="Q1289" s="682"/>
      <c r="R1289" s="682"/>
      <c r="S1289" s="682"/>
      <c r="T1289" s="682"/>
      <c r="U1289" s="682"/>
      <c r="V1289" s="682"/>
      <c r="W1289" s="682"/>
    </row>
    <row r="1290" spans="1:23">
      <c r="A1290" s="1045">
        <f t="shared" si="20"/>
        <v>7</v>
      </c>
      <c r="B1290" s="134">
        <v>45476</v>
      </c>
      <c r="C1290" s="70">
        <v>5250</v>
      </c>
      <c r="D1290" s="70" t="s">
        <v>85</v>
      </c>
      <c r="E1290" s="280" t="s">
        <v>3634</v>
      </c>
      <c r="F1290" s="1049">
        <v>105</v>
      </c>
      <c r="G1290" s="1049"/>
      <c r="H1290" s="564"/>
      <c r="I1290" s="609"/>
      <c r="J1290" s="1155"/>
      <c r="K1290" s="609"/>
      <c r="L1290" s="609"/>
      <c r="M1290" s="609"/>
      <c r="N1290" s="599"/>
      <c r="O1290" s="552" t="s">
        <v>1584</v>
      </c>
      <c r="P1290" s="603"/>
      <c r="Q1290" s="682"/>
      <c r="R1290" s="682"/>
      <c r="S1290" s="682"/>
      <c r="T1290" s="682"/>
      <c r="U1290" s="682"/>
      <c r="V1290" s="682"/>
      <c r="W1290" s="682"/>
    </row>
    <row r="1291" spans="1:23">
      <c r="A1291" s="1045">
        <f t="shared" si="20"/>
        <v>7</v>
      </c>
      <c r="B1291" s="134">
        <v>45476</v>
      </c>
      <c r="C1291" s="70">
        <v>2018</v>
      </c>
      <c r="D1291" s="70" t="s">
        <v>58</v>
      </c>
      <c r="E1291" s="280" t="s">
        <v>3634</v>
      </c>
      <c r="F1291" s="1049">
        <v>5.25</v>
      </c>
      <c r="G1291" s="1049"/>
      <c r="H1291" s="564"/>
      <c r="I1291" s="609"/>
      <c r="J1291" s="1155"/>
      <c r="K1291" s="609"/>
      <c r="L1291" s="609"/>
      <c r="M1291" s="609"/>
      <c r="N1291" s="599"/>
      <c r="O1291" s="552" t="s">
        <v>1584</v>
      </c>
      <c r="P1291" s="603"/>
      <c r="Q1291" s="682"/>
      <c r="R1291" s="682"/>
      <c r="S1291" s="682"/>
      <c r="T1291" s="682"/>
      <c r="U1291" s="682"/>
      <c r="V1291" s="682"/>
      <c r="W1291" s="682"/>
    </row>
    <row r="1292" spans="1:23">
      <c r="A1292" s="1045">
        <f t="shared" si="20"/>
        <v>7</v>
      </c>
      <c r="B1292" s="134">
        <v>45476</v>
      </c>
      <c r="C1292" s="70">
        <v>5250</v>
      </c>
      <c r="D1292" s="70" t="s">
        <v>85</v>
      </c>
      <c r="E1292" s="280" t="s">
        <v>3635</v>
      </c>
      <c r="F1292" s="1049">
        <v>35</v>
      </c>
      <c r="G1292" s="1049"/>
      <c r="H1292" s="564"/>
      <c r="I1292" s="609"/>
      <c r="J1292" s="1155"/>
      <c r="K1292" s="609"/>
      <c r="L1292" s="609"/>
      <c r="M1292" s="609"/>
      <c r="N1292" s="599"/>
      <c r="O1292" s="552" t="s">
        <v>1584</v>
      </c>
      <c r="P1292" s="603"/>
      <c r="Q1292" s="682"/>
      <c r="R1292" s="682"/>
      <c r="S1292" s="682"/>
      <c r="T1292" s="682"/>
      <c r="U1292" s="682"/>
      <c r="V1292" s="682"/>
      <c r="W1292" s="682"/>
    </row>
    <row r="1293" spans="1:23">
      <c r="A1293" s="1045">
        <f t="shared" si="20"/>
        <v>7</v>
      </c>
      <c r="B1293" s="134">
        <v>45476</v>
      </c>
      <c r="C1293" s="70">
        <v>2018</v>
      </c>
      <c r="D1293" s="70" t="s">
        <v>58</v>
      </c>
      <c r="E1293" s="280" t="s">
        <v>3635</v>
      </c>
      <c r="F1293" s="1049">
        <v>1.75</v>
      </c>
      <c r="G1293" s="1049"/>
      <c r="H1293" s="564"/>
      <c r="I1293" s="609"/>
      <c r="J1293" s="1155"/>
      <c r="K1293" s="609"/>
      <c r="L1293" s="609"/>
      <c r="M1293" s="609"/>
      <c r="N1293" s="599"/>
      <c r="O1293" s="552" t="s">
        <v>1584</v>
      </c>
      <c r="P1293" s="603"/>
      <c r="Q1293" s="682"/>
      <c r="R1293" s="682"/>
      <c r="S1293" s="682"/>
      <c r="T1293" s="682"/>
      <c r="U1293" s="682"/>
      <c r="V1293" s="682"/>
      <c r="W1293" s="682"/>
    </row>
    <row r="1294" spans="1:23">
      <c r="A1294" s="1045">
        <f t="shared" si="20"/>
        <v>7</v>
      </c>
      <c r="B1294" s="134">
        <v>45476</v>
      </c>
      <c r="C1294" s="70">
        <v>5250</v>
      </c>
      <c r="D1294" s="70" t="s">
        <v>85</v>
      </c>
      <c r="E1294" s="280" t="s">
        <v>3636</v>
      </c>
      <c r="F1294" s="1049">
        <v>19.05</v>
      </c>
      <c r="G1294" s="1049"/>
      <c r="H1294" s="564"/>
      <c r="I1294" s="609"/>
      <c r="J1294" s="1155"/>
      <c r="K1294" s="609"/>
      <c r="L1294" s="609"/>
      <c r="M1294" s="609"/>
      <c r="N1294" s="599"/>
      <c r="O1294" s="552" t="s">
        <v>1584</v>
      </c>
      <c r="P1294" s="603"/>
      <c r="Q1294" s="682"/>
      <c r="R1294" s="682"/>
      <c r="S1294" s="682"/>
      <c r="T1294" s="682"/>
      <c r="U1294" s="682"/>
      <c r="V1294" s="682"/>
      <c r="W1294" s="682"/>
    </row>
    <row r="1295" spans="1:23">
      <c r="A1295" s="1045">
        <f t="shared" si="20"/>
        <v>7</v>
      </c>
      <c r="B1295" s="134">
        <v>45476</v>
      </c>
      <c r="C1295" s="70">
        <v>2018</v>
      </c>
      <c r="D1295" s="70" t="s">
        <v>58</v>
      </c>
      <c r="E1295" s="280" t="s">
        <v>3636</v>
      </c>
      <c r="F1295" s="1049">
        <v>0.95</v>
      </c>
      <c r="G1295" s="1049"/>
      <c r="H1295" s="564"/>
      <c r="I1295" s="609"/>
      <c r="J1295" s="1155"/>
      <c r="K1295" s="609"/>
      <c r="L1295" s="609"/>
      <c r="M1295" s="609"/>
      <c r="N1295" s="599"/>
      <c r="O1295" s="552" t="s">
        <v>1584</v>
      </c>
      <c r="P1295" s="603"/>
      <c r="Q1295" s="682"/>
      <c r="R1295" s="682"/>
      <c r="S1295" s="682"/>
      <c r="T1295" s="682"/>
      <c r="U1295" s="682"/>
      <c r="V1295" s="682"/>
      <c r="W1295" s="682"/>
    </row>
    <row r="1296" spans="1:23">
      <c r="A1296" s="1045">
        <f t="shared" si="20"/>
        <v>7</v>
      </c>
      <c r="B1296" s="134">
        <v>45476</v>
      </c>
      <c r="C1296" s="70">
        <v>5250</v>
      </c>
      <c r="D1296" s="70" t="s">
        <v>85</v>
      </c>
      <c r="E1296" s="280" t="s">
        <v>3637</v>
      </c>
      <c r="F1296" s="1049">
        <v>1040</v>
      </c>
      <c r="G1296" s="1049"/>
      <c r="H1296" s="564"/>
      <c r="I1296" s="609"/>
      <c r="J1296" s="1155"/>
      <c r="K1296" s="609"/>
      <c r="L1296" s="609"/>
      <c r="M1296" s="609"/>
      <c r="N1296" s="599"/>
      <c r="O1296" s="552" t="s">
        <v>1584</v>
      </c>
      <c r="P1296" s="603"/>
      <c r="Q1296" s="682"/>
      <c r="R1296" s="682"/>
      <c r="S1296" s="682"/>
      <c r="T1296" s="682"/>
      <c r="U1296" s="682"/>
      <c r="V1296" s="682"/>
      <c r="W1296" s="682"/>
    </row>
    <row r="1297" spans="1:23">
      <c r="A1297" s="1045">
        <f t="shared" si="20"/>
        <v>7</v>
      </c>
      <c r="B1297" s="134">
        <v>45476</v>
      </c>
      <c r="C1297" s="70">
        <v>2018</v>
      </c>
      <c r="D1297" s="70" t="s">
        <v>58</v>
      </c>
      <c r="E1297" s="280" t="s">
        <v>3637</v>
      </c>
      <c r="F1297" s="1049">
        <v>52</v>
      </c>
      <c r="G1297" s="1049"/>
      <c r="H1297" s="564"/>
      <c r="I1297" s="609"/>
      <c r="J1297" s="1155"/>
      <c r="K1297" s="609"/>
      <c r="L1297" s="609"/>
      <c r="M1297" s="609"/>
      <c r="N1297" s="599"/>
      <c r="O1297" s="552" t="s">
        <v>1584</v>
      </c>
      <c r="P1297" s="603"/>
      <c r="Q1297" s="682"/>
      <c r="R1297" s="682"/>
      <c r="S1297" s="682"/>
      <c r="T1297" s="682"/>
      <c r="U1297" s="682"/>
      <c r="V1297" s="682"/>
      <c r="W1297" s="682"/>
    </row>
    <row r="1298" spans="1:23">
      <c r="A1298" s="1045">
        <f t="shared" si="20"/>
        <v>7</v>
      </c>
      <c r="B1298" s="134">
        <v>45477</v>
      </c>
      <c r="C1298" s="70">
        <v>5250</v>
      </c>
      <c r="D1298" s="70" t="s">
        <v>85</v>
      </c>
      <c r="E1298" s="280" t="s">
        <v>3638</v>
      </c>
      <c r="F1298" s="1049">
        <v>441.9</v>
      </c>
      <c r="G1298" s="1049"/>
      <c r="H1298" s="564"/>
      <c r="I1298" s="609"/>
      <c r="J1298" s="1155"/>
      <c r="K1298" s="609"/>
      <c r="L1298" s="609"/>
      <c r="M1298" s="609"/>
      <c r="N1298" s="599"/>
      <c r="O1298" s="552" t="s">
        <v>1584</v>
      </c>
      <c r="P1298" s="603"/>
      <c r="Q1298" s="682"/>
      <c r="R1298" s="682"/>
      <c r="S1298" s="682"/>
      <c r="T1298" s="682"/>
      <c r="U1298" s="682"/>
      <c r="V1298" s="682"/>
      <c r="W1298" s="682"/>
    </row>
    <row r="1299" spans="1:23">
      <c r="A1299" s="1045">
        <f t="shared" si="20"/>
        <v>7</v>
      </c>
      <c r="B1299" s="134">
        <v>45477</v>
      </c>
      <c r="C1299" s="70">
        <v>2018</v>
      </c>
      <c r="D1299" s="70" t="s">
        <v>58</v>
      </c>
      <c r="E1299" s="280" t="s">
        <v>3638</v>
      </c>
      <c r="F1299" s="1049">
        <v>22.1</v>
      </c>
      <c r="G1299" s="1049"/>
      <c r="H1299" s="564"/>
      <c r="I1299" s="609"/>
      <c r="J1299" s="1155"/>
      <c r="K1299" s="609"/>
      <c r="L1299" s="609"/>
      <c r="M1299" s="609"/>
      <c r="N1299" s="599"/>
      <c r="O1299" s="552" t="s">
        <v>1584</v>
      </c>
      <c r="P1299" s="603"/>
      <c r="Q1299" s="682"/>
      <c r="R1299" s="682"/>
      <c r="S1299" s="682"/>
      <c r="T1299" s="682"/>
      <c r="U1299" s="682"/>
      <c r="V1299" s="682"/>
      <c r="W1299" s="682"/>
    </row>
    <row r="1300" spans="1:23">
      <c r="A1300" s="1045">
        <f t="shared" si="20"/>
        <v>7</v>
      </c>
      <c r="B1300" s="134">
        <v>45477</v>
      </c>
      <c r="C1300" s="70">
        <v>5200</v>
      </c>
      <c r="D1300" s="70" t="s">
        <v>83</v>
      </c>
      <c r="E1300" s="280" t="s">
        <v>3639</v>
      </c>
      <c r="F1300" s="1049">
        <v>127.38</v>
      </c>
      <c r="G1300" s="1049"/>
      <c r="H1300" s="564"/>
      <c r="I1300" s="609"/>
      <c r="J1300" s="1155"/>
      <c r="K1300" s="609"/>
      <c r="L1300" s="609"/>
      <c r="M1300" s="609"/>
      <c r="N1300" s="599"/>
      <c r="O1300" s="552" t="s">
        <v>1584</v>
      </c>
      <c r="P1300" s="603"/>
      <c r="Q1300" s="682"/>
      <c r="R1300" s="682"/>
      <c r="S1300" s="682"/>
      <c r="T1300" s="682"/>
      <c r="U1300" s="682"/>
      <c r="V1300" s="682"/>
      <c r="W1300" s="682"/>
    </row>
    <row r="1301" spans="1:23">
      <c r="A1301" s="1045">
        <f t="shared" ref="A1301:A1364" si="21">IF(B1301="","",MONTH(B1301))</f>
        <v>7</v>
      </c>
      <c r="B1301" s="134">
        <v>45477</v>
      </c>
      <c r="C1301" s="70">
        <v>2018</v>
      </c>
      <c r="D1301" s="70" t="s">
        <v>58</v>
      </c>
      <c r="E1301" s="280" t="s">
        <v>3639</v>
      </c>
      <c r="F1301" s="1049">
        <v>6.37</v>
      </c>
      <c r="G1301" s="1049"/>
      <c r="H1301" s="564"/>
      <c r="I1301" s="609"/>
      <c r="J1301" s="1155"/>
      <c r="K1301" s="609"/>
      <c r="L1301" s="609"/>
      <c r="M1301" s="609"/>
      <c r="N1301" s="599"/>
      <c r="O1301" s="552" t="s">
        <v>1584</v>
      </c>
      <c r="P1301" s="603"/>
      <c r="Q1301" s="682"/>
      <c r="R1301" s="682"/>
      <c r="S1301" s="682"/>
      <c r="T1301" s="682"/>
      <c r="U1301" s="682"/>
      <c r="V1301" s="682"/>
      <c r="W1301" s="682"/>
    </row>
    <row r="1302" spans="1:23">
      <c r="A1302" s="1045">
        <f t="shared" si="21"/>
        <v>7</v>
      </c>
      <c r="B1302" s="134">
        <v>45477</v>
      </c>
      <c r="C1302" s="70">
        <v>5250</v>
      </c>
      <c r="D1302" s="70" t="s">
        <v>85</v>
      </c>
      <c r="E1302" s="280" t="s">
        <v>3640</v>
      </c>
      <c r="F1302" s="1049">
        <v>812.83</v>
      </c>
      <c r="G1302" s="1049"/>
      <c r="H1302" s="564"/>
      <c r="I1302" s="609"/>
      <c r="J1302" s="1155"/>
      <c r="K1302" s="609"/>
      <c r="L1302" s="609"/>
      <c r="M1302" s="609"/>
      <c r="N1302" s="599"/>
      <c r="O1302" s="552" t="s">
        <v>1584</v>
      </c>
      <c r="P1302" s="603"/>
      <c r="Q1302" s="682"/>
      <c r="R1302" s="682"/>
      <c r="S1302" s="682"/>
      <c r="T1302" s="682"/>
      <c r="U1302" s="682"/>
      <c r="V1302" s="682"/>
      <c r="W1302" s="682"/>
    </row>
    <row r="1303" spans="1:23">
      <c r="A1303" s="1045">
        <f t="shared" si="21"/>
        <v>7</v>
      </c>
      <c r="B1303" s="134">
        <v>45477</v>
      </c>
      <c r="C1303" s="70">
        <v>2018</v>
      </c>
      <c r="D1303" s="70" t="s">
        <v>58</v>
      </c>
      <c r="E1303" s="280" t="s">
        <v>3640</v>
      </c>
      <c r="F1303" s="1049">
        <v>40.64</v>
      </c>
      <c r="G1303" s="1049"/>
      <c r="H1303" s="564"/>
      <c r="I1303" s="609"/>
      <c r="J1303" s="1155"/>
      <c r="K1303" s="609"/>
      <c r="L1303" s="609"/>
      <c r="M1303" s="609"/>
      <c r="N1303" s="599"/>
      <c r="O1303" s="552" t="s">
        <v>1584</v>
      </c>
      <c r="P1303" s="603"/>
      <c r="Q1303" s="682"/>
      <c r="R1303" s="682"/>
      <c r="S1303" s="682"/>
      <c r="T1303" s="682"/>
      <c r="U1303" s="682"/>
      <c r="V1303" s="682"/>
      <c r="W1303" s="682"/>
    </row>
    <row r="1304" spans="1:23">
      <c r="A1304" s="1045">
        <f t="shared" si="21"/>
        <v>7</v>
      </c>
      <c r="B1304" s="134">
        <v>45477</v>
      </c>
      <c r="C1304" s="70">
        <v>5250</v>
      </c>
      <c r="D1304" s="70" t="s">
        <v>85</v>
      </c>
      <c r="E1304" s="280" t="s">
        <v>3641</v>
      </c>
      <c r="F1304" s="1049">
        <v>1010</v>
      </c>
      <c r="G1304" s="1049"/>
      <c r="H1304" s="564"/>
      <c r="I1304" s="609"/>
      <c r="J1304" s="1155"/>
      <c r="K1304" s="609"/>
      <c r="L1304" s="609"/>
      <c r="M1304" s="609"/>
      <c r="N1304" s="599"/>
      <c r="O1304" s="552" t="s">
        <v>1584</v>
      </c>
      <c r="P1304" s="603"/>
      <c r="Q1304" s="682"/>
      <c r="R1304" s="682"/>
      <c r="S1304" s="682"/>
      <c r="T1304" s="682"/>
      <c r="U1304" s="682"/>
      <c r="V1304" s="682"/>
      <c r="W1304" s="682"/>
    </row>
    <row r="1305" spans="1:23">
      <c r="A1305" s="1045">
        <f t="shared" si="21"/>
        <v>7</v>
      </c>
      <c r="B1305" s="134">
        <v>45477</v>
      </c>
      <c r="C1305" s="70">
        <v>2018</v>
      </c>
      <c r="D1305" s="70" t="s">
        <v>58</v>
      </c>
      <c r="E1305" s="280" t="s">
        <v>3641</v>
      </c>
      <c r="F1305" s="1049">
        <v>50.5</v>
      </c>
      <c r="G1305" s="1049"/>
      <c r="H1305" s="564"/>
      <c r="I1305" s="609"/>
      <c r="J1305" s="1155"/>
      <c r="K1305" s="609"/>
      <c r="L1305" s="609"/>
      <c r="M1305" s="609"/>
      <c r="N1305" s="599"/>
      <c r="O1305" s="552" t="s">
        <v>1584</v>
      </c>
      <c r="P1305" s="603"/>
      <c r="Q1305" s="682"/>
      <c r="R1305" s="682"/>
      <c r="S1305" s="682"/>
      <c r="T1305" s="682"/>
      <c r="U1305" s="682"/>
      <c r="V1305" s="682"/>
      <c r="W1305" s="682"/>
    </row>
    <row r="1306" spans="1:23">
      <c r="A1306" s="1045">
        <f t="shared" si="21"/>
        <v>7</v>
      </c>
      <c r="B1306" s="134">
        <v>45477</v>
      </c>
      <c r="C1306" s="70">
        <v>5250</v>
      </c>
      <c r="D1306" s="70" t="s">
        <v>85</v>
      </c>
      <c r="E1306" s="280" t="s">
        <v>3642</v>
      </c>
      <c r="F1306" s="1049">
        <v>937</v>
      </c>
      <c r="G1306" s="1049"/>
      <c r="H1306" s="564"/>
      <c r="I1306" s="609"/>
      <c r="J1306" s="1155"/>
      <c r="K1306" s="609"/>
      <c r="L1306" s="609"/>
      <c r="M1306" s="609"/>
      <c r="N1306" s="599"/>
      <c r="O1306" s="552" t="s">
        <v>1584</v>
      </c>
      <c r="P1306" s="603"/>
      <c r="Q1306" s="682"/>
      <c r="R1306" s="682"/>
      <c r="S1306" s="682"/>
      <c r="T1306" s="682"/>
      <c r="U1306" s="682"/>
      <c r="V1306" s="682"/>
      <c r="W1306" s="682"/>
    </row>
    <row r="1307" spans="1:23">
      <c r="A1307" s="1045">
        <f t="shared" si="21"/>
        <v>7</v>
      </c>
      <c r="B1307" s="134">
        <v>45477</v>
      </c>
      <c r="C1307" s="70">
        <v>2018</v>
      </c>
      <c r="D1307" s="70" t="s">
        <v>58</v>
      </c>
      <c r="E1307" s="280" t="s">
        <v>3642</v>
      </c>
      <c r="F1307" s="1049">
        <v>46.85</v>
      </c>
      <c r="G1307" s="1049"/>
      <c r="H1307" s="564"/>
      <c r="I1307" s="609"/>
      <c r="J1307" s="1155"/>
      <c r="K1307" s="609"/>
      <c r="L1307" s="609"/>
      <c r="M1307" s="609"/>
      <c r="N1307" s="599"/>
      <c r="O1307" s="552" t="s">
        <v>1584</v>
      </c>
      <c r="P1307" s="603"/>
      <c r="Q1307" s="682"/>
      <c r="R1307" s="682"/>
      <c r="S1307" s="682"/>
      <c r="T1307" s="682"/>
      <c r="U1307" s="682"/>
      <c r="V1307" s="682"/>
      <c r="W1307" s="682"/>
    </row>
    <row r="1308" spans="1:23">
      <c r="A1308" s="1045">
        <f t="shared" si="21"/>
        <v>7</v>
      </c>
      <c r="B1308" s="134">
        <v>45477</v>
      </c>
      <c r="C1308" s="70">
        <v>5250</v>
      </c>
      <c r="D1308" s="70" t="s">
        <v>85</v>
      </c>
      <c r="E1308" s="280" t="s">
        <v>3643</v>
      </c>
      <c r="F1308" s="1049">
        <v>75</v>
      </c>
      <c r="G1308" s="1049"/>
      <c r="H1308" s="564"/>
      <c r="I1308" s="609"/>
      <c r="J1308" s="1155"/>
      <c r="K1308" s="609"/>
      <c r="L1308" s="609"/>
      <c r="M1308" s="609"/>
      <c r="N1308" s="599"/>
      <c r="O1308" s="552" t="s">
        <v>1584</v>
      </c>
      <c r="P1308" s="603"/>
      <c r="Q1308" s="682"/>
      <c r="R1308" s="682"/>
      <c r="S1308" s="682"/>
      <c r="T1308" s="682"/>
      <c r="U1308" s="682"/>
      <c r="V1308" s="682"/>
      <c r="W1308" s="682"/>
    </row>
    <row r="1309" spans="1:23">
      <c r="A1309" s="1045">
        <f t="shared" si="21"/>
        <v>7</v>
      </c>
      <c r="B1309" s="134">
        <v>45477</v>
      </c>
      <c r="C1309" s="70">
        <v>2018</v>
      </c>
      <c r="D1309" s="70" t="s">
        <v>58</v>
      </c>
      <c r="E1309" s="280" t="s">
        <v>3643</v>
      </c>
      <c r="F1309" s="1049">
        <v>3.75</v>
      </c>
      <c r="G1309" s="1049"/>
      <c r="H1309" s="564"/>
      <c r="I1309" s="609"/>
      <c r="J1309" s="1155"/>
      <c r="K1309" s="609"/>
      <c r="L1309" s="609"/>
      <c r="M1309" s="609"/>
      <c r="N1309" s="599"/>
      <c r="O1309" s="552" t="s">
        <v>1584</v>
      </c>
      <c r="P1309" s="603"/>
      <c r="Q1309" s="682"/>
      <c r="R1309" s="682"/>
      <c r="S1309" s="682"/>
      <c r="T1309" s="682"/>
      <c r="U1309" s="682"/>
      <c r="V1309" s="682"/>
      <c r="W1309" s="682"/>
    </row>
    <row r="1310" spans="1:23">
      <c r="A1310" s="1045">
        <f t="shared" si="21"/>
        <v>7</v>
      </c>
      <c r="B1310" s="134">
        <v>45478</v>
      </c>
      <c r="C1310" s="70">
        <v>6300</v>
      </c>
      <c r="D1310" s="70" t="s">
        <v>130</v>
      </c>
      <c r="E1310" s="280" t="s">
        <v>3644</v>
      </c>
      <c r="F1310" s="1049">
        <v>400</v>
      </c>
      <c r="G1310" s="1049"/>
      <c r="H1310" s="564"/>
      <c r="I1310" s="609"/>
      <c r="J1310" s="1155"/>
      <c r="K1310" s="609"/>
      <c r="L1310" s="609"/>
      <c r="M1310" s="609"/>
      <c r="N1310" s="599"/>
      <c r="O1310" s="552" t="s">
        <v>1584</v>
      </c>
      <c r="P1310" s="603"/>
      <c r="Q1310" s="682"/>
      <c r="R1310" s="682"/>
      <c r="S1310" s="682"/>
      <c r="T1310" s="682"/>
      <c r="U1310" s="682"/>
      <c r="V1310" s="682"/>
      <c r="W1310" s="682"/>
    </row>
    <row r="1311" spans="1:23">
      <c r="A1311" s="1045">
        <f t="shared" si="21"/>
        <v>7</v>
      </c>
      <c r="B1311" s="134">
        <v>45478</v>
      </c>
      <c r="C1311" s="70">
        <v>6300</v>
      </c>
      <c r="D1311" s="70" t="s">
        <v>130</v>
      </c>
      <c r="E1311" s="280" t="s">
        <v>3645</v>
      </c>
      <c r="F1311" s="1049">
        <v>400</v>
      </c>
      <c r="G1311" s="1049"/>
      <c r="H1311" s="564"/>
      <c r="I1311" s="609"/>
      <c r="J1311" s="1155"/>
      <c r="K1311" s="609"/>
      <c r="L1311" s="609"/>
      <c r="M1311" s="609"/>
      <c r="N1311" s="599"/>
      <c r="O1311" s="552" t="s">
        <v>1584</v>
      </c>
      <c r="P1311" s="603"/>
      <c r="Q1311" s="682"/>
      <c r="R1311" s="682"/>
      <c r="S1311" s="682"/>
      <c r="T1311" s="682"/>
      <c r="U1311" s="682"/>
      <c r="V1311" s="682"/>
      <c r="W1311" s="682"/>
    </row>
    <row r="1312" spans="1:23">
      <c r="A1312" s="1045">
        <f t="shared" si="21"/>
        <v>7</v>
      </c>
      <c r="B1312" s="134">
        <v>45478</v>
      </c>
      <c r="C1312" s="70">
        <v>5250</v>
      </c>
      <c r="D1312" s="70" t="s">
        <v>85</v>
      </c>
      <c r="E1312" s="280" t="s">
        <v>3646</v>
      </c>
      <c r="F1312" s="1049">
        <v>157.72</v>
      </c>
      <c r="G1312" s="1049"/>
      <c r="H1312" s="564"/>
      <c r="I1312" s="609"/>
      <c r="J1312" s="1155"/>
      <c r="K1312" s="609"/>
      <c r="L1312" s="609"/>
      <c r="M1312" s="609"/>
      <c r="N1312" s="599"/>
      <c r="O1312" s="552" t="s">
        <v>1584</v>
      </c>
      <c r="P1312" s="603"/>
      <c r="Q1312" s="682"/>
      <c r="R1312" s="682"/>
      <c r="S1312" s="682"/>
      <c r="T1312" s="682"/>
      <c r="U1312" s="682"/>
      <c r="V1312" s="682"/>
      <c r="W1312" s="682"/>
    </row>
    <row r="1313" spans="1:23">
      <c r="A1313" s="1045">
        <f t="shared" si="21"/>
        <v>7</v>
      </c>
      <c r="B1313" s="134">
        <v>45478</v>
      </c>
      <c r="C1313" s="70">
        <v>2018</v>
      </c>
      <c r="D1313" s="70" t="s">
        <v>58</v>
      </c>
      <c r="E1313" s="280" t="s">
        <v>3646</v>
      </c>
      <c r="F1313" s="1049">
        <v>7.89</v>
      </c>
      <c r="G1313" s="1049"/>
      <c r="H1313" s="564"/>
      <c r="I1313" s="609"/>
      <c r="J1313" s="1155"/>
      <c r="K1313" s="609"/>
      <c r="L1313" s="609"/>
      <c r="M1313" s="609"/>
      <c r="N1313" s="599"/>
      <c r="O1313" s="552" t="s">
        <v>1584</v>
      </c>
      <c r="P1313" s="603"/>
      <c r="Q1313" s="682"/>
      <c r="R1313" s="682"/>
      <c r="S1313" s="682"/>
      <c r="T1313" s="682"/>
      <c r="U1313" s="682"/>
      <c r="V1313" s="682"/>
      <c r="W1313" s="682"/>
    </row>
    <row r="1314" spans="1:23">
      <c r="A1314" s="1045">
        <f t="shared" si="21"/>
        <v>7</v>
      </c>
      <c r="B1314" s="134">
        <v>45478</v>
      </c>
      <c r="C1314" s="70">
        <v>5250</v>
      </c>
      <c r="D1314" s="70" t="s">
        <v>85</v>
      </c>
      <c r="E1314" s="280" t="s">
        <v>3647</v>
      </c>
      <c r="F1314" s="1049">
        <v>340</v>
      </c>
      <c r="G1314" s="1049"/>
      <c r="H1314" s="564"/>
      <c r="I1314" s="609"/>
      <c r="J1314" s="1155"/>
      <c r="K1314" s="609"/>
      <c r="L1314" s="609"/>
      <c r="M1314" s="609"/>
      <c r="N1314" s="599"/>
      <c r="O1314" s="552" t="s">
        <v>1584</v>
      </c>
      <c r="P1314" s="603"/>
      <c r="Q1314" s="682"/>
      <c r="R1314" s="682"/>
      <c r="S1314" s="682"/>
      <c r="T1314" s="682"/>
      <c r="U1314" s="682"/>
      <c r="V1314" s="682"/>
      <c r="W1314" s="682"/>
    </row>
    <row r="1315" spans="1:23">
      <c r="A1315" s="1045">
        <f t="shared" si="21"/>
        <v>7</v>
      </c>
      <c r="B1315" s="134">
        <v>45478</v>
      </c>
      <c r="C1315" s="70">
        <v>2018</v>
      </c>
      <c r="D1315" s="70" t="s">
        <v>58</v>
      </c>
      <c r="E1315" s="280" t="s">
        <v>3647</v>
      </c>
      <c r="F1315" s="1049">
        <v>17</v>
      </c>
      <c r="G1315" s="1049"/>
      <c r="H1315" s="564"/>
      <c r="I1315" s="609"/>
      <c r="J1315" s="1155"/>
      <c r="K1315" s="609"/>
      <c r="L1315" s="609"/>
      <c r="M1315" s="609"/>
      <c r="N1315" s="599"/>
      <c r="O1315" s="552" t="s">
        <v>1584</v>
      </c>
      <c r="P1315" s="603"/>
      <c r="Q1315" s="682"/>
      <c r="R1315" s="682"/>
      <c r="S1315" s="682"/>
      <c r="T1315" s="682"/>
      <c r="U1315" s="682"/>
      <c r="V1315" s="682"/>
      <c r="W1315" s="682"/>
    </row>
    <row r="1316" spans="1:23">
      <c r="A1316" s="1045">
        <f t="shared" si="21"/>
        <v>7</v>
      </c>
      <c r="B1316" s="134">
        <v>45479</v>
      </c>
      <c r="C1316" s="70">
        <v>5250</v>
      </c>
      <c r="D1316" s="70" t="s">
        <v>85</v>
      </c>
      <c r="E1316" s="280" t="s">
        <v>3648</v>
      </c>
      <c r="F1316" s="1049">
        <v>309.52</v>
      </c>
      <c r="G1316" s="1049"/>
      <c r="H1316" s="564"/>
      <c r="I1316" s="609"/>
      <c r="J1316" s="1155"/>
      <c r="K1316" s="609"/>
      <c r="L1316" s="609"/>
      <c r="M1316" s="609"/>
      <c r="N1316" s="599"/>
      <c r="O1316" s="552" t="s">
        <v>1584</v>
      </c>
      <c r="P1316" s="603"/>
      <c r="Q1316" s="682"/>
      <c r="R1316" s="682"/>
      <c r="S1316" s="682"/>
      <c r="T1316" s="682"/>
      <c r="U1316" s="682"/>
      <c r="V1316" s="682"/>
      <c r="W1316" s="682"/>
    </row>
    <row r="1317" spans="1:23">
      <c r="A1317" s="1045">
        <f t="shared" si="21"/>
        <v>7</v>
      </c>
      <c r="B1317" s="134">
        <v>45479</v>
      </c>
      <c r="C1317" s="70">
        <v>2018</v>
      </c>
      <c r="D1317" s="70" t="s">
        <v>58</v>
      </c>
      <c r="E1317" s="280" t="s">
        <v>3648</v>
      </c>
      <c r="F1317" s="1049">
        <v>15.48</v>
      </c>
      <c r="G1317" s="1049"/>
      <c r="H1317" s="564"/>
      <c r="I1317" s="609"/>
      <c r="J1317" s="1155"/>
      <c r="K1317" s="609"/>
      <c r="L1317" s="609"/>
      <c r="M1317" s="609"/>
      <c r="N1317" s="599"/>
      <c r="O1317" s="552" t="s">
        <v>1584</v>
      </c>
      <c r="P1317" s="603"/>
      <c r="Q1317" s="682"/>
      <c r="R1317" s="682"/>
      <c r="S1317" s="682"/>
      <c r="T1317" s="682"/>
      <c r="U1317" s="682"/>
      <c r="V1317" s="682"/>
      <c r="W1317" s="682"/>
    </row>
    <row r="1318" spans="1:23">
      <c r="A1318" s="1045">
        <f t="shared" si="21"/>
        <v>7</v>
      </c>
      <c r="B1318" s="134">
        <v>45479</v>
      </c>
      <c r="C1318" s="70">
        <v>5250</v>
      </c>
      <c r="D1318" s="70" t="s">
        <v>85</v>
      </c>
      <c r="E1318" s="280" t="s">
        <v>3649</v>
      </c>
      <c r="F1318" s="1049">
        <v>35</v>
      </c>
      <c r="G1318" s="1049"/>
      <c r="H1318" s="564"/>
      <c r="I1318" s="609"/>
      <c r="J1318" s="1155"/>
      <c r="K1318" s="609"/>
      <c r="L1318" s="609"/>
      <c r="M1318" s="609"/>
      <c r="N1318" s="599"/>
      <c r="O1318" s="552" t="s">
        <v>1584</v>
      </c>
      <c r="P1318" s="603"/>
      <c r="Q1318" s="682"/>
      <c r="R1318" s="682"/>
      <c r="S1318" s="682"/>
      <c r="T1318" s="682"/>
      <c r="U1318" s="682"/>
      <c r="V1318" s="682"/>
      <c r="W1318" s="682"/>
    </row>
    <row r="1319" spans="1:23">
      <c r="A1319" s="1045">
        <f t="shared" si="21"/>
        <v>7</v>
      </c>
      <c r="B1319" s="134">
        <v>45479</v>
      </c>
      <c r="C1319" s="70">
        <v>2018</v>
      </c>
      <c r="D1319" s="70" t="s">
        <v>58</v>
      </c>
      <c r="E1319" s="280" t="s">
        <v>3649</v>
      </c>
      <c r="F1319" s="1049">
        <v>1.75</v>
      </c>
      <c r="G1319" s="1049"/>
      <c r="H1319" s="564"/>
      <c r="I1319" s="609"/>
      <c r="J1319" s="1155"/>
      <c r="K1319" s="609"/>
      <c r="L1319" s="609"/>
      <c r="M1319" s="609"/>
      <c r="N1319" s="599"/>
      <c r="O1319" s="552" t="s">
        <v>1584</v>
      </c>
      <c r="P1319" s="603"/>
      <c r="Q1319" s="682"/>
      <c r="R1319" s="682"/>
      <c r="S1319" s="682"/>
      <c r="T1319" s="682"/>
      <c r="U1319" s="682"/>
      <c r="V1319" s="682"/>
      <c r="W1319" s="682"/>
    </row>
    <row r="1320" spans="1:23">
      <c r="A1320" s="1045">
        <f t="shared" si="21"/>
        <v>7</v>
      </c>
      <c r="B1320" s="134">
        <v>45479</v>
      </c>
      <c r="C1320" s="70">
        <v>5250</v>
      </c>
      <c r="D1320" s="70" t="s">
        <v>85</v>
      </c>
      <c r="E1320" s="280" t="s">
        <v>3650</v>
      </c>
      <c r="F1320" s="1049">
        <v>75</v>
      </c>
      <c r="G1320" s="1049"/>
      <c r="H1320" s="564"/>
      <c r="I1320" s="609"/>
      <c r="J1320" s="1155"/>
      <c r="K1320" s="609"/>
      <c r="L1320" s="609"/>
      <c r="M1320" s="609"/>
      <c r="N1320" s="599"/>
      <c r="O1320" s="552" t="s">
        <v>1584</v>
      </c>
      <c r="P1320" s="603"/>
      <c r="Q1320" s="682"/>
      <c r="R1320" s="682"/>
      <c r="S1320" s="682"/>
      <c r="T1320" s="682"/>
      <c r="U1320" s="682"/>
      <c r="V1320" s="682"/>
      <c r="W1320" s="682"/>
    </row>
    <row r="1321" spans="1:23">
      <c r="A1321" s="1045">
        <f t="shared" si="21"/>
        <v>7</v>
      </c>
      <c r="B1321" s="134">
        <v>45479</v>
      </c>
      <c r="C1321" s="70">
        <v>2018</v>
      </c>
      <c r="D1321" s="70" t="s">
        <v>58</v>
      </c>
      <c r="E1321" s="280" t="s">
        <v>3650</v>
      </c>
      <c r="F1321" s="1049">
        <v>3.75</v>
      </c>
      <c r="G1321" s="1049"/>
      <c r="H1321" s="564"/>
      <c r="I1321" s="609"/>
      <c r="J1321" s="1155"/>
      <c r="K1321" s="609"/>
      <c r="L1321" s="609"/>
      <c r="M1321" s="609"/>
      <c r="N1321" s="599"/>
      <c r="O1321" s="552" t="s">
        <v>1584</v>
      </c>
      <c r="P1321" s="603"/>
      <c r="Q1321" s="682"/>
      <c r="R1321" s="682"/>
      <c r="S1321" s="682"/>
      <c r="T1321" s="682"/>
      <c r="U1321" s="682"/>
      <c r="V1321" s="682"/>
      <c r="W1321" s="682"/>
    </row>
    <row r="1322" spans="1:23">
      <c r="A1322" s="1045">
        <f t="shared" si="21"/>
        <v>7</v>
      </c>
      <c r="B1322" s="134">
        <v>45479</v>
      </c>
      <c r="C1322" s="70">
        <v>5250</v>
      </c>
      <c r="D1322" s="70" t="s">
        <v>85</v>
      </c>
      <c r="E1322" s="280" t="s">
        <v>3651</v>
      </c>
      <c r="F1322" s="1049">
        <v>142.86000000000001</v>
      </c>
      <c r="G1322" s="1049"/>
      <c r="H1322" s="564"/>
      <c r="I1322" s="609"/>
      <c r="J1322" s="1155"/>
      <c r="K1322" s="609"/>
      <c r="L1322" s="609"/>
      <c r="M1322" s="609"/>
      <c r="N1322" s="599"/>
      <c r="O1322" s="552" t="s">
        <v>1584</v>
      </c>
      <c r="P1322" s="603"/>
      <c r="Q1322" s="682"/>
      <c r="R1322" s="682"/>
      <c r="S1322" s="682"/>
      <c r="T1322" s="682"/>
      <c r="U1322" s="682"/>
      <c r="V1322" s="682"/>
      <c r="W1322" s="682"/>
    </row>
    <row r="1323" spans="1:23">
      <c r="A1323" s="1045">
        <f t="shared" si="21"/>
        <v>7</v>
      </c>
      <c r="B1323" s="134">
        <v>45479</v>
      </c>
      <c r="C1323" s="70">
        <v>2018</v>
      </c>
      <c r="D1323" s="70" t="s">
        <v>58</v>
      </c>
      <c r="E1323" s="280" t="s">
        <v>3651</v>
      </c>
      <c r="F1323" s="1049">
        <v>7.14</v>
      </c>
      <c r="G1323" s="1049"/>
      <c r="H1323" s="564"/>
      <c r="I1323" s="609"/>
      <c r="J1323" s="1155"/>
      <c r="K1323" s="609"/>
      <c r="L1323" s="609"/>
      <c r="M1323" s="609"/>
      <c r="N1323" s="599"/>
      <c r="O1323" s="552" t="s">
        <v>1584</v>
      </c>
      <c r="P1323" s="603"/>
      <c r="Q1323" s="682"/>
      <c r="R1323" s="682"/>
      <c r="S1323" s="682"/>
      <c r="T1323" s="682"/>
      <c r="U1323" s="682"/>
      <c r="V1323" s="682"/>
      <c r="W1323" s="682"/>
    </row>
    <row r="1324" spans="1:23">
      <c r="A1324" s="1045">
        <f t="shared" si="21"/>
        <v>7</v>
      </c>
      <c r="B1324" s="134">
        <v>45479</v>
      </c>
      <c r="C1324" s="70">
        <v>5220</v>
      </c>
      <c r="D1324" s="70" t="s">
        <v>84</v>
      </c>
      <c r="E1324" s="280" t="s">
        <v>3652</v>
      </c>
      <c r="F1324" s="1049">
        <v>1347.6</v>
      </c>
      <c r="G1324" s="1049"/>
      <c r="H1324" s="564"/>
      <c r="I1324" s="609"/>
      <c r="J1324" s="1155"/>
      <c r="K1324" s="609"/>
      <c r="L1324" s="609"/>
      <c r="M1324" s="609"/>
      <c r="N1324" s="599"/>
      <c r="O1324" s="552" t="s">
        <v>1584</v>
      </c>
      <c r="P1324" s="603"/>
      <c r="Q1324" s="682"/>
      <c r="R1324" s="682"/>
      <c r="S1324" s="682"/>
      <c r="T1324" s="682"/>
      <c r="U1324" s="682"/>
      <c r="V1324" s="682"/>
      <c r="W1324" s="682"/>
    </row>
    <row r="1325" spans="1:23">
      <c r="A1325" s="1045">
        <f t="shared" si="21"/>
        <v>7</v>
      </c>
      <c r="B1325" s="134">
        <v>45479</v>
      </c>
      <c r="C1325" s="70">
        <v>2018</v>
      </c>
      <c r="D1325" s="70" t="s">
        <v>58</v>
      </c>
      <c r="E1325" s="280" t="s">
        <v>3652</v>
      </c>
      <c r="F1325" s="1049">
        <v>67.38</v>
      </c>
      <c r="G1325" s="1049"/>
      <c r="H1325" s="564"/>
      <c r="I1325" s="609"/>
      <c r="J1325" s="1155"/>
      <c r="K1325" s="609"/>
      <c r="L1325" s="609"/>
      <c r="M1325" s="609"/>
      <c r="N1325" s="599"/>
      <c r="O1325" s="552" t="s">
        <v>1584</v>
      </c>
      <c r="P1325" s="603"/>
      <c r="Q1325" s="682"/>
      <c r="R1325" s="682"/>
      <c r="S1325" s="682"/>
      <c r="T1325" s="682"/>
      <c r="U1325" s="682"/>
      <c r="V1325" s="682"/>
      <c r="W1325" s="682"/>
    </row>
    <row r="1326" spans="1:23">
      <c r="A1326" s="1045">
        <f t="shared" si="21"/>
        <v>7</v>
      </c>
      <c r="B1326" s="134">
        <v>45479</v>
      </c>
      <c r="C1326" s="70">
        <v>5250</v>
      </c>
      <c r="D1326" s="70" t="s">
        <v>85</v>
      </c>
      <c r="E1326" s="280" t="s">
        <v>3653</v>
      </c>
      <c r="F1326" s="1049">
        <v>445</v>
      </c>
      <c r="G1326" s="1049"/>
      <c r="H1326" s="564"/>
      <c r="I1326" s="609"/>
      <c r="J1326" s="1155"/>
      <c r="K1326" s="609"/>
      <c r="L1326" s="609"/>
      <c r="M1326" s="609"/>
      <c r="N1326" s="599"/>
      <c r="O1326" s="552" t="s">
        <v>1584</v>
      </c>
      <c r="P1326" s="603"/>
      <c r="Q1326" s="682"/>
      <c r="R1326" s="682"/>
      <c r="S1326" s="682"/>
      <c r="T1326" s="682"/>
      <c r="U1326" s="682"/>
      <c r="V1326" s="682"/>
      <c r="W1326" s="682"/>
    </row>
    <row r="1327" spans="1:23">
      <c r="A1327" s="1045">
        <f t="shared" si="21"/>
        <v>7</v>
      </c>
      <c r="B1327" s="134">
        <v>45479</v>
      </c>
      <c r="C1327" s="70">
        <v>2018</v>
      </c>
      <c r="D1327" s="70" t="s">
        <v>58</v>
      </c>
      <c r="E1327" s="280" t="s">
        <v>3653</v>
      </c>
      <c r="F1327" s="1049">
        <v>22.25</v>
      </c>
      <c r="G1327" s="1049"/>
      <c r="H1327" s="564"/>
      <c r="I1327" s="609"/>
      <c r="J1327" s="1155"/>
      <c r="K1327" s="609"/>
      <c r="L1327" s="609"/>
      <c r="M1327" s="609"/>
      <c r="N1327" s="599"/>
      <c r="O1327" s="552" t="s">
        <v>1584</v>
      </c>
      <c r="P1327" s="603"/>
      <c r="Q1327" s="682"/>
      <c r="R1327" s="682"/>
      <c r="S1327" s="682"/>
      <c r="T1327" s="682"/>
      <c r="U1327" s="682"/>
      <c r="V1327" s="682"/>
      <c r="W1327" s="682"/>
    </row>
    <row r="1328" spans="1:23">
      <c r="A1328" s="1045">
        <f t="shared" si="21"/>
        <v>7</v>
      </c>
      <c r="B1328" s="134">
        <v>45479</v>
      </c>
      <c r="C1328" s="70">
        <v>5250</v>
      </c>
      <c r="D1328" s="70" t="s">
        <v>85</v>
      </c>
      <c r="E1328" s="280" t="s">
        <v>3654</v>
      </c>
      <c r="F1328" s="1049">
        <v>188.6</v>
      </c>
      <c r="G1328" s="1049"/>
      <c r="H1328" s="564"/>
      <c r="I1328" s="609"/>
      <c r="J1328" s="1155"/>
      <c r="K1328" s="609"/>
      <c r="L1328" s="609"/>
      <c r="M1328" s="609"/>
      <c r="N1328" s="599"/>
      <c r="O1328" s="552" t="s">
        <v>1584</v>
      </c>
      <c r="P1328" s="603"/>
      <c r="Q1328" s="682"/>
      <c r="R1328" s="682"/>
      <c r="S1328" s="682"/>
      <c r="T1328" s="682"/>
      <c r="U1328" s="682"/>
      <c r="V1328" s="682"/>
      <c r="W1328" s="682"/>
    </row>
    <row r="1329" spans="1:23">
      <c r="A1329" s="1045">
        <f t="shared" si="21"/>
        <v>7</v>
      </c>
      <c r="B1329" s="134">
        <v>45479</v>
      </c>
      <c r="C1329" s="70">
        <v>2018</v>
      </c>
      <c r="D1329" s="70" t="s">
        <v>58</v>
      </c>
      <c r="E1329" s="280" t="s">
        <v>3654</v>
      </c>
      <c r="F1329" s="1049">
        <v>9.43</v>
      </c>
      <c r="G1329" s="1049"/>
      <c r="H1329" s="564"/>
      <c r="I1329" s="609"/>
      <c r="J1329" s="1155"/>
      <c r="K1329" s="609"/>
      <c r="L1329" s="609"/>
      <c r="M1329" s="609"/>
      <c r="N1329" s="599"/>
      <c r="O1329" s="552" t="s">
        <v>1584</v>
      </c>
      <c r="P1329" s="603"/>
      <c r="Q1329" s="682"/>
      <c r="R1329" s="682"/>
      <c r="S1329" s="682"/>
      <c r="T1329" s="682"/>
      <c r="U1329" s="682"/>
      <c r="V1329" s="682"/>
      <c r="W1329" s="682"/>
    </row>
    <row r="1330" spans="1:23">
      <c r="A1330" s="1045">
        <f t="shared" si="21"/>
        <v>7</v>
      </c>
      <c r="B1330" s="134">
        <v>45479</v>
      </c>
      <c r="C1330" s="70">
        <v>5250</v>
      </c>
      <c r="D1330" s="70" t="s">
        <v>85</v>
      </c>
      <c r="E1330" s="280" t="s">
        <v>3655</v>
      </c>
      <c r="F1330" s="1049">
        <v>65</v>
      </c>
      <c r="G1330" s="1049"/>
      <c r="H1330" s="564"/>
      <c r="I1330" s="609"/>
      <c r="J1330" s="1155"/>
      <c r="K1330" s="609"/>
      <c r="L1330" s="609"/>
      <c r="M1330" s="609"/>
      <c r="N1330" s="599"/>
      <c r="O1330" s="552" t="s">
        <v>1584</v>
      </c>
      <c r="P1330" s="603"/>
      <c r="Q1330" s="682"/>
      <c r="R1330" s="682"/>
      <c r="S1330" s="682"/>
      <c r="T1330" s="682"/>
      <c r="U1330" s="682"/>
      <c r="V1330" s="682"/>
      <c r="W1330" s="682"/>
    </row>
    <row r="1331" spans="1:23">
      <c r="A1331" s="1045">
        <f t="shared" si="21"/>
        <v>7</v>
      </c>
      <c r="B1331" s="134">
        <v>45479</v>
      </c>
      <c r="C1331" s="70">
        <v>2018</v>
      </c>
      <c r="D1331" s="70" t="s">
        <v>58</v>
      </c>
      <c r="E1331" s="280" t="s">
        <v>3655</v>
      </c>
      <c r="F1331" s="1049">
        <v>3.25</v>
      </c>
      <c r="G1331" s="1049"/>
      <c r="H1331" s="564"/>
      <c r="I1331" s="609"/>
      <c r="J1331" s="1155"/>
      <c r="K1331" s="609"/>
      <c r="L1331" s="609"/>
      <c r="M1331" s="609"/>
      <c r="N1331" s="599"/>
      <c r="O1331" s="552" t="s">
        <v>1584</v>
      </c>
      <c r="P1331" s="603"/>
      <c r="Q1331" s="682"/>
      <c r="R1331" s="682"/>
      <c r="S1331" s="682"/>
      <c r="T1331" s="682"/>
      <c r="U1331" s="682"/>
      <c r="V1331" s="682"/>
      <c r="W1331" s="682"/>
    </row>
    <row r="1332" spans="1:23">
      <c r="A1332" s="1045">
        <f t="shared" si="21"/>
        <v>7</v>
      </c>
      <c r="B1332" s="134">
        <v>45480</v>
      </c>
      <c r="C1332" s="70">
        <v>5250</v>
      </c>
      <c r="D1332" s="70" t="s">
        <v>85</v>
      </c>
      <c r="E1332" s="280" t="s">
        <v>3656</v>
      </c>
      <c r="F1332" s="1049">
        <v>35</v>
      </c>
      <c r="G1332" s="1049"/>
      <c r="H1332" s="564"/>
      <c r="I1332" s="609"/>
      <c r="J1332" s="1155"/>
      <c r="K1332" s="609"/>
      <c r="L1332" s="609"/>
      <c r="M1332" s="609"/>
      <c r="N1332" s="599"/>
      <c r="O1332" s="552" t="s">
        <v>1584</v>
      </c>
      <c r="P1332" s="603"/>
      <c r="Q1332" s="682"/>
      <c r="R1332" s="682"/>
      <c r="S1332" s="682"/>
      <c r="T1332" s="682"/>
      <c r="U1332" s="682"/>
      <c r="V1332" s="682"/>
      <c r="W1332" s="682"/>
    </row>
    <row r="1333" spans="1:23">
      <c r="A1333" s="1045">
        <f t="shared" si="21"/>
        <v>7</v>
      </c>
      <c r="B1333" s="134">
        <v>45480</v>
      </c>
      <c r="C1333" s="70">
        <v>2018</v>
      </c>
      <c r="D1333" s="70" t="s">
        <v>58</v>
      </c>
      <c r="E1333" s="280" t="s">
        <v>3656</v>
      </c>
      <c r="F1333" s="1049">
        <v>1.75</v>
      </c>
      <c r="G1333" s="1049"/>
      <c r="H1333" s="564"/>
      <c r="I1333" s="609"/>
      <c r="J1333" s="1155"/>
      <c r="K1333" s="609"/>
      <c r="L1333" s="609"/>
      <c r="M1333" s="609"/>
      <c r="N1333" s="599"/>
      <c r="O1333" s="552" t="s">
        <v>1584</v>
      </c>
      <c r="P1333" s="603"/>
      <c r="Q1333" s="682"/>
      <c r="R1333" s="682"/>
      <c r="S1333" s="682"/>
      <c r="T1333" s="682"/>
      <c r="U1333" s="682"/>
      <c r="V1333" s="682"/>
      <c r="W1333" s="682"/>
    </row>
    <row r="1334" spans="1:23">
      <c r="A1334" s="1045">
        <f t="shared" si="21"/>
        <v>7</v>
      </c>
      <c r="B1334" s="134">
        <v>45480</v>
      </c>
      <c r="C1334" s="70">
        <v>5250</v>
      </c>
      <c r="D1334" s="70" t="s">
        <v>85</v>
      </c>
      <c r="E1334" s="280" t="s">
        <v>3657</v>
      </c>
      <c r="F1334" s="1049">
        <v>196.3</v>
      </c>
      <c r="G1334" s="1049"/>
      <c r="H1334" s="564"/>
      <c r="I1334" s="609"/>
      <c r="J1334" s="1155"/>
      <c r="K1334" s="609"/>
      <c r="L1334" s="609"/>
      <c r="M1334" s="609"/>
      <c r="N1334" s="599"/>
      <c r="O1334" s="552" t="s">
        <v>1584</v>
      </c>
      <c r="P1334" s="603"/>
      <c r="Q1334" s="682"/>
      <c r="R1334" s="682"/>
      <c r="S1334" s="682"/>
      <c r="T1334" s="682"/>
      <c r="U1334" s="682"/>
      <c r="V1334" s="682"/>
      <c r="W1334" s="682"/>
    </row>
    <row r="1335" spans="1:23">
      <c r="A1335" s="1045">
        <f t="shared" si="21"/>
        <v>7</v>
      </c>
      <c r="B1335" s="134">
        <v>45480</v>
      </c>
      <c r="C1335" s="70">
        <v>2018</v>
      </c>
      <c r="D1335" s="70" t="s">
        <v>58</v>
      </c>
      <c r="E1335" s="280" t="s">
        <v>3657</v>
      </c>
      <c r="F1335" s="1049">
        <v>9.82</v>
      </c>
      <c r="G1335" s="1049"/>
      <c r="H1335" s="564"/>
      <c r="I1335" s="609"/>
      <c r="J1335" s="1155"/>
      <c r="K1335" s="609"/>
      <c r="L1335" s="609"/>
      <c r="M1335" s="609"/>
      <c r="N1335" s="599"/>
      <c r="O1335" s="552" t="s">
        <v>1584</v>
      </c>
      <c r="P1335" s="603"/>
      <c r="Q1335" s="682"/>
      <c r="R1335" s="682"/>
      <c r="S1335" s="682"/>
      <c r="T1335" s="682"/>
      <c r="U1335" s="682"/>
      <c r="V1335" s="682"/>
      <c r="W1335" s="682"/>
    </row>
    <row r="1336" spans="1:23">
      <c r="A1336" s="1045">
        <f t="shared" si="21"/>
        <v>7</v>
      </c>
      <c r="B1336" s="134">
        <v>45481</v>
      </c>
      <c r="C1336" s="70">
        <v>5200</v>
      </c>
      <c r="D1336" s="70" t="s">
        <v>83</v>
      </c>
      <c r="E1336" s="280" t="s">
        <v>3658</v>
      </c>
      <c r="F1336" s="1049">
        <v>4165.75</v>
      </c>
      <c r="G1336" s="1049"/>
      <c r="H1336" s="564"/>
      <c r="I1336" s="609"/>
      <c r="J1336" s="1155"/>
      <c r="K1336" s="609"/>
      <c r="L1336" s="609"/>
      <c r="M1336" s="609"/>
      <c r="N1336" s="599"/>
      <c r="O1336" s="552" t="s">
        <v>1584</v>
      </c>
      <c r="P1336" s="603"/>
      <c r="Q1336" s="682"/>
      <c r="R1336" s="682"/>
      <c r="S1336" s="682"/>
      <c r="T1336" s="682"/>
      <c r="U1336" s="682"/>
      <c r="V1336" s="682"/>
      <c r="W1336" s="682"/>
    </row>
    <row r="1337" spans="1:23">
      <c r="A1337" s="1045">
        <f t="shared" si="21"/>
        <v>7</v>
      </c>
      <c r="B1337" s="134">
        <v>45481</v>
      </c>
      <c r="C1337" s="70">
        <v>2018</v>
      </c>
      <c r="D1337" s="70" t="s">
        <v>58</v>
      </c>
      <c r="E1337" s="280" t="s">
        <v>3658</v>
      </c>
      <c r="F1337" s="1049">
        <v>208.29</v>
      </c>
      <c r="G1337" s="1049"/>
      <c r="H1337" s="564"/>
      <c r="I1337" s="609"/>
      <c r="J1337" s="1155"/>
      <c r="K1337" s="609"/>
      <c r="L1337" s="609"/>
      <c r="M1337" s="609"/>
      <c r="N1337" s="599"/>
      <c r="O1337" s="552" t="s">
        <v>1584</v>
      </c>
      <c r="P1337" s="603"/>
      <c r="Q1337" s="682"/>
      <c r="R1337" s="682"/>
      <c r="S1337" s="682"/>
      <c r="T1337" s="682"/>
      <c r="U1337" s="682"/>
      <c r="V1337" s="682"/>
      <c r="W1337" s="682"/>
    </row>
    <row r="1338" spans="1:23">
      <c r="A1338" s="1045">
        <f t="shared" si="21"/>
        <v>7</v>
      </c>
      <c r="B1338" s="134">
        <v>45481</v>
      </c>
      <c r="C1338" s="70">
        <v>5200</v>
      </c>
      <c r="D1338" s="70" t="s">
        <v>83</v>
      </c>
      <c r="E1338" s="280" t="s">
        <v>3659</v>
      </c>
      <c r="F1338" s="1049">
        <v>37.159999999999997</v>
      </c>
      <c r="G1338" s="1049"/>
      <c r="H1338" s="564"/>
      <c r="I1338" s="609"/>
      <c r="J1338" s="1155"/>
      <c r="K1338" s="609"/>
      <c r="L1338" s="609"/>
      <c r="M1338" s="609"/>
      <c r="N1338" s="599"/>
      <c r="O1338" s="552" t="s">
        <v>1584</v>
      </c>
      <c r="P1338" s="603"/>
      <c r="Q1338" s="682"/>
      <c r="R1338" s="682"/>
      <c r="S1338" s="682"/>
      <c r="T1338" s="682"/>
      <c r="U1338" s="682"/>
      <c r="V1338" s="682"/>
      <c r="W1338" s="682"/>
    </row>
    <row r="1339" spans="1:23">
      <c r="A1339" s="1045">
        <f t="shared" si="21"/>
        <v>7</v>
      </c>
      <c r="B1339" s="134">
        <v>45481</v>
      </c>
      <c r="C1339" s="70">
        <v>2018</v>
      </c>
      <c r="D1339" s="70" t="s">
        <v>58</v>
      </c>
      <c r="E1339" s="280" t="s">
        <v>3659</v>
      </c>
      <c r="F1339" s="1049">
        <v>1.86</v>
      </c>
      <c r="G1339" s="1049"/>
      <c r="H1339" s="564"/>
      <c r="I1339" s="609"/>
      <c r="J1339" s="1155"/>
      <c r="K1339" s="609"/>
      <c r="L1339" s="609"/>
      <c r="M1339" s="609"/>
      <c r="N1339" s="599"/>
      <c r="O1339" s="552" t="s">
        <v>1584</v>
      </c>
      <c r="P1339" s="603"/>
      <c r="Q1339" s="682"/>
      <c r="R1339" s="682"/>
      <c r="S1339" s="682"/>
      <c r="T1339" s="682"/>
      <c r="U1339" s="682"/>
      <c r="V1339" s="682"/>
      <c r="W1339" s="682"/>
    </row>
    <row r="1340" spans="1:23">
      <c r="A1340" s="1045">
        <f t="shared" si="21"/>
        <v>7</v>
      </c>
      <c r="B1340" s="134">
        <v>45481</v>
      </c>
      <c r="C1340" s="70">
        <v>5250</v>
      </c>
      <c r="D1340" s="70" t="s">
        <v>85</v>
      </c>
      <c r="E1340" s="280" t="s">
        <v>3660</v>
      </c>
      <c r="F1340" s="1049">
        <v>4.76</v>
      </c>
      <c r="G1340" s="1049"/>
      <c r="H1340" s="564"/>
      <c r="I1340" s="609"/>
      <c r="J1340" s="1155"/>
      <c r="K1340" s="609"/>
      <c r="L1340" s="609"/>
      <c r="M1340" s="609"/>
      <c r="N1340" s="599"/>
      <c r="O1340" s="552" t="s">
        <v>1584</v>
      </c>
      <c r="P1340" s="603"/>
      <c r="Q1340" s="682"/>
      <c r="R1340" s="682"/>
      <c r="S1340" s="682"/>
      <c r="T1340" s="682"/>
      <c r="U1340" s="682"/>
      <c r="V1340" s="682"/>
      <c r="W1340" s="682"/>
    </row>
    <row r="1341" spans="1:23">
      <c r="A1341" s="1045">
        <f t="shared" si="21"/>
        <v>7</v>
      </c>
      <c r="B1341" s="134">
        <v>45481</v>
      </c>
      <c r="C1341" s="70">
        <v>2018</v>
      </c>
      <c r="D1341" s="70" t="s">
        <v>58</v>
      </c>
      <c r="E1341" s="280" t="s">
        <v>3660</v>
      </c>
      <c r="F1341" s="1049">
        <v>0.24</v>
      </c>
      <c r="G1341" s="1049"/>
      <c r="H1341" s="564"/>
      <c r="I1341" s="609"/>
      <c r="J1341" s="1155"/>
      <c r="K1341" s="609"/>
      <c r="L1341" s="609"/>
      <c r="M1341" s="609"/>
      <c r="N1341" s="599"/>
      <c r="O1341" s="552" t="s">
        <v>1584</v>
      </c>
      <c r="P1341" s="603"/>
      <c r="Q1341" s="682"/>
      <c r="R1341" s="682"/>
      <c r="S1341" s="682"/>
      <c r="T1341" s="682"/>
      <c r="U1341" s="682"/>
      <c r="V1341" s="682"/>
      <c r="W1341" s="682"/>
    </row>
    <row r="1342" spans="1:23">
      <c r="A1342" s="1045">
        <f t="shared" si="21"/>
        <v>7</v>
      </c>
      <c r="B1342" s="134">
        <v>45481</v>
      </c>
      <c r="C1342" s="70">
        <v>5250</v>
      </c>
      <c r="D1342" s="70" t="s">
        <v>85</v>
      </c>
      <c r="E1342" s="280" t="s">
        <v>3661</v>
      </c>
      <c r="F1342" s="1049">
        <v>1925.5</v>
      </c>
      <c r="G1342" s="1049"/>
      <c r="H1342" s="564"/>
      <c r="I1342" s="609"/>
      <c r="J1342" s="1155"/>
      <c r="K1342" s="609"/>
      <c r="L1342" s="609"/>
      <c r="M1342" s="609"/>
      <c r="N1342" s="599"/>
      <c r="O1342" s="552" t="s">
        <v>1584</v>
      </c>
      <c r="P1342" s="603"/>
      <c r="Q1342" s="682"/>
      <c r="R1342" s="682"/>
      <c r="S1342" s="682"/>
      <c r="T1342" s="682"/>
      <c r="U1342" s="682"/>
      <c r="V1342" s="682"/>
      <c r="W1342" s="682"/>
    </row>
    <row r="1343" spans="1:23">
      <c r="A1343" s="1045">
        <f t="shared" si="21"/>
        <v>7</v>
      </c>
      <c r="B1343" s="134">
        <v>45481</v>
      </c>
      <c r="C1343" s="70">
        <v>2018</v>
      </c>
      <c r="D1343" s="70" t="s">
        <v>58</v>
      </c>
      <c r="E1343" s="280" t="s">
        <v>3661</v>
      </c>
      <c r="F1343" s="1049">
        <v>96.28</v>
      </c>
      <c r="G1343" s="1049"/>
      <c r="H1343" s="564"/>
      <c r="I1343" s="609"/>
      <c r="J1343" s="1155"/>
      <c r="K1343" s="609"/>
      <c r="L1343" s="609"/>
      <c r="M1343" s="609"/>
      <c r="N1343" s="599"/>
      <c r="O1343" s="552" t="s">
        <v>1584</v>
      </c>
      <c r="P1343" s="603"/>
      <c r="Q1343" s="682"/>
      <c r="R1343" s="682"/>
      <c r="S1343" s="682"/>
      <c r="T1343" s="682"/>
      <c r="U1343" s="682"/>
      <c r="V1343" s="682"/>
      <c r="W1343" s="682"/>
    </row>
    <row r="1344" spans="1:23">
      <c r="A1344" s="1045">
        <f t="shared" si="21"/>
        <v>7</v>
      </c>
      <c r="B1344" s="134">
        <v>45481</v>
      </c>
      <c r="C1344" s="70">
        <v>5250</v>
      </c>
      <c r="D1344" s="70" t="s">
        <v>85</v>
      </c>
      <c r="E1344" s="280" t="s">
        <v>3662</v>
      </c>
      <c r="F1344" s="1049">
        <v>480</v>
      </c>
      <c r="G1344" s="1049"/>
      <c r="H1344" s="564"/>
      <c r="I1344" s="609"/>
      <c r="J1344" s="1155"/>
      <c r="K1344" s="609"/>
      <c r="L1344" s="609"/>
      <c r="M1344" s="609"/>
      <c r="N1344" s="599"/>
      <c r="O1344" s="552" t="s">
        <v>1584</v>
      </c>
      <c r="P1344" s="603"/>
      <c r="Q1344" s="682"/>
      <c r="R1344" s="682"/>
      <c r="S1344" s="682"/>
      <c r="T1344" s="682"/>
      <c r="U1344" s="682"/>
      <c r="V1344" s="682"/>
      <c r="W1344" s="682"/>
    </row>
    <row r="1345" spans="1:23">
      <c r="A1345" s="1045">
        <f t="shared" si="21"/>
        <v>7</v>
      </c>
      <c r="B1345" s="134">
        <v>45481</v>
      </c>
      <c r="C1345" s="70">
        <v>2018</v>
      </c>
      <c r="D1345" s="70" t="s">
        <v>58</v>
      </c>
      <c r="E1345" s="280" t="s">
        <v>3662</v>
      </c>
      <c r="F1345" s="1049">
        <v>24</v>
      </c>
      <c r="G1345" s="1049"/>
      <c r="H1345" s="564"/>
      <c r="I1345" s="609"/>
      <c r="J1345" s="1155"/>
      <c r="K1345" s="609"/>
      <c r="L1345" s="609"/>
      <c r="M1345" s="609"/>
      <c r="N1345" s="599"/>
      <c r="O1345" s="552" t="s">
        <v>1584</v>
      </c>
      <c r="P1345" s="603"/>
      <c r="Q1345" s="682"/>
      <c r="R1345" s="682"/>
      <c r="S1345" s="682"/>
      <c r="T1345" s="682"/>
      <c r="U1345" s="682"/>
      <c r="V1345" s="682"/>
      <c r="W1345" s="682"/>
    </row>
    <row r="1346" spans="1:23">
      <c r="A1346" s="1045">
        <f t="shared" si="21"/>
        <v>7</v>
      </c>
      <c r="B1346" s="134">
        <v>45481</v>
      </c>
      <c r="C1346" s="70">
        <v>5250</v>
      </c>
      <c r="D1346" s="70" t="s">
        <v>85</v>
      </c>
      <c r="E1346" s="280" t="s">
        <v>3663</v>
      </c>
      <c r="F1346" s="1049">
        <v>375.7</v>
      </c>
      <c r="G1346" s="1049"/>
      <c r="H1346" s="564"/>
      <c r="I1346" s="609"/>
      <c r="J1346" s="1155"/>
      <c r="K1346" s="609"/>
      <c r="L1346" s="609"/>
      <c r="M1346" s="609"/>
      <c r="N1346" s="599"/>
      <c r="O1346" s="552" t="s">
        <v>1584</v>
      </c>
      <c r="P1346" s="603"/>
      <c r="Q1346" s="682"/>
      <c r="R1346" s="682"/>
      <c r="S1346" s="682"/>
      <c r="T1346" s="682"/>
      <c r="U1346" s="682"/>
      <c r="V1346" s="682"/>
      <c r="W1346" s="682"/>
    </row>
    <row r="1347" spans="1:23">
      <c r="A1347" s="1045">
        <f t="shared" si="21"/>
        <v>7</v>
      </c>
      <c r="B1347" s="134">
        <v>45481</v>
      </c>
      <c r="C1347" s="70">
        <v>2018</v>
      </c>
      <c r="D1347" s="70" t="s">
        <v>58</v>
      </c>
      <c r="E1347" s="280" t="s">
        <v>3663</v>
      </c>
      <c r="F1347" s="1049">
        <v>18.79</v>
      </c>
      <c r="G1347" s="1049"/>
      <c r="H1347" s="564"/>
      <c r="I1347" s="609"/>
      <c r="J1347" s="1155"/>
      <c r="K1347" s="609"/>
      <c r="L1347" s="609"/>
      <c r="M1347" s="609"/>
      <c r="N1347" s="599"/>
      <c r="O1347" s="552" t="s">
        <v>1584</v>
      </c>
      <c r="P1347" s="603"/>
      <c r="Q1347" s="682"/>
      <c r="R1347" s="682"/>
      <c r="S1347" s="682"/>
      <c r="T1347" s="682"/>
      <c r="U1347" s="682"/>
      <c r="V1347" s="682"/>
      <c r="W1347" s="682"/>
    </row>
    <row r="1348" spans="1:23">
      <c r="A1348" s="1045">
        <f t="shared" si="21"/>
        <v>7</v>
      </c>
      <c r="B1348" s="134">
        <v>45482</v>
      </c>
      <c r="C1348" s="70">
        <v>5200</v>
      </c>
      <c r="D1348" s="70" t="s">
        <v>83</v>
      </c>
      <c r="E1348" s="280" t="s">
        <v>3664</v>
      </c>
      <c r="F1348" s="1049">
        <v>1297.45</v>
      </c>
      <c r="G1348" s="1049"/>
      <c r="H1348" s="564"/>
      <c r="I1348" s="609"/>
      <c r="J1348" s="1155"/>
      <c r="K1348" s="609"/>
      <c r="L1348" s="609"/>
      <c r="M1348" s="609"/>
      <c r="N1348" s="599"/>
      <c r="O1348" s="552" t="s">
        <v>1584</v>
      </c>
      <c r="P1348" s="603"/>
      <c r="Q1348" s="682"/>
      <c r="R1348" s="682"/>
      <c r="S1348" s="682"/>
      <c r="T1348" s="682"/>
      <c r="U1348" s="682"/>
      <c r="V1348" s="682"/>
      <c r="W1348" s="682"/>
    </row>
    <row r="1349" spans="1:23">
      <c r="A1349" s="1045">
        <f t="shared" si="21"/>
        <v>7</v>
      </c>
      <c r="B1349" s="134">
        <v>45482</v>
      </c>
      <c r="C1349" s="70">
        <v>2018</v>
      </c>
      <c r="D1349" s="70" t="s">
        <v>58</v>
      </c>
      <c r="E1349" s="280" t="s">
        <v>3664</v>
      </c>
      <c r="F1349" s="1049">
        <v>64.88</v>
      </c>
      <c r="G1349" s="1049"/>
      <c r="H1349" s="564"/>
      <c r="I1349" s="609"/>
      <c r="J1349" s="1155"/>
      <c r="K1349" s="609"/>
      <c r="L1349" s="609"/>
      <c r="M1349" s="609"/>
      <c r="N1349" s="599"/>
      <c r="O1349" s="552" t="s">
        <v>1584</v>
      </c>
      <c r="P1349" s="603"/>
      <c r="Q1349" s="682"/>
      <c r="R1349" s="682"/>
      <c r="S1349" s="682"/>
      <c r="T1349" s="682"/>
      <c r="U1349" s="682"/>
      <c r="V1349" s="682"/>
      <c r="W1349" s="682"/>
    </row>
    <row r="1350" spans="1:23">
      <c r="A1350" s="1045">
        <f t="shared" si="21"/>
        <v>7</v>
      </c>
      <c r="B1350" s="134">
        <v>45482</v>
      </c>
      <c r="C1350" s="70">
        <v>5250</v>
      </c>
      <c r="D1350" s="70" t="s">
        <v>85</v>
      </c>
      <c r="E1350" s="280" t="s">
        <v>3665</v>
      </c>
      <c r="F1350" s="1049">
        <v>5</v>
      </c>
      <c r="G1350" s="1049"/>
      <c r="H1350" s="564"/>
      <c r="I1350" s="609"/>
      <c r="J1350" s="1155"/>
      <c r="K1350" s="609"/>
      <c r="L1350" s="609"/>
      <c r="M1350" s="609"/>
      <c r="N1350" s="599"/>
      <c r="O1350" s="552" t="s">
        <v>1584</v>
      </c>
      <c r="P1350" s="603"/>
      <c r="Q1350" s="682"/>
      <c r="R1350" s="682"/>
      <c r="S1350" s="682"/>
      <c r="T1350" s="682"/>
      <c r="U1350" s="682"/>
      <c r="V1350" s="682"/>
      <c r="W1350" s="682"/>
    </row>
    <row r="1351" spans="1:23">
      <c r="A1351" s="1045">
        <f t="shared" si="21"/>
        <v>7</v>
      </c>
      <c r="B1351" s="134">
        <v>45482</v>
      </c>
      <c r="C1351" s="70">
        <v>2018</v>
      </c>
      <c r="D1351" s="70" t="s">
        <v>58</v>
      </c>
      <c r="E1351" s="280" t="s">
        <v>3665</v>
      </c>
      <c r="F1351" s="1049">
        <v>0.2</v>
      </c>
      <c r="G1351" s="1049"/>
      <c r="H1351" s="564"/>
      <c r="I1351" s="609"/>
      <c r="J1351" s="1155"/>
      <c r="K1351" s="609"/>
      <c r="L1351" s="609"/>
      <c r="M1351" s="609"/>
      <c r="N1351" s="599"/>
      <c r="O1351" s="552" t="s">
        <v>1584</v>
      </c>
      <c r="P1351" s="603"/>
      <c r="Q1351" s="682"/>
      <c r="R1351" s="682"/>
      <c r="S1351" s="682"/>
      <c r="T1351" s="682"/>
      <c r="U1351" s="682"/>
      <c r="V1351" s="682"/>
      <c r="W1351" s="682"/>
    </row>
    <row r="1352" spans="1:23">
      <c r="A1352" s="1045">
        <f t="shared" si="21"/>
        <v>7</v>
      </c>
      <c r="B1352" s="134">
        <v>45482</v>
      </c>
      <c r="C1352" s="70">
        <v>5250</v>
      </c>
      <c r="D1352" s="70" t="s">
        <v>85</v>
      </c>
      <c r="E1352" s="280" t="s">
        <v>3666</v>
      </c>
      <c r="F1352" s="1049">
        <v>131.1</v>
      </c>
      <c r="G1352" s="1049"/>
      <c r="H1352" s="564"/>
      <c r="I1352" s="609"/>
      <c r="J1352" s="1155"/>
      <c r="K1352" s="609"/>
      <c r="L1352" s="609"/>
      <c r="M1352" s="609"/>
      <c r="N1352" s="599"/>
      <c r="O1352" s="552" t="s">
        <v>1584</v>
      </c>
      <c r="P1352" s="603"/>
      <c r="Q1352" s="682"/>
      <c r="R1352" s="682"/>
      <c r="S1352" s="682"/>
      <c r="T1352" s="682"/>
      <c r="U1352" s="682"/>
      <c r="V1352" s="682"/>
      <c r="W1352" s="682"/>
    </row>
    <row r="1353" spans="1:23">
      <c r="A1353" s="1045">
        <f t="shared" si="21"/>
        <v>7</v>
      </c>
      <c r="B1353" s="134">
        <v>45482</v>
      </c>
      <c r="C1353" s="70">
        <v>2018</v>
      </c>
      <c r="D1353" s="70" t="s">
        <v>58</v>
      </c>
      <c r="E1353" s="280" t="s">
        <v>3666</v>
      </c>
      <c r="F1353" s="1049">
        <v>6.56</v>
      </c>
      <c r="G1353" s="1049"/>
      <c r="H1353" s="564"/>
      <c r="I1353" s="609"/>
      <c r="J1353" s="1155"/>
      <c r="K1353" s="609"/>
      <c r="L1353" s="609"/>
      <c r="M1353" s="609"/>
      <c r="N1353" s="599"/>
      <c r="O1353" s="552" t="s">
        <v>1584</v>
      </c>
      <c r="P1353" s="603"/>
      <c r="Q1353" s="682"/>
      <c r="R1353" s="682"/>
      <c r="S1353" s="682"/>
      <c r="T1353" s="682"/>
      <c r="U1353" s="682"/>
      <c r="V1353" s="682"/>
      <c r="W1353" s="682"/>
    </row>
    <row r="1354" spans="1:23">
      <c r="A1354" s="1045">
        <f t="shared" si="21"/>
        <v>7</v>
      </c>
      <c r="B1354" s="134">
        <v>45482</v>
      </c>
      <c r="C1354" s="70">
        <v>5250</v>
      </c>
      <c r="D1354" s="70" t="s">
        <v>85</v>
      </c>
      <c r="E1354" s="280" t="s">
        <v>3667</v>
      </c>
      <c r="F1354" s="1049">
        <v>317.62</v>
      </c>
      <c r="G1354" s="1049"/>
      <c r="H1354" s="564"/>
      <c r="I1354" s="609"/>
      <c r="J1354" s="1155"/>
      <c r="K1354" s="609"/>
      <c r="L1354" s="609"/>
      <c r="M1354" s="609"/>
      <c r="N1354" s="599"/>
      <c r="O1354" s="552" t="s">
        <v>1584</v>
      </c>
      <c r="P1354" s="603"/>
      <c r="Q1354" s="682"/>
      <c r="R1354" s="682"/>
      <c r="S1354" s="682"/>
      <c r="T1354" s="682"/>
      <c r="U1354" s="682"/>
      <c r="V1354" s="682"/>
      <c r="W1354" s="682"/>
    </row>
    <row r="1355" spans="1:23">
      <c r="A1355" s="1045">
        <f t="shared" si="21"/>
        <v>7</v>
      </c>
      <c r="B1355" s="134">
        <v>45482</v>
      </c>
      <c r="C1355" s="70">
        <v>2018</v>
      </c>
      <c r="D1355" s="70" t="s">
        <v>58</v>
      </c>
      <c r="E1355" s="280" t="s">
        <v>3667</v>
      </c>
      <c r="F1355" s="1049">
        <v>15.88</v>
      </c>
      <c r="G1355" s="1049"/>
      <c r="H1355" s="564"/>
      <c r="I1355" s="609"/>
      <c r="J1355" s="1155"/>
      <c r="K1355" s="609"/>
      <c r="L1355" s="609"/>
      <c r="M1355" s="609"/>
      <c r="N1355" s="599"/>
      <c r="O1355" s="552" t="s">
        <v>1584</v>
      </c>
      <c r="P1355" s="603"/>
      <c r="Q1355" s="682"/>
      <c r="R1355" s="682"/>
      <c r="S1355" s="682"/>
      <c r="T1355" s="682"/>
      <c r="U1355" s="682"/>
      <c r="V1355" s="682"/>
      <c r="W1355" s="682"/>
    </row>
    <row r="1356" spans="1:23">
      <c r="A1356" s="1045">
        <f t="shared" si="21"/>
        <v>7</v>
      </c>
      <c r="B1356" s="134">
        <v>45483</v>
      </c>
      <c r="C1356" s="70">
        <v>5250</v>
      </c>
      <c r="D1356" s="70" t="s">
        <v>85</v>
      </c>
      <c r="E1356" s="280" t="s">
        <v>3668</v>
      </c>
      <c r="F1356" s="1049">
        <v>70</v>
      </c>
      <c r="G1356" s="1049"/>
      <c r="H1356" s="564"/>
      <c r="I1356" s="609"/>
      <c r="J1356" s="1155"/>
      <c r="K1356" s="609"/>
      <c r="L1356" s="609"/>
      <c r="M1356" s="609"/>
      <c r="N1356" s="599"/>
      <c r="O1356" s="552" t="s">
        <v>1584</v>
      </c>
      <c r="P1356" s="603"/>
      <c r="Q1356" s="682"/>
      <c r="R1356" s="682"/>
      <c r="S1356" s="682"/>
      <c r="T1356" s="682"/>
      <c r="U1356" s="682"/>
      <c r="V1356" s="682"/>
      <c r="W1356" s="682"/>
    </row>
    <row r="1357" spans="1:23">
      <c r="A1357" s="1045">
        <f t="shared" si="21"/>
        <v>7</v>
      </c>
      <c r="B1357" s="134">
        <v>45483</v>
      </c>
      <c r="C1357" s="70">
        <v>2018</v>
      </c>
      <c r="D1357" s="70" t="s">
        <v>58</v>
      </c>
      <c r="E1357" s="280" t="s">
        <v>3668</v>
      </c>
      <c r="F1357" s="1049">
        <v>3.5</v>
      </c>
      <c r="G1357" s="1049"/>
      <c r="H1357" s="564"/>
      <c r="I1357" s="609"/>
      <c r="J1357" s="1155"/>
      <c r="K1357" s="609"/>
      <c r="L1357" s="609"/>
      <c r="M1357" s="609"/>
      <c r="N1357" s="599"/>
      <c r="O1357" s="552" t="s">
        <v>1584</v>
      </c>
      <c r="P1357" s="603"/>
      <c r="Q1357" s="682"/>
      <c r="R1357" s="682"/>
      <c r="S1357" s="682"/>
      <c r="T1357" s="682"/>
      <c r="U1357" s="682"/>
      <c r="V1357" s="682"/>
      <c r="W1357" s="682"/>
    </row>
    <row r="1358" spans="1:23">
      <c r="A1358" s="1045">
        <f t="shared" si="21"/>
        <v>7</v>
      </c>
      <c r="B1358" s="134">
        <v>45483</v>
      </c>
      <c r="C1358" s="70">
        <v>5250</v>
      </c>
      <c r="D1358" s="70" t="s">
        <v>85</v>
      </c>
      <c r="E1358" s="280" t="s">
        <v>3669</v>
      </c>
      <c r="F1358" s="1049">
        <v>35</v>
      </c>
      <c r="G1358" s="1049"/>
      <c r="H1358" s="564"/>
      <c r="I1358" s="609"/>
      <c r="J1358" s="1155"/>
      <c r="K1358" s="609"/>
      <c r="L1358" s="609"/>
      <c r="M1358" s="609"/>
      <c r="N1358" s="599"/>
      <c r="O1358" s="552" t="s">
        <v>1584</v>
      </c>
      <c r="P1358" s="603"/>
      <c r="Q1358" s="682"/>
      <c r="R1358" s="682"/>
      <c r="S1358" s="682"/>
      <c r="T1358" s="682"/>
      <c r="U1358" s="682"/>
      <c r="V1358" s="682"/>
      <c r="W1358" s="682"/>
    </row>
    <row r="1359" spans="1:23">
      <c r="A1359" s="1045">
        <f t="shared" si="21"/>
        <v>7</v>
      </c>
      <c r="B1359" s="134">
        <v>45483</v>
      </c>
      <c r="C1359" s="70">
        <v>2018</v>
      </c>
      <c r="D1359" s="70" t="s">
        <v>58</v>
      </c>
      <c r="E1359" s="280" t="s">
        <v>3669</v>
      </c>
      <c r="F1359" s="1049">
        <v>1.75</v>
      </c>
      <c r="G1359" s="1049"/>
      <c r="H1359" s="564"/>
      <c r="I1359" s="609"/>
      <c r="J1359" s="1155"/>
      <c r="K1359" s="609"/>
      <c r="L1359" s="609"/>
      <c r="M1359" s="609"/>
      <c r="N1359" s="599"/>
      <c r="O1359" s="552" t="s">
        <v>1584</v>
      </c>
      <c r="P1359" s="603"/>
      <c r="Q1359" s="682"/>
      <c r="R1359" s="682"/>
      <c r="S1359" s="682"/>
      <c r="T1359" s="682"/>
      <c r="U1359" s="682"/>
      <c r="V1359" s="682"/>
      <c r="W1359" s="682"/>
    </row>
    <row r="1360" spans="1:23">
      <c r="A1360" s="1045">
        <f t="shared" si="21"/>
        <v>7</v>
      </c>
      <c r="B1360" s="134">
        <v>45483</v>
      </c>
      <c r="C1360" s="70">
        <v>5250</v>
      </c>
      <c r="D1360" s="70" t="s">
        <v>85</v>
      </c>
      <c r="E1360" s="280" t="s">
        <v>3670</v>
      </c>
      <c r="F1360" s="1049">
        <v>17</v>
      </c>
      <c r="G1360" s="1049"/>
      <c r="H1360" s="564"/>
      <c r="I1360" s="609"/>
      <c r="J1360" s="1155"/>
      <c r="K1360" s="609"/>
      <c r="L1360" s="609"/>
      <c r="M1360" s="609"/>
      <c r="N1360" s="599"/>
      <c r="O1360" s="552" t="s">
        <v>1584</v>
      </c>
      <c r="P1360" s="603"/>
      <c r="Q1360" s="682"/>
      <c r="R1360" s="682"/>
      <c r="S1360" s="682"/>
      <c r="T1360" s="682"/>
      <c r="U1360" s="682"/>
      <c r="V1360" s="682"/>
      <c r="W1360" s="682"/>
    </row>
    <row r="1361" spans="1:23">
      <c r="A1361" s="1045">
        <f t="shared" si="21"/>
        <v>7</v>
      </c>
      <c r="B1361" s="134">
        <v>45483</v>
      </c>
      <c r="C1361" s="70">
        <v>2018</v>
      </c>
      <c r="D1361" s="70" t="s">
        <v>58</v>
      </c>
      <c r="E1361" s="280" t="s">
        <v>3670</v>
      </c>
      <c r="F1361" s="1049">
        <v>0.85</v>
      </c>
      <c r="G1361" s="1049"/>
      <c r="H1361" s="564"/>
      <c r="I1361" s="609"/>
      <c r="J1361" s="1155"/>
      <c r="K1361" s="609"/>
      <c r="L1361" s="609"/>
      <c r="M1361" s="609"/>
      <c r="N1361" s="599"/>
      <c r="O1361" s="552" t="s">
        <v>1584</v>
      </c>
      <c r="P1361" s="603"/>
      <c r="Q1361" s="682"/>
      <c r="R1361" s="682"/>
      <c r="S1361" s="682"/>
      <c r="T1361" s="682"/>
      <c r="U1361" s="682"/>
      <c r="V1361" s="682"/>
      <c r="W1361" s="682"/>
    </row>
    <row r="1362" spans="1:23">
      <c r="A1362" s="1045">
        <f t="shared" si="21"/>
        <v>7</v>
      </c>
      <c r="B1362" s="134">
        <v>45483</v>
      </c>
      <c r="C1362" s="70">
        <v>5250</v>
      </c>
      <c r="D1362" s="70" t="s">
        <v>85</v>
      </c>
      <c r="E1362" s="280" t="s">
        <v>3671</v>
      </c>
      <c r="F1362" s="1049">
        <v>559.75</v>
      </c>
      <c r="G1362" s="1049"/>
      <c r="H1362" s="564"/>
      <c r="I1362" s="609"/>
      <c r="J1362" s="1155"/>
      <c r="K1362" s="609"/>
      <c r="L1362" s="609"/>
      <c r="M1362" s="609"/>
      <c r="N1362" s="599"/>
      <c r="O1362" s="552" t="s">
        <v>1584</v>
      </c>
      <c r="P1362" s="603"/>
      <c r="Q1362" s="682"/>
      <c r="R1362" s="682"/>
      <c r="S1362" s="682"/>
      <c r="T1362" s="682"/>
      <c r="U1362" s="682"/>
      <c r="V1362" s="682"/>
      <c r="W1362" s="682"/>
    </row>
    <row r="1363" spans="1:23">
      <c r="A1363" s="1045">
        <f t="shared" si="21"/>
        <v>7</v>
      </c>
      <c r="B1363" s="134">
        <v>45483</v>
      </c>
      <c r="C1363" s="70">
        <v>2018</v>
      </c>
      <c r="D1363" s="70" t="s">
        <v>58</v>
      </c>
      <c r="E1363" s="280" t="s">
        <v>3671</v>
      </c>
      <c r="F1363" s="1049">
        <v>27.99</v>
      </c>
      <c r="G1363" s="1049"/>
      <c r="H1363" s="564"/>
      <c r="I1363" s="609"/>
      <c r="J1363" s="1155"/>
      <c r="K1363" s="609"/>
      <c r="L1363" s="609"/>
      <c r="M1363" s="609"/>
      <c r="N1363" s="599"/>
      <c r="O1363" s="552" t="s">
        <v>1584</v>
      </c>
      <c r="P1363" s="603"/>
      <c r="Q1363" s="682"/>
      <c r="R1363" s="682"/>
      <c r="S1363" s="682"/>
      <c r="T1363" s="682"/>
      <c r="U1363" s="682"/>
      <c r="V1363" s="682"/>
      <c r="W1363" s="682"/>
    </row>
    <row r="1364" spans="1:23">
      <c r="A1364" s="1045">
        <f t="shared" si="21"/>
        <v>7</v>
      </c>
      <c r="B1364" s="134">
        <v>45483</v>
      </c>
      <c r="C1364" s="70">
        <v>5250</v>
      </c>
      <c r="D1364" s="70" t="s">
        <v>85</v>
      </c>
      <c r="E1364" s="280" t="s">
        <v>3672</v>
      </c>
      <c r="F1364" s="1049">
        <v>53</v>
      </c>
      <c r="G1364" s="1049"/>
      <c r="H1364" s="564"/>
      <c r="I1364" s="609"/>
      <c r="J1364" s="1155"/>
      <c r="K1364" s="609"/>
      <c r="L1364" s="609"/>
      <c r="M1364" s="609"/>
      <c r="N1364" s="599"/>
      <c r="O1364" s="552" t="s">
        <v>1584</v>
      </c>
      <c r="P1364" s="603"/>
      <c r="Q1364" s="682"/>
      <c r="R1364" s="682"/>
      <c r="S1364" s="682"/>
      <c r="T1364" s="682"/>
      <c r="U1364" s="682"/>
      <c r="V1364" s="682"/>
      <c r="W1364" s="682"/>
    </row>
    <row r="1365" spans="1:23">
      <c r="A1365" s="1045">
        <f t="shared" ref="A1365:A1428" si="22">IF(B1365="","",MONTH(B1365))</f>
        <v>7</v>
      </c>
      <c r="B1365" s="134">
        <v>45483</v>
      </c>
      <c r="C1365" s="70">
        <v>2018</v>
      </c>
      <c r="D1365" s="70" t="s">
        <v>58</v>
      </c>
      <c r="E1365" s="280" t="s">
        <v>3672</v>
      </c>
      <c r="F1365" s="1049">
        <v>2.65</v>
      </c>
      <c r="G1365" s="1049"/>
      <c r="H1365" s="564"/>
      <c r="I1365" s="609"/>
      <c r="J1365" s="1155"/>
      <c r="K1365" s="609"/>
      <c r="L1365" s="609"/>
      <c r="M1365" s="609"/>
      <c r="N1365" s="599"/>
      <c r="O1365" s="552" t="s">
        <v>1584</v>
      </c>
      <c r="P1365" s="603"/>
      <c r="Q1365" s="682"/>
      <c r="R1365" s="682"/>
      <c r="S1365" s="682"/>
      <c r="T1365" s="682"/>
      <c r="U1365" s="682"/>
      <c r="V1365" s="682"/>
      <c r="W1365" s="682"/>
    </row>
    <row r="1366" spans="1:23">
      <c r="A1366" s="1045">
        <f t="shared" si="22"/>
        <v>7</v>
      </c>
      <c r="B1366" s="134">
        <v>45483</v>
      </c>
      <c r="C1366" s="70">
        <v>5250</v>
      </c>
      <c r="D1366" s="70" t="s">
        <v>85</v>
      </c>
      <c r="E1366" s="280" t="s">
        <v>3673</v>
      </c>
      <c r="F1366" s="1049">
        <v>390.5</v>
      </c>
      <c r="G1366" s="1049"/>
      <c r="H1366" s="564"/>
      <c r="I1366" s="609"/>
      <c r="J1366" s="1155"/>
      <c r="K1366" s="609"/>
      <c r="L1366" s="609"/>
      <c r="M1366" s="609"/>
      <c r="N1366" s="599"/>
      <c r="O1366" s="552" t="s">
        <v>1584</v>
      </c>
      <c r="P1366" s="603"/>
      <c r="Q1366" s="682"/>
      <c r="R1366" s="682"/>
      <c r="S1366" s="682"/>
      <c r="T1366" s="682"/>
      <c r="U1366" s="682"/>
      <c r="V1366" s="682"/>
      <c r="W1366" s="682"/>
    </row>
    <row r="1367" spans="1:23">
      <c r="A1367" s="1045">
        <f t="shared" si="22"/>
        <v>7</v>
      </c>
      <c r="B1367" s="134">
        <v>45483</v>
      </c>
      <c r="C1367" s="70">
        <v>2018</v>
      </c>
      <c r="D1367" s="70" t="s">
        <v>58</v>
      </c>
      <c r="E1367" s="280" t="s">
        <v>3673</v>
      </c>
      <c r="F1367" s="1049">
        <v>19.53</v>
      </c>
      <c r="G1367" s="1049"/>
      <c r="H1367" s="564"/>
      <c r="I1367" s="609"/>
      <c r="J1367" s="1155"/>
      <c r="K1367" s="609"/>
      <c r="L1367" s="609"/>
      <c r="M1367" s="609"/>
      <c r="N1367" s="599"/>
      <c r="O1367" s="552" t="s">
        <v>1584</v>
      </c>
      <c r="P1367" s="603"/>
      <c r="Q1367" s="682"/>
      <c r="R1367" s="682"/>
      <c r="S1367" s="682"/>
      <c r="T1367" s="682"/>
      <c r="U1367" s="682"/>
      <c r="V1367" s="682"/>
      <c r="W1367" s="682"/>
    </row>
    <row r="1368" spans="1:23">
      <c r="A1368" s="1045">
        <f t="shared" si="22"/>
        <v>7</v>
      </c>
      <c r="B1368" s="134">
        <v>45483</v>
      </c>
      <c r="C1368" s="70">
        <v>5250</v>
      </c>
      <c r="D1368" s="70" t="s">
        <v>85</v>
      </c>
      <c r="E1368" s="280" t="s">
        <v>3674</v>
      </c>
      <c r="F1368" s="1049">
        <v>328.72</v>
      </c>
      <c r="G1368" s="1049"/>
      <c r="H1368" s="564"/>
      <c r="I1368" s="609"/>
      <c r="J1368" s="1155"/>
      <c r="K1368" s="609"/>
      <c r="L1368" s="609"/>
      <c r="M1368" s="609"/>
      <c r="N1368" s="599"/>
      <c r="O1368" s="552" t="s">
        <v>1584</v>
      </c>
      <c r="P1368" s="603"/>
      <c r="Q1368" s="682"/>
      <c r="R1368" s="682"/>
      <c r="S1368" s="682"/>
      <c r="T1368" s="682"/>
      <c r="U1368" s="682"/>
      <c r="V1368" s="682"/>
      <c r="W1368" s="682"/>
    </row>
    <row r="1369" spans="1:23">
      <c r="A1369" s="1045">
        <f t="shared" si="22"/>
        <v>7</v>
      </c>
      <c r="B1369" s="134">
        <v>45483</v>
      </c>
      <c r="C1369" s="70">
        <v>2018</v>
      </c>
      <c r="D1369" s="70" t="s">
        <v>58</v>
      </c>
      <c r="E1369" s="280" t="s">
        <v>3674</v>
      </c>
      <c r="F1369" s="1049">
        <v>16.440000000000001</v>
      </c>
      <c r="G1369" s="1049"/>
      <c r="H1369" s="564"/>
      <c r="I1369" s="609"/>
      <c r="J1369" s="1155"/>
      <c r="K1369" s="609"/>
      <c r="L1369" s="609"/>
      <c r="M1369" s="609"/>
      <c r="N1369" s="599"/>
      <c r="O1369" s="552" t="s">
        <v>1584</v>
      </c>
      <c r="P1369" s="603"/>
      <c r="Q1369" s="682"/>
      <c r="R1369" s="682"/>
      <c r="S1369" s="682"/>
      <c r="T1369" s="682"/>
      <c r="U1369" s="682"/>
      <c r="V1369" s="682"/>
      <c r="W1369" s="682"/>
    </row>
    <row r="1370" spans="1:23">
      <c r="A1370" s="1045">
        <f t="shared" si="22"/>
        <v>7</v>
      </c>
      <c r="B1370" s="134">
        <v>45484</v>
      </c>
      <c r="C1370" s="70">
        <v>5250</v>
      </c>
      <c r="D1370" s="70" t="s">
        <v>85</v>
      </c>
      <c r="E1370" s="280" t="s">
        <v>3675</v>
      </c>
      <c r="F1370" s="1049">
        <v>57</v>
      </c>
      <c r="G1370" s="1049"/>
      <c r="H1370" s="564"/>
      <c r="I1370" s="609"/>
      <c r="J1370" s="1155"/>
      <c r="K1370" s="609"/>
      <c r="L1370" s="609"/>
      <c r="M1370" s="609"/>
      <c r="N1370" s="599"/>
      <c r="O1370" s="552" t="s">
        <v>1584</v>
      </c>
      <c r="P1370" s="603"/>
      <c r="Q1370" s="682"/>
      <c r="R1370" s="682"/>
      <c r="S1370" s="682"/>
      <c r="T1370" s="682"/>
      <c r="U1370" s="682"/>
      <c r="V1370" s="682"/>
      <c r="W1370" s="682"/>
    </row>
    <row r="1371" spans="1:23">
      <c r="A1371" s="1045">
        <f t="shared" si="22"/>
        <v>7</v>
      </c>
      <c r="B1371" s="134">
        <v>45484</v>
      </c>
      <c r="C1371" s="70">
        <v>2018</v>
      </c>
      <c r="D1371" s="70" t="s">
        <v>58</v>
      </c>
      <c r="E1371" s="280" t="s">
        <v>3675</v>
      </c>
      <c r="F1371" s="1049">
        <v>2.85</v>
      </c>
      <c r="G1371" s="1049"/>
      <c r="H1371" s="564"/>
      <c r="I1371" s="609"/>
      <c r="J1371" s="1155"/>
      <c r="K1371" s="609"/>
      <c r="L1371" s="609"/>
      <c r="M1371" s="609"/>
      <c r="N1371" s="599"/>
      <c r="O1371" s="552" t="s">
        <v>1584</v>
      </c>
      <c r="P1371" s="603"/>
      <c r="Q1371" s="682"/>
      <c r="R1371" s="682"/>
      <c r="S1371" s="682"/>
      <c r="T1371" s="682"/>
      <c r="U1371" s="682"/>
      <c r="V1371" s="682"/>
      <c r="W1371" s="682"/>
    </row>
    <row r="1372" spans="1:23">
      <c r="A1372" s="1045">
        <f t="shared" si="22"/>
        <v>7</v>
      </c>
      <c r="B1372" s="134">
        <v>45484</v>
      </c>
      <c r="C1372" s="70">
        <v>5250</v>
      </c>
      <c r="D1372" s="70" t="s">
        <v>85</v>
      </c>
      <c r="E1372" s="280" t="s">
        <v>3676</v>
      </c>
      <c r="F1372" s="1049">
        <v>13</v>
      </c>
      <c r="G1372" s="1049"/>
      <c r="H1372" s="564"/>
      <c r="I1372" s="609"/>
      <c r="J1372" s="1155"/>
      <c r="K1372" s="609"/>
      <c r="L1372" s="609"/>
      <c r="M1372" s="609"/>
      <c r="N1372" s="599"/>
      <c r="O1372" s="552" t="s">
        <v>1584</v>
      </c>
      <c r="P1372" s="603"/>
      <c r="Q1372" s="682"/>
      <c r="R1372" s="682"/>
      <c r="S1372" s="682"/>
      <c r="T1372" s="682"/>
      <c r="U1372" s="682"/>
      <c r="V1372" s="682"/>
      <c r="W1372" s="682"/>
    </row>
    <row r="1373" spans="1:23">
      <c r="A1373" s="1045">
        <f t="shared" si="22"/>
        <v>7</v>
      </c>
      <c r="B1373" s="134">
        <v>45484</v>
      </c>
      <c r="C1373" s="70">
        <v>2018</v>
      </c>
      <c r="D1373" s="70" t="s">
        <v>58</v>
      </c>
      <c r="E1373" s="280" t="s">
        <v>3676</v>
      </c>
      <c r="F1373" s="1049">
        <v>0.65</v>
      </c>
      <c r="G1373" s="1049"/>
      <c r="H1373" s="564"/>
      <c r="I1373" s="609"/>
      <c r="J1373" s="1155"/>
      <c r="K1373" s="609"/>
      <c r="L1373" s="609"/>
      <c r="M1373" s="609"/>
      <c r="N1373" s="599"/>
      <c r="O1373" s="552" t="s">
        <v>1584</v>
      </c>
      <c r="P1373" s="603"/>
      <c r="Q1373" s="682"/>
      <c r="R1373" s="682"/>
      <c r="S1373" s="682"/>
      <c r="T1373" s="682"/>
      <c r="U1373" s="682"/>
      <c r="V1373" s="682"/>
      <c r="W1373" s="682"/>
    </row>
    <row r="1374" spans="1:23">
      <c r="A1374" s="1045">
        <f t="shared" si="22"/>
        <v>7</v>
      </c>
      <c r="B1374" s="134">
        <v>45484</v>
      </c>
      <c r="C1374" s="70">
        <v>5250</v>
      </c>
      <c r="D1374" s="70" t="s">
        <v>85</v>
      </c>
      <c r="E1374" s="280" t="s">
        <v>3677</v>
      </c>
      <c r="F1374" s="1049">
        <v>380</v>
      </c>
      <c r="G1374" s="1049"/>
      <c r="H1374" s="564"/>
      <c r="I1374" s="609"/>
      <c r="J1374" s="1155"/>
      <c r="K1374" s="609"/>
      <c r="L1374" s="609"/>
      <c r="M1374" s="609"/>
      <c r="N1374" s="599"/>
      <c r="O1374" s="552" t="s">
        <v>1584</v>
      </c>
      <c r="P1374" s="603"/>
      <c r="Q1374" s="682"/>
      <c r="R1374" s="682"/>
      <c r="S1374" s="682"/>
      <c r="T1374" s="682"/>
      <c r="U1374" s="682"/>
      <c r="V1374" s="682"/>
      <c r="W1374" s="682"/>
    </row>
    <row r="1375" spans="1:23">
      <c r="A1375" s="1045">
        <f t="shared" si="22"/>
        <v>7</v>
      </c>
      <c r="B1375" s="134">
        <v>45484</v>
      </c>
      <c r="C1375" s="70">
        <v>2018</v>
      </c>
      <c r="D1375" s="70" t="s">
        <v>58</v>
      </c>
      <c r="E1375" s="280" t="s">
        <v>3677</v>
      </c>
      <c r="F1375" s="1049">
        <v>19</v>
      </c>
      <c r="G1375" s="1049"/>
      <c r="H1375" s="564"/>
      <c r="I1375" s="609"/>
      <c r="J1375" s="1155"/>
      <c r="K1375" s="609"/>
      <c r="L1375" s="609"/>
      <c r="M1375" s="609"/>
      <c r="N1375" s="599"/>
      <c r="O1375" s="552" t="s">
        <v>1584</v>
      </c>
      <c r="P1375" s="603"/>
      <c r="Q1375" s="682"/>
      <c r="R1375" s="682"/>
      <c r="S1375" s="682"/>
      <c r="T1375" s="682"/>
      <c r="U1375" s="682"/>
      <c r="V1375" s="682"/>
      <c r="W1375" s="682"/>
    </row>
    <row r="1376" spans="1:23">
      <c r="A1376" s="1045">
        <f t="shared" si="22"/>
        <v>7</v>
      </c>
      <c r="B1376" s="134">
        <v>45485</v>
      </c>
      <c r="C1376" s="70">
        <v>5200</v>
      </c>
      <c r="D1376" s="70" t="s">
        <v>83</v>
      </c>
      <c r="E1376" s="280" t="s">
        <v>3678</v>
      </c>
      <c r="F1376" s="1049">
        <v>54.6</v>
      </c>
      <c r="G1376" s="1049"/>
      <c r="H1376" s="564"/>
      <c r="I1376" s="609"/>
      <c r="J1376" s="1155"/>
      <c r="K1376" s="609"/>
      <c r="L1376" s="609"/>
      <c r="M1376" s="609"/>
      <c r="N1376" s="599"/>
      <c r="O1376" s="552" t="s">
        <v>1584</v>
      </c>
      <c r="P1376" s="603"/>
      <c r="Q1376" s="682"/>
      <c r="R1376" s="682"/>
      <c r="S1376" s="682"/>
      <c r="T1376" s="682"/>
      <c r="U1376" s="682"/>
      <c r="V1376" s="682"/>
      <c r="W1376" s="682"/>
    </row>
    <row r="1377" spans="1:23">
      <c r="A1377" s="1045">
        <f t="shared" si="22"/>
        <v>7</v>
      </c>
      <c r="B1377" s="134">
        <v>45485</v>
      </c>
      <c r="C1377" s="70">
        <v>2018</v>
      </c>
      <c r="D1377" s="70" t="s">
        <v>58</v>
      </c>
      <c r="E1377" s="280" t="s">
        <v>3678</v>
      </c>
      <c r="F1377" s="1049">
        <v>2.73</v>
      </c>
      <c r="G1377" s="1049"/>
      <c r="H1377" s="564"/>
      <c r="I1377" s="609"/>
      <c r="J1377" s="1155"/>
      <c r="K1377" s="609"/>
      <c r="L1377" s="609"/>
      <c r="M1377" s="609"/>
      <c r="N1377" s="599"/>
      <c r="O1377" s="552" t="s">
        <v>1584</v>
      </c>
      <c r="P1377" s="603"/>
      <c r="Q1377" s="682"/>
      <c r="R1377" s="682"/>
      <c r="S1377" s="682"/>
      <c r="T1377" s="682"/>
      <c r="U1377" s="682"/>
      <c r="V1377" s="682"/>
      <c r="W1377" s="682"/>
    </row>
    <row r="1378" spans="1:23">
      <c r="A1378" s="1045">
        <f t="shared" si="22"/>
        <v>7</v>
      </c>
      <c r="B1378" s="134">
        <v>45485</v>
      </c>
      <c r="C1378" s="70">
        <v>5250</v>
      </c>
      <c r="D1378" s="70" t="s">
        <v>85</v>
      </c>
      <c r="E1378" s="280" t="s">
        <v>3679</v>
      </c>
      <c r="F1378" s="1049">
        <v>323.5</v>
      </c>
      <c r="G1378" s="1049"/>
      <c r="H1378" s="564"/>
      <c r="I1378" s="609"/>
      <c r="J1378" s="1155"/>
      <c r="K1378" s="609"/>
      <c r="L1378" s="609"/>
      <c r="M1378" s="609"/>
      <c r="N1378" s="599"/>
      <c r="O1378" s="552" t="s">
        <v>1584</v>
      </c>
      <c r="P1378" s="603"/>
      <c r="Q1378" s="682"/>
      <c r="R1378" s="682"/>
      <c r="S1378" s="682"/>
      <c r="T1378" s="682"/>
      <c r="U1378" s="682"/>
      <c r="V1378" s="682"/>
      <c r="W1378" s="682"/>
    </row>
    <row r="1379" spans="1:23">
      <c r="A1379" s="1045">
        <f t="shared" si="22"/>
        <v>7</v>
      </c>
      <c r="B1379" s="134">
        <v>45485</v>
      </c>
      <c r="C1379" s="70">
        <v>2018</v>
      </c>
      <c r="D1379" s="70" t="s">
        <v>58</v>
      </c>
      <c r="E1379" s="280" t="s">
        <v>3679</v>
      </c>
      <c r="F1379" s="1049">
        <v>16.18</v>
      </c>
      <c r="G1379" s="1049"/>
      <c r="H1379" s="564"/>
      <c r="I1379" s="609"/>
      <c r="J1379" s="1155"/>
      <c r="K1379" s="609"/>
      <c r="L1379" s="609"/>
      <c r="M1379" s="609"/>
      <c r="N1379" s="599"/>
      <c r="O1379" s="552" t="s">
        <v>1584</v>
      </c>
      <c r="P1379" s="603"/>
      <c r="Q1379" s="682"/>
      <c r="R1379" s="682"/>
      <c r="S1379" s="682"/>
      <c r="T1379" s="682"/>
      <c r="U1379" s="682"/>
      <c r="V1379" s="682"/>
      <c r="W1379" s="682"/>
    </row>
    <row r="1380" spans="1:23">
      <c r="A1380" s="1045">
        <f t="shared" si="22"/>
        <v>7</v>
      </c>
      <c r="B1380" s="134">
        <v>45485</v>
      </c>
      <c r="C1380" s="70">
        <v>5250</v>
      </c>
      <c r="D1380" s="70" t="s">
        <v>85</v>
      </c>
      <c r="E1380" s="280" t="s">
        <v>3680</v>
      </c>
      <c r="F1380" s="1049">
        <v>380.47</v>
      </c>
      <c r="G1380" s="1049"/>
      <c r="H1380" s="564"/>
      <c r="I1380" s="609"/>
      <c r="J1380" s="1155"/>
      <c r="K1380" s="609"/>
      <c r="L1380" s="609"/>
      <c r="M1380" s="609"/>
      <c r="N1380" s="599"/>
      <c r="O1380" s="552" t="s">
        <v>1584</v>
      </c>
      <c r="P1380" s="603"/>
      <c r="Q1380" s="682"/>
      <c r="R1380" s="682"/>
      <c r="S1380" s="682"/>
      <c r="T1380" s="682"/>
      <c r="U1380" s="682"/>
      <c r="V1380" s="682"/>
      <c r="W1380" s="682"/>
    </row>
    <row r="1381" spans="1:23">
      <c r="A1381" s="1045">
        <f t="shared" si="22"/>
        <v>7</v>
      </c>
      <c r="B1381" s="134">
        <v>45485</v>
      </c>
      <c r="C1381" s="70">
        <v>2018</v>
      </c>
      <c r="D1381" s="70" t="s">
        <v>58</v>
      </c>
      <c r="E1381" s="280" t="s">
        <v>3680</v>
      </c>
      <c r="F1381" s="1049">
        <v>19.03</v>
      </c>
      <c r="G1381" s="1049"/>
      <c r="H1381" s="564"/>
      <c r="I1381" s="609"/>
      <c r="J1381" s="1155"/>
      <c r="K1381" s="609"/>
      <c r="L1381" s="609"/>
      <c r="M1381" s="609"/>
      <c r="N1381" s="599"/>
      <c r="O1381" s="552" t="s">
        <v>1584</v>
      </c>
      <c r="P1381" s="603"/>
      <c r="Q1381" s="682"/>
      <c r="R1381" s="682"/>
      <c r="S1381" s="682"/>
      <c r="T1381" s="682"/>
      <c r="U1381" s="682"/>
      <c r="V1381" s="682"/>
      <c r="W1381" s="682"/>
    </row>
    <row r="1382" spans="1:23">
      <c r="A1382" s="1045">
        <f t="shared" si="22"/>
        <v>7</v>
      </c>
      <c r="B1382" s="134">
        <v>45485</v>
      </c>
      <c r="C1382" s="70">
        <v>5250</v>
      </c>
      <c r="D1382" s="70" t="s">
        <v>85</v>
      </c>
      <c r="E1382" s="280" t="s">
        <v>3681</v>
      </c>
      <c r="F1382" s="1049">
        <v>68.8</v>
      </c>
      <c r="G1382" s="1049"/>
      <c r="H1382" s="564"/>
      <c r="I1382" s="609"/>
      <c r="J1382" s="1155"/>
      <c r="K1382" s="609"/>
      <c r="L1382" s="609"/>
      <c r="M1382" s="609"/>
      <c r="N1382" s="599"/>
      <c r="O1382" s="552" t="s">
        <v>1584</v>
      </c>
      <c r="P1382" s="603"/>
      <c r="Q1382" s="682"/>
      <c r="R1382" s="682"/>
      <c r="S1382" s="682"/>
      <c r="T1382" s="682"/>
      <c r="U1382" s="682"/>
      <c r="V1382" s="682"/>
      <c r="W1382" s="682"/>
    </row>
    <row r="1383" spans="1:23">
      <c r="A1383" s="1045">
        <f t="shared" si="22"/>
        <v>7</v>
      </c>
      <c r="B1383" s="134">
        <v>45485</v>
      </c>
      <c r="C1383" s="70">
        <v>2018</v>
      </c>
      <c r="D1383" s="70" t="s">
        <v>58</v>
      </c>
      <c r="E1383" s="280" t="s">
        <v>3681</v>
      </c>
      <c r="F1383" s="1049">
        <v>3.44</v>
      </c>
      <c r="G1383" s="1049"/>
      <c r="H1383" s="564"/>
      <c r="I1383" s="609"/>
      <c r="J1383" s="1155"/>
      <c r="K1383" s="609"/>
      <c r="L1383" s="609"/>
      <c r="M1383" s="609"/>
      <c r="N1383" s="599"/>
      <c r="O1383" s="552" t="s">
        <v>1584</v>
      </c>
      <c r="P1383" s="603"/>
      <c r="Q1383" s="682"/>
      <c r="R1383" s="682"/>
      <c r="S1383" s="682"/>
      <c r="T1383" s="682"/>
      <c r="U1383" s="682"/>
      <c r="V1383" s="682"/>
      <c r="W1383" s="682"/>
    </row>
    <row r="1384" spans="1:23">
      <c r="A1384" s="1045">
        <f t="shared" si="22"/>
        <v>7</v>
      </c>
      <c r="B1384" s="134">
        <v>45486</v>
      </c>
      <c r="C1384" s="70">
        <v>5250</v>
      </c>
      <c r="D1384" s="70" t="s">
        <v>85</v>
      </c>
      <c r="E1384" s="280" t="s">
        <v>3682</v>
      </c>
      <c r="F1384" s="1049">
        <v>30</v>
      </c>
      <c r="G1384" s="1049"/>
      <c r="H1384" s="564"/>
      <c r="I1384" s="609"/>
      <c r="J1384" s="1155"/>
      <c r="K1384" s="609"/>
      <c r="L1384" s="609"/>
      <c r="M1384" s="609"/>
      <c r="N1384" s="599"/>
      <c r="O1384" s="552" t="s">
        <v>1584</v>
      </c>
      <c r="P1384" s="603"/>
      <c r="Q1384" s="682"/>
      <c r="R1384" s="682"/>
      <c r="S1384" s="682"/>
      <c r="T1384" s="682"/>
      <c r="U1384" s="682"/>
      <c r="V1384" s="682"/>
      <c r="W1384" s="682"/>
    </row>
    <row r="1385" spans="1:23">
      <c r="A1385" s="1045">
        <f t="shared" si="22"/>
        <v>7</v>
      </c>
      <c r="B1385" s="134">
        <v>45486</v>
      </c>
      <c r="C1385" s="70">
        <v>2018</v>
      </c>
      <c r="D1385" s="70" t="s">
        <v>58</v>
      </c>
      <c r="E1385" s="280" t="s">
        <v>3682</v>
      </c>
      <c r="F1385" s="1049">
        <v>1.5</v>
      </c>
      <c r="G1385" s="1049"/>
      <c r="H1385" s="564"/>
      <c r="I1385" s="609"/>
      <c r="J1385" s="1155"/>
      <c r="K1385" s="609"/>
      <c r="L1385" s="609"/>
      <c r="M1385" s="609"/>
      <c r="N1385" s="599"/>
      <c r="O1385" s="552" t="s">
        <v>1584</v>
      </c>
      <c r="P1385" s="603"/>
      <c r="Q1385" s="682"/>
      <c r="R1385" s="682"/>
      <c r="S1385" s="682"/>
      <c r="T1385" s="682"/>
      <c r="U1385" s="682"/>
      <c r="V1385" s="682"/>
      <c r="W1385" s="682"/>
    </row>
    <row r="1386" spans="1:23">
      <c r="A1386" s="1045">
        <f t="shared" si="22"/>
        <v>7</v>
      </c>
      <c r="B1386" s="134">
        <v>45486</v>
      </c>
      <c r="C1386" s="70">
        <v>5250</v>
      </c>
      <c r="D1386" s="70" t="s">
        <v>85</v>
      </c>
      <c r="E1386" s="280" t="s">
        <v>3683</v>
      </c>
      <c r="F1386" s="1049">
        <v>284</v>
      </c>
      <c r="G1386" s="1049"/>
      <c r="H1386" s="564"/>
      <c r="I1386" s="609"/>
      <c r="J1386" s="1155"/>
      <c r="K1386" s="609"/>
      <c r="L1386" s="609"/>
      <c r="M1386" s="609"/>
      <c r="N1386" s="599"/>
      <c r="O1386" s="552" t="s">
        <v>1584</v>
      </c>
      <c r="P1386" s="603"/>
      <c r="Q1386" s="682"/>
      <c r="R1386" s="682"/>
      <c r="S1386" s="682"/>
      <c r="T1386" s="682"/>
      <c r="U1386" s="682"/>
      <c r="V1386" s="682"/>
      <c r="W1386" s="682"/>
    </row>
    <row r="1387" spans="1:23">
      <c r="A1387" s="1045">
        <f t="shared" si="22"/>
        <v>7</v>
      </c>
      <c r="B1387" s="134">
        <v>45486</v>
      </c>
      <c r="C1387" s="70">
        <v>2018</v>
      </c>
      <c r="D1387" s="70" t="s">
        <v>58</v>
      </c>
      <c r="E1387" s="280" t="s">
        <v>3683</v>
      </c>
      <c r="F1387" s="1049">
        <v>14.2</v>
      </c>
      <c r="G1387" s="1049"/>
      <c r="H1387" s="564"/>
      <c r="I1387" s="609"/>
      <c r="J1387" s="1155"/>
      <c r="K1387" s="609"/>
      <c r="L1387" s="609"/>
      <c r="M1387" s="609"/>
      <c r="N1387" s="599"/>
      <c r="O1387" s="552" t="s">
        <v>1584</v>
      </c>
      <c r="P1387" s="603"/>
      <c r="Q1387" s="682"/>
      <c r="R1387" s="682"/>
      <c r="S1387" s="682"/>
      <c r="T1387" s="682"/>
      <c r="U1387" s="682"/>
      <c r="V1387" s="682"/>
      <c r="W1387" s="682"/>
    </row>
    <row r="1388" spans="1:23">
      <c r="A1388" s="1045">
        <f t="shared" si="22"/>
        <v>7</v>
      </c>
      <c r="B1388" s="134">
        <v>45486</v>
      </c>
      <c r="C1388" s="70">
        <v>5250</v>
      </c>
      <c r="D1388" s="70" t="s">
        <v>85</v>
      </c>
      <c r="E1388" s="280" t="s">
        <v>3684</v>
      </c>
      <c r="F1388" s="1049">
        <v>83.32</v>
      </c>
      <c r="G1388" s="1049"/>
      <c r="H1388" s="564"/>
      <c r="I1388" s="609"/>
      <c r="J1388" s="1155"/>
      <c r="K1388" s="609"/>
      <c r="L1388" s="609"/>
      <c r="M1388" s="609"/>
      <c r="N1388" s="599"/>
      <c r="O1388" s="552" t="s">
        <v>1584</v>
      </c>
      <c r="P1388" s="603"/>
      <c r="Q1388" s="682"/>
      <c r="R1388" s="682"/>
      <c r="S1388" s="682"/>
      <c r="T1388" s="682"/>
      <c r="U1388" s="682"/>
      <c r="V1388" s="682"/>
      <c r="W1388" s="682"/>
    </row>
    <row r="1389" spans="1:23">
      <c r="A1389" s="1045">
        <f t="shared" si="22"/>
        <v>7</v>
      </c>
      <c r="B1389" s="134">
        <v>45486</v>
      </c>
      <c r="C1389" s="70">
        <v>2018</v>
      </c>
      <c r="D1389" s="70" t="s">
        <v>58</v>
      </c>
      <c r="E1389" s="280" t="s">
        <v>3684</v>
      </c>
      <c r="F1389" s="1049">
        <v>4.17</v>
      </c>
      <c r="G1389" s="1049"/>
      <c r="H1389" s="564"/>
      <c r="I1389" s="609"/>
      <c r="J1389" s="1155"/>
      <c r="K1389" s="609"/>
      <c r="L1389" s="609"/>
      <c r="M1389" s="609"/>
      <c r="N1389" s="599"/>
      <c r="O1389" s="552" t="s">
        <v>1584</v>
      </c>
      <c r="P1389" s="603"/>
      <c r="Q1389" s="682"/>
      <c r="R1389" s="682"/>
      <c r="S1389" s="682"/>
      <c r="T1389" s="682"/>
      <c r="U1389" s="682"/>
      <c r="V1389" s="682"/>
      <c r="W1389" s="682"/>
    </row>
    <row r="1390" spans="1:23">
      <c r="A1390" s="1045">
        <f t="shared" si="22"/>
        <v>7</v>
      </c>
      <c r="B1390" s="134">
        <v>45487</v>
      </c>
      <c r="C1390" s="70">
        <v>5250</v>
      </c>
      <c r="D1390" s="70" t="s">
        <v>85</v>
      </c>
      <c r="E1390" s="280" t="s">
        <v>3685</v>
      </c>
      <c r="F1390" s="1049">
        <v>17</v>
      </c>
      <c r="G1390" s="1049"/>
      <c r="H1390" s="564"/>
      <c r="I1390" s="609"/>
      <c r="J1390" s="1155"/>
      <c r="K1390" s="609"/>
      <c r="L1390" s="609"/>
      <c r="M1390" s="609"/>
      <c r="N1390" s="599"/>
      <c r="O1390" s="552" t="s">
        <v>1584</v>
      </c>
      <c r="P1390" s="603"/>
      <c r="Q1390" s="682"/>
      <c r="R1390" s="682"/>
      <c r="S1390" s="682"/>
      <c r="T1390" s="682"/>
      <c r="U1390" s="682"/>
      <c r="V1390" s="682"/>
      <c r="W1390" s="682"/>
    </row>
    <row r="1391" spans="1:23">
      <c r="A1391" s="1045">
        <f t="shared" si="22"/>
        <v>7</v>
      </c>
      <c r="B1391" s="134">
        <v>45487</v>
      </c>
      <c r="C1391" s="70">
        <v>2018</v>
      </c>
      <c r="D1391" s="70" t="s">
        <v>58</v>
      </c>
      <c r="E1391" s="280" t="s">
        <v>3685</v>
      </c>
      <c r="F1391" s="1049">
        <v>0.85</v>
      </c>
      <c r="G1391" s="1049"/>
      <c r="H1391" s="564"/>
      <c r="I1391" s="609"/>
      <c r="J1391" s="1155"/>
      <c r="K1391" s="609"/>
      <c r="L1391" s="609"/>
      <c r="M1391" s="609"/>
      <c r="N1391" s="599"/>
      <c r="O1391" s="552" t="s">
        <v>1584</v>
      </c>
      <c r="P1391" s="603"/>
      <c r="Q1391" s="682"/>
      <c r="R1391" s="682"/>
      <c r="S1391" s="682"/>
      <c r="T1391" s="682"/>
      <c r="U1391" s="682"/>
      <c r="V1391" s="682"/>
      <c r="W1391" s="682"/>
    </row>
    <row r="1392" spans="1:23">
      <c r="A1392" s="1045">
        <f t="shared" si="22"/>
        <v>7</v>
      </c>
      <c r="B1392" s="134">
        <v>45487</v>
      </c>
      <c r="C1392" s="70">
        <v>5250</v>
      </c>
      <c r="D1392" s="70" t="s">
        <v>85</v>
      </c>
      <c r="E1392" s="280" t="s">
        <v>3686</v>
      </c>
      <c r="F1392" s="1049">
        <v>123.33</v>
      </c>
      <c r="G1392" s="1049"/>
      <c r="H1392" s="564"/>
      <c r="I1392" s="609"/>
      <c r="J1392" s="1155"/>
      <c r="K1392" s="609"/>
      <c r="L1392" s="609"/>
      <c r="M1392" s="609"/>
      <c r="N1392" s="599"/>
      <c r="O1392" s="552" t="s">
        <v>1584</v>
      </c>
      <c r="P1392" s="603"/>
      <c r="Q1392" s="682"/>
      <c r="R1392" s="682"/>
      <c r="S1392" s="682"/>
      <c r="T1392" s="682"/>
      <c r="U1392" s="682"/>
      <c r="V1392" s="682"/>
      <c r="W1392" s="682"/>
    </row>
    <row r="1393" spans="1:23">
      <c r="A1393" s="1045">
        <f t="shared" si="22"/>
        <v>7</v>
      </c>
      <c r="B1393" s="134">
        <v>45487</v>
      </c>
      <c r="C1393" s="70">
        <v>2018</v>
      </c>
      <c r="D1393" s="70" t="s">
        <v>58</v>
      </c>
      <c r="E1393" s="280" t="s">
        <v>3686</v>
      </c>
      <c r="F1393" s="1049">
        <v>6.17</v>
      </c>
      <c r="G1393" s="1049"/>
      <c r="H1393" s="564"/>
      <c r="I1393" s="609"/>
      <c r="J1393" s="1155"/>
      <c r="K1393" s="609"/>
      <c r="L1393" s="609"/>
      <c r="M1393" s="609"/>
      <c r="N1393" s="599"/>
      <c r="O1393" s="552" t="s">
        <v>1584</v>
      </c>
      <c r="P1393" s="603"/>
      <c r="Q1393" s="682"/>
      <c r="R1393" s="682"/>
      <c r="S1393" s="682"/>
      <c r="T1393" s="682"/>
      <c r="U1393" s="682"/>
      <c r="V1393" s="682"/>
      <c r="W1393" s="682"/>
    </row>
    <row r="1394" spans="1:23">
      <c r="A1394" s="1045">
        <f t="shared" si="22"/>
        <v>7</v>
      </c>
      <c r="B1394" s="134">
        <v>45488</v>
      </c>
      <c r="C1394" s="70">
        <v>5150</v>
      </c>
      <c r="D1394" s="70" t="s">
        <v>82</v>
      </c>
      <c r="E1394" s="280" t="s">
        <v>3687</v>
      </c>
      <c r="F1394" s="1049">
        <v>13449.55</v>
      </c>
      <c r="G1394" s="1049"/>
      <c r="H1394" s="564"/>
      <c r="I1394" s="609"/>
      <c r="J1394" s="1155"/>
      <c r="K1394" s="609"/>
      <c r="L1394" s="609"/>
      <c r="M1394" s="609"/>
      <c r="N1394" s="599"/>
      <c r="O1394" s="552" t="s">
        <v>1584</v>
      </c>
      <c r="P1394" s="603"/>
      <c r="Q1394" s="682"/>
      <c r="R1394" s="682"/>
      <c r="S1394" s="682"/>
      <c r="T1394" s="682"/>
      <c r="U1394" s="682"/>
      <c r="V1394" s="682"/>
      <c r="W1394" s="682"/>
    </row>
    <row r="1395" spans="1:23">
      <c r="A1395" s="1045">
        <f t="shared" si="22"/>
        <v>7</v>
      </c>
      <c r="B1395" s="134">
        <v>45488</v>
      </c>
      <c r="C1395" s="70">
        <v>2018</v>
      </c>
      <c r="D1395" s="70" t="s">
        <v>58</v>
      </c>
      <c r="E1395" s="280" t="s">
        <v>3687</v>
      </c>
      <c r="F1395" s="1049">
        <v>672.48</v>
      </c>
      <c r="G1395" s="1049"/>
      <c r="H1395" s="564"/>
      <c r="I1395" s="609"/>
      <c r="J1395" s="1155"/>
      <c r="K1395" s="609"/>
      <c r="L1395" s="609"/>
      <c r="M1395" s="609"/>
      <c r="N1395" s="599"/>
      <c r="O1395" s="552" t="s">
        <v>1584</v>
      </c>
      <c r="P1395" s="603"/>
      <c r="Q1395" s="682"/>
      <c r="R1395" s="682"/>
      <c r="S1395" s="682"/>
      <c r="T1395" s="682"/>
      <c r="U1395" s="682"/>
      <c r="V1395" s="682"/>
      <c r="W1395" s="682"/>
    </row>
    <row r="1396" spans="1:23">
      <c r="A1396" s="1045">
        <f t="shared" si="22"/>
        <v>7</v>
      </c>
      <c r="B1396" s="134">
        <v>45488</v>
      </c>
      <c r="C1396" s="70">
        <v>5150</v>
      </c>
      <c r="D1396" s="70" t="s">
        <v>82</v>
      </c>
      <c r="E1396" s="280" t="s">
        <v>3688</v>
      </c>
      <c r="F1396" s="1049">
        <v>23699.7</v>
      </c>
      <c r="G1396" s="1049"/>
      <c r="H1396" s="564"/>
      <c r="I1396" s="609"/>
      <c r="J1396" s="1155"/>
      <c r="K1396" s="609"/>
      <c r="L1396" s="609"/>
      <c r="M1396" s="609"/>
      <c r="N1396" s="599"/>
      <c r="O1396" s="552" t="s">
        <v>1584</v>
      </c>
      <c r="P1396" s="603"/>
      <c r="Q1396" s="682"/>
      <c r="R1396" s="682"/>
      <c r="S1396" s="682"/>
      <c r="T1396" s="682"/>
      <c r="U1396" s="682"/>
      <c r="V1396" s="682"/>
      <c r="W1396" s="682"/>
    </row>
    <row r="1397" spans="1:23">
      <c r="A1397" s="1045">
        <f t="shared" si="22"/>
        <v>7</v>
      </c>
      <c r="B1397" s="134">
        <v>45488</v>
      </c>
      <c r="C1397" s="70">
        <v>2018</v>
      </c>
      <c r="D1397" s="70" t="s">
        <v>58</v>
      </c>
      <c r="E1397" s="280" t="s">
        <v>3688</v>
      </c>
      <c r="F1397" s="1049">
        <v>1184.99</v>
      </c>
      <c r="G1397" s="1049"/>
      <c r="H1397" s="564"/>
      <c r="I1397" s="609"/>
      <c r="J1397" s="1155"/>
      <c r="K1397" s="609"/>
      <c r="L1397" s="609"/>
      <c r="M1397" s="609"/>
      <c r="N1397" s="599"/>
      <c r="O1397" s="552" t="s">
        <v>1584</v>
      </c>
      <c r="P1397" s="603"/>
      <c r="Q1397" s="682"/>
      <c r="R1397" s="682"/>
      <c r="S1397" s="682"/>
      <c r="T1397" s="682"/>
      <c r="U1397" s="682"/>
      <c r="V1397" s="682"/>
      <c r="W1397" s="682"/>
    </row>
    <row r="1398" spans="1:23">
      <c r="A1398" s="1045">
        <f t="shared" si="22"/>
        <v>7</v>
      </c>
      <c r="B1398" s="134">
        <v>45488</v>
      </c>
      <c r="C1398" s="70">
        <v>5250</v>
      </c>
      <c r="D1398" s="70" t="s">
        <v>85</v>
      </c>
      <c r="E1398" s="280" t="s">
        <v>3689</v>
      </c>
      <c r="F1398" s="1049">
        <v>9.5</v>
      </c>
      <c r="G1398" s="1049"/>
      <c r="H1398" s="564"/>
      <c r="I1398" s="609"/>
      <c r="J1398" s="1155"/>
      <c r="K1398" s="609"/>
      <c r="L1398" s="609"/>
      <c r="M1398" s="609"/>
      <c r="N1398" s="599"/>
      <c r="O1398" s="552" t="s">
        <v>1584</v>
      </c>
      <c r="P1398" s="603"/>
      <c r="Q1398" s="682"/>
      <c r="R1398" s="682"/>
      <c r="S1398" s="682"/>
      <c r="T1398" s="682"/>
      <c r="U1398" s="682"/>
      <c r="V1398" s="682"/>
      <c r="W1398" s="682"/>
    </row>
    <row r="1399" spans="1:23">
      <c r="A1399" s="1045">
        <f t="shared" si="22"/>
        <v>7</v>
      </c>
      <c r="B1399" s="134">
        <v>45488</v>
      </c>
      <c r="C1399" s="70">
        <v>2018</v>
      </c>
      <c r="D1399" s="70" t="s">
        <v>58</v>
      </c>
      <c r="E1399" s="280" t="s">
        <v>3689</v>
      </c>
      <c r="F1399" s="1049">
        <v>0.48</v>
      </c>
      <c r="G1399" s="1049"/>
      <c r="H1399" s="564"/>
      <c r="I1399" s="609"/>
      <c r="J1399" s="1155"/>
      <c r="K1399" s="609"/>
      <c r="L1399" s="609"/>
      <c r="M1399" s="609"/>
      <c r="N1399" s="599"/>
      <c r="O1399" s="552" t="s">
        <v>1584</v>
      </c>
      <c r="P1399" s="603"/>
      <c r="Q1399" s="682"/>
      <c r="R1399" s="682"/>
      <c r="S1399" s="682"/>
      <c r="T1399" s="682"/>
      <c r="U1399" s="682"/>
      <c r="V1399" s="682"/>
      <c r="W1399" s="682"/>
    </row>
    <row r="1400" spans="1:23">
      <c r="A1400" s="1045">
        <f t="shared" si="22"/>
        <v>7</v>
      </c>
      <c r="B1400" s="134">
        <v>45488</v>
      </c>
      <c r="C1400" s="70">
        <v>5250</v>
      </c>
      <c r="D1400" s="70" t="s">
        <v>85</v>
      </c>
      <c r="E1400" s="280" t="s">
        <v>3690</v>
      </c>
      <c r="F1400" s="1049">
        <v>23</v>
      </c>
      <c r="G1400" s="1049"/>
      <c r="H1400" s="564"/>
      <c r="I1400" s="609"/>
      <c r="J1400" s="1155"/>
      <c r="K1400" s="609"/>
      <c r="L1400" s="609"/>
      <c r="M1400" s="609"/>
      <c r="N1400" s="599"/>
      <c r="O1400" s="552" t="s">
        <v>1584</v>
      </c>
      <c r="P1400" s="603"/>
      <c r="Q1400" s="682"/>
      <c r="R1400" s="682"/>
      <c r="S1400" s="682"/>
      <c r="T1400" s="682"/>
      <c r="U1400" s="682"/>
      <c r="V1400" s="682"/>
      <c r="W1400" s="682"/>
    </row>
    <row r="1401" spans="1:23">
      <c r="A1401" s="1045">
        <f t="shared" si="22"/>
        <v>7</v>
      </c>
      <c r="B1401" s="134">
        <v>45488</v>
      </c>
      <c r="C1401" s="70">
        <v>2018</v>
      </c>
      <c r="D1401" s="70" t="s">
        <v>58</v>
      </c>
      <c r="E1401" s="280" t="s">
        <v>3690</v>
      </c>
      <c r="F1401" s="1049">
        <v>1.1499999999999999</v>
      </c>
      <c r="G1401" s="1049"/>
      <c r="H1401" s="564"/>
      <c r="I1401" s="609"/>
      <c r="J1401" s="1155"/>
      <c r="K1401" s="609"/>
      <c r="L1401" s="609"/>
      <c r="M1401" s="609"/>
      <c r="N1401" s="599"/>
      <c r="O1401" s="552" t="s">
        <v>1584</v>
      </c>
      <c r="P1401" s="603"/>
      <c r="Q1401" s="682"/>
      <c r="R1401" s="682"/>
      <c r="S1401" s="682"/>
      <c r="T1401" s="682"/>
      <c r="U1401" s="682"/>
      <c r="V1401" s="682"/>
      <c r="W1401" s="682"/>
    </row>
    <row r="1402" spans="1:23">
      <c r="A1402" s="1045">
        <f t="shared" si="22"/>
        <v>7</v>
      </c>
      <c r="B1402" s="134">
        <v>45488</v>
      </c>
      <c r="C1402" s="70">
        <v>5250</v>
      </c>
      <c r="D1402" s="70" t="s">
        <v>85</v>
      </c>
      <c r="E1402" s="280" t="s">
        <v>3691</v>
      </c>
      <c r="F1402" s="1049">
        <v>480</v>
      </c>
      <c r="G1402" s="1049"/>
      <c r="H1402" s="564"/>
      <c r="I1402" s="609"/>
      <c r="J1402" s="1155"/>
      <c r="K1402" s="609"/>
      <c r="L1402" s="609"/>
      <c r="M1402" s="609"/>
      <c r="N1402" s="599"/>
      <c r="O1402" s="552" t="s">
        <v>1584</v>
      </c>
      <c r="P1402" s="603"/>
      <c r="Q1402" s="682"/>
      <c r="R1402" s="682"/>
      <c r="S1402" s="682"/>
      <c r="T1402" s="682"/>
      <c r="U1402" s="682"/>
      <c r="V1402" s="682"/>
      <c r="W1402" s="682"/>
    </row>
    <row r="1403" spans="1:23">
      <c r="A1403" s="1045">
        <f t="shared" si="22"/>
        <v>7</v>
      </c>
      <c r="B1403" s="134">
        <v>45488</v>
      </c>
      <c r="C1403" s="70">
        <v>2018</v>
      </c>
      <c r="D1403" s="70" t="s">
        <v>58</v>
      </c>
      <c r="E1403" s="280" t="s">
        <v>3691</v>
      </c>
      <c r="F1403" s="1049">
        <v>24</v>
      </c>
      <c r="G1403" s="1049"/>
      <c r="H1403" s="564"/>
      <c r="I1403" s="609"/>
      <c r="J1403" s="1155"/>
      <c r="K1403" s="609"/>
      <c r="L1403" s="609"/>
      <c r="M1403" s="609"/>
      <c r="N1403" s="599"/>
      <c r="O1403" s="552" t="s">
        <v>1584</v>
      </c>
      <c r="P1403" s="603"/>
      <c r="Q1403" s="682"/>
      <c r="R1403" s="682"/>
      <c r="S1403" s="682"/>
      <c r="T1403" s="682"/>
      <c r="U1403" s="682"/>
      <c r="V1403" s="682"/>
      <c r="W1403" s="682"/>
    </row>
    <row r="1404" spans="1:23">
      <c r="A1404" s="1045">
        <f t="shared" si="22"/>
        <v>7</v>
      </c>
      <c r="B1404" s="134">
        <v>45488</v>
      </c>
      <c r="C1404" s="70">
        <v>5250</v>
      </c>
      <c r="D1404" s="70" t="s">
        <v>85</v>
      </c>
      <c r="E1404" s="280" t="s">
        <v>3692</v>
      </c>
      <c r="F1404" s="1049">
        <v>1630</v>
      </c>
      <c r="G1404" s="1049"/>
      <c r="H1404" s="564"/>
      <c r="I1404" s="609"/>
      <c r="J1404" s="1155"/>
      <c r="K1404" s="609"/>
      <c r="L1404" s="609"/>
      <c r="M1404" s="609"/>
      <c r="N1404" s="599"/>
      <c r="O1404" s="552" t="s">
        <v>1584</v>
      </c>
      <c r="P1404" s="603"/>
      <c r="Q1404" s="682"/>
      <c r="R1404" s="682"/>
      <c r="S1404" s="682"/>
      <c r="T1404" s="682"/>
      <c r="U1404" s="682"/>
      <c r="V1404" s="682"/>
      <c r="W1404" s="682"/>
    </row>
    <row r="1405" spans="1:23">
      <c r="A1405" s="1045">
        <f t="shared" si="22"/>
        <v>7</v>
      </c>
      <c r="B1405" s="134">
        <v>45488</v>
      </c>
      <c r="C1405" s="70">
        <v>2018</v>
      </c>
      <c r="D1405" s="70" t="s">
        <v>58</v>
      </c>
      <c r="E1405" s="280" t="s">
        <v>3692</v>
      </c>
      <c r="F1405" s="1049">
        <v>81.5</v>
      </c>
      <c r="G1405" s="1049"/>
      <c r="H1405" s="564"/>
      <c r="I1405" s="609"/>
      <c r="J1405" s="1155"/>
      <c r="K1405" s="609"/>
      <c r="L1405" s="609"/>
      <c r="M1405" s="609"/>
      <c r="N1405" s="599"/>
      <c r="O1405" s="552" t="s">
        <v>1584</v>
      </c>
      <c r="P1405" s="603"/>
      <c r="Q1405" s="682"/>
      <c r="R1405" s="682"/>
      <c r="S1405" s="682"/>
      <c r="T1405" s="682"/>
      <c r="U1405" s="682"/>
      <c r="V1405" s="682"/>
      <c r="W1405" s="682"/>
    </row>
    <row r="1406" spans="1:23">
      <c r="A1406" s="1045">
        <f t="shared" si="22"/>
        <v>7</v>
      </c>
      <c r="B1406" s="134">
        <v>45488</v>
      </c>
      <c r="C1406" s="70">
        <v>5250</v>
      </c>
      <c r="D1406" s="70" t="s">
        <v>85</v>
      </c>
      <c r="E1406" s="280" t="s">
        <v>3693</v>
      </c>
      <c r="F1406" s="1049">
        <v>62.5</v>
      </c>
      <c r="G1406" s="1049"/>
      <c r="H1406" s="564"/>
      <c r="I1406" s="609"/>
      <c r="J1406" s="1155"/>
      <c r="K1406" s="609"/>
      <c r="L1406" s="609"/>
      <c r="M1406" s="609"/>
      <c r="N1406" s="599"/>
      <c r="O1406" s="552" t="s">
        <v>1584</v>
      </c>
      <c r="P1406" s="603"/>
      <c r="Q1406" s="682"/>
      <c r="R1406" s="682"/>
      <c r="S1406" s="682"/>
      <c r="T1406" s="682"/>
      <c r="U1406" s="682"/>
      <c r="V1406" s="682"/>
      <c r="W1406" s="682"/>
    </row>
    <row r="1407" spans="1:23">
      <c r="A1407" s="1045">
        <f t="shared" si="22"/>
        <v>7</v>
      </c>
      <c r="B1407" s="134">
        <v>45488</v>
      </c>
      <c r="C1407" s="70">
        <v>2018</v>
      </c>
      <c r="D1407" s="70" t="s">
        <v>58</v>
      </c>
      <c r="E1407" s="280" t="s">
        <v>3693</v>
      </c>
      <c r="F1407" s="1049">
        <v>3.12</v>
      </c>
      <c r="G1407" s="1049"/>
      <c r="H1407" s="564"/>
      <c r="I1407" s="609"/>
      <c r="J1407" s="1155"/>
      <c r="K1407" s="609"/>
      <c r="L1407" s="609"/>
      <c r="M1407" s="609"/>
      <c r="N1407" s="599"/>
      <c r="O1407" s="552" t="s">
        <v>1584</v>
      </c>
      <c r="P1407" s="603"/>
      <c r="Q1407" s="682"/>
      <c r="R1407" s="682"/>
      <c r="S1407" s="682"/>
      <c r="T1407" s="682"/>
      <c r="U1407" s="682"/>
      <c r="V1407" s="682"/>
      <c r="W1407" s="682"/>
    </row>
    <row r="1408" spans="1:23">
      <c r="A1408" s="1045">
        <f t="shared" si="22"/>
        <v>7</v>
      </c>
      <c r="B1408" s="134">
        <v>45488</v>
      </c>
      <c r="C1408" s="70">
        <v>5250</v>
      </c>
      <c r="D1408" s="70" t="s">
        <v>85</v>
      </c>
      <c r="E1408" s="280" t="s">
        <v>3694</v>
      </c>
      <c r="F1408" s="1049">
        <v>426.5</v>
      </c>
      <c r="G1408" s="1049"/>
      <c r="H1408" s="564"/>
      <c r="I1408" s="609"/>
      <c r="J1408" s="1155"/>
      <c r="K1408" s="609"/>
      <c r="L1408" s="609"/>
      <c r="M1408" s="609"/>
      <c r="N1408" s="599"/>
      <c r="O1408" s="552" t="s">
        <v>1584</v>
      </c>
      <c r="P1408" s="603"/>
      <c r="Q1408" s="682"/>
      <c r="R1408" s="682"/>
      <c r="S1408" s="682"/>
      <c r="T1408" s="682"/>
      <c r="U1408" s="682"/>
      <c r="V1408" s="682"/>
      <c r="W1408" s="682"/>
    </row>
    <row r="1409" spans="1:23">
      <c r="A1409" s="1045">
        <f t="shared" si="22"/>
        <v>7</v>
      </c>
      <c r="B1409" s="134">
        <v>45488</v>
      </c>
      <c r="C1409" s="70">
        <v>2018</v>
      </c>
      <c r="D1409" s="70" t="s">
        <v>58</v>
      </c>
      <c r="E1409" s="280" t="s">
        <v>3694</v>
      </c>
      <c r="F1409" s="1049">
        <v>21.23</v>
      </c>
      <c r="G1409" s="1049"/>
      <c r="H1409" s="564"/>
      <c r="I1409" s="609"/>
      <c r="J1409" s="1155"/>
      <c r="K1409" s="609"/>
      <c r="L1409" s="609"/>
      <c r="M1409" s="609"/>
      <c r="N1409" s="599"/>
      <c r="O1409" s="552" t="s">
        <v>1584</v>
      </c>
      <c r="P1409" s="603"/>
      <c r="Q1409" s="682"/>
      <c r="R1409" s="682"/>
      <c r="S1409" s="682"/>
      <c r="T1409" s="682"/>
      <c r="U1409" s="682"/>
      <c r="V1409" s="682"/>
      <c r="W1409" s="682"/>
    </row>
    <row r="1410" spans="1:23">
      <c r="A1410" s="1045">
        <f t="shared" si="22"/>
        <v>7</v>
      </c>
      <c r="B1410" s="134">
        <v>45488</v>
      </c>
      <c r="C1410" s="70">
        <v>5250</v>
      </c>
      <c r="D1410" s="70" t="s">
        <v>85</v>
      </c>
      <c r="E1410" s="280" t="s">
        <v>3695</v>
      </c>
      <c r="F1410" s="1049">
        <v>70</v>
      </c>
      <c r="G1410" s="1049"/>
      <c r="H1410" s="564"/>
      <c r="I1410" s="609"/>
      <c r="J1410" s="1155"/>
      <c r="K1410" s="609"/>
      <c r="L1410" s="609"/>
      <c r="M1410" s="609"/>
      <c r="N1410" s="599"/>
      <c r="O1410" s="552" t="s">
        <v>1584</v>
      </c>
      <c r="P1410" s="603"/>
      <c r="Q1410" s="682"/>
      <c r="R1410" s="682"/>
      <c r="S1410" s="682"/>
      <c r="T1410" s="682"/>
      <c r="U1410" s="682"/>
      <c r="V1410" s="682"/>
      <c r="W1410" s="682"/>
    </row>
    <row r="1411" spans="1:23">
      <c r="A1411" s="1045">
        <f t="shared" si="22"/>
        <v>7</v>
      </c>
      <c r="B1411" s="134">
        <v>45488</v>
      </c>
      <c r="C1411" s="70">
        <v>2018</v>
      </c>
      <c r="D1411" s="70" t="s">
        <v>58</v>
      </c>
      <c r="E1411" s="280" t="s">
        <v>3695</v>
      </c>
      <c r="F1411" s="1049">
        <v>3.5</v>
      </c>
      <c r="G1411" s="1049"/>
      <c r="H1411" s="564"/>
      <c r="I1411" s="609"/>
      <c r="J1411" s="1155"/>
      <c r="K1411" s="609"/>
      <c r="L1411" s="609"/>
      <c r="M1411" s="609"/>
      <c r="N1411" s="599"/>
      <c r="O1411" s="552" t="s">
        <v>1584</v>
      </c>
      <c r="P1411" s="603"/>
      <c r="Q1411" s="682"/>
      <c r="R1411" s="682"/>
      <c r="S1411" s="682"/>
      <c r="T1411" s="682"/>
      <c r="U1411" s="682"/>
      <c r="V1411" s="682"/>
      <c r="W1411" s="682"/>
    </row>
    <row r="1412" spans="1:23">
      <c r="A1412" s="1045">
        <f t="shared" si="22"/>
        <v>7</v>
      </c>
      <c r="B1412" s="134">
        <v>45488</v>
      </c>
      <c r="C1412" s="70">
        <v>5250</v>
      </c>
      <c r="D1412" s="70" t="s">
        <v>85</v>
      </c>
      <c r="E1412" s="280" t="s">
        <v>3696</v>
      </c>
      <c r="F1412" s="1049">
        <v>175</v>
      </c>
      <c r="G1412" s="1049"/>
      <c r="H1412" s="564"/>
      <c r="I1412" s="609"/>
      <c r="J1412" s="1155"/>
      <c r="K1412" s="609"/>
      <c r="L1412" s="609"/>
      <c r="M1412" s="609"/>
      <c r="N1412" s="599"/>
      <c r="O1412" s="552" t="s">
        <v>1584</v>
      </c>
      <c r="P1412" s="603"/>
      <c r="Q1412" s="682"/>
      <c r="R1412" s="682"/>
      <c r="S1412" s="682"/>
      <c r="T1412" s="682"/>
      <c r="U1412" s="682"/>
      <c r="V1412" s="682"/>
      <c r="W1412" s="682"/>
    </row>
    <row r="1413" spans="1:23">
      <c r="A1413" s="1045">
        <f t="shared" si="22"/>
        <v>7</v>
      </c>
      <c r="B1413" s="134">
        <v>45488</v>
      </c>
      <c r="C1413" s="70">
        <v>2018</v>
      </c>
      <c r="D1413" s="70" t="s">
        <v>58</v>
      </c>
      <c r="E1413" s="280" t="s">
        <v>3696</v>
      </c>
      <c r="F1413" s="1049">
        <v>8.75</v>
      </c>
      <c r="G1413" s="1049"/>
      <c r="H1413" s="564"/>
      <c r="I1413" s="609"/>
      <c r="J1413" s="1155"/>
      <c r="K1413" s="609"/>
      <c r="L1413" s="609"/>
      <c r="M1413" s="609"/>
      <c r="N1413" s="599"/>
      <c r="O1413" s="552" t="s">
        <v>1584</v>
      </c>
      <c r="P1413" s="603"/>
      <c r="Q1413" s="682"/>
      <c r="R1413" s="682"/>
      <c r="S1413" s="682"/>
      <c r="T1413" s="682"/>
      <c r="U1413" s="682"/>
      <c r="V1413" s="682"/>
      <c r="W1413" s="682"/>
    </row>
    <row r="1414" spans="1:23">
      <c r="A1414" s="1045">
        <f t="shared" si="22"/>
        <v>7</v>
      </c>
      <c r="B1414" s="134">
        <v>45488</v>
      </c>
      <c r="C1414" s="70">
        <v>5250</v>
      </c>
      <c r="D1414" s="70" t="s">
        <v>85</v>
      </c>
      <c r="E1414" s="280" t="s">
        <v>3697</v>
      </c>
      <c r="F1414" s="1049">
        <v>203.31</v>
      </c>
      <c r="G1414" s="1049"/>
      <c r="H1414" s="564"/>
      <c r="I1414" s="609"/>
      <c r="J1414" s="1155"/>
      <c r="K1414" s="609"/>
      <c r="L1414" s="609"/>
      <c r="M1414" s="609"/>
      <c r="N1414" s="599"/>
      <c r="O1414" s="552" t="s">
        <v>1584</v>
      </c>
      <c r="P1414" s="603"/>
      <c r="Q1414" s="682"/>
      <c r="R1414" s="682"/>
      <c r="S1414" s="682"/>
      <c r="T1414" s="682"/>
      <c r="U1414" s="682"/>
      <c r="V1414" s="682"/>
      <c r="W1414" s="682"/>
    </row>
    <row r="1415" spans="1:23">
      <c r="A1415" s="1045">
        <f t="shared" si="22"/>
        <v>7</v>
      </c>
      <c r="B1415" s="134">
        <v>45488</v>
      </c>
      <c r="C1415" s="70">
        <v>2018</v>
      </c>
      <c r="D1415" s="70" t="s">
        <v>58</v>
      </c>
      <c r="E1415" s="280" t="s">
        <v>3697</v>
      </c>
      <c r="F1415" s="1049">
        <v>10.17</v>
      </c>
      <c r="G1415" s="1049"/>
      <c r="H1415" s="564"/>
      <c r="I1415" s="609"/>
      <c r="J1415" s="1155"/>
      <c r="K1415" s="609"/>
      <c r="L1415" s="609"/>
      <c r="M1415" s="609"/>
      <c r="N1415" s="599"/>
      <c r="O1415" s="552" t="s">
        <v>1584</v>
      </c>
      <c r="P1415" s="603"/>
      <c r="Q1415" s="682"/>
      <c r="R1415" s="682"/>
      <c r="S1415" s="682"/>
      <c r="T1415" s="682"/>
      <c r="U1415" s="682"/>
      <c r="V1415" s="682"/>
      <c r="W1415" s="682"/>
    </row>
    <row r="1416" spans="1:23">
      <c r="A1416" s="1045">
        <f t="shared" si="22"/>
        <v>7</v>
      </c>
      <c r="B1416" s="134">
        <v>45489</v>
      </c>
      <c r="C1416" s="70">
        <v>5250</v>
      </c>
      <c r="D1416" s="70" t="s">
        <v>85</v>
      </c>
      <c r="E1416" s="280" t="s">
        <v>3698</v>
      </c>
      <c r="F1416" s="1049">
        <v>66.5</v>
      </c>
      <c r="G1416" s="1049"/>
      <c r="H1416" s="564"/>
      <c r="I1416" s="609"/>
      <c r="J1416" s="1155"/>
      <c r="K1416" s="609"/>
      <c r="L1416" s="609"/>
      <c r="M1416" s="609"/>
      <c r="N1416" s="599"/>
      <c r="O1416" s="552" t="s">
        <v>1584</v>
      </c>
      <c r="P1416" s="603"/>
      <c r="Q1416" s="682"/>
      <c r="R1416" s="682"/>
      <c r="S1416" s="682"/>
      <c r="T1416" s="682"/>
      <c r="U1416" s="682"/>
      <c r="V1416" s="682"/>
      <c r="W1416" s="682"/>
    </row>
    <row r="1417" spans="1:23">
      <c r="A1417" s="1045">
        <f t="shared" si="22"/>
        <v>7</v>
      </c>
      <c r="B1417" s="134">
        <v>45489</v>
      </c>
      <c r="C1417" s="70">
        <v>2018</v>
      </c>
      <c r="D1417" s="70" t="s">
        <v>58</v>
      </c>
      <c r="E1417" s="280" t="s">
        <v>3698</v>
      </c>
      <c r="F1417" s="1049">
        <v>3.33</v>
      </c>
      <c r="G1417" s="1049"/>
      <c r="H1417" s="564"/>
      <c r="I1417" s="609"/>
      <c r="J1417" s="1155"/>
      <c r="K1417" s="609"/>
      <c r="L1417" s="609"/>
      <c r="M1417" s="609"/>
      <c r="N1417" s="599"/>
      <c r="O1417" s="552" t="s">
        <v>1584</v>
      </c>
      <c r="P1417" s="603"/>
      <c r="Q1417" s="682"/>
      <c r="R1417" s="682"/>
      <c r="S1417" s="682"/>
      <c r="T1417" s="682"/>
      <c r="U1417" s="682"/>
      <c r="V1417" s="682"/>
      <c r="W1417" s="682"/>
    </row>
    <row r="1418" spans="1:23">
      <c r="A1418" s="1045">
        <f t="shared" si="22"/>
        <v>7</v>
      </c>
      <c r="B1418" s="134">
        <v>45489</v>
      </c>
      <c r="C1418" s="70">
        <v>5200</v>
      </c>
      <c r="D1418" s="70" t="s">
        <v>83</v>
      </c>
      <c r="E1418" s="280" t="s">
        <v>3699</v>
      </c>
      <c r="F1418" s="1049">
        <v>1596.8</v>
      </c>
      <c r="G1418" s="1049"/>
      <c r="H1418" s="564"/>
      <c r="I1418" s="609"/>
      <c r="J1418" s="1155"/>
      <c r="K1418" s="609"/>
      <c r="L1418" s="609"/>
      <c r="M1418" s="609"/>
      <c r="N1418" s="599"/>
      <c r="O1418" s="552" t="s">
        <v>1584</v>
      </c>
      <c r="P1418" s="603"/>
      <c r="Q1418" s="682"/>
      <c r="R1418" s="682"/>
      <c r="S1418" s="682"/>
      <c r="T1418" s="682"/>
      <c r="U1418" s="682"/>
      <c r="V1418" s="682"/>
      <c r="W1418" s="682"/>
    </row>
    <row r="1419" spans="1:23">
      <c r="A1419" s="1045">
        <f t="shared" si="22"/>
        <v>7</v>
      </c>
      <c r="B1419" s="134">
        <v>45489</v>
      </c>
      <c r="C1419" s="70">
        <v>2018</v>
      </c>
      <c r="D1419" s="70" t="s">
        <v>58</v>
      </c>
      <c r="E1419" s="280" t="s">
        <v>3699</v>
      </c>
      <c r="F1419" s="1049">
        <v>79.84</v>
      </c>
      <c r="G1419" s="1049"/>
      <c r="H1419" s="564"/>
      <c r="I1419" s="609"/>
      <c r="J1419" s="1155"/>
      <c r="K1419" s="609"/>
      <c r="L1419" s="609"/>
      <c r="M1419" s="609"/>
      <c r="N1419" s="599"/>
      <c r="O1419" s="552" t="s">
        <v>1584</v>
      </c>
      <c r="P1419" s="603"/>
      <c r="Q1419" s="682"/>
      <c r="R1419" s="682"/>
      <c r="S1419" s="682"/>
      <c r="T1419" s="682"/>
      <c r="U1419" s="682"/>
      <c r="V1419" s="682"/>
      <c r="W1419" s="682"/>
    </row>
    <row r="1420" spans="1:23">
      <c r="A1420" s="1045">
        <f t="shared" si="22"/>
        <v>7</v>
      </c>
      <c r="B1420" s="134">
        <v>45489</v>
      </c>
      <c r="C1420" s="70">
        <v>5200</v>
      </c>
      <c r="D1420" s="70" t="s">
        <v>83</v>
      </c>
      <c r="E1420" s="280" t="s">
        <v>3700</v>
      </c>
      <c r="F1420" s="1049">
        <v>1211.5999999999999</v>
      </c>
      <c r="G1420" s="1049"/>
      <c r="H1420" s="564"/>
      <c r="I1420" s="609"/>
      <c r="J1420" s="1155"/>
      <c r="K1420" s="609"/>
      <c r="L1420" s="609"/>
      <c r="M1420" s="609"/>
      <c r="N1420" s="599"/>
      <c r="O1420" s="552" t="s">
        <v>1584</v>
      </c>
      <c r="P1420" s="603"/>
      <c r="Q1420" s="682"/>
      <c r="R1420" s="682"/>
      <c r="S1420" s="682"/>
      <c r="T1420" s="682"/>
      <c r="U1420" s="682"/>
      <c r="V1420" s="682"/>
      <c r="W1420" s="682"/>
    </row>
    <row r="1421" spans="1:23">
      <c r="A1421" s="1045">
        <f t="shared" si="22"/>
        <v>7</v>
      </c>
      <c r="B1421" s="134">
        <v>45489</v>
      </c>
      <c r="C1421" s="70">
        <v>2018</v>
      </c>
      <c r="D1421" s="70" t="s">
        <v>58</v>
      </c>
      <c r="E1421" s="280" t="s">
        <v>3700</v>
      </c>
      <c r="F1421" s="1049">
        <v>60.58</v>
      </c>
      <c r="G1421" s="1049"/>
      <c r="H1421" s="564"/>
      <c r="I1421" s="609"/>
      <c r="J1421" s="1155"/>
      <c r="K1421" s="609"/>
      <c r="L1421" s="609"/>
      <c r="M1421" s="609"/>
      <c r="N1421" s="599"/>
      <c r="O1421" s="552" t="s">
        <v>1584</v>
      </c>
      <c r="P1421" s="603"/>
      <c r="Q1421" s="682"/>
      <c r="R1421" s="682"/>
      <c r="S1421" s="682"/>
      <c r="T1421" s="682"/>
      <c r="U1421" s="682"/>
      <c r="V1421" s="682"/>
      <c r="W1421" s="682"/>
    </row>
    <row r="1422" spans="1:23">
      <c r="A1422" s="1045">
        <f t="shared" si="22"/>
        <v>7</v>
      </c>
      <c r="B1422" s="134">
        <v>45489</v>
      </c>
      <c r="C1422" s="70">
        <v>5250</v>
      </c>
      <c r="D1422" s="70" t="s">
        <v>85</v>
      </c>
      <c r="E1422" s="280" t="s">
        <v>3701</v>
      </c>
      <c r="F1422" s="1049">
        <v>45</v>
      </c>
      <c r="G1422" s="1049"/>
      <c r="H1422" s="564"/>
      <c r="I1422" s="609"/>
      <c r="J1422" s="1155"/>
      <c r="K1422" s="609"/>
      <c r="L1422" s="609"/>
      <c r="M1422" s="609"/>
      <c r="N1422" s="599"/>
      <c r="O1422" s="552" t="s">
        <v>1584</v>
      </c>
      <c r="P1422" s="603"/>
      <c r="Q1422" s="682"/>
      <c r="R1422" s="682"/>
      <c r="S1422" s="682"/>
      <c r="T1422" s="682"/>
      <c r="U1422" s="682"/>
      <c r="V1422" s="682"/>
      <c r="W1422" s="682"/>
    </row>
    <row r="1423" spans="1:23">
      <c r="A1423" s="1045">
        <f t="shared" si="22"/>
        <v>7</v>
      </c>
      <c r="B1423" s="134">
        <v>45489</v>
      </c>
      <c r="C1423" s="70">
        <v>2018</v>
      </c>
      <c r="D1423" s="70" t="s">
        <v>58</v>
      </c>
      <c r="E1423" s="280" t="s">
        <v>3701</v>
      </c>
      <c r="F1423" s="1049">
        <v>2.25</v>
      </c>
      <c r="G1423" s="1049"/>
      <c r="H1423" s="564"/>
      <c r="I1423" s="609"/>
      <c r="J1423" s="1155"/>
      <c r="K1423" s="609"/>
      <c r="L1423" s="609"/>
      <c r="M1423" s="609"/>
      <c r="N1423" s="599"/>
      <c r="O1423" s="552" t="s">
        <v>1584</v>
      </c>
      <c r="P1423" s="603"/>
      <c r="Q1423" s="682"/>
      <c r="R1423" s="682"/>
      <c r="S1423" s="682"/>
      <c r="T1423" s="682"/>
      <c r="U1423" s="682"/>
      <c r="V1423" s="682"/>
      <c r="W1423" s="682"/>
    </row>
    <row r="1424" spans="1:23">
      <c r="A1424" s="1045">
        <f t="shared" si="22"/>
        <v>7</v>
      </c>
      <c r="B1424" s="134">
        <v>45489</v>
      </c>
      <c r="C1424" s="70">
        <v>5250</v>
      </c>
      <c r="D1424" s="70" t="s">
        <v>85</v>
      </c>
      <c r="E1424" s="280" t="s">
        <v>3702</v>
      </c>
      <c r="F1424" s="1049">
        <v>13</v>
      </c>
      <c r="G1424" s="1049"/>
      <c r="H1424" s="564"/>
      <c r="I1424" s="609"/>
      <c r="J1424" s="1155"/>
      <c r="K1424" s="609"/>
      <c r="L1424" s="609"/>
      <c r="M1424" s="609"/>
      <c r="N1424" s="599"/>
      <c r="O1424" s="552" t="s">
        <v>1584</v>
      </c>
      <c r="P1424" s="603"/>
      <c r="Q1424" s="682"/>
      <c r="R1424" s="682"/>
      <c r="S1424" s="682"/>
      <c r="T1424" s="682"/>
      <c r="U1424" s="682"/>
      <c r="V1424" s="682"/>
      <c r="W1424" s="682"/>
    </row>
    <row r="1425" spans="1:23">
      <c r="A1425" s="1045">
        <f t="shared" si="22"/>
        <v>7</v>
      </c>
      <c r="B1425" s="134">
        <v>45489</v>
      </c>
      <c r="C1425" s="70">
        <v>2018</v>
      </c>
      <c r="D1425" s="70" t="s">
        <v>58</v>
      </c>
      <c r="E1425" s="280" t="s">
        <v>3702</v>
      </c>
      <c r="F1425" s="1049">
        <v>0.65</v>
      </c>
      <c r="G1425" s="1049"/>
      <c r="H1425" s="564"/>
      <c r="I1425" s="609"/>
      <c r="J1425" s="1155"/>
      <c r="K1425" s="609"/>
      <c r="L1425" s="609"/>
      <c r="M1425" s="609"/>
      <c r="N1425" s="599"/>
      <c r="O1425" s="552" t="s">
        <v>1584</v>
      </c>
      <c r="P1425" s="603"/>
      <c r="Q1425" s="682"/>
      <c r="R1425" s="682"/>
      <c r="S1425" s="682"/>
      <c r="T1425" s="682"/>
      <c r="U1425" s="682"/>
      <c r="V1425" s="682"/>
      <c r="W1425" s="682"/>
    </row>
    <row r="1426" spans="1:23">
      <c r="A1426" s="1045">
        <f t="shared" si="22"/>
        <v>7</v>
      </c>
      <c r="B1426" s="134">
        <v>45489</v>
      </c>
      <c r="C1426" s="70">
        <v>5250</v>
      </c>
      <c r="D1426" s="70" t="s">
        <v>85</v>
      </c>
      <c r="E1426" s="280" t="s">
        <v>3703</v>
      </c>
      <c r="F1426" s="1049">
        <v>360</v>
      </c>
      <c r="G1426" s="1049"/>
      <c r="H1426" s="564"/>
      <c r="I1426" s="609"/>
      <c r="J1426" s="1155"/>
      <c r="K1426" s="609"/>
      <c r="L1426" s="609"/>
      <c r="M1426" s="609"/>
      <c r="N1426" s="599"/>
      <c r="O1426" s="552" t="s">
        <v>1584</v>
      </c>
      <c r="P1426" s="603"/>
      <c r="Q1426" s="682"/>
      <c r="R1426" s="682"/>
      <c r="S1426" s="682"/>
      <c r="T1426" s="682"/>
      <c r="U1426" s="682"/>
      <c r="V1426" s="682"/>
      <c r="W1426" s="682"/>
    </row>
    <row r="1427" spans="1:23">
      <c r="A1427" s="1045">
        <f t="shared" si="22"/>
        <v>7</v>
      </c>
      <c r="B1427" s="134">
        <v>45489</v>
      </c>
      <c r="C1427" s="70">
        <v>2018</v>
      </c>
      <c r="D1427" s="70" t="s">
        <v>58</v>
      </c>
      <c r="E1427" s="280" t="s">
        <v>3703</v>
      </c>
      <c r="F1427" s="1049">
        <v>18</v>
      </c>
      <c r="G1427" s="1049"/>
      <c r="H1427" s="564"/>
      <c r="I1427" s="609"/>
      <c r="J1427" s="1155"/>
      <c r="K1427" s="609"/>
      <c r="L1427" s="609"/>
      <c r="M1427" s="609"/>
      <c r="N1427" s="599"/>
      <c r="O1427" s="552" t="s">
        <v>1584</v>
      </c>
      <c r="P1427" s="603"/>
      <c r="Q1427" s="682"/>
      <c r="R1427" s="682"/>
      <c r="S1427" s="682"/>
      <c r="T1427" s="682"/>
      <c r="U1427" s="682"/>
      <c r="V1427" s="682"/>
      <c r="W1427" s="682"/>
    </row>
    <row r="1428" spans="1:23">
      <c r="A1428" s="1045">
        <f t="shared" si="22"/>
        <v>7</v>
      </c>
      <c r="B1428" s="134">
        <v>45489</v>
      </c>
      <c r="C1428" s="70">
        <v>5250</v>
      </c>
      <c r="D1428" s="70" t="s">
        <v>85</v>
      </c>
      <c r="E1428" s="280" t="s">
        <v>3704</v>
      </c>
      <c r="F1428" s="1049">
        <v>3.81</v>
      </c>
      <c r="G1428" s="1049"/>
      <c r="H1428" s="564"/>
      <c r="I1428" s="609"/>
      <c r="J1428" s="1155"/>
      <c r="K1428" s="609"/>
      <c r="L1428" s="609"/>
      <c r="M1428" s="609"/>
      <c r="N1428" s="599"/>
      <c r="O1428" s="552" t="s">
        <v>1584</v>
      </c>
      <c r="P1428" s="603"/>
      <c r="Q1428" s="682"/>
      <c r="R1428" s="682"/>
      <c r="S1428" s="682"/>
      <c r="T1428" s="682"/>
      <c r="U1428" s="682"/>
      <c r="V1428" s="682"/>
      <c r="W1428" s="682"/>
    </row>
    <row r="1429" spans="1:23">
      <c r="A1429" s="1045">
        <f t="shared" ref="A1429:A1492" si="23">IF(B1429="","",MONTH(B1429))</f>
        <v>7</v>
      </c>
      <c r="B1429" s="134">
        <v>45489</v>
      </c>
      <c r="C1429" s="70">
        <v>2018</v>
      </c>
      <c r="D1429" s="70" t="s">
        <v>58</v>
      </c>
      <c r="E1429" s="280" t="s">
        <v>3704</v>
      </c>
      <c r="F1429" s="1049">
        <v>0.19</v>
      </c>
      <c r="G1429" s="1049"/>
      <c r="H1429" s="564"/>
      <c r="I1429" s="609"/>
      <c r="J1429" s="1155"/>
      <c r="K1429" s="609"/>
      <c r="L1429" s="609"/>
      <c r="M1429" s="609"/>
      <c r="N1429" s="599"/>
      <c r="O1429" s="552" t="s">
        <v>1584</v>
      </c>
      <c r="P1429" s="603"/>
      <c r="Q1429" s="682"/>
      <c r="R1429" s="682"/>
      <c r="S1429" s="682"/>
      <c r="T1429" s="682"/>
      <c r="U1429" s="682"/>
      <c r="V1429" s="682"/>
      <c r="W1429" s="682"/>
    </row>
    <row r="1430" spans="1:23">
      <c r="A1430" s="1045">
        <f t="shared" si="23"/>
        <v>7</v>
      </c>
      <c r="B1430" s="134">
        <v>45489</v>
      </c>
      <c r="C1430" s="70">
        <v>5250</v>
      </c>
      <c r="D1430" s="70" t="s">
        <v>85</v>
      </c>
      <c r="E1430" s="280" t="s">
        <v>3705</v>
      </c>
      <c r="F1430" s="1049">
        <v>1140</v>
      </c>
      <c r="G1430" s="1049"/>
      <c r="H1430" s="564"/>
      <c r="I1430" s="609"/>
      <c r="J1430" s="1155"/>
      <c r="K1430" s="609"/>
      <c r="L1430" s="609"/>
      <c r="M1430" s="609"/>
      <c r="N1430" s="599"/>
      <c r="O1430" s="552" t="s">
        <v>1584</v>
      </c>
      <c r="P1430" s="603"/>
      <c r="Q1430" s="682"/>
      <c r="R1430" s="682"/>
      <c r="S1430" s="682"/>
      <c r="T1430" s="682"/>
      <c r="U1430" s="682"/>
      <c r="V1430" s="682"/>
      <c r="W1430" s="682"/>
    </row>
    <row r="1431" spans="1:23">
      <c r="A1431" s="1045">
        <f t="shared" si="23"/>
        <v>7</v>
      </c>
      <c r="B1431" s="134">
        <v>45489</v>
      </c>
      <c r="C1431" s="70">
        <v>2018</v>
      </c>
      <c r="D1431" s="70" t="s">
        <v>58</v>
      </c>
      <c r="E1431" s="280" t="s">
        <v>3705</v>
      </c>
      <c r="F1431" s="1049">
        <v>57</v>
      </c>
      <c r="G1431" s="1049"/>
      <c r="H1431" s="564"/>
      <c r="I1431" s="609"/>
      <c r="J1431" s="1155"/>
      <c r="K1431" s="609"/>
      <c r="L1431" s="609"/>
      <c r="M1431" s="609"/>
      <c r="N1431" s="599"/>
      <c r="O1431" s="552" t="s">
        <v>1584</v>
      </c>
      <c r="P1431" s="603"/>
      <c r="Q1431" s="682"/>
      <c r="R1431" s="682"/>
      <c r="S1431" s="682"/>
      <c r="T1431" s="682"/>
      <c r="U1431" s="682"/>
      <c r="V1431" s="682"/>
      <c r="W1431" s="682"/>
    </row>
    <row r="1432" spans="1:23">
      <c r="A1432" s="1045">
        <f t="shared" si="23"/>
        <v>7</v>
      </c>
      <c r="B1432" s="134">
        <v>45489</v>
      </c>
      <c r="C1432" s="70">
        <v>5250</v>
      </c>
      <c r="D1432" s="70" t="s">
        <v>85</v>
      </c>
      <c r="E1432" s="280" t="s">
        <v>3706</v>
      </c>
      <c r="F1432" s="1049">
        <v>799.03</v>
      </c>
      <c r="G1432" s="1049"/>
      <c r="H1432" s="564"/>
      <c r="I1432" s="609"/>
      <c r="J1432" s="1155"/>
      <c r="K1432" s="609"/>
      <c r="L1432" s="609"/>
      <c r="M1432" s="609"/>
      <c r="N1432" s="599"/>
      <c r="O1432" s="552" t="s">
        <v>1584</v>
      </c>
      <c r="P1432" s="603"/>
      <c r="Q1432" s="682"/>
      <c r="R1432" s="682"/>
      <c r="S1432" s="682"/>
      <c r="T1432" s="682"/>
      <c r="U1432" s="682"/>
      <c r="V1432" s="682"/>
      <c r="W1432" s="682"/>
    </row>
    <row r="1433" spans="1:23">
      <c r="A1433" s="1045">
        <f t="shared" si="23"/>
        <v>7</v>
      </c>
      <c r="B1433" s="134">
        <v>45489</v>
      </c>
      <c r="C1433" s="70">
        <v>2018</v>
      </c>
      <c r="D1433" s="70" t="s">
        <v>58</v>
      </c>
      <c r="E1433" s="280" t="s">
        <v>3706</v>
      </c>
      <c r="F1433" s="1049">
        <v>39.950000000000003</v>
      </c>
      <c r="G1433" s="1049"/>
      <c r="H1433" s="564"/>
      <c r="I1433" s="609"/>
      <c r="J1433" s="1155"/>
      <c r="K1433" s="609"/>
      <c r="L1433" s="609"/>
      <c r="M1433" s="609"/>
      <c r="N1433" s="599"/>
      <c r="O1433" s="552" t="s">
        <v>1584</v>
      </c>
      <c r="P1433" s="603"/>
      <c r="Q1433" s="682"/>
      <c r="R1433" s="682"/>
      <c r="S1433" s="682"/>
      <c r="T1433" s="682"/>
      <c r="U1433" s="682"/>
      <c r="V1433" s="682"/>
      <c r="W1433" s="682"/>
    </row>
    <row r="1434" spans="1:23">
      <c r="A1434" s="1045">
        <f t="shared" si="23"/>
        <v>7</v>
      </c>
      <c r="B1434" s="134">
        <v>45489</v>
      </c>
      <c r="C1434" s="70">
        <v>5250</v>
      </c>
      <c r="D1434" s="70" t="s">
        <v>85</v>
      </c>
      <c r="E1434" s="280" t="s">
        <v>3707</v>
      </c>
      <c r="F1434" s="1049">
        <v>57.5</v>
      </c>
      <c r="G1434" s="1049"/>
      <c r="H1434" s="564"/>
      <c r="I1434" s="609"/>
      <c r="J1434" s="1155"/>
      <c r="K1434" s="609"/>
      <c r="L1434" s="609"/>
      <c r="M1434" s="609"/>
      <c r="N1434" s="599"/>
      <c r="O1434" s="552" t="s">
        <v>1584</v>
      </c>
      <c r="P1434" s="603"/>
      <c r="Q1434" s="682"/>
      <c r="R1434" s="682"/>
      <c r="S1434" s="682"/>
      <c r="T1434" s="682"/>
      <c r="U1434" s="682"/>
      <c r="V1434" s="682"/>
      <c r="W1434" s="682"/>
    </row>
    <row r="1435" spans="1:23">
      <c r="A1435" s="1045">
        <f t="shared" si="23"/>
        <v>7</v>
      </c>
      <c r="B1435" s="134">
        <v>45489</v>
      </c>
      <c r="C1435" s="70">
        <v>2018</v>
      </c>
      <c r="D1435" s="70" t="s">
        <v>58</v>
      </c>
      <c r="E1435" s="280" t="s">
        <v>3707</v>
      </c>
      <c r="F1435" s="1049">
        <v>2.86</v>
      </c>
      <c r="G1435" s="1049"/>
      <c r="H1435" s="564"/>
      <c r="I1435" s="609"/>
      <c r="J1435" s="1155"/>
      <c r="K1435" s="609"/>
      <c r="L1435" s="609"/>
      <c r="M1435" s="609"/>
      <c r="N1435" s="599"/>
      <c r="O1435" s="552" t="s">
        <v>1584</v>
      </c>
      <c r="P1435" s="603"/>
      <c r="Q1435" s="682"/>
      <c r="R1435" s="682"/>
      <c r="S1435" s="682"/>
      <c r="T1435" s="682"/>
      <c r="U1435" s="682"/>
      <c r="V1435" s="682"/>
      <c r="W1435" s="682"/>
    </row>
    <row r="1436" spans="1:23">
      <c r="A1436" s="1045">
        <f t="shared" si="23"/>
        <v>7</v>
      </c>
      <c r="B1436" s="134">
        <v>45489</v>
      </c>
      <c r="C1436" s="70">
        <v>5250</v>
      </c>
      <c r="D1436" s="70" t="s">
        <v>85</v>
      </c>
      <c r="E1436" s="280" t="s">
        <v>3708</v>
      </c>
      <c r="F1436" s="1049">
        <v>132</v>
      </c>
      <c r="G1436" s="1049"/>
      <c r="H1436" s="564"/>
      <c r="I1436" s="609"/>
      <c r="J1436" s="1155"/>
      <c r="K1436" s="609"/>
      <c r="L1436" s="609"/>
      <c r="M1436" s="609"/>
      <c r="N1436" s="599"/>
      <c r="O1436" s="552" t="s">
        <v>1584</v>
      </c>
      <c r="P1436" s="603"/>
      <c r="Q1436" s="682"/>
      <c r="R1436" s="682"/>
      <c r="S1436" s="682"/>
      <c r="T1436" s="682"/>
      <c r="U1436" s="682"/>
      <c r="V1436" s="682"/>
      <c r="W1436" s="682"/>
    </row>
    <row r="1437" spans="1:23">
      <c r="A1437" s="1045">
        <f t="shared" si="23"/>
        <v>7</v>
      </c>
      <c r="B1437" s="134">
        <v>45489</v>
      </c>
      <c r="C1437" s="70">
        <v>2018</v>
      </c>
      <c r="D1437" s="70" t="s">
        <v>58</v>
      </c>
      <c r="E1437" s="280" t="s">
        <v>3708</v>
      </c>
      <c r="F1437" s="1049">
        <v>6.6</v>
      </c>
      <c r="G1437" s="1049"/>
      <c r="H1437" s="564"/>
      <c r="I1437" s="609"/>
      <c r="J1437" s="1155"/>
      <c r="K1437" s="609"/>
      <c r="L1437" s="609"/>
      <c r="M1437" s="609"/>
      <c r="N1437" s="599"/>
      <c r="O1437" s="552" t="s">
        <v>1584</v>
      </c>
      <c r="P1437" s="603"/>
      <c r="Q1437" s="682"/>
      <c r="R1437" s="682"/>
      <c r="S1437" s="682"/>
      <c r="T1437" s="682"/>
      <c r="U1437" s="682"/>
      <c r="V1437" s="682"/>
      <c r="W1437" s="682"/>
    </row>
    <row r="1438" spans="1:23">
      <c r="A1438" s="1045">
        <f t="shared" si="23"/>
        <v>7</v>
      </c>
      <c r="B1438" s="134">
        <v>45490</v>
      </c>
      <c r="C1438" s="70">
        <v>5250</v>
      </c>
      <c r="D1438" s="70" t="s">
        <v>85</v>
      </c>
      <c r="E1438" s="280" t="s">
        <v>3709</v>
      </c>
      <c r="F1438" s="1049">
        <v>24.5</v>
      </c>
      <c r="G1438" s="1049"/>
      <c r="H1438" s="564"/>
      <c r="I1438" s="609"/>
      <c r="J1438" s="1155"/>
      <c r="K1438" s="609"/>
      <c r="L1438" s="609"/>
      <c r="M1438" s="609"/>
      <c r="N1438" s="599"/>
      <c r="O1438" s="552" t="s">
        <v>1584</v>
      </c>
      <c r="P1438" s="603"/>
      <c r="Q1438" s="682"/>
      <c r="R1438" s="682"/>
      <c r="S1438" s="682"/>
      <c r="T1438" s="682"/>
      <c r="U1438" s="682"/>
      <c r="V1438" s="682"/>
      <c r="W1438" s="682"/>
    </row>
    <row r="1439" spans="1:23">
      <c r="A1439" s="1045">
        <f t="shared" si="23"/>
        <v>7</v>
      </c>
      <c r="B1439" s="134">
        <v>45490</v>
      </c>
      <c r="C1439" s="70">
        <v>2018</v>
      </c>
      <c r="D1439" s="70" t="s">
        <v>58</v>
      </c>
      <c r="E1439" s="280" t="s">
        <v>3709</v>
      </c>
      <c r="F1439" s="1049">
        <v>1.23</v>
      </c>
      <c r="G1439" s="1049"/>
      <c r="H1439" s="564"/>
      <c r="I1439" s="609"/>
      <c r="J1439" s="1155"/>
      <c r="K1439" s="609"/>
      <c r="L1439" s="609"/>
      <c r="M1439" s="609"/>
      <c r="N1439" s="599"/>
      <c r="O1439" s="552" t="s">
        <v>1584</v>
      </c>
      <c r="P1439" s="603"/>
      <c r="Q1439" s="682"/>
      <c r="R1439" s="682"/>
      <c r="S1439" s="682"/>
      <c r="T1439" s="682"/>
      <c r="U1439" s="682"/>
      <c r="V1439" s="682"/>
      <c r="W1439" s="682"/>
    </row>
    <row r="1440" spans="1:23">
      <c r="A1440" s="1045">
        <f t="shared" si="23"/>
        <v>7</v>
      </c>
      <c r="B1440" s="134">
        <v>45490</v>
      </c>
      <c r="C1440" s="70">
        <v>5250</v>
      </c>
      <c r="D1440" s="70" t="s">
        <v>85</v>
      </c>
      <c r="E1440" s="280" t="s">
        <v>3710</v>
      </c>
      <c r="F1440" s="1049">
        <v>35</v>
      </c>
      <c r="G1440" s="1049"/>
      <c r="H1440" s="564"/>
      <c r="I1440" s="609"/>
      <c r="J1440" s="1155"/>
      <c r="K1440" s="609"/>
      <c r="L1440" s="609"/>
      <c r="M1440" s="609"/>
      <c r="N1440" s="599"/>
      <c r="O1440" s="552" t="s">
        <v>1584</v>
      </c>
      <c r="P1440" s="603"/>
      <c r="Q1440" s="682"/>
      <c r="R1440" s="682"/>
      <c r="S1440" s="682"/>
      <c r="T1440" s="682"/>
      <c r="U1440" s="682"/>
      <c r="V1440" s="682"/>
      <c r="W1440" s="682"/>
    </row>
    <row r="1441" spans="1:23">
      <c r="A1441" s="1045">
        <f t="shared" si="23"/>
        <v>7</v>
      </c>
      <c r="B1441" s="134">
        <v>45490</v>
      </c>
      <c r="C1441" s="70">
        <v>2018</v>
      </c>
      <c r="D1441" s="70" t="s">
        <v>58</v>
      </c>
      <c r="E1441" s="280" t="s">
        <v>3710</v>
      </c>
      <c r="F1441" s="1049">
        <v>1.75</v>
      </c>
      <c r="G1441" s="1049"/>
      <c r="H1441" s="564"/>
      <c r="I1441" s="609"/>
      <c r="J1441" s="1155"/>
      <c r="K1441" s="609"/>
      <c r="L1441" s="609"/>
      <c r="M1441" s="609"/>
      <c r="N1441" s="599"/>
      <c r="O1441" s="552" t="s">
        <v>1584</v>
      </c>
      <c r="P1441" s="603"/>
      <c r="Q1441" s="682"/>
      <c r="R1441" s="682"/>
      <c r="S1441" s="682"/>
      <c r="T1441" s="682"/>
      <c r="U1441" s="682"/>
      <c r="V1441" s="682"/>
      <c r="W1441" s="682"/>
    </row>
    <row r="1442" spans="1:23">
      <c r="A1442" s="1045">
        <f t="shared" si="23"/>
        <v>7</v>
      </c>
      <c r="B1442" s="134">
        <v>45490</v>
      </c>
      <c r="C1442" s="70">
        <v>5150</v>
      </c>
      <c r="D1442" s="70" t="s">
        <v>82</v>
      </c>
      <c r="E1442" s="280" t="s">
        <v>3711</v>
      </c>
      <c r="F1442" s="1049">
        <v>20025</v>
      </c>
      <c r="G1442" s="1049"/>
      <c r="H1442" s="564"/>
      <c r="I1442" s="609"/>
      <c r="J1442" s="1155"/>
      <c r="K1442" s="609"/>
      <c r="L1442" s="609"/>
      <c r="M1442" s="609"/>
      <c r="N1442" s="599"/>
      <c r="O1442" s="552" t="s">
        <v>1584</v>
      </c>
      <c r="P1442" s="603"/>
      <c r="Q1442" s="682"/>
      <c r="R1442" s="682"/>
      <c r="S1442" s="682"/>
      <c r="T1442" s="682"/>
      <c r="U1442" s="682"/>
      <c r="V1442" s="682"/>
      <c r="W1442" s="682"/>
    </row>
    <row r="1443" spans="1:23">
      <c r="A1443" s="1045">
        <f t="shared" si="23"/>
        <v>7</v>
      </c>
      <c r="B1443" s="134">
        <v>45490</v>
      </c>
      <c r="C1443" s="70">
        <v>2018</v>
      </c>
      <c r="D1443" s="70" t="s">
        <v>58</v>
      </c>
      <c r="E1443" s="280" t="s">
        <v>3711</v>
      </c>
      <c r="F1443" s="1049">
        <v>1001.25</v>
      </c>
      <c r="G1443" s="1049"/>
      <c r="H1443" s="564"/>
      <c r="I1443" s="609"/>
      <c r="J1443" s="1155"/>
      <c r="K1443" s="609"/>
      <c r="L1443" s="609"/>
      <c r="M1443" s="609"/>
      <c r="N1443" s="599"/>
      <c r="O1443" s="552" t="s">
        <v>1584</v>
      </c>
      <c r="P1443" s="603"/>
      <c r="Q1443" s="682"/>
      <c r="R1443" s="682"/>
      <c r="S1443" s="682"/>
      <c r="T1443" s="682"/>
      <c r="U1443" s="682"/>
      <c r="V1443" s="682"/>
      <c r="W1443" s="682"/>
    </row>
    <row r="1444" spans="1:23">
      <c r="A1444" s="1045">
        <f t="shared" si="23"/>
        <v>7</v>
      </c>
      <c r="B1444" s="134">
        <v>45490</v>
      </c>
      <c r="C1444" s="70">
        <v>5150</v>
      </c>
      <c r="D1444" s="70" t="s">
        <v>82</v>
      </c>
      <c r="E1444" s="280" t="s">
        <v>3712</v>
      </c>
      <c r="F1444" s="1049">
        <v>5730</v>
      </c>
      <c r="G1444" s="1049"/>
      <c r="H1444" s="564"/>
      <c r="I1444" s="609"/>
      <c r="J1444" s="1155"/>
      <c r="K1444" s="609"/>
      <c r="L1444" s="609"/>
      <c r="M1444" s="609"/>
      <c r="N1444" s="599"/>
      <c r="O1444" s="552" t="s">
        <v>1584</v>
      </c>
      <c r="P1444" s="603"/>
      <c r="Q1444" s="682"/>
      <c r="R1444" s="682"/>
      <c r="S1444" s="682"/>
      <c r="T1444" s="682"/>
      <c r="U1444" s="682"/>
      <c r="V1444" s="682"/>
      <c r="W1444" s="682"/>
    </row>
    <row r="1445" spans="1:23">
      <c r="A1445" s="1045">
        <f t="shared" si="23"/>
        <v>7</v>
      </c>
      <c r="B1445" s="134">
        <v>45490</v>
      </c>
      <c r="C1445" s="70">
        <v>2018</v>
      </c>
      <c r="D1445" s="70" t="s">
        <v>58</v>
      </c>
      <c r="E1445" s="280" t="s">
        <v>3712</v>
      </c>
      <c r="F1445" s="1049">
        <v>286.5</v>
      </c>
      <c r="G1445" s="1049"/>
      <c r="H1445" s="564"/>
      <c r="I1445" s="609"/>
      <c r="J1445" s="1155"/>
      <c r="K1445" s="609"/>
      <c r="L1445" s="609"/>
      <c r="M1445" s="609"/>
      <c r="N1445" s="599"/>
      <c r="O1445" s="552" t="s">
        <v>1584</v>
      </c>
      <c r="P1445" s="603"/>
      <c r="Q1445" s="682"/>
      <c r="R1445" s="682"/>
      <c r="S1445" s="682"/>
      <c r="T1445" s="682"/>
      <c r="U1445" s="682"/>
      <c r="V1445" s="682"/>
      <c r="W1445" s="682"/>
    </row>
    <row r="1446" spans="1:23">
      <c r="A1446" s="1045">
        <f t="shared" si="23"/>
        <v>7</v>
      </c>
      <c r="B1446" s="134">
        <v>45490</v>
      </c>
      <c r="C1446" s="70">
        <v>5150</v>
      </c>
      <c r="D1446" s="70" t="s">
        <v>82</v>
      </c>
      <c r="E1446" s="280" t="s">
        <v>3713</v>
      </c>
      <c r="F1446" s="1049">
        <v>11485</v>
      </c>
      <c r="G1446" s="1049"/>
      <c r="H1446" s="564"/>
      <c r="I1446" s="609"/>
      <c r="J1446" s="1155"/>
      <c r="K1446" s="609"/>
      <c r="L1446" s="609"/>
      <c r="M1446" s="609"/>
      <c r="N1446" s="599"/>
      <c r="O1446" s="552" t="s">
        <v>1584</v>
      </c>
      <c r="P1446" s="603"/>
      <c r="Q1446" s="682"/>
      <c r="R1446" s="682"/>
      <c r="S1446" s="682"/>
      <c r="T1446" s="682"/>
      <c r="U1446" s="682"/>
      <c r="V1446" s="682"/>
      <c r="W1446" s="682"/>
    </row>
    <row r="1447" spans="1:23">
      <c r="A1447" s="1045">
        <f t="shared" si="23"/>
        <v>7</v>
      </c>
      <c r="B1447" s="134">
        <v>45490</v>
      </c>
      <c r="C1447" s="70">
        <v>2018</v>
      </c>
      <c r="D1447" s="70" t="s">
        <v>58</v>
      </c>
      <c r="E1447" s="280" t="s">
        <v>3713</v>
      </c>
      <c r="F1447" s="1049">
        <v>574.25</v>
      </c>
      <c r="G1447" s="1049"/>
      <c r="H1447" s="564"/>
      <c r="I1447" s="609"/>
      <c r="J1447" s="1155"/>
      <c r="K1447" s="609"/>
      <c r="L1447" s="609"/>
      <c r="M1447" s="609"/>
      <c r="N1447" s="599"/>
      <c r="O1447" s="552" t="s">
        <v>1584</v>
      </c>
      <c r="P1447" s="603"/>
      <c r="Q1447" s="682"/>
      <c r="R1447" s="682"/>
      <c r="S1447" s="682"/>
      <c r="T1447" s="682"/>
      <c r="U1447" s="682"/>
      <c r="V1447" s="682"/>
      <c r="W1447" s="682"/>
    </row>
    <row r="1448" spans="1:23">
      <c r="A1448" s="1045">
        <f t="shared" si="23"/>
        <v>7</v>
      </c>
      <c r="B1448" s="134">
        <v>45490</v>
      </c>
      <c r="C1448" s="70">
        <v>5250</v>
      </c>
      <c r="D1448" s="70" t="s">
        <v>85</v>
      </c>
      <c r="E1448" s="280" t="s">
        <v>3714</v>
      </c>
      <c r="F1448" s="1049">
        <v>595</v>
      </c>
      <c r="G1448" s="1049"/>
      <c r="H1448" s="564"/>
      <c r="I1448" s="609"/>
      <c r="J1448" s="1155"/>
      <c r="K1448" s="609"/>
      <c r="L1448" s="609"/>
      <c r="M1448" s="609"/>
      <c r="N1448" s="599"/>
      <c r="O1448" s="552" t="s">
        <v>1584</v>
      </c>
      <c r="P1448" s="603"/>
      <c r="Q1448" s="682"/>
      <c r="R1448" s="682"/>
      <c r="S1448" s="682"/>
      <c r="T1448" s="682"/>
      <c r="U1448" s="682"/>
      <c r="V1448" s="682"/>
      <c r="W1448" s="682"/>
    </row>
    <row r="1449" spans="1:23">
      <c r="A1449" s="1045">
        <f t="shared" si="23"/>
        <v>7</v>
      </c>
      <c r="B1449" s="134">
        <v>45490</v>
      </c>
      <c r="C1449" s="70">
        <v>2018</v>
      </c>
      <c r="D1449" s="70" t="s">
        <v>58</v>
      </c>
      <c r="E1449" s="280" t="s">
        <v>3714</v>
      </c>
      <c r="F1449" s="1049">
        <v>29.75</v>
      </c>
      <c r="G1449" s="1049"/>
      <c r="H1449" s="564"/>
      <c r="I1449" s="609"/>
      <c r="J1449" s="1155"/>
      <c r="K1449" s="609"/>
      <c r="L1449" s="609"/>
      <c r="M1449" s="609"/>
      <c r="N1449" s="599"/>
      <c r="O1449" s="552" t="s">
        <v>1584</v>
      </c>
      <c r="P1449" s="603"/>
      <c r="Q1449" s="682"/>
      <c r="R1449" s="682"/>
      <c r="S1449" s="682"/>
      <c r="T1449" s="682"/>
      <c r="U1449" s="682"/>
      <c r="V1449" s="682"/>
      <c r="W1449" s="682"/>
    </row>
    <row r="1450" spans="1:23">
      <c r="A1450" s="1045">
        <f t="shared" si="23"/>
        <v>7</v>
      </c>
      <c r="B1450" s="134">
        <v>45490</v>
      </c>
      <c r="C1450" s="70">
        <v>5250</v>
      </c>
      <c r="D1450" s="70" t="s">
        <v>85</v>
      </c>
      <c r="E1450" s="280" t="s">
        <v>3715</v>
      </c>
      <c r="F1450" s="1049">
        <v>595</v>
      </c>
      <c r="G1450" s="1049"/>
      <c r="H1450" s="564"/>
      <c r="I1450" s="609"/>
      <c r="J1450" s="1155"/>
      <c r="K1450" s="609"/>
      <c r="L1450" s="609"/>
      <c r="M1450" s="609"/>
      <c r="N1450" s="599"/>
      <c r="O1450" s="552" t="s">
        <v>1584</v>
      </c>
      <c r="P1450" s="603"/>
      <c r="Q1450" s="682"/>
      <c r="R1450" s="682"/>
      <c r="S1450" s="682"/>
      <c r="T1450" s="682"/>
      <c r="U1450" s="682"/>
      <c r="V1450" s="682"/>
      <c r="W1450" s="682"/>
    </row>
    <row r="1451" spans="1:23">
      <c r="A1451" s="1045">
        <f t="shared" si="23"/>
        <v>7</v>
      </c>
      <c r="B1451" s="134">
        <v>45490</v>
      </c>
      <c r="C1451" s="70">
        <v>2018</v>
      </c>
      <c r="D1451" s="70" t="s">
        <v>58</v>
      </c>
      <c r="E1451" s="280" t="s">
        <v>3715</v>
      </c>
      <c r="F1451" s="1049">
        <v>29.75</v>
      </c>
      <c r="G1451" s="1049"/>
      <c r="H1451" s="564"/>
      <c r="I1451" s="609"/>
      <c r="J1451" s="1155"/>
      <c r="K1451" s="609"/>
      <c r="L1451" s="609"/>
      <c r="M1451" s="609"/>
      <c r="N1451" s="599"/>
      <c r="O1451" s="552" t="s">
        <v>1584</v>
      </c>
      <c r="P1451" s="603"/>
      <c r="Q1451" s="682"/>
      <c r="R1451" s="682"/>
      <c r="S1451" s="682"/>
      <c r="T1451" s="682"/>
      <c r="U1451" s="682"/>
      <c r="V1451" s="682"/>
      <c r="W1451" s="682"/>
    </row>
    <row r="1452" spans="1:23">
      <c r="A1452" s="1045">
        <f t="shared" si="23"/>
        <v>7</v>
      </c>
      <c r="B1452" s="134">
        <v>45490</v>
      </c>
      <c r="C1452" s="70">
        <v>5250</v>
      </c>
      <c r="D1452" s="70" t="s">
        <v>85</v>
      </c>
      <c r="E1452" s="280" t="s">
        <v>3716</v>
      </c>
      <c r="F1452" s="1049">
        <v>220</v>
      </c>
      <c r="G1452" s="1049"/>
      <c r="H1452" s="564"/>
      <c r="I1452" s="609"/>
      <c r="J1452" s="1155"/>
      <c r="K1452" s="609"/>
      <c r="L1452" s="609"/>
      <c r="M1452" s="609"/>
      <c r="N1452" s="599"/>
      <c r="O1452" s="552" t="s">
        <v>1584</v>
      </c>
      <c r="P1452" s="603"/>
      <c r="Q1452" s="682"/>
      <c r="R1452" s="682"/>
      <c r="S1452" s="682"/>
      <c r="T1452" s="682"/>
      <c r="U1452" s="682"/>
      <c r="V1452" s="682"/>
      <c r="W1452" s="682"/>
    </row>
    <row r="1453" spans="1:23">
      <c r="A1453" s="1045">
        <f t="shared" si="23"/>
        <v>7</v>
      </c>
      <c r="B1453" s="134">
        <v>45490</v>
      </c>
      <c r="C1453" s="70">
        <v>2018</v>
      </c>
      <c r="D1453" s="70" t="s">
        <v>58</v>
      </c>
      <c r="E1453" s="280" t="s">
        <v>3716</v>
      </c>
      <c r="F1453" s="1049">
        <v>11</v>
      </c>
      <c r="G1453" s="1049"/>
      <c r="H1453" s="564"/>
      <c r="I1453" s="609"/>
      <c r="J1453" s="1155"/>
      <c r="K1453" s="609"/>
      <c r="L1453" s="609"/>
      <c r="M1453" s="609"/>
      <c r="N1453" s="599"/>
      <c r="O1453" s="552" t="s">
        <v>1584</v>
      </c>
      <c r="P1453" s="603"/>
      <c r="Q1453" s="682"/>
      <c r="R1453" s="682"/>
      <c r="S1453" s="682"/>
      <c r="T1453" s="682"/>
      <c r="U1453" s="682"/>
      <c r="V1453" s="682"/>
      <c r="W1453" s="682"/>
    </row>
    <row r="1454" spans="1:23">
      <c r="A1454" s="1045">
        <f t="shared" si="23"/>
        <v>7</v>
      </c>
      <c r="B1454" s="134">
        <v>45490</v>
      </c>
      <c r="C1454" s="70">
        <v>5250</v>
      </c>
      <c r="D1454" s="70" t="s">
        <v>85</v>
      </c>
      <c r="E1454" s="280" t="s">
        <v>3717</v>
      </c>
      <c r="F1454" s="1049">
        <v>383</v>
      </c>
      <c r="G1454" s="1049"/>
      <c r="H1454" s="564"/>
      <c r="I1454" s="609"/>
      <c r="J1454" s="1155"/>
      <c r="K1454" s="609"/>
      <c r="L1454" s="609"/>
      <c r="M1454" s="609"/>
      <c r="N1454" s="599"/>
      <c r="O1454" s="552" t="s">
        <v>1584</v>
      </c>
      <c r="P1454" s="603"/>
      <c r="Q1454" s="682"/>
      <c r="R1454" s="682"/>
      <c r="S1454" s="682"/>
      <c r="T1454" s="682"/>
      <c r="U1454" s="682"/>
      <c r="V1454" s="682"/>
      <c r="W1454" s="682"/>
    </row>
    <row r="1455" spans="1:23">
      <c r="A1455" s="1045">
        <f t="shared" si="23"/>
        <v>7</v>
      </c>
      <c r="B1455" s="134">
        <v>45490</v>
      </c>
      <c r="C1455" s="70">
        <v>2018</v>
      </c>
      <c r="D1455" s="70" t="s">
        <v>58</v>
      </c>
      <c r="E1455" s="280" t="s">
        <v>3717</v>
      </c>
      <c r="F1455" s="1049">
        <v>19.149999999999999</v>
      </c>
      <c r="G1455" s="1049"/>
      <c r="H1455" s="564"/>
      <c r="I1455" s="609"/>
      <c r="J1455" s="1155"/>
      <c r="K1455" s="609"/>
      <c r="L1455" s="609"/>
      <c r="M1455" s="609"/>
      <c r="N1455" s="599"/>
      <c r="O1455" s="552" t="s">
        <v>1584</v>
      </c>
      <c r="P1455" s="603"/>
      <c r="Q1455" s="682"/>
      <c r="R1455" s="682"/>
      <c r="S1455" s="682"/>
      <c r="T1455" s="682"/>
      <c r="U1455" s="682"/>
      <c r="V1455" s="682"/>
      <c r="W1455" s="682"/>
    </row>
    <row r="1456" spans="1:23">
      <c r="A1456" s="1045">
        <f t="shared" si="23"/>
        <v>7</v>
      </c>
      <c r="B1456" s="134">
        <v>45490</v>
      </c>
      <c r="C1456" s="70">
        <v>5250</v>
      </c>
      <c r="D1456" s="70" t="s">
        <v>85</v>
      </c>
      <c r="E1456" s="280" t="s">
        <v>3718</v>
      </c>
      <c r="F1456" s="1049">
        <v>30</v>
      </c>
      <c r="G1456" s="1049"/>
      <c r="H1456" s="564"/>
      <c r="I1456" s="609"/>
      <c r="J1456" s="1155"/>
      <c r="K1456" s="609"/>
      <c r="L1456" s="609"/>
      <c r="M1456" s="609"/>
      <c r="N1456" s="599"/>
      <c r="O1456" s="552" t="s">
        <v>1584</v>
      </c>
      <c r="P1456" s="603"/>
      <c r="Q1456" s="682"/>
      <c r="R1456" s="682"/>
      <c r="S1456" s="682"/>
      <c r="T1456" s="682"/>
      <c r="U1456" s="682"/>
      <c r="V1456" s="682"/>
      <c r="W1456" s="682"/>
    </row>
    <row r="1457" spans="1:23">
      <c r="A1457" s="1045">
        <f t="shared" si="23"/>
        <v>7</v>
      </c>
      <c r="B1457" s="134">
        <v>45490</v>
      </c>
      <c r="C1457" s="70">
        <v>2018</v>
      </c>
      <c r="D1457" s="70" t="s">
        <v>58</v>
      </c>
      <c r="E1457" s="280" t="s">
        <v>3718</v>
      </c>
      <c r="F1457" s="1049">
        <v>1.5</v>
      </c>
      <c r="G1457" s="1049"/>
      <c r="H1457" s="564"/>
      <c r="I1457" s="609"/>
      <c r="J1457" s="1155"/>
      <c r="K1457" s="609"/>
      <c r="L1457" s="609"/>
      <c r="M1457" s="609"/>
      <c r="N1457" s="599"/>
      <c r="O1457" s="552" t="s">
        <v>1584</v>
      </c>
      <c r="P1457" s="603"/>
      <c r="Q1457" s="682"/>
      <c r="R1457" s="682"/>
      <c r="S1457" s="682"/>
      <c r="T1457" s="682"/>
      <c r="U1457" s="682"/>
      <c r="V1457" s="682"/>
      <c r="W1457" s="682"/>
    </row>
    <row r="1458" spans="1:23">
      <c r="A1458" s="1045">
        <f t="shared" si="23"/>
        <v>7</v>
      </c>
      <c r="B1458" s="134">
        <v>45491</v>
      </c>
      <c r="C1458" s="70">
        <v>5200</v>
      </c>
      <c r="D1458" s="70" t="s">
        <v>83</v>
      </c>
      <c r="E1458" s="280" t="s">
        <v>3719</v>
      </c>
      <c r="F1458" s="1049">
        <v>4952.95</v>
      </c>
      <c r="G1458" s="1049"/>
      <c r="H1458" s="564"/>
      <c r="I1458" s="609"/>
      <c r="J1458" s="1155"/>
      <c r="K1458" s="609"/>
      <c r="L1458" s="609"/>
      <c r="M1458" s="609"/>
      <c r="N1458" s="599"/>
      <c r="O1458" s="552" t="s">
        <v>1584</v>
      </c>
      <c r="P1458" s="603"/>
      <c r="Q1458" s="682"/>
      <c r="R1458" s="682"/>
      <c r="S1458" s="682"/>
      <c r="T1458" s="682"/>
      <c r="U1458" s="682"/>
      <c r="V1458" s="682"/>
      <c r="W1458" s="682"/>
    </row>
    <row r="1459" spans="1:23">
      <c r="A1459" s="1045">
        <f t="shared" si="23"/>
        <v>7</v>
      </c>
      <c r="B1459" s="134">
        <v>45491</v>
      </c>
      <c r="C1459" s="70">
        <v>2018</v>
      </c>
      <c r="D1459" s="70" t="s">
        <v>58</v>
      </c>
      <c r="E1459" s="280" t="s">
        <v>3719</v>
      </c>
      <c r="F1459" s="1049">
        <v>247.66</v>
      </c>
      <c r="G1459" s="1049"/>
      <c r="H1459" s="564"/>
      <c r="I1459" s="609"/>
      <c r="J1459" s="1155"/>
      <c r="K1459" s="609"/>
      <c r="L1459" s="609"/>
      <c r="M1459" s="609"/>
      <c r="N1459" s="599"/>
      <c r="O1459" s="552" t="s">
        <v>1584</v>
      </c>
      <c r="P1459" s="603"/>
      <c r="Q1459" s="682"/>
      <c r="R1459" s="682"/>
      <c r="S1459" s="682"/>
      <c r="T1459" s="682"/>
      <c r="U1459" s="682"/>
      <c r="V1459" s="682"/>
      <c r="W1459" s="682"/>
    </row>
    <row r="1460" spans="1:23">
      <c r="A1460" s="1045">
        <f t="shared" si="23"/>
        <v>7</v>
      </c>
      <c r="B1460" s="134">
        <v>45491</v>
      </c>
      <c r="C1460" s="70">
        <v>5200</v>
      </c>
      <c r="D1460" s="70" t="s">
        <v>83</v>
      </c>
      <c r="E1460" s="280" t="s">
        <v>3720</v>
      </c>
      <c r="F1460" s="1049">
        <v>6141.72</v>
      </c>
      <c r="G1460" s="1049"/>
      <c r="H1460" s="564"/>
      <c r="I1460" s="609"/>
      <c r="J1460" s="1155"/>
      <c r="K1460" s="609"/>
      <c r="L1460" s="609"/>
      <c r="M1460" s="609"/>
      <c r="N1460" s="599"/>
      <c r="O1460" s="552" t="s">
        <v>1584</v>
      </c>
      <c r="P1460" s="603"/>
      <c r="Q1460" s="682"/>
      <c r="R1460" s="682"/>
      <c r="S1460" s="682"/>
      <c r="T1460" s="682"/>
      <c r="U1460" s="682"/>
      <c r="V1460" s="682"/>
      <c r="W1460" s="682"/>
    </row>
    <row r="1461" spans="1:23">
      <c r="A1461" s="1045">
        <f t="shared" si="23"/>
        <v>7</v>
      </c>
      <c r="B1461" s="134">
        <v>45491</v>
      </c>
      <c r="C1461" s="70">
        <v>2018</v>
      </c>
      <c r="D1461" s="70" t="s">
        <v>58</v>
      </c>
      <c r="E1461" s="280" t="s">
        <v>3720</v>
      </c>
      <c r="F1461" s="1049">
        <v>307.08</v>
      </c>
      <c r="G1461" s="1049"/>
      <c r="H1461" s="564"/>
      <c r="I1461" s="609"/>
      <c r="J1461" s="1155"/>
      <c r="K1461" s="609"/>
      <c r="L1461" s="609"/>
      <c r="M1461" s="609"/>
      <c r="N1461" s="599"/>
      <c r="O1461" s="552" t="s">
        <v>1584</v>
      </c>
      <c r="P1461" s="603"/>
      <c r="Q1461" s="682"/>
      <c r="R1461" s="682"/>
      <c r="S1461" s="682"/>
      <c r="T1461" s="682"/>
      <c r="U1461" s="682"/>
      <c r="V1461" s="682"/>
      <c r="W1461" s="682"/>
    </row>
    <row r="1462" spans="1:23">
      <c r="A1462" s="1045">
        <f t="shared" si="23"/>
        <v>7</v>
      </c>
      <c r="B1462" s="134">
        <v>45491</v>
      </c>
      <c r="C1462" s="70">
        <v>5250</v>
      </c>
      <c r="D1462" s="70" t="s">
        <v>85</v>
      </c>
      <c r="E1462" s="280" t="s">
        <v>3721</v>
      </c>
      <c r="F1462" s="1049">
        <v>17.25</v>
      </c>
      <c r="G1462" s="1049"/>
      <c r="H1462" s="564"/>
      <c r="I1462" s="609"/>
      <c r="J1462" s="1155"/>
      <c r="K1462" s="609"/>
      <c r="L1462" s="609"/>
      <c r="M1462" s="609"/>
      <c r="N1462" s="599"/>
      <c r="O1462" s="552" t="s">
        <v>1584</v>
      </c>
      <c r="P1462" s="603"/>
      <c r="Q1462" s="682"/>
      <c r="R1462" s="682"/>
      <c r="S1462" s="682"/>
      <c r="T1462" s="682"/>
      <c r="U1462" s="682"/>
      <c r="V1462" s="682"/>
      <c r="W1462" s="682"/>
    </row>
    <row r="1463" spans="1:23">
      <c r="A1463" s="1045">
        <f t="shared" si="23"/>
        <v>7</v>
      </c>
      <c r="B1463" s="134">
        <v>45491</v>
      </c>
      <c r="C1463" s="70">
        <v>2018</v>
      </c>
      <c r="D1463" s="70" t="s">
        <v>58</v>
      </c>
      <c r="E1463" s="280" t="s">
        <v>3721</v>
      </c>
      <c r="F1463" s="1049">
        <v>0.86</v>
      </c>
      <c r="G1463" s="1049"/>
      <c r="H1463" s="564"/>
      <c r="I1463" s="609"/>
      <c r="J1463" s="1155"/>
      <c r="K1463" s="609"/>
      <c r="L1463" s="609"/>
      <c r="M1463" s="609"/>
      <c r="N1463" s="599"/>
      <c r="O1463" s="552" t="s">
        <v>1584</v>
      </c>
      <c r="P1463" s="603"/>
      <c r="Q1463" s="682"/>
      <c r="R1463" s="682"/>
      <c r="S1463" s="682"/>
      <c r="T1463" s="682"/>
      <c r="U1463" s="682"/>
      <c r="V1463" s="682"/>
      <c r="W1463" s="682"/>
    </row>
    <row r="1464" spans="1:23">
      <c r="A1464" s="1045">
        <f t="shared" si="23"/>
        <v>7</v>
      </c>
      <c r="B1464" s="134">
        <v>45491</v>
      </c>
      <c r="C1464" s="70">
        <v>5250</v>
      </c>
      <c r="D1464" s="70" t="s">
        <v>85</v>
      </c>
      <c r="E1464" s="280" t="s">
        <v>3722</v>
      </c>
      <c r="F1464" s="1049">
        <v>50</v>
      </c>
      <c r="G1464" s="1049"/>
      <c r="H1464" s="564"/>
      <c r="I1464" s="609"/>
      <c r="J1464" s="1155"/>
      <c r="K1464" s="609"/>
      <c r="L1464" s="609"/>
      <c r="M1464" s="609"/>
      <c r="N1464" s="599"/>
      <c r="O1464" s="552" t="s">
        <v>1584</v>
      </c>
      <c r="P1464" s="603"/>
      <c r="Q1464" s="682"/>
      <c r="R1464" s="682"/>
      <c r="S1464" s="682"/>
      <c r="T1464" s="682"/>
      <c r="U1464" s="682"/>
      <c r="V1464" s="682"/>
      <c r="W1464" s="682"/>
    </row>
    <row r="1465" spans="1:23">
      <c r="A1465" s="1045">
        <f t="shared" si="23"/>
        <v>7</v>
      </c>
      <c r="B1465" s="134">
        <v>45491</v>
      </c>
      <c r="C1465" s="70">
        <v>2018</v>
      </c>
      <c r="D1465" s="70" t="s">
        <v>58</v>
      </c>
      <c r="E1465" s="280" t="s">
        <v>3722</v>
      </c>
      <c r="F1465" s="1049">
        <v>2.5</v>
      </c>
      <c r="G1465" s="1049"/>
      <c r="H1465" s="564"/>
      <c r="I1465" s="609"/>
      <c r="J1465" s="1155"/>
      <c r="K1465" s="609"/>
      <c r="L1465" s="609"/>
      <c r="M1465" s="609"/>
      <c r="N1465" s="599"/>
      <c r="O1465" s="552" t="s">
        <v>1584</v>
      </c>
      <c r="P1465" s="603"/>
      <c r="Q1465" s="682"/>
      <c r="R1465" s="682"/>
      <c r="S1465" s="682"/>
      <c r="T1465" s="682"/>
      <c r="U1465" s="682"/>
      <c r="V1465" s="682"/>
      <c r="W1465" s="682"/>
    </row>
    <row r="1466" spans="1:23">
      <c r="A1466" s="1045">
        <f t="shared" si="23"/>
        <v>7</v>
      </c>
      <c r="B1466" s="134">
        <v>45491</v>
      </c>
      <c r="C1466" s="70">
        <v>5200</v>
      </c>
      <c r="D1466" s="70" t="s">
        <v>83</v>
      </c>
      <c r="E1466" s="280" t="s">
        <v>3723</v>
      </c>
      <c r="F1466" s="1049">
        <v>467.1</v>
      </c>
      <c r="G1466" s="1049"/>
      <c r="H1466" s="564"/>
      <c r="I1466" s="609"/>
      <c r="J1466" s="1155"/>
      <c r="K1466" s="609"/>
      <c r="L1466" s="609"/>
      <c r="M1466" s="609"/>
      <c r="N1466" s="599"/>
      <c r="O1466" s="552" t="s">
        <v>1584</v>
      </c>
      <c r="P1466" s="603"/>
      <c r="Q1466" s="682"/>
      <c r="R1466" s="682"/>
      <c r="S1466" s="682"/>
      <c r="T1466" s="682"/>
      <c r="U1466" s="682"/>
      <c r="V1466" s="682"/>
      <c r="W1466" s="682"/>
    </row>
    <row r="1467" spans="1:23">
      <c r="A1467" s="1045">
        <f t="shared" si="23"/>
        <v>7</v>
      </c>
      <c r="B1467" s="134">
        <v>45491</v>
      </c>
      <c r="C1467" s="70">
        <v>2018</v>
      </c>
      <c r="D1467" s="70" t="s">
        <v>58</v>
      </c>
      <c r="E1467" s="280" t="s">
        <v>3723</v>
      </c>
      <c r="F1467" s="1049">
        <v>23.36</v>
      </c>
      <c r="G1467" s="1049"/>
      <c r="H1467" s="564"/>
      <c r="I1467" s="609"/>
      <c r="J1467" s="1155"/>
      <c r="K1467" s="609"/>
      <c r="L1467" s="609"/>
      <c r="M1467" s="609"/>
      <c r="N1467" s="599"/>
      <c r="O1467" s="552" t="s">
        <v>1584</v>
      </c>
      <c r="P1467" s="603"/>
      <c r="Q1467" s="682"/>
      <c r="R1467" s="682"/>
      <c r="S1467" s="682"/>
      <c r="T1467" s="682"/>
      <c r="U1467" s="682"/>
      <c r="V1467" s="682"/>
      <c r="W1467" s="682"/>
    </row>
    <row r="1468" spans="1:23">
      <c r="A1468" s="1045">
        <f t="shared" si="23"/>
        <v>7</v>
      </c>
      <c r="B1468" s="134">
        <v>45491</v>
      </c>
      <c r="C1468" s="70">
        <v>5250</v>
      </c>
      <c r="D1468" s="70" t="s">
        <v>85</v>
      </c>
      <c r="E1468" s="280" t="s">
        <v>3724</v>
      </c>
      <c r="F1468" s="1049">
        <v>1493</v>
      </c>
      <c r="G1468" s="1049"/>
      <c r="H1468" s="564"/>
      <c r="I1468" s="609"/>
      <c r="J1468" s="1155"/>
      <c r="K1468" s="609"/>
      <c r="L1468" s="609"/>
      <c r="M1468" s="609"/>
      <c r="N1468" s="599"/>
      <c r="O1468" s="552" t="s">
        <v>1584</v>
      </c>
      <c r="P1468" s="603"/>
      <c r="Q1468" s="682"/>
      <c r="R1468" s="682"/>
      <c r="S1468" s="682"/>
      <c r="T1468" s="682"/>
      <c r="U1468" s="682"/>
      <c r="V1468" s="682"/>
      <c r="W1468" s="682"/>
    </row>
    <row r="1469" spans="1:23">
      <c r="A1469" s="1045">
        <f t="shared" si="23"/>
        <v>7</v>
      </c>
      <c r="B1469" s="134">
        <v>45491</v>
      </c>
      <c r="C1469" s="70">
        <v>2018</v>
      </c>
      <c r="D1469" s="70" t="s">
        <v>58</v>
      </c>
      <c r="E1469" s="280" t="s">
        <v>3724</v>
      </c>
      <c r="F1469" s="1049">
        <v>74.650000000000006</v>
      </c>
      <c r="G1469" s="1049"/>
      <c r="H1469" s="564"/>
      <c r="I1469" s="609"/>
      <c r="J1469" s="1155"/>
      <c r="K1469" s="609"/>
      <c r="L1469" s="609"/>
      <c r="M1469" s="609"/>
      <c r="N1469" s="599"/>
      <c r="O1469" s="552" t="s">
        <v>1584</v>
      </c>
      <c r="P1469" s="603"/>
      <c r="Q1469" s="682"/>
      <c r="R1469" s="682"/>
      <c r="S1469" s="682"/>
      <c r="T1469" s="682"/>
      <c r="U1469" s="682"/>
      <c r="V1469" s="682"/>
      <c r="W1469" s="682"/>
    </row>
    <row r="1470" spans="1:23">
      <c r="A1470" s="1045">
        <f t="shared" si="23"/>
        <v>7</v>
      </c>
      <c r="B1470" s="134">
        <v>45491</v>
      </c>
      <c r="C1470" s="70">
        <v>5250</v>
      </c>
      <c r="D1470" s="70" t="s">
        <v>85</v>
      </c>
      <c r="E1470" s="280" t="s">
        <v>3725</v>
      </c>
      <c r="F1470" s="1049">
        <v>193</v>
      </c>
      <c r="G1470" s="1049"/>
      <c r="H1470" s="564"/>
      <c r="I1470" s="609"/>
      <c r="J1470" s="1155"/>
      <c r="K1470" s="609"/>
      <c r="L1470" s="609"/>
      <c r="M1470" s="609"/>
      <c r="N1470" s="599"/>
      <c r="O1470" s="552" t="s">
        <v>1584</v>
      </c>
      <c r="P1470" s="603"/>
      <c r="Q1470" s="682"/>
      <c r="R1470" s="682"/>
      <c r="S1470" s="682"/>
      <c r="T1470" s="682"/>
      <c r="U1470" s="682"/>
      <c r="V1470" s="682"/>
      <c r="W1470" s="682"/>
    </row>
    <row r="1471" spans="1:23">
      <c r="A1471" s="1045">
        <f t="shared" si="23"/>
        <v>7</v>
      </c>
      <c r="B1471" s="134">
        <v>45491</v>
      </c>
      <c r="C1471" s="70">
        <v>2018</v>
      </c>
      <c r="D1471" s="70" t="s">
        <v>58</v>
      </c>
      <c r="E1471" s="280" t="s">
        <v>3725</v>
      </c>
      <c r="F1471" s="1049">
        <v>9.65</v>
      </c>
      <c r="G1471" s="1049"/>
      <c r="H1471" s="564"/>
      <c r="I1471" s="609"/>
      <c r="J1471" s="1155"/>
      <c r="K1471" s="609"/>
      <c r="L1471" s="609"/>
      <c r="M1471" s="609"/>
      <c r="N1471" s="599"/>
      <c r="O1471" s="552" t="s">
        <v>1584</v>
      </c>
      <c r="P1471" s="603"/>
      <c r="Q1471" s="682"/>
      <c r="R1471" s="682"/>
      <c r="S1471" s="682"/>
      <c r="T1471" s="682"/>
      <c r="U1471" s="682"/>
      <c r="V1471" s="682"/>
      <c r="W1471" s="682"/>
    </row>
    <row r="1472" spans="1:23">
      <c r="A1472" s="1045">
        <f t="shared" si="23"/>
        <v>7</v>
      </c>
      <c r="B1472" s="134">
        <v>45491</v>
      </c>
      <c r="C1472" s="70">
        <v>5250</v>
      </c>
      <c r="D1472" s="70" t="s">
        <v>85</v>
      </c>
      <c r="E1472" s="280" t="s">
        <v>3726</v>
      </c>
      <c r="F1472" s="1049">
        <v>15</v>
      </c>
      <c r="G1472" s="1049"/>
      <c r="H1472" s="564"/>
      <c r="I1472" s="609"/>
      <c r="J1472" s="1155"/>
      <c r="K1472" s="609"/>
      <c r="L1472" s="609"/>
      <c r="M1472" s="609"/>
      <c r="N1472" s="599"/>
      <c r="O1472" s="552" t="s">
        <v>1584</v>
      </c>
      <c r="P1472" s="603"/>
      <c r="Q1472" s="682"/>
      <c r="R1472" s="682"/>
      <c r="S1472" s="682"/>
      <c r="T1472" s="682"/>
      <c r="U1472" s="682"/>
      <c r="V1472" s="682"/>
      <c r="W1472" s="682"/>
    </row>
    <row r="1473" spans="1:23">
      <c r="A1473" s="1045">
        <f t="shared" si="23"/>
        <v>7</v>
      </c>
      <c r="B1473" s="134">
        <v>45491</v>
      </c>
      <c r="C1473" s="70">
        <v>2018</v>
      </c>
      <c r="D1473" s="70" t="s">
        <v>58</v>
      </c>
      <c r="E1473" s="280" t="s">
        <v>3726</v>
      </c>
      <c r="F1473" s="1049">
        <v>0.75</v>
      </c>
      <c r="G1473" s="1049"/>
      <c r="H1473" s="564"/>
      <c r="I1473" s="609"/>
      <c r="J1473" s="1155"/>
      <c r="K1473" s="609"/>
      <c r="L1473" s="609"/>
      <c r="M1473" s="609"/>
      <c r="N1473" s="599"/>
      <c r="O1473" s="552" t="s">
        <v>1584</v>
      </c>
      <c r="P1473" s="603"/>
      <c r="Q1473" s="682"/>
      <c r="R1473" s="682"/>
      <c r="S1473" s="682"/>
      <c r="T1473" s="682"/>
      <c r="U1473" s="682"/>
      <c r="V1473" s="682"/>
      <c r="W1473" s="682"/>
    </row>
    <row r="1474" spans="1:23">
      <c r="A1474" s="1045">
        <f t="shared" si="23"/>
        <v>7</v>
      </c>
      <c r="B1474" s="134">
        <v>45491</v>
      </c>
      <c r="C1474" s="70">
        <v>5250</v>
      </c>
      <c r="D1474" s="70" t="s">
        <v>85</v>
      </c>
      <c r="E1474" s="280" t="s">
        <v>3727</v>
      </c>
      <c r="F1474" s="1049">
        <v>833.32</v>
      </c>
      <c r="G1474" s="1049"/>
      <c r="H1474" s="564"/>
      <c r="I1474" s="609"/>
      <c r="J1474" s="1155"/>
      <c r="K1474" s="609"/>
      <c r="L1474" s="609"/>
      <c r="M1474" s="609"/>
      <c r="N1474" s="599"/>
      <c r="O1474" s="552" t="s">
        <v>1584</v>
      </c>
      <c r="P1474" s="603"/>
      <c r="Q1474" s="682"/>
      <c r="R1474" s="682"/>
      <c r="S1474" s="682"/>
      <c r="T1474" s="682"/>
      <c r="U1474" s="682"/>
      <c r="V1474" s="682"/>
      <c r="W1474" s="682"/>
    </row>
    <row r="1475" spans="1:23">
      <c r="A1475" s="1045">
        <f t="shared" si="23"/>
        <v>7</v>
      </c>
      <c r="B1475" s="134">
        <v>45491</v>
      </c>
      <c r="C1475" s="70">
        <v>2018</v>
      </c>
      <c r="D1475" s="70" t="s">
        <v>58</v>
      </c>
      <c r="E1475" s="280" t="s">
        <v>3727</v>
      </c>
      <c r="F1475" s="1049">
        <v>41.67</v>
      </c>
      <c r="G1475" s="1049"/>
      <c r="H1475" s="564"/>
      <c r="I1475" s="609"/>
      <c r="J1475" s="1155"/>
      <c r="K1475" s="609"/>
      <c r="L1475" s="609"/>
      <c r="M1475" s="609"/>
      <c r="N1475" s="599"/>
      <c r="O1475" s="552" t="s">
        <v>1584</v>
      </c>
      <c r="P1475" s="603"/>
      <c r="Q1475" s="682"/>
      <c r="R1475" s="682"/>
      <c r="S1475" s="682"/>
      <c r="T1475" s="682"/>
      <c r="U1475" s="682"/>
      <c r="V1475" s="682"/>
      <c r="W1475" s="682"/>
    </row>
    <row r="1476" spans="1:23">
      <c r="A1476" s="1045">
        <f t="shared" si="23"/>
        <v>7</v>
      </c>
      <c r="B1476" s="134">
        <v>45492</v>
      </c>
      <c r="C1476" s="70">
        <v>5250</v>
      </c>
      <c r="D1476" s="70" t="s">
        <v>85</v>
      </c>
      <c r="E1476" s="280" t="s">
        <v>3728</v>
      </c>
      <c r="F1476" s="1049">
        <v>201.5</v>
      </c>
      <c r="G1476" s="1049"/>
      <c r="H1476" s="564"/>
      <c r="I1476" s="609"/>
      <c r="J1476" s="1155"/>
      <c r="K1476" s="609"/>
      <c r="L1476" s="609"/>
      <c r="M1476" s="609"/>
      <c r="N1476" s="599"/>
      <c r="O1476" s="552" t="s">
        <v>1584</v>
      </c>
      <c r="P1476" s="603"/>
      <c r="Q1476" s="682"/>
      <c r="R1476" s="682"/>
      <c r="S1476" s="682"/>
      <c r="T1476" s="682"/>
      <c r="U1476" s="682"/>
      <c r="V1476" s="682"/>
      <c r="W1476" s="682"/>
    </row>
    <row r="1477" spans="1:23">
      <c r="A1477" s="1045">
        <f t="shared" si="23"/>
        <v>7</v>
      </c>
      <c r="B1477" s="134">
        <v>45492</v>
      </c>
      <c r="C1477" s="70">
        <v>2018</v>
      </c>
      <c r="D1477" s="70" t="s">
        <v>58</v>
      </c>
      <c r="E1477" s="280" t="s">
        <v>3728</v>
      </c>
      <c r="F1477" s="1049">
        <v>10.08</v>
      </c>
      <c r="G1477" s="1049"/>
      <c r="H1477" s="564"/>
      <c r="I1477" s="609"/>
      <c r="J1477" s="1155"/>
      <c r="K1477" s="609"/>
      <c r="L1477" s="609"/>
      <c r="M1477" s="609"/>
      <c r="N1477" s="599"/>
      <c r="O1477" s="552" t="s">
        <v>1584</v>
      </c>
      <c r="P1477" s="603"/>
      <c r="Q1477" s="682"/>
      <c r="R1477" s="682"/>
      <c r="S1477" s="682"/>
      <c r="T1477" s="682"/>
      <c r="U1477" s="682"/>
      <c r="V1477" s="682"/>
      <c r="W1477" s="682"/>
    </row>
    <row r="1478" spans="1:23">
      <c r="A1478" s="1045">
        <f t="shared" si="23"/>
        <v>7</v>
      </c>
      <c r="B1478" s="134">
        <v>45492</v>
      </c>
      <c r="C1478" s="70">
        <v>5250</v>
      </c>
      <c r="D1478" s="70" t="s">
        <v>85</v>
      </c>
      <c r="E1478" s="280" t="s">
        <v>3729</v>
      </c>
      <c r="F1478" s="1049">
        <v>18.95</v>
      </c>
      <c r="G1478" s="1049"/>
      <c r="H1478" s="564"/>
      <c r="I1478" s="609"/>
      <c r="J1478" s="1155"/>
      <c r="K1478" s="609"/>
      <c r="L1478" s="609"/>
      <c r="M1478" s="609"/>
      <c r="N1478" s="599"/>
      <c r="O1478" s="552" t="s">
        <v>1584</v>
      </c>
      <c r="P1478" s="603"/>
      <c r="Q1478" s="682"/>
      <c r="R1478" s="682"/>
      <c r="S1478" s="682"/>
      <c r="T1478" s="682"/>
      <c r="U1478" s="682"/>
      <c r="V1478" s="682"/>
      <c r="W1478" s="682"/>
    </row>
    <row r="1479" spans="1:23">
      <c r="A1479" s="1045">
        <f t="shared" si="23"/>
        <v>7</v>
      </c>
      <c r="B1479" s="134">
        <v>45492</v>
      </c>
      <c r="C1479" s="70">
        <v>2018</v>
      </c>
      <c r="D1479" s="70" t="s">
        <v>58</v>
      </c>
      <c r="E1479" s="280" t="s">
        <v>3729</v>
      </c>
      <c r="F1479" s="1049">
        <v>0.95</v>
      </c>
      <c r="G1479" s="1049"/>
      <c r="H1479" s="564"/>
      <c r="I1479" s="609"/>
      <c r="J1479" s="1155"/>
      <c r="K1479" s="609"/>
      <c r="L1479" s="609"/>
      <c r="M1479" s="609"/>
      <c r="N1479" s="599"/>
      <c r="O1479" s="552" t="s">
        <v>1584</v>
      </c>
      <c r="P1479" s="603"/>
      <c r="Q1479" s="682"/>
      <c r="R1479" s="682"/>
      <c r="S1479" s="682"/>
      <c r="T1479" s="682"/>
      <c r="U1479" s="682"/>
      <c r="V1479" s="682"/>
      <c r="W1479" s="682"/>
    </row>
    <row r="1480" spans="1:23">
      <c r="A1480" s="1045">
        <f t="shared" si="23"/>
        <v>7</v>
      </c>
      <c r="B1480" s="134">
        <v>45492</v>
      </c>
      <c r="C1480" s="70">
        <v>5250</v>
      </c>
      <c r="D1480" s="70" t="s">
        <v>85</v>
      </c>
      <c r="E1480" s="280" t="s">
        <v>3730</v>
      </c>
      <c r="F1480" s="1049">
        <v>48.4</v>
      </c>
      <c r="G1480" s="1049"/>
      <c r="H1480" s="564"/>
      <c r="I1480" s="609"/>
      <c r="J1480" s="1155"/>
      <c r="K1480" s="609"/>
      <c r="L1480" s="609"/>
      <c r="M1480" s="609"/>
      <c r="N1480" s="599"/>
      <c r="O1480" s="552" t="s">
        <v>1584</v>
      </c>
      <c r="P1480" s="603"/>
      <c r="Q1480" s="682"/>
      <c r="R1480" s="682"/>
      <c r="S1480" s="682"/>
      <c r="T1480" s="682"/>
      <c r="U1480" s="682"/>
      <c r="V1480" s="682"/>
      <c r="W1480" s="682"/>
    </row>
    <row r="1481" spans="1:23">
      <c r="A1481" s="1045">
        <f t="shared" si="23"/>
        <v>7</v>
      </c>
      <c r="B1481" s="134">
        <v>45492</v>
      </c>
      <c r="C1481" s="70">
        <v>2018</v>
      </c>
      <c r="D1481" s="70" t="s">
        <v>58</v>
      </c>
      <c r="E1481" s="280" t="s">
        <v>3730</v>
      </c>
      <c r="F1481" s="1049">
        <v>2.42</v>
      </c>
      <c r="G1481" s="1049"/>
      <c r="H1481" s="564"/>
      <c r="I1481" s="609"/>
      <c r="J1481" s="1155"/>
      <c r="K1481" s="609"/>
      <c r="L1481" s="609"/>
      <c r="M1481" s="609"/>
      <c r="N1481" s="599"/>
      <c r="O1481" s="552" t="s">
        <v>1584</v>
      </c>
      <c r="P1481" s="603"/>
      <c r="Q1481" s="682"/>
      <c r="R1481" s="682"/>
      <c r="S1481" s="682"/>
      <c r="T1481" s="682"/>
      <c r="U1481" s="682"/>
      <c r="V1481" s="682"/>
      <c r="W1481" s="682"/>
    </row>
    <row r="1482" spans="1:23">
      <c r="A1482" s="1045">
        <f t="shared" si="23"/>
        <v>7</v>
      </c>
      <c r="B1482" s="134">
        <v>45492</v>
      </c>
      <c r="C1482" s="70">
        <v>5250</v>
      </c>
      <c r="D1482" s="70" t="s">
        <v>85</v>
      </c>
      <c r="E1482" s="280" t="s">
        <v>3731</v>
      </c>
      <c r="F1482" s="1049">
        <v>143.69999999999999</v>
      </c>
      <c r="G1482" s="1049"/>
      <c r="H1482" s="564"/>
      <c r="I1482" s="609"/>
      <c r="J1482" s="1155"/>
      <c r="K1482" s="609"/>
      <c r="L1482" s="609"/>
      <c r="M1482" s="609"/>
      <c r="N1482" s="599"/>
      <c r="O1482" s="552" t="s">
        <v>1584</v>
      </c>
      <c r="P1482" s="603"/>
      <c r="Q1482" s="682"/>
      <c r="R1482" s="682"/>
      <c r="S1482" s="682"/>
      <c r="T1482" s="682"/>
      <c r="U1482" s="682"/>
      <c r="V1482" s="682"/>
      <c r="W1482" s="682"/>
    </row>
    <row r="1483" spans="1:23">
      <c r="A1483" s="1045">
        <f t="shared" si="23"/>
        <v>7</v>
      </c>
      <c r="B1483" s="134">
        <v>45492</v>
      </c>
      <c r="C1483" s="70">
        <v>2018</v>
      </c>
      <c r="D1483" s="70" t="s">
        <v>58</v>
      </c>
      <c r="E1483" s="280" t="s">
        <v>3731</v>
      </c>
      <c r="F1483" s="1049">
        <v>7.18</v>
      </c>
      <c r="G1483" s="1049"/>
      <c r="H1483" s="564"/>
      <c r="I1483" s="609"/>
      <c r="J1483" s="1155"/>
      <c r="K1483" s="609"/>
      <c r="L1483" s="609"/>
      <c r="M1483" s="609"/>
      <c r="N1483" s="599"/>
      <c r="O1483" s="552" t="s">
        <v>1584</v>
      </c>
      <c r="P1483" s="603"/>
      <c r="Q1483" s="682"/>
      <c r="R1483" s="682"/>
      <c r="S1483" s="682"/>
      <c r="T1483" s="682"/>
      <c r="U1483" s="682"/>
      <c r="V1483" s="682"/>
      <c r="W1483" s="682"/>
    </row>
    <row r="1484" spans="1:23">
      <c r="A1484" s="1045">
        <f t="shared" si="23"/>
        <v>7</v>
      </c>
      <c r="B1484" s="134">
        <v>45492</v>
      </c>
      <c r="C1484" s="70">
        <v>5250</v>
      </c>
      <c r="D1484" s="70" t="s">
        <v>85</v>
      </c>
      <c r="E1484" s="280" t="s">
        <v>3732</v>
      </c>
      <c r="F1484" s="1049">
        <v>115</v>
      </c>
      <c r="G1484" s="1049"/>
      <c r="H1484" s="564"/>
      <c r="I1484" s="609"/>
      <c r="J1484" s="1155"/>
      <c r="K1484" s="609"/>
      <c r="L1484" s="609"/>
      <c r="M1484" s="609"/>
      <c r="N1484" s="599"/>
      <c r="O1484" s="552" t="s">
        <v>1584</v>
      </c>
      <c r="P1484" s="603"/>
      <c r="Q1484" s="682"/>
      <c r="R1484" s="682"/>
      <c r="S1484" s="682"/>
      <c r="T1484" s="682"/>
      <c r="U1484" s="682"/>
      <c r="V1484" s="682"/>
      <c r="W1484" s="682"/>
    </row>
    <row r="1485" spans="1:23">
      <c r="A1485" s="1045">
        <f t="shared" si="23"/>
        <v>7</v>
      </c>
      <c r="B1485" s="134">
        <v>45492</v>
      </c>
      <c r="C1485" s="70">
        <v>2018</v>
      </c>
      <c r="D1485" s="70" t="s">
        <v>58</v>
      </c>
      <c r="E1485" s="280" t="s">
        <v>3732</v>
      </c>
      <c r="F1485" s="1049">
        <v>5.75</v>
      </c>
      <c r="G1485" s="1049"/>
      <c r="H1485" s="564"/>
      <c r="I1485" s="609"/>
      <c r="J1485" s="1155"/>
      <c r="K1485" s="609"/>
      <c r="L1485" s="609"/>
      <c r="M1485" s="609"/>
      <c r="N1485" s="599"/>
      <c r="O1485" s="552" t="s">
        <v>1584</v>
      </c>
      <c r="P1485" s="603"/>
      <c r="Q1485" s="682"/>
      <c r="R1485" s="682"/>
      <c r="S1485" s="682"/>
      <c r="T1485" s="682"/>
      <c r="U1485" s="682"/>
      <c r="V1485" s="682"/>
      <c r="W1485" s="682"/>
    </row>
    <row r="1486" spans="1:23">
      <c r="A1486" s="1045">
        <f t="shared" si="23"/>
        <v>7</v>
      </c>
      <c r="B1486" s="134">
        <v>45492</v>
      </c>
      <c r="C1486" s="70">
        <v>5250</v>
      </c>
      <c r="D1486" s="70" t="s">
        <v>85</v>
      </c>
      <c r="E1486" s="280" t="s">
        <v>3733</v>
      </c>
      <c r="F1486" s="1049">
        <v>65</v>
      </c>
      <c r="G1486" s="1049"/>
      <c r="H1486" s="564"/>
      <c r="I1486" s="609"/>
      <c r="J1486" s="1155"/>
      <c r="K1486" s="609"/>
      <c r="L1486" s="609"/>
      <c r="M1486" s="609"/>
      <c r="N1486" s="599"/>
      <c r="O1486" s="552" t="s">
        <v>1584</v>
      </c>
      <c r="P1486" s="603"/>
      <c r="Q1486" s="682"/>
      <c r="R1486" s="682"/>
      <c r="S1486" s="682"/>
      <c r="T1486" s="682"/>
      <c r="U1486" s="682"/>
      <c r="V1486" s="682"/>
      <c r="W1486" s="682"/>
    </row>
    <row r="1487" spans="1:23">
      <c r="A1487" s="1045">
        <f t="shared" si="23"/>
        <v>7</v>
      </c>
      <c r="B1487" s="134">
        <v>45492</v>
      </c>
      <c r="C1487" s="70">
        <v>2018</v>
      </c>
      <c r="D1487" s="70" t="s">
        <v>58</v>
      </c>
      <c r="E1487" s="280" t="s">
        <v>3733</v>
      </c>
      <c r="F1487" s="1049">
        <v>3.25</v>
      </c>
      <c r="G1487" s="1049"/>
      <c r="H1487" s="564"/>
      <c r="I1487" s="609"/>
      <c r="J1487" s="1155"/>
      <c r="K1487" s="609"/>
      <c r="L1487" s="609"/>
      <c r="M1487" s="609"/>
      <c r="N1487" s="599"/>
      <c r="O1487" s="552" t="s">
        <v>1584</v>
      </c>
      <c r="P1487" s="603"/>
      <c r="Q1487" s="682"/>
      <c r="R1487" s="682"/>
      <c r="S1487" s="682"/>
      <c r="T1487" s="682"/>
      <c r="U1487" s="682"/>
      <c r="V1487" s="682"/>
      <c r="W1487" s="682"/>
    </row>
    <row r="1488" spans="1:23">
      <c r="A1488" s="1045">
        <f t="shared" si="23"/>
        <v>7</v>
      </c>
      <c r="B1488" s="134">
        <v>45493</v>
      </c>
      <c r="C1488" s="70">
        <v>5200</v>
      </c>
      <c r="D1488" s="70" t="s">
        <v>83</v>
      </c>
      <c r="E1488" s="280" t="s">
        <v>3734</v>
      </c>
      <c r="F1488" s="1049">
        <v>54.84</v>
      </c>
      <c r="G1488" s="1049"/>
      <c r="H1488" s="564"/>
      <c r="I1488" s="609"/>
      <c r="J1488" s="1155"/>
      <c r="K1488" s="609"/>
      <c r="L1488" s="609"/>
      <c r="M1488" s="609"/>
      <c r="N1488" s="599"/>
      <c r="O1488" s="552" t="s">
        <v>1584</v>
      </c>
      <c r="P1488" s="603"/>
      <c r="Q1488" s="682"/>
      <c r="R1488" s="682"/>
      <c r="S1488" s="682"/>
      <c r="T1488" s="682"/>
      <c r="U1488" s="682"/>
      <c r="V1488" s="682"/>
      <c r="W1488" s="682"/>
    </row>
    <row r="1489" spans="1:23">
      <c r="A1489" s="1045">
        <f t="shared" si="23"/>
        <v>7</v>
      </c>
      <c r="B1489" s="134">
        <v>45493</v>
      </c>
      <c r="C1489" s="70">
        <v>2018</v>
      </c>
      <c r="D1489" s="70" t="s">
        <v>58</v>
      </c>
      <c r="E1489" s="280" t="s">
        <v>3734</v>
      </c>
      <c r="F1489" s="1049">
        <v>3.16</v>
      </c>
      <c r="G1489" s="1049"/>
      <c r="H1489" s="564"/>
      <c r="I1489" s="609"/>
      <c r="J1489" s="1155"/>
      <c r="K1489" s="609"/>
      <c r="L1489" s="609"/>
      <c r="M1489" s="609"/>
      <c r="N1489" s="599"/>
      <c r="O1489" s="552" t="s">
        <v>1584</v>
      </c>
      <c r="P1489" s="603"/>
      <c r="Q1489" s="682"/>
      <c r="R1489" s="682"/>
      <c r="S1489" s="682"/>
      <c r="T1489" s="682"/>
      <c r="U1489" s="682"/>
      <c r="V1489" s="682"/>
      <c r="W1489" s="682"/>
    </row>
    <row r="1490" spans="1:23">
      <c r="A1490" s="1045">
        <f t="shared" si="23"/>
        <v>7</v>
      </c>
      <c r="B1490" s="134">
        <v>45493</v>
      </c>
      <c r="C1490" s="70">
        <v>5200</v>
      </c>
      <c r="D1490" s="70" t="s">
        <v>83</v>
      </c>
      <c r="E1490" s="280" t="s">
        <v>3735</v>
      </c>
      <c r="F1490" s="1049">
        <v>4095</v>
      </c>
      <c r="G1490" s="1049"/>
      <c r="H1490" s="564"/>
      <c r="I1490" s="609"/>
      <c r="J1490" s="1155"/>
      <c r="K1490" s="609"/>
      <c r="L1490" s="609"/>
      <c r="M1490" s="609"/>
      <c r="N1490" s="599"/>
      <c r="O1490" s="552" t="s">
        <v>1584</v>
      </c>
      <c r="P1490" s="603"/>
      <c r="Q1490" s="682"/>
      <c r="R1490" s="682"/>
      <c r="S1490" s="682"/>
      <c r="T1490" s="682"/>
      <c r="U1490" s="682"/>
      <c r="V1490" s="682"/>
      <c r="W1490" s="682"/>
    </row>
    <row r="1491" spans="1:23">
      <c r="A1491" s="1045">
        <f t="shared" si="23"/>
        <v>7</v>
      </c>
      <c r="B1491" s="134">
        <v>45493</v>
      </c>
      <c r="C1491" s="70">
        <v>2018</v>
      </c>
      <c r="D1491" s="70" t="s">
        <v>58</v>
      </c>
      <c r="E1491" s="280" t="s">
        <v>3735</v>
      </c>
      <c r="F1491" s="1049">
        <v>204.77</v>
      </c>
      <c r="G1491" s="1049"/>
      <c r="H1491" s="564"/>
      <c r="I1491" s="609"/>
      <c r="J1491" s="1155"/>
      <c r="K1491" s="609"/>
      <c r="L1491" s="609"/>
      <c r="M1491" s="609"/>
      <c r="N1491" s="599"/>
      <c r="O1491" s="552" t="s">
        <v>1584</v>
      </c>
      <c r="P1491" s="603"/>
      <c r="Q1491" s="682"/>
      <c r="R1491" s="682"/>
      <c r="S1491" s="682"/>
      <c r="T1491" s="682"/>
      <c r="U1491" s="682"/>
      <c r="V1491" s="682"/>
      <c r="W1491" s="682"/>
    </row>
    <row r="1492" spans="1:23">
      <c r="A1492" s="1045">
        <f t="shared" si="23"/>
        <v>7</v>
      </c>
      <c r="B1492" s="134">
        <v>45493</v>
      </c>
      <c r="C1492" s="70">
        <v>5250</v>
      </c>
      <c r="D1492" s="70" t="s">
        <v>85</v>
      </c>
      <c r="E1492" s="280" t="s">
        <v>3736</v>
      </c>
      <c r="F1492" s="1049">
        <v>95</v>
      </c>
      <c r="G1492" s="1049"/>
      <c r="H1492" s="564"/>
      <c r="I1492" s="609"/>
      <c r="J1492" s="1155"/>
      <c r="K1492" s="609"/>
      <c r="L1492" s="609"/>
      <c r="M1492" s="609"/>
      <c r="N1492" s="599"/>
      <c r="O1492" s="552" t="s">
        <v>1584</v>
      </c>
      <c r="P1492" s="603"/>
      <c r="Q1492" s="682"/>
      <c r="R1492" s="682"/>
      <c r="S1492" s="682"/>
      <c r="T1492" s="682"/>
      <c r="U1492" s="682"/>
      <c r="V1492" s="682"/>
      <c r="W1492" s="682"/>
    </row>
    <row r="1493" spans="1:23">
      <c r="A1493" s="1045">
        <f t="shared" ref="A1493:A1556" si="24">IF(B1493="","",MONTH(B1493))</f>
        <v>7</v>
      </c>
      <c r="B1493" s="134">
        <v>45493</v>
      </c>
      <c r="C1493" s="70">
        <v>2018</v>
      </c>
      <c r="D1493" s="70" t="s">
        <v>58</v>
      </c>
      <c r="E1493" s="280" t="s">
        <v>3736</v>
      </c>
      <c r="F1493" s="1049">
        <v>4.75</v>
      </c>
      <c r="G1493" s="1049"/>
      <c r="H1493" s="564"/>
      <c r="I1493" s="609"/>
      <c r="J1493" s="1155"/>
      <c r="K1493" s="609"/>
      <c r="L1493" s="609"/>
      <c r="M1493" s="609"/>
      <c r="N1493" s="599"/>
      <c r="O1493" s="552" t="s">
        <v>1584</v>
      </c>
      <c r="P1493" s="603"/>
      <c r="Q1493" s="682"/>
      <c r="R1493" s="682"/>
      <c r="S1493" s="682"/>
      <c r="T1493" s="682"/>
      <c r="U1493" s="682"/>
      <c r="V1493" s="682"/>
      <c r="W1493" s="682"/>
    </row>
    <row r="1494" spans="1:23">
      <c r="A1494" s="1045">
        <f t="shared" si="24"/>
        <v>7</v>
      </c>
      <c r="B1494" s="134">
        <v>45493</v>
      </c>
      <c r="C1494" s="70">
        <v>5250</v>
      </c>
      <c r="D1494" s="70" t="s">
        <v>85</v>
      </c>
      <c r="E1494" s="280" t="s">
        <v>3737</v>
      </c>
      <c r="F1494" s="1049">
        <v>448.8</v>
      </c>
      <c r="G1494" s="1049"/>
      <c r="H1494" s="564"/>
      <c r="I1494" s="609"/>
      <c r="J1494" s="1155"/>
      <c r="K1494" s="609"/>
      <c r="L1494" s="609"/>
      <c r="M1494" s="609"/>
      <c r="N1494" s="599"/>
      <c r="O1494" s="552" t="s">
        <v>1584</v>
      </c>
      <c r="P1494" s="603"/>
      <c r="Q1494" s="682"/>
      <c r="R1494" s="682"/>
      <c r="S1494" s="682"/>
      <c r="T1494" s="682"/>
      <c r="U1494" s="682"/>
      <c r="V1494" s="682"/>
      <c r="W1494" s="682"/>
    </row>
    <row r="1495" spans="1:23">
      <c r="A1495" s="1045">
        <f t="shared" si="24"/>
        <v>7</v>
      </c>
      <c r="B1495" s="134">
        <v>45493</v>
      </c>
      <c r="C1495" s="70">
        <v>2018</v>
      </c>
      <c r="D1495" s="70" t="s">
        <v>58</v>
      </c>
      <c r="E1495" s="280" t="s">
        <v>3737</v>
      </c>
      <c r="F1495" s="1049">
        <v>22.44</v>
      </c>
      <c r="G1495" s="1049"/>
      <c r="H1495" s="564"/>
      <c r="I1495" s="609"/>
      <c r="J1495" s="1155"/>
      <c r="K1495" s="609"/>
      <c r="L1495" s="609"/>
      <c r="M1495" s="609"/>
      <c r="N1495" s="599"/>
      <c r="O1495" s="552" t="s">
        <v>1584</v>
      </c>
      <c r="P1495" s="603"/>
      <c r="Q1495" s="682"/>
      <c r="R1495" s="682"/>
      <c r="S1495" s="682"/>
      <c r="T1495" s="682"/>
      <c r="U1495" s="682"/>
      <c r="V1495" s="682"/>
      <c r="W1495" s="682"/>
    </row>
    <row r="1496" spans="1:23">
      <c r="A1496" s="1045">
        <f t="shared" si="24"/>
        <v>7</v>
      </c>
      <c r="B1496" s="134">
        <v>45494</v>
      </c>
      <c r="C1496" s="70">
        <v>5250</v>
      </c>
      <c r="D1496" s="70" t="s">
        <v>85</v>
      </c>
      <c r="E1496" s="280" t="s">
        <v>3738</v>
      </c>
      <c r="F1496" s="1049">
        <v>5</v>
      </c>
      <c r="G1496" s="1049"/>
      <c r="H1496" s="564"/>
      <c r="I1496" s="609"/>
      <c r="J1496" s="1155"/>
      <c r="K1496" s="609"/>
      <c r="L1496" s="609"/>
      <c r="M1496" s="609"/>
      <c r="N1496" s="599"/>
      <c r="O1496" s="552" t="s">
        <v>1584</v>
      </c>
      <c r="P1496" s="603"/>
      <c r="Q1496" s="682"/>
      <c r="R1496" s="682"/>
      <c r="S1496" s="682"/>
      <c r="T1496" s="682"/>
      <c r="U1496" s="682"/>
      <c r="V1496" s="682"/>
      <c r="W1496" s="682"/>
    </row>
    <row r="1497" spans="1:23">
      <c r="A1497" s="1045">
        <f t="shared" si="24"/>
        <v>7</v>
      </c>
      <c r="B1497" s="134">
        <v>45494</v>
      </c>
      <c r="C1497" s="70">
        <v>2018</v>
      </c>
      <c r="D1497" s="70" t="s">
        <v>58</v>
      </c>
      <c r="E1497" s="280" t="s">
        <v>3738</v>
      </c>
      <c r="F1497" s="1049">
        <v>0.25</v>
      </c>
      <c r="G1497" s="1049"/>
      <c r="H1497" s="564"/>
      <c r="I1497" s="609"/>
      <c r="J1497" s="1155"/>
      <c r="K1497" s="609"/>
      <c r="L1497" s="609"/>
      <c r="M1497" s="609"/>
      <c r="N1497" s="599"/>
      <c r="O1497" s="552" t="s">
        <v>1584</v>
      </c>
      <c r="P1497" s="603"/>
      <c r="Q1497" s="682"/>
      <c r="R1497" s="682"/>
      <c r="S1497" s="682"/>
      <c r="T1497" s="682"/>
      <c r="U1497" s="682"/>
      <c r="V1497" s="682"/>
      <c r="W1497" s="682"/>
    </row>
    <row r="1498" spans="1:23">
      <c r="A1498" s="1045">
        <f t="shared" si="24"/>
        <v>7</v>
      </c>
      <c r="B1498" s="134">
        <v>45494</v>
      </c>
      <c r="C1498" s="70">
        <v>5250</v>
      </c>
      <c r="D1498" s="70" t="s">
        <v>85</v>
      </c>
      <c r="E1498" s="280" t="s">
        <v>3739</v>
      </c>
      <c r="F1498" s="1049">
        <v>34</v>
      </c>
      <c r="G1498" s="1049"/>
      <c r="H1498" s="564"/>
      <c r="I1498" s="609"/>
      <c r="J1498" s="1155"/>
      <c r="K1498" s="609"/>
      <c r="L1498" s="609"/>
      <c r="M1498" s="609"/>
      <c r="N1498" s="599"/>
      <c r="O1498" s="552" t="s">
        <v>1584</v>
      </c>
      <c r="P1498" s="603"/>
      <c r="Q1498" s="682"/>
      <c r="R1498" s="682"/>
      <c r="S1498" s="682"/>
      <c r="T1498" s="682"/>
      <c r="U1498" s="682"/>
      <c r="V1498" s="682"/>
      <c r="W1498" s="682"/>
    </row>
    <row r="1499" spans="1:23">
      <c r="A1499" s="1045">
        <f t="shared" si="24"/>
        <v>7</v>
      </c>
      <c r="B1499" s="134">
        <v>45494</v>
      </c>
      <c r="C1499" s="70">
        <v>2018</v>
      </c>
      <c r="D1499" s="70" t="s">
        <v>58</v>
      </c>
      <c r="E1499" s="280" t="s">
        <v>3739</v>
      </c>
      <c r="F1499" s="1049">
        <v>1.7</v>
      </c>
      <c r="G1499" s="1049"/>
      <c r="H1499" s="564"/>
      <c r="I1499" s="609"/>
      <c r="J1499" s="1155"/>
      <c r="K1499" s="609"/>
      <c r="L1499" s="609"/>
      <c r="M1499" s="609"/>
      <c r="N1499" s="599"/>
      <c r="O1499" s="552" t="s">
        <v>1584</v>
      </c>
      <c r="P1499" s="603"/>
      <c r="Q1499" s="682"/>
      <c r="R1499" s="682"/>
      <c r="S1499" s="682"/>
      <c r="T1499" s="682"/>
      <c r="U1499" s="682"/>
      <c r="V1499" s="682"/>
      <c r="W1499" s="682"/>
    </row>
    <row r="1500" spans="1:23">
      <c r="A1500" s="1045">
        <f t="shared" si="24"/>
        <v>7</v>
      </c>
      <c r="B1500" s="134">
        <v>45494</v>
      </c>
      <c r="C1500" s="70">
        <v>5250</v>
      </c>
      <c r="D1500" s="70" t="s">
        <v>85</v>
      </c>
      <c r="E1500" s="280" t="s">
        <v>3740</v>
      </c>
      <c r="F1500" s="1049">
        <v>66.66</v>
      </c>
      <c r="G1500" s="1049"/>
      <c r="H1500" s="564"/>
      <c r="I1500" s="609"/>
      <c r="J1500" s="1155"/>
      <c r="K1500" s="609"/>
      <c r="L1500" s="609"/>
      <c r="M1500" s="609"/>
      <c r="N1500" s="599"/>
      <c r="O1500" s="552" t="s">
        <v>1584</v>
      </c>
      <c r="P1500" s="603"/>
      <c r="Q1500" s="682"/>
      <c r="R1500" s="682"/>
      <c r="S1500" s="682"/>
      <c r="T1500" s="682"/>
      <c r="U1500" s="682"/>
      <c r="V1500" s="682"/>
      <c r="W1500" s="682"/>
    </row>
    <row r="1501" spans="1:23">
      <c r="A1501" s="1045">
        <f t="shared" si="24"/>
        <v>7</v>
      </c>
      <c r="B1501" s="134">
        <v>45494</v>
      </c>
      <c r="C1501" s="70">
        <v>2018</v>
      </c>
      <c r="D1501" s="70" t="s">
        <v>58</v>
      </c>
      <c r="E1501" s="280" t="s">
        <v>3740</v>
      </c>
      <c r="F1501" s="1049">
        <v>3.33</v>
      </c>
      <c r="G1501" s="1049"/>
      <c r="H1501" s="564"/>
      <c r="I1501" s="609"/>
      <c r="J1501" s="1155"/>
      <c r="K1501" s="609"/>
      <c r="L1501" s="609"/>
      <c r="M1501" s="609"/>
      <c r="N1501" s="599"/>
      <c r="O1501" s="552" t="s">
        <v>1584</v>
      </c>
      <c r="P1501" s="603"/>
      <c r="Q1501" s="682"/>
      <c r="R1501" s="682"/>
      <c r="S1501" s="682"/>
      <c r="T1501" s="682"/>
      <c r="U1501" s="682"/>
      <c r="V1501" s="682"/>
      <c r="W1501" s="682"/>
    </row>
    <row r="1502" spans="1:23">
      <c r="A1502" s="1045">
        <f t="shared" si="24"/>
        <v>7</v>
      </c>
      <c r="B1502" s="134">
        <v>45494</v>
      </c>
      <c r="C1502" s="70">
        <v>5250</v>
      </c>
      <c r="D1502" s="70" t="s">
        <v>85</v>
      </c>
      <c r="E1502" s="280" t="s">
        <v>3741</v>
      </c>
      <c r="F1502" s="1049">
        <v>91</v>
      </c>
      <c r="G1502" s="1049"/>
      <c r="H1502" s="564"/>
      <c r="I1502" s="609"/>
      <c r="J1502" s="1155"/>
      <c r="K1502" s="609"/>
      <c r="L1502" s="609"/>
      <c r="M1502" s="609"/>
      <c r="N1502" s="599"/>
      <c r="O1502" s="552" t="s">
        <v>1584</v>
      </c>
      <c r="P1502" s="603"/>
      <c r="Q1502" s="682"/>
      <c r="R1502" s="682"/>
      <c r="S1502" s="682"/>
      <c r="T1502" s="682"/>
      <c r="U1502" s="682"/>
      <c r="V1502" s="682"/>
      <c r="W1502" s="682"/>
    </row>
    <row r="1503" spans="1:23">
      <c r="A1503" s="1045">
        <f t="shared" si="24"/>
        <v>7</v>
      </c>
      <c r="B1503" s="134">
        <v>45494</v>
      </c>
      <c r="C1503" s="70">
        <v>2018</v>
      </c>
      <c r="D1503" s="70" t="s">
        <v>58</v>
      </c>
      <c r="E1503" s="280" t="s">
        <v>3741</v>
      </c>
      <c r="F1503" s="1049">
        <v>4.45</v>
      </c>
      <c r="G1503" s="1049"/>
      <c r="H1503" s="564"/>
      <c r="I1503" s="609"/>
      <c r="J1503" s="1155"/>
      <c r="K1503" s="609"/>
      <c r="L1503" s="609"/>
      <c r="M1503" s="609"/>
      <c r="N1503" s="599"/>
      <c r="O1503" s="552" t="s">
        <v>1584</v>
      </c>
      <c r="P1503" s="603"/>
      <c r="Q1503" s="682"/>
      <c r="R1503" s="682"/>
      <c r="S1503" s="682"/>
      <c r="T1503" s="682"/>
      <c r="U1503" s="682"/>
      <c r="V1503" s="682"/>
      <c r="W1503" s="682"/>
    </row>
    <row r="1504" spans="1:23">
      <c r="A1504" s="1045">
        <f t="shared" si="24"/>
        <v>7</v>
      </c>
      <c r="B1504" s="134">
        <v>45494</v>
      </c>
      <c r="C1504" s="70">
        <v>5250</v>
      </c>
      <c r="D1504" s="70" t="s">
        <v>85</v>
      </c>
      <c r="E1504" s="280" t="s">
        <v>3742</v>
      </c>
      <c r="F1504" s="1049">
        <v>135.06</v>
      </c>
      <c r="G1504" s="1049"/>
      <c r="H1504" s="564"/>
      <c r="I1504" s="609"/>
      <c r="J1504" s="1155"/>
      <c r="K1504" s="609"/>
      <c r="L1504" s="609"/>
      <c r="M1504" s="609"/>
      <c r="N1504" s="599"/>
      <c r="O1504" s="552" t="s">
        <v>1584</v>
      </c>
      <c r="P1504" s="603"/>
      <c r="Q1504" s="682"/>
      <c r="R1504" s="682"/>
      <c r="S1504" s="682"/>
      <c r="T1504" s="682"/>
      <c r="U1504" s="682"/>
      <c r="V1504" s="682"/>
      <c r="W1504" s="682"/>
    </row>
    <row r="1505" spans="1:23">
      <c r="A1505" s="1045">
        <f t="shared" si="24"/>
        <v>7</v>
      </c>
      <c r="B1505" s="134">
        <v>45494</v>
      </c>
      <c r="C1505" s="70">
        <v>2018</v>
      </c>
      <c r="D1505" s="70" t="s">
        <v>58</v>
      </c>
      <c r="E1505" s="280" t="s">
        <v>3742</v>
      </c>
      <c r="F1505" s="1049">
        <v>6.76</v>
      </c>
      <c r="G1505" s="1049"/>
      <c r="H1505" s="564"/>
      <c r="I1505" s="609"/>
      <c r="J1505" s="1155"/>
      <c r="K1505" s="609"/>
      <c r="L1505" s="609"/>
      <c r="M1505" s="609"/>
      <c r="N1505" s="599"/>
      <c r="O1505" s="552" t="s">
        <v>1584</v>
      </c>
      <c r="P1505" s="603"/>
      <c r="Q1505" s="682"/>
      <c r="R1505" s="682"/>
      <c r="S1505" s="682"/>
      <c r="T1505" s="682"/>
      <c r="U1505" s="682"/>
      <c r="V1505" s="682"/>
      <c r="W1505" s="682"/>
    </row>
    <row r="1506" spans="1:23">
      <c r="A1506" s="1045">
        <f t="shared" si="24"/>
        <v>7</v>
      </c>
      <c r="B1506" s="134">
        <v>45495</v>
      </c>
      <c r="C1506" s="70">
        <v>5250</v>
      </c>
      <c r="D1506" s="70" t="s">
        <v>85</v>
      </c>
      <c r="E1506" s="280" t="s">
        <v>3743</v>
      </c>
      <c r="F1506" s="1049">
        <v>3800</v>
      </c>
      <c r="G1506" s="1049"/>
      <c r="H1506" s="564"/>
      <c r="I1506" s="609"/>
      <c r="J1506" s="1155"/>
      <c r="K1506" s="609"/>
      <c r="L1506" s="609"/>
      <c r="M1506" s="609"/>
      <c r="N1506" s="599"/>
      <c r="O1506" s="552" t="s">
        <v>1584</v>
      </c>
      <c r="P1506" s="603"/>
      <c r="Q1506" s="682"/>
      <c r="R1506" s="682"/>
      <c r="S1506" s="682"/>
      <c r="T1506" s="682"/>
      <c r="U1506" s="682"/>
      <c r="V1506" s="682"/>
      <c r="W1506" s="682"/>
    </row>
    <row r="1507" spans="1:23">
      <c r="A1507" s="1045">
        <f t="shared" si="24"/>
        <v>7</v>
      </c>
      <c r="B1507" s="134">
        <v>45495</v>
      </c>
      <c r="C1507" s="70">
        <v>2018</v>
      </c>
      <c r="D1507" s="70" t="s">
        <v>58</v>
      </c>
      <c r="E1507" s="280" t="s">
        <v>3743</v>
      </c>
      <c r="F1507" s="1049">
        <v>190</v>
      </c>
      <c r="G1507" s="1049"/>
      <c r="H1507" s="564"/>
      <c r="I1507" s="609"/>
      <c r="J1507" s="1155"/>
      <c r="K1507" s="609"/>
      <c r="L1507" s="609"/>
      <c r="M1507" s="609"/>
      <c r="N1507" s="599"/>
      <c r="O1507" s="552" t="s">
        <v>1584</v>
      </c>
      <c r="P1507" s="603"/>
      <c r="Q1507" s="682"/>
      <c r="R1507" s="682"/>
      <c r="S1507" s="682"/>
      <c r="T1507" s="682"/>
      <c r="U1507" s="682"/>
      <c r="V1507" s="682"/>
      <c r="W1507" s="682"/>
    </row>
    <row r="1508" spans="1:23">
      <c r="A1508" s="1045">
        <f t="shared" si="24"/>
        <v>7</v>
      </c>
      <c r="B1508" s="134">
        <v>45495</v>
      </c>
      <c r="C1508" s="70">
        <v>5250</v>
      </c>
      <c r="D1508" s="70" t="s">
        <v>85</v>
      </c>
      <c r="E1508" s="280" t="s">
        <v>3744</v>
      </c>
      <c r="F1508" s="1049">
        <v>1168.08</v>
      </c>
      <c r="G1508" s="1049"/>
      <c r="H1508" s="564"/>
      <c r="I1508" s="609"/>
      <c r="J1508" s="1155"/>
      <c r="K1508" s="609"/>
      <c r="L1508" s="609"/>
      <c r="M1508" s="609"/>
      <c r="N1508" s="599"/>
      <c r="O1508" s="552" t="s">
        <v>1584</v>
      </c>
      <c r="P1508" s="603"/>
      <c r="Q1508" s="682"/>
      <c r="R1508" s="682"/>
      <c r="S1508" s="682"/>
      <c r="T1508" s="682"/>
      <c r="U1508" s="682"/>
      <c r="V1508" s="682"/>
      <c r="W1508" s="682"/>
    </row>
    <row r="1509" spans="1:23">
      <c r="A1509" s="1045">
        <f t="shared" si="24"/>
        <v>7</v>
      </c>
      <c r="B1509" s="134">
        <v>45495</v>
      </c>
      <c r="C1509" s="70">
        <v>2018</v>
      </c>
      <c r="D1509" s="70" t="s">
        <v>58</v>
      </c>
      <c r="E1509" s="280" t="s">
        <v>3744</v>
      </c>
      <c r="F1509" s="1049">
        <v>58.4</v>
      </c>
      <c r="G1509" s="1049"/>
      <c r="H1509" s="564"/>
      <c r="I1509" s="609"/>
      <c r="J1509" s="1155"/>
      <c r="K1509" s="609"/>
      <c r="L1509" s="609"/>
      <c r="M1509" s="609"/>
      <c r="N1509" s="599"/>
      <c r="O1509" s="552" t="s">
        <v>1584</v>
      </c>
      <c r="P1509" s="603"/>
      <c r="Q1509" s="682"/>
      <c r="R1509" s="682"/>
      <c r="S1509" s="682"/>
      <c r="T1509" s="682"/>
      <c r="U1509" s="682"/>
      <c r="V1509" s="682"/>
      <c r="W1509" s="682"/>
    </row>
    <row r="1510" spans="1:23">
      <c r="A1510" s="1045">
        <f t="shared" si="24"/>
        <v>7</v>
      </c>
      <c r="B1510" s="134">
        <v>45495</v>
      </c>
      <c r="C1510" s="70">
        <v>5250</v>
      </c>
      <c r="D1510" s="70" t="s">
        <v>85</v>
      </c>
      <c r="E1510" s="280" t="s">
        <v>3745</v>
      </c>
      <c r="F1510" s="1049">
        <v>106</v>
      </c>
      <c r="G1510" s="1049"/>
      <c r="H1510" s="564"/>
      <c r="I1510" s="609"/>
      <c r="J1510" s="1155"/>
      <c r="K1510" s="609"/>
      <c r="L1510" s="609"/>
      <c r="M1510" s="609"/>
      <c r="N1510" s="599"/>
      <c r="O1510" s="552" t="s">
        <v>1584</v>
      </c>
      <c r="P1510" s="603"/>
      <c r="Q1510" s="682"/>
      <c r="R1510" s="682"/>
      <c r="S1510" s="682"/>
      <c r="T1510" s="682"/>
      <c r="U1510" s="682"/>
      <c r="V1510" s="682"/>
      <c r="W1510" s="682"/>
    </row>
    <row r="1511" spans="1:23">
      <c r="A1511" s="1045">
        <f t="shared" si="24"/>
        <v>7</v>
      </c>
      <c r="B1511" s="134">
        <v>45495</v>
      </c>
      <c r="C1511" s="70">
        <v>2018</v>
      </c>
      <c r="D1511" s="70" t="s">
        <v>58</v>
      </c>
      <c r="E1511" s="280" t="s">
        <v>3745</v>
      </c>
      <c r="F1511" s="1049">
        <v>5.3</v>
      </c>
      <c r="G1511" s="1049"/>
      <c r="H1511" s="564"/>
      <c r="I1511" s="609"/>
      <c r="J1511" s="1155"/>
      <c r="K1511" s="609"/>
      <c r="L1511" s="609"/>
      <c r="M1511" s="609"/>
      <c r="N1511" s="599"/>
      <c r="O1511" s="552" t="s">
        <v>1584</v>
      </c>
      <c r="P1511" s="603"/>
      <c r="Q1511" s="682"/>
      <c r="R1511" s="682"/>
      <c r="S1511" s="682"/>
      <c r="T1511" s="682"/>
      <c r="U1511" s="682"/>
      <c r="V1511" s="682"/>
      <c r="W1511" s="682"/>
    </row>
    <row r="1512" spans="1:23">
      <c r="A1512" s="1045">
        <f t="shared" si="24"/>
        <v>7</v>
      </c>
      <c r="B1512" s="134">
        <v>45495</v>
      </c>
      <c r="C1512" s="70">
        <v>5250</v>
      </c>
      <c r="D1512" s="70" t="s">
        <v>85</v>
      </c>
      <c r="E1512" s="280" t="s">
        <v>3746</v>
      </c>
      <c r="F1512" s="1049">
        <v>1175.5</v>
      </c>
      <c r="G1512" s="1049"/>
      <c r="H1512" s="564"/>
      <c r="I1512" s="609"/>
      <c r="J1512" s="1155"/>
      <c r="K1512" s="609"/>
      <c r="L1512" s="609"/>
      <c r="M1512" s="609"/>
      <c r="N1512" s="599"/>
      <c r="O1512" s="552" t="s">
        <v>1584</v>
      </c>
      <c r="P1512" s="603"/>
      <c r="Q1512" s="682"/>
      <c r="R1512" s="682"/>
      <c r="S1512" s="682"/>
      <c r="T1512" s="682"/>
      <c r="U1512" s="682"/>
      <c r="V1512" s="682"/>
      <c r="W1512" s="682"/>
    </row>
    <row r="1513" spans="1:23">
      <c r="A1513" s="1045">
        <f t="shared" si="24"/>
        <v>7</v>
      </c>
      <c r="B1513" s="134">
        <v>45495</v>
      </c>
      <c r="C1513" s="70">
        <v>2018</v>
      </c>
      <c r="D1513" s="70" t="s">
        <v>58</v>
      </c>
      <c r="E1513" s="280" t="s">
        <v>3746</v>
      </c>
      <c r="F1513" s="1049">
        <v>58.78</v>
      </c>
      <c r="G1513" s="1049"/>
      <c r="H1513" s="564"/>
      <c r="I1513" s="609"/>
      <c r="J1513" s="1155"/>
      <c r="K1513" s="609"/>
      <c r="L1513" s="609"/>
      <c r="M1513" s="609"/>
      <c r="N1513" s="599"/>
      <c r="O1513" s="552" t="s">
        <v>1584</v>
      </c>
      <c r="P1513" s="603"/>
      <c r="Q1513" s="682"/>
      <c r="R1513" s="682"/>
      <c r="S1513" s="682"/>
      <c r="T1513" s="682"/>
      <c r="U1513" s="682"/>
      <c r="V1513" s="682"/>
      <c r="W1513" s="682"/>
    </row>
    <row r="1514" spans="1:23">
      <c r="A1514" s="1045">
        <f t="shared" si="24"/>
        <v>7</v>
      </c>
      <c r="B1514" s="134">
        <v>45495</v>
      </c>
      <c r="C1514" s="70">
        <v>5250</v>
      </c>
      <c r="D1514" s="70" t="s">
        <v>85</v>
      </c>
      <c r="E1514" s="280" t="s">
        <v>3747</v>
      </c>
      <c r="F1514" s="1049">
        <v>60</v>
      </c>
      <c r="G1514" s="1049"/>
      <c r="H1514" s="564"/>
      <c r="I1514" s="609"/>
      <c r="J1514" s="1155"/>
      <c r="K1514" s="609"/>
      <c r="L1514" s="609"/>
      <c r="M1514" s="609"/>
      <c r="N1514" s="599"/>
      <c r="O1514" s="552" t="s">
        <v>1584</v>
      </c>
      <c r="P1514" s="603"/>
      <c r="Q1514" s="682"/>
      <c r="R1514" s="682"/>
      <c r="S1514" s="682"/>
      <c r="T1514" s="682"/>
      <c r="U1514" s="682"/>
      <c r="V1514" s="682"/>
      <c r="W1514" s="682"/>
    </row>
    <row r="1515" spans="1:23">
      <c r="A1515" s="1045">
        <f t="shared" si="24"/>
        <v>7</v>
      </c>
      <c r="B1515" s="134">
        <v>45495</v>
      </c>
      <c r="C1515" s="70">
        <v>2018</v>
      </c>
      <c r="D1515" s="70" t="s">
        <v>58</v>
      </c>
      <c r="E1515" s="280" t="s">
        <v>3747</v>
      </c>
      <c r="F1515" s="1049">
        <v>3</v>
      </c>
      <c r="G1515" s="1049"/>
      <c r="H1515" s="564"/>
      <c r="I1515" s="609"/>
      <c r="J1515" s="1155"/>
      <c r="K1515" s="609"/>
      <c r="L1515" s="609"/>
      <c r="M1515" s="609"/>
      <c r="N1515" s="599"/>
      <c r="O1515" s="552" t="s">
        <v>1584</v>
      </c>
      <c r="P1515" s="603"/>
      <c r="Q1515" s="682"/>
      <c r="R1515" s="682"/>
      <c r="S1515" s="682"/>
      <c r="T1515" s="682"/>
      <c r="U1515" s="682"/>
      <c r="V1515" s="682"/>
      <c r="W1515" s="682"/>
    </row>
    <row r="1516" spans="1:23">
      <c r="A1516" s="1045">
        <f t="shared" si="24"/>
        <v>7</v>
      </c>
      <c r="B1516" s="134">
        <v>45495</v>
      </c>
      <c r="C1516" s="70">
        <v>5250</v>
      </c>
      <c r="D1516" s="70" t="s">
        <v>85</v>
      </c>
      <c r="E1516" s="280" t="s">
        <v>3748</v>
      </c>
      <c r="F1516" s="1049">
        <v>60</v>
      </c>
      <c r="G1516" s="1049"/>
      <c r="H1516" s="564"/>
      <c r="I1516" s="609"/>
      <c r="J1516" s="1155"/>
      <c r="K1516" s="609"/>
      <c r="L1516" s="609"/>
      <c r="M1516" s="609"/>
      <c r="N1516" s="599"/>
      <c r="O1516" s="552" t="s">
        <v>1584</v>
      </c>
      <c r="P1516" s="603"/>
      <c r="Q1516" s="682"/>
      <c r="R1516" s="682"/>
      <c r="S1516" s="682"/>
      <c r="T1516" s="682"/>
      <c r="U1516" s="682"/>
      <c r="V1516" s="682"/>
      <c r="W1516" s="682"/>
    </row>
    <row r="1517" spans="1:23">
      <c r="A1517" s="1045">
        <f t="shared" si="24"/>
        <v>7</v>
      </c>
      <c r="B1517" s="134">
        <v>45495</v>
      </c>
      <c r="C1517" s="70">
        <v>2018</v>
      </c>
      <c r="D1517" s="70" t="s">
        <v>58</v>
      </c>
      <c r="E1517" s="280" t="s">
        <v>3748</v>
      </c>
      <c r="F1517" s="1049">
        <v>3</v>
      </c>
      <c r="G1517" s="1049"/>
      <c r="H1517" s="564"/>
      <c r="I1517" s="609"/>
      <c r="J1517" s="1155"/>
      <c r="K1517" s="609"/>
      <c r="L1517" s="609"/>
      <c r="M1517" s="609"/>
      <c r="N1517" s="599"/>
      <c r="O1517" s="552" t="s">
        <v>1584</v>
      </c>
      <c r="P1517" s="603"/>
      <c r="Q1517" s="682"/>
      <c r="R1517" s="682"/>
      <c r="S1517" s="682"/>
      <c r="T1517" s="682"/>
      <c r="U1517" s="682"/>
      <c r="V1517" s="682"/>
      <c r="W1517" s="682"/>
    </row>
    <row r="1518" spans="1:23">
      <c r="A1518" s="1045">
        <f t="shared" si="24"/>
        <v>7</v>
      </c>
      <c r="B1518" s="134">
        <v>45495</v>
      </c>
      <c r="C1518" s="70">
        <v>5250</v>
      </c>
      <c r="D1518" s="70" t="s">
        <v>85</v>
      </c>
      <c r="E1518" s="280" t="s">
        <v>3749</v>
      </c>
      <c r="F1518" s="1049">
        <v>79</v>
      </c>
      <c r="G1518" s="1049"/>
      <c r="H1518" s="564"/>
      <c r="I1518" s="609"/>
      <c r="J1518" s="1155"/>
      <c r="K1518" s="609"/>
      <c r="L1518" s="609"/>
      <c r="M1518" s="609"/>
      <c r="N1518" s="599"/>
      <c r="O1518" s="552" t="s">
        <v>1584</v>
      </c>
      <c r="P1518" s="603"/>
      <c r="Q1518" s="682"/>
      <c r="R1518" s="682"/>
      <c r="S1518" s="682"/>
      <c r="T1518" s="682"/>
      <c r="U1518" s="682"/>
      <c r="V1518" s="682"/>
      <c r="W1518" s="682"/>
    </row>
    <row r="1519" spans="1:23">
      <c r="A1519" s="1045">
        <f t="shared" si="24"/>
        <v>7</v>
      </c>
      <c r="B1519" s="134">
        <v>45495</v>
      </c>
      <c r="C1519" s="70">
        <v>2018</v>
      </c>
      <c r="D1519" s="70" t="s">
        <v>58</v>
      </c>
      <c r="E1519" s="280" t="s">
        <v>3749</v>
      </c>
      <c r="F1519" s="1049">
        <v>3.95</v>
      </c>
      <c r="G1519" s="1049"/>
      <c r="H1519" s="564"/>
      <c r="I1519" s="609"/>
      <c r="J1519" s="1155"/>
      <c r="K1519" s="609"/>
      <c r="L1519" s="609"/>
      <c r="M1519" s="609"/>
      <c r="N1519" s="599"/>
      <c r="O1519" s="552" t="s">
        <v>1584</v>
      </c>
      <c r="P1519" s="603"/>
      <c r="Q1519" s="682"/>
      <c r="R1519" s="682"/>
      <c r="S1519" s="682"/>
      <c r="T1519" s="682"/>
      <c r="U1519" s="682"/>
      <c r="V1519" s="682"/>
      <c r="W1519" s="682"/>
    </row>
    <row r="1520" spans="1:23">
      <c r="A1520" s="1045">
        <f t="shared" si="24"/>
        <v>7</v>
      </c>
      <c r="B1520" s="134">
        <v>45495</v>
      </c>
      <c r="C1520" s="70">
        <v>5250</v>
      </c>
      <c r="D1520" s="70" t="s">
        <v>85</v>
      </c>
      <c r="E1520" s="280" t="s">
        <v>3750</v>
      </c>
      <c r="F1520" s="1049">
        <v>160</v>
      </c>
      <c r="G1520" s="1049"/>
      <c r="H1520" s="564"/>
      <c r="I1520" s="609"/>
      <c r="J1520" s="1155"/>
      <c r="K1520" s="609"/>
      <c r="L1520" s="609"/>
      <c r="M1520" s="609"/>
      <c r="N1520" s="599"/>
      <c r="O1520" s="552" t="s">
        <v>1584</v>
      </c>
      <c r="P1520" s="603"/>
      <c r="Q1520" s="682"/>
      <c r="R1520" s="682"/>
      <c r="S1520" s="682"/>
      <c r="T1520" s="682"/>
      <c r="U1520" s="682"/>
      <c r="V1520" s="682"/>
      <c r="W1520" s="682"/>
    </row>
    <row r="1521" spans="1:23">
      <c r="A1521" s="1045">
        <f t="shared" si="24"/>
        <v>7</v>
      </c>
      <c r="B1521" s="134">
        <v>45495</v>
      </c>
      <c r="C1521" s="70">
        <v>2018</v>
      </c>
      <c r="D1521" s="70" t="s">
        <v>58</v>
      </c>
      <c r="E1521" s="280" t="s">
        <v>3750</v>
      </c>
      <c r="F1521" s="1049">
        <v>8</v>
      </c>
      <c r="G1521" s="1049"/>
      <c r="H1521" s="564"/>
      <c r="I1521" s="609"/>
      <c r="J1521" s="1155"/>
      <c r="K1521" s="609"/>
      <c r="L1521" s="609"/>
      <c r="M1521" s="609"/>
      <c r="N1521" s="599"/>
      <c r="O1521" s="552" t="s">
        <v>1584</v>
      </c>
      <c r="P1521" s="603"/>
      <c r="Q1521" s="682"/>
      <c r="R1521" s="682"/>
      <c r="S1521" s="682"/>
      <c r="T1521" s="682"/>
      <c r="U1521" s="682"/>
      <c r="V1521" s="682"/>
      <c r="W1521" s="682"/>
    </row>
    <row r="1522" spans="1:23">
      <c r="A1522" s="1045">
        <f t="shared" si="24"/>
        <v>7</v>
      </c>
      <c r="B1522" s="134">
        <v>45496</v>
      </c>
      <c r="C1522" s="70">
        <v>5250</v>
      </c>
      <c r="D1522" s="70" t="s">
        <v>85</v>
      </c>
      <c r="E1522" s="280" t="s">
        <v>3751</v>
      </c>
      <c r="F1522" s="1049">
        <v>38.1</v>
      </c>
      <c r="G1522" s="1049"/>
      <c r="H1522" s="564"/>
      <c r="I1522" s="609"/>
      <c r="J1522" s="1155"/>
      <c r="K1522" s="609"/>
      <c r="L1522" s="609"/>
      <c r="M1522" s="609"/>
      <c r="N1522" s="599"/>
      <c r="O1522" s="552" t="s">
        <v>1584</v>
      </c>
      <c r="P1522" s="603"/>
      <c r="Q1522" s="682"/>
      <c r="R1522" s="682"/>
      <c r="S1522" s="682"/>
      <c r="T1522" s="682"/>
      <c r="U1522" s="682"/>
      <c r="V1522" s="682"/>
      <c r="W1522" s="682"/>
    </row>
    <row r="1523" spans="1:23">
      <c r="A1523" s="1045">
        <f t="shared" si="24"/>
        <v>7</v>
      </c>
      <c r="B1523" s="134">
        <v>45496</v>
      </c>
      <c r="C1523" s="70">
        <v>2018</v>
      </c>
      <c r="D1523" s="70" t="s">
        <v>58</v>
      </c>
      <c r="E1523" s="280" t="s">
        <v>3751</v>
      </c>
      <c r="F1523" s="1049">
        <v>1.91</v>
      </c>
      <c r="G1523" s="1049"/>
      <c r="H1523" s="564"/>
      <c r="I1523" s="609"/>
      <c r="J1523" s="1155"/>
      <c r="K1523" s="609"/>
      <c r="L1523" s="609"/>
      <c r="M1523" s="609"/>
      <c r="N1523" s="599"/>
      <c r="O1523" s="552" t="s">
        <v>1584</v>
      </c>
      <c r="P1523" s="603"/>
      <c r="Q1523" s="682"/>
      <c r="R1523" s="682"/>
      <c r="S1523" s="682"/>
      <c r="T1523" s="682"/>
      <c r="U1523" s="682"/>
      <c r="V1523" s="682"/>
      <c r="W1523" s="682"/>
    </row>
    <row r="1524" spans="1:23">
      <c r="A1524" s="1045">
        <f t="shared" si="24"/>
        <v>7</v>
      </c>
      <c r="B1524" s="134">
        <v>45496</v>
      </c>
      <c r="C1524" s="70">
        <v>5250</v>
      </c>
      <c r="D1524" s="70" t="s">
        <v>85</v>
      </c>
      <c r="E1524" s="280" t="s">
        <v>3752</v>
      </c>
      <c r="F1524" s="1049">
        <v>135</v>
      </c>
      <c r="G1524" s="1049"/>
      <c r="H1524" s="564"/>
      <c r="I1524" s="609"/>
      <c r="J1524" s="1155"/>
      <c r="K1524" s="609"/>
      <c r="L1524" s="609"/>
      <c r="M1524" s="609"/>
      <c r="N1524" s="599"/>
      <c r="O1524" s="552" t="s">
        <v>1584</v>
      </c>
      <c r="P1524" s="603"/>
      <c r="Q1524" s="682"/>
      <c r="R1524" s="682"/>
      <c r="S1524" s="682"/>
      <c r="T1524" s="682"/>
      <c r="U1524" s="682"/>
      <c r="V1524" s="682"/>
      <c r="W1524" s="682"/>
    </row>
    <row r="1525" spans="1:23">
      <c r="A1525" s="1045">
        <f t="shared" si="24"/>
        <v>7</v>
      </c>
      <c r="B1525" s="134">
        <v>45496</v>
      </c>
      <c r="C1525" s="70">
        <v>2018</v>
      </c>
      <c r="D1525" s="70" t="s">
        <v>58</v>
      </c>
      <c r="E1525" s="280" t="s">
        <v>3752</v>
      </c>
      <c r="F1525" s="1049">
        <v>6.75</v>
      </c>
      <c r="G1525" s="1049"/>
      <c r="H1525" s="564"/>
      <c r="I1525" s="609"/>
      <c r="J1525" s="1155"/>
      <c r="K1525" s="609"/>
      <c r="L1525" s="609"/>
      <c r="M1525" s="609"/>
      <c r="N1525" s="599"/>
      <c r="O1525" s="552" t="s">
        <v>1584</v>
      </c>
      <c r="P1525" s="603"/>
      <c r="Q1525" s="682"/>
      <c r="R1525" s="682"/>
      <c r="S1525" s="682"/>
      <c r="T1525" s="682"/>
      <c r="U1525" s="682"/>
      <c r="V1525" s="682"/>
      <c r="W1525" s="682"/>
    </row>
    <row r="1526" spans="1:23">
      <c r="A1526" s="1045">
        <f t="shared" si="24"/>
        <v>7</v>
      </c>
      <c r="B1526" s="134">
        <v>45496</v>
      </c>
      <c r="C1526" s="70">
        <v>5250</v>
      </c>
      <c r="D1526" s="70" t="s">
        <v>85</v>
      </c>
      <c r="E1526" s="280" t="s">
        <v>3753</v>
      </c>
      <c r="F1526" s="1049">
        <v>1275</v>
      </c>
      <c r="G1526" s="1049"/>
      <c r="H1526" s="564"/>
      <c r="I1526" s="609"/>
      <c r="J1526" s="1155"/>
      <c r="K1526" s="609"/>
      <c r="L1526" s="609"/>
      <c r="M1526" s="609"/>
      <c r="N1526" s="599"/>
      <c r="O1526" s="552" t="s">
        <v>1584</v>
      </c>
      <c r="P1526" s="603"/>
      <c r="Q1526" s="682"/>
      <c r="R1526" s="682"/>
      <c r="S1526" s="682"/>
      <c r="T1526" s="682"/>
      <c r="U1526" s="682"/>
      <c r="V1526" s="682"/>
      <c r="W1526" s="682"/>
    </row>
    <row r="1527" spans="1:23">
      <c r="A1527" s="1045">
        <f t="shared" si="24"/>
        <v>7</v>
      </c>
      <c r="B1527" s="134">
        <v>45496</v>
      </c>
      <c r="C1527" s="70">
        <v>2018</v>
      </c>
      <c r="D1527" s="70" t="s">
        <v>58</v>
      </c>
      <c r="E1527" s="280" t="s">
        <v>3753</v>
      </c>
      <c r="F1527" s="1049">
        <v>63.75</v>
      </c>
      <c r="G1527" s="1049"/>
      <c r="H1527" s="564"/>
      <c r="I1527" s="609"/>
      <c r="J1527" s="1155"/>
      <c r="K1527" s="609"/>
      <c r="L1527" s="609"/>
      <c r="M1527" s="609"/>
      <c r="N1527" s="599"/>
      <c r="O1527" s="552" t="s">
        <v>1584</v>
      </c>
      <c r="P1527" s="603"/>
      <c r="Q1527" s="682"/>
      <c r="R1527" s="682"/>
      <c r="S1527" s="682"/>
      <c r="T1527" s="682"/>
      <c r="U1527" s="682"/>
      <c r="V1527" s="682"/>
      <c r="W1527" s="682"/>
    </row>
    <row r="1528" spans="1:23">
      <c r="A1528" s="1045">
        <f t="shared" si="24"/>
        <v>7</v>
      </c>
      <c r="B1528" s="134">
        <v>45496</v>
      </c>
      <c r="C1528" s="70">
        <v>5250</v>
      </c>
      <c r="D1528" s="70" t="s">
        <v>85</v>
      </c>
      <c r="E1528" s="280" t="s">
        <v>3754</v>
      </c>
      <c r="F1528" s="1049">
        <v>240</v>
      </c>
      <c r="G1528" s="1049"/>
      <c r="H1528" s="564"/>
      <c r="I1528" s="609"/>
      <c r="J1528" s="1155"/>
      <c r="K1528" s="609"/>
      <c r="L1528" s="609"/>
      <c r="M1528" s="609"/>
      <c r="N1528" s="599"/>
      <c r="O1528" s="552" t="s">
        <v>1584</v>
      </c>
      <c r="P1528" s="603"/>
      <c r="Q1528" s="682"/>
      <c r="R1528" s="682"/>
      <c r="S1528" s="682"/>
      <c r="T1528" s="682"/>
      <c r="U1528" s="682"/>
      <c r="V1528" s="682"/>
      <c r="W1528" s="682"/>
    </row>
    <row r="1529" spans="1:23">
      <c r="A1529" s="1045">
        <f t="shared" si="24"/>
        <v>7</v>
      </c>
      <c r="B1529" s="134">
        <v>45496</v>
      </c>
      <c r="C1529" s="70">
        <v>2018</v>
      </c>
      <c r="D1529" s="70" t="s">
        <v>58</v>
      </c>
      <c r="E1529" s="280" t="s">
        <v>3754</v>
      </c>
      <c r="F1529" s="1049">
        <v>12</v>
      </c>
      <c r="G1529" s="1049"/>
      <c r="H1529" s="564"/>
      <c r="I1529" s="609"/>
      <c r="J1529" s="1155"/>
      <c r="K1529" s="609"/>
      <c r="L1529" s="609"/>
      <c r="M1529" s="609"/>
      <c r="N1529" s="599"/>
      <c r="O1529" s="552" t="s">
        <v>1584</v>
      </c>
      <c r="P1529" s="603"/>
      <c r="Q1529" s="682"/>
      <c r="R1529" s="682"/>
      <c r="S1529" s="682"/>
      <c r="T1529" s="682"/>
      <c r="U1529" s="682"/>
      <c r="V1529" s="682"/>
      <c r="W1529" s="682"/>
    </row>
    <row r="1530" spans="1:23">
      <c r="A1530" s="1045">
        <f t="shared" si="24"/>
        <v>7</v>
      </c>
      <c r="B1530" s="134">
        <v>45497</v>
      </c>
      <c r="C1530" s="70">
        <v>5200</v>
      </c>
      <c r="D1530" s="70" t="s">
        <v>83</v>
      </c>
      <c r="E1530" s="280" t="s">
        <v>3755</v>
      </c>
      <c r="F1530" s="1049">
        <v>300</v>
      </c>
      <c r="G1530" s="1049"/>
      <c r="H1530" s="564"/>
      <c r="I1530" s="609"/>
      <c r="J1530" s="1155"/>
      <c r="K1530" s="609"/>
      <c r="L1530" s="609"/>
      <c r="M1530" s="609"/>
      <c r="N1530" s="599"/>
      <c r="O1530" s="552" t="s">
        <v>1584</v>
      </c>
      <c r="P1530" s="603"/>
      <c r="Q1530" s="682"/>
      <c r="R1530" s="682"/>
      <c r="S1530" s="682"/>
      <c r="T1530" s="682"/>
      <c r="U1530" s="682"/>
      <c r="V1530" s="682"/>
      <c r="W1530" s="682"/>
    </row>
    <row r="1531" spans="1:23">
      <c r="A1531" s="1045">
        <f t="shared" si="24"/>
        <v>7</v>
      </c>
      <c r="B1531" s="134">
        <v>45497</v>
      </c>
      <c r="C1531" s="70">
        <v>2018</v>
      </c>
      <c r="D1531" s="70" t="s">
        <v>58</v>
      </c>
      <c r="E1531" s="280" t="s">
        <v>3755</v>
      </c>
      <c r="F1531" s="1049">
        <v>15</v>
      </c>
      <c r="G1531" s="1049"/>
      <c r="H1531" s="564"/>
      <c r="I1531" s="609"/>
      <c r="J1531" s="1155"/>
      <c r="K1531" s="609"/>
      <c r="L1531" s="609"/>
      <c r="M1531" s="609"/>
      <c r="N1531" s="599"/>
      <c r="O1531" s="552" t="s">
        <v>1584</v>
      </c>
      <c r="P1531" s="603"/>
      <c r="Q1531" s="682"/>
      <c r="R1531" s="682"/>
      <c r="S1531" s="682"/>
      <c r="T1531" s="682"/>
      <c r="U1531" s="682"/>
      <c r="V1531" s="682"/>
      <c r="W1531" s="682"/>
    </row>
    <row r="1532" spans="1:23">
      <c r="A1532" s="1045">
        <f t="shared" si="24"/>
        <v>7</v>
      </c>
      <c r="B1532" s="134">
        <v>45497</v>
      </c>
      <c r="C1532" s="70">
        <v>5250</v>
      </c>
      <c r="D1532" s="70" t="s">
        <v>85</v>
      </c>
      <c r="E1532" s="280" t="s">
        <v>3756</v>
      </c>
      <c r="F1532" s="1049">
        <v>10</v>
      </c>
      <c r="G1532" s="1049"/>
      <c r="H1532" s="564"/>
      <c r="I1532" s="609"/>
      <c r="J1532" s="1155"/>
      <c r="K1532" s="609"/>
      <c r="L1532" s="609"/>
      <c r="M1532" s="609"/>
      <c r="N1532" s="599"/>
      <c r="O1532" s="552" t="s">
        <v>1584</v>
      </c>
      <c r="P1532" s="603"/>
      <c r="Q1532" s="682"/>
      <c r="R1532" s="682"/>
      <c r="S1532" s="682"/>
      <c r="T1532" s="682"/>
      <c r="U1532" s="682"/>
      <c r="V1532" s="682"/>
      <c r="W1532" s="682"/>
    </row>
    <row r="1533" spans="1:23">
      <c r="A1533" s="1045">
        <f t="shared" si="24"/>
        <v>7</v>
      </c>
      <c r="B1533" s="134">
        <v>45497</v>
      </c>
      <c r="C1533" s="70">
        <v>2018</v>
      </c>
      <c r="D1533" s="70" t="s">
        <v>58</v>
      </c>
      <c r="E1533" s="280" t="s">
        <v>3756</v>
      </c>
      <c r="F1533" s="1049">
        <v>0.5</v>
      </c>
      <c r="G1533" s="1049"/>
      <c r="H1533" s="564"/>
      <c r="I1533" s="609"/>
      <c r="J1533" s="1155"/>
      <c r="K1533" s="609"/>
      <c r="L1533" s="609"/>
      <c r="M1533" s="609"/>
      <c r="N1533" s="599"/>
      <c r="O1533" s="552" t="s">
        <v>1584</v>
      </c>
      <c r="P1533" s="603"/>
      <c r="Q1533" s="682"/>
      <c r="R1533" s="682"/>
      <c r="S1533" s="682"/>
      <c r="T1533" s="682"/>
      <c r="U1533" s="682"/>
      <c r="V1533" s="682"/>
      <c r="W1533" s="682"/>
    </row>
    <row r="1534" spans="1:23">
      <c r="A1534" s="1045">
        <f t="shared" si="24"/>
        <v>7</v>
      </c>
      <c r="B1534" s="134">
        <v>45497</v>
      </c>
      <c r="C1534" s="70">
        <v>5200</v>
      </c>
      <c r="D1534" s="70" t="s">
        <v>83</v>
      </c>
      <c r="E1534" s="280" t="s">
        <v>3757</v>
      </c>
      <c r="F1534" s="1049">
        <v>2133.0100000000002</v>
      </c>
      <c r="G1534" s="1049"/>
      <c r="H1534" s="564"/>
      <c r="I1534" s="609"/>
      <c r="J1534" s="1155"/>
      <c r="K1534" s="609"/>
      <c r="L1534" s="609"/>
      <c r="M1534" s="609"/>
      <c r="N1534" s="599"/>
      <c r="O1534" s="552" t="s">
        <v>1584</v>
      </c>
      <c r="P1534" s="603"/>
      <c r="Q1534" s="682"/>
      <c r="R1534" s="682"/>
      <c r="S1534" s="682"/>
      <c r="T1534" s="682"/>
      <c r="U1534" s="682"/>
      <c r="V1534" s="682"/>
      <c r="W1534" s="682"/>
    </row>
    <row r="1535" spans="1:23">
      <c r="A1535" s="1045">
        <f t="shared" si="24"/>
        <v>7</v>
      </c>
      <c r="B1535" s="134">
        <v>45497</v>
      </c>
      <c r="C1535" s="70">
        <v>2018</v>
      </c>
      <c r="D1535" s="70" t="s">
        <v>58</v>
      </c>
      <c r="E1535" s="280" t="s">
        <v>3757</v>
      </c>
      <c r="F1535" s="1049">
        <v>106.65</v>
      </c>
      <c r="G1535" s="1049"/>
      <c r="H1535" s="564"/>
      <c r="I1535" s="609"/>
      <c r="J1535" s="1155"/>
      <c r="K1535" s="609"/>
      <c r="L1535" s="609"/>
      <c r="M1535" s="609"/>
      <c r="N1535" s="599"/>
      <c r="O1535" s="552" t="s">
        <v>1584</v>
      </c>
      <c r="P1535" s="603"/>
      <c r="Q1535" s="682"/>
      <c r="R1535" s="682"/>
      <c r="S1535" s="682"/>
      <c r="T1535" s="682"/>
      <c r="U1535" s="682"/>
      <c r="V1535" s="682"/>
      <c r="W1535" s="682"/>
    </row>
    <row r="1536" spans="1:23">
      <c r="A1536" s="1045">
        <f t="shared" si="24"/>
        <v>7</v>
      </c>
      <c r="B1536" s="134">
        <v>45497</v>
      </c>
      <c r="C1536" s="70">
        <v>5150</v>
      </c>
      <c r="D1536" s="70" t="s">
        <v>82</v>
      </c>
      <c r="E1536" s="280" t="s">
        <v>3758</v>
      </c>
      <c r="F1536" s="1049">
        <v>13700</v>
      </c>
      <c r="G1536" s="1049"/>
      <c r="H1536" s="564"/>
      <c r="I1536" s="609"/>
      <c r="J1536" s="1155"/>
      <c r="K1536" s="609"/>
      <c r="L1536" s="609"/>
      <c r="M1536" s="609"/>
      <c r="N1536" s="599"/>
      <c r="O1536" s="552" t="s">
        <v>1584</v>
      </c>
      <c r="P1536" s="603"/>
      <c r="Q1536" s="682"/>
      <c r="R1536" s="682"/>
      <c r="S1536" s="682"/>
      <c r="T1536" s="682"/>
      <c r="U1536" s="682"/>
      <c r="V1536" s="682"/>
      <c r="W1536" s="682"/>
    </row>
    <row r="1537" spans="1:23">
      <c r="A1537" s="1045">
        <f t="shared" si="24"/>
        <v>7</v>
      </c>
      <c r="B1537" s="134">
        <v>45497</v>
      </c>
      <c r="C1537" s="70">
        <v>2018</v>
      </c>
      <c r="D1537" s="70" t="s">
        <v>58</v>
      </c>
      <c r="E1537" s="280" t="s">
        <v>3758</v>
      </c>
      <c r="F1537" s="1049">
        <v>685</v>
      </c>
      <c r="G1537" s="1049"/>
      <c r="H1537" s="564"/>
      <c r="I1537" s="609"/>
      <c r="J1537" s="1155"/>
      <c r="K1537" s="609"/>
      <c r="L1537" s="609"/>
      <c r="M1537" s="609"/>
      <c r="N1537" s="599"/>
      <c r="O1537" s="552" t="s">
        <v>1584</v>
      </c>
      <c r="P1537" s="603"/>
      <c r="Q1537" s="682"/>
      <c r="R1537" s="682"/>
      <c r="S1537" s="682"/>
      <c r="T1537" s="682"/>
      <c r="U1537" s="682"/>
      <c r="V1537" s="682"/>
      <c r="W1537" s="682"/>
    </row>
    <row r="1538" spans="1:23">
      <c r="A1538" s="1045">
        <f t="shared" si="24"/>
        <v>7</v>
      </c>
      <c r="B1538" s="134">
        <v>45497</v>
      </c>
      <c r="C1538" s="70">
        <v>5250</v>
      </c>
      <c r="D1538" s="70" t="s">
        <v>85</v>
      </c>
      <c r="E1538" s="280" t="s">
        <v>3759</v>
      </c>
      <c r="F1538" s="1049">
        <v>2280</v>
      </c>
      <c r="G1538" s="1049"/>
      <c r="H1538" s="564"/>
      <c r="I1538" s="609"/>
      <c r="J1538" s="1155"/>
      <c r="K1538" s="609"/>
      <c r="L1538" s="609"/>
      <c r="M1538" s="609"/>
      <c r="N1538" s="599"/>
      <c r="O1538" s="552" t="s">
        <v>1584</v>
      </c>
      <c r="P1538" s="603"/>
      <c r="Q1538" s="682"/>
      <c r="R1538" s="682"/>
      <c r="S1538" s="682"/>
      <c r="T1538" s="682"/>
      <c r="U1538" s="682"/>
      <c r="V1538" s="682"/>
      <c r="W1538" s="682"/>
    </row>
    <row r="1539" spans="1:23">
      <c r="A1539" s="1045">
        <f t="shared" si="24"/>
        <v>7</v>
      </c>
      <c r="B1539" s="134">
        <v>45497</v>
      </c>
      <c r="C1539" s="70">
        <v>2018</v>
      </c>
      <c r="D1539" s="70" t="s">
        <v>58</v>
      </c>
      <c r="E1539" s="280" t="s">
        <v>3759</v>
      </c>
      <c r="F1539" s="1049">
        <v>114</v>
      </c>
      <c r="G1539" s="1049"/>
      <c r="H1539" s="564"/>
      <c r="I1539" s="609"/>
      <c r="J1539" s="1155"/>
      <c r="K1539" s="609"/>
      <c r="L1539" s="609"/>
      <c r="M1539" s="609"/>
      <c r="N1539" s="599"/>
      <c r="O1539" s="552" t="s">
        <v>1584</v>
      </c>
      <c r="P1539" s="603"/>
      <c r="Q1539" s="682"/>
      <c r="R1539" s="682"/>
      <c r="S1539" s="682"/>
      <c r="T1539" s="682"/>
      <c r="U1539" s="682"/>
      <c r="V1539" s="682"/>
      <c r="W1539" s="682"/>
    </row>
    <row r="1540" spans="1:23">
      <c r="A1540" s="1045">
        <f t="shared" si="24"/>
        <v>7</v>
      </c>
      <c r="B1540" s="134">
        <v>45498</v>
      </c>
      <c r="C1540" s="70">
        <v>5250</v>
      </c>
      <c r="D1540" s="70" t="s">
        <v>85</v>
      </c>
      <c r="E1540" s="280" t="s">
        <v>3760</v>
      </c>
      <c r="F1540" s="1049">
        <v>19.05</v>
      </c>
      <c r="G1540" s="1049"/>
      <c r="H1540" s="564"/>
      <c r="I1540" s="609"/>
      <c r="J1540" s="1155"/>
      <c r="K1540" s="609"/>
      <c r="L1540" s="609"/>
      <c r="M1540" s="609"/>
      <c r="N1540" s="599"/>
      <c r="O1540" s="552" t="s">
        <v>1584</v>
      </c>
      <c r="P1540" s="603"/>
      <c r="Q1540" s="682"/>
      <c r="R1540" s="682"/>
      <c r="S1540" s="682"/>
      <c r="T1540" s="682"/>
      <c r="U1540" s="682"/>
      <c r="V1540" s="682"/>
      <c r="W1540" s="682"/>
    </row>
    <row r="1541" spans="1:23">
      <c r="A1541" s="1045">
        <f t="shared" si="24"/>
        <v>7</v>
      </c>
      <c r="B1541" s="134">
        <v>45498</v>
      </c>
      <c r="C1541" s="70">
        <v>2018</v>
      </c>
      <c r="D1541" s="70" t="s">
        <v>58</v>
      </c>
      <c r="E1541" s="280" t="s">
        <v>3760</v>
      </c>
      <c r="F1541" s="1049">
        <v>0.95</v>
      </c>
      <c r="G1541" s="1049"/>
      <c r="H1541" s="564"/>
      <c r="I1541" s="609"/>
      <c r="J1541" s="1155"/>
      <c r="K1541" s="609"/>
      <c r="L1541" s="609"/>
      <c r="M1541" s="609"/>
      <c r="N1541" s="599"/>
      <c r="O1541" s="552" t="s">
        <v>1584</v>
      </c>
      <c r="P1541" s="603"/>
      <c r="Q1541" s="682"/>
      <c r="R1541" s="682"/>
      <c r="S1541" s="682"/>
      <c r="T1541" s="682"/>
      <c r="U1541" s="682"/>
      <c r="V1541" s="682"/>
      <c r="W1541" s="682"/>
    </row>
    <row r="1542" spans="1:23">
      <c r="A1542" s="1045">
        <f t="shared" si="24"/>
        <v>7</v>
      </c>
      <c r="B1542" s="134">
        <v>45498</v>
      </c>
      <c r="C1542" s="70">
        <v>5250</v>
      </c>
      <c r="D1542" s="70" t="s">
        <v>85</v>
      </c>
      <c r="E1542" s="280" t="s">
        <v>3761</v>
      </c>
      <c r="F1542" s="1049">
        <v>12.38</v>
      </c>
      <c r="G1542" s="1049"/>
      <c r="H1542" s="564"/>
      <c r="I1542" s="609"/>
      <c r="J1542" s="1155"/>
      <c r="K1542" s="609"/>
      <c r="L1542" s="609"/>
      <c r="M1542" s="609"/>
      <c r="N1542" s="599"/>
      <c r="O1542" s="552" t="s">
        <v>1584</v>
      </c>
      <c r="P1542" s="603"/>
      <c r="Q1542" s="682"/>
      <c r="R1542" s="682"/>
      <c r="S1542" s="682"/>
      <c r="T1542" s="682"/>
      <c r="U1542" s="682"/>
      <c r="V1542" s="682"/>
      <c r="W1542" s="682"/>
    </row>
    <row r="1543" spans="1:23">
      <c r="A1543" s="1045">
        <f t="shared" si="24"/>
        <v>7</v>
      </c>
      <c r="B1543" s="134">
        <v>45498</v>
      </c>
      <c r="C1543" s="70">
        <v>2018</v>
      </c>
      <c r="D1543" s="70" t="s">
        <v>58</v>
      </c>
      <c r="E1543" s="280" t="s">
        <v>3761</v>
      </c>
      <c r="F1543" s="1049">
        <v>0.62</v>
      </c>
      <c r="G1543" s="1049"/>
      <c r="H1543" s="564"/>
      <c r="I1543" s="609"/>
      <c r="J1543" s="1155"/>
      <c r="K1543" s="609"/>
      <c r="L1543" s="609"/>
      <c r="M1543" s="609"/>
      <c r="N1543" s="599"/>
      <c r="O1543" s="552" t="s">
        <v>1584</v>
      </c>
      <c r="P1543" s="603"/>
      <c r="Q1543" s="682"/>
      <c r="R1543" s="682"/>
      <c r="S1543" s="682"/>
      <c r="T1543" s="682"/>
      <c r="U1543" s="682"/>
      <c r="V1543" s="682"/>
      <c r="W1543" s="682"/>
    </row>
    <row r="1544" spans="1:23">
      <c r="A1544" s="1045">
        <f t="shared" si="24"/>
        <v>7</v>
      </c>
      <c r="B1544" s="134">
        <v>45498</v>
      </c>
      <c r="C1544" s="70">
        <v>5250</v>
      </c>
      <c r="D1544" s="70" t="s">
        <v>85</v>
      </c>
      <c r="E1544" s="280" t="s">
        <v>3762</v>
      </c>
      <c r="F1544" s="1049">
        <v>12</v>
      </c>
      <c r="G1544" s="1049"/>
      <c r="H1544" s="564"/>
      <c r="I1544" s="609"/>
      <c r="J1544" s="1155"/>
      <c r="K1544" s="609"/>
      <c r="L1544" s="609"/>
      <c r="M1544" s="609"/>
      <c r="N1544" s="599"/>
      <c r="O1544" s="552" t="s">
        <v>1584</v>
      </c>
      <c r="P1544" s="603"/>
      <c r="Q1544" s="682"/>
      <c r="R1544" s="682"/>
      <c r="S1544" s="682"/>
      <c r="T1544" s="682"/>
      <c r="U1544" s="682"/>
      <c r="V1544" s="682"/>
      <c r="W1544" s="682"/>
    </row>
    <row r="1545" spans="1:23">
      <c r="A1545" s="1045">
        <f t="shared" si="24"/>
        <v>7</v>
      </c>
      <c r="B1545" s="134">
        <v>45498</v>
      </c>
      <c r="C1545" s="70">
        <v>2018</v>
      </c>
      <c r="D1545" s="70" t="s">
        <v>58</v>
      </c>
      <c r="E1545" s="280" t="s">
        <v>3762</v>
      </c>
      <c r="F1545" s="1049">
        <v>0.6</v>
      </c>
      <c r="G1545" s="1049"/>
      <c r="H1545" s="564"/>
      <c r="I1545" s="609"/>
      <c r="J1545" s="1155"/>
      <c r="K1545" s="609"/>
      <c r="L1545" s="609"/>
      <c r="M1545" s="609"/>
      <c r="N1545" s="599"/>
      <c r="O1545" s="552" t="s">
        <v>1584</v>
      </c>
      <c r="P1545" s="603"/>
      <c r="Q1545" s="682"/>
      <c r="R1545" s="682"/>
      <c r="S1545" s="682"/>
      <c r="T1545" s="682"/>
      <c r="U1545" s="682"/>
      <c r="V1545" s="682"/>
      <c r="W1545" s="682"/>
    </row>
    <row r="1546" spans="1:23">
      <c r="A1546" s="1045">
        <f t="shared" si="24"/>
        <v>7</v>
      </c>
      <c r="B1546" s="134">
        <v>45498</v>
      </c>
      <c r="C1546" s="70">
        <v>5250</v>
      </c>
      <c r="D1546" s="70" t="s">
        <v>85</v>
      </c>
      <c r="E1546" s="280" t="s">
        <v>3763</v>
      </c>
      <c r="F1546" s="1049">
        <v>1910</v>
      </c>
      <c r="G1546" s="1049"/>
      <c r="H1546" s="564"/>
      <c r="I1546" s="609"/>
      <c r="J1546" s="1155"/>
      <c r="K1546" s="609"/>
      <c r="L1546" s="609"/>
      <c r="M1546" s="609"/>
      <c r="N1546" s="599"/>
      <c r="O1546" s="552" t="s">
        <v>1584</v>
      </c>
      <c r="P1546" s="603"/>
      <c r="Q1546" s="682"/>
      <c r="R1546" s="682"/>
      <c r="S1546" s="682"/>
      <c r="T1546" s="682"/>
      <c r="U1546" s="682"/>
      <c r="V1546" s="682"/>
      <c r="W1546" s="682"/>
    </row>
    <row r="1547" spans="1:23">
      <c r="A1547" s="1045">
        <f t="shared" si="24"/>
        <v>7</v>
      </c>
      <c r="B1547" s="134">
        <v>45498</v>
      </c>
      <c r="C1547" s="70">
        <v>2018</v>
      </c>
      <c r="D1547" s="70" t="s">
        <v>58</v>
      </c>
      <c r="E1547" s="280" t="s">
        <v>3763</v>
      </c>
      <c r="F1547" s="1049">
        <v>95.5</v>
      </c>
      <c r="G1547" s="1049"/>
      <c r="H1547" s="564"/>
      <c r="I1547" s="609"/>
      <c r="J1547" s="1155"/>
      <c r="K1547" s="609"/>
      <c r="L1547" s="609"/>
      <c r="M1547" s="609"/>
      <c r="N1547" s="599"/>
      <c r="O1547" s="552" t="s">
        <v>1584</v>
      </c>
      <c r="P1547" s="603"/>
      <c r="Q1547" s="682"/>
      <c r="R1547" s="682"/>
      <c r="S1547" s="682"/>
      <c r="T1547" s="682"/>
      <c r="U1547" s="682"/>
      <c r="V1547" s="682"/>
      <c r="W1547" s="682"/>
    </row>
    <row r="1548" spans="1:23">
      <c r="A1548" s="1045">
        <f t="shared" si="24"/>
        <v>7</v>
      </c>
      <c r="B1548" s="134">
        <v>45498</v>
      </c>
      <c r="C1548" s="70">
        <v>5250</v>
      </c>
      <c r="D1548" s="70" t="s">
        <v>85</v>
      </c>
      <c r="E1548" s="280" t="s">
        <v>3764</v>
      </c>
      <c r="F1548" s="1049">
        <v>8.5</v>
      </c>
      <c r="G1548" s="1049"/>
      <c r="H1548" s="564"/>
      <c r="I1548" s="609"/>
      <c r="J1548" s="1155"/>
      <c r="K1548" s="609"/>
      <c r="L1548" s="609"/>
      <c r="M1548" s="609"/>
      <c r="N1548" s="599"/>
      <c r="O1548" s="552" t="s">
        <v>1584</v>
      </c>
      <c r="P1548" s="603"/>
      <c r="Q1548" s="682"/>
      <c r="R1548" s="682"/>
      <c r="S1548" s="682"/>
      <c r="T1548" s="682"/>
      <c r="U1548" s="682"/>
      <c r="V1548" s="682"/>
      <c r="W1548" s="682"/>
    </row>
    <row r="1549" spans="1:23">
      <c r="A1549" s="1045">
        <f t="shared" si="24"/>
        <v>7</v>
      </c>
      <c r="B1549" s="134">
        <v>45498</v>
      </c>
      <c r="C1549" s="70">
        <v>2018</v>
      </c>
      <c r="D1549" s="70" t="s">
        <v>58</v>
      </c>
      <c r="E1549" s="280" t="s">
        <v>3764</v>
      </c>
      <c r="F1549" s="1049">
        <v>0.4</v>
      </c>
      <c r="G1549" s="1049"/>
      <c r="H1549" s="564"/>
      <c r="I1549" s="609"/>
      <c r="J1549" s="1155"/>
      <c r="K1549" s="609"/>
      <c r="L1549" s="609"/>
      <c r="M1549" s="609"/>
      <c r="N1549" s="599"/>
      <c r="O1549" s="552" t="s">
        <v>1584</v>
      </c>
      <c r="P1549" s="603"/>
      <c r="Q1549" s="682"/>
      <c r="R1549" s="682"/>
      <c r="S1549" s="682"/>
      <c r="T1549" s="682"/>
      <c r="U1549" s="682"/>
      <c r="V1549" s="682"/>
      <c r="W1549" s="682"/>
    </row>
    <row r="1550" spans="1:23">
      <c r="A1550" s="1045">
        <f t="shared" si="24"/>
        <v>7</v>
      </c>
      <c r="B1550" s="134">
        <v>45498</v>
      </c>
      <c r="C1550" s="70">
        <v>5250</v>
      </c>
      <c r="D1550" s="70" t="s">
        <v>85</v>
      </c>
      <c r="E1550" s="280" t="s">
        <v>3765</v>
      </c>
      <c r="F1550" s="1049">
        <v>200</v>
      </c>
      <c r="G1550" s="1049"/>
      <c r="H1550" s="564"/>
      <c r="I1550" s="609"/>
      <c r="J1550" s="1155"/>
      <c r="K1550" s="609"/>
      <c r="L1550" s="609"/>
      <c r="M1550" s="609"/>
      <c r="N1550" s="599"/>
      <c r="O1550" s="552" t="s">
        <v>1584</v>
      </c>
      <c r="P1550" s="603"/>
      <c r="Q1550" s="682"/>
      <c r="R1550" s="682"/>
      <c r="S1550" s="682"/>
      <c r="T1550" s="682"/>
      <c r="U1550" s="682"/>
      <c r="V1550" s="682"/>
      <c r="W1550" s="682"/>
    </row>
    <row r="1551" spans="1:23">
      <c r="A1551" s="1045">
        <f t="shared" si="24"/>
        <v>7</v>
      </c>
      <c r="B1551" s="134">
        <v>45498</v>
      </c>
      <c r="C1551" s="70">
        <v>2018</v>
      </c>
      <c r="D1551" s="70" t="s">
        <v>58</v>
      </c>
      <c r="E1551" s="280" t="s">
        <v>3765</v>
      </c>
      <c r="F1551" s="1049">
        <v>10.01</v>
      </c>
      <c r="G1551" s="1049"/>
      <c r="H1551" s="564"/>
      <c r="I1551" s="609"/>
      <c r="J1551" s="1155"/>
      <c r="K1551" s="609"/>
      <c r="L1551" s="609"/>
      <c r="M1551" s="609"/>
      <c r="N1551" s="599"/>
      <c r="O1551" s="552" t="s">
        <v>1584</v>
      </c>
      <c r="P1551" s="603"/>
      <c r="Q1551" s="682"/>
      <c r="R1551" s="682"/>
      <c r="S1551" s="682"/>
      <c r="T1551" s="682"/>
      <c r="U1551" s="682"/>
      <c r="V1551" s="682"/>
      <c r="W1551" s="682"/>
    </row>
    <row r="1552" spans="1:23">
      <c r="A1552" s="1045">
        <f t="shared" si="24"/>
        <v>7</v>
      </c>
      <c r="B1552" s="134">
        <v>45499</v>
      </c>
      <c r="C1552" s="70">
        <v>5250</v>
      </c>
      <c r="D1552" s="70" t="s">
        <v>85</v>
      </c>
      <c r="E1552" s="280" t="s">
        <v>3766</v>
      </c>
      <c r="F1552" s="1049">
        <v>2280</v>
      </c>
      <c r="G1552" s="1049"/>
      <c r="H1552" s="564"/>
      <c r="I1552" s="609"/>
      <c r="J1552" s="1155"/>
      <c r="K1552" s="609"/>
      <c r="L1552" s="609"/>
      <c r="M1552" s="609"/>
      <c r="N1552" s="599"/>
      <c r="O1552" s="552" t="s">
        <v>1584</v>
      </c>
      <c r="P1552" s="603"/>
      <c r="Q1552" s="682"/>
      <c r="R1552" s="682"/>
      <c r="S1552" s="682"/>
      <c r="T1552" s="682"/>
      <c r="U1552" s="682"/>
      <c r="V1552" s="682"/>
      <c r="W1552" s="682"/>
    </row>
    <row r="1553" spans="1:23">
      <c r="A1553" s="1045">
        <f t="shared" si="24"/>
        <v>7</v>
      </c>
      <c r="B1553" s="134">
        <v>45499</v>
      </c>
      <c r="C1553" s="70">
        <v>2018</v>
      </c>
      <c r="D1553" s="70" t="s">
        <v>58</v>
      </c>
      <c r="E1553" s="280" t="s">
        <v>3766</v>
      </c>
      <c r="F1553" s="1049">
        <v>114</v>
      </c>
      <c r="G1553" s="1049"/>
      <c r="H1553" s="564"/>
      <c r="I1553" s="609"/>
      <c r="J1553" s="1155"/>
      <c r="K1553" s="609"/>
      <c r="L1553" s="609"/>
      <c r="M1553" s="609"/>
      <c r="N1553" s="599"/>
      <c r="O1553" s="552" t="s">
        <v>1584</v>
      </c>
      <c r="P1553" s="603"/>
      <c r="Q1553" s="682"/>
      <c r="R1553" s="682"/>
      <c r="S1553" s="682"/>
      <c r="T1553" s="682"/>
      <c r="U1553" s="682"/>
      <c r="V1553" s="682"/>
      <c r="W1553" s="682"/>
    </row>
    <row r="1554" spans="1:23">
      <c r="A1554" s="1045">
        <f t="shared" si="24"/>
        <v>7</v>
      </c>
      <c r="B1554" s="134">
        <v>45500</v>
      </c>
      <c r="C1554" s="70">
        <v>5200</v>
      </c>
      <c r="D1554" s="70" t="s">
        <v>83</v>
      </c>
      <c r="E1554" s="280" t="s">
        <v>3767</v>
      </c>
      <c r="F1554" s="1049">
        <v>9382.57</v>
      </c>
      <c r="G1554" s="1049"/>
      <c r="H1554" s="564"/>
      <c r="I1554" s="609"/>
      <c r="J1554" s="1155"/>
      <c r="K1554" s="609"/>
      <c r="L1554" s="609"/>
      <c r="M1554" s="609"/>
      <c r="N1554" s="599"/>
      <c r="O1554" s="552" t="s">
        <v>1584</v>
      </c>
      <c r="P1554" s="603"/>
      <c r="Q1554" s="682"/>
      <c r="R1554" s="682"/>
      <c r="S1554" s="682"/>
      <c r="T1554" s="682"/>
      <c r="U1554" s="682"/>
      <c r="V1554" s="682"/>
      <c r="W1554" s="682"/>
    </row>
    <row r="1555" spans="1:23">
      <c r="A1555" s="1045">
        <f t="shared" si="24"/>
        <v>7</v>
      </c>
      <c r="B1555" s="134">
        <v>45500</v>
      </c>
      <c r="C1555" s="70">
        <v>2018</v>
      </c>
      <c r="D1555" s="70" t="s">
        <v>58</v>
      </c>
      <c r="E1555" s="280" t="s">
        <v>3767</v>
      </c>
      <c r="F1555" s="1049">
        <v>469.14</v>
      </c>
      <c r="G1555" s="1049"/>
      <c r="H1555" s="564"/>
      <c r="I1555" s="609"/>
      <c r="J1555" s="1155"/>
      <c r="K1555" s="609"/>
      <c r="L1555" s="609"/>
      <c r="M1555" s="609"/>
      <c r="N1555" s="599"/>
      <c r="O1555" s="552" t="s">
        <v>1584</v>
      </c>
      <c r="P1555" s="603"/>
      <c r="Q1555" s="682"/>
      <c r="R1555" s="682"/>
      <c r="S1555" s="682"/>
      <c r="T1555" s="682"/>
      <c r="U1555" s="682"/>
      <c r="V1555" s="682"/>
      <c r="W1555" s="682"/>
    </row>
    <row r="1556" spans="1:23">
      <c r="A1556" s="1045">
        <f t="shared" si="24"/>
        <v>7</v>
      </c>
      <c r="B1556" s="134">
        <v>45500</v>
      </c>
      <c r="C1556" s="70">
        <v>5250</v>
      </c>
      <c r="D1556" s="70" t="s">
        <v>85</v>
      </c>
      <c r="E1556" s="280" t="s">
        <v>3768</v>
      </c>
      <c r="F1556" s="1049">
        <v>4.79</v>
      </c>
      <c r="G1556" s="1049"/>
      <c r="H1556" s="564"/>
      <c r="I1556" s="609"/>
      <c r="J1556" s="1155"/>
      <c r="K1556" s="609"/>
      <c r="L1556" s="609"/>
      <c r="M1556" s="609"/>
      <c r="N1556" s="599"/>
      <c r="O1556" s="552" t="s">
        <v>1584</v>
      </c>
      <c r="P1556" s="603"/>
      <c r="Q1556" s="682"/>
      <c r="R1556" s="682"/>
      <c r="S1556" s="682"/>
      <c r="T1556" s="682"/>
      <c r="U1556" s="682"/>
      <c r="V1556" s="682"/>
      <c r="W1556" s="682"/>
    </row>
    <row r="1557" spans="1:23">
      <c r="A1557" s="1045">
        <f t="shared" ref="A1557:A1620" si="25">IF(B1557="","",MONTH(B1557))</f>
        <v>7</v>
      </c>
      <c r="B1557" s="134">
        <v>45500</v>
      </c>
      <c r="C1557" s="70">
        <v>2018</v>
      </c>
      <c r="D1557" s="70" t="s">
        <v>58</v>
      </c>
      <c r="E1557" s="280" t="s">
        <v>3768</v>
      </c>
      <c r="F1557" s="1049">
        <v>0.24</v>
      </c>
      <c r="G1557" s="1049"/>
      <c r="H1557" s="564"/>
      <c r="I1557" s="609"/>
      <c r="J1557" s="1155"/>
      <c r="K1557" s="609"/>
      <c r="L1557" s="609"/>
      <c r="M1557" s="609"/>
      <c r="N1557" s="599"/>
      <c r="O1557" s="552" t="s">
        <v>1584</v>
      </c>
      <c r="P1557" s="603"/>
      <c r="Q1557" s="682"/>
      <c r="R1557" s="682"/>
      <c r="S1557" s="682"/>
      <c r="T1557" s="682"/>
      <c r="U1557" s="682"/>
      <c r="V1557" s="682"/>
      <c r="W1557" s="682"/>
    </row>
    <row r="1558" spans="1:23">
      <c r="A1558" s="1045">
        <f t="shared" si="25"/>
        <v>7</v>
      </c>
      <c r="B1558" s="134">
        <v>45500</v>
      </c>
      <c r="C1558" s="70">
        <v>5250</v>
      </c>
      <c r="D1558" s="70" t="s">
        <v>85</v>
      </c>
      <c r="E1558" s="280" t="s">
        <v>3769</v>
      </c>
      <c r="F1558" s="1049">
        <v>200.24</v>
      </c>
      <c r="G1558" s="1049"/>
      <c r="H1558" s="564"/>
      <c r="I1558" s="609"/>
      <c r="J1558" s="1155"/>
      <c r="K1558" s="609"/>
      <c r="L1558" s="609"/>
      <c r="M1558" s="609"/>
      <c r="N1558" s="599"/>
      <c r="O1558" s="552" t="s">
        <v>1584</v>
      </c>
      <c r="P1558" s="603"/>
      <c r="Q1558" s="682"/>
      <c r="R1558" s="682"/>
      <c r="S1558" s="682"/>
      <c r="T1558" s="682"/>
      <c r="U1558" s="682"/>
      <c r="V1558" s="682"/>
      <c r="W1558" s="682"/>
    </row>
    <row r="1559" spans="1:23">
      <c r="A1559" s="1045">
        <f t="shared" si="25"/>
        <v>7</v>
      </c>
      <c r="B1559" s="134">
        <v>45500</v>
      </c>
      <c r="C1559" s="70">
        <v>2018</v>
      </c>
      <c r="D1559" s="70" t="s">
        <v>58</v>
      </c>
      <c r="E1559" s="280" t="s">
        <v>3769</v>
      </c>
      <c r="F1559" s="1049">
        <v>10.01</v>
      </c>
      <c r="G1559" s="1049"/>
      <c r="H1559" s="564"/>
      <c r="I1559" s="609"/>
      <c r="J1559" s="1155"/>
      <c r="K1559" s="609"/>
      <c r="L1559" s="609"/>
      <c r="M1559" s="609"/>
      <c r="N1559" s="599"/>
      <c r="O1559" s="552" t="s">
        <v>1584</v>
      </c>
      <c r="P1559" s="603"/>
      <c r="Q1559" s="682"/>
      <c r="R1559" s="682"/>
      <c r="S1559" s="682"/>
      <c r="T1559" s="682"/>
      <c r="U1559" s="682"/>
      <c r="V1559" s="682"/>
      <c r="W1559" s="682"/>
    </row>
    <row r="1560" spans="1:23">
      <c r="A1560" s="1045">
        <f t="shared" si="25"/>
        <v>7</v>
      </c>
      <c r="B1560" s="134">
        <v>45500</v>
      </c>
      <c r="C1560" s="70">
        <v>5250</v>
      </c>
      <c r="D1560" s="70" t="s">
        <v>85</v>
      </c>
      <c r="E1560" s="280" t="s">
        <v>3770</v>
      </c>
      <c r="F1560" s="1049">
        <v>109.52</v>
      </c>
      <c r="G1560" s="1049"/>
      <c r="H1560" s="564"/>
      <c r="I1560" s="609"/>
      <c r="J1560" s="1155"/>
      <c r="K1560" s="609"/>
      <c r="L1560" s="609"/>
      <c r="M1560" s="609"/>
      <c r="N1560" s="599"/>
      <c r="O1560" s="552" t="s">
        <v>1584</v>
      </c>
      <c r="P1560" s="603"/>
      <c r="Q1560" s="682"/>
      <c r="R1560" s="682"/>
      <c r="S1560" s="682"/>
      <c r="T1560" s="682"/>
      <c r="U1560" s="682"/>
      <c r="V1560" s="682"/>
      <c r="W1560" s="682"/>
    </row>
    <row r="1561" spans="1:23">
      <c r="A1561" s="1045">
        <f t="shared" si="25"/>
        <v>7</v>
      </c>
      <c r="B1561" s="134">
        <v>45500</v>
      </c>
      <c r="C1561" s="70">
        <v>2018</v>
      </c>
      <c r="D1561" s="70" t="s">
        <v>58</v>
      </c>
      <c r="E1561" s="280" t="s">
        <v>3770</v>
      </c>
      <c r="F1561" s="1049">
        <v>5.48</v>
      </c>
      <c r="G1561" s="1049"/>
      <c r="H1561" s="564"/>
      <c r="I1561" s="609"/>
      <c r="J1561" s="1155"/>
      <c r="K1561" s="609"/>
      <c r="L1561" s="609"/>
      <c r="M1561" s="609"/>
      <c r="N1561" s="599"/>
      <c r="O1561" s="552" t="s">
        <v>1584</v>
      </c>
      <c r="P1561" s="603"/>
      <c r="Q1561" s="682"/>
      <c r="R1561" s="682"/>
      <c r="S1561" s="682"/>
      <c r="T1561" s="682"/>
      <c r="U1561" s="682"/>
      <c r="V1561" s="682"/>
      <c r="W1561" s="682"/>
    </row>
    <row r="1562" spans="1:23">
      <c r="A1562" s="1045">
        <f t="shared" si="25"/>
        <v>7</v>
      </c>
      <c r="B1562" s="134">
        <v>45500</v>
      </c>
      <c r="C1562" s="70">
        <v>5250</v>
      </c>
      <c r="D1562" s="70" t="s">
        <v>85</v>
      </c>
      <c r="E1562" s="280" t="s">
        <v>3771</v>
      </c>
      <c r="F1562" s="1049">
        <v>30</v>
      </c>
      <c r="G1562" s="1049"/>
      <c r="H1562" s="564"/>
      <c r="I1562" s="609"/>
      <c r="J1562" s="1155"/>
      <c r="K1562" s="609"/>
      <c r="L1562" s="609"/>
      <c r="M1562" s="609"/>
      <c r="N1562" s="599"/>
      <c r="O1562" s="552" t="s">
        <v>1584</v>
      </c>
      <c r="P1562" s="603"/>
      <c r="Q1562" s="682"/>
      <c r="R1562" s="682"/>
      <c r="S1562" s="682"/>
      <c r="T1562" s="682"/>
      <c r="U1562" s="682"/>
      <c r="V1562" s="682"/>
      <c r="W1562" s="682"/>
    </row>
    <row r="1563" spans="1:23">
      <c r="A1563" s="1045">
        <f t="shared" si="25"/>
        <v>7</v>
      </c>
      <c r="B1563" s="134">
        <v>45500</v>
      </c>
      <c r="C1563" s="70">
        <v>2018</v>
      </c>
      <c r="D1563" s="70" t="s">
        <v>58</v>
      </c>
      <c r="E1563" s="280" t="s">
        <v>3771</v>
      </c>
      <c r="F1563" s="1049">
        <v>1.5</v>
      </c>
      <c r="G1563" s="1049"/>
      <c r="H1563" s="564"/>
      <c r="I1563" s="609"/>
      <c r="J1563" s="1155"/>
      <c r="K1563" s="609"/>
      <c r="L1563" s="609"/>
      <c r="M1563" s="609"/>
      <c r="N1563" s="599"/>
      <c r="O1563" s="552" t="s">
        <v>1584</v>
      </c>
      <c r="P1563" s="603"/>
      <c r="Q1563" s="682"/>
      <c r="R1563" s="682"/>
      <c r="S1563" s="682"/>
      <c r="T1563" s="682"/>
      <c r="U1563" s="682"/>
      <c r="V1563" s="682"/>
      <c r="W1563" s="682"/>
    </row>
    <row r="1564" spans="1:23">
      <c r="A1564" s="1045">
        <f t="shared" si="25"/>
        <v>7</v>
      </c>
      <c r="B1564" s="134">
        <v>45501</v>
      </c>
      <c r="C1564" s="70">
        <v>5250</v>
      </c>
      <c r="D1564" s="70" t="s">
        <v>85</v>
      </c>
      <c r="E1564" s="280" t="s">
        <v>3772</v>
      </c>
      <c r="F1564" s="1049">
        <v>60</v>
      </c>
      <c r="G1564" s="1049"/>
      <c r="H1564" s="564"/>
      <c r="I1564" s="609"/>
      <c r="J1564" s="1155"/>
      <c r="K1564" s="609"/>
      <c r="L1564" s="609"/>
      <c r="M1564" s="609"/>
      <c r="N1564" s="599"/>
      <c r="O1564" s="552" t="s">
        <v>1584</v>
      </c>
      <c r="P1564" s="603"/>
      <c r="Q1564" s="682"/>
      <c r="R1564" s="682"/>
      <c r="S1564" s="682"/>
      <c r="T1564" s="682"/>
      <c r="U1564" s="682"/>
      <c r="V1564" s="682"/>
      <c r="W1564" s="682"/>
    </row>
    <row r="1565" spans="1:23">
      <c r="A1565" s="1045">
        <f t="shared" si="25"/>
        <v>7</v>
      </c>
      <c r="B1565" s="134">
        <v>45501</v>
      </c>
      <c r="C1565" s="70">
        <v>2018</v>
      </c>
      <c r="D1565" s="70" t="s">
        <v>58</v>
      </c>
      <c r="E1565" s="280" t="s">
        <v>3772</v>
      </c>
      <c r="F1565" s="1049">
        <v>3</v>
      </c>
      <c r="G1565" s="1049"/>
      <c r="H1565" s="564"/>
      <c r="I1565" s="609"/>
      <c r="J1565" s="1155"/>
      <c r="K1565" s="609"/>
      <c r="L1565" s="609"/>
      <c r="M1565" s="609"/>
      <c r="N1565" s="599"/>
      <c r="O1565" s="552" t="s">
        <v>1584</v>
      </c>
      <c r="P1565" s="603"/>
      <c r="Q1565" s="682"/>
      <c r="R1565" s="682"/>
      <c r="S1565" s="682"/>
      <c r="T1565" s="682"/>
      <c r="U1565" s="682"/>
      <c r="V1565" s="682"/>
      <c r="W1565" s="682"/>
    </row>
    <row r="1566" spans="1:23">
      <c r="A1566" s="1045">
        <f t="shared" si="25"/>
        <v>7</v>
      </c>
      <c r="B1566" s="134">
        <v>45501</v>
      </c>
      <c r="C1566" s="70">
        <v>5250</v>
      </c>
      <c r="D1566" s="70" t="s">
        <v>85</v>
      </c>
      <c r="E1566" s="280" t="s">
        <v>3773</v>
      </c>
      <c r="F1566" s="1049">
        <v>35</v>
      </c>
      <c r="G1566" s="1049"/>
      <c r="H1566" s="564"/>
      <c r="I1566" s="609"/>
      <c r="J1566" s="1155"/>
      <c r="K1566" s="609"/>
      <c r="L1566" s="609"/>
      <c r="M1566" s="609"/>
      <c r="N1566" s="599"/>
      <c r="O1566" s="552" t="s">
        <v>1584</v>
      </c>
      <c r="P1566" s="603"/>
      <c r="Q1566" s="682"/>
      <c r="R1566" s="682"/>
      <c r="S1566" s="682"/>
      <c r="T1566" s="682"/>
      <c r="U1566" s="682"/>
      <c r="V1566" s="682"/>
      <c r="W1566" s="682"/>
    </row>
    <row r="1567" spans="1:23">
      <c r="A1567" s="1045">
        <f t="shared" si="25"/>
        <v>7</v>
      </c>
      <c r="B1567" s="134">
        <v>45501</v>
      </c>
      <c r="C1567" s="70">
        <v>2018</v>
      </c>
      <c r="D1567" s="70" t="s">
        <v>58</v>
      </c>
      <c r="E1567" s="280" t="s">
        <v>3773</v>
      </c>
      <c r="F1567" s="1049">
        <v>1.75</v>
      </c>
      <c r="G1567" s="1049"/>
      <c r="H1567" s="564"/>
      <c r="I1567" s="609"/>
      <c r="J1567" s="1155"/>
      <c r="K1567" s="609"/>
      <c r="L1567" s="609"/>
      <c r="M1567" s="609"/>
      <c r="N1567" s="599"/>
      <c r="O1567" s="552" t="s">
        <v>1584</v>
      </c>
      <c r="P1567" s="603"/>
      <c r="Q1567" s="682"/>
      <c r="R1567" s="682"/>
      <c r="S1567" s="682"/>
      <c r="T1567" s="682"/>
      <c r="U1567" s="682"/>
      <c r="V1567" s="682"/>
      <c r="W1567" s="682"/>
    </row>
    <row r="1568" spans="1:23">
      <c r="A1568" s="1045">
        <f t="shared" si="25"/>
        <v>7</v>
      </c>
      <c r="B1568" s="134">
        <v>45501</v>
      </c>
      <c r="C1568" s="70">
        <v>5250</v>
      </c>
      <c r="D1568" s="70" t="s">
        <v>85</v>
      </c>
      <c r="E1568" s="280" t="s">
        <v>3774</v>
      </c>
      <c r="F1568" s="1049">
        <v>531.5</v>
      </c>
      <c r="G1568" s="1049"/>
      <c r="H1568" s="564"/>
      <c r="I1568" s="609"/>
      <c r="J1568" s="1155"/>
      <c r="K1568" s="609"/>
      <c r="L1568" s="609"/>
      <c r="M1568" s="609"/>
      <c r="N1568" s="599"/>
      <c r="O1568" s="552" t="s">
        <v>1584</v>
      </c>
      <c r="P1568" s="603"/>
      <c r="Q1568" s="682"/>
      <c r="R1568" s="682"/>
      <c r="S1568" s="682"/>
      <c r="T1568" s="682"/>
      <c r="U1568" s="682"/>
      <c r="V1568" s="682"/>
      <c r="W1568" s="682"/>
    </row>
    <row r="1569" spans="1:23">
      <c r="A1569" s="1045">
        <f t="shared" si="25"/>
        <v>7</v>
      </c>
      <c r="B1569" s="134">
        <v>45501</v>
      </c>
      <c r="C1569" s="70">
        <v>2018</v>
      </c>
      <c r="D1569" s="70" t="s">
        <v>58</v>
      </c>
      <c r="E1569" s="280" t="s">
        <v>3774</v>
      </c>
      <c r="F1569" s="1049">
        <v>26.58</v>
      </c>
      <c r="G1569" s="1049"/>
      <c r="H1569" s="564"/>
      <c r="I1569" s="609"/>
      <c r="J1569" s="1155"/>
      <c r="K1569" s="609"/>
      <c r="L1569" s="609"/>
      <c r="M1569" s="609"/>
      <c r="N1569" s="599"/>
      <c r="O1569" s="552" t="s">
        <v>1584</v>
      </c>
      <c r="P1569" s="603"/>
      <c r="Q1569" s="682"/>
      <c r="R1569" s="682"/>
      <c r="S1569" s="682"/>
      <c r="T1569" s="682"/>
      <c r="U1569" s="682"/>
      <c r="V1569" s="682"/>
      <c r="W1569" s="682"/>
    </row>
    <row r="1570" spans="1:23">
      <c r="A1570" s="1045">
        <f t="shared" si="25"/>
        <v>7</v>
      </c>
      <c r="B1570" s="134">
        <v>45501</v>
      </c>
      <c r="C1570" s="70">
        <v>5250</v>
      </c>
      <c r="D1570" s="70" t="s">
        <v>85</v>
      </c>
      <c r="E1570" s="280" t="s">
        <v>3775</v>
      </c>
      <c r="F1570" s="1049">
        <v>105</v>
      </c>
      <c r="G1570" s="1049"/>
      <c r="H1570" s="564"/>
      <c r="I1570" s="609"/>
      <c r="J1570" s="1155"/>
      <c r="K1570" s="609"/>
      <c r="L1570" s="609"/>
      <c r="M1570" s="609"/>
      <c r="N1570" s="599"/>
      <c r="O1570" s="552" t="s">
        <v>1584</v>
      </c>
      <c r="P1570" s="603"/>
      <c r="Q1570" s="682"/>
      <c r="R1570" s="682"/>
      <c r="S1570" s="682"/>
      <c r="T1570" s="682"/>
      <c r="U1570" s="682"/>
      <c r="V1570" s="682"/>
      <c r="W1570" s="682"/>
    </row>
    <row r="1571" spans="1:23">
      <c r="A1571" s="1045">
        <f t="shared" si="25"/>
        <v>7</v>
      </c>
      <c r="B1571" s="134">
        <v>45501</v>
      </c>
      <c r="C1571" s="70">
        <v>2018</v>
      </c>
      <c r="D1571" s="70" t="s">
        <v>58</v>
      </c>
      <c r="E1571" s="280" t="s">
        <v>3775</v>
      </c>
      <c r="F1571" s="1049">
        <v>5.25</v>
      </c>
      <c r="G1571" s="1049"/>
      <c r="H1571" s="564"/>
      <c r="I1571" s="609"/>
      <c r="J1571" s="1155"/>
      <c r="K1571" s="609"/>
      <c r="L1571" s="609"/>
      <c r="M1571" s="609"/>
      <c r="N1571" s="599"/>
      <c r="O1571" s="552" t="s">
        <v>1584</v>
      </c>
      <c r="P1571" s="603"/>
      <c r="Q1571" s="682"/>
      <c r="R1571" s="682"/>
      <c r="S1571" s="682"/>
      <c r="T1571" s="682"/>
      <c r="U1571" s="682"/>
      <c r="V1571" s="682"/>
      <c r="W1571" s="682"/>
    </row>
    <row r="1572" spans="1:23">
      <c r="A1572" s="1045">
        <f t="shared" si="25"/>
        <v>7</v>
      </c>
      <c r="B1572" s="134">
        <v>45501</v>
      </c>
      <c r="C1572" s="70">
        <v>5250</v>
      </c>
      <c r="D1572" s="70" t="s">
        <v>85</v>
      </c>
      <c r="E1572" s="280" t="s">
        <v>3776</v>
      </c>
      <c r="F1572" s="1049">
        <v>85</v>
      </c>
      <c r="G1572" s="1049"/>
      <c r="H1572" s="564"/>
      <c r="I1572" s="609"/>
      <c r="J1572" s="1155"/>
      <c r="K1572" s="609"/>
      <c r="L1572" s="609"/>
      <c r="M1572" s="609"/>
      <c r="N1572" s="599"/>
      <c r="O1572" s="552" t="s">
        <v>1584</v>
      </c>
      <c r="P1572" s="603"/>
      <c r="Q1572" s="682"/>
      <c r="R1572" s="682"/>
      <c r="S1572" s="682"/>
      <c r="T1572" s="682"/>
      <c r="U1572" s="682"/>
      <c r="V1572" s="682"/>
      <c r="W1572" s="682"/>
    </row>
    <row r="1573" spans="1:23">
      <c r="A1573" s="1045">
        <f t="shared" si="25"/>
        <v>7</v>
      </c>
      <c r="B1573" s="134">
        <v>45501</v>
      </c>
      <c r="C1573" s="70">
        <v>2018</v>
      </c>
      <c r="D1573" s="70" t="s">
        <v>58</v>
      </c>
      <c r="E1573" s="280" t="s">
        <v>3776</v>
      </c>
      <c r="F1573" s="1049">
        <v>4.25</v>
      </c>
      <c r="G1573" s="1049"/>
      <c r="H1573" s="564"/>
      <c r="I1573" s="609"/>
      <c r="J1573" s="1155"/>
      <c r="K1573" s="609"/>
      <c r="L1573" s="609"/>
      <c r="M1573" s="609"/>
      <c r="N1573" s="599"/>
      <c r="O1573" s="552" t="s">
        <v>1584</v>
      </c>
      <c r="P1573" s="603"/>
      <c r="Q1573" s="682"/>
      <c r="R1573" s="682"/>
      <c r="S1573" s="682"/>
      <c r="T1573" s="682"/>
      <c r="U1573" s="682"/>
      <c r="V1573" s="682"/>
      <c r="W1573" s="682"/>
    </row>
    <row r="1574" spans="1:23">
      <c r="A1574" s="1045">
        <f t="shared" si="25"/>
        <v>7</v>
      </c>
      <c r="B1574" s="134">
        <v>45501</v>
      </c>
      <c r="C1574" s="70">
        <v>5250</v>
      </c>
      <c r="D1574" s="70" t="s">
        <v>85</v>
      </c>
      <c r="E1574" s="280" t="s">
        <v>3777</v>
      </c>
      <c r="F1574" s="1049">
        <v>219.5</v>
      </c>
      <c r="G1574" s="1049"/>
      <c r="H1574" s="564"/>
      <c r="I1574" s="609"/>
      <c r="J1574" s="1155"/>
      <c r="K1574" s="609"/>
      <c r="L1574" s="609"/>
      <c r="M1574" s="609"/>
      <c r="N1574" s="599"/>
      <c r="O1574" s="552" t="s">
        <v>1584</v>
      </c>
      <c r="P1574" s="603"/>
      <c r="Q1574" s="682"/>
      <c r="R1574" s="682"/>
      <c r="S1574" s="682"/>
      <c r="T1574" s="682"/>
      <c r="U1574" s="682"/>
      <c r="V1574" s="682"/>
      <c r="W1574" s="682"/>
    </row>
    <row r="1575" spans="1:23">
      <c r="A1575" s="1045">
        <f t="shared" si="25"/>
        <v>7</v>
      </c>
      <c r="B1575" s="134">
        <v>45501</v>
      </c>
      <c r="C1575" s="70">
        <v>2018</v>
      </c>
      <c r="D1575" s="70" t="s">
        <v>58</v>
      </c>
      <c r="E1575" s="280" t="s">
        <v>3777</v>
      </c>
      <c r="F1575" s="1049">
        <v>10.98</v>
      </c>
      <c r="G1575" s="1049"/>
      <c r="H1575" s="564"/>
      <c r="I1575" s="609"/>
      <c r="J1575" s="1155"/>
      <c r="K1575" s="609"/>
      <c r="L1575" s="609"/>
      <c r="M1575" s="609"/>
      <c r="N1575" s="599"/>
      <c r="O1575" s="552" t="s">
        <v>1584</v>
      </c>
      <c r="P1575" s="603"/>
      <c r="Q1575" s="682"/>
      <c r="R1575" s="682"/>
      <c r="S1575" s="682"/>
      <c r="T1575" s="682"/>
      <c r="U1575" s="682"/>
      <c r="V1575" s="682"/>
      <c r="W1575" s="682"/>
    </row>
    <row r="1576" spans="1:23">
      <c r="A1576" s="1045">
        <f t="shared" si="25"/>
        <v>7</v>
      </c>
      <c r="B1576" s="134">
        <v>45502</v>
      </c>
      <c r="C1576" s="70">
        <v>5250</v>
      </c>
      <c r="D1576" s="70" t="s">
        <v>85</v>
      </c>
      <c r="E1576" s="280" t="s">
        <v>3778</v>
      </c>
      <c r="F1576" s="1049">
        <v>4500</v>
      </c>
      <c r="G1576" s="1049"/>
      <c r="H1576" s="564"/>
      <c r="I1576" s="609"/>
      <c r="J1576" s="1155"/>
      <c r="K1576" s="609"/>
      <c r="L1576" s="609"/>
      <c r="M1576" s="609"/>
      <c r="N1576" s="599"/>
      <c r="O1576" s="552" t="s">
        <v>1584</v>
      </c>
      <c r="P1576" s="603"/>
      <c r="Q1576" s="682"/>
      <c r="R1576" s="682"/>
      <c r="S1576" s="682"/>
      <c r="T1576" s="682"/>
      <c r="U1576" s="682"/>
      <c r="V1576" s="682"/>
      <c r="W1576" s="682"/>
    </row>
    <row r="1577" spans="1:23">
      <c r="A1577" s="1045">
        <f t="shared" si="25"/>
        <v>7</v>
      </c>
      <c r="B1577" s="134">
        <v>45502</v>
      </c>
      <c r="C1577" s="70">
        <v>2018</v>
      </c>
      <c r="D1577" s="70" t="s">
        <v>58</v>
      </c>
      <c r="E1577" s="280" t="s">
        <v>3778</v>
      </c>
      <c r="F1577" s="1049">
        <v>236</v>
      </c>
      <c r="G1577" s="1049"/>
      <c r="H1577" s="564"/>
      <c r="I1577" s="609"/>
      <c r="J1577" s="1155"/>
      <c r="K1577" s="609"/>
      <c r="L1577" s="609"/>
      <c r="M1577" s="609"/>
      <c r="N1577" s="599"/>
      <c r="O1577" s="552" t="s">
        <v>1584</v>
      </c>
      <c r="P1577" s="603"/>
      <c r="Q1577" s="682"/>
      <c r="R1577" s="682"/>
      <c r="S1577" s="682"/>
      <c r="T1577" s="682"/>
      <c r="U1577" s="682"/>
      <c r="V1577" s="682"/>
      <c r="W1577" s="682"/>
    </row>
    <row r="1578" spans="1:23">
      <c r="A1578" s="1045">
        <f t="shared" si="25"/>
        <v>7</v>
      </c>
      <c r="B1578" s="134">
        <v>45502</v>
      </c>
      <c r="C1578" s="70">
        <v>5250</v>
      </c>
      <c r="D1578" s="70" t="s">
        <v>85</v>
      </c>
      <c r="E1578" s="280" t="s">
        <v>3779</v>
      </c>
      <c r="F1578" s="1049">
        <v>95</v>
      </c>
      <c r="G1578" s="1049"/>
      <c r="H1578" s="564"/>
      <c r="I1578" s="609"/>
      <c r="J1578" s="1155"/>
      <c r="K1578" s="609"/>
      <c r="L1578" s="609"/>
      <c r="M1578" s="609"/>
      <c r="N1578" s="599"/>
      <c r="O1578" s="552" t="s">
        <v>1584</v>
      </c>
      <c r="P1578" s="603"/>
      <c r="Q1578" s="682"/>
      <c r="R1578" s="682"/>
      <c r="S1578" s="682"/>
      <c r="T1578" s="682"/>
      <c r="U1578" s="682"/>
      <c r="V1578" s="682"/>
      <c r="W1578" s="682"/>
    </row>
    <row r="1579" spans="1:23">
      <c r="A1579" s="1045">
        <f t="shared" si="25"/>
        <v>7</v>
      </c>
      <c r="B1579" s="134">
        <v>45502</v>
      </c>
      <c r="C1579" s="70">
        <v>2018</v>
      </c>
      <c r="D1579" s="70" t="s">
        <v>58</v>
      </c>
      <c r="E1579" s="280" t="s">
        <v>3779</v>
      </c>
      <c r="F1579" s="1049">
        <v>4.75</v>
      </c>
      <c r="G1579" s="1049"/>
      <c r="H1579" s="564"/>
      <c r="I1579" s="609"/>
      <c r="J1579" s="1155"/>
      <c r="K1579" s="609"/>
      <c r="L1579" s="609"/>
      <c r="M1579" s="609"/>
      <c r="N1579" s="599"/>
      <c r="O1579" s="552" t="s">
        <v>1584</v>
      </c>
      <c r="P1579" s="603"/>
      <c r="Q1579" s="682"/>
      <c r="R1579" s="682"/>
      <c r="S1579" s="682"/>
      <c r="T1579" s="682"/>
      <c r="U1579" s="682"/>
      <c r="V1579" s="682"/>
      <c r="W1579" s="682"/>
    </row>
    <row r="1580" spans="1:23">
      <c r="A1580" s="1045">
        <f t="shared" si="25"/>
        <v>7</v>
      </c>
      <c r="B1580" s="134">
        <v>45502</v>
      </c>
      <c r="C1580" s="70">
        <v>5200</v>
      </c>
      <c r="D1580" s="70" t="s">
        <v>83</v>
      </c>
      <c r="E1580" s="280" t="s">
        <v>3780</v>
      </c>
      <c r="F1580" s="1049">
        <v>6810</v>
      </c>
      <c r="G1580" s="1049"/>
      <c r="H1580" s="564"/>
      <c r="I1580" s="609"/>
      <c r="J1580" s="1155"/>
      <c r="K1580" s="609"/>
      <c r="L1580" s="609"/>
      <c r="M1580" s="609"/>
      <c r="N1580" s="599"/>
      <c r="O1580" s="552" t="s">
        <v>1584</v>
      </c>
      <c r="P1580" s="603"/>
      <c r="Q1580" s="682"/>
      <c r="R1580" s="682"/>
      <c r="S1580" s="682"/>
      <c r="T1580" s="682"/>
      <c r="U1580" s="682"/>
      <c r="V1580" s="682"/>
      <c r="W1580" s="682"/>
    </row>
    <row r="1581" spans="1:23">
      <c r="A1581" s="1045">
        <f t="shared" si="25"/>
        <v>7</v>
      </c>
      <c r="B1581" s="134">
        <v>45502</v>
      </c>
      <c r="C1581" s="70">
        <v>2018</v>
      </c>
      <c r="D1581" s="70" t="s">
        <v>58</v>
      </c>
      <c r="E1581" s="280" t="s">
        <v>3780</v>
      </c>
      <c r="F1581" s="1049">
        <v>340</v>
      </c>
      <c r="G1581" s="1049"/>
      <c r="H1581" s="564"/>
      <c r="I1581" s="609"/>
      <c r="J1581" s="1155"/>
      <c r="K1581" s="609"/>
      <c r="L1581" s="609"/>
      <c r="M1581" s="609"/>
      <c r="N1581" s="599"/>
      <c r="O1581" s="552" t="s">
        <v>1584</v>
      </c>
      <c r="P1581" s="603"/>
      <c r="Q1581" s="682"/>
      <c r="R1581" s="682"/>
      <c r="S1581" s="682"/>
      <c r="T1581" s="682"/>
      <c r="U1581" s="682"/>
      <c r="V1581" s="682"/>
      <c r="W1581" s="682"/>
    </row>
    <row r="1582" spans="1:23">
      <c r="A1582" s="1045">
        <f t="shared" si="25"/>
        <v>7</v>
      </c>
      <c r="B1582" s="134">
        <v>45502</v>
      </c>
      <c r="C1582" s="70">
        <v>5250</v>
      </c>
      <c r="D1582" s="70" t="s">
        <v>85</v>
      </c>
      <c r="E1582" s="280" t="s">
        <v>3781</v>
      </c>
      <c r="F1582" s="1049">
        <v>10</v>
      </c>
      <c r="G1582" s="1049"/>
      <c r="H1582" s="564"/>
      <c r="I1582" s="609"/>
      <c r="J1582" s="1155"/>
      <c r="K1582" s="609"/>
      <c r="L1582" s="609"/>
      <c r="M1582" s="609"/>
      <c r="N1582" s="599"/>
      <c r="O1582" s="552" t="s">
        <v>1584</v>
      </c>
      <c r="P1582" s="603"/>
      <c r="Q1582" s="682"/>
      <c r="R1582" s="682"/>
      <c r="S1582" s="682"/>
      <c r="T1582" s="682"/>
      <c r="U1582" s="682"/>
      <c r="V1582" s="682"/>
      <c r="W1582" s="682"/>
    </row>
    <row r="1583" spans="1:23">
      <c r="A1583" s="1045">
        <f t="shared" si="25"/>
        <v>7</v>
      </c>
      <c r="B1583" s="134">
        <v>45502</v>
      </c>
      <c r="C1583" s="70">
        <v>2018</v>
      </c>
      <c r="D1583" s="70" t="s">
        <v>58</v>
      </c>
      <c r="E1583" s="280" t="s">
        <v>3781</v>
      </c>
      <c r="F1583" s="1049">
        <v>0.5</v>
      </c>
      <c r="G1583" s="1049"/>
      <c r="H1583" s="564"/>
      <c r="I1583" s="609"/>
      <c r="J1583" s="1155"/>
      <c r="K1583" s="609"/>
      <c r="L1583" s="609"/>
      <c r="M1583" s="609"/>
      <c r="N1583" s="599"/>
      <c r="O1583" s="552" t="s">
        <v>1584</v>
      </c>
      <c r="P1583" s="603"/>
      <c r="Q1583" s="682"/>
      <c r="R1583" s="682"/>
      <c r="S1583" s="682"/>
      <c r="T1583" s="682"/>
      <c r="U1583" s="682"/>
      <c r="V1583" s="682"/>
      <c r="W1583" s="682"/>
    </row>
    <row r="1584" spans="1:23">
      <c r="A1584" s="1045">
        <f t="shared" si="25"/>
        <v>7</v>
      </c>
      <c r="B1584" s="134">
        <v>45502</v>
      </c>
      <c r="C1584" s="70">
        <v>5220</v>
      </c>
      <c r="D1584" s="70" t="s">
        <v>84</v>
      </c>
      <c r="E1584" s="280" t="s">
        <v>3782</v>
      </c>
      <c r="F1584" s="1049">
        <v>1855</v>
      </c>
      <c r="G1584" s="1049"/>
      <c r="H1584" s="564"/>
      <c r="I1584" s="609"/>
      <c r="J1584" s="1155"/>
      <c r="K1584" s="609"/>
      <c r="L1584" s="609"/>
      <c r="M1584" s="609"/>
      <c r="N1584" s="599"/>
      <c r="O1584" s="552" t="s">
        <v>1584</v>
      </c>
      <c r="P1584" s="603"/>
      <c r="Q1584" s="682"/>
      <c r="R1584" s="682"/>
      <c r="S1584" s="682"/>
      <c r="T1584" s="682"/>
      <c r="U1584" s="682"/>
      <c r="V1584" s="682"/>
      <c r="W1584" s="682"/>
    </row>
    <row r="1585" spans="1:23">
      <c r="A1585" s="1045">
        <f t="shared" si="25"/>
        <v>7</v>
      </c>
      <c r="B1585" s="134">
        <v>45502</v>
      </c>
      <c r="C1585" s="70">
        <v>2018</v>
      </c>
      <c r="D1585" s="70" t="s">
        <v>58</v>
      </c>
      <c r="E1585" s="280" t="s">
        <v>3782</v>
      </c>
      <c r="F1585" s="1049">
        <v>92.75</v>
      </c>
      <c r="G1585" s="1049"/>
      <c r="H1585" s="564"/>
      <c r="I1585" s="609"/>
      <c r="J1585" s="1155"/>
      <c r="K1585" s="609"/>
      <c r="L1585" s="609"/>
      <c r="M1585" s="609"/>
      <c r="N1585" s="599"/>
      <c r="O1585" s="552" t="s">
        <v>1584</v>
      </c>
      <c r="P1585" s="603"/>
      <c r="Q1585" s="682"/>
      <c r="R1585" s="682"/>
      <c r="S1585" s="682"/>
      <c r="T1585" s="682"/>
      <c r="U1585" s="682"/>
      <c r="V1585" s="682"/>
      <c r="W1585" s="682"/>
    </row>
    <row r="1586" spans="1:23">
      <c r="A1586" s="1045">
        <f t="shared" si="25"/>
        <v>7</v>
      </c>
      <c r="B1586" s="134">
        <v>45502</v>
      </c>
      <c r="C1586" s="70">
        <v>5250</v>
      </c>
      <c r="D1586" s="70" t="s">
        <v>85</v>
      </c>
      <c r="E1586" s="280" t="s">
        <v>3783</v>
      </c>
      <c r="F1586" s="1049">
        <v>30</v>
      </c>
      <c r="G1586" s="1049"/>
      <c r="H1586" s="564"/>
      <c r="I1586" s="609"/>
      <c r="J1586" s="1155"/>
      <c r="K1586" s="609"/>
      <c r="L1586" s="609"/>
      <c r="M1586" s="609"/>
      <c r="N1586" s="599"/>
      <c r="O1586" s="552" t="s">
        <v>1584</v>
      </c>
      <c r="P1586" s="603"/>
      <c r="Q1586" s="682"/>
      <c r="R1586" s="682"/>
      <c r="S1586" s="682"/>
      <c r="T1586" s="682"/>
      <c r="U1586" s="682"/>
      <c r="V1586" s="682"/>
      <c r="W1586" s="682"/>
    </row>
    <row r="1587" spans="1:23">
      <c r="A1587" s="1045">
        <f t="shared" si="25"/>
        <v>7</v>
      </c>
      <c r="B1587" s="134">
        <v>45502</v>
      </c>
      <c r="C1587" s="70">
        <v>2018</v>
      </c>
      <c r="D1587" s="70" t="s">
        <v>58</v>
      </c>
      <c r="E1587" s="280" t="s">
        <v>3783</v>
      </c>
      <c r="F1587" s="1049">
        <v>1.5</v>
      </c>
      <c r="G1587" s="1049"/>
      <c r="H1587" s="564"/>
      <c r="I1587" s="609"/>
      <c r="J1587" s="1155"/>
      <c r="K1587" s="609"/>
      <c r="L1587" s="609"/>
      <c r="M1587" s="609"/>
      <c r="N1587" s="599"/>
      <c r="O1587" s="552" t="s">
        <v>1584</v>
      </c>
      <c r="P1587" s="603"/>
      <c r="Q1587" s="682"/>
      <c r="R1587" s="682"/>
      <c r="S1587" s="682"/>
      <c r="T1587" s="682"/>
      <c r="U1587" s="682"/>
      <c r="V1587" s="682"/>
      <c r="W1587" s="682"/>
    </row>
    <row r="1588" spans="1:23">
      <c r="A1588" s="1045">
        <f t="shared" si="25"/>
        <v>7</v>
      </c>
      <c r="B1588" s="134">
        <v>45502</v>
      </c>
      <c r="C1588" s="70">
        <v>5250</v>
      </c>
      <c r="D1588" s="70" t="s">
        <v>85</v>
      </c>
      <c r="E1588" s="280" t="s">
        <v>3784</v>
      </c>
      <c r="F1588" s="1049">
        <v>858.3</v>
      </c>
      <c r="G1588" s="1049"/>
      <c r="H1588" s="564"/>
      <c r="I1588" s="609"/>
      <c r="J1588" s="1155"/>
      <c r="K1588" s="609"/>
      <c r="L1588" s="609"/>
      <c r="M1588" s="609"/>
      <c r="N1588" s="599"/>
      <c r="O1588" s="552" t="s">
        <v>1584</v>
      </c>
      <c r="P1588" s="603"/>
      <c r="Q1588" s="682"/>
      <c r="R1588" s="682"/>
      <c r="S1588" s="682"/>
      <c r="T1588" s="682"/>
      <c r="U1588" s="682"/>
      <c r="V1588" s="682"/>
      <c r="W1588" s="682"/>
    </row>
    <row r="1589" spans="1:23">
      <c r="A1589" s="1045">
        <f t="shared" si="25"/>
        <v>7</v>
      </c>
      <c r="B1589" s="134">
        <v>45502</v>
      </c>
      <c r="C1589" s="70">
        <v>2018</v>
      </c>
      <c r="D1589" s="70" t="s">
        <v>58</v>
      </c>
      <c r="E1589" s="280" t="s">
        <v>3784</v>
      </c>
      <c r="F1589" s="1049">
        <v>42.9</v>
      </c>
      <c r="G1589" s="1049"/>
      <c r="H1589" s="564"/>
      <c r="I1589" s="609"/>
      <c r="J1589" s="1155"/>
      <c r="K1589" s="609"/>
      <c r="L1589" s="609"/>
      <c r="M1589" s="609"/>
      <c r="N1589" s="599"/>
      <c r="O1589" s="552" t="s">
        <v>1584</v>
      </c>
      <c r="P1589" s="603"/>
      <c r="Q1589" s="682"/>
      <c r="R1589" s="682"/>
      <c r="S1589" s="682"/>
      <c r="T1589" s="682"/>
      <c r="U1589" s="682"/>
      <c r="V1589" s="682"/>
      <c r="W1589" s="682"/>
    </row>
    <row r="1590" spans="1:23">
      <c r="A1590" s="1045">
        <f t="shared" si="25"/>
        <v>7</v>
      </c>
      <c r="B1590" s="134">
        <v>45502</v>
      </c>
      <c r="C1590" s="70">
        <v>5250</v>
      </c>
      <c r="D1590" s="70" t="s">
        <v>85</v>
      </c>
      <c r="E1590" s="280" t="s">
        <v>3785</v>
      </c>
      <c r="F1590" s="1049">
        <v>1360.8</v>
      </c>
      <c r="G1590" s="1049"/>
      <c r="H1590" s="564"/>
      <c r="I1590" s="609"/>
      <c r="J1590" s="1155"/>
      <c r="K1590" s="609"/>
      <c r="L1590" s="609"/>
      <c r="M1590" s="609"/>
      <c r="N1590" s="599"/>
      <c r="O1590" s="552" t="s">
        <v>1584</v>
      </c>
      <c r="P1590" s="603"/>
      <c r="Q1590" s="682"/>
      <c r="R1590" s="682"/>
      <c r="S1590" s="682"/>
      <c r="T1590" s="682"/>
      <c r="U1590" s="682"/>
      <c r="V1590" s="682"/>
      <c r="W1590" s="682"/>
    </row>
    <row r="1591" spans="1:23">
      <c r="A1591" s="1045">
        <f t="shared" si="25"/>
        <v>7</v>
      </c>
      <c r="B1591" s="134">
        <v>45502</v>
      </c>
      <c r="C1591" s="70">
        <v>2018</v>
      </c>
      <c r="D1591" s="70" t="s">
        <v>58</v>
      </c>
      <c r="E1591" s="280" t="s">
        <v>3785</v>
      </c>
      <c r="F1591" s="1049">
        <v>68.040000000000006</v>
      </c>
      <c r="G1591" s="1049"/>
      <c r="H1591" s="564"/>
      <c r="I1591" s="609"/>
      <c r="J1591" s="1155"/>
      <c r="K1591" s="609"/>
      <c r="L1591" s="609"/>
      <c r="M1591" s="609"/>
      <c r="N1591" s="599"/>
      <c r="O1591" s="552" t="s">
        <v>1584</v>
      </c>
      <c r="P1591" s="603"/>
      <c r="Q1591" s="682"/>
      <c r="R1591" s="682"/>
      <c r="S1591" s="682"/>
      <c r="T1591" s="682"/>
      <c r="U1591" s="682"/>
      <c r="V1591" s="682"/>
      <c r="W1591" s="682"/>
    </row>
    <row r="1592" spans="1:23">
      <c r="A1592" s="1045">
        <f t="shared" si="25"/>
        <v>7</v>
      </c>
      <c r="B1592" s="134">
        <v>45502</v>
      </c>
      <c r="C1592" s="70">
        <v>5250</v>
      </c>
      <c r="D1592" s="70" t="s">
        <v>85</v>
      </c>
      <c r="E1592" s="280" t="s">
        <v>3786</v>
      </c>
      <c r="F1592" s="1049">
        <v>21.25</v>
      </c>
      <c r="G1592" s="1049"/>
      <c r="H1592" s="564"/>
      <c r="I1592" s="609"/>
      <c r="J1592" s="1155"/>
      <c r="K1592" s="609"/>
      <c r="L1592" s="609"/>
      <c r="M1592" s="609"/>
      <c r="N1592" s="599"/>
      <c r="O1592" s="552" t="s">
        <v>1584</v>
      </c>
      <c r="P1592" s="603"/>
      <c r="Q1592" s="682"/>
      <c r="R1592" s="682"/>
      <c r="S1592" s="682"/>
      <c r="T1592" s="682"/>
      <c r="U1592" s="682"/>
      <c r="V1592" s="682"/>
      <c r="W1592" s="682"/>
    </row>
    <row r="1593" spans="1:23">
      <c r="A1593" s="1045">
        <f t="shared" si="25"/>
        <v>7</v>
      </c>
      <c r="B1593" s="134">
        <v>45502</v>
      </c>
      <c r="C1593" s="70">
        <v>2018</v>
      </c>
      <c r="D1593" s="70" t="s">
        <v>58</v>
      </c>
      <c r="E1593" s="280" t="s">
        <v>3786</v>
      </c>
      <c r="F1593" s="1049">
        <v>1.06</v>
      </c>
      <c r="G1593" s="1049"/>
      <c r="H1593" s="564"/>
      <c r="I1593" s="609"/>
      <c r="J1593" s="1155"/>
      <c r="K1593" s="609"/>
      <c r="L1593" s="609"/>
      <c r="M1593" s="609"/>
      <c r="N1593" s="599"/>
      <c r="O1593" s="552" t="s">
        <v>1584</v>
      </c>
      <c r="P1593" s="603"/>
      <c r="Q1593" s="682"/>
      <c r="R1593" s="682"/>
      <c r="S1593" s="682"/>
      <c r="T1593" s="682"/>
      <c r="U1593" s="682"/>
      <c r="V1593" s="682"/>
      <c r="W1593" s="682"/>
    </row>
    <row r="1594" spans="1:23">
      <c r="A1594" s="1045">
        <f t="shared" si="25"/>
        <v>7</v>
      </c>
      <c r="B1594" s="134">
        <v>45503</v>
      </c>
      <c r="C1594" s="70">
        <v>5200</v>
      </c>
      <c r="D1594" s="70" t="s">
        <v>83</v>
      </c>
      <c r="E1594" s="280" t="s">
        <v>3787</v>
      </c>
      <c r="F1594" s="1049">
        <v>238.1</v>
      </c>
      <c r="G1594" s="1049"/>
      <c r="H1594" s="564"/>
      <c r="I1594" s="609"/>
      <c r="J1594" s="1155"/>
      <c r="K1594" s="609"/>
      <c r="L1594" s="609"/>
      <c r="M1594" s="609"/>
      <c r="N1594" s="599"/>
      <c r="O1594" s="552" t="s">
        <v>1584</v>
      </c>
      <c r="P1594" s="603"/>
      <c r="Q1594" s="682"/>
      <c r="R1594" s="682"/>
      <c r="S1594" s="682"/>
      <c r="T1594" s="682"/>
      <c r="U1594" s="682"/>
      <c r="V1594" s="682"/>
      <c r="W1594" s="682"/>
    </row>
    <row r="1595" spans="1:23">
      <c r="A1595" s="1045">
        <f t="shared" si="25"/>
        <v>7</v>
      </c>
      <c r="B1595" s="134">
        <v>45503</v>
      </c>
      <c r="C1595" s="70">
        <v>2018</v>
      </c>
      <c r="D1595" s="70" t="s">
        <v>58</v>
      </c>
      <c r="E1595" s="280" t="s">
        <v>3787</v>
      </c>
      <c r="F1595" s="1049">
        <v>11.91</v>
      </c>
      <c r="G1595" s="1049"/>
      <c r="H1595" s="564"/>
      <c r="I1595" s="609"/>
      <c r="J1595" s="1155"/>
      <c r="K1595" s="609"/>
      <c r="L1595" s="609"/>
      <c r="M1595" s="609"/>
      <c r="N1595" s="599"/>
      <c r="O1595" s="552" t="s">
        <v>1584</v>
      </c>
      <c r="P1595" s="603"/>
      <c r="Q1595" s="682"/>
      <c r="R1595" s="682"/>
      <c r="S1595" s="682"/>
      <c r="T1595" s="682"/>
      <c r="U1595" s="682"/>
      <c r="V1595" s="682"/>
      <c r="W1595" s="682"/>
    </row>
    <row r="1596" spans="1:23">
      <c r="A1596" s="1045">
        <f t="shared" si="25"/>
        <v>7</v>
      </c>
      <c r="B1596" s="134">
        <v>45503</v>
      </c>
      <c r="C1596" s="70">
        <v>5200</v>
      </c>
      <c r="D1596" s="70" t="s">
        <v>83</v>
      </c>
      <c r="E1596" s="280" t="s">
        <v>3788</v>
      </c>
      <c r="F1596" s="1049">
        <v>238.12</v>
      </c>
      <c r="G1596" s="1049"/>
      <c r="H1596" s="564"/>
      <c r="I1596" s="609"/>
      <c r="J1596" s="1155"/>
      <c r="K1596" s="609"/>
      <c r="L1596" s="609"/>
      <c r="M1596" s="609"/>
      <c r="N1596" s="599"/>
      <c r="O1596" s="552" t="s">
        <v>1584</v>
      </c>
      <c r="P1596" s="603"/>
      <c r="Q1596" s="682"/>
      <c r="R1596" s="682"/>
      <c r="S1596" s="682"/>
      <c r="T1596" s="682"/>
      <c r="U1596" s="682"/>
      <c r="V1596" s="682"/>
      <c r="W1596" s="682"/>
    </row>
    <row r="1597" spans="1:23">
      <c r="A1597" s="1045">
        <f t="shared" si="25"/>
        <v>7</v>
      </c>
      <c r="B1597" s="134">
        <v>45503</v>
      </c>
      <c r="C1597" s="70">
        <v>2018</v>
      </c>
      <c r="D1597" s="70" t="s">
        <v>58</v>
      </c>
      <c r="E1597" s="280" t="s">
        <v>3788</v>
      </c>
      <c r="F1597" s="1049">
        <v>11.91</v>
      </c>
      <c r="G1597" s="1049"/>
      <c r="H1597" s="564"/>
      <c r="I1597" s="609"/>
      <c r="J1597" s="1155"/>
      <c r="K1597" s="609"/>
      <c r="L1597" s="609"/>
      <c r="M1597" s="609"/>
      <c r="N1597" s="599"/>
      <c r="O1597" s="552" t="s">
        <v>1584</v>
      </c>
      <c r="P1597" s="603"/>
      <c r="Q1597" s="682"/>
      <c r="R1597" s="682"/>
      <c r="S1597" s="682"/>
      <c r="T1597" s="682"/>
      <c r="U1597" s="682"/>
      <c r="V1597" s="682"/>
      <c r="W1597" s="682"/>
    </row>
    <row r="1598" spans="1:23">
      <c r="A1598" s="1045">
        <f t="shared" si="25"/>
        <v>7</v>
      </c>
      <c r="B1598" s="134">
        <v>45503</v>
      </c>
      <c r="C1598" s="70">
        <v>5200</v>
      </c>
      <c r="D1598" s="70" t="s">
        <v>83</v>
      </c>
      <c r="E1598" s="280" t="s">
        <v>3789</v>
      </c>
      <c r="F1598" s="1049">
        <v>300</v>
      </c>
      <c r="G1598" s="1049"/>
      <c r="H1598" s="564"/>
      <c r="I1598" s="609"/>
      <c r="J1598" s="1155"/>
      <c r="K1598" s="609"/>
      <c r="L1598" s="609"/>
      <c r="M1598" s="609"/>
      <c r="N1598" s="599"/>
      <c r="O1598" s="552" t="s">
        <v>1584</v>
      </c>
      <c r="P1598" s="603"/>
      <c r="Q1598" s="682"/>
      <c r="R1598" s="682"/>
      <c r="S1598" s="682"/>
      <c r="T1598" s="682"/>
      <c r="U1598" s="682"/>
      <c r="V1598" s="682"/>
      <c r="W1598" s="682"/>
    </row>
    <row r="1599" spans="1:23">
      <c r="A1599" s="1045">
        <f t="shared" si="25"/>
        <v>7</v>
      </c>
      <c r="B1599" s="134">
        <v>45503</v>
      </c>
      <c r="C1599" s="70">
        <v>2018</v>
      </c>
      <c r="D1599" s="70" t="s">
        <v>58</v>
      </c>
      <c r="E1599" s="280" t="s">
        <v>3789</v>
      </c>
      <c r="F1599" s="1049">
        <v>15</v>
      </c>
      <c r="G1599" s="1049"/>
      <c r="H1599" s="564"/>
      <c r="I1599" s="609"/>
      <c r="J1599" s="1155"/>
      <c r="K1599" s="609"/>
      <c r="L1599" s="609"/>
      <c r="M1599" s="609"/>
      <c r="N1599" s="599"/>
      <c r="O1599" s="552" t="s">
        <v>1584</v>
      </c>
      <c r="P1599" s="603"/>
      <c r="Q1599" s="682"/>
      <c r="R1599" s="682"/>
      <c r="S1599" s="682"/>
      <c r="T1599" s="682"/>
      <c r="U1599" s="682"/>
      <c r="V1599" s="682"/>
      <c r="W1599" s="682"/>
    </row>
    <row r="1600" spans="1:23">
      <c r="A1600" s="1045">
        <f t="shared" si="25"/>
        <v>7</v>
      </c>
      <c r="B1600" s="134">
        <v>45503</v>
      </c>
      <c r="C1600" s="70">
        <v>5250</v>
      </c>
      <c r="D1600" s="70" t="s">
        <v>85</v>
      </c>
      <c r="E1600" s="280" t="s">
        <v>3790</v>
      </c>
      <c r="F1600" s="1049">
        <v>35</v>
      </c>
      <c r="G1600" s="1049"/>
      <c r="H1600" s="564"/>
      <c r="I1600" s="609"/>
      <c r="J1600" s="1155"/>
      <c r="K1600" s="609"/>
      <c r="L1600" s="609"/>
      <c r="M1600" s="609"/>
      <c r="N1600" s="599"/>
      <c r="O1600" s="552" t="s">
        <v>1584</v>
      </c>
      <c r="P1600" s="603"/>
      <c r="Q1600" s="682"/>
      <c r="R1600" s="682"/>
      <c r="S1600" s="682"/>
      <c r="T1600" s="682"/>
      <c r="U1600" s="682"/>
      <c r="V1600" s="682"/>
      <c r="W1600" s="682"/>
    </row>
    <row r="1601" spans="1:23">
      <c r="A1601" s="1045">
        <f t="shared" si="25"/>
        <v>7</v>
      </c>
      <c r="B1601" s="134">
        <v>45503</v>
      </c>
      <c r="C1601" s="70">
        <v>2018</v>
      </c>
      <c r="D1601" s="70" t="s">
        <v>58</v>
      </c>
      <c r="E1601" s="280" t="s">
        <v>3790</v>
      </c>
      <c r="F1601" s="1049">
        <v>1.75</v>
      </c>
      <c r="G1601" s="1049"/>
      <c r="H1601" s="564"/>
      <c r="I1601" s="609"/>
      <c r="J1601" s="1155"/>
      <c r="K1601" s="609"/>
      <c r="L1601" s="609"/>
      <c r="M1601" s="609"/>
      <c r="N1601" s="599"/>
      <c r="O1601" s="552" t="s">
        <v>1584</v>
      </c>
      <c r="P1601" s="603"/>
      <c r="Q1601" s="682"/>
      <c r="R1601" s="682"/>
      <c r="S1601" s="682"/>
      <c r="T1601" s="682"/>
      <c r="U1601" s="682"/>
      <c r="V1601" s="682"/>
      <c r="W1601" s="682"/>
    </row>
    <row r="1602" spans="1:23">
      <c r="A1602" s="1045">
        <f t="shared" si="25"/>
        <v>7</v>
      </c>
      <c r="B1602" s="134">
        <v>45503</v>
      </c>
      <c r="C1602" s="70">
        <v>5200</v>
      </c>
      <c r="D1602" s="70" t="s">
        <v>83</v>
      </c>
      <c r="E1602" s="280" t="s">
        <v>3791</v>
      </c>
      <c r="F1602" s="1049">
        <v>4667</v>
      </c>
      <c r="G1602" s="1049"/>
      <c r="H1602" s="564"/>
      <c r="I1602" s="609"/>
      <c r="J1602" s="1155"/>
      <c r="K1602" s="609"/>
      <c r="L1602" s="609"/>
      <c r="M1602" s="609"/>
      <c r="N1602" s="599"/>
      <c r="O1602" s="552" t="s">
        <v>1584</v>
      </c>
      <c r="P1602" s="603"/>
      <c r="Q1602" s="682"/>
      <c r="R1602" s="682"/>
      <c r="S1602" s="682"/>
      <c r="T1602" s="682"/>
      <c r="U1602" s="682"/>
      <c r="V1602" s="682"/>
      <c r="W1602" s="682"/>
    </row>
    <row r="1603" spans="1:23">
      <c r="A1603" s="1045">
        <f t="shared" si="25"/>
        <v>7</v>
      </c>
      <c r="B1603" s="134">
        <v>45503</v>
      </c>
      <c r="C1603" s="70">
        <v>2018</v>
      </c>
      <c r="D1603" s="70" t="s">
        <v>58</v>
      </c>
      <c r="E1603" s="280" t="s">
        <v>3791</v>
      </c>
      <c r="F1603" s="1049">
        <v>233.35</v>
      </c>
      <c r="G1603" s="1049"/>
      <c r="H1603" s="564"/>
      <c r="I1603" s="609"/>
      <c r="J1603" s="1155"/>
      <c r="K1603" s="609"/>
      <c r="L1603" s="609"/>
      <c r="M1603" s="609"/>
      <c r="N1603" s="599"/>
      <c r="O1603" s="552" t="s">
        <v>1584</v>
      </c>
      <c r="P1603" s="603"/>
      <c r="Q1603" s="682"/>
      <c r="R1603" s="682"/>
      <c r="S1603" s="682"/>
      <c r="T1603" s="682"/>
      <c r="U1603" s="682"/>
      <c r="V1603" s="682"/>
      <c r="W1603" s="682"/>
    </row>
    <row r="1604" spans="1:23">
      <c r="A1604" s="1045">
        <f t="shared" si="25"/>
        <v>7</v>
      </c>
      <c r="B1604" s="134">
        <v>45503</v>
      </c>
      <c r="C1604" s="70">
        <v>5250</v>
      </c>
      <c r="D1604" s="70" t="s">
        <v>85</v>
      </c>
      <c r="E1604" s="280" t="s">
        <v>3792</v>
      </c>
      <c r="F1604" s="1049">
        <v>540</v>
      </c>
      <c r="G1604" s="1049"/>
      <c r="H1604" s="564"/>
      <c r="I1604" s="609"/>
      <c r="J1604" s="1155"/>
      <c r="K1604" s="609"/>
      <c r="L1604" s="609"/>
      <c r="M1604" s="609"/>
      <c r="N1604" s="599"/>
      <c r="O1604" s="552" t="s">
        <v>1584</v>
      </c>
      <c r="P1604" s="603"/>
      <c r="Q1604" s="682"/>
      <c r="R1604" s="682"/>
      <c r="S1604" s="682"/>
      <c r="T1604" s="682"/>
      <c r="U1604" s="682"/>
      <c r="V1604" s="682"/>
      <c r="W1604" s="682"/>
    </row>
    <row r="1605" spans="1:23">
      <c r="A1605" s="1045">
        <f t="shared" si="25"/>
        <v>7</v>
      </c>
      <c r="B1605" s="134">
        <v>45503</v>
      </c>
      <c r="C1605" s="70">
        <v>2018</v>
      </c>
      <c r="D1605" s="70" t="s">
        <v>58</v>
      </c>
      <c r="E1605" s="280" t="s">
        <v>3792</v>
      </c>
      <c r="F1605" s="1049">
        <v>27</v>
      </c>
      <c r="G1605" s="1049"/>
      <c r="H1605" s="564"/>
      <c r="I1605" s="609"/>
      <c r="J1605" s="1155"/>
      <c r="K1605" s="609"/>
      <c r="L1605" s="609"/>
      <c r="M1605" s="609"/>
      <c r="N1605" s="599"/>
      <c r="O1605" s="552" t="s">
        <v>1584</v>
      </c>
      <c r="P1605" s="603"/>
      <c r="Q1605" s="682"/>
      <c r="R1605" s="682"/>
      <c r="S1605" s="682"/>
      <c r="T1605" s="682"/>
      <c r="U1605" s="682"/>
      <c r="V1605" s="682"/>
      <c r="W1605" s="682"/>
    </row>
    <row r="1606" spans="1:23">
      <c r="A1606" s="1045">
        <f t="shared" si="25"/>
        <v>7</v>
      </c>
      <c r="B1606" s="134">
        <v>45503</v>
      </c>
      <c r="C1606" s="70">
        <v>5250</v>
      </c>
      <c r="D1606" s="70" t="s">
        <v>85</v>
      </c>
      <c r="E1606" s="280" t="s">
        <v>3793</v>
      </c>
      <c r="F1606" s="1049">
        <v>75</v>
      </c>
      <c r="G1606" s="1049"/>
      <c r="H1606" s="564"/>
      <c r="I1606" s="609"/>
      <c r="J1606" s="1155"/>
      <c r="K1606" s="609"/>
      <c r="L1606" s="609"/>
      <c r="M1606" s="609"/>
      <c r="N1606" s="599"/>
      <c r="O1606" s="552" t="s">
        <v>1584</v>
      </c>
      <c r="P1606" s="603"/>
      <c r="Q1606" s="682"/>
      <c r="R1606" s="682"/>
      <c r="S1606" s="682"/>
      <c r="T1606" s="682"/>
      <c r="U1606" s="682"/>
      <c r="V1606" s="682"/>
      <c r="W1606" s="682"/>
    </row>
    <row r="1607" spans="1:23">
      <c r="A1607" s="1045">
        <f t="shared" si="25"/>
        <v>7</v>
      </c>
      <c r="B1607" s="134">
        <v>45503</v>
      </c>
      <c r="C1607" s="70">
        <v>2018</v>
      </c>
      <c r="D1607" s="70" t="s">
        <v>58</v>
      </c>
      <c r="E1607" s="280" t="s">
        <v>3793</v>
      </c>
      <c r="F1607" s="1049">
        <v>3.75</v>
      </c>
      <c r="G1607" s="1049"/>
      <c r="H1607" s="564"/>
      <c r="I1607" s="609"/>
      <c r="J1607" s="1155"/>
      <c r="K1607" s="609"/>
      <c r="L1607" s="609"/>
      <c r="M1607" s="609"/>
      <c r="N1607" s="599"/>
      <c r="O1607" s="552" t="s">
        <v>1584</v>
      </c>
      <c r="P1607" s="603"/>
      <c r="Q1607" s="682"/>
      <c r="R1607" s="682"/>
      <c r="S1607" s="682"/>
      <c r="T1607" s="682"/>
      <c r="U1607" s="682"/>
      <c r="V1607" s="682"/>
      <c r="W1607" s="682"/>
    </row>
    <row r="1608" spans="1:23">
      <c r="A1608" s="1045">
        <f t="shared" si="25"/>
        <v>7</v>
      </c>
      <c r="B1608" s="134">
        <v>45503</v>
      </c>
      <c r="C1608" s="70">
        <v>5250</v>
      </c>
      <c r="D1608" s="70" t="s">
        <v>85</v>
      </c>
      <c r="E1608" s="280" t="s">
        <v>3794</v>
      </c>
      <c r="F1608" s="1049">
        <v>36</v>
      </c>
      <c r="G1608" s="1049"/>
      <c r="H1608" s="564"/>
      <c r="I1608" s="609"/>
      <c r="J1608" s="1155"/>
      <c r="K1608" s="609"/>
      <c r="L1608" s="609"/>
      <c r="M1608" s="609"/>
      <c r="N1608" s="599"/>
      <c r="O1608" s="552" t="s">
        <v>1584</v>
      </c>
      <c r="P1608" s="603"/>
      <c r="Q1608" s="682"/>
      <c r="R1608" s="682"/>
      <c r="S1608" s="682"/>
      <c r="T1608" s="682"/>
      <c r="U1608" s="682"/>
      <c r="V1608" s="682"/>
      <c r="W1608" s="682"/>
    </row>
    <row r="1609" spans="1:23">
      <c r="A1609" s="1045">
        <f t="shared" si="25"/>
        <v>7</v>
      </c>
      <c r="B1609" s="134">
        <v>45503</v>
      </c>
      <c r="C1609" s="70">
        <v>2018</v>
      </c>
      <c r="D1609" s="70" t="s">
        <v>58</v>
      </c>
      <c r="E1609" s="280" t="s">
        <v>3794</v>
      </c>
      <c r="F1609" s="1049">
        <v>1.8</v>
      </c>
      <c r="G1609" s="1049"/>
      <c r="H1609" s="564"/>
      <c r="I1609" s="609"/>
      <c r="J1609" s="1155"/>
      <c r="K1609" s="609"/>
      <c r="L1609" s="609"/>
      <c r="M1609" s="609"/>
      <c r="N1609" s="599"/>
      <c r="O1609" s="552" t="s">
        <v>1584</v>
      </c>
      <c r="P1609" s="603"/>
      <c r="Q1609" s="682"/>
      <c r="R1609" s="682"/>
      <c r="S1609" s="682"/>
      <c r="T1609" s="682"/>
      <c r="U1609" s="682"/>
      <c r="V1609" s="682"/>
      <c r="W1609" s="682"/>
    </row>
    <row r="1610" spans="1:23">
      <c r="A1610" s="1045">
        <f t="shared" si="25"/>
        <v>7</v>
      </c>
      <c r="B1610" s="134">
        <v>45503</v>
      </c>
      <c r="C1610" s="70">
        <v>5250</v>
      </c>
      <c r="D1610" s="70" t="s">
        <v>85</v>
      </c>
      <c r="E1610" s="280" t="s">
        <v>3795</v>
      </c>
      <c r="F1610" s="1049">
        <v>1305.25</v>
      </c>
      <c r="G1610" s="1049"/>
      <c r="H1610" s="564"/>
      <c r="I1610" s="609"/>
      <c r="J1610" s="1155"/>
      <c r="K1610" s="609"/>
      <c r="L1610" s="609"/>
      <c r="M1610" s="609"/>
      <c r="N1610" s="599"/>
      <c r="O1610" s="552" t="s">
        <v>1584</v>
      </c>
      <c r="P1610" s="603"/>
      <c r="Q1610" s="682"/>
      <c r="R1610" s="682"/>
      <c r="S1610" s="682"/>
      <c r="T1610" s="682"/>
      <c r="U1610" s="682"/>
      <c r="V1610" s="682"/>
      <c r="W1610" s="682"/>
    </row>
    <row r="1611" spans="1:23">
      <c r="A1611" s="1045">
        <f t="shared" si="25"/>
        <v>7</v>
      </c>
      <c r="B1611" s="134">
        <v>45503</v>
      </c>
      <c r="C1611" s="70">
        <v>2018</v>
      </c>
      <c r="D1611" s="70" t="s">
        <v>58</v>
      </c>
      <c r="E1611" s="280" t="s">
        <v>3795</v>
      </c>
      <c r="F1611" s="1049">
        <v>65.260000000000005</v>
      </c>
      <c r="G1611" s="1049"/>
      <c r="H1611" s="564"/>
      <c r="I1611" s="609"/>
      <c r="J1611" s="1155"/>
      <c r="K1611" s="609"/>
      <c r="L1611" s="609"/>
      <c r="M1611" s="609"/>
      <c r="N1611" s="599"/>
      <c r="O1611" s="552" t="s">
        <v>1584</v>
      </c>
      <c r="P1611" s="603"/>
      <c r="Q1611" s="682"/>
      <c r="R1611" s="682"/>
      <c r="S1611" s="682"/>
      <c r="T1611" s="682"/>
      <c r="U1611" s="682"/>
      <c r="V1611" s="682"/>
      <c r="W1611" s="682"/>
    </row>
    <row r="1612" spans="1:23">
      <c r="A1612" s="1045">
        <f t="shared" si="25"/>
        <v>7</v>
      </c>
      <c r="B1612" s="134">
        <v>45503</v>
      </c>
      <c r="C1612" s="70">
        <v>5250</v>
      </c>
      <c r="D1612" s="70" t="s">
        <v>85</v>
      </c>
      <c r="E1612" s="280" t="s">
        <v>3796</v>
      </c>
      <c r="F1612" s="1049">
        <v>19.05</v>
      </c>
      <c r="G1612" s="1049"/>
      <c r="H1612" s="564"/>
      <c r="I1612" s="609"/>
      <c r="J1612" s="1155"/>
      <c r="K1612" s="609"/>
      <c r="L1612" s="609"/>
      <c r="M1612" s="609"/>
      <c r="N1612" s="599"/>
      <c r="O1612" s="552" t="s">
        <v>1584</v>
      </c>
      <c r="P1612" s="603"/>
      <c r="Q1612" s="682"/>
      <c r="R1612" s="682"/>
      <c r="S1612" s="682"/>
      <c r="T1612" s="682"/>
      <c r="U1612" s="682"/>
      <c r="V1612" s="682"/>
      <c r="W1612" s="682"/>
    </row>
    <row r="1613" spans="1:23">
      <c r="A1613" s="1045">
        <f t="shared" si="25"/>
        <v>7</v>
      </c>
      <c r="B1613" s="134">
        <v>45503</v>
      </c>
      <c r="C1613" s="70">
        <v>2018</v>
      </c>
      <c r="D1613" s="70" t="s">
        <v>58</v>
      </c>
      <c r="E1613" s="280" t="s">
        <v>3796</v>
      </c>
      <c r="F1613" s="1049">
        <v>0.95</v>
      </c>
      <c r="G1613" s="1049"/>
      <c r="H1613" s="564"/>
      <c r="I1613" s="609"/>
      <c r="J1613" s="1155"/>
      <c r="K1613" s="609"/>
      <c r="L1613" s="609"/>
      <c r="M1613" s="609"/>
      <c r="N1613" s="599"/>
      <c r="O1613" s="552" t="s">
        <v>1584</v>
      </c>
      <c r="P1613" s="603"/>
      <c r="Q1613" s="682"/>
      <c r="R1613" s="682"/>
      <c r="S1613" s="682"/>
      <c r="T1613" s="682"/>
      <c r="U1613" s="682"/>
      <c r="V1613" s="682"/>
      <c r="W1613" s="682"/>
    </row>
    <row r="1614" spans="1:23">
      <c r="A1614" s="1045">
        <f t="shared" si="25"/>
        <v>7</v>
      </c>
      <c r="B1614" s="134">
        <v>45503</v>
      </c>
      <c r="C1614" s="70">
        <v>5250</v>
      </c>
      <c r="D1614" s="70" t="s">
        <v>85</v>
      </c>
      <c r="E1614" s="280" t="s">
        <v>3797</v>
      </c>
      <c r="F1614" s="1049">
        <v>269.08</v>
      </c>
      <c r="G1614" s="1049"/>
      <c r="H1614" s="564"/>
      <c r="I1614" s="609"/>
      <c r="J1614" s="1155"/>
      <c r="K1614" s="609"/>
      <c r="L1614" s="609"/>
      <c r="M1614" s="609"/>
      <c r="N1614" s="599"/>
      <c r="O1614" s="552" t="s">
        <v>1584</v>
      </c>
      <c r="P1614" s="603"/>
      <c r="Q1614" s="682"/>
      <c r="R1614" s="682"/>
      <c r="S1614" s="682"/>
      <c r="T1614" s="682"/>
      <c r="U1614" s="682"/>
      <c r="V1614" s="682"/>
      <c r="W1614" s="682"/>
    </row>
    <row r="1615" spans="1:23">
      <c r="A1615" s="1045">
        <f t="shared" si="25"/>
        <v>7</v>
      </c>
      <c r="B1615" s="134">
        <v>45503</v>
      </c>
      <c r="C1615" s="70">
        <v>2018</v>
      </c>
      <c r="D1615" s="70" t="s">
        <v>58</v>
      </c>
      <c r="E1615" s="280" t="s">
        <v>3797</v>
      </c>
      <c r="F1615" s="1049">
        <v>13.48</v>
      </c>
      <c r="G1615" s="1049"/>
      <c r="H1615" s="564"/>
      <c r="I1615" s="609"/>
      <c r="J1615" s="1155"/>
      <c r="K1615" s="609"/>
      <c r="L1615" s="609"/>
      <c r="M1615" s="609"/>
      <c r="N1615" s="599"/>
      <c r="O1615" s="552" t="s">
        <v>1584</v>
      </c>
      <c r="P1615" s="603"/>
      <c r="Q1615" s="682"/>
      <c r="R1615" s="682"/>
      <c r="S1615" s="682"/>
      <c r="T1615" s="682"/>
      <c r="U1615" s="682"/>
      <c r="V1615" s="682"/>
      <c r="W1615" s="682"/>
    </row>
    <row r="1616" spans="1:23">
      <c r="A1616" s="1045">
        <f t="shared" si="25"/>
        <v>7</v>
      </c>
      <c r="B1616" s="134">
        <v>45504</v>
      </c>
      <c r="C1616" s="70">
        <v>5250</v>
      </c>
      <c r="D1616" s="70" t="s">
        <v>85</v>
      </c>
      <c r="E1616" s="280" t="s">
        <v>3798</v>
      </c>
      <c r="F1616" s="1049">
        <v>50</v>
      </c>
      <c r="G1616" s="1049"/>
      <c r="H1616" s="564"/>
      <c r="I1616" s="609"/>
      <c r="J1616" s="1155"/>
      <c r="K1616" s="609"/>
      <c r="L1616" s="609"/>
      <c r="M1616" s="609"/>
      <c r="N1616" s="599"/>
      <c r="O1616" s="552" t="s">
        <v>1584</v>
      </c>
      <c r="P1616" s="603"/>
      <c r="Q1616" s="682"/>
      <c r="R1616" s="682"/>
      <c r="S1616" s="682"/>
      <c r="T1616" s="682"/>
      <c r="U1616" s="682"/>
      <c r="V1616" s="682"/>
      <c r="W1616" s="682"/>
    </row>
    <row r="1617" spans="1:23">
      <c r="A1617" s="1045">
        <f t="shared" si="25"/>
        <v>7</v>
      </c>
      <c r="B1617" s="134">
        <v>45504</v>
      </c>
      <c r="C1617" s="70">
        <v>2018</v>
      </c>
      <c r="D1617" s="70" t="s">
        <v>58</v>
      </c>
      <c r="E1617" s="280" t="s">
        <v>3798</v>
      </c>
      <c r="F1617" s="1049">
        <v>2.5</v>
      </c>
      <c r="G1617" s="1049"/>
      <c r="H1617" s="564"/>
      <c r="I1617" s="609"/>
      <c r="J1617" s="1155"/>
      <c r="K1617" s="609"/>
      <c r="L1617" s="609"/>
      <c r="M1617" s="609"/>
      <c r="N1617" s="599"/>
      <c r="O1617" s="552" t="s">
        <v>1584</v>
      </c>
      <c r="P1617" s="603"/>
      <c r="Q1617" s="682"/>
      <c r="R1617" s="682"/>
      <c r="S1617" s="682"/>
      <c r="T1617" s="682"/>
      <c r="U1617" s="682"/>
      <c r="V1617" s="682"/>
      <c r="W1617" s="682"/>
    </row>
    <row r="1618" spans="1:23">
      <c r="A1618" s="1045">
        <f t="shared" si="25"/>
        <v>7</v>
      </c>
      <c r="B1618" s="134">
        <v>45504</v>
      </c>
      <c r="C1618" s="70">
        <v>5250</v>
      </c>
      <c r="D1618" s="70" t="s">
        <v>85</v>
      </c>
      <c r="E1618" s="280" t="s">
        <v>3799</v>
      </c>
      <c r="F1618" s="1049">
        <v>70</v>
      </c>
      <c r="G1618" s="1049"/>
      <c r="H1618" s="564"/>
      <c r="I1618" s="609"/>
      <c r="J1618" s="1155"/>
      <c r="K1618" s="609"/>
      <c r="L1618" s="609"/>
      <c r="M1618" s="609"/>
      <c r="N1618" s="599"/>
      <c r="O1618" s="552" t="s">
        <v>1584</v>
      </c>
      <c r="P1618" s="603"/>
      <c r="Q1618" s="682"/>
      <c r="R1618" s="682"/>
      <c r="S1618" s="682"/>
      <c r="T1618" s="682"/>
      <c r="U1618" s="682"/>
      <c r="V1618" s="682"/>
      <c r="W1618" s="682"/>
    </row>
    <row r="1619" spans="1:23">
      <c r="A1619" s="1045">
        <f t="shared" si="25"/>
        <v>7</v>
      </c>
      <c r="B1619" s="134">
        <v>45504</v>
      </c>
      <c r="C1619" s="70">
        <v>2018</v>
      </c>
      <c r="D1619" s="70" t="s">
        <v>58</v>
      </c>
      <c r="E1619" s="280" t="s">
        <v>3799</v>
      </c>
      <c r="F1619" s="1049">
        <v>3.5</v>
      </c>
      <c r="G1619" s="1049"/>
      <c r="H1619" s="564"/>
      <c r="I1619" s="609"/>
      <c r="J1619" s="1155"/>
      <c r="K1619" s="609"/>
      <c r="L1619" s="609"/>
      <c r="M1619" s="609"/>
      <c r="N1619" s="599"/>
      <c r="O1619" s="552" t="s">
        <v>1584</v>
      </c>
      <c r="P1619" s="603"/>
      <c r="Q1619" s="682"/>
      <c r="R1619" s="682"/>
      <c r="S1619" s="682"/>
      <c r="T1619" s="682"/>
      <c r="U1619" s="682"/>
      <c r="V1619" s="682"/>
      <c r="W1619" s="682"/>
    </row>
    <row r="1620" spans="1:23">
      <c r="A1620" s="1045">
        <f t="shared" si="25"/>
        <v>7</v>
      </c>
      <c r="B1620" s="134">
        <v>45504</v>
      </c>
      <c r="C1620" s="70">
        <v>5200</v>
      </c>
      <c r="D1620" s="70" t="s">
        <v>83</v>
      </c>
      <c r="E1620" s="280" t="s">
        <v>3800</v>
      </c>
      <c r="F1620" s="1049">
        <v>1092.98</v>
      </c>
      <c r="G1620" s="1049"/>
      <c r="H1620" s="564"/>
      <c r="I1620" s="609"/>
      <c r="J1620" s="1155"/>
      <c r="K1620" s="609"/>
      <c r="L1620" s="609"/>
      <c r="M1620" s="609"/>
      <c r="N1620" s="599"/>
      <c r="O1620" s="552" t="s">
        <v>1584</v>
      </c>
      <c r="P1620" s="603"/>
      <c r="Q1620" s="682"/>
      <c r="R1620" s="682"/>
      <c r="S1620" s="682"/>
      <c r="T1620" s="682"/>
      <c r="U1620" s="682"/>
      <c r="V1620" s="682"/>
      <c r="W1620" s="682"/>
    </row>
    <row r="1621" spans="1:23">
      <c r="A1621" s="1045">
        <f t="shared" ref="A1621:A1684" si="26">IF(B1621="","",MONTH(B1621))</f>
        <v>7</v>
      </c>
      <c r="B1621" s="134">
        <v>45504</v>
      </c>
      <c r="C1621" s="70">
        <v>2018</v>
      </c>
      <c r="D1621" s="70" t="s">
        <v>58</v>
      </c>
      <c r="E1621" s="280" t="s">
        <v>3800</v>
      </c>
      <c r="F1621" s="1049">
        <v>54.65</v>
      </c>
      <c r="G1621" s="1049"/>
      <c r="H1621" s="564"/>
      <c r="I1621" s="609"/>
      <c r="J1621" s="1155"/>
      <c r="K1621" s="609"/>
      <c r="L1621" s="609"/>
      <c r="M1621" s="609"/>
      <c r="N1621" s="599"/>
      <c r="O1621" s="552" t="s">
        <v>1584</v>
      </c>
      <c r="P1621" s="603"/>
      <c r="Q1621" s="682"/>
      <c r="R1621" s="682"/>
      <c r="S1621" s="682"/>
      <c r="T1621" s="682"/>
      <c r="U1621" s="682"/>
      <c r="V1621" s="682"/>
      <c r="W1621" s="682"/>
    </row>
    <row r="1622" spans="1:23">
      <c r="A1622" s="1045">
        <f t="shared" si="26"/>
        <v>7</v>
      </c>
      <c r="B1622" s="134">
        <v>45504</v>
      </c>
      <c r="C1622" s="70">
        <v>5200</v>
      </c>
      <c r="D1622" s="70" t="s">
        <v>83</v>
      </c>
      <c r="E1622" s="280" t="s">
        <v>3801</v>
      </c>
      <c r="F1622" s="1049">
        <v>135.53</v>
      </c>
      <c r="G1622" s="1049"/>
      <c r="H1622" s="564"/>
      <c r="I1622" s="609"/>
      <c r="J1622" s="1155"/>
      <c r="K1622" s="609"/>
      <c r="L1622" s="609"/>
      <c r="M1622" s="609"/>
      <c r="N1622" s="599"/>
      <c r="O1622" s="552" t="s">
        <v>1584</v>
      </c>
      <c r="P1622" s="603"/>
      <c r="Q1622" s="682"/>
      <c r="R1622" s="682"/>
      <c r="S1622" s="682"/>
      <c r="T1622" s="682"/>
      <c r="U1622" s="682"/>
      <c r="V1622" s="682"/>
      <c r="W1622" s="682"/>
    </row>
    <row r="1623" spans="1:23">
      <c r="A1623" s="1045">
        <f t="shared" si="26"/>
        <v>7</v>
      </c>
      <c r="B1623" s="134">
        <v>45504</v>
      </c>
      <c r="C1623" s="70">
        <v>2018</v>
      </c>
      <c r="D1623" s="70" t="s">
        <v>58</v>
      </c>
      <c r="E1623" s="280" t="s">
        <v>3801</v>
      </c>
      <c r="F1623" s="1049">
        <v>6.78</v>
      </c>
      <c r="G1623" s="1049"/>
      <c r="H1623" s="564"/>
      <c r="I1623" s="609"/>
      <c r="J1623" s="1155"/>
      <c r="K1623" s="609"/>
      <c r="L1623" s="609"/>
      <c r="M1623" s="609"/>
      <c r="N1623" s="599"/>
      <c r="O1623" s="552" t="s">
        <v>1584</v>
      </c>
      <c r="P1623" s="603"/>
      <c r="Q1623" s="682"/>
      <c r="R1623" s="682"/>
      <c r="S1623" s="682"/>
      <c r="T1623" s="682"/>
      <c r="U1623" s="682"/>
      <c r="V1623" s="682"/>
      <c r="W1623" s="682"/>
    </row>
    <row r="1624" spans="1:23">
      <c r="A1624" s="1045">
        <f t="shared" si="26"/>
        <v>7</v>
      </c>
      <c r="B1624" s="134">
        <v>45504</v>
      </c>
      <c r="C1624" s="70">
        <v>5250</v>
      </c>
      <c r="D1624" s="70" t="s">
        <v>85</v>
      </c>
      <c r="E1624" s="280" t="s">
        <v>3802</v>
      </c>
      <c r="F1624" s="1049">
        <v>168.4</v>
      </c>
      <c r="G1624" s="1049"/>
      <c r="H1624" s="564"/>
      <c r="I1624" s="609"/>
      <c r="J1624" s="1155"/>
      <c r="K1624" s="609"/>
      <c r="L1624" s="609"/>
      <c r="M1624" s="609"/>
      <c r="N1624" s="599"/>
      <c r="O1624" s="552" t="s">
        <v>1584</v>
      </c>
      <c r="P1624" s="603"/>
      <c r="Q1624" s="682"/>
      <c r="R1624" s="682"/>
      <c r="S1624" s="682"/>
      <c r="T1624" s="682"/>
      <c r="U1624" s="682"/>
      <c r="V1624" s="682"/>
      <c r="W1624" s="682"/>
    </row>
    <row r="1625" spans="1:23">
      <c r="A1625" s="1045">
        <f t="shared" si="26"/>
        <v>7</v>
      </c>
      <c r="B1625" s="134">
        <v>45504</v>
      </c>
      <c r="C1625" s="70">
        <v>2018</v>
      </c>
      <c r="D1625" s="70" t="s">
        <v>58</v>
      </c>
      <c r="E1625" s="280" t="s">
        <v>3802</v>
      </c>
      <c r="F1625" s="1049">
        <v>8.84</v>
      </c>
      <c r="G1625" s="1049"/>
      <c r="H1625" s="564"/>
      <c r="I1625" s="609"/>
      <c r="J1625" s="1155"/>
      <c r="K1625" s="609"/>
      <c r="L1625" s="609"/>
      <c r="M1625" s="609"/>
      <c r="N1625" s="599"/>
      <c r="O1625" s="552" t="s">
        <v>1584</v>
      </c>
      <c r="P1625" s="603"/>
      <c r="Q1625" s="682"/>
      <c r="R1625" s="682"/>
      <c r="S1625" s="682"/>
      <c r="T1625" s="682"/>
      <c r="U1625" s="682"/>
      <c r="V1625" s="682"/>
      <c r="W1625" s="682"/>
    </row>
    <row r="1626" spans="1:23">
      <c r="A1626" s="1045">
        <f t="shared" si="26"/>
        <v>7</v>
      </c>
      <c r="B1626" s="134">
        <v>45504</v>
      </c>
      <c r="C1626" s="70">
        <v>5220</v>
      </c>
      <c r="D1626" s="70" t="s">
        <v>84</v>
      </c>
      <c r="E1626" s="280" t="s">
        <v>3803</v>
      </c>
      <c r="F1626" s="1049">
        <v>3520</v>
      </c>
      <c r="G1626" s="1049"/>
      <c r="H1626" s="564"/>
      <c r="I1626" s="609"/>
      <c r="J1626" s="1155"/>
      <c r="K1626" s="609"/>
      <c r="L1626" s="609"/>
      <c r="M1626" s="609"/>
      <c r="N1626" s="599"/>
      <c r="O1626" s="552" t="s">
        <v>1584</v>
      </c>
      <c r="P1626" s="603"/>
      <c r="Q1626" s="682"/>
      <c r="R1626" s="682"/>
      <c r="S1626" s="682"/>
      <c r="T1626" s="682"/>
      <c r="U1626" s="682"/>
      <c r="V1626" s="682"/>
      <c r="W1626" s="682"/>
    </row>
    <row r="1627" spans="1:23">
      <c r="A1627" s="1045">
        <f t="shared" si="26"/>
        <v>7</v>
      </c>
      <c r="B1627" s="134">
        <v>45504</v>
      </c>
      <c r="C1627" s="70">
        <v>2018</v>
      </c>
      <c r="D1627" s="70" t="s">
        <v>58</v>
      </c>
      <c r="E1627" s="280" t="s">
        <v>3803</v>
      </c>
      <c r="F1627" s="1049">
        <v>176</v>
      </c>
      <c r="G1627" s="1049"/>
      <c r="H1627" s="564"/>
      <c r="I1627" s="609"/>
      <c r="J1627" s="1155"/>
      <c r="K1627" s="609"/>
      <c r="L1627" s="609"/>
      <c r="M1627" s="609"/>
      <c r="N1627" s="599"/>
      <c r="O1627" s="552" t="s">
        <v>1584</v>
      </c>
      <c r="P1627" s="603"/>
      <c r="Q1627" s="682"/>
      <c r="R1627" s="682"/>
      <c r="S1627" s="682"/>
      <c r="T1627" s="682"/>
      <c r="U1627" s="682"/>
      <c r="V1627" s="682"/>
      <c r="W1627" s="682"/>
    </row>
    <row r="1628" spans="1:23">
      <c r="A1628" s="1045">
        <f t="shared" si="26"/>
        <v>7</v>
      </c>
      <c r="B1628" s="134">
        <v>45504</v>
      </c>
      <c r="C1628" s="70">
        <v>5220</v>
      </c>
      <c r="D1628" s="70" t="s">
        <v>84</v>
      </c>
      <c r="E1628" s="280" t="s">
        <v>3804</v>
      </c>
      <c r="F1628" s="1049">
        <v>63</v>
      </c>
      <c r="G1628" s="1049"/>
      <c r="H1628" s="564"/>
      <c r="I1628" s="609"/>
      <c r="J1628" s="1155"/>
      <c r="K1628" s="609"/>
      <c r="L1628" s="609"/>
      <c r="M1628" s="609"/>
      <c r="N1628" s="599"/>
      <c r="O1628" s="552" t="s">
        <v>1584</v>
      </c>
      <c r="P1628" s="603"/>
      <c r="Q1628" s="682"/>
      <c r="R1628" s="682"/>
      <c r="S1628" s="682"/>
      <c r="T1628" s="682"/>
      <c r="U1628" s="682"/>
      <c r="V1628" s="682"/>
      <c r="W1628" s="682"/>
    </row>
    <row r="1629" spans="1:23">
      <c r="A1629" s="1045">
        <f t="shared" si="26"/>
        <v>7</v>
      </c>
      <c r="B1629" s="134">
        <v>45504</v>
      </c>
      <c r="C1629" s="70">
        <v>2018</v>
      </c>
      <c r="D1629" s="70" t="s">
        <v>58</v>
      </c>
      <c r="E1629" s="280" t="s">
        <v>3804</v>
      </c>
      <c r="F1629" s="1049">
        <v>3.15</v>
      </c>
      <c r="G1629" s="1049"/>
      <c r="H1629" s="564"/>
      <c r="I1629" s="609"/>
      <c r="J1629" s="1155"/>
      <c r="K1629" s="609"/>
      <c r="L1629" s="609"/>
      <c r="M1629" s="609"/>
      <c r="N1629" s="599"/>
      <c r="O1629" s="552" t="s">
        <v>1584</v>
      </c>
      <c r="P1629" s="603"/>
      <c r="Q1629" s="682"/>
      <c r="R1629" s="682"/>
      <c r="S1629" s="682"/>
      <c r="T1629" s="682"/>
      <c r="U1629" s="682"/>
      <c r="V1629" s="682"/>
      <c r="W1629" s="682"/>
    </row>
    <row r="1630" spans="1:23">
      <c r="A1630" s="1045">
        <f t="shared" si="26"/>
        <v>7</v>
      </c>
      <c r="B1630" s="134">
        <v>45504</v>
      </c>
      <c r="C1630" s="70">
        <v>5250</v>
      </c>
      <c r="D1630" s="70" t="s">
        <v>85</v>
      </c>
      <c r="E1630" s="280" t="s">
        <v>3805</v>
      </c>
      <c r="F1630" s="1049">
        <v>445</v>
      </c>
      <c r="G1630" s="1049"/>
      <c r="H1630" s="564"/>
      <c r="I1630" s="609"/>
      <c r="J1630" s="1155"/>
      <c r="K1630" s="609"/>
      <c r="L1630" s="609"/>
      <c r="M1630" s="609"/>
      <c r="N1630" s="599"/>
      <c r="O1630" s="552" t="s">
        <v>1584</v>
      </c>
      <c r="P1630" s="603"/>
      <c r="Q1630" s="682"/>
      <c r="R1630" s="682"/>
      <c r="S1630" s="682"/>
      <c r="T1630" s="682"/>
      <c r="U1630" s="682"/>
      <c r="V1630" s="682"/>
      <c r="W1630" s="682"/>
    </row>
    <row r="1631" spans="1:23">
      <c r="A1631" s="1045">
        <f t="shared" si="26"/>
        <v>7</v>
      </c>
      <c r="B1631" s="134">
        <v>45504</v>
      </c>
      <c r="C1631" s="70">
        <v>2018</v>
      </c>
      <c r="D1631" s="70" t="s">
        <v>58</v>
      </c>
      <c r="E1631" s="280" t="s">
        <v>3805</v>
      </c>
      <c r="F1631" s="1049">
        <v>22.25</v>
      </c>
      <c r="G1631" s="1049"/>
      <c r="H1631" s="564"/>
      <c r="I1631" s="609"/>
      <c r="J1631" s="1155"/>
      <c r="K1631" s="609"/>
      <c r="L1631" s="609"/>
      <c r="M1631" s="609"/>
      <c r="N1631" s="599"/>
      <c r="O1631" s="552" t="s">
        <v>1584</v>
      </c>
      <c r="P1631" s="603"/>
      <c r="Q1631" s="682"/>
      <c r="R1631" s="682"/>
      <c r="S1631" s="682"/>
      <c r="T1631" s="682"/>
      <c r="U1631" s="682"/>
      <c r="V1631" s="682"/>
      <c r="W1631" s="682"/>
    </row>
    <row r="1632" spans="1:23">
      <c r="A1632" s="1045">
        <f t="shared" si="26"/>
        <v>7</v>
      </c>
      <c r="B1632" s="134">
        <v>45504</v>
      </c>
      <c r="C1632" s="70">
        <v>5250</v>
      </c>
      <c r="D1632" s="70" t="s">
        <v>85</v>
      </c>
      <c r="E1632" s="280" t="s">
        <v>3806</v>
      </c>
      <c r="F1632" s="1049">
        <v>110</v>
      </c>
      <c r="G1632" s="1049"/>
      <c r="H1632" s="564"/>
      <c r="I1632" s="609"/>
      <c r="J1632" s="1155"/>
      <c r="K1632" s="609"/>
      <c r="L1632" s="609"/>
      <c r="M1632" s="609"/>
      <c r="N1632" s="599"/>
      <c r="O1632" s="552" t="s">
        <v>1584</v>
      </c>
      <c r="P1632" s="603"/>
      <c r="Q1632" s="682"/>
      <c r="R1632" s="682"/>
      <c r="S1632" s="682"/>
      <c r="T1632" s="682"/>
      <c r="U1632" s="682"/>
      <c r="V1632" s="682"/>
      <c r="W1632" s="682"/>
    </row>
    <row r="1633" spans="1:23">
      <c r="A1633" s="1045">
        <f t="shared" si="26"/>
        <v>7</v>
      </c>
      <c r="B1633" s="134">
        <v>45504</v>
      </c>
      <c r="C1633" s="70">
        <v>2018</v>
      </c>
      <c r="D1633" s="70" t="s">
        <v>58</v>
      </c>
      <c r="E1633" s="280" t="s">
        <v>3806</v>
      </c>
      <c r="F1633" s="1049">
        <v>5.5</v>
      </c>
      <c r="G1633" s="1049"/>
      <c r="H1633" s="564"/>
      <c r="I1633" s="609"/>
      <c r="J1633" s="1155"/>
      <c r="K1633" s="609"/>
      <c r="L1633" s="609"/>
      <c r="M1633" s="609"/>
      <c r="N1633" s="599"/>
      <c r="O1633" s="552" t="s">
        <v>1584</v>
      </c>
      <c r="P1633" s="603"/>
      <c r="Q1633" s="682"/>
      <c r="R1633" s="682"/>
      <c r="S1633" s="682"/>
      <c r="T1633" s="682"/>
      <c r="U1633" s="682"/>
      <c r="V1633" s="682"/>
      <c r="W1633" s="682"/>
    </row>
    <row r="1634" spans="1:23">
      <c r="A1634" s="1045">
        <f t="shared" si="26"/>
        <v>7</v>
      </c>
      <c r="B1634" s="134">
        <v>45504</v>
      </c>
      <c r="C1634" s="70">
        <v>5250</v>
      </c>
      <c r="D1634" s="70" t="s">
        <v>85</v>
      </c>
      <c r="E1634" s="280" t="s">
        <v>3807</v>
      </c>
      <c r="F1634" s="1049">
        <v>200</v>
      </c>
      <c r="G1634" s="1049"/>
      <c r="H1634" s="564"/>
      <c r="I1634" s="609"/>
      <c r="J1634" s="1155"/>
      <c r="K1634" s="609"/>
      <c r="L1634" s="609"/>
      <c r="M1634" s="609"/>
      <c r="N1634" s="599"/>
      <c r="O1634" s="552" t="s">
        <v>1584</v>
      </c>
      <c r="P1634" s="603"/>
      <c r="Q1634" s="682"/>
      <c r="R1634" s="682"/>
      <c r="S1634" s="682"/>
      <c r="T1634" s="682"/>
      <c r="U1634" s="682"/>
      <c r="V1634" s="682"/>
      <c r="W1634" s="682"/>
    </row>
    <row r="1635" spans="1:23">
      <c r="A1635" s="1045">
        <f t="shared" si="26"/>
        <v>7</v>
      </c>
      <c r="B1635" s="134">
        <v>45504</v>
      </c>
      <c r="C1635" s="70">
        <v>2018</v>
      </c>
      <c r="D1635" s="70" t="s">
        <v>58</v>
      </c>
      <c r="E1635" s="280" t="s">
        <v>3807</v>
      </c>
      <c r="F1635" s="1049">
        <v>10</v>
      </c>
      <c r="G1635" s="1049"/>
      <c r="H1635" s="564"/>
      <c r="I1635" s="609"/>
      <c r="J1635" s="1155"/>
      <c r="K1635" s="609"/>
      <c r="L1635" s="609"/>
      <c r="M1635" s="609"/>
      <c r="N1635" s="599"/>
      <c r="O1635" s="552" t="s">
        <v>1584</v>
      </c>
      <c r="P1635" s="603"/>
      <c r="Q1635" s="682"/>
      <c r="R1635" s="682"/>
      <c r="S1635" s="682"/>
      <c r="T1635" s="682"/>
      <c r="U1635" s="682"/>
      <c r="V1635" s="682"/>
      <c r="W1635" s="682"/>
    </row>
    <row r="1636" spans="1:23">
      <c r="A1636" s="1045">
        <f t="shared" si="26"/>
        <v>7</v>
      </c>
      <c r="B1636" s="134">
        <v>45504</v>
      </c>
      <c r="C1636" s="70">
        <v>5250</v>
      </c>
      <c r="D1636" s="70" t="s">
        <v>85</v>
      </c>
      <c r="E1636" s="280" t="s">
        <v>3808</v>
      </c>
      <c r="F1636" s="1049">
        <v>780</v>
      </c>
      <c r="G1636" s="1049"/>
      <c r="H1636" s="564"/>
      <c r="I1636" s="609"/>
      <c r="J1636" s="1155"/>
      <c r="K1636" s="609"/>
      <c r="L1636" s="609"/>
      <c r="M1636" s="609"/>
      <c r="N1636" s="599"/>
      <c r="O1636" s="552" t="s">
        <v>1584</v>
      </c>
      <c r="P1636" s="603"/>
      <c r="Q1636" s="682"/>
      <c r="R1636" s="682"/>
      <c r="S1636" s="682"/>
      <c r="T1636" s="682"/>
      <c r="U1636" s="682"/>
      <c r="V1636" s="682"/>
      <c r="W1636" s="682"/>
    </row>
    <row r="1637" spans="1:23">
      <c r="A1637" s="1045">
        <f t="shared" si="26"/>
        <v>7</v>
      </c>
      <c r="B1637" s="134">
        <v>45504</v>
      </c>
      <c r="C1637" s="70">
        <v>2018</v>
      </c>
      <c r="D1637" s="70" t="s">
        <v>58</v>
      </c>
      <c r="E1637" s="280" t="s">
        <v>3808</v>
      </c>
      <c r="F1637" s="1049">
        <v>39</v>
      </c>
      <c r="G1637" s="1049"/>
      <c r="H1637" s="564"/>
      <c r="I1637" s="609"/>
      <c r="J1637" s="1155"/>
      <c r="K1637" s="609"/>
      <c r="L1637" s="609"/>
      <c r="M1637" s="609"/>
      <c r="N1637" s="599"/>
      <c r="O1637" s="552" t="s">
        <v>1584</v>
      </c>
      <c r="P1637" s="603"/>
      <c r="Q1637" s="682"/>
      <c r="R1637" s="682"/>
      <c r="S1637" s="682"/>
      <c r="T1637" s="682"/>
      <c r="U1637" s="682"/>
      <c r="V1637" s="682"/>
      <c r="W1637" s="682"/>
    </row>
    <row r="1638" spans="1:23">
      <c r="A1638" s="1045">
        <f t="shared" si="26"/>
        <v>7</v>
      </c>
      <c r="B1638" s="134">
        <v>45504</v>
      </c>
      <c r="C1638" s="70">
        <v>5250</v>
      </c>
      <c r="D1638" s="70" t="s">
        <v>85</v>
      </c>
      <c r="E1638" s="280" t="s">
        <v>3809</v>
      </c>
      <c r="F1638" s="1049">
        <v>520</v>
      </c>
      <c r="G1638" s="1049"/>
      <c r="H1638" s="564"/>
      <c r="I1638" s="609"/>
      <c r="J1638" s="1155"/>
      <c r="K1638" s="609"/>
      <c r="L1638" s="609"/>
      <c r="M1638" s="609"/>
      <c r="N1638" s="599"/>
      <c r="O1638" s="552" t="s">
        <v>1584</v>
      </c>
      <c r="P1638" s="603"/>
      <c r="Q1638" s="682"/>
      <c r="R1638" s="682"/>
      <c r="S1638" s="682"/>
      <c r="T1638" s="682"/>
      <c r="U1638" s="682"/>
      <c r="V1638" s="682"/>
      <c r="W1638" s="682"/>
    </row>
    <row r="1639" spans="1:23">
      <c r="A1639" s="1045">
        <f t="shared" si="26"/>
        <v>7</v>
      </c>
      <c r="B1639" s="134">
        <v>45504</v>
      </c>
      <c r="C1639" s="70">
        <v>2018</v>
      </c>
      <c r="D1639" s="70" t="s">
        <v>58</v>
      </c>
      <c r="E1639" s="280" t="s">
        <v>3809</v>
      </c>
      <c r="F1639" s="1049">
        <v>26</v>
      </c>
      <c r="G1639" s="1049"/>
      <c r="H1639" s="564"/>
      <c r="I1639" s="609"/>
      <c r="J1639" s="1155"/>
      <c r="K1639" s="609"/>
      <c r="L1639" s="609"/>
      <c r="M1639" s="609"/>
      <c r="N1639" s="599"/>
      <c r="O1639" s="552" t="s">
        <v>1584</v>
      </c>
      <c r="P1639" s="603"/>
      <c r="Q1639" s="682"/>
      <c r="R1639" s="682"/>
      <c r="S1639" s="682"/>
      <c r="T1639" s="682"/>
      <c r="U1639" s="682"/>
      <c r="V1639" s="682"/>
      <c r="W1639" s="682"/>
    </row>
    <row r="1640" spans="1:23">
      <c r="A1640" s="1045">
        <f t="shared" si="26"/>
        <v>8</v>
      </c>
      <c r="B1640" s="134">
        <v>45505</v>
      </c>
      <c r="C1640" s="70">
        <v>5150</v>
      </c>
      <c r="D1640" s="70" t="s">
        <v>82</v>
      </c>
      <c r="E1640" s="280" t="s">
        <v>3810</v>
      </c>
      <c r="F1640" s="1049">
        <v>18055</v>
      </c>
      <c r="G1640" s="1049"/>
      <c r="H1640" s="564"/>
      <c r="I1640" s="609"/>
      <c r="J1640" s="1155"/>
      <c r="K1640" s="609"/>
      <c r="L1640" s="609"/>
      <c r="M1640" s="609"/>
      <c r="N1640" s="599"/>
      <c r="O1640" s="552" t="s">
        <v>1584</v>
      </c>
      <c r="P1640" s="603"/>
      <c r="Q1640" s="682"/>
      <c r="R1640" s="682"/>
      <c r="S1640" s="682"/>
      <c r="T1640" s="682"/>
      <c r="U1640" s="682"/>
      <c r="V1640" s="682"/>
      <c r="W1640" s="682"/>
    </row>
    <row r="1641" spans="1:23">
      <c r="A1641" s="1045">
        <f t="shared" si="26"/>
        <v>8</v>
      </c>
      <c r="B1641" s="134">
        <v>45505</v>
      </c>
      <c r="C1641" s="70">
        <v>2018</v>
      </c>
      <c r="D1641" s="70" t="s">
        <v>58</v>
      </c>
      <c r="E1641" s="280" t="s">
        <v>3810</v>
      </c>
      <c r="F1641" s="1049">
        <v>902.75</v>
      </c>
      <c r="G1641" s="1049"/>
      <c r="H1641" s="564"/>
      <c r="I1641" s="609"/>
      <c r="J1641" s="1155"/>
      <c r="K1641" s="609"/>
      <c r="L1641" s="609"/>
      <c r="M1641" s="609"/>
      <c r="N1641" s="599"/>
      <c r="O1641" s="552" t="s">
        <v>1584</v>
      </c>
      <c r="P1641" s="603"/>
      <c r="Q1641" s="682"/>
      <c r="R1641" s="682"/>
      <c r="S1641" s="682"/>
      <c r="T1641" s="682"/>
      <c r="U1641" s="682"/>
      <c r="V1641" s="682"/>
      <c r="W1641" s="682"/>
    </row>
    <row r="1642" spans="1:23">
      <c r="A1642" s="1045">
        <f t="shared" si="26"/>
        <v>8</v>
      </c>
      <c r="B1642" s="134">
        <v>45505</v>
      </c>
      <c r="C1642" s="70">
        <v>5150</v>
      </c>
      <c r="D1642" s="70" t="s">
        <v>82</v>
      </c>
      <c r="E1642" s="280" t="s">
        <v>3811</v>
      </c>
      <c r="F1642" s="1049">
        <v>16490</v>
      </c>
      <c r="G1642" s="1049"/>
      <c r="H1642" s="564"/>
      <c r="I1642" s="609"/>
      <c r="J1642" s="1155"/>
      <c r="K1642" s="609"/>
      <c r="L1642" s="609"/>
      <c r="M1642" s="609"/>
      <c r="N1642" s="599"/>
      <c r="O1642" s="552" t="s">
        <v>1584</v>
      </c>
      <c r="P1642" s="603"/>
      <c r="Q1642" s="682"/>
      <c r="R1642" s="682"/>
      <c r="S1642" s="682"/>
      <c r="T1642" s="682"/>
      <c r="U1642" s="682"/>
      <c r="V1642" s="682"/>
      <c r="W1642" s="682"/>
    </row>
    <row r="1643" spans="1:23">
      <c r="A1643" s="1045">
        <f t="shared" si="26"/>
        <v>8</v>
      </c>
      <c r="B1643" s="134">
        <v>45505</v>
      </c>
      <c r="C1643" s="70">
        <v>2018</v>
      </c>
      <c r="D1643" s="70" t="s">
        <v>58</v>
      </c>
      <c r="E1643" s="280" t="s">
        <v>3811</v>
      </c>
      <c r="F1643" s="1049">
        <v>824</v>
      </c>
      <c r="G1643" s="1049"/>
      <c r="H1643" s="564"/>
      <c r="I1643" s="609"/>
      <c r="J1643" s="1155"/>
      <c r="K1643" s="609"/>
      <c r="L1643" s="609"/>
      <c r="M1643" s="609"/>
      <c r="N1643" s="599"/>
      <c r="O1643" s="552" t="s">
        <v>1584</v>
      </c>
      <c r="P1643" s="603"/>
      <c r="Q1643" s="682"/>
      <c r="R1643" s="682"/>
      <c r="S1643" s="682"/>
      <c r="T1643" s="682"/>
      <c r="U1643" s="682"/>
      <c r="V1643" s="682"/>
      <c r="W1643" s="682"/>
    </row>
    <row r="1644" spans="1:23">
      <c r="A1644" s="1045">
        <f t="shared" si="26"/>
        <v>8</v>
      </c>
      <c r="B1644" s="134">
        <v>45506</v>
      </c>
      <c r="C1644" s="70">
        <v>5250</v>
      </c>
      <c r="D1644" s="70" t="s">
        <v>85</v>
      </c>
      <c r="E1644" s="280" t="s">
        <v>3812</v>
      </c>
      <c r="F1644" s="1049">
        <v>25.5</v>
      </c>
      <c r="G1644" s="1049"/>
      <c r="H1644" s="564"/>
      <c r="I1644" s="609"/>
      <c r="J1644" s="1155"/>
      <c r="K1644" s="609"/>
      <c r="L1644" s="609"/>
      <c r="M1644" s="609"/>
      <c r="N1644" s="599"/>
      <c r="O1644" s="552" t="s">
        <v>1584</v>
      </c>
      <c r="P1644" s="603"/>
      <c r="Q1644" s="682"/>
      <c r="R1644" s="682"/>
      <c r="S1644" s="682"/>
      <c r="T1644" s="682"/>
      <c r="U1644" s="682"/>
      <c r="V1644" s="682"/>
      <c r="W1644" s="682"/>
    </row>
    <row r="1645" spans="1:23">
      <c r="A1645" s="1045">
        <f t="shared" si="26"/>
        <v>8</v>
      </c>
      <c r="B1645" s="134">
        <v>45506</v>
      </c>
      <c r="C1645" s="70">
        <v>2018</v>
      </c>
      <c r="D1645" s="70" t="s">
        <v>58</v>
      </c>
      <c r="E1645" s="280" t="s">
        <v>3812</v>
      </c>
      <c r="F1645" s="1049">
        <v>1.28</v>
      </c>
      <c r="G1645" s="1049"/>
      <c r="H1645" s="564"/>
      <c r="I1645" s="609"/>
      <c r="J1645" s="1155"/>
      <c r="K1645" s="609"/>
      <c r="L1645" s="609"/>
      <c r="M1645" s="609"/>
      <c r="N1645" s="599"/>
      <c r="O1645" s="552" t="s">
        <v>1584</v>
      </c>
      <c r="P1645" s="603"/>
      <c r="Q1645" s="682"/>
      <c r="R1645" s="682"/>
      <c r="S1645" s="682"/>
      <c r="T1645" s="682"/>
      <c r="U1645" s="682"/>
      <c r="V1645" s="682"/>
      <c r="W1645" s="682"/>
    </row>
    <row r="1646" spans="1:23">
      <c r="A1646" s="1045">
        <f t="shared" si="26"/>
        <v>8</v>
      </c>
      <c r="B1646" s="134">
        <v>45506</v>
      </c>
      <c r="C1646" s="70">
        <v>5250</v>
      </c>
      <c r="D1646" s="70" t="s">
        <v>85</v>
      </c>
      <c r="E1646" s="280" t="s">
        <v>3813</v>
      </c>
      <c r="F1646" s="1049">
        <v>17.5</v>
      </c>
      <c r="G1646" s="1049"/>
      <c r="H1646" s="564"/>
      <c r="I1646" s="609"/>
      <c r="J1646" s="1155"/>
      <c r="K1646" s="609"/>
      <c r="L1646" s="609"/>
      <c r="M1646" s="609"/>
      <c r="N1646" s="599"/>
      <c r="O1646" s="552" t="s">
        <v>1584</v>
      </c>
      <c r="P1646" s="603"/>
      <c r="Q1646" s="682"/>
      <c r="R1646" s="682"/>
      <c r="S1646" s="682"/>
      <c r="T1646" s="682"/>
      <c r="U1646" s="682"/>
      <c r="V1646" s="682"/>
      <c r="W1646" s="682"/>
    </row>
    <row r="1647" spans="1:23">
      <c r="A1647" s="1045">
        <f t="shared" si="26"/>
        <v>8</v>
      </c>
      <c r="B1647" s="134">
        <v>45506</v>
      </c>
      <c r="C1647" s="70">
        <v>2018</v>
      </c>
      <c r="D1647" s="70" t="s">
        <v>58</v>
      </c>
      <c r="E1647" s="280" t="s">
        <v>3813</v>
      </c>
      <c r="F1647" s="1049">
        <v>0.88</v>
      </c>
      <c r="G1647" s="1049"/>
      <c r="H1647" s="564"/>
      <c r="I1647" s="609"/>
      <c r="J1647" s="1155"/>
      <c r="K1647" s="609"/>
      <c r="L1647" s="609"/>
      <c r="M1647" s="609"/>
      <c r="N1647" s="599"/>
      <c r="O1647" s="552" t="s">
        <v>1584</v>
      </c>
      <c r="P1647" s="603"/>
      <c r="Q1647" s="682"/>
      <c r="R1647" s="682"/>
      <c r="S1647" s="682"/>
      <c r="T1647" s="682"/>
      <c r="U1647" s="682"/>
      <c r="V1647" s="682"/>
      <c r="W1647" s="682"/>
    </row>
    <row r="1648" spans="1:23">
      <c r="A1648" s="1045">
        <f t="shared" si="26"/>
        <v>8</v>
      </c>
      <c r="B1648" s="134">
        <v>45506</v>
      </c>
      <c r="C1648" s="70">
        <v>5250</v>
      </c>
      <c r="D1648" s="70" t="s">
        <v>85</v>
      </c>
      <c r="E1648" s="280" t="s">
        <v>3814</v>
      </c>
      <c r="F1648" s="1049">
        <v>35</v>
      </c>
      <c r="G1648" s="1049"/>
      <c r="H1648" s="564"/>
      <c r="I1648" s="609"/>
      <c r="J1648" s="1155"/>
      <c r="K1648" s="609"/>
      <c r="L1648" s="609"/>
      <c r="M1648" s="609"/>
      <c r="N1648" s="599"/>
      <c r="O1648" s="552" t="s">
        <v>1584</v>
      </c>
      <c r="P1648" s="603"/>
      <c r="Q1648" s="682"/>
      <c r="R1648" s="682"/>
      <c r="S1648" s="682"/>
      <c r="T1648" s="682"/>
      <c r="U1648" s="682"/>
      <c r="V1648" s="682"/>
      <c r="W1648" s="682"/>
    </row>
    <row r="1649" spans="1:23">
      <c r="A1649" s="1045">
        <f t="shared" si="26"/>
        <v>8</v>
      </c>
      <c r="B1649" s="134">
        <v>45506</v>
      </c>
      <c r="C1649" s="70">
        <v>2018</v>
      </c>
      <c r="D1649" s="70" t="s">
        <v>58</v>
      </c>
      <c r="E1649" s="280" t="s">
        <v>3814</v>
      </c>
      <c r="F1649" s="1049">
        <v>1.75</v>
      </c>
      <c r="G1649" s="1049"/>
      <c r="H1649" s="564"/>
      <c r="I1649" s="609"/>
      <c r="J1649" s="1155"/>
      <c r="K1649" s="609"/>
      <c r="L1649" s="609"/>
      <c r="M1649" s="609"/>
      <c r="N1649" s="599"/>
      <c r="O1649" s="552" t="s">
        <v>1584</v>
      </c>
      <c r="P1649" s="603"/>
      <c r="Q1649" s="682"/>
      <c r="R1649" s="682"/>
      <c r="S1649" s="682"/>
      <c r="T1649" s="682"/>
      <c r="U1649" s="682"/>
      <c r="V1649" s="682"/>
      <c r="W1649" s="682"/>
    </row>
    <row r="1650" spans="1:23">
      <c r="A1650" s="1045">
        <f t="shared" si="26"/>
        <v>8</v>
      </c>
      <c r="B1650" s="134">
        <v>45506</v>
      </c>
      <c r="C1650" s="70">
        <v>5200</v>
      </c>
      <c r="D1650" s="70" t="s">
        <v>83</v>
      </c>
      <c r="E1650" s="280" t="s">
        <v>3815</v>
      </c>
      <c r="F1650" s="1049">
        <v>39.68</v>
      </c>
      <c r="G1650" s="1049"/>
      <c r="H1650" s="564"/>
      <c r="I1650" s="609"/>
      <c r="J1650" s="1155"/>
      <c r="K1650" s="609"/>
      <c r="L1650" s="609"/>
      <c r="M1650" s="609"/>
      <c r="N1650" s="599"/>
      <c r="O1650" s="552" t="s">
        <v>1584</v>
      </c>
      <c r="P1650" s="603"/>
      <c r="Q1650" s="682"/>
      <c r="R1650" s="682"/>
      <c r="S1650" s="682"/>
      <c r="T1650" s="682"/>
      <c r="U1650" s="682"/>
      <c r="V1650" s="682"/>
      <c r="W1650" s="682"/>
    </row>
    <row r="1651" spans="1:23">
      <c r="A1651" s="1045">
        <f t="shared" si="26"/>
        <v>8</v>
      </c>
      <c r="B1651" s="134">
        <v>45506</v>
      </c>
      <c r="C1651" s="70">
        <v>2018</v>
      </c>
      <c r="D1651" s="70" t="s">
        <v>58</v>
      </c>
      <c r="E1651" s="280" t="s">
        <v>3815</v>
      </c>
      <c r="F1651" s="1049">
        <v>2.35</v>
      </c>
      <c r="G1651" s="1049"/>
      <c r="H1651" s="564"/>
      <c r="I1651" s="609"/>
      <c r="J1651" s="1155"/>
      <c r="K1651" s="609"/>
      <c r="L1651" s="609"/>
      <c r="M1651" s="609"/>
      <c r="N1651" s="599"/>
      <c r="O1651" s="552" t="s">
        <v>1584</v>
      </c>
      <c r="P1651" s="603"/>
      <c r="Q1651" s="682"/>
      <c r="R1651" s="682"/>
      <c r="S1651" s="682"/>
      <c r="T1651" s="682"/>
      <c r="U1651" s="682"/>
      <c r="V1651" s="682"/>
      <c r="W1651" s="682"/>
    </row>
    <row r="1652" spans="1:23">
      <c r="A1652" s="1045">
        <f t="shared" si="26"/>
        <v>8</v>
      </c>
      <c r="B1652" s="134">
        <v>45506</v>
      </c>
      <c r="C1652" s="70">
        <v>5250</v>
      </c>
      <c r="D1652" s="70" t="s">
        <v>85</v>
      </c>
      <c r="E1652" s="280" t="s">
        <v>3816</v>
      </c>
      <c r="F1652" s="1049">
        <v>568.12</v>
      </c>
      <c r="G1652" s="1049"/>
      <c r="H1652" s="564"/>
      <c r="I1652" s="609"/>
      <c r="J1652" s="1155"/>
      <c r="K1652" s="609"/>
      <c r="L1652" s="609"/>
      <c r="M1652" s="609"/>
      <c r="N1652" s="599"/>
      <c r="O1652" s="552" t="s">
        <v>1584</v>
      </c>
      <c r="P1652" s="603"/>
      <c r="Q1652" s="682"/>
      <c r="R1652" s="682"/>
      <c r="S1652" s="682"/>
      <c r="T1652" s="682"/>
      <c r="U1652" s="682"/>
      <c r="V1652" s="682"/>
      <c r="W1652" s="682"/>
    </row>
    <row r="1653" spans="1:23">
      <c r="A1653" s="1045">
        <f t="shared" si="26"/>
        <v>8</v>
      </c>
      <c r="B1653" s="134">
        <v>45506</v>
      </c>
      <c r="C1653" s="70">
        <v>2018</v>
      </c>
      <c r="D1653" s="70" t="s">
        <v>58</v>
      </c>
      <c r="E1653" s="280" t="s">
        <v>3816</v>
      </c>
      <c r="F1653" s="1049">
        <v>28.41</v>
      </c>
      <c r="G1653" s="1049"/>
      <c r="H1653" s="564"/>
      <c r="I1653" s="609"/>
      <c r="J1653" s="1155"/>
      <c r="K1653" s="609"/>
      <c r="L1653" s="609"/>
      <c r="M1653" s="609"/>
      <c r="N1653" s="599"/>
      <c r="O1653" s="552" t="s">
        <v>1584</v>
      </c>
      <c r="P1653" s="603"/>
      <c r="Q1653" s="682"/>
      <c r="R1653" s="682"/>
      <c r="S1653" s="682"/>
      <c r="T1653" s="682"/>
      <c r="U1653" s="682"/>
      <c r="V1653" s="682"/>
      <c r="W1653" s="682"/>
    </row>
    <row r="1654" spans="1:23">
      <c r="A1654" s="1045">
        <f t="shared" si="26"/>
        <v>8</v>
      </c>
      <c r="B1654" s="134">
        <v>45507</v>
      </c>
      <c r="C1654" s="70">
        <v>5250</v>
      </c>
      <c r="D1654" s="70" t="s">
        <v>85</v>
      </c>
      <c r="E1654" s="280" t="s">
        <v>3817</v>
      </c>
      <c r="F1654" s="1049">
        <v>121.5</v>
      </c>
      <c r="G1654" s="1049"/>
      <c r="H1654" s="564"/>
      <c r="I1654" s="609"/>
      <c r="J1654" s="1155"/>
      <c r="K1654" s="609"/>
      <c r="L1654" s="609"/>
      <c r="M1654" s="609"/>
      <c r="N1654" s="599"/>
      <c r="O1654" s="552" t="s">
        <v>1584</v>
      </c>
      <c r="P1654" s="603"/>
      <c r="Q1654" s="682"/>
      <c r="R1654" s="682"/>
      <c r="S1654" s="682"/>
      <c r="T1654" s="682"/>
      <c r="U1654" s="682"/>
      <c r="V1654" s="682"/>
      <c r="W1654" s="682"/>
    </row>
    <row r="1655" spans="1:23">
      <c r="A1655" s="1045">
        <f t="shared" si="26"/>
        <v>8</v>
      </c>
      <c r="B1655" s="134">
        <v>45507</v>
      </c>
      <c r="C1655" s="70">
        <v>2018</v>
      </c>
      <c r="D1655" s="70" t="s">
        <v>58</v>
      </c>
      <c r="E1655" s="280" t="s">
        <v>3817</v>
      </c>
      <c r="F1655" s="1049">
        <v>6.08</v>
      </c>
      <c r="G1655" s="1049"/>
      <c r="H1655" s="564"/>
      <c r="I1655" s="609"/>
      <c r="J1655" s="1155"/>
      <c r="K1655" s="609"/>
      <c r="L1655" s="609"/>
      <c r="M1655" s="609"/>
      <c r="N1655" s="599"/>
      <c r="O1655" s="552" t="s">
        <v>1584</v>
      </c>
      <c r="P1655" s="603"/>
      <c r="Q1655" s="682"/>
      <c r="R1655" s="682"/>
      <c r="S1655" s="682"/>
      <c r="T1655" s="682"/>
      <c r="U1655" s="682"/>
      <c r="V1655" s="682"/>
      <c r="W1655" s="682"/>
    </row>
    <row r="1656" spans="1:23">
      <c r="A1656" s="1045">
        <f t="shared" si="26"/>
        <v>8</v>
      </c>
      <c r="B1656" s="134">
        <v>45507</v>
      </c>
      <c r="C1656" s="70">
        <v>5250</v>
      </c>
      <c r="D1656" s="70" t="s">
        <v>85</v>
      </c>
      <c r="E1656" s="280" t="s">
        <v>3818</v>
      </c>
      <c r="F1656" s="1049">
        <v>1910</v>
      </c>
      <c r="G1656" s="1049"/>
      <c r="H1656" s="564"/>
      <c r="I1656" s="609"/>
      <c r="J1656" s="1155"/>
      <c r="K1656" s="609"/>
      <c r="L1656" s="609"/>
      <c r="M1656" s="609"/>
      <c r="N1656" s="599"/>
      <c r="O1656" s="552" t="s">
        <v>1584</v>
      </c>
      <c r="P1656" s="603"/>
      <c r="Q1656" s="682"/>
      <c r="R1656" s="682"/>
      <c r="S1656" s="682"/>
      <c r="T1656" s="682"/>
      <c r="U1656" s="682"/>
      <c r="V1656" s="682"/>
      <c r="W1656" s="682"/>
    </row>
    <row r="1657" spans="1:23">
      <c r="A1657" s="1045">
        <f t="shared" si="26"/>
        <v>8</v>
      </c>
      <c r="B1657" s="134">
        <v>45507</v>
      </c>
      <c r="C1657" s="70">
        <v>2018</v>
      </c>
      <c r="D1657" s="70" t="s">
        <v>58</v>
      </c>
      <c r="E1657" s="280" t="s">
        <v>3818</v>
      </c>
      <c r="F1657" s="1049">
        <v>95.5</v>
      </c>
      <c r="G1657" s="1049"/>
      <c r="H1657" s="564"/>
      <c r="I1657" s="609"/>
      <c r="J1657" s="1155"/>
      <c r="K1657" s="609"/>
      <c r="L1657" s="609"/>
      <c r="M1657" s="609"/>
      <c r="N1657" s="599"/>
      <c r="O1657" s="552" t="s">
        <v>1584</v>
      </c>
      <c r="P1657" s="603"/>
      <c r="Q1657" s="682"/>
      <c r="R1657" s="682"/>
      <c r="S1657" s="682"/>
      <c r="T1657" s="682"/>
      <c r="U1657" s="682"/>
      <c r="V1657" s="682"/>
      <c r="W1657" s="682"/>
    </row>
    <row r="1658" spans="1:23">
      <c r="A1658" s="1045">
        <f t="shared" si="26"/>
        <v>8</v>
      </c>
      <c r="B1658" s="134">
        <v>45507</v>
      </c>
      <c r="C1658" s="70">
        <v>5220</v>
      </c>
      <c r="D1658" s="70" t="s">
        <v>84</v>
      </c>
      <c r="E1658" s="280" t="s">
        <v>3819</v>
      </c>
      <c r="F1658" s="1049">
        <v>4263</v>
      </c>
      <c r="G1658" s="1049"/>
      <c r="H1658" s="564"/>
      <c r="I1658" s="609"/>
      <c r="J1658" s="1155"/>
      <c r="K1658" s="609"/>
      <c r="L1658" s="609"/>
      <c r="M1658" s="609"/>
      <c r="N1658" s="599"/>
      <c r="O1658" s="552" t="s">
        <v>1584</v>
      </c>
      <c r="P1658" s="603"/>
      <c r="Q1658" s="682"/>
      <c r="R1658" s="682"/>
      <c r="S1658" s="682"/>
      <c r="T1658" s="682"/>
      <c r="U1658" s="682"/>
      <c r="V1658" s="682"/>
      <c r="W1658" s="682"/>
    </row>
    <row r="1659" spans="1:23">
      <c r="A1659" s="1045">
        <f t="shared" si="26"/>
        <v>8</v>
      </c>
      <c r="B1659" s="134">
        <v>45507</v>
      </c>
      <c r="C1659" s="70">
        <v>2018</v>
      </c>
      <c r="D1659" s="70" t="s">
        <v>58</v>
      </c>
      <c r="E1659" s="280" t="s">
        <v>3819</v>
      </c>
      <c r="F1659" s="1049">
        <v>213.15</v>
      </c>
      <c r="G1659" s="1049"/>
      <c r="H1659" s="564"/>
      <c r="I1659" s="609"/>
      <c r="J1659" s="1155"/>
      <c r="K1659" s="609"/>
      <c r="L1659" s="609"/>
      <c r="M1659" s="609"/>
      <c r="N1659" s="599"/>
      <c r="O1659" s="552" t="s">
        <v>1584</v>
      </c>
      <c r="P1659" s="603"/>
      <c r="Q1659" s="682"/>
      <c r="R1659" s="682"/>
      <c r="S1659" s="682"/>
      <c r="T1659" s="682"/>
      <c r="U1659" s="682"/>
      <c r="V1659" s="682"/>
      <c r="W1659" s="682"/>
    </row>
    <row r="1660" spans="1:23">
      <c r="A1660" s="1045">
        <f t="shared" si="26"/>
        <v>8</v>
      </c>
      <c r="B1660" s="134">
        <v>45507</v>
      </c>
      <c r="C1660" s="70">
        <v>5220</v>
      </c>
      <c r="D1660" s="70" t="s">
        <v>84</v>
      </c>
      <c r="E1660" s="280" t="s">
        <v>3820</v>
      </c>
      <c r="F1660" s="1049">
        <v>242.25</v>
      </c>
      <c r="G1660" s="1049"/>
      <c r="H1660" s="564"/>
      <c r="I1660" s="609"/>
      <c r="J1660" s="1155"/>
      <c r="K1660" s="609"/>
      <c r="L1660" s="609"/>
      <c r="M1660" s="609"/>
      <c r="N1660" s="599"/>
      <c r="O1660" s="552" t="s">
        <v>1584</v>
      </c>
      <c r="P1660" s="603"/>
      <c r="Q1660" s="682"/>
      <c r="R1660" s="682"/>
      <c r="S1660" s="682"/>
      <c r="T1660" s="682"/>
      <c r="U1660" s="682"/>
      <c r="V1660" s="682"/>
      <c r="W1660" s="682"/>
    </row>
    <row r="1661" spans="1:23">
      <c r="A1661" s="1045">
        <f t="shared" si="26"/>
        <v>8</v>
      </c>
      <c r="B1661" s="134">
        <v>45507</v>
      </c>
      <c r="C1661" s="70">
        <v>2018</v>
      </c>
      <c r="D1661" s="70" t="s">
        <v>58</v>
      </c>
      <c r="E1661" s="280" t="s">
        <v>3820</v>
      </c>
      <c r="F1661" s="1049">
        <v>12.11</v>
      </c>
      <c r="G1661" s="1049"/>
      <c r="H1661" s="564"/>
      <c r="I1661" s="609"/>
      <c r="J1661" s="1155"/>
      <c r="K1661" s="609"/>
      <c r="L1661" s="609"/>
      <c r="M1661" s="609"/>
      <c r="N1661" s="599"/>
      <c r="O1661" s="552" t="s">
        <v>1584</v>
      </c>
      <c r="P1661" s="603"/>
      <c r="Q1661" s="682"/>
      <c r="R1661" s="682"/>
      <c r="S1661" s="682"/>
      <c r="T1661" s="682"/>
      <c r="U1661" s="682"/>
      <c r="V1661" s="682"/>
      <c r="W1661" s="682"/>
    </row>
    <row r="1662" spans="1:23">
      <c r="A1662" s="1045">
        <f t="shared" si="26"/>
        <v>8</v>
      </c>
      <c r="B1662" s="134">
        <v>45507</v>
      </c>
      <c r="C1662" s="70">
        <v>5250</v>
      </c>
      <c r="D1662" s="70" t="s">
        <v>85</v>
      </c>
      <c r="E1662" s="280" t="s">
        <v>3821</v>
      </c>
      <c r="F1662" s="1049">
        <v>205.5</v>
      </c>
      <c r="G1662" s="1049"/>
      <c r="H1662" s="564"/>
      <c r="I1662" s="609"/>
      <c r="J1662" s="1155"/>
      <c r="K1662" s="609"/>
      <c r="L1662" s="609"/>
      <c r="M1662" s="609"/>
      <c r="N1662" s="599"/>
      <c r="O1662" s="552" t="s">
        <v>1584</v>
      </c>
      <c r="P1662" s="603"/>
      <c r="Q1662" s="682"/>
      <c r="R1662" s="682"/>
      <c r="S1662" s="682"/>
      <c r="T1662" s="682"/>
      <c r="U1662" s="682"/>
      <c r="V1662" s="682"/>
      <c r="W1662" s="682"/>
    </row>
    <row r="1663" spans="1:23">
      <c r="A1663" s="1045">
        <f t="shared" si="26"/>
        <v>8</v>
      </c>
      <c r="B1663" s="134">
        <v>45507</v>
      </c>
      <c r="C1663" s="70">
        <v>2018</v>
      </c>
      <c r="D1663" s="70" t="s">
        <v>58</v>
      </c>
      <c r="E1663" s="280" t="s">
        <v>3821</v>
      </c>
      <c r="F1663" s="1049">
        <v>10.28</v>
      </c>
      <c r="G1663" s="1049"/>
      <c r="H1663" s="564"/>
      <c r="I1663" s="609"/>
      <c r="J1663" s="1155"/>
      <c r="K1663" s="609"/>
      <c r="L1663" s="609"/>
      <c r="M1663" s="609"/>
      <c r="N1663" s="599"/>
      <c r="O1663" s="552" t="s">
        <v>1584</v>
      </c>
      <c r="P1663" s="603"/>
      <c r="Q1663" s="682"/>
      <c r="R1663" s="682"/>
      <c r="S1663" s="682"/>
      <c r="T1663" s="682"/>
      <c r="U1663" s="682"/>
      <c r="V1663" s="682"/>
      <c r="W1663" s="682"/>
    </row>
    <row r="1664" spans="1:23">
      <c r="A1664" s="1045">
        <f t="shared" si="26"/>
        <v>8</v>
      </c>
      <c r="B1664" s="134">
        <v>45507</v>
      </c>
      <c r="C1664" s="70">
        <v>5250</v>
      </c>
      <c r="D1664" s="70" t="s">
        <v>85</v>
      </c>
      <c r="E1664" s="280" t="s">
        <v>3822</v>
      </c>
      <c r="F1664" s="1049">
        <v>896</v>
      </c>
      <c r="G1664" s="1049"/>
      <c r="H1664" s="564"/>
      <c r="I1664" s="609"/>
      <c r="J1664" s="1155"/>
      <c r="K1664" s="609"/>
      <c r="L1664" s="609"/>
      <c r="M1664" s="609"/>
      <c r="N1664" s="599"/>
      <c r="O1664" s="552" t="s">
        <v>1584</v>
      </c>
      <c r="P1664" s="603"/>
      <c r="Q1664" s="682"/>
      <c r="R1664" s="682"/>
      <c r="S1664" s="682"/>
      <c r="T1664" s="682"/>
      <c r="U1664" s="682"/>
      <c r="V1664" s="682"/>
      <c r="W1664" s="682"/>
    </row>
    <row r="1665" spans="1:23">
      <c r="A1665" s="1045">
        <f t="shared" si="26"/>
        <v>8</v>
      </c>
      <c r="B1665" s="134">
        <v>45507</v>
      </c>
      <c r="C1665" s="70">
        <v>2018</v>
      </c>
      <c r="D1665" s="70" t="s">
        <v>58</v>
      </c>
      <c r="E1665" s="280" t="s">
        <v>3822</v>
      </c>
      <c r="F1665" s="1049">
        <v>44.8</v>
      </c>
      <c r="G1665" s="1049"/>
      <c r="H1665" s="564"/>
      <c r="I1665" s="609"/>
      <c r="J1665" s="1155"/>
      <c r="K1665" s="609"/>
      <c r="L1665" s="609"/>
      <c r="M1665" s="609"/>
      <c r="N1665" s="599"/>
      <c r="O1665" s="552" t="s">
        <v>1584</v>
      </c>
      <c r="P1665" s="603"/>
      <c r="Q1665" s="682"/>
      <c r="R1665" s="682"/>
      <c r="S1665" s="682"/>
      <c r="T1665" s="682"/>
      <c r="U1665" s="682"/>
      <c r="V1665" s="682"/>
      <c r="W1665" s="682"/>
    </row>
    <row r="1666" spans="1:23">
      <c r="A1666" s="1045">
        <f t="shared" si="26"/>
        <v>8</v>
      </c>
      <c r="B1666" s="134">
        <v>45507</v>
      </c>
      <c r="C1666" s="70">
        <v>5250</v>
      </c>
      <c r="D1666" s="70" t="s">
        <v>85</v>
      </c>
      <c r="E1666" s="280" t="s">
        <v>3823</v>
      </c>
      <c r="F1666" s="1049">
        <v>255.24</v>
      </c>
      <c r="G1666" s="1049"/>
      <c r="H1666" s="564"/>
      <c r="I1666" s="609"/>
      <c r="J1666" s="1155"/>
      <c r="K1666" s="609"/>
      <c r="L1666" s="609"/>
      <c r="M1666" s="609"/>
      <c r="N1666" s="599"/>
      <c r="O1666" s="552" t="s">
        <v>1584</v>
      </c>
      <c r="P1666" s="603"/>
      <c r="Q1666" s="682"/>
      <c r="R1666" s="682"/>
      <c r="S1666" s="682"/>
      <c r="T1666" s="682"/>
      <c r="U1666" s="682"/>
      <c r="V1666" s="682"/>
      <c r="W1666" s="682"/>
    </row>
    <row r="1667" spans="1:23">
      <c r="A1667" s="1045">
        <f t="shared" si="26"/>
        <v>8</v>
      </c>
      <c r="B1667" s="134">
        <v>45507</v>
      </c>
      <c r="C1667" s="70">
        <v>2018</v>
      </c>
      <c r="D1667" s="70" t="s">
        <v>58</v>
      </c>
      <c r="E1667" s="280" t="s">
        <v>3823</v>
      </c>
      <c r="F1667" s="1049">
        <v>12.76</v>
      </c>
      <c r="G1667" s="1049"/>
      <c r="H1667" s="564"/>
      <c r="I1667" s="609"/>
      <c r="J1667" s="1155"/>
      <c r="K1667" s="609"/>
      <c r="L1667" s="609"/>
      <c r="M1667" s="609"/>
      <c r="N1667" s="599"/>
      <c r="O1667" s="552" t="s">
        <v>1584</v>
      </c>
      <c r="P1667" s="603"/>
      <c r="Q1667" s="682"/>
      <c r="R1667" s="682"/>
      <c r="S1667" s="682"/>
      <c r="T1667" s="682"/>
      <c r="U1667" s="682"/>
      <c r="V1667" s="682"/>
      <c r="W1667" s="682"/>
    </row>
    <row r="1668" spans="1:23">
      <c r="A1668" s="1045">
        <f t="shared" si="26"/>
        <v>8</v>
      </c>
      <c r="B1668" s="134">
        <v>45508</v>
      </c>
      <c r="C1668" s="70">
        <v>5250</v>
      </c>
      <c r="D1668" s="70" t="s">
        <v>85</v>
      </c>
      <c r="E1668" s="280" t="s">
        <v>3824</v>
      </c>
      <c r="F1668" s="1049">
        <v>65.25</v>
      </c>
      <c r="G1668" s="1049"/>
      <c r="H1668" s="564"/>
      <c r="I1668" s="609"/>
      <c r="J1668" s="1155"/>
      <c r="K1668" s="609"/>
      <c r="L1668" s="609"/>
      <c r="M1668" s="609"/>
      <c r="N1668" s="599"/>
      <c r="O1668" s="552" t="s">
        <v>1584</v>
      </c>
      <c r="P1668" s="603"/>
      <c r="Q1668" s="682"/>
      <c r="R1668" s="682"/>
      <c r="S1668" s="682"/>
      <c r="T1668" s="682"/>
      <c r="U1668" s="682"/>
      <c r="V1668" s="682"/>
      <c r="W1668" s="682"/>
    </row>
    <row r="1669" spans="1:23">
      <c r="A1669" s="1045">
        <f t="shared" si="26"/>
        <v>8</v>
      </c>
      <c r="B1669" s="134">
        <v>45508</v>
      </c>
      <c r="C1669" s="70">
        <v>2018</v>
      </c>
      <c r="D1669" s="70" t="s">
        <v>58</v>
      </c>
      <c r="E1669" s="280" t="s">
        <v>3824</v>
      </c>
      <c r="F1669" s="1049">
        <v>3.26</v>
      </c>
      <c r="G1669" s="1049"/>
      <c r="H1669" s="564"/>
      <c r="I1669" s="609"/>
      <c r="J1669" s="1155"/>
      <c r="K1669" s="609"/>
      <c r="L1669" s="609"/>
      <c r="M1669" s="609"/>
      <c r="N1669" s="599"/>
      <c r="O1669" s="552" t="s">
        <v>1584</v>
      </c>
      <c r="P1669" s="603"/>
      <c r="Q1669" s="682"/>
      <c r="R1669" s="682"/>
      <c r="S1669" s="682"/>
      <c r="T1669" s="682"/>
      <c r="U1669" s="682"/>
      <c r="V1669" s="682"/>
      <c r="W1669" s="682"/>
    </row>
    <row r="1670" spans="1:23">
      <c r="A1670" s="1045">
        <f t="shared" si="26"/>
        <v>8</v>
      </c>
      <c r="B1670" s="134">
        <v>45508</v>
      </c>
      <c r="C1670" s="70">
        <v>5250</v>
      </c>
      <c r="D1670" s="70" t="s">
        <v>85</v>
      </c>
      <c r="E1670" s="280" t="s">
        <v>3825</v>
      </c>
      <c r="F1670" s="1049">
        <v>9.5</v>
      </c>
      <c r="G1670" s="1049"/>
      <c r="H1670" s="564"/>
      <c r="I1670" s="609"/>
      <c r="J1670" s="1155"/>
      <c r="K1670" s="609"/>
      <c r="L1670" s="609"/>
      <c r="M1670" s="609"/>
      <c r="N1670" s="599"/>
      <c r="O1670" s="552" t="s">
        <v>1584</v>
      </c>
      <c r="P1670" s="603"/>
      <c r="Q1670" s="682"/>
      <c r="R1670" s="682"/>
      <c r="S1670" s="682"/>
      <c r="T1670" s="682"/>
      <c r="U1670" s="682"/>
      <c r="V1670" s="682"/>
      <c r="W1670" s="682"/>
    </row>
    <row r="1671" spans="1:23">
      <c r="A1671" s="1045">
        <f t="shared" si="26"/>
        <v>8</v>
      </c>
      <c r="B1671" s="134">
        <v>45508</v>
      </c>
      <c r="C1671" s="70">
        <v>2018</v>
      </c>
      <c r="D1671" s="70" t="s">
        <v>58</v>
      </c>
      <c r="E1671" s="280" t="s">
        <v>3825</v>
      </c>
      <c r="F1671" s="1049">
        <v>0.48</v>
      </c>
      <c r="G1671" s="1049"/>
      <c r="H1671" s="564"/>
      <c r="I1671" s="609"/>
      <c r="J1671" s="1155"/>
      <c r="K1671" s="609"/>
      <c r="L1671" s="609"/>
      <c r="M1671" s="609"/>
      <c r="N1671" s="599"/>
      <c r="O1671" s="552" t="s">
        <v>1584</v>
      </c>
      <c r="P1671" s="603"/>
      <c r="Q1671" s="682"/>
      <c r="R1671" s="682"/>
      <c r="S1671" s="682"/>
      <c r="T1671" s="682"/>
      <c r="U1671" s="682"/>
      <c r="V1671" s="682"/>
      <c r="W1671" s="682"/>
    </row>
    <row r="1672" spans="1:23">
      <c r="A1672" s="1045">
        <f t="shared" si="26"/>
        <v>8</v>
      </c>
      <c r="B1672" s="134">
        <v>45508</v>
      </c>
      <c r="C1672" s="70">
        <v>5250</v>
      </c>
      <c r="D1672" s="70" t="s">
        <v>85</v>
      </c>
      <c r="E1672" s="280" t="s">
        <v>3826</v>
      </c>
      <c r="F1672" s="1049">
        <v>120</v>
      </c>
      <c r="G1672" s="1049"/>
      <c r="H1672" s="564"/>
      <c r="I1672" s="609"/>
      <c r="J1672" s="1155"/>
      <c r="K1672" s="609"/>
      <c r="L1672" s="609"/>
      <c r="M1672" s="609"/>
      <c r="N1672" s="599"/>
      <c r="O1672" s="552" t="s">
        <v>1584</v>
      </c>
      <c r="P1672" s="603"/>
      <c r="Q1672" s="682"/>
      <c r="R1672" s="682"/>
      <c r="S1672" s="682"/>
      <c r="T1672" s="682"/>
      <c r="U1672" s="682"/>
      <c r="V1672" s="682"/>
      <c r="W1672" s="682"/>
    </row>
    <row r="1673" spans="1:23">
      <c r="A1673" s="1045">
        <f t="shared" si="26"/>
        <v>8</v>
      </c>
      <c r="B1673" s="134">
        <v>45508</v>
      </c>
      <c r="C1673" s="70">
        <v>2018</v>
      </c>
      <c r="D1673" s="70" t="s">
        <v>58</v>
      </c>
      <c r="E1673" s="280" t="s">
        <v>3826</v>
      </c>
      <c r="F1673" s="1049">
        <v>6</v>
      </c>
      <c r="G1673" s="1049"/>
      <c r="H1673" s="564"/>
      <c r="I1673" s="609"/>
      <c r="J1673" s="1155"/>
      <c r="K1673" s="609"/>
      <c r="L1673" s="609"/>
      <c r="M1673" s="609"/>
      <c r="N1673" s="599"/>
      <c r="O1673" s="552" t="s">
        <v>1584</v>
      </c>
      <c r="P1673" s="603"/>
      <c r="Q1673" s="682"/>
      <c r="R1673" s="682"/>
      <c r="S1673" s="682"/>
      <c r="T1673" s="682"/>
      <c r="U1673" s="682"/>
      <c r="V1673" s="682"/>
      <c r="W1673" s="682"/>
    </row>
    <row r="1674" spans="1:23">
      <c r="A1674" s="1045">
        <f t="shared" si="26"/>
        <v>8</v>
      </c>
      <c r="B1674" s="134">
        <v>45508</v>
      </c>
      <c r="C1674" s="70">
        <v>5250</v>
      </c>
      <c r="D1674" s="70" t="s">
        <v>85</v>
      </c>
      <c r="E1674" s="280" t="s">
        <v>3827</v>
      </c>
      <c r="F1674" s="1049">
        <v>131.62</v>
      </c>
      <c r="G1674" s="1049"/>
      <c r="H1674" s="564"/>
      <c r="I1674" s="609"/>
      <c r="J1674" s="1155"/>
      <c r="K1674" s="609"/>
      <c r="L1674" s="609"/>
      <c r="M1674" s="609"/>
      <c r="N1674" s="599"/>
      <c r="O1674" s="552" t="s">
        <v>1584</v>
      </c>
      <c r="P1674" s="603"/>
      <c r="Q1674" s="682"/>
      <c r="R1674" s="682"/>
      <c r="S1674" s="682"/>
      <c r="T1674" s="682"/>
      <c r="U1674" s="682"/>
      <c r="V1674" s="682"/>
      <c r="W1674" s="682"/>
    </row>
    <row r="1675" spans="1:23">
      <c r="A1675" s="1045">
        <f t="shared" si="26"/>
        <v>8</v>
      </c>
      <c r="B1675" s="134">
        <v>45508</v>
      </c>
      <c r="C1675" s="70">
        <v>2018</v>
      </c>
      <c r="D1675" s="70" t="s">
        <v>58</v>
      </c>
      <c r="E1675" s="280" t="s">
        <v>3827</v>
      </c>
      <c r="F1675" s="1049">
        <v>6.58</v>
      </c>
      <c r="G1675" s="1049"/>
      <c r="H1675" s="564"/>
      <c r="I1675" s="609"/>
      <c r="J1675" s="1155"/>
      <c r="K1675" s="609"/>
      <c r="L1675" s="609"/>
      <c r="M1675" s="609"/>
      <c r="N1675" s="599"/>
      <c r="O1675" s="552" t="s">
        <v>1584</v>
      </c>
      <c r="P1675" s="603"/>
      <c r="Q1675" s="682"/>
      <c r="R1675" s="682"/>
      <c r="S1675" s="682"/>
      <c r="T1675" s="682"/>
      <c r="U1675" s="682"/>
      <c r="V1675" s="682"/>
      <c r="W1675" s="682"/>
    </row>
    <row r="1676" spans="1:23">
      <c r="A1676" s="1045">
        <f t="shared" si="26"/>
        <v>8</v>
      </c>
      <c r="B1676" s="134">
        <v>45509</v>
      </c>
      <c r="C1676" s="70">
        <v>5200</v>
      </c>
      <c r="D1676" s="70" t="s">
        <v>83</v>
      </c>
      <c r="E1676" s="280" t="s">
        <v>3828</v>
      </c>
      <c r="F1676" s="1049">
        <v>500.78</v>
      </c>
      <c r="G1676" s="1049"/>
      <c r="H1676" s="564"/>
      <c r="I1676" s="609"/>
      <c r="J1676" s="1155"/>
      <c r="K1676" s="609"/>
      <c r="L1676" s="609"/>
      <c r="M1676" s="609"/>
      <c r="N1676" s="599"/>
      <c r="O1676" s="552" t="s">
        <v>1584</v>
      </c>
      <c r="P1676" s="603"/>
      <c r="Q1676" s="682"/>
      <c r="R1676" s="682"/>
      <c r="S1676" s="682"/>
      <c r="T1676" s="682"/>
      <c r="U1676" s="682"/>
      <c r="V1676" s="682"/>
      <c r="W1676" s="682"/>
    </row>
    <row r="1677" spans="1:23">
      <c r="A1677" s="1045">
        <f t="shared" si="26"/>
        <v>8</v>
      </c>
      <c r="B1677" s="134">
        <v>45509</v>
      </c>
      <c r="C1677" s="70">
        <v>2018</v>
      </c>
      <c r="D1677" s="70" t="s">
        <v>58</v>
      </c>
      <c r="E1677" s="280" t="s">
        <v>3828</v>
      </c>
      <c r="F1677" s="1049">
        <v>25.04</v>
      </c>
      <c r="G1677" s="1049"/>
      <c r="H1677" s="564"/>
      <c r="I1677" s="609"/>
      <c r="J1677" s="1155"/>
      <c r="K1677" s="609"/>
      <c r="L1677" s="609"/>
      <c r="M1677" s="609"/>
      <c r="N1677" s="599"/>
      <c r="O1677" s="552" t="s">
        <v>1584</v>
      </c>
      <c r="P1677" s="603"/>
      <c r="Q1677" s="682"/>
      <c r="R1677" s="682"/>
      <c r="S1677" s="682"/>
      <c r="T1677" s="682"/>
      <c r="U1677" s="682"/>
      <c r="V1677" s="682"/>
      <c r="W1677" s="682"/>
    </row>
    <row r="1678" spans="1:23">
      <c r="A1678" s="1045">
        <f t="shared" si="26"/>
        <v>8</v>
      </c>
      <c r="B1678" s="134">
        <v>45509</v>
      </c>
      <c r="C1678" s="70">
        <v>5200</v>
      </c>
      <c r="D1678" s="70" t="s">
        <v>83</v>
      </c>
      <c r="E1678" s="280" t="s">
        <v>3829</v>
      </c>
      <c r="F1678" s="1049">
        <v>5938</v>
      </c>
      <c r="G1678" s="1049"/>
      <c r="H1678" s="564"/>
      <c r="I1678" s="609"/>
      <c r="J1678" s="1155"/>
      <c r="K1678" s="609"/>
      <c r="L1678" s="609"/>
      <c r="M1678" s="609"/>
      <c r="N1678" s="599"/>
      <c r="O1678" s="552" t="s">
        <v>1584</v>
      </c>
      <c r="P1678" s="603"/>
      <c r="Q1678" s="682"/>
      <c r="R1678" s="682"/>
      <c r="S1678" s="682"/>
      <c r="T1678" s="682"/>
      <c r="U1678" s="682"/>
      <c r="V1678" s="682"/>
      <c r="W1678" s="682"/>
    </row>
    <row r="1679" spans="1:23">
      <c r="A1679" s="1045">
        <f t="shared" si="26"/>
        <v>8</v>
      </c>
      <c r="B1679" s="134">
        <v>45509</v>
      </c>
      <c r="C1679" s="70">
        <v>2018</v>
      </c>
      <c r="D1679" s="70" t="s">
        <v>58</v>
      </c>
      <c r="E1679" s="280" t="s">
        <v>3829</v>
      </c>
      <c r="F1679" s="1049">
        <v>296.89999999999998</v>
      </c>
      <c r="G1679" s="1049"/>
      <c r="H1679" s="564"/>
      <c r="I1679" s="609"/>
      <c r="J1679" s="1155"/>
      <c r="K1679" s="609"/>
      <c r="L1679" s="609"/>
      <c r="M1679" s="609"/>
      <c r="N1679" s="599"/>
      <c r="O1679" s="552" t="s">
        <v>1584</v>
      </c>
      <c r="P1679" s="603"/>
      <c r="Q1679" s="682"/>
      <c r="R1679" s="682"/>
      <c r="S1679" s="682"/>
      <c r="T1679" s="682"/>
      <c r="U1679" s="682"/>
      <c r="V1679" s="682"/>
      <c r="W1679" s="682"/>
    </row>
    <row r="1680" spans="1:23">
      <c r="A1680" s="1045">
        <f t="shared" si="26"/>
        <v>8</v>
      </c>
      <c r="B1680" s="134">
        <v>45509</v>
      </c>
      <c r="C1680" s="70">
        <v>5150</v>
      </c>
      <c r="D1680" s="70" t="s">
        <v>82</v>
      </c>
      <c r="E1680" s="280" t="s">
        <v>3830</v>
      </c>
      <c r="F1680" s="1049">
        <v>7900</v>
      </c>
      <c r="G1680" s="1049"/>
      <c r="H1680" s="564"/>
      <c r="I1680" s="609"/>
      <c r="J1680" s="1155"/>
      <c r="K1680" s="609"/>
      <c r="L1680" s="609"/>
      <c r="M1680" s="609"/>
      <c r="N1680" s="599"/>
      <c r="O1680" s="552" t="s">
        <v>1584</v>
      </c>
      <c r="P1680" s="603"/>
      <c r="Q1680" s="682"/>
      <c r="R1680" s="682"/>
      <c r="S1680" s="682"/>
      <c r="T1680" s="682"/>
      <c r="U1680" s="682"/>
      <c r="V1680" s="682"/>
      <c r="W1680" s="682"/>
    </row>
    <row r="1681" spans="1:23">
      <c r="A1681" s="1045">
        <f t="shared" si="26"/>
        <v>8</v>
      </c>
      <c r="B1681" s="134">
        <v>45509</v>
      </c>
      <c r="C1681" s="70">
        <v>2018</v>
      </c>
      <c r="D1681" s="70" t="s">
        <v>58</v>
      </c>
      <c r="E1681" s="280" t="s">
        <v>3830</v>
      </c>
      <c r="F1681" s="1049">
        <v>395</v>
      </c>
      <c r="G1681" s="1049"/>
      <c r="H1681" s="564"/>
      <c r="I1681" s="609"/>
      <c r="J1681" s="1155"/>
      <c r="K1681" s="609"/>
      <c r="L1681" s="609"/>
      <c r="M1681" s="609"/>
      <c r="N1681" s="599"/>
      <c r="O1681" s="552" t="s">
        <v>1584</v>
      </c>
      <c r="P1681" s="603"/>
      <c r="Q1681" s="682"/>
      <c r="R1681" s="682"/>
      <c r="S1681" s="682"/>
      <c r="T1681" s="682"/>
      <c r="U1681" s="682"/>
      <c r="V1681" s="682"/>
      <c r="W1681" s="682"/>
    </row>
    <row r="1682" spans="1:23">
      <c r="A1682" s="1045">
        <f t="shared" si="26"/>
        <v>8</v>
      </c>
      <c r="B1682" s="134">
        <v>45509</v>
      </c>
      <c r="C1682" s="70">
        <v>5250</v>
      </c>
      <c r="D1682" s="70" t="s">
        <v>85</v>
      </c>
      <c r="E1682" s="280" t="s">
        <v>3831</v>
      </c>
      <c r="F1682" s="1049">
        <v>760</v>
      </c>
      <c r="G1682" s="1049"/>
      <c r="H1682" s="564"/>
      <c r="I1682" s="609"/>
      <c r="J1682" s="1155"/>
      <c r="K1682" s="609"/>
      <c r="L1682" s="609"/>
      <c r="M1682" s="609"/>
      <c r="N1682" s="599"/>
      <c r="O1682" s="552" t="s">
        <v>1584</v>
      </c>
      <c r="P1682" s="603"/>
      <c r="Q1682" s="682"/>
      <c r="R1682" s="682"/>
      <c r="S1682" s="682"/>
      <c r="T1682" s="682"/>
      <c r="U1682" s="682"/>
      <c r="V1682" s="682"/>
      <c r="W1682" s="682"/>
    </row>
    <row r="1683" spans="1:23">
      <c r="A1683" s="1045">
        <f t="shared" si="26"/>
        <v>8</v>
      </c>
      <c r="B1683" s="134">
        <v>45509</v>
      </c>
      <c r="C1683" s="70">
        <v>2018</v>
      </c>
      <c r="D1683" s="70" t="s">
        <v>58</v>
      </c>
      <c r="E1683" s="280" t="s">
        <v>3831</v>
      </c>
      <c r="F1683" s="1049">
        <v>38</v>
      </c>
      <c r="G1683" s="1049"/>
      <c r="H1683" s="564"/>
      <c r="I1683" s="609"/>
      <c r="J1683" s="1155"/>
      <c r="K1683" s="609"/>
      <c r="L1683" s="609"/>
      <c r="M1683" s="609"/>
      <c r="N1683" s="599"/>
      <c r="O1683" s="552" t="s">
        <v>1584</v>
      </c>
      <c r="P1683" s="603"/>
      <c r="Q1683" s="682"/>
      <c r="R1683" s="682"/>
      <c r="S1683" s="682"/>
      <c r="T1683" s="682"/>
      <c r="U1683" s="682"/>
      <c r="V1683" s="682"/>
      <c r="W1683" s="682"/>
    </row>
    <row r="1684" spans="1:23">
      <c r="A1684" s="1045">
        <f t="shared" si="26"/>
        <v>8</v>
      </c>
      <c r="B1684" s="134">
        <v>45509</v>
      </c>
      <c r="C1684" s="70">
        <v>5250</v>
      </c>
      <c r="D1684" s="70" t="s">
        <v>85</v>
      </c>
      <c r="E1684" s="280" t="s">
        <v>3832</v>
      </c>
      <c r="F1684" s="1049">
        <v>3800</v>
      </c>
      <c r="G1684" s="1049"/>
      <c r="H1684" s="564"/>
      <c r="I1684" s="609"/>
      <c r="J1684" s="1155"/>
      <c r="K1684" s="609"/>
      <c r="L1684" s="609"/>
      <c r="M1684" s="609"/>
      <c r="N1684" s="599"/>
      <c r="O1684" s="552" t="s">
        <v>1584</v>
      </c>
      <c r="P1684" s="603"/>
      <c r="Q1684" s="682"/>
      <c r="R1684" s="682"/>
      <c r="S1684" s="682"/>
      <c r="T1684" s="682"/>
      <c r="U1684" s="682"/>
      <c r="V1684" s="682"/>
      <c r="W1684" s="682"/>
    </row>
    <row r="1685" spans="1:23">
      <c r="A1685" s="1045">
        <f t="shared" ref="A1685:A1748" si="27">IF(B1685="","",MONTH(B1685))</f>
        <v>8</v>
      </c>
      <c r="B1685" s="134">
        <v>45509</v>
      </c>
      <c r="C1685" s="70">
        <v>2018</v>
      </c>
      <c r="D1685" s="70" t="s">
        <v>58</v>
      </c>
      <c r="E1685" s="280" t="s">
        <v>3832</v>
      </c>
      <c r="F1685" s="1049">
        <v>190</v>
      </c>
      <c r="G1685" s="1049"/>
      <c r="H1685" s="564"/>
      <c r="I1685" s="609"/>
      <c r="J1685" s="1155"/>
      <c r="K1685" s="609"/>
      <c r="L1685" s="609"/>
      <c r="M1685" s="609"/>
      <c r="N1685" s="599"/>
      <c r="O1685" s="552" t="s">
        <v>1584</v>
      </c>
      <c r="P1685" s="603"/>
      <c r="Q1685" s="682"/>
      <c r="R1685" s="682"/>
      <c r="S1685" s="682"/>
      <c r="T1685" s="682"/>
      <c r="U1685" s="682"/>
      <c r="V1685" s="682"/>
      <c r="W1685" s="682"/>
    </row>
    <row r="1686" spans="1:23">
      <c r="A1686" s="1045">
        <f t="shared" si="27"/>
        <v>8</v>
      </c>
      <c r="B1686" s="134">
        <v>45509</v>
      </c>
      <c r="C1686" s="70">
        <v>5250</v>
      </c>
      <c r="D1686" s="70" t="s">
        <v>85</v>
      </c>
      <c r="E1686" s="280" t="s">
        <v>3833</v>
      </c>
      <c r="F1686" s="1049">
        <v>1140</v>
      </c>
      <c r="G1686" s="1049"/>
      <c r="H1686" s="564"/>
      <c r="I1686" s="609"/>
      <c r="J1686" s="1155"/>
      <c r="K1686" s="609"/>
      <c r="L1686" s="609"/>
      <c r="M1686" s="609"/>
      <c r="N1686" s="599"/>
      <c r="O1686" s="552" t="s">
        <v>1584</v>
      </c>
      <c r="P1686" s="603"/>
      <c r="Q1686" s="682"/>
      <c r="R1686" s="682"/>
      <c r="S1686" s="682"/>
      <c r="T1686" s="682"/>
      <c r="U1686" s="682"/>
      <c r="V1686" s="682"/>
      <c r="W1686" s="682"/>
    </row>
    <row r="1687" spans="1:23">
      <c r="A1687" s="1045">
        <f t="shared" si="27"/>
        <v>8</v>
      </c>
      <c r="B1687" s="134">
        <v>45509</v>
      </c>
      <c r="C1687" s="70">
        <v>2018</v>
      </c>
      <c r="D1687" s="70" t="s">
        <v>58</v>
      </c>
      <c r="E1687" s="280" t="s">
        <v>3833</v>
      </c>
      <c r="F1687" s="1049">
        <v>57</v>
      </c>
      <c r="G1687" s="1049"/>
      <c r="H1687" s="564"/>
      <c r="I1687" s="609"/>
      <c r="J1687" s="1155"/>
      <c r="K1687" s="609"/>
      <c r="L1687" s="609"/>
      <c r="M1687" s="609"/>
      <c r="N1687" s="599"/>
      <c r="O1687" s="552" t="s">
        <v>1584</v>
      </c>
      <c r="P1687" s="603"/>
      <c r="Q1687" s="682"/>
      <c r="R1687" s="682"/>
      <c r="S1687" s="682"/>
      <c r="T1687" s="682"/>
      <c r="U1687" s="682"/>
      <c r="V1687" s="682"/>
      <c r="W1687" s="682"/>
    </row>
    <row r="1688" spans="1:23">
      <c r="A1688" s="1045">
        <f t="shared" si="27"/>
        <v>8</v>
      </c>
      <c r="B1688" s="134">
        <v>45509</v>
      </c>
      <c r="C1688" s="70">
        <v>5250</v>
      </c>
      <c r="D1688" s="70" t="s">
        <v>85</v>
      </c>
      <c r="E1688" s="280" t="s">
        <v>3834</v>
      </c>
      <c r="F1688" s="1049">
        <v>10.88</v>
      </c>
      <c r="G1688" s="1049"/>
      <c r="H1688" s="564"/>
      <c r="I1688" s="609"/>
      <c r="J1688" s="1155"/>
      <c r="K1688" s="609"/>
      <c r="L1688" s="609"/>
      <c r="M1688" s="609"/>
      <c r="N1688" s="599"/>
      <c r="O1688" s="552" t="s">
        <v>1584</v>
      </c>
      <c r="P1688" s="603"/>
      <c r="Q1688" s="682"/>
      <c r="R1688" s="682"/>
      <c r="S1688" s="682"/>
      <c r="T1688" s="682"/>
      <c r="U1688" s="682"/>
      <c r="V1688" s="682"/>
      <c r="W1688" s="682"/>
    </row>
    <row r="1689" spans="1:23">
      <c r="A1689" s="1045">
        <f t="shared" si="27"/>
        <v>8</v>
      </c>
      <c r="B1689" s="134">
        <v>45509</v>
      </c>
      <c r="C1689" s="70">
        <v>2018</v>
      </c>
      <c r="D1689" s="70" t="s">
        <v>58</v>
      </c>
      <c r="E1689" s="280" t="s">
        <v>3834</v>
      </c>
      <c r="F1689" s="1049">
        <v>0.54</v>
      </c>
      <c r="G1689" s="1049"/>
      <c r="H1689" s="564"/>
      <c r="I1689" s="609"/>
      <c r="J1689" s="1155"/>
      <c r="K1689" s="609"/>
      <c r="L1689" s="609"/>
      <c r="M1689" s="609"/>
      <c r="N1689" s="599"/>
      <c r="O1689" s="552" t="s">
        <v>1584</v>
      </c>
      <c r="P1689" s="603"/>
      <c r="Q1689" s="682"/>
      <c r="R1689" s="682"/>
      <c r="S1689" s="682"/>
      <c r="T1689" s="682"/>
      <c r="U1689" s="682"/>
      <c r="V1689" s="682"/>
      <c r="W1689" s="682"/>
    </row>
    <row r="1690" spans="1:23">
      <c r="A1690" s="1045">
        <f t="shared" si="27"/>
        <v>8</v>
      </c>
      <c r="B1690" s="134">
        <v>45509</v>
      </c>
      <c r="C1690" s="70">
        <v>5250</v>
      </c>
      <c r="D1690" s="70" t="s">
        <v>85</v>
      </c>
      <c r="E1690" s="280" t="s">
        <v>3835</v>
      </c>
      <c r="F1690" s="1049">
        <v>26</v>
      </c>
      <c r="G1690" s="1049"/>
      <c r="H1690" s="564"/>
      <c r="I1690" s="609"/>
      <c r="J1690" s="1155"/>
      <c r="K1690" s="609"/>
      <c r="L1690" s="609"/>
      <c r="M1690" s="609"/>
      <c r="N1690" s="599"/>
      <c r="O1690" s="552" t="s">
        <v>1584</v>
      </c>
      <c r="P1690" s="603"/>
      <c r="Q1690" s="682"/>
      <c r="R1690" s="682"/>
      <c r="S1690" s="682"/>
      <c r="T1690" s="682"/>
      <c r="U1690" s="682"/>
      <c r="V1690" s="682"/>
      <c r="W1690" s="682"/>
    </row>
    <row r="1691" spans="1:23">
      <c r="A1691" s="1045">
        <f t="shared" si="27"/>
        <v>8</v>
      </c>
      <c r="B1691" s="134">
        <v>45509</v>
      </c>
      <c r="C1691" s="70">
        <v>2018</v>
      </c>
      <c r="D1691" s="70" t="s">
        <v>58</v>
      </c>
      <c r="E1691" s="280" t="s">
        <v>3835</v>
      </c>
      <c r="F1691" s="1049">
        <v>1.3</v>
      </c>
      <c r="G1691" s="1049"/>
      <c r="H1691" s="564"/>
      <c r="I1691" s="609"/>
      <c r="J1691" s="1155"/>
      <c r="K1691" s="609"/>
      <c r="L1691" s="609"/>
      <c r="M1691" s="609"/>
      <c r="N1691" s="599"/>
      <c r="O1691" s="552" t="s">
        <v>1584</v>
      </c>
      <c r="P1691" s="603"/>
      <c r="Q1691" s="682"/>
      <c r="R1691" s="682"/>
      <c r="S1691" s="682"/>
      <c r="T1691" s="682"/>
      <c r="U1691" s="682"/>
      <c r="V1691" s="682"/>
      <c r="W1691" s="682"/>
    </row>
    <row r="1692" spans="1:23">
      <c r="A1692" s="1045">
        <f t="shared" si="27"/>
        <v>8</v>
      </c>
      <c r="B1692" s="134">
        <v>45509</v>
      </c>
      <c r="C1692" s="70">
        <v>5250</v>
      </c>
      <c r="D1692" s="70" t="s">
        <v>85</v>
      </c>
      <c r="E1692" s="280" t="s">
        <v>3836</v>
      </c>
      <c r="F1692" s="1049">
        <v>29</v>
      </c>
      <c r="G1692" s="1049"/>
      <c r="H1692" s="564"/>
      <c r="I1692" s="609"/>
      <c r="J1692" s="1155"/>
      <c r="K1692" s="609"/>
      <c r="L1692" s="609"/>
      <c r="M1692" s="609"/>
      <c r="N1692" s="599"/>
      <c r="O1692" s="552" t="s">
        <v>1584</v>
      </c>
      <c r="P1692" s="603"/>
      <c r="Q1692" s="682"/>
      <c r="R1692" s="682"/>
      <c r="S1692" s="682"/>
      <c r="T1692" s="682"/>
      <c r="U1692" s="682"/>
      <c r="V1692" s="682"/>
      <c r="W1692" s="682"/>
    </row>
    <row r="1693" spans="1:23">
      <c r="A1693" s="1045">
        <f t="shared" si="27"/>
        <v>8</v>
      </c>
      <c r="B1693" s="134">
        <v>45509</v>
      </c>
      <c r="C1693" s="70">
        <v>2018</v>
      </c>
      <c r="D1693" s="70" t="s">
        <v>58</v>
      </c>
      <c r="E1693" s="280" t="s">
        <v>3836</v>
      </c>
      <c r="F1693" s="1049">
        <v>1.45</v>
      </c>
      <c r="G1693" s="1049"/>
      <c r="H1693" s="564"/>
      <c r="I1693" s="609"/>
      <c r="J1693" s="1155"/>
      <c r="K1693" s="609"/>
      <c r="L1693" s="609"/>
      <c r="M1693" s="609"/>
      <c r="N1693" s="599"/>
      <c r="O1693" s="552" t="s">
        <v>1584</v>
      </c>
      <c r="P1693" s="603"/>
      <c r="Q1693" s="682"/>
      <c r="R1693" s="682"/>
      <c r="S1693" s="682"/>
      <c r="T1693" s="682"/>
      <c r="U1693" s="682"/>
      <c r="V1693" s="682"/>
      <c r="W1693" s="682"/>
    </row>
    <row r="1694" spans="1:23">
      <c r="A1694" s="1045">
        <f t="shared" si="27"/>
        <v>8</v>
      </c>
      <c r="B1694" s="134">
        <v>45509</v>
      </c>
      <c r="C1694" s="70">
        <v>5250</v>
      </c>
      <c r="D1694" s="70" t="s">
        <v>85</v>
      </c>
      <c r="E1694" s="280" t="s">
        <v>3837</v>
      </c>
      <c r="F1694" s="1049">
        <v>62.62</v>
      </c>
      <c r="G1694" s="1049"/>
      <c r="H1694" s="564"/>
      <c r="I1694" s="609"/>
      <c r="J1694" s="1155"/>
      <c r="K1694" s="609"/>
      <c r="L1694" s="609"/>
      <c r="M1694" s="609"/>
      <c r="N1694" s="599"/>
      <c r="O1694" s="552" t="s">
        <v>1584</v>
      </c>
      <c r="P1694" s="603"/>
      <c r="Q1694" s="682"/>
      <c r="R1694" s="682"/>
      <c r="S1694" s="682"/>
      <c r="T1694" s="682"/>
      <c r="U1694" s="682"/>
      <c r="V1694" s="682"/>
      <c r="W1694" s="682"/>
    </row>
    <row r="1695" spans="1:23">
      <c r="A1695" s="1045">
        <f t="shared" si="27"/>
        <v>8</v>
      </c>
      <c r="B1695" s="134">
        <v>45509</v>
      </c>
      <c r="C1695" s="70">
        <v>2018</v>
      </c>
      <c r="D1695" s="70" t="s">
        <v>58</v>
      </c>
      <c r="E1695" s="280" t="s">
        <v>3837</v>
      </c>
      <c r="F1695" s="1049">
        <v>3.13</v>
      </c>
      <c r="G1695" s="1049"/>
      <c r="H1695" s="564"/>
      <c r="I1695" s="609"/>
      <c r="J1695" s="1155"/>
      <c r="K1695" s="609"/>
      <c r="L1695" s="609"/>
      <c r="M1695" s="609"/>
      <c r="N1695" s="599"/>
      <c r="O1695" s="552" t="s">
        <v>1584</v>
      </c>
      <c r="P1695" s="603"/>
      <c r="Q1695" s="682"/>
      <c r="R1695" s="682"/>
      <c r="S1695" s="682"/>
      <c r="T1695" s="682"/>
      <c r="U1695" s="682"/>
      <c r="V1695" s="682"/>
      <c r="W1695" s="682"/>
    </row>
    <row r="1696" spans="1:23">
      <c r="A1696" s="1045">
        <f t="shared" si="27"/>
        <v>8</v>
      </c>
      <c r="B1696" s="134">
        <v>45509</v>
      </c>
      <c r="C1696" s="70">
        <v>5250</v>
      </c>
      <c r="D1696" s="70" t="s">
        <v>85</v>
      </c>
      <c r="E1696" s="280" t="s">
        <v>3838</v>
      </c>
      <c r="F1696" s="1049">
        <v>47.57</v>
      </c>
      <c r="G1696" s="1049"/>
      <c r="H1696" s="564"/>
      <c r="I1696" s="609"/>
      <c r="J1696" s="1155"/>
      <c r="K1696" s="609"/>
      <c r="L1696" s="609"/>
      <c r="M1696" s="609"/>
      <c r="N1696" s="599"/>
      <c r="O1696" s="552" t="s">
        <v>1584</v>
      </c>
      <c r="P1696" s="603"/>
      <c r="Q1696" s="682"/>
      <c r="R1696" s="682"/>
      <c r="S1696" s="682"/>
      <c r="T1696" s="682"/>
      <c r="U1696" s="682"/>
      <c r="V1696" s="682"/>
      <c r="W1696" s="682"/>
    </row>
    <row r="1697" spans="1:23">
      <c r="A1697" s="1045">
        <f t="shared" si="27"/>
        <v>8</v>
      </c>
      <c r="B1697" s="134">
        <v>45509</v>
      </c>
      <c r="C1697" s="70">
        <v>2018</v>
      </c>
      <c r="D1697" s="70" t="s">
        <v>58</v>
      </c>
      <c r="E1697" s="280" t="s">
        <v>3838</v>
      </c>
      <c r="F1697" s="1049">
        <v>2.38</v>
      </c>
      <c r="G1697" s="1049"/>
      <c r="H1697" s="564"/>
      <c r="I1697" s="609"/>
      <c r="J1697" s="1155"/>
      <c r="K1697" s="609"/>
      <c r="L1697" s="609"/>
      <c r="M1697" s="609"/>
      <c r="N1697" s="599"/>
      <c r="O1697" s="552" t="s">
        <v>1584</v>
      </c>
      <c r="P1697" s="603"/>
      <c r="Q1697" s="682"/>
      <c r="R1697" s="682"/>
      <c r="S1697" s="682"/>
      <c r="T1697" s="682"/>
      <c r="U1697" s="682"/>
      <c r="V1697" s="682"/>
      <c r="W1697" s="682"/>
    </row>
    <row r="1698" spans="1:23">
      <c r="A1698" s="1045">
        <f t="shared" si="27"/>
        <v>8</v>
      </c>
      <c r="B1698" s="134">
        <v>45509</v>
      </c>
      <c r="C1698" s="70">
        <v>5250</v>
      </c>
      <c r="D1698" s="70" t="s">
        <v>85</v>
      </c>
      <c r="E1698" s="280" t="s">
        <v>3839</v>
      </c>
      <c r="F1698" s="1049">
        <v>80</v>
      </c>
      <c r="G1698" s="1049"/>
      <c r="H1698" s="564"/>
      <c r="I1698" s="609"/>
      <c r="J1698" s="1155"/>
      <c r="K1698" s="609"/>
      <c r="L1698" s="609"/>
      <c r="M1698" s="609"/>
      <c r="N1698" s="599"/>
      <c r="O1698" s="552" t="s">
        <v>1584</v>
      </c>
      <c r="P1698" s="603"/>
      <c r="Q1698" s="682"/>
      <c r="R1698" s="682"/>
      <c r="S1698" s="682"/>
      <c r="T1698" s="682"/>
      <c r="U1698" s="682"/>
      <c r="V1698" s="682"/>
      <c r="W1698" s="682"/>
    </row>
    <row r="1699" spans="1:23">
      <c r="A1699" s="1045">
        <f t="shared" si="27"/>
        <v>8</v>
      </c>
      <c r="B1699" s="134">
        <v>45509</v>
      </c>
      <c r="C1699" s="70">
        <v>2018</v>
      </c>
      <c r="D1699" s="70" t="s">
        <v>58</v>
      </c>
      <c r="E1699" s="280" t="s">
        <v>3839</v>
      </c>
      <c r="F1699" s="1049">
        <v>4</v>
      </c>
      <c r="G1699" s="1049"/>
      <c r="H1699" s="564"/>
      <c r="I1699" s="609"/>
      <c r="J1699" s="1155"/>
      <c r="K1699" s="609"/>
      <c r="L1699" s="609"/>
      <c r="M1699" s="609"/>
      <c r="N1699" s="599"/>
      <c r="O1699" s="552" t="s">
        <v>1584</v>
      </c>
      <c r="P1699" s="603"/>
      <c r="Q1699" s="682"/>
      <c r="R1699" s="682"/>
      <c r="S1699" s="682"/>
      <c r="T1699" s="682"/>
      <c r="U1699" s="682"/>
      <c r="V1699" s="682"/>
      <c r="W1699" s="682"/>
    </row>
    <row r="1700" spans="1:23">
      <c r="A1700" s="1045">
        <f t="shared" si="27"/>
        <v>8</v>
      </c>
      <c r="B1700" s="134">
        <v>45510</v>
      </c>
      <c r="C1700" s="70">
        <v>5200</v>
      </c>
      <c r="D1700" s="70" t="s">
        <v>83</v>
      </c>
      <c r="E1700" s="280" t="s">
        <v>3840</v>
      </c>
      <c r="F1700" s="1049">
        <v>52</v>
      </c>
      <c r="G1700" s="1049"/>
      <c r="H1700" s="564"/>
      <c r="I1700" s="609"/>
      <c r="J1700" s="1155"/>
      <c r="K1700" s="609"/>
      <c r="L1700" s="609"/>
      <c r="M1700" s="609"/>
      <c r="N1700" s="599"/>
      <c r="O1700" s="552" t="s">
        <v>1584</v>
      </c>
      <c r="P1700" s="603"/>
      <c r="Q1700" s="682"/>
      <c r="R1700" s="682"/>
      <c r="S1700" s="682"/>
      <c r="T1700" s="682"/>
      <c r="U1700" s="682"/>
      <c r="V1700" s="682"/>
      <c r="W1700" s="682"/>
    </row>
    <row r="1701" spans="1:23">
      <c r="A1701" s="1045">
        <f t="shared" si="27"/>
        <v>8</v>
      </c>
      <c r="B1701" s="134">
        <v>45510</v>
      </c>
      <c r="C1701" s="70">
        <v>2018</v>
      </c>
      <c r="D1701" s="70" t="s">
        <v>58</v>
      </c>
      <c r="E1701" s="280" t="s">
        <v>3840</v>
      </c>
      <c r="F1701" s="1049">
        <v>2.6</v>
      </c>
      <c r="G1701" s="1049"/>
      <c r="H1701" s="564"/>
      <c r="I1701" s="609"/>
      <c r="J1701" s="1155"/>
      <c r="K1701" s="609"/>
      <c r="L1701" s="609"/>
      <c r="M1701" s="609"/>
      <c r="N1701" s="599"/>
      <c r="O1701" s="552" t="s">
        <v>1584</v>
      </c>
      <c r="P1701" s="603"/>
      <c r="Q1701" s="682"/>
      <c r="R1701" s="682"/>
      <c r="S1701" s="682"/>
      <c r="T1701" s="682"/>
      <c r="U1701" s="682"/>
      <c r="V1701" s="682"/>
      <c r="W1701" s="682"/>
    </row>
    <row r="1702" spans="1:23">
      <c r="A1702" s="1045">
        <f t="shared" si="27"/>
        <v>8</v>
      </c>
      <c r="B1702" s="134">
        <v>45510</v>
      </c>
      <c r="C1702" s="70">
        <v>5250</v>
      </c>
      <c r="D1702" s="70" t="s">
        <v>85</v>
      </c>
      <c r="E1702" s="280" t="s">
        <v>3841</v>
      </c>
      <c r="F1702" s="1049">
        <v>35.799999999999997</v>
      </c>
      <c r="G1702" s="1049"/>
      <c r="H1702" s="564"/>
      <c r="I1702" s="609"/>
      <c r="J1702" s="1155"/>
      <c r="K1702" s="609"/>
      <c r="L1702" s="609"/>
      <c r="M1702" s="609"/>
      <c r="N1702" s="599"/>
      <c r="O1702" s="552" t="s">
        <v>1584</v>
      </c>
      <c r="P1702" s="603"/>
      <c r="Q1702" s="682"/>
      <c r="R1702" s="682"/>
      <c r="S1702" s="682"/>
      <c r="T1702" s="682"/>
      <c r="U1702" s="682"/>
      <c r="V1702" s="682"/>
      <c r="W1702" s="682"/>
    </row>
    <row r="1703" spans="1:23">
      <c r="A1703" s="1045">
        <f t="shared" si="27"/>
        <v>8</v>
      </c>
      <c r="B1703" s="134">
        <v>45510</v>
      </c>
      <c r="C1703" s="70">
        <v>2018</v>
      </c>
      <c r="D1703" s="70" t="s">
        <v>58</v>
      </c>
      <c r="E1703" s="280" t="s">
        <v>3841</v>
      </c>
      <c r="F1703" s="1049">
        <v>1.79</v>
      </c>
      <c r="G1703" s="1049"/>
      <c r="H1703" s="564"/>
      <c r="I1703" s="609"/>
      <c r="J1703" s="1155"/>
      <c r="K1703" s="609"/>
      <c r="L1703" s="609"/>
      <c r="M1703" s="609"/>
      <c r="N1703" s="599"/>
      <c r="O1703" s="552" t="s">
        <v>1584</v>
      </c>
      <c r="P1703" s="603"/>
      <c r="Q1703" s="682"/>
      <c r="R1703" s="682"/>
      <c r="S1703" s="682"/>
      <c r="T1703" s="682"/>
      <c r="U1703" s="682"/>
      <c r="V1703" s="682"/>
      <c r="W1703" s="682"/>
    </row>
    <row r="1704" spans="1:23">
      <c r="A1704" s="1045">
        <f t="shared" si="27"/>
        <v>8</v>
      </c>
      <c r="B1704" s="134">
        <v>45510</v>
      </c>
      <c r="C1704" s="70">
        <v>5250</v>
      </c>
      <c r="D1704" s="70" t="s">
        <v>85</v>
      </c>
      <c r="E1704" s="280" t="s">
        <v>3842</v>
      </c>
      <c r="F1704" s="1049">
        <v>217.8</v>
      </c>
      <c r="G1704" s="1049"/>
      <c r="H1704" s="564"/>
      <c r="I1704" s="609"/>
      <c r="J1704" s="1155"/>
      <c r="K1704" s="609"/>
      <c r="L1704" s="609"/>
      <c r="M1704" s="609"/>
      <c r="N1704" s="599"/>
      <c r="O1704" s="552" t="s">
        <v>1584</v>
      </c>
      <c r="P1704" s="603"/>
      <c r="Q1704" s="682"/>
      <c r="R1704" s="682"/>
      <c r="S1704" s="682"/>
      <c r="T1704" s="682"/>
      <c r="U1704" s="682"/>
      <c r="V1704" s="682"/>
      <c r="W1704" s="682"/>
    </row>
    <row r="1705" spans="1:23">
      <c r="A1705" s="1045">
        <f t="shared" si="27"/>
        <v>8</v>
      </c>
      <c r="B1705" s="134">
        <v>45510</v>
      </c>
      <c r="C1705" s="70">
        <v>2018</v>
      </c>
      <c r="D1705" s="70" t="s">
        <v>58</v>
      </c>
      <c r="E1705" s="280" t="s">
        <v>3842</v>
      </c>
      <c r="F1705" s="1049">
        <v>10.88</v>
      </c>
      <c r="G1705" s="1049"/>
      <c r="H1705" s="564"/>
      <c r="I1705" s="609"/>
      <c r="J1705" s="1155"/>
      <c r="K1705" s="609"/>
      <c r="L1705" s="609"/>
      <c r="M1705" s="609"/>
      <c r="N1705" s="599"/>
      <c r="O1705" s="552" t="s">
        <v>1584</v>
      </c>
      <c r="P1705" s="603"/>
      <c r="Q1705" s="682"/>
      <c r="R1705" s="682"/>
      <c r="S1705" s="682"/>
      <c r="T1705" s="682"/>
      <c r="U1705" s="682"/>
      <c r="V1705" s="682"/>
      <c r="W1705" s="682"/>
    </row>
    <row r="1706" spans="1:23">
      <c r="A1706" s="1045">
        <f t="shared" si="27"/>
        <v>8</v>
      </c>
      <c r="B1706" s="134">
        <v>45510</v>
      </c>
      <c r="C1706" s="70">
        <v>5250</v>
      </c>
      <c r="D1706" s="70" t="s">
        <v>85</v>
      </c>
      <c r="E1706" s="280" t="s">
        <v>3843</v>
      </c>
      <c r="F1706" s="1049">
        <v>774.75</v>
      </c>
      <c r="G1706" s="1049"/>
      <c r="H1706" s="564"/>
      <c r="I1706" s="609"/>
      <c r="J1706" s="1155"/>
      <c r="K1706" s="609"/>
      <c r="L1706" s="609"/>
      <c r="M1706" s="609"/>
      <c r="N1706" s="599"/>
      <c r="O1706" s="552" t="s">
        <v>1584</v>
      </c>
      <c r="P1706" s="603"/>
      <c r="Q1706" s="682"/>
      <c r="R1706" s="682"/>
      <c r="S1706" s="682"/>
      <c r="T1706" s="682"/>
      <c r="U1706" s="682"/>
      <c r="V1706" s="682"/>
      <c r="W1706" s="682"/>
    </row>
    <row r="1707" spans="1:23">
      <c r="A1707" s="1045">
        <f t="shared" si="27"/>
        <v>8</v>
      </c>
      <c r="B1707" s="134">
        <v>45510</v>
      </c>
      <c r="C1707" s="70">
        <v>2018</v>
      </c>
      <c r="D1707" s="70" t="s">
        <v>58</v>
      </c>
      <c r="E1707" s="280" t="s">
        <v>3843</v>
      </c>
      <c r="F1707" s="1049">
        <v>38.74</v>
      </c>
      <c r="G1707" s="1049"/>
      <c r="H1707" s="564"/>
      <c r="I1707" s="609"/>
      <c r="J1707" s="1155"/>
      <c r="K1707" s="609"/>
      <c r="L1707" s="609"/>
      <c r="M1707" s="609"/>
      <c r="N1707" s="599"/>
      <c r="O1707" s="552" t="s">
        <v>1584</v>
      </c>
      <c r="P1707" s="603"/>
      <c r="Q1707" s="682"/>
      <c r="R1707" s="682"/>
      <c r="S1707" s="682"/>
      <c r="T1707" s="682"/>
      <c r="U1707" s="682"/>
      <c r="V1707" s="682"/>
      <c r="W1707" s="682"/>
    </row>
    <row r="1708" spans="1:23">
      <c r="A1708" s="1045">
        <f t="shared" si="27"/>
        <v>8</v>
      </c>
      <c r="B1708" s="134">
        <v>45510</v>
      </c>
      <c r="C1708" s="70">
        <v>5250</v>
      </c>
      <c r="D1708" s="70" t="s">
        <v>85</v>
      </c>
      <c r="E1708" s="280" t="s">
        <v>3844</v>
      </c>
      <c r="F1708" s="1049">
        <v>12</v>
      </c>
      <c r="G1708" s="1049"/>
      <c r="H1708" s="564"/>
      <c r="I1708" s="609"/>
      <c r="J1708" s="1155"/>
      <c r="K1708" s="609"/>
      <c r="L1708" s="609"/>
      <c r="M1708" s="609"/>
      <c r="N1708" s="599"/>
      <c r="O1708" s="552" t="s">
        <v>1584</v>
      </c>
      <c r="P1708" s="603"/>
      <c r="Q1708" s="682"/>
      <c r="R1708" s="682"/>
      <c r="S1708" s="682"/>
      <c r="T1708" s="682"/>
      <c r="U1708" s="682"/>
      <c r="V1708" s="682"/>
      <c r="W1708" s="682"/>
    </row>
    <row r="1709" spans="1:23">
      <c r="A1709" s="1045">
        <f t="shared" si="27"/>
        <v>8</v>
      </c>
      <c r="B1709" s="134">
        <v>45510</v>
      </c>
      <c r="C1709" s="70">
        <v>2018</v>
      </c>
      <c r="D1709" s="70" t="s">
        <v>58</v>
      </c>
      <c r="E1709" s="280" t="s">
        <v>3844</v>
      </c>
      <c r="F1709" s="1049">
        <v>0.6</v>
      </c>
      <c r="G1709" s="1049"/>
      <c r="H1709" s="564"/>
      <c r="I1709" s="609"/>
      <c r="J1709" s="1155"/>
      <c r="K1709" s="609"/>
      <c r="L1709" s="609"/>
      <c r="M1709" s="609"/>
      <c r="N1709" s="599"/>
      <c r="O1709" s="552" t="s">
        <v>1584</v>
      </c>
      <c r="P1709" s="603"/>
      <c r="Q1709" s="682"/>
      <c r="R1709" s="682"/>
      <c r="S1709" s="682"/>
      <c r="T1709" s="682"/>
      <c r="U1709" s="682"/>
      <c r="V1709" s="682"/>
      <c r="W1709" s="682"/>
    </row>
    <row r="1710" spans="1:23">
      <c r="A1710" s="1045">
        <f t="shared" si="27"/>
        <v>8</v>
      </c>
      <c r="B1710" s="134">
        <v>45510</v>
      </c>
      <c r="C1710" s="70">
        <v>5250</v>
      </c>
      <c r="D1710" s="70" t="s">
        <v>85</v>
      </c>
      <c r="E1710" s="280" t="s">
        <v>3845</v>
      </c>
      <c r="F1710" s="1049">
        <v>96</v>
      </c>
      <c r="G1710" s="1049"/>
      <c r="H1710" s="564"/>
      <c r="I1710" s="609"/>
      <c r="J1710" s="1155"/>
      <c r="K1710" s="609"/>
      <c r="L1710" s="609"/>
      <c r="M1710" s="609"/>
      <c r="N1710" s="599"/>
      <c r="O1710" s="552" t="s">
        <v>1584</v>
      </c>
      <c r="P1710" s="603"/>
      <c r="Q1710" s="682"/>
      <c r="R1710" s="682"/>
      <c r="S1710" s="682"/>
      <c r="T1710" s="682"/>
      <c r="U1710" s="682"/>
      <c r="V1710" s="682"/>
      <c r="W1710" s="682"/>
    </row>
    <row r="1711" spans="1:23">
      <c r="A1711" s="1045">
        <f t="shared" si="27"/>
        <v>8</v>
      </c>
      <c r="B1711" s="134">
        <v>45510</v>
      </c>
      <c r="C1711" s="70">
        <v>2018</v>
      </c>
      <c r="D1711" s="70" t="s">
        <v>58</v>
      </c>
      <c r="E1711" s="280" t="s">
        <v>3845</v>
      </c>
      <c r="F1711" s="1049">
        <v>4.8</v>
      </c>
      <c r="G1711" s="1049"/>
      <c r="H1711" s="564"/>
      <c r="I1711" s="609"/>
      <c r="J1711" s="1155"/>
      <c r="K1711" s="609"/>
      <c r="L1711" s="609"/>
      <c r="M1711" s="609"/>
      <c r="N1711" s="599"/>
      <c r="O1711" s="552" t="s">
        <v>1584</v>
      </c>
      <c r="P1711" s="603"/>
      <c r="Q1711" s="682"/>
      <c r="R1711" s="682"/>
      <c r="S1711" s="682"/>
      <c r="T1711" s="682"/>
      <c r="U1711" s="682"/>
      <c r="V1711" s="682"/>
      <c r="W1711" s="682"/>
    </row>
    <row r="1712" spans="1:23">
      <c r="A1712" s="1045">
        <f t="shared" si="27"/>
        <v>8</v>
      </c>
      <c r="B1712" s="134">
        <v>45510</v>
      </c>
      <c r="C1712" s="70">
        <v>5250</v>
      </c>
      <c r="D1712" s="70" t="s">
        <v>85</v>
      </c>
      <c r="E1712" s="280" t="s">
        <v>3846</v>
      </c>
      <c r="F1712" s="1049">
        <v>100</v>
      </c>
      <c r="G1712" s="1049"/>
      <c r="H1712" s="564"/>
      <c r="I1712" s="609"/>
      <c r="J1712" s="1155"/>
      <c r="K1712" s="609"/>
      <c r="L1712" s="609"/>
      <c r="M1712" s="609"/>
      <c r="N1712" s="599"/>
      <c r="O1712" s="552" t="s">
        <v>1584</v>
      </c>
      <c r="P1712" s="603"/>
      <c r="Q1712" s="682"/>
      <c r="R1712" s="682"/>
      <c r="S1712" s="682"/>
      <c r="T1712" s="682"/>
      <c r="U1712" s="682"/>
      <c r="V1712" s="682"/>
      <c r="W1712" s="682"/>
    </row>
    <row r="1713" spans="1:23">
      <c r="A1713" s="1045">
        <f t="shared" si="27"/>
        <v>8</v>
      </c>
      <c r="B1713" s="134">
        <v>45510</v>
      </c>
      <c r="C1713" s="70">
        <v>2018</v>
      </c>
      <c r="D1713" s="70" t="s">
        <v>58</v>
      </c>
      <c r="E1713" s="280" t="s">
        <v>3846</v>
      </c>
      <c r="F1713" s="1049">
        <v>5</v>
      </c>
      <c r="G1713" s="1049"/>
      <c r="H1713" s="564"/>
      <c r="I1713" s="609"/>
      <c r="J1713" s="1155"/>
      <c r="K1713" s="609"/>
      <c r="L1713" s="609"/>
      <c r="M1713" s="609"/>
      <c r="N1713" s="599"/>
      <c r="O1713" s="552" t="s">
        <v>1584</v>
      </c>
      <c r="P1713" s="603"/>
      <c r="Q1713" s="682"/>
      <c r="R1713" s="682"/>
      <c r="S1713" s="682"/>
      <c r="T1713" s="682"/>
      <c r="U1713" s="682"/>
      <c r="V1713" s="682"/>
      <c r="W1713" s="682"/>
    </row>
    <row r="1714" spans="1:23">
      <c r="A1714" s="1045">
        <f t="shared" si="27"/>
        <v>8</v>
      </c>
      <c r="B1714" s="134">
        <v>45510</v>
      </c>
      <c r="C1714" s="70">
        <v>5250</v>
      </c>
      <c r="D1714" s="70" t="s">
        <v>85</v>
      </c>
      <c r="E1714" s="280" t="s">
        <v>3847</v>
      </c>
      <c r="F1714" s="1049">
        <v>296.24</v>
      </c>
      <c r="G1714" s="1049"/>
      <c r="H1714" s="564"/>
      <c r="I1714" s="609"/>
      <c r="J1714" s="1155"/>
      <c r="K1714" s="609"/>
      <c r="L1714" s="609"/>
      <c r="M1714" s="609"/>
      <c r="N1714" s="599"/>
      <c r="O1714" s="552" t="s">
        <v>1584</v>
      </c>
      <c r="P1714" s="603"/>
      <c r="Q1714" s="682"/>
      <c r="R1714" s="682"/>
      <c r="S1714" s="682"/>
      <c r="T1714" s="682"/>
      <c r="U1714" s="682"/>
      <c r="V1714" s="682"/>
      <c r="W1714" s="682"/>
    </row>
    <row r="1715" spans="1:23">
      <c r="A1715" s="1045">
        <f t="shared" si="27"/>
        <v>8</v>
      </c>
      <c r="B1715" s="134">
        <v>45510</v>
      </c>
      <c r="C1715" s="70">
        <v>2018</v>
      </c>
      <c r="D1715" s="70" t="s">
        <v>58</v>
      </c>
      <c r="E1715" s="280" t="s">
        <v>3847</v>
      </c>
      <c r="F1715" s="1049">
        <v>14.81</v>
      </c>
      <c r="G1715" s="1049"/>
      <c r="H1715" s="564"/>
      <c r="I1715" s="609"/>
      <c r="J1715" s="1155"/>
      <c r="K1715" s="609"/>
      <c r="L1715" s="609"/>
      <c r="M1715" s="609"/>
      <c r="N1715" s="599"/>
      <c r="O1715" s="552" t="s">
        <v>1584</v>
      </c>
      <c r="P1715" s="603"/>
      <c r="Q1715" s="682"/>
      <c r="R1715" s="682"/>
      <c r="S1715" s="682"/>
      <c r="T1715" s="682"/>
      <c r="U1715" s="682"/>
      <c r="V1715" s="682"/>
      <c r="W1715" s="682"/>
    </row>
    <row r="1716" spans="1:23">
      <c r="A1716" s="1045">
        <f t="shared" si="27"/>
        <v>8</v>
      </c>
      <c r="B1716" s="134">
        <v>45511</v>
      </c>
      <c r="C1716" s="70">
        <v>5250</v>
      </c>
      <c r="D1716" s="70" t="s">
        <v>85</v>
      </c>
      <c r="E1716" s="280" t="s">
        <v>3848</v>
      </c>
      <c r="F1716" s="1049">
        <v>114.29</v>
      </c>
      <c r="G1716" s="1049"/>
      <c r="H1716" s="564"/>
      <c r="I1716" s="609"/>
      <c r="J1716" s="1155"/>
      <c r="K1716" s="609"/>
      <c r="L1716" s="609"/>
      <c r="M1716" s="609"/>
      <c r="N1716" s="599"/>
      <c r="O1716" s="552" t="s">
        <v>1584</v>
      </c>
      <c r="P1716" s="603"/>
      <c r="Q1716" s="682"/>
      <c r="R1716" s="682"/>
      <c r="S1716" s="682"/>
      <c r="T1716" s="682"/>
      <c r="U1716" s="682"/>
      <c r="V1716" s="682"/>
      <c r="W1716" s="682"/>
    </row>
    <row r="1717" spans="1:23">
      <c r="A1717" s="1045">
        <f t="shared" si="27"/>
        <v>8</v>
      </c>
      <c r="B1717" s="134">
        <v>45511</v>
      </c>
      <c r="C1717" s="70">
        <v>2018</v>
      </c>
      <c r="D1717" s="70" t="s">
        <v>58</v>
      </c>
      <c r="E1717" s="280" t="s">
        <v>3848</v>
      </c>
      <c r="F1717" s="1049">
        <v>5.71</v>
      </c>
      <c r="G1717" s="1049"/>
      <c r="H1717" s="564"/>
      <c r="I1717" s="609"/>
      <c r="J1717" s="1155"/>
      <c r="K1717" s="609"/>
      <c r="L1717" s="609"/>
      <c r="M1717" s="609"/>
      <c r="N1717" s="599"/>
      <c r="O1717" s="552" t="s">
        <v>1584</v>
      </c>
      <c r="P1717" s="603"/>
      <c r="Q1717" s="682"/>
      <c r="R1717" s="682"/>
      <c r="S1717" s="682"/>
      <c r="T1717" s="682"/>
      <c r="U1717" s="682"/>
      <c r="V1717" s="682"/>
      <c r="W1717" s="682"/>
    </row>
    <row r="1718" spans="1:23">
      <c r="A1718" s="1045">
        <f t="shared" si="27"/>
        <v>8</v>
      </c>
      <c r="B1718" s="134">
        <v>45511</v>
      </c>
      <c r="C1718" s="70">
        <v>5200</v>
      </c>
      <c r="D1718" s="70" t="s">
        <v>83</v>
      </c>
      <c r="E1718" s="280" t="s">
        <v>3849</v>
      </c>
      <c r="F1718" s="1049">
        <v>1273.5999999999999</v>
      </c>
      <c r="G1718" s="1049"/>
      <c r="H1718" s="564"/>
      <c r="I1718" s="609"/>
      <c r="J1718" s="1155"/>
      <c r="K1718" s="609"/>
      <c r="L1718" s="609"/>
      <c r="M1718" s="609"/>
      <c r="N1718" s="599"/>
      <c r="O1718" s="552" t="s">
        <v>1584</v>
      </c>
      <c r="P1718" s="603"/>
      <c r="Q1718" s="682"/>
      <c r="R1718" s="682"/>
      <c r="S1718" s="682"/>
      <c r="T1718" s="682"/>
      <c r="U1718" s="682"/>
      <c r="V1718" s="682"/>
      <c r="W1718" s="682"/>
    </row>
    <row r="1719" spans="1:23">
      <c r="A1719" s="1045">
        <f t="shared" si="27"/>
        <v>8</v>
      </c>
      <c r="B1719" s="134">
        <v>45511</v>
      </c>
      <c r="C1719" s="70">
        <v>2018</v>
      </c>
      <c r="D1719" s="70" t="s">
        <v>58</v>
      </c>
      <c r="E1719" s="280" t="s">
        <v>3849</v>
      </c>
      <c r="F1719" s="1049">
        <v>63.68</v>
      </c>
      <c r="G1719" s="1049"/>
      <c r="H1719" s="564"/>
      <c r="I1719" s="609"/>
      <c r="J1719" s="1155"/>
      <c r="K1719" s="609"/>
      <c r="L1719" s="609"/>
      <c r="M1719" s="609"/>
      <c r="N1719" s="599"/>
      <c r="O1719" s="552" t="s">
        <v>1584</v>
      </c>
      <c r="P1719" s="603"/>
      <c r="Q1719" s="682"/>
      <c r="R1719" s="682"/>
      <c r="S1719" s="682"/>
      <c r="T1719" s="682"/>
      <c r="U1719" s="682"/>
      <c r="V1719" s="682"/>
      <c r="W1719" s="682"/>
    </row>
    <row r="1720" spans="1:23">
      <c r="A1720" s="1045">
        <f t="shared" si="27"/>
        <v>8</v>
      </c>
      <c r="B1720" s="134">
        <v>45511</v>
      </c>
      <c r="C1720" s="70">
        <v>5200</v>
      </c>
      <c r="D1720" s="70" t="s">
        <v>83</v>
      </c>
      <c r="E1720" s="280" t="s">
        <v>3850</v>
      </c>
      <c r="F1720" s="1049">
        <v>174.72</v>
      </c>
      <c r="G1720" s="1049"/>
      <c r="H1720" s="564"/>
      <c r="I1720" s="609"/>
      <c r="J1720" s="1155"/>
      <c r="K1720" s="609"/>
      <c r="L1720" s="609"/>
      <c r="M1720" s="609"/>
      <c r="N1720" s="599"/>
      <c r="O1720" s="552" t="s">
        <v>1584</v>
      </c>
      <c r="P1720" s="603"/>
      <c r="Q1720" s="682"/>
      <c r="R1720" s="682"/>
      <c r="S1720" s="682"/>
      <c r="T1720" s="682"/>
      <c r="U1720" s="682"/>
      <c r="V1720" s="682"/>
      <c r="W1720" s="682"/>
    </row>
    <row r="1721" spans="1:23">
      <c r="A1721" s="1045">
        <f t="shared" si="27"/>
        <v>8</v>
      </c>
      <c r="B1721" s="134">
        <v>45511</v>
      </c>
      <c r="C1721" s="70">
        <v>2018</v>
      </c>
      <c r="D1721" s="70" t="s">
        <v>58</v>
      </c>
      <c r="E1721" s="280" t="s">
        <v>3850</v>
      </c>
      <c r="F1721" s="1049">
        <v>8.75</v>
      </c>
      <c r="G1721" s="1049"/>
      <c r="H1721" s="564"/>
      <c r="I1721" s="609"/>
      <c r="J1721" s="1155"/>
      <c r="K1721" s="609"/>
      <c r="L1721" s="609"/>
      <c r="M1721" s="609"/>
      <c r="N1721" s="599"/>
      <c r="O1721" s="552" t="s">
        <v>1584</v>
      </c>
      <c r="P1721" s="603"/>
      <c r="Q1721" s="682"/>
      <c r="R1721" s="682"/>
      <c r="S1721" s="682"/>
      <c r="T1721" s="682"/>
      <c r="U1721" s="682"/>
      <c r="V1721" s="682"/>
      <c r="W1721" s="682"/>
    </row>
    <row r="1722" spans="1:23">
      <c r="A1722" s="1045">
        <f t="shared" si="27"/>
        <v>8</v>
      </c>
      <c r="B1722" s="134">
        <v>45511</v>
      </c>
      <c r="C1722" s="70">
        <v>5250</v>
      </c>
      <c r="D1722" s="70" t="s">
        <v>85</v>
      </c>
      <c r="E1722" s="280" t="s">
        <v>3851</v>
      </c>
      <c r="F1722" s="1049">
        <v>15</v>
      </c>
      <c r="G1722" s="1049"/>
      <c r="H1722" s="564"/>
      <c r="I1722" s="609"/>
      <c r="J1722" s="1155"/>
      <c r="K1722" s="609"/>
      <c r="L1722" s="609"/>
      <c r="M1722" s="609"/>
      <c r="N1722" s="599"/>
      <c r="O1722" s="552" t="s">
        <v>1584</v>
      </c>
      <c r="P1722" s="603"/>
      <c r="Q1722" s="682"/>
      <c r="R1722" s="682"/>
      <c r="S1722" s="682"/>
      <c r="T1722" s="682"/>
      <c r="U1722" s="682"/>
      <c r="V1722" s="682"/>
      <c r="W1722" s="682"/>
    </row>
    <row r="1723" spans="1:23">
      <c r="A1723" s="1045">
        <f t="shared" si="27"/>
        <v>8</v>
      </c>
      <c r="B1723" s="134">
        <v>45511</v>
      </c>
      <c r="C1723" s="70">
        <v>2018</v>
      </c>
      <c r="D1723" s="70" t="s">
        <v>58</v>
      </c>
      <c r="E1723" s="280" t="s">
        <v>3851</v>
      </c>
      <c r="F1723" s="1049">
        <v>0.75</v>
      </c>
      <c r="G1723" s="1049"/>
      <c r="H1723" s="564"/>
      <c r="I1723" s="609"/>
      <c r="J1723" s="1155"/>
      <c r="K1723" s="609"/>
      <c r="L1723" s="609"/>
      <c r="M1723" s="609"/>
      <c r="N1723" s="599"/>
      <c r="O1723" s="552" t="s">
        <v>1584</v>
      </c>
      <c r="P1723" s="603"/>
      <c r="Q1723" s="682"/>
      <c r="R1723" s="682"/>
      <c r="S1723" s="682"/>
      <c r="T1723" s="682"/>
      <c r="U1723" s="682"/>
      <c r="V1723" s="682"/>
      <c r="W1723" s="682"/>
    </row>
    <row r="1724" spans="1:23">
      <c r="A1724" s="1045">
        <f t="shared" si="27"/>
        <v>8</v>
      </c>
      <c r="B1724" s="134">
        <v>45511</v>
      </c>
      <c r="C1724" s="70">
        <v>5250</v>
      </c>
      <c r="D1724" s="70" t="s">
        <v>85</v>
      </c>
      <c r="E1724" s="280" t="s">
        <v>3852</v>
      </c>
      <c r="F1724" s="1049">
        <v>14.29</v>
      </c>
      <c r="G1724" s="1049"/>
      <c r="H1724" s="564"/>
      <c r="I1724" s="609"/>
      <c r="J1724" s="1155"/>
      <c r="K1724" s="609"/>
      <c r="L1724" s="609"/>
      <c r="M1724" s="609"/>
      <c r="N1724" s="599"/>
      <c r="O1724" s="552" t="s">
        <v>1584</v>
      </c>
      <c r="P1724" s="603"/>
      <c r="Q1724" s="682"/>
      <c r="R1724" s="682"/>
      <c r="S1724" s="682"/>
      <c r="T1724" s="682"/>
      <c r="U1724" s="682"/>
      <c r="V1724" s="682"/>
      <c r="W1724" s="682"/>
    </row>
    <row r="1725" spans="1:23">
      <c r="A1725" s="1045">
        <f t="shared" si="27"/>
        <v>8</v>
      </c>
      <c r="B1725" s="134">
        <v>45511</v>
      </c>
      <c r="C1725" s="70">
        <v>2018</v>
      </c>
      <c r="D1725" s="70" t="s">
        <v>58</v>
      </c>
      <c r="E1725" s="280" t="s">
        <v>3852</v>
      </c>
      <c r="F1725" s="1049">
        <v>0.71</v>
      </c>
      <c r="G1725" s="1049"/>
      <c r="H1725" s="564"/>
      <c r="I1725" s="609"/>
      <c r="J1725" s="1155"/>
      <c r="K1725" s="609"/>
      <c r="L1725" s="609"/>
      <c r="M1725" s="609"/>
      <c r="N1725" s="599"/>
      <c r="O1725" s="552" t="s">
        <v>1584</v>
      </c>
      <c r="P1725" s="603"/>
      <c r="Q1725" s="682"/>
      <c r="R1725" s="682"/>
      <c r="S1725" s="682"/>
      <c r="T1725" s="682"/>
      <c r="U1725" s="682"/>
      <c r="V1725" s="682"/>
      <c r="W1725" s="682"/>
    </row>
    <row r="1726" spans="1:23">
      <c r="A1726" s="1045">
        <f t="shared" si="27"/>
        <v>8</v>
      </c>
      <c r="B1726" s="134">
        <v>45511</v>
      </c>
      <c r="C1726" s="70">
        <v>5250</v>
      </c>
      <c r="D1726" s="70" t="s">
        <v>85</v>
      </c>
      <c r="E1726" s="280" t="s">
        <v>3853</v>
      </c>
      <c r="F1726" s="1049">
        <v>290</v>
      </c>
      <c r="G1726" s="1049"/>
      <c r="H1726" s="564"/>
      <c r="I1726" s="609"/>
      <c r="J1726" s="1155"/>
      <c r="K1726" s="609"/>
      <c r="L1726" s="609"/>
      <c r="M1726" s="609"/>
      <c r="N1726" s="599"/>
      <c r="O1726" s="552" t="s">
        <v>1584</v>
      </c>
      <c r="P1726" s="603"/>
      <c r="Q1726" s="682"/>
      <c r="R1726" s="682"/>
      <c r="S1726" s="682"/>
      <c r="T1726" s="682"/>
      <c r="U1726" s="682"/>
      <c r="V1726" s="682"/>
      <c r="W1726" s="682"/>
    </row>
    <row r="1727" spans="1:23">
      <c r="A1727" s="1045">
        <f t="shared" si="27"/>
        <v>8</v>
      </c>
      <c r="B1727" s="134">
        <v>45511</v>
      </c>
      <c r="C1727" s="70">
        <v>2018</v>
      </c>
      <c r="D1727" s="70" t="s">
        <v>58</v>
      </c>
      <c r="E1727" s="280" t="s">
        <v>3853</v>
      </c>
      <c r="F1727" s="1049">
        <v>14.5</v>
      </c>
      <c r="G1727" s="1049"/>
      <c r="H1727" s="564"/>
      <c r="I1727" s="609"/>
      <c r="J1727" s="1155"/>
      <c r="K1727" s="609"/>
      <c r="L1727" s="609"/>
      <c r="M1727" s="609"/>
      <c r="N1727" s="599"/>
      <c r="O1727" s="552" t="s">
        <v>1584</v>
      </c>
      <c r="P1727" s="603"/>
      <c r="Q1727" s="682"/>
      <c r="R1727" s="682"/>
      <c r="S1727" s="682"/>
      <c r="T1727" s="682"/>
      <c r="U1727" s="682"/>
      <c r="V1727" s="682"/>
      <c r="W1727" s="682"/>
    </row>
    <row r="1728" spans="1:23">
      <c r="A1728" s="1045">
        <f t="shared" si="27"/>
        <v>8</v>
      </c>
      <c r="B1728" s="134">
        <v>45511</v>
      </c>
      <c r="C1728" s="70">
        <v>5250</v>
      </c>
      <c r="D1728" s="70" t="s">
        <v>85</v>
      </c>
      <c r="E1728" s="280" t="s">
        <v>3854</v>
      </c>
      <c r="F1728" s="1049">
        <v>18.88</v>
      </c>
      <c r="G1728" s="1049"/>
      <c r="H1728" s="564"/>
      <c r="I1728" s="609"/>
      <c r="J1728" s="1155"/>
      <c r="K1728" s="609"/>
      <c r="L1728" s="609"/>
      <c r="M1728" s="609"/>
      <c r="N1728" s="599"/>
      <c r="O1728" s="552" t="s">
        <v>1584</v>
      </c>
      <c r="P1728" s="603"/>
      <c r="Q1728" s="682"/>
      <c r="R1728" s="682"/>
      <c r="S1728" s="682"/>
      <c r="T1728" s="682"/>
      <c r="U1728" s="682"/>
      <c r="V1728" s="682"/>
      <c r="W1728" s="682"/>
    </row>
    <row r="1729" spans="1:23">
      <c r="A1729" s="1045">
        <f t="shared" si="27"/>
        <v>8</v>
      </c>
      <c r="B1729" s="134">
        <v>45511</v>
      </c>
      <c r="C1729" s="70">
        <v>2018</v>
      </c>
      <c r="D1729" s="70" t="s">
        <v>58</v>
      </c>
      <c r="E1729" s="280" t="s">
        <v>3854</v>
      </c>
      <c r="F1729" s="1049">
        <v>0.94</v>
      </c>
      <c r="G1729" s="1049"/>
      <c r="H1729" s="564"/>
      <c r="I1729" s="609"/>
      <c r="J1729" s="1155"/>
      <c r="K1729" s="609"/>
      <c r="L1729" s="609"/>
      <c r="M1729" s="609"/>
      <c r="N1729" s="599"/>
      <c r="O1729" s="552" t="s">
        <v>1584</v>
      </c>
      <c r="P1729" s="603"/>
      <c r="Q1729" s="682"/>
      <c r="R1729" s="682"/>
      <c r="S1729" s="682"/>
      <c r="T1729" s="682"/>
      <c r="U1729" s="682"/>
      <c r="V1729" s="682"/>
      <c r="W1729" s="682"/>
    </row>
    <row r="1730" spans="1:23">
      <c r="A1730" s="1045">
        <f t="shared" si="27"/>
        <v>8</v>
      </c>
      <c r="B1730" s="134">
        <v>45511</v>
      </c>
      <c r="C1730" s="70">
        <v>5250</v>
      </c>
      <c r="D1730" s="70" t="s">
        <v>85</v>
      </c>
      <c r="E1730" s="280" t="s">
        <v>3855</v>
      </c>
      <c r="F1730" s="1049">
        <v>8.4</v>
      </c>
      <c r="G1730" s="1049"/>
      <c r="H1730" s="564"/>
      <c r="I1730" s="609"/>
      <c r="J1730" s="1155"/>
      <c r="K1730" s="609"/>
      <c r="L1730" s="609"/>
      <c r="M1730" s="609"/>
      <c r="N1730" s="599"/>
      <c r="O1730" s="552" t="s">
        <v>1584</v>
      </c>
      <c r="P1730" s="603"/>
      <c r="Q1730" s="682"/>
      <c r="R1730" s="682"/>
      <c r="S1730" s="682"/>
      <c r="T1730" s="682"/>
      <c r="U1730" s="682"/>
      <c r="V1730" s="682"/>
      <c r="W1730" s="682"/>
    </row>
    <row r="1731" spans="1:23">
      <c r="A1731" s="1045">
        <f t="shared" si="27"/>
        <v>8</v>
      </c>
      <c r="B1731" s="134">
        <v>45511</v>
      </c>
      <c r="C1731" s="70">
        <v>2018</v>
      </c>
      <c r="D1731" s="70" t="s">
        <v>58</v>
      </c>
      <c r="E1731" s="280" t="s">
        <v>3855</v>
      </c>
      <c r="F1731" s="1049">
        <v>0.4</v>
      </c>
      <c r="G1731" s="1049"/>
      <c r="H1731" s="564"/>
      <c r="I1731" s="609"/>
      <c r="J1731" s="1155"/>
      <c r="K1731" s="609"/>
      <c r="L1731" s="609"/>
      <c r="M1731" s="609"/>
      <c r="N1731" s="599"/>
      <c r="O1731" s="552" t="s">
        <v>1584</v>
      </c>
      <c r="P1731" s="603"/>
      <c r="Q1731" s="682"/>
      <c r="R1731" s="682"/>
      <c r="S1731" s="682"/>
      <c r="T1731" s="682"/>
      <c r="U1731" s="682"/>
      <c r="V1731" s="682"/>
      <c r="W1731" s="682"/>
    </row>
    <row r="1732" spans="1:23">
      <c r="A1732" s="1045">
        <f t="shared" si="27"/>
        <v>8</v>
      </c>
      <c r="B1732" s="134">
        <v>45511</v>
      </c>
      <c r="C1732" s="70">
        <v>5250</v>
      </c>
      <c r="D1732" s="70" t="s">
        <v>85</v>
      </c>
      <c r="E1732" s="280" t="s">
        <v>3856</v>
      </c>
      <c r="F1732" s="1049">
        <v>30</v>
      </c>
      <c r="G1732" s="1049"/>
      <c r="H1732" s="564"/>
      <c r="I1732" s="609"/>
      <c r="J1732" s="1155"/>
      <c r="K1732" s="609"/>
      <c r="L1732" s="609"/>
      <c r="M1732" s="609"/>
      <c r="N1732" s="599"/>
      <c r="O1732" s="552" t="s">
        <v>1584</v>
      </c>
      <c r="P1732" s="603"/>
      <c r="Q1732" s="682"/>
      <c r="R1732" s="682"/>
      <c r="S1732" s="682"/>
      <c r="T1732" s="682"/>
      <c r="U1732" s="682"/>
      <c r="V1732" s="682"/>
      <c r="W1732" s="682"/>
    </row>
    <row r="1733" spans="1:23">
      <c r="A1733" s="1045">
        <f t="shared" si="27"/>
        <v>8</v>
      </c>
      <c r="B1733" s="134">
        <v>45511</v>
      </c>
      <c r="C1733" s="70">
        <v>2018</v>
      </c>
      <c r="D1733" s="70" t="s">
        <v>58</v>
      </c>
      <c r="E1733" s="280" t="s">
        <v>3856</v>
      </c>
      <c r="F1733" s="1049">
        <v>1.5</v>
      </c>
      <c r="G1733" s="1049"/>
      <c r="H1733" s="564"/>
      <c r="I1733" s="609"/>
      <c r="J1733" s="1155"/>
      <c r="K1733" s="609"/>
      <c r="L1733" s="609"/>
      <c r="M1733" s="609"/>
      <c r="N1733" s="599"/>
      <c r="O1733" s="552" t="s">
        <v>1584</v>
      </c>
      <c r="P1733" s="603"/>
      <c r="Q1733" s="682"/>
      <c r="R1733" s="682"/>
      <c r="S1733" s="682"/>
      <c r="T1733" s="682"/>
      <c r="U1733" s="682"/>
      <c r="V1733" s="682"/>
      <c r="W1733" s="682"/>
    </row>
    <row r="1734" spans="1:23">
      <c r="A1734" s="1045">
        <f t="shared" si="27"/>
        <v>8</v>
      </c>
      <c r="B1734" s="134">
        <v>45511</v>
      </c>
      <c r="C1734" s="70">
        <v>5250</v>
      </c>
      <c r="D1734" s="70" t="s">
        <v>85</v>
      </c>
      <c r="E1734" s="280" t="s">
        <v>3857</v>
      </c>
      <c r="F1734" s="1049">
        <v>38.119999999999997</v>
      </c>
      <c r="G1734" s="1049"/>
      <c r="H1734" s="564"/>
      <c r="I1734" s="609"/>
      <c r="J1734" s="1155"/>
      <c r="K1734" s="609"/>
      <c r="L1734" s="609"/>
      <c r="M1734" s="609"/>
      <c r="N1734" s="599"/>
      <c r="O1734" s="552" t="s">
        <v>1584</v>
      </c>
      <c r="P1734" s="603"/>
      <c r="Q1734" s="682"/>
      <c r="R1734" s="682"/>
      <c r="S1734" s="682"/>
      <c r="T1734" s="682"/>
      <c r="U1734" s="682"/>
      <c r="V1734" s="682"/>
      <c r="W1734" s="682"/>
    </row>
    <row r="1735" spans="1:23">
      <c r="A1735" s="1045">
        <f t="shared" si="27"/>
        <v>8</v>
      </c>
      <c r="B1735" s="134">
        <v>45511</v>
      </c>
      <c r="C1735" s="70">
        <v>2018</v>
      </c>
      <c r="D1735" s="70" t="s">
        <v>58</v>
      </c>
      <c r="E1735" s="280" t="s">
        <v>3857</v>
      </c>
      <c r="F1735" s="1049">
        <v>1.91</v>
      </c>
      <c r="G1735" s="1049"/>
      <c r="H1735" s="564"/>
      <c r="I1735" s="609"/>
      <c r="J1735" s="1155"/>
      <c r="K1735" s="609"/>
      <c r="L1735" s="609"/>
      <c r="M1735" s="609"/>
      <c r="N1735" s="599"/>
      <c r="O1735" s="552" t="s">
        <v>1584</v>
      </c>
      <c r="P1735" s="603"/>
      <c r="Q1735" s="682"/>
      <c r="R1735" s="682"/>
      <c r="S1735" s="682"/>
      <c r="T1735" s="682"/>
      <c r="U1735" s="682"/>
      <c r="V1735" s="682"/>
      <c r="W1735" s="682"/>
    </row>
    <row r="1736" spans="1:23">
      <c r="A1736" s="1045">
        <f t="shared" si="27"/>
        <v>8</v>
      </c>
      <c r="B1736" s="134">
        <v>45511</v>
      </c>
      <c r="C1736" s="70">
        <v>5250</v>
      </c>
      <c r="D1736" s="70" t="s">
        <v>85</v>
      </c>
      <c r="E1736" s="280" t="s">
        <v>3858</v>
      </c>
      <c r="F1736" s="1049">
        <v>134.28</v>
      </c>
      <c r="G1736" s="1049"/>
      <c r="H1736" s="564"/>
      <c r="I1736" s="609"/>
      <c r="J1736" s="1155"/>
      <c r="K1736" s="609"/>
      <c r="L1736" s="609"/>
      <c r="M1736" s="609"/>
      <c r="N1736" s="599"/>
      <c r="O1736" s="552" t="s">
        <v>1584</v>
      </c>
      <c r="P1736" s="603"/>
      <c r="Q1736" s="682"/>
      <c r="R1736" s="682"/>
      <c r="S1736" s="682"/>
      <c r="T1736" s="682"/>
      <c r="U1736" s="682"/>
      <c r="V1736" s="682"/>
      <c r="W1736" s="682"/>
    </row>
    <row r="1737" spans="1:23">
      <c r="A1737" s="1045">
        <f t="shared" si="27"/>
        <v>8</v>
      </c>
      <c r="B1737" s="134">
        <v>45511</v>
      </c>
      <c r="C1737" s="70">
        <v>2018</v>
      </c>
      <c r="D1737" s="70" t="s">
        <v>58</v>
      </c>
      <c r="E1737" s="280" t="s">
        <v>3858</v>
      </c>
      <c r="F1737" s="1049">
        <v>6.71</v>
      </c>
      <c r="G1737" s="1049"/>
      <c r="H1737" s="564"/>
      <c r="I1737" s="609"/>
      <c r="J1737" s="1155"/>
      <c r="K1737" s="609"/>
      <c r="L1737" s="609"/>
      <c r="M1737" s="609"/>
      <c r="N1737" s="599"/>
      <c r="O1737" s="552" t="s">
        <v>1584</v>
      </c>
      <c r="P1737" s="603"/>
      <c r="Q1737" s="682"/>
      <c r="R1737" s="682"/>
      <c r="S1737" s="682"/>
      <c r="T1737" s="682"/>
      <c r="U1737" s="682"/>
      <c r="V1737" s="682"/>
      <c r="W1737" s="682"/>
    </row>
    <row r="1738" spans="1:23">
      <c r="A1738" s="1045">
        <f t="shared" si="27"/>
        <v>8</v>
      </c>
      <c r="B1738" s="134">
        <v>45512</v>
      </c>
      <c r="C1738" s="70">
        <v>5250</v>
      </c>
      <c r="D1738" s="70" t="s">
        <v>85</v>
      </c>
      <c r="E1738" s="280" t="s">
        <v>3859</v>
      </c>
      <c r="F1738" s="1049">
        <v>35</v>
      </c>
      <c r="G1738" s="1049"/>
      <c r="H1738" s="564"/>
      <c r="I1738" s="609"/>
      <c r="J1738" s="1155"/>
      <c r="K1738" s="609"/>
      <c r="L1738" s="609"/>
      <c r="M1738" s="609"/>
      <c r="N1738" s="599"/>
      <c r="O1738" s="552" t="s">
        <v>1584</v>
      </c>
      <c r="P1738" s="603"/>
      <c r="Q1738" s="682"/>
      <c r="R1738" s="682"/>
      <c r="S1738" s="682"/>
      <c r="T1738" s="682"/>
      <c r="U1738" s="682"/>
      <c r="V1738" s="682"/>
      <c r="W1738" s="682"/>
    </row>
    <row r="1739" spans="1:23">
      <c r="A1739" s="1045">
        <f t="shared" si="27"/>
        <v>8</v>
      </c>
      <c r="B1739" s="134">
        <v>45512</v>
      </c>
      <c r="C1739" s="70">
        <v>2018</v>
      </c>
      <c r="D1739" s="70" t="s">
        <v>58</v>
      </c>
      <c r="E1739" s="280" t="s">
        <v>3859</v>
      </c>
      <c r="F1739" s="1049">
        <v>1.75</v>
      </c>
      <c r="G1739" s="1049"/>
      <c r="H1739" s="564"/>
      <c r="I1739" s="609"/>
      <c r="J1739" s="1155"/>
      <c r="K1739" s="609"/>
      <c r="L1739" s="609"/>
      <c r="M1739" s="609"/>
      <c r="N1739" s="599"/>
      <c r="O1739" s="552" t="s">
        <v>1584</v>
      </c>
      <c r="P1739" s="603"/>
      <c r="Q1739" s="682"/>
      <c r="R1739" s="682"/>
      <c r="S1739" s="682"/>
      <c r="T1739" s="682"/>
      <c r="U1739" s="682"/>
      <c r="V1739" s="682"/>
      <c r="W1739" s="682"/>
    </row>
    <row r="1740" spans="1:23">
      <c r="A1740" s="1045">
        <f t="shared" si="27"/>
        <v>8</v>
      </c>
      <c r="B1740" s="134">
        <v>45512</v>
      </c>
      <c r="C1740" s="70">
        <v>5200</v>
      </c>
      <c r="D1740" s="70" t="s">
        <v>83</v>
      </c>
      <c r="E1740" s="280" t="s">
        <v>3860</v>
      </c>
      <c r="F1740" s="1049">
        <v>244</v>
      </c>
      <c r="G1740" s="1049"/>
      <c r="H1740" s="564"/>
      <c r="I1740" s="609"/>
      <c r="J1740" s="1155"/>
      <c r="K1740" s="609"/>
      <c r="L1740" s="609"/>
      <c r="M1740" s="609"/>
      <c r="N1740" s="599"/>
      <c r="O1740" s="552" t="s">
        <v>1584</v>
      </c>
      <c r="P1740" s="603"/>
      <c r="Q1740" s="682"/>
      <c r="R1740" s="682"/>
      <c r="S1740" s="682"/>
      <c r="T1740" s="682"/>
      <c r="U1740" s="682"/>
      <c r="V1740" s="682"/>
      <c r="W1740" s="682"/>
    </row>
    <row r="1741" spans="1:23">
      <c r="A1741" s="1045">
        <f t="shared" si="27"/>
        <v>8</v>
      </c>
      <c r="B1741" s="134">
        <v>45512</v>
      </c>
      <c r="C1741" s="70">
        <v>2018</v>
      </c>
      <c r="D1741" s="70" t="s">
        <v>58</v>
      </c>
      <c r="E1741" s="280" t="s">
        <v>3860</v>
      </c>
      <c r="F1741" s="1049">
        <v>12.2</v>
      </c>
      <c r="G1741" s="1049"/>
      <c r="H1741" s="564"/>
      <c r="I1741" s="609"/>
      <c r="J1741" s="1155"/>
      <c r="K1741" s="609"/>
      <c r="L1741" s="609"/>
      <c r="M1741" s="609"/>
      <c r="N1741" s="599"/>
      <c r="O1741" s="552" t="s">
        <v>1584</v>
      </c>
      <c r="P1741" s="603"/>
      <c r="Q1741" s="682"/>
      <c r="R1741" s="682"/>
      <c r="S1741" s="682"/>
      <c r="T1741" s="682"/>
      <c r="U1741" s="682"/>
      <c r="V1741" s="682"/>
      <c r="W1741" s="682"/>
    </row>
    <row r="1742" spans="1:23">
      <c r="A1742" s="1045">
        <f t="shared" si="27"/>
        <v>8</v>
      </c>
      <c r="B1742" s="134">
        <v>45512</v>
      </c>
      <c r="C1742" s="70">
        <v>5250</v>
      </c>
      <c r="D1742" s="70" t="s">
        <v>85</v>
      </c>
      <c r="E1742" s="280" t="s">
        <v>3861</v>
      </c>
      <c r="F1742" s="1049">
        <v>20</v>
      </c>
      <c r="G1742" s="1049"/>
      <c r="H1742" s="564"/>
      <c r="I1742" s="609"/>
      <c r="J1742" s="1155"/>
      <c r="K1742" s="609"/>
      <c r="L1742" s="609"/>
      <c r="M1742" s="609"/>
      <c r="N1742" s="599"/>
      <c r="O1742" s="552" t="s">
        <v>1584</v>
      </c>
      <c r="P1742" s="603"/>
      <c r="Q1742" s="682"/>
      <c r="R1742" s="682"/>
      <c r="S1742" s="682"/>
      <c r="T1742" s="682"/>
      <c r="U1742" s="682"/>
      <c r="V1742" s="682"/>
      <c r="W1742" s="682"/>
    </row>
    <row r="1743" spans="1:23">
      <c r="A1743" s="1045">
        <f t="shared" si="27"/>
        <v>8</v>
      </c>
      <c r="B1743" s="134">
        <v>45512</v>
      </c>
      <c r="C1743" s="70">
        <v>5250</v>
      </c>
      <c r="D1743" s="70" t="s">
        <v>85</v>
      </c>
      <c r="E1743" s="280" t="s">
        <v>3862</v>
      </c>
      <c r="F1743" s="1049">
        <v>35</v>
      </c>
      <c r="G1743" s="1049"/>
      <c r="H1743" s="564"/>
      <c r="I1743" s="609"/>
      <c r="J1743" s="1155"/>
      <c r="K1743" s="609"/>
      <c r="L1743" s="609"/>
      <c r="M1743" s="609"/>
      <c r="N1743" s="599"/>
      <c r="O1743" s="552" t="s">
        <v>1584</v>
      </c>
      <c r="P1743" s="603"/>
      <c r="Q1743" s="682"/>
      <c r="R1743" s="682"/>
      <c r="S1743" s="682"/>
      <c r="T1743" s="682"/>
      <c r="U1743" s="682"/>
      <c r="V1743" s="682"/>
      <c r="W1743" s="682"/>
    </row>
    <row r="1744" spans="1:23">
      <c r="A1744" s="1045">
        <f t="shared" si="27"/>
        <v>8</v>
      </c>
      <c r="B1744" s="134">
        <v>45512</v>
      </c>
      <c r="C1744" s="70">
        <v>5250</v>
      </c>
      <c r="D1744" s="70" t="s">
        <v>85</v>
      </c>
      <c r="E1744" s="280" t="s">
        <v>3863</v>
      </c>
      <c r="F1744" s="1049">
        <v>169.52</v>
      </c>
      <c r="G1744" s="1049"/>
      <c r="H1744" s="564"/>
      <c r="I1744" s="609"/>
      <c r="J1744" s="1155"/>
      <c r="K1744" s="609"/>
      <c r="L1744" s="609"/>
      <c r="M1744" s="609"/>
      <c r="N1744" s="599"/>
      <c r="O1744" s="552" t="s">
        <v>1584</v>
      </c>
      <c r="P1744" s="603"/>
      <c r="Q1744" s="682"/>
      <c r="R1744" s="682"/>
      <c r="S1744" s="682"/>
      <c r="T1744" s="682"/>
      <c r="U1744" s="682"/>
      <c r="V1744" s="682"/>
      <c r="W1744" s="682"/>
    </row>
    <row r="1745" spans="1:23">
      <c r="A1745" s="1045">
        <f t="shared" si="27"/>
        <v>8</v>
      </c>
      <c r="B1745" s="134">
        <v>45512</v>
      </c>
      <c r="C1745" s="70">
        <v>2018</v>
      </c>
      <c r="D1745" s="70" t="s">
        <v>58</v>
      </c>
      <c r="E1745" s="280" t="s">
        <v>3863</v>
      </c>
      <c r="F1745" s="1049">
        <v>8.48</v>
      </c>
      <c r="G1745" s="1049"/>
      <c r="H1745" s="564"/>
      <c r="I1745" s="609"/>
      <c r="J1745" s="1155"/>
      <c r="K1745" s="609"/>
      <c r="L1745" s="609"/>
      <c r="M1745" s="609"/>
      <c r="N1745" s="599"/>
      <c r="O1745" s="552" t="s">
        <v>1584</v>
      </c>
      <c r="P1745" s="603"/>
      <c r="Q1745" s="682"/>
      <c r="R1745" s="682"/>
      <c r="S1745" s="682"/>
      <c r="T1745" s="682"/>
      <c r="U1745" s="682"/>
      <c r="V1745" s="682"/>
      <c r="W1745" s="682"/>
    </row>
    <row r="1746" spans="1:23">
      <c r="A1746" s="1045">
        <f t="shared" si="27"/>
        <v>8</v>
      </c>
      <c r="B1746" s="134">
        <v>45512</v>
      </c>
      <c r="C1746" s="70">
        <v>5250</v>
      </c>
      <c r="D1746" s="70" t="s">
        <v>85</v>
      </c>
      <c r="E1746" s="280" t="s">
        <v>3864</v>
      </c>
      <c r="F1746" s="1049">
        <v>1040</v>
      </c>
      <c r="G1746" s="1049"/>
      <c r="H1746" s="564"/>
      <c r="I1746" s="609"/>
      <c r="J1746" s="1155"/>
      <c r="K1746" s="609"/>
      <c r="L1746" s="609"/>
      <c r="M1746" s="609"/>
      <c r="N1746" s="599"/>
      <c r="O1746" s="552" t="s">
        <v>1584</v>
      </c>
      <c r="P1746" s="603"/>
      <c r="Q1746" s="682"/>
      <c r="R1746" s="682"/>
      <c r="S1746" s="682"/>
      <c r="T1746" s="682"/>
      <c r="U1746" s="682"/>
      <c r="V1746" s="682"/>
      <c r="W1746" s="682"/>
    </row>
    <row r="1747" spans="1:23">
      <c r="A1747" s="1045">
        <f t="shared" si="27"/>
        <v>8</v>
      </c>
      <c r="B1747" s="134">
        <v>45512</v>
      </c>
      <c r="C1747" s="70">
        <v>2018</v>
      </c>
      <c r="D1747" s="70" t="s">
        <v>58</v>
      </c>
      <c r="E1747" s="280" t="s">
        <v>3864</v>
      </c>
      <c r="F1747" s="1049">
        <v>52</v>
      </c>
      <c r="G1747" s="1049"/>
      <c r="H1747" s="564"/>
      <c r="I1747" s="609"/>
      <c r="J1747" s="1155"/>
      <c r="K1747" s="609"/>
      <c r="L1747" s="609"/>
      <c r="M1747" s="609"/>
      <c r="N1747" s="599"/>
      <c r="O1747" s="552" t="s">
        <v>1584</v>
      </c>
      <c r="P1747" s="603"/>
      <c r="Q1747" s="682"/>
      <c r="R1747" s="682"/>
      <c r="S1747" s="682"/>
      <c r="T1747" s="682"/>
      <c r="U1747" s="682"/>
      <c r="V1747" s="682"/>
      <c r="W1747" s="682"/>
    </row>
    <row r="1748" spans="1:23">
      <c r="A1748" s="1045">
        <f t="shared" si="27"/>
        <v>8</v>
      </c>
      <c r="B1748" s="134">
        <v>45513</v>
      </c>
      <c r="C1748" s="70">
        <v>5250</v>
      </c>
      <c r="D1748" s="70" t="s">
        <v>85</v>
      </c>
      <c r="E1748" s="280" t="s">
        <v>3865</v>
      </c>
      <c r="F1748" s="1049">
        <v>340</v>
      </c>
      <c r="G1748" s="1049"/>
      <c r="H1748" s="564"/>
      <c r="I1748" s="609"/>
      <c r="J1748" s="1155"/>
      <c r="K1748" s="609"/>
      <c r="L1748" s="609"/>
      <c r="M1748" s="609"/>
      <c r="N1748" s="599"/>
      <c r="O1748" s="552" t="s">
        <v>1584</v>
      </c>
      <c r="P1748" s="603"/>
      <c r="Q1748" s="682"/>
      <c r="R1748" s="682"/>
      <c r="S1748" s="682"/>
      <c r="T1748" s="682"/>
      <c r="U1748" s="682"/>
      <c r="V1748" s="682"/>
      <c r="W1748" s="682"/>
    </row>
    <row r="1749" spans="1:23">
      <c r="A1749" s="1045">
        <f t="shared" ref="A1749:A1812" si="28">IF(B1749="","",MONTH(B1749))</f>
        <v>8</v>
      </c>
      <c r="B1749" s="134">
        <v>45513</v>
      </c>
      <c r="C1749" s="70">
        <v>2018</v>
      </c>
      <c r="D1749" s="70" t="s">
        <v>58</v>
      </c>
      <c r="E1749" s="280" t="s">
        <v>3865</v>
      </c>
      <c r="F1749" s="1049">
        <v>17</v>
      </c>
      <c r="G1749" s="1049"/>
      <c r="H1749" s="564"/>
      <c r="I1749" s="609"/>
      <c r="J1749" s="1155"/>
      <c r="K1749" s="609"/>
      <c r="L1749" s="609"/>
      <c r="M1749" s="609"/>
      <c r="N1749" s="599"/>
      <c r="O1749" s="552" t="s">
        <v>1584</v>
      </c>
      <c r="P1749" s="603"/>
      <c r="Q1749" s="682"/>
      <c r="R1749" s="682"/>
      <c r="S1749" s="682"/>
      <c r="T1749" s="682"/>
      <c r="U1749" s="682"/>
      <c r="V1749" s="682"/>
      <c r="W1749" s="682"/>
    </row>
    <row r="1750" spans="1:23">
      <c r="A1750" s="1045">
        <f t="shared" si="28"/>
        <v>8</v>
      </c>
      <c r="B1750" s="134">
        <v>45513</v>
      </c>
      <c r="C1750" s="70">
        <v>5250</v>
      </c>
      <c r="D1750" s="70" t="s">
        <v>85</v>
      </c>
      <c r="E1750" s="280" t="s">
        <v>3866</v>
      </c>
      <c r="F1750" s="1049">
        <v>108</v>
      </c>
      <c r="G1750" s="1049"/>
      <c r="H1750" s="564"/>
      <c r="I1750" s="609"/>
      <c r="J1750" s="1155"/>
      <c r="K1750" s="609"/>
      <c r="L1750" s="609"/>
      <c r="M1750" s="609"/>
      <c r="N1750" s="599"/>
      <c r="O1750" s="552" t="s">
        <v>1584</v>
      </c>
      <c r="P1750" s="603"/>
      <c r="Q1750" s="682"/>
      <c r="R1750" s="682"/>
      <c r="S1750" s="682"/>
      <c r="T1750" s="682"/>
      <c r="U1750" s="682"/>
      <c r="V1750" s="682"/>
      <c r="W1750" s="682"/>
    </row>
    <row r="1751" spans="1:23">
      <c r="A1751" s="1045">
        <f t="shared" si="28"/>
        <v>8</v>
      </c>
      <c r="B1751" s="134">
        <v>45513</v>
      </c>
      <c r="C1751" s="70">
        <v>2018</v>
      </c>
      <c r="D1751" s="70" t="s">
        <v>58</v>
      </c>
      <c r="E1751" s="280" t="s">
        <v>3866</v>
      </c>
      <c r="F1751" s="1049">
        <v>5.4</v>
      </c>
      <c r="G1751" s="1049"/>
      <c r="H1751" s="564"/>
      <c r="I1751" s="609"/>
      <c r="J1751" s="1155"/>
      <c r="K1751" s="609"/>
      <c r="L1751" s="609"/>
      <c r="M1751" s="609"/>
      <c r="N1751" s="599"/>
      <c r="O1751" s="552" t="s">
        <v>1584</v>
      </c>
      <c r="P1751" s="603"/>
      <c r="Q1751" s="682"/>
      <c r="R1751" s="682"/>
      <c r="S1751" s="682"/>
      <c r="T1751" s="682"/>
      <c r="U1751" s="682"/>
      <c r="V1751" s="682"/>
      <c r="W1751" s="682"/>
    </row>
    <row r="1752" spans="1:23">
      <c r="A1752" s="1045">
        <f t="shared" si="28"/>
        <v>8</v>
      </c>
      <c r="B1752" s="134">
        <v>45513</v>
      </c>
      <c r="C1752" s="70">
        <v>5250</v>
      </c>
      <c r="D1752" s="70" t="s">
        <v>85</v>
      </c>
      <c r="E1752" s="280" t="s">
        <v>3867</v>
      </c>
      <c r="F1752" s="1049">
        <v>40</v>
      </c>
      <c r="G1752" s="1049"/>
      <c r="H1752" s="564"/>
      <c r="I1752" s="609"/>
      <c r="J1752" s="1155"/>
      <c r="K1752" s="609"/>
      <c r="L1752" s="609"/>
      <c r="M1752" s="609"/>
      <c r="N1752" s="599"/>
      <c r="O1752" s="552" t="s">
        <v>1584</v>
      </c>
      <c r="P1752" s="603"/>
      <c r="Q1752" s="682"/>
      <c r="R1752" s="682"/>
      <c r="S1752" s="682"/>
      <c r="T1752" s="682"/>
      <c r="U1752" s="682"/>
      <c r="V1752" s="682"/>
      <c r="W1752" s="682"/>
    </row>
    <row r="1753" spans="1:23">
      <c r="A1753" s="1045">
        <f t="shared" si="28"/>
        <v>8</v>
      </c>
      <c r="B1753" s="134">
        <v>45513</v>
      </c>
      <c r="C1753" s="70">
        <v>2018</v>
      </c>
      <c r="D1753" s="70" t="s">
        <v>58</v>
      </c>
      <c r="E1753" s="280" t="s">
        <v>3867</v>
      </c>
      <c r="F1753" s="1049">
        <v>2</v>
      </c>
      <c r="G1753" s="1049"/>
      <c r="H1753" s="564"/>
      <c r="I1753" s="609"/>
      <c r="J1753" s="1155"/>
      <c r="K1753" s="609"/>
      <c r="L1753" s="609"/>
      <c r="M1753" s="609"/>
      <c r="N1753" s="599"/>
      <c r="O1753" s="552" t="s">
        <v>1584</v>
      </c>
      <c r="P1753" s="603"/>
      <c r="Q1753" s="682"/>
      <c r="R1753" s="682"/>
      <c r="S1753" s="682"/>
      <c r="T1753" s="682"/>
      <c r="U1753" s="682"/>
      <c r="V1753" s="682"/>
      <c r="W1753" s="682"/>
    </row>
    <row r="1754" spans="1:23">
      <c r="A1754" s="1045">
        <f t="shared" si="28"/>
        <v>8</v>
      </c>
      <c r="B1754" s="134">
        <v>45513</v>
      </c>
      <c r="C1754" s="70">
        <v>5250</v>
      </c>
      <c r="D1754" s="70" t="s">
        <v>85</v>
      </c>
      <c r="E1754" s="280" t="s">
        <v>3868</v>
      </c>
      <c r="F1754" s="1049">
        <v>1275.24</v>
      </c>
      <c r="G1754" s="1049"/>
      <c r="H1754" s="564"/>
      <c r="I1754" s="609"/>
      <c r="J1754" s="1155"/>
      <c r="K1754" s="609"/>
      <c r="L1754" s="609"/>
      <c r="M1754" s="609"/>
      <c r="N1754" s="599"/>
      <c r="O1754" s="552" t="s">
        <v>1584</v>
      </c>
      <c r="P1754" s="603"/>
      <c r="Q1754" s="682"/>
      <c r="R1754" s="682"/>
      <c r="S1754" s="682"/>
      <c r="T1754" s="682"/>
      <c r="U1754" s="682"/>
      <c r="V1754" s="682"/>
      <c r="W1754" s="682"/>
    </row>
    <row r="1755" spans="1:23">
      <c r="A1755" s="1045">
        <f t="shared" si="28"/>
        <v>8</v>
      </c>
      <c r="B1755" s="134">
        <v>45513</v>
      </c>
      <c r="C1755" s="70">
        <v>2018</v>
      </c>
      <c r="D1755" s="70" t="s">
        <v>58</v>
      </c>
      <c r="E1755" s="280" t="s">
        <v>3868</v>
      </c>
      <c r="F1755" s="1049">
        <v>63.76</v>
      </c>
      <c r="G1755" s="1049"/>
      <c r="H1755" s="564"/>
      <c r="I1755" s="609"/>
      <c r="J1755" s="1155"/>
      <c r="K1755" s="609"/>
      <c r="L1755" s="609"/>
      <c r="M1755" s="609"/>
      <c r="N1755" s="599"/>
      <c r="O1755" s="552" t="s">
        <v>1584</v>
      </c>
      <c r="P1755" s="603"/>
      <c r="Q1755" s="682"/>
      <c r="R1755" s="682"/>
      <c r="S1755" s="682"/>
      <c r="T1755" s="682"/>
      <c r="U1755" s="682"/>
      <c r="V1755" s="682"/>
      <c r="W1755" s="682"/>
    </row>
    <row r="1756" spans="1:23">
      <c r="A1756" s="1045">
        <f t="shared" si="28"/>
        <v>8</v>
      </c>
      <c r="B1756" s="134">
        <v>45513</v>
      </c>
      <c r="C1756" s="70">
        <v>5250</v>
      </c>
      <c r="D1756" s="70" t="s">
        <v>85</v>
      </c>
      <c r="E1756" s="280" t="s">
        <v>3869</v>
      </c>
      <c r="F1756" s="1049">
        <v>58.08</v>
      </c>
      <c r="G1756" s="1049"/>
      <c r="H1756" s="564"/>
      <c r="I1756" s="609"/>
      <c r="J1756" s="1155"/>
      <c r="K1756" s="609"/>
      <c r="L1756" s="609"/>
      <c r="M1756" s="609"/>
      <c r="N1756" s="599"/>
      <c r="O1756" s="552" t="s">
        <v>1584</v>
      </c>
      <c r="P1756" s="603"/>
      <c r="Q1756" s="682"/>
      <c r="R1756" s="682"/>
      <c r="S1756" s="682"/>
      <c r="T1756" s="682"/>
      <c r="U1756" s="682"/>
      <c r="V1756" s="682"/>
      <c r="W1756" s="682"/>
    </row>
    <row r="1757" spans="1:23">
      <c r="A1757" s="1045">
        <f t="shared" si="28"/>
        <v>8</v>
      </c>
      <c r="B1757" s="134">
        <v>45513</v>
      </c>
      <c r="C1757" s="70">
        <v>2018</v>
      </c>
      <c r="D1757" s="70" t="s">
        <v>58</v>
      </c>
      <c r="E1757" s="280" t="s">
        <v>3869</v>
      </c>
      <c r="F1757" s="1049">
        <v>2.9</v>
      </c>
      <c r="G1757" s="1049"/>
      <c r="H1757" s="564"/>
      <c r="I1757" s="609"/>
      <c r="J1757" s="1155"/>
      <c r="K1757" s="609"/>
      <c r="L1757" s="609"/>
      <c r="M1757" s="609"/>
      <c r="N1757" s="599"/>
      <c r="O1757" s="552" t="s">
        <v>1584</v>
      </c>
      <c r="P1757" s="603"/>
      <c r="Q1757" s="682"/>
      <c r="R1757" s="682"/>
      <c r="S1757" s="682"/>
      <c r="T1757" s="682"/>
      <c r="U1757" s="682"/>
      <c r="V1757" s="682"/>
      <c r="W1757" s="682"/>
    </row>
    <row r="1758" spans="1:23">
      <c r="A1758" s="1045">
        <f t="shared" si="28"/>
        <v>8</v>
      </c>
      <c r="B1758" s="134">
        <v>45514</v>
      </c>
      <c r="C1758" s="70">
        <v>5250</v>
      </c>
      <c r="D1758" s="70" t="s">
        <v>85</v>
      </c>
      <c r="E1758" s="280" t="s">
        <v>3870</v>
      </c>
      <c r="F1758" s="1049">
        <v>35</v>
      </c>
      <c r="G1758" s="1049"/>
      <c r="H1758" s="564"/>
      <c r="I1758" s="609"/>
      <c r="J1758" s="1155"/>
      <c r="K1758" s="609"/>
      <c r="L1758" s="609"/>
      <c r="M1758" s="609"/>
      <c r="N1758" s="599"/>
      <c r="O1758" s="552" t="s">
        <v>1584</v>
      </c>
      <c r="P1758" s="603"/>
      <c r="Q1758" s="682"/>
      <c r="R1758" s="682"/>
      <c r="S1758" s="682"/>
      <c r="T1758" s="682"/>
      <c r="U1758" s="682"/>
      <c r="V1758" s="682"/>
      <c r="W1758" s="682"/>
    </row>
    <row r="1759" spans="1:23">
      <c r="A1759" s="1045">
        <f t="shared" si="28"/>
        <v>8</v>
      </c>
      <c r="B1759" s="134">
        <v>45514</v>
      </c>
      <c r="C1759" s="70">
        <v>2018</v>
      </c>
      <c r="D1759" s="70" t="s">
        <v>58</v>
      </c>
      <c r="E1759" s="280" t="s">
        <v>3870</v>
      </c>
      <c r="F1759" s="1049">
        <v>1.75</v>
      </c>
      <c r="G1759" s="1049"/>
      <c r="H1759" s="564"/>
      <c r="I1759" s="609"/>
      <c r="J1759" s="1155"/>
      <c r="K1759" s="609"/>
      <c r="L1759" s="609"/>
      <c r="M1759" s="609"/>
      <c r="N1759" s="599"/>
      <c r="O1759" s="552" t="s">
        <v>1584</v>
      </c>
      <c r="P1759" s="603"/>
      <c r="Q1759" s="682"/>
      <c r="R1759" s="682"/>
      <c r="S1759" s="682"/>
      <c r="T1759" s="682"/>
      <c r="U1759" s="682"/>
      <c r="V1759" s="682"/>
      <c r="W1759" s="682"/>
    </row>
    <row r="1760" spans="1:23">
      <c r="A1760" s="1045">
        <f t="shared" si="28"/>
        <v>8</v>
      </c>
      <c r="B1760" s="134">
        <v>45514</v>
      </c>
      <c r="C1760" s="70">
        <v>5250</v>
      </c>
      <c r="D1760" s="70" t="s">
        <v>85</v>
      </c>
      <c r="E1760" s="280" t="s">
        <v>3871</v>
      </c>
      <c r="F1760" s="1049">
        <v>114.29</v>
      </c>
      <c r="G1760" s="1049"/>
      <c r="H1760" s="564"/>
      <c r="I1760" s="609"/>
      <c r="J1760" s="1155"/>
      <c r="K1760" s="609"/>
      <c r="L1760" s="609"/>
      <c r="M1760" s="609"/>
      <c r="N1760" s="599"/>
      <c r="O1760" s="552" t="s">
        <v>1584</v>
      </c>
      <c r="P1760" s="603"/>
      <c r="Q1760" s="682"/>
      <c r="R1760" s="682"/>
      <c r="S1760" s="682"/>
      <c r="T1760" s="682"/>
      <c r="U1760" s="682"/>
      <c r="V1760" s="682"/>
      <c r="W1760" s="682"/>
    </row>
    <row r="1761" spans="1:23">
      <c r="A1761" s="1045">
        <f t="shared" si="28"/>
        <v>8</v>
      </c>
      <c r="B1761" s="134">
        <v>45514</v>
      </c>
      <c r="C1761" s="70">
        <v>2018</v>
      </c>
      <c r="D1761" s="70" t="s">
        <v>58</v>
      </c>
      <c r="E1761" s="280" t="s">
        <v>3871</v>
      </c>
      <c r="F1761" s="1049">
        <v>5.71</v>
      </c>
      <c r="G1761" s="1049"/>
      <c r="H1761" s="564"/>
      <c r="I1761" s="609"/>
      <c r="J1761" s="1155"/>
      <c r="K1761" s="609"/>
      <c r="L1761" s="609"/>
      <c r="M1761" s="609"/>
      <c r="N1761" s="599"/>
      <c r="O1761" s="552" t="s">
        <v>1584</v>
      </c>
      <c r="P1761" s="603"/>
      <c r="Q1761" s="682"/>
      <c r="R1761" s="682"/>
      <c r="S1761" s="682"/>
      <c r="T1761" s="682"/>
      <c r="U1761" s="682"/>
      <c r="V1761" s="682"/>
      <c r="W1761" s="682"/>
    </row>
    <row r="1762" spans="1:23">
      <c r="A1762" s="1045">
        <f t="shared" si="28"/>
        <v>8</v>
      </c>
      <c r="B1762" s="134">
        <v>45514</v>
      </c>
      <c r="C1762" s="70">
        <v>5250</v>
      </c>
      <c r="D1762" s="70" t="s">
        <v>85</v>
      </c>
      <c r="E1762" s="280" t="s">
        <v>3872</v>
      </c>
      <c r="F1762" s="1049">
        <v>369</v>
      </c>
      <c r="G1762" s="1049"/>
      <c r="H1762" s="564"/>
      <c r="I1762" s="609"/>
      <c r="J1762" s="1155"/>
      <c r="K1762" s="609"/>
      <c r="L1762" s="609"/>
      <c r="M1762" s="609"/>
      <c r="N1762" s="599"/>
      <c r="O1762" s="552" t="s">
        <v>1584</v>
      </c>
      <c r="P1762" s="603"/>
      <c r="Q1762" s="682"/>
      <c r="R1762" s="682"/>
      <c r="S1762" s="682"/>
      <c r="T1762" s="682"/>
      <c r="U1762" s="682"/>
      <c r="V1762" s="682"/>
      <c r="W1762" s="682"/>
    </row>
    <row r="1763" spans="1:23">
      <c r="A1763" s="1045">
        <f t="shared" si="28"/>
        <v>8</v>
      </c>
      <c r="B1763" s="134">
        <v>45514</v>
      </c>
      <c r="C1763" s="70">
        <v>2018</v>
      </c>
      <c r="D1763" s="70" t="s">
        <v>58</v>
      </c>
      <c r="E1763" s="280" t="s">
        <v>3872</v>
      </c>
      <c r="F1763" s="1049">
        <v>18.45</v>
      </c>
      <c r="G1763" s="1049"/>
      <c r="H1763" s="564"/>
      <c r="I1763" s="609"/>
      <c r="J1763" s="1155"/>
      <c r="K1763" s="609"/>
      <c r="L1763" s="609"/>
      <c r="M1763" s="609"/>
      <c r="N1763" s="599"/>
      <c r="O1763" s="552" t="s">
        <v>1584</v>
      </c>
      <c r="P1763" s="603"/>
      <c r="Q1763" s="682"/>
      <c r="R1763" s="682"/>
      <c r="S1763" s="682"/>
      <c r="T1763" s="682"/>
      <c r="U1763" s="682"/>
      <c r="V1763" s="682"/>
      <c r="W1763" s="682"/>
    </row>
    <row r="1764" spans="1:23">
      <c r="A1764" s="1045">
        <f t="shared" si="28"/>
        <v>8</v>
      </c>
      <c r="B1764" s="134">
        <v>45514</v>
      </c>
      <c r="C1764" s="70">
        <v>5220</v>
      </c>
      <c r="D1764" s="70" t="s">
        <v>84</v>
      </c>
      <c r="E1764" s="280" t="s">
        <v>3873</v>
      </c>
      <c r="F1764" s="1049">
        <v>1755</v>
      </c>
      <c r="G1764" s="1049"/>
      <c r="H1764" s="564"/>
      <c r="I1764" s="609"/>
      <c r="J1764" s="1155"/>
      <c r="K1764" s="609"/>
      <c r="L1764" s="609"/>
      <c r="M1764" s="609"/>
      <c r="N1764" s="599"/>
      <c r="O1764" s="552" t="s">
        <v>1584</v>
      </c>
      <c r="P1764" s="603"/>
      <c r="Q1764" s="682"/>
      <c r="R1764" s="682"/>
      <c r="S1764" s="682"/>
      <c r="T1764" s="682"/>
      <c r="U1764" s="682"/>
      <c r="V1764" s="682"/>
      <c r="W1764" s="682"/>
    </row>
    <row r="1765" spans="1:23">
      <c r="A1765" s="1045">
        <f t="shared" si="28"/>
        <v>8</v>
      </c>
      <c r="B1765" s="134">
        <v>45514</v>
      </c>
      <c r="C1765" s="70">
        <v>2018</v>
      </c>
      <c r="D1765" s="70" t="s">
        <v>58</v>
      </c>
      <c r="E1765" s="280" t="s">
        <v>3873</v>
      </c>
      <c r="F1765" s="1049">
        <v>87.75</v>
      </c>
      <c r="G1765" s="1049"/>
      <c r="H1765" s="564"/>
      <c r="I1765" s="609"/>
      <c r="J1765" s="1155"/>
      <c r="K1765" s="609"/>
      <c r="L1765" s="609"/>
      <c r="M1765" s="609"/>
      <c r="N1765" s="599"/>
      <c r="O1765" s="552" t="s">
        <v>1584</v>
      </c>
      <c r="P1765" s="603"/>
      <c r="Q1765" s="682"/>
      <c r="R1765" s="682"/>
      <c r="S1765" s="682"/>
      <c r="T1765" s="682"/>
      <c r="U1765" s="682"/>
      <c r="V1765" s="682"/>
      <c r="W1765" s="682"/>
    </row>
    <row r="1766" spans="1:23">
      <c r="A1766" s="1045">
        <f t="shared" si="28"/>
        <v>8</v>
      </c>
      <c r="B1766" s="134">
        <v>45514</v>
      </c>
      <c r="C1766" s="70">
        <v>5220</v>
      </c>
      <c r="D1766" s="70" t="s">
        <v>84</v>
      </c>
      <c r="E1766" s="280" t="s">
        <v>3874</v>
      </c>
      <c r="F1766" s="1049">
        <v>360</v>
      </c>
      <c r="G1766" s="1049"/>
      <c r="H1766" s="564"/>
      <c r="I1766" s="609"/>
      <c r="J1766" s="1155"/>
      <c r="K1766" s="609"/>
      <c r="L1766" s="609"/>
      <c r="M1766" s="609"/>
      <c r="N1766" s="599"/>
      <c r="O1766" s="552" t="s">
        <v>1584</v>
      </c>
      <c r="P1766" s="603"/>
      <c r="Q1766" s="682"/>
      <c r="R1766" s="682"/>
      <c r="S1766" s="682"/>
      <c r="T1766" s="682"/>
      <c r="U1766" s="682"/>
      <c r="V1766" s="682"/>
      <c r="W1766" s="682"/>
    </row>
    <row r="1767" spans="1:23">
      <c r="A1767" s="1045">
        <f t="shared" si="28"/>
        <v>8</v>
      </c>
      <c r="B1767" s="134">
        <v>45514</v>
      </c>
      <c r="C1767" s="70">
        <v>2018</v>
      </c>
      <c r="D1767" s="70" t="s">
        <v>58</v>
      </c>
      <c r="E1767" s="280" t="s">
        <v>3874</v>
      </c>
      <c r="F1767" s="1049">
        <v>18</v>
      </c>
      <c r="G1767" s="1049"/>
      <c r="H1767" s="564"/>
      <c r="I1767" s="609"/>
      <c r="J1767" s="1155"/>
      <c r="K1767" s="609"/>
      <c r="L1767" s="609"/>
      <c r="M1767" s="609"/>
      <c r="N1767" s="599"/>
      <c r="O1767" s="552" t="s">
        <v>1584</v>
      </c>
      <c r="P1767" s="603"/>
      <c r="Q1767" s="682"/>
      <c r="R1767" s="682"/>
      <c r="S1767" s="682"/>
      <c r="T1767" s="682"/>
      <c r="U1767" s="682"/>
      <c r="V1767" s="682"/>
      <c r="W1767" s="682"/>
    </row>
    <row r="1768" spans="1:23">
      <c r="A1768" s="1045">
        <f t="shared" si="28"/>
        <v>8</v>
      </c>
      <c r="B1768" s="134">
        <v>45514</v>
      </c>
      <c r="C1768" s="70">
        <v>5250</v>
      </c>
      <c r="D1768" s="70" t="s">
        <v>85</v>
      </c>
      <c r="E1768" s="280" t="s">
        <v>3875</v>
      </c>
      <c r="F1768" s="1049">
        <v>328.5</v>
      </c>
      <c r="G1768" s="1049"/>
      <c r="H1768" s="564"/>
      <c r="I1768" s="609"/>
      <c r="J1768" s="1155"/>
      <c r="K1768" s="609"/>
      <c r="L1768" s="609"/>
      <c r="M1768" s="609"/>
      <c r="N1768" s="599"/>
      <c r="O1768" s="552" t="s">
        <v>1584</v>
      </c>
      <c r="P1768" s="603"/>
      <c r="Q1768" s="682"/>
      <c r="R1768" s="682"/>
      <c r="S1768" s="682"/>
      <c r="T1768" s="682"/>
      <c r="U1768" s="682"/>
      <c r="V1768" s="682"/>
      <c r="W1768" s="682"/>
    </row>
    <row r="1769" spans="1:23">
      <c r="A1769" s="1045">
        <f t="shared" si="28"/>
        <v>8</v>
      </c>
      <c r="B1769" s="134">
        <v>45514</v>
      </c>
      <c r="C1769" s="70">
        <v>2018</v>
      </c>
      <c r="D1769" s="70" t="s">
        <v>58</v>
      </c>
      <c r="E1769" s="280" t="s">
        <v>3875</v>
      </c>
      <c r="F1769" s="1049">
        <v>16.440000000000001</v>
      </c>
      <c r="G1769" s="1049"/>
      <c r="H1769" s="564"/>
      <c r="I1769" s="609"/>
      <c r="J1769" s="1155"/>
      <c r="K1769" s="609"/>
      <c r="L1769" s="609"/>
      <c r="M1769" s="609"/>
      <c r="N1769" s="599"/>
      <c r="O1769" s="552" t="s">
        <v>1584</v>
      </c>
      <c r="P1769" s="603"/>
      <c r="Q1769" s="682"/>
      <c r="R1769" s="682"/>
      <c r="S1769" s="682"/>
      <c r="T1769" s="682"/>
      <c r="U1769" s="682"/>
      <c r="V1769" s="682"/>
      <c r="W1769" s="682"/>
    </row>
    <row r="1770" spans="1:23">
      <c r="A1770" s="1045">
        <f t="shared" si="28"/>
        <v>8</v>
      </c>
      <c r="B1770" s="134">
        <v>45514</v>
      </c>
      <c r="C1770" s="70">
        <v>5250</v>
      </c>
      <c r="D1770" s="70" t="s">
        <v>85</v>
      </c>
      <c r="E1770" s="280" t="s">
        <v>3876</v>
      </c>
      <c r="F1770" s="1049">
        <v>95</v>
      </c>
      <c r="G1770" s="1049"/>
      <c r="H1770" s="564"/>
      <c r="I1770" s="609"/>
      <c r="J1770" s="1155"/>
      <c r="K1770" s="609"/>
      <c r="L1770" s="609"/>
      <c r="M1770" s="609"/>
      <c r="N1770" s="599"/>
      <c r="O1770" s="552" t="s">
        <v>1584</v>
      </c>
      <c r="P1770" s="603"/>
      <c r="Q1770" s="682"/>
      <c r="R1770" s="682"/>
      <c r="S1770" s="682"/>
      <c r="T1770" s="682"/>
      <c r="U1770" s="682"/>
      <c r="V1770" s="682"/>
      <c r="W1770" s="682"/>
    </row>
    <row r="1771" spans="1:23">
      <c r="A1771" s="1045">
        <f t="shared" si="28"/>
        <v>8</v>
      </c>
      <c r="B1771" s="134">
        <v>45514</v>
      </c>
      <c r="C1771" s="70">
        <v>2018</v>
      </c>
      <c r="D1771" s="70" t="s">
        <v>58</v>
      </c>
      <c r="E1771" s="280" t="s">
        <v>3876</v>
      </c>
      <c r="F1771" s="1049">
        <v>4.76</v>
      </c>
      <c r="G1771" s="1049"/>
      <c r="H1771" s="564"/>
      <c r="I1771" s="609"/>
      <c r="J1771" s="1155"/>
      <c r="K1771" s="609"/>
      <c r="L1771" s="609"/>
      <c r="M1771" s="609"/>
      <c r="N1771" s="599"/>
      <c r="O1771" s="552" t="s">
        <v>1584</v>
      </c>
      <c r="P1771" s="603"/>
      <c r="Q1771" s="682"/>
      <c r="R1771" s="682"/>
      <c r="S1771" s="682"/>
      <c r="T1771" s="682"/>
      <c r="U1771" s="682"/>
      <c r="V1771" s="682"/>
      <c r="W1771" s="682"/>
    </row>
    <row r="1772" spans="1:23">
      <c r="A1772" s="1045">
        <f t="shared" si="28"/>
        <v>8</v>
      </c>
      <c r="B1772" s="134">
        <v>45514</v>
      </c>
      <c r="C1772" s="70">
        <v>5250</v>
      </c>
      <c r="D1772" s="70" t="s">
        <v>85</v>
      </c>
      <c r="E1772" s="280" t="s">
        <v>3877</v>
      </c>
      <c r="F1772" s="1049">
        <v>340</v>
      </c>
      <c r="G1772" s="1049"/>
      <c r="H1772" s="564"/>
      <c r="I1772" s="609"/>
      <c r="J1772" s="1155"/>
      <c r="K1772" s="609"/>
      <c r="L1772" s="609"/>
      <c r="M1772" s="609"/>
      <c r="N1772" s="599"/>
      <c r="O1772" s="552" t="s">
        <v>1584</v>
      </c>
      <c r="P1772" s="603"/>
      <c r="Q1772" s="682"/>
      <c r="R1772" s="682"/>
      <c r="S1772" s="682"/>
      <c r="T1772" s="682"/>
      <c r="U1772" s="682"/>
      <c r="V1772" s="682"/>
      <c r="W1772" s="682"/>
    </row>
    <row r="1773" spans="1:23">
      <c r="A1773" s="1045">
        <f t="shared" si="28"/>
        <v>8</v>
      </c>
      <c r="B1773" s="134">
        <v>45514</v>
      </c>
      <c r="C1773" s="70">
        <v>2018</v>
      </c>
      <c r="D1773" s="70" t="s">
        <v>58</v>
      </c>
      <c r="E1773" s="280" t="s">
        <v>3877</v>
      </c>
      <c r="F1773" s="1049">
        <v>17</v>
      </c>
      <c r="G1773" s="1049"/>
      <c r="H1773" s="564"/>
      <c r="I1773" s="609"/>
      <c r="J1773" s="1155"/>
      <c r="K1773" s="609"/>
      <c r="L1773" s="609"/>
      <c r="M1773" s="609"/>
      <c r="N1773" s="599"/>
      <c r="O1773" s="552" t="s">
        <v>1584</v>
      </c>
      <c r="P1773" s="603"/>
      <c r="Q1773" s="682"/>
      <c r="R1773" s="682"/>
      <c r="S1773" s="682"/>
      <c r="T1773" s="682"/>
      <c r="U1773" s="682"/>
      <c r="V1773" s="682"/>
      <c r="W1773" s="682"/>
    </row>
    <row r="1774" spans="1:23">
      <c r="A1774" s="1045">
        <f t="shared" si="28"/>
        <v>8</v>
      </c>
      <c r="B1774" s="134">
        <v>45515</v>
      </c>
      <c r="C1774" s="70">
        <v>5250</v>
      </c>
      <c r="D1774" s="70" t="s">
        <v>85</v>
      </c>
      <c r="E1774" s="280" t="s">
        <v>3878</v>
      </c>
      <c r="F1774" s="1049">
        <v>15</v>
      </c>
      <c r="G1774" s="1049"/>
      <c r="H1774" s="564"/>
      <c r="I1774" s="609"/>
      <c r="J1774" s="1155"/>
      <c r="K1774" s="609"/>
      <c r="L1774" s="609"/>
      <c r="M1774" s="609"/>
      <c r="N1774" s="599"/>
      <c r="O1774" s="552" t="s">
        <v>1584</v>
      </c>
      <c r="P1774" s="603"/>
      <c r="Q1774" s="682"/>
      <c r="R1774" s="682"/>
      <c r="S1774" s="682"/>
      <c r="T1774" s="682"/>
      <c r="U1774" s="682"/>
      <c r="V1774" s="682"/>
      <c r="W1774" s="682"/>
    </row>
    <row r="1775" spans="1:23">
      <c r="A1775" s="1045">
        <f t="shared" si="28"/>
        <v>8</v>
      </c>
      <c r="B1775" s="134">
        <v>45515</v>
      </c>
      <c r="C1775" s="70">
        <v>2018</v>
      </c>
      <c r="D1775" s="70" t="s">
        <v>58</v>
      </c>
      <c r="E1775" s="280" t="s">
        <v>3878</v>
      </c>
      <c r="F1775" s="1049">
        <v>0.71</v>
      </c>
      <c r="G1775" s="1049"/>
      <c r="H1775" s="564"/>
      <c r="I1775" s="609"/>
      <c r="J1775" s="1155"/>
      <c r="K1775" s="609"/>
      <c r="L1775" s="609"/>
      <c r="M1775" s="609"/>
      <c r="N1775" s="599"/>
      <c r="O1775" s="552" t="s">
        <v>1584</v>
      </c>
      <c r="P1775" s="603"/>
      <c r="Q1775" s="682"/>
      <c r="R1775" s="682"/>
      <c r="S1775" s="682"/>
      <c r="T1775" s="682"/>
      <c r="U1775" s="682"/>
      <c r="V1775" s="682"/>
      <c r="W1775" s="682"/>
    </row>
    <row r="1776" spans="1:23">
      <c r="A1776" s="1045">
        <f t="shared" si="28"/>
        <v>8</v>
      </c>
      <c r="B1776" s="134">
        <v>45515</v>
      </c>
      <c r="C1776" s="70">
        <v>5250</v>
      </c>
      <c r="D1776" s="70" t="s">
        <v>85</v>
      </c>
      <c r="E1776" s="280" t="s">
        <v>3879</v>
      </c>
      <c r="F1776" s="1049">
        <v>16</v>
      </c>
      <c r="G1776" s="1049"/>
      <c r="H1776" s="564"/>
      <c r="I1776" s="609"/>
      <c r="J1776" s="1155"/>
      <c r="K1776" s="609"/>
      <c r="L1776" s="609"/>
      <c r="M1776" s="609"/>
      <c r="N1776" s="599"/>
      <c r="O1776" s="552" t="s">
        <v>1584</v>
      </c>
      <c r="P1776" s="603"/>
      <c r="Q1776" s="682"/>
      <c r="R1776" s="682"/>
      <c r="S1776" s="682"/>
      <c r="T1776" s="682"/>
      <c r="U1776" s="682"/>
      <c r="V1776" s="682"/>
      <c r="W1776" s="682"/>
    </row>
    <row r="1777" spans="1:23">
      <c r="A1777" s="1045">
        <f t="shared" si="28"/>
        <v>8</v>
      </c>
      <c r="B1777" s="134">
        <v>45515</v>
      </c>
      <c r="C1777" s="70">
        <v>2018</v>
      </c>
      <c r="D1777" s="70" t="s">
        <v>58</v>
      </c>
      <c r="E1777" s="280" t="s">
        <v>3879</v>
      </c>
      <c r="F1777" s="1049">
        <v>0.8</v>
      </c>
      <c r="G1777" s="1049"/>
      <c r="H1777" s="564"/>
      <c r="I1777" s="609"/>
      <c r="J1777" s="1155"/>
      <c r="K1777" s="609"/>
      <c r="L1777" s="609"/>
      <c r="M1777" s="609"/>
      <c r="N1777" s="599"/>
      <c r="O1777" s="552" t="s">
        <v>1584</v>
      </c>
      <c r="P1777" s="603"/>
      <c r="Q1777" s="682"/>
      <c r="R1777" s="682"/>
      <c r="S1777" s="682"/>
      <c r="T1777" s="682"/>
      <c r="U1777" s="682"/>
      <c r="V1777" s="682"/>
      <c r="W1777" s="682"/>
    </row>
    <row r="1778" spans="1:23">
      <c r="A1778" s="1045">
        <f t="shared" si="28"/>
        <v>8</v>
      </c>
      <c r="B1778" s="134">
        <v>45515</v>
      </c>
      <c r="C1778" s="70">
        <v>5250</v>
      </c>
      <c r="D1778" s="70" t="s">
        <v>85</v>
      </c>
      <c r="E1778" s="280" t="s">
        <v>3880</v>
      </c>
      <c r="F1778" s="1049">
        <v>436</v>
      </c>
      <c r="G1778" s="1049"/>
      <c r="H1778" s="564"/>
      <c r="I1778" s="609"/>
      <c r="J1778" s="1155"/>
      <c r="K1778" s="609"/>
      <c r="L1778" s="609"/>
      <c r="M1778" s="609"/>
      <c r="N1778" s="599"/>
      <c r="O1778" s="552" t="s">
        <v>1584</v>
      </c>
      <c r="P1778" s="603"/>
      <c r="Q1778" s="682"/>
      <c r="R1778" s="682"/>
      <c r="S1778" s="682"/>
      <c r="T1778" s="682"/>
      <c r="U1778" s="682"/>
      <c r="V1778" s="682"/>
      <c r="W1778" s="682"/>
    </row>
    <row r="1779" spans="1:23">
      <c r="A1779" s="1045">
        <f t="shared" si="28"/>
        <v>8</v>
      </c>
      <c r="B1779" s="134">
        <v>45515</v>
      </c>
      <c r="C1779" s="70">
        <v>2018</v>
      </c>
      <c r="D1779" s="70" t="s">
        <v>58</v>
      </c>
      <c r="E1779" s="280" t="s">
        <v>3880</v>
      </c>
      <c r="F1779" s="1049">
        <v>21.8</v>
      </c>
      <c r="G1779" s="1049"/>
      <c r="H1779" s="564"/>
      <c r="I1779" s="609"/>
      <c r="J1779" s="1155"/>
      <c r="K1779" s="609"/>
      <c r="L1779" s="609"/>
      <c r="M1779" s="609"/>
      <c r="N1779" s="599"/>
      <c r="O1779" s="552" t="s">
        <v>1584</v>
      </c>
      <c r="P1779" s="603"/>
      <c r="Q1779" s="682"/>
      <c r="R1779" s="682"/>
      <c r="S1779" s="682"/>
      <c r="T1779" s="682"/>
      <c r="U1779" s="682"/>
      <c r="V1779" s="682"/>
      <c r="W1779" s="682"/>
    </row>
    <row r="1780" spans="1:23">
      <c r="A1780" s="1045">
        <f t="shared" si="28"/>
        <v>8</v>
      </c>
      <c r="B1780" s="134">
        <v>45515</v>
      </c>
      <c r="C1780" s="70">
        <v>5250</v>
      </c>
      <c r="D1780" s="70" t="s">
        <v>85</v>
      </c>
      <c r="E1780" s="280" t="s">
        <v>3881</v>
      </c>
      <c r="F1780" s="1049">
        <v>110</v>
      </c>
      <c r="G1780" s="1049"/>
      <c r="H1780" s="564"/>
      <c r="I1780" s="609"/>
      <c r="J1780" s="1155"/>
      <c r="K1780" s="609"/>
      <c r="L1780" s="609"/>
      <c r="M1780" s="609"/>
      <c r="N1780" s="599"/>
      <c r="O1780" s="552" t="s">
        <v>1584</v>
      </c>
      <c r="P1780" s="603"/>
      <c r="Q1780" s="682"/>
      <c r="R1780" s="682"/>
      <c r="S1780" s="682"/>
      <c r="T1780" s="682"/>
      <c r="U1780" s="682"/>
      <c r="V1780" s="682"/>
      <c r="W1780" s="682"/>
    </row>
    <row r="1781" spans="1:23">
      <c r="A1781" s="1045">
        <f t="shared" si="28"/>
        <v>8</v>
      </c>
      <c r="B1781" s="134">
        <v>45515</v>
      </c>
      <c r="C1781" s="70">
        <v>2018</v>
      </c>
      <c r="D1781" s="70" t="s">
        <v>58</v>
      </c>
      <c r="E1781" s="280" t="s">
        <v>3881</v>
      </c>
      <c r="F1781" s="1049">
        <v>5</v>
      </c>
      <c r="G1781" s="1049"/>
      <c r="H1781" s="564"/>
      <c r="I1781" s="609"/>
      <c r="J1781" s="1155"/>
      <c r="K1781" s="609"/>
      <c r="L1781" s="609"/>
      <c r="M1781" s="609"/>
      <c r="N1781" s="599"/>
      <c r="O1781" s="552" t="s">
        <v>1584</v>
      </c>
      <c r="P1781" s="603"/>
      <c r="Q1781" s="682"/>
      <c r="R1781" s="682"/>
      <c r="S1781" s="682"/>
      <c r="T1781" s="682"/>
      <c r="U1781" s="682"/>
      <c r="V1781" s="682"/>
      <c r="W1781" s="682"/>
    </row>
    <row r="1782" spans="1:23">
      <c r="A1782" s="1045">
        <f t="shared" si="28"/>
        <v>8</v>
      </c>
      <c r="B1782" s="134">
        <v>45515</v>
      </c>
      <c r="C1782" s="70">
        <v>5250</v>
      </c>
      <c r="D1782" s="70" t="s">
        <v>85</v>
      </c>
      <c r="E1782" s="280" t="s">
        <v>3882</v>
      </c>
      <c r="F1782" s="1049">
        <v>414.2</v>
      </c>
      <c r="G1782" s="1049"/>
      <c r="H1782" s="564"/>
      <c r="I1782" s="609"/>
      <c r="J1782" s="1155"/>
      <c r="K1782" s="609"/>
      <c r="L1782" s="609"/>
      <c r="M1782" s="609"/>
      <c r="N1782" s="599"/>
      <c r="O1782" s="552" t="s">
        <v>1584</v>
      </c>
      <c r="P1782" s="603"/>
      <c r="Q1782" s="682"/>
      <c r="R1782" s="682"/>
      <c r="S1782" s="682"/>
      <c r="T1782" s="682"/>
      <c r="U1782" s="682"/>
      <c r="V1782" s="682"/>
      <c r="W1782" s="682"/>
    </row>
    <row r="1783" spans="1:23">
      <c r="A1783" s="1045">
        <f t="shared" si="28"/>
        <v>8</v>
      </c>
      <c r="B1783" s="134">
        <v>45515</v>
      </c>
      <c r="C1783" s="70">
        <v>2018</v>
      </c>
      <c r="D1783" s="70" t="s">
        <v>58</v>
      </c>
      <c r="E1783" s="280" t="s">
        <v>3882</v>
      </c>
      <c r="F1783" s="1049">
        <v>20.71</v>
      </c>
      <c r="G1783" s="1049"/>
      <c r="H1783" s="564"/>
      <c r="I1783" s="609"/>
      <c r="J1783" s="1155"/>
      <c r="K1783" s="609"/>
      <c r="L1783" s="609"/>
      <c r="M1783" s="609"/>
      <c r="N1783" s="599"/>
      <c r="O1783" s="552" t="s">
        <v>1584</v>
      </c>
      <c r="P1783" s="603"/>
      <c r="Q1783" s="682"/>
      <c r="R1783" s="682"/>
      <c r="S1783" s="682"/>
      <c r="T1783" s="682"/>
      <c r="U1783" s="682"/>
      <c r="V1783" s="682"/>
      <c r="W1783" s="682"/>
    </row>
    <row r="1784" spans="1:23">
      <c r="A1784" s="1045">
        <f t="shared" si="28"/>
        <v>8</v>
      </c>
      <c r="B1784" s="134">
        <v>45515</v>
      </c>
      <c r="C1784" s="70">
        <v>5250</v>
      </c>
      <c r="D1784" s="70" t="s">
        <v>85</v>
      </c>
      <c r="E1784" s="280" t="s">
        <v>3883</v>
      </c>
      <c r="F1784" s="1049">
        <v>142.57</v>
      </c>
      <c r="G1784" s="1049"/>
      <c r="H1784" s="564"/>
      <c r="I1784" s="609"/>
      <c r="J1784" s="1155"/>
      <c r="K1784" s="609"/>
      <c r="L1784" s="609"/>
      <c r="M1784" s="609"/>
      <c r="N1784" s="599"/>
      <c r="O1784" s="552" t="s">
        <v>1584</v>
      </c>
      <c r="P1784" s="603"/>
      <c r="Q1784" s="682"/>
      <c r="R1784" s="682"/>
      <c r="S1784" s="682"/>
      <c r="T1784" s="682"/>
      <c r="U1784" s="682"/>
      <c r="V1784" s="682"/>
      <c r="W1784" s="682"/>
    </row>
    <row r="1785" spans="1:23">
      <c r="A1785" s="1045">
        <f t="shared" si="28"/>
        <v>8</v>
      </c>
      <c r="B1785" s="134">
        <v>45515</v>
      </c>
      <c r="C1785" s="70">
        <v>2018</v>
      </c>
      <c r="D1785" s="70" t="s">
        <v>58</v>
      </c>
      <c r="E1785" s="280" t="s">
        <v>3883</v>
      </c>
      <c r="F1785" s="1049">
        <v>7.13</v>
      </c>
      <c r="G1785" s="1049"/>
      <c r="H1785" s="564"/>
      <c r="I1785" s="609"/>
      <c r="J1785" s="1155"/>
      <c r="K1785" s="609"/>
      <c r="L1785" s="609"/>
      <c r="M1785" s="609"/>
      <c r="N1785" s="599"/>
      <c r="O1785" s="552" t="s">
        <v>1584</v>
      </c>
      <c r="P1785" s="603"/>
      <c r="Q1785" s="682"/>
      <c r="R1785" s="682"/>
      <c r="S1785" s="682"/>
      <c r="T1785" s="682"/>
      <c r="U1785" s="682"/>
      <c r="V1785" s="682"/>
      <c r="W1785" s="682"/>
    </row>
    <row r="1786" spans="1:23">
      <c r="A1786" s="1045">
        <f t="shared" si="28"/>
        <v>8</v>
      </c>
      <c r="B1786" s="134">
        <v>45515</v>
      </c>
      <c r="C1786" s="70">
        <v>5250</v>
      </c>
      <c r="D1786" s="70" t="s">
        <v>85</v>
      </c>
      <c r="E1786" s="280" t="s">
        <v>3884</v>
      </c>
      <c r="F1786" s="1049">
        <v>33.79</v>
      </c>
      <c r="G1786" s="1049"/>
      <c r="H1786" s="564"/>
      <c r="I1786" s="609"/>
      <c r="J1786" s="1155"/>
      <c r="K1786" s="609"/>
      <c r="L1786" s="609"/>
      <c r="M1786" s="609"/>
      <c r="N1786" s="599"/>
      <c r="O1786" s="552" t="s">
        <v>1584</v>
      </c>
      <c r="P1786" s="603"/>
      <c r="Q1786" s="682"/>
      <c r="R1786" s="682"/>
      <c r="S1786" s="682"/>
      <c r="T1786" s="682"/>
      <c r="U1786" s="682"/>
      <c r="V1786" s="682"/>
      <c r="W1786" s="682"/>
    </row>
    <row r="1787" spans="1:23">
      <c r="A1787" s="1045">
        <f t="shared" si="28"/>
        <v>8</v>
      </c>
      <c r="B1787" s="134">
        <v>45515</v>
      </c>
      <c r="C1787" s="70">
        <v>2018</v>
      </c>
      <c r="D1787" s="70" t="s">
        <v>58</v>
      </c>
      <c r="E1787" s="280" t="s">
        <v>3884</v>
      </c>
      <c r="F1787" s="1049">
        <v>1.69</v>
      </c>
      <c r="G1787" s="1049"/>
      <c r="H1787" s="564"/>
      <c r="I1787" s="609"/>
      <c r="J1787" s="1155"/>
      <c r="K1787" s="609"/>
      <c r="L1787" s="609"/>
      <c r="M1787" s="609"/>
      <c r="N1787" s="599"/>
      <c r="O1787" s="552" t="s">
        <v>1584</v>
      </c>
      <c r="P1787" s="603"/>
      <c r="Q1787" s="682"/>
      <c r="R1787" s="682"/>
      <c r="S1787" s="682"/>
      <c r="T1787" s="682"/>
      <c r="U1787" s="682"/>
      <c r="V1787" s="682"/>
      <c r="W1787" s="682"/>
    </row>
    <row r="1788" spans="1:23">
      <c r="A1788" s="1045">
        <f t="shared" si="28"/>
        <v>8</v>
      </c>
      <c r="B1788" s="134">
        <v>45516</v>
      </c>
      <c r="C1788" s="70">
        <v>5250</v>
      </c>
      <c r="D1788" s="70" t="s">
        <v>85</v>
      </c>
      <c r="E1788" s="280" t="s">
        <v>3885</v>
      </c>
      <c r="F1788" s="1049">
        <v>19</v>
      </c>
      <c r="G1788" s="1049"/>
      <c r="H1788" s="564"/>
      <c r="I1788" s="609"/>
      <c r="J1788" s="1155"/>
      <c r="K1788" s="609"/>
      <c r="L1788" s="609"/>
      <c r="M1788" s="609"/>
      <c r="N1788" s="599"/>
      <c r="O1788" s="552" t="s">
        <v>1584</v>
      </c>
      <c r="P1788" s="603"/>
      <c r="Q1788" s="682"/>
      <c r="R1788" s="682"/>
      <c r="S1788" s="682"/>
      <c r="T1788" s="682"/>
      <c r="U1788" s="682"/>
      <c r="V1788" s="682"/>
      <c r="W1788" s="682"/>
    </row>
    <row r="1789" spans="1:23">
      <c r="A1789" s="1045">
        <f t="shared" si="28"/>
        <v>8</v>
      </c>
      <c r="B1789" s="134">
        <v>45516</v>
      </c>
      <c r="C1789" s="70">
        <v>2018</v>
      </c>
      <c r="D1789" s="70" t="s">
        <v>58</v>
      </c>
      <c r="E1789" s="280" t="s">
        <v>3885</v>
      </c>
      <c r="F1789" s="1049">
        <v>1</v>
      </c>
      <c r="G1789" s="1049"/>
      <c r="H1789" s="564"/>
      <c r="I1789" s="609"/>
      <c r="J1789" s="1155"/>
      <c r="K1789" s="609"/>
      <c r="L1789" s="609"/>
      <c r="M1789" s="609"/>
      <c r="N1789" s="599"/>
      <c r="O1789" s="552" t="s">
        <v>1584</v>
      </c>
      <c r="P1789" s="603"/>
      <c r="Q1789" s="682"/>
      <c r="R1789" s="682"/>
      <c r="S1789" s="682"/>
      <c r="T1789" s="682"/>
      <c r="U1789" s="682"/>
      <c r="V1789" s="682"/>
      <c r="W1789" s="682"/>
    </row>
    <row r="1790" spans="1:23">
      <c r="A1790" s="1045">
        <f t="shared" si="28"/>
        <v>8</v>
      </c>
      <c r="B1790" s="134">
        <v>45516</v>
      </c>
      <c r="C1790" s="70">
        <v>5200</v>
      </c>
      <c r="D1790" s="70" t="s">
        <v>83</v>
      </c>
      <c r="E1790" s="280" t="s">
        <v>3886</v>
      </c>
      <c r="F1790" s="1049">
        <v>2197.64</v>
      </c>
      <c r="G1790" s="1049"/>
      <c r="H1790" s="564"/>
      <c r="I1790" s="609"/>
      <c r="J1790" s="1155"/>
      <c r="K1790" s="609"/>
      <c r="L1790" s="609"/>
      <c r="M1790" s="609"/>
      <c r="N1790" s="599"/>
      <c r="O1790" s="552" t="s">
        <v>1584</v>
      </c>
      <c r="P1790" s="603"/>
      <c r="Q1790" s="682"/>
      <c r="R1790" s="682"/>
      <c r="S1790" s="682"/>
      <c r="T1790" s="682"/>
      <c r="U1790" s="682"/>
      <c r="V1790" s="682"/>
      <c r="W1790" s="682"/>
    </row>
    <row r="1791" spans="1:23">
      <c r="A1791" s="1045">
        <f t="shared" si="28"/>
        <v>8</v>
      </c>
      <c r="B1791" s="134">
        <v>45516</v>
      </c>
      <c r="C1791" s="70">
        <v>2018</v>
      </c>
      <c r="D1791" s="70" t="s">
        <v>58</v>
      </c>
      <c r="E1791" s="280" t="s">
        <v>3886</v>
      </c>
      <c r="F1791" s="1049">
        <v>109.88</v>
      </c>
      <c r="G1791" s="1049"/>
      <c r="H1791" s="564"/>
      <c r="I1791" s="609"/>
      <c r="J1791" s="1155"/>
      <c r="K1791" s="609"/>
      <c r="L1791" s="609"/>
      <c r="M1791" s="609"/>
      <c r="N1791" s="599"/>
      <c r="O1791" s="552" t="s">
        <v>1584</v>
      </c>
      <c r="P1791" s="603"/>
      <c r="Q1791" s="682"/>
      <c r="R1791" s="682"/>
      <c r="S1791" s="682"/>
      <c r="T1791" s="682"/>
      <c r="U1791" s="682"/>
      <c r="V1791" s="682"/>
      <c r="W1791" s="682"/>
    </row>
    <row r="1792" spans="1:23">
      <c r="A1792" s="1045">
        <f t="shared" si="28"/>
        <v>8</v>
      </c>
      <c r="B1792" s="134">
        <v>45516</v>
      </c>
      <c r="C1792" s="70">
        <v>5250</v>
      </c>
      <c r="D1792" s="70" t="s">
        <v>85</v>
      </c>
      <c r="E1792" s="280" t="s">
        <v>3887</v>
      </c>
      <c r="F1792" s="1049">
        <v>30</v>
      </c>
      <c r="G1792" s="1049"/>
      <c r="H1792" s="564"/>
      <c r="I1792" s="609"/>
      <c r="J1792" s="1155"/>
      <c r="K1792" s="609"/>
      <c r="L1792" s="609"/>
      <c r="M1792" s="609"/>
      <c r="N1792" s="599"/>
      <c r="O1792" s="552" t="s">
        <v>1584</v>
      </c>
      <c r="P1792" s="603"/>
      <c r="Q1792" s="682"/>
      <c r="R1792" s="682"/>
      <c r="S1792" s="682"/>
      <c r="T1792" s="682"/>
      <c r="U1792" s="682"/>
      <c r="V1792" s="682"/>
      <c r="W1792" s="682"/>
    </row>
    <row r="1793" spans="1:23">
      <c r="A1793" s="1045">
        <f t="shared" si="28"/>
        <v>8</v>
      </c>
      <c r="B1793" s="134">
        <v>45516</v>
      </c>
      <c r="C1793" s="70">
        <v>2018</v>
      </c>
      <c r="D1793" s="70" t="s">
        <v>58</v>
      </c>
      <c r="E1793" s="280" t="s">
        <v>3887</v>
      </c>
      <c r="F1793" s="1049">
        <v>1.5</v>
      </c>
      <c r="G1793" s="1049"/>
      <c r="H1793" s="564"/>
      <c r="I1793" s="609"/>
      <c r="J1793" s="1155"/>
      <c r="K1793" s="609"/>
      <c r="L1793" s="609"/>
      <c r="M1793" s="609"/>
      <c r="N1793" s="599"/>
      <c r="O1793" s="552" t="s">
        <v>1584</v>
      </c>
      <c r="P1793" s="603"/>
      <c r="Q1793" s="682"/>
      <c r="R1793" s="682"/>
      <c r="S1793" s="682"/>
      <c r="T1793" s="682"/>
      <c r="U1793" s="682"/>
      <c r="V1793" s="682"/>
      <c r="W1793" s="682"/>
    </row>
    <row r="1794" spans="1:23">
      <c r="A1794" s="1045">
        <f t="shared" si="28"/>
        <v>8</v>
      </c>
      <c r="B1794" s="134">
        <v>45516</v>
      </c>
      <c r="C1794" s="70">
        <v>5150</v>
      </c>
      <c r="D1794" s="70" t="s">
        <v>82</v>
      </c>
      <c r="E1794" s="280" t="s">
        <v>3888</v>
      </c>
      <c r="F1794" s="1049">
        <v>6360</v>
      </c>
      <c r="G1794" s="1049"/>
      <c r="H1794" s="564"/>
      <c r="I1794" s="609"/>
      <c r="J1794" s="1155"/>
      <c r="K1794" s="609"/>
      <c r="L1794" s="609"/>
      <c r="M1794" s="609"/>
      <c r="N1794" s="599"/>
      <c r="O1794" s="552" t="s">
        <v>1584</v>
      </c>
      <c r="P1794" s="603"/>
      <c r="Q1794" s="682"/>
      <c r="R1794" s="682"/>
      <c r="S1794" s="682"/>
      <c r="T1794" s="682"/>
      <c r="U1794" s="682"/>
      <c r="V1794" s="682"/>
      <c r="W1794" s="682"/>
    </row>
    <row r="1795" spans="1:23">
      <c r="A1795" s="1045">
        <f t="shared" si="28"/>
        <v>8</v>
      </c>
      <c r="B1795" s="134">
        <v>45516</v>
      </c>
      <c r="C1795" s="70">
        <v>2018</v>
      </c>
      <c r="D1795" s="70" t="s">
        <v>58</v>
      </c>
      <c r="E1795" s="280" t="s">
        <v>3888</v>
      </c>
      <c r="F1795" s="1049">
        <v>318</v>
      </c>
      <c r="G1795" s="1049"/>
      <c r="H1795" s="564"/>
      <c r="I1795" s="609"/>
      <c r="J1795" s="1155"/>
      <c r="K1795" s="609"/>
      <c r="L1795" s="609"/>
      <c r="M1795" s="609"/>
      <c r="N1795" s="599"/>
      <c r="O1795" s="552" t="s">
        <v>1584</v>
      </c>
      <c r="P1795" s="603"/>
      <c r="Q1795" s="682"/>
      <c r="R1795" s="682"/>
      <c r="S1795" s="682"/>
      <c r="T1795" s="682"/>
      <c r="U1795" s="682"/>
      <c r="V1795" s="682"/>
      <c r="W1795" s="682"/>
    </row>
    <row r="1796" spans="1:23">
      <c r="A1796" s="1045">
        <f t="shared" si="28"/>
        <v>8</v>
      </c>
      <c r="B1796" s="134">
        <v>45516</v>
      </c>
      <c r="C1796" s="70">
        <v>5150</v>
      </c>
      <c r="D1796" s="70" t="s">
        <v>82</v>
      </c>
      <c r="E1796" s="280" t="s">
        <v>3889</v>
      </c>
      <c r="F1796" s="1049">
        <v>21200</v>
      </c>
      <c r="G1796" s="1049"/>
      <c r="H1796" s="564"/>
      <c r="I1796" s="609"/>
      <c r="J1796" s="1155"/>
      <c r="K1796" s="609"/>
      <c r="L1796" s="609"/>
      <c r="M1796" s="609"/>
      <c r="N1796" s="599"/>
      <c r="O1796" s="552" t="s">
        <v>1584</v>
      </c>
      <c r="P1796" s="603"/>
      <c r="Q1796" s="682"/>
      <c r="R1796" s="682"/>
      <c r="S1796" s="682"/>
      <c r="T1796" s="682"/>
      <c r="U1796" s="682"/>
      <c r="V1796" s="682"/>
      <c r="W1796" s="682"/>
    </row>
    <row r="1797" spans="1:23">
      <c r="A1797" s="1045">
        <f t="shared" si="28"/>
        <v>8</v>
      </c>
      <c r="B1797" s="134">
        <v>45516</v>
      </c>
      <c r="C1797" s="70">
        <v>2018</v>
      </c>
      <c r="D1797" s="70" t="s">
        <v>58</v>
      </c>
      <c r="E1797" s="280" t="s">
        <v>3889</v>
      </c>
      <c r="F1797" s="1049">
        <v>1060</v>
      </c>
      <c r="G1797" s="1049"/>
      <c r="H1797" s="564"/>
      <c r="I1797" s="609"/>
      <c r="J1797" s="1155"/>
      <c r="K1797" s="609"/>
      <c r="L1797" s="609"/>
      <c r="M1797" s="609"/>
      <c r="N1797" s="599"/>
      <c r="O1797" s="552" t="s">
        <v>1584</v>
      </c>
      <c r="P1797" s="603"/>
      <c r="Q1797" s="682"/>
      <c r="R1797" s="682"/>
      <c r="S1797" s="682"/>
      <c r="T1797" s="682"/>
      <c r="U1797" s="682"/>
      <c r="V1797" s="682"/>
      <c r="W1797" s="682"/>
    </row>
    <row r="1798" spans="1:23">
      <c r="A1798" s="1045">
        <f t="shared" si="28"/>
        <v>8</v>
      </c>
      <c r="B1798" s="134">
        <v>45516</v>
      </c>
      <c r="C1798" s="70">
        <v>5150</v>
      </c>
      <c r="D1798" s="70" t="s">
        <v>82</v>
      </c>
      <c r="E1798" s="280" t="s">
        <v>3890</v>
      </c>
      <c r="F1798" s="1049">
        <v>10490</v>
      </c>
      <c r="G1798" s="1049"/>
      <c r="H1798" s="564"/>
      <c r="I1798" s="609"/>
      <c r="J1798" s="1155"/>
      <c r="K1798" s="609"/>
      <c r="L1798" s="609"/>
      <c r="M1798" s="609"/>
      <c r="N1798" s="599"/>
      <c r="O1798" s="552" t="s">
        <v>1584</v>
      </c>
      <c r="P1798" s="603"/>
      <c r="Q1798" s="682"/>
      <c r="R1798" s="682"/>
      <c r="S1798" s="682"/>
      <c r="T1798" s="682"/>
      <c r="U1798" s="682"/>
      <c r="V1798" s="682"/>
      <c r="W1798" s="682"/>
    </row>
    <row r="1799" spans="1:23">
      <c r="A1799" s="1045">
        <f t="shared" si="28"/>
        <v>8</v>
      </c>
      <c r="B1799" s="134">
        <v>45516</v>
      </c>
      <c r="C1799" s="70">
        <v>2018</v>
      </c>
      <c r="D1799" s="70" t="s">
        <v>58</v>
      </c>
      <c r="E1799" s="280" t="s">
        <v>3890</v>
      </c>
      <c r="F1799" s="1049">
        <v>524.5</v>
      </c>
      <c r="G1799" s="1049"/>
      <c r="H1799" s="564"/>
      <c r="I1799" s="609"/>
      <c r="J1799" s="1155"/>
      <c r="K1799" s="609"/>
      <c r="L1799" s="609"/>
      <c r="M1799" s="609"/>
      <c r="N1799" s="599"/>
      <c r="O1799" s="552" t="s">
        <v>1584</v>
      </c>
      <c r="P1799" s="603"/>
      <c r="Q1799" s="682"/>
      <c r="R1799" s="682"/>
      <c r="S1799" s="682"/>
      <c r="T1799" s="682"/>
      <c r="U1799" s="682"/>
      <c r="V1799" s="682"/>
      <c r="W1799" s="682"/>
    </row>
    <row r="1800" spans="1:23">
      <c r="A1800" s="1045">
        <f t="shared" si="28"/>
        <v>8</v>
      </c>
      <c r="B1800" s="134">
        <v>45516</v>
      </c>
      <c r="C1800" s="70">
        <v>5150</v>
      </c>
      <c r="D1800" s="70" t="s">
        <v>82</v>
      </c>
      <c r="E1800" s="280" t="s">
        <v>3891</v>
      </c>
      <c r="F1800" s="1049">
        <v>10970</v>
      </c>
      <c r="G1800" s="1049"/>
      <c r="H1800" s="564"/>
      <c r="I1800" s="609"/>
      <c r="J1800" s="1155"/>
      <c r="K1800" s="609"/>
      <c r="L1800" s="609"/>
      <c r="M1800" s="609"/>
      <c r="N1800" s="599"/>
      <c r="O1800" s="552" t="s">
        <v>1584</v>
      </c>
      <c r="P1800" s="603"/>
      <c r="Q1800" s="682"/>
      <c r="R1800" s="682"/>
      <c r="S1800" s="682"/>
      <c r="T1800" s="682"/>
      <c r="U1800" s="682"/>
      <c r="V1800" s="682"/>
      <c r="W1800" s="682"/>
    </row>
    <row r="1801" spans="1:23">
      <c r="A1801" s="1045">
        <f t="shared" si="28"/>
        <v>8</v>
      </c>
      <c r="B1801" s="134">
        <v>45516</v>
      </c>
      <c r="C1801" s="70">
        <v>2018</v>
      </c>
      <c r="D1801" s="70" t="s">
        <v>58</v>
      </c>
      <c r="E1801" s="280" t="s">
        <v>3891</v>
      </c>
      <c r="F1801" s="1049">
        <v>548.5</v>
      </c>
      <c r="G1801" s="1049"/>
      <c r="H1801" s="564"/>
      <c r="I1801" s="609"/>
      <c r="J1801" s="1155"/>
      <c r="K1801" s="609"/>
      <c r="L1801" s="609"/>
      <c r="M1801" s="609"/>
      <c r="N1801" s="599"/>
      <c r="O1801" s="552" t="s">
        <v>1584</v>
      </c>
      <c r="P1801" s="603"/>
      <c r="Q1801" s="682"/>
      <c r="R1801" s="682"/>
      <c r="S1801" s="682"/>
      <c r="T1801" s="682"/>
      <c r="U1801" s="682"/>
      <c r="V1801" s="682"/>
      <c r="W1801" s="682"/>
    </row>
    <row r="1802" spans="1:23">
      <c r="A1802" s="1045">
        <f t="shared" si="28"/>
        <v>8</v>
      </c>
      <c r="B1802" s="134">
        <v>45516</v>
      </c>
      <c r="C1802" s="70">
        <v>5150</v>
      </c>
      <c r="D1802" s="70" t="s">
        <v>82</v>
      </c>
      <c r="E1802" s="280" t="s">
        <v>3892</v>
      </c>
      <c r="F1802" s="1049">
        <v>10480</v>
      </c>
      <c r="G1802" s="1049"/>
      <c r="H1802" s="564"/>
      <c r="I1802" s="609"/>
      <c r="J1802" s="1155"/>
      <c r="K1802" s="609"/>
      <c r="L1802" s="609"/>
      <c r="M1802" s="609"/>
      <c r="N1802" s="599"/>
      <c r="O1802" s="552" t="s">
        <v>1584</v>
      </c>
      <c r="P1802" s="603"/>
      <c r="Q1802" s="682"/>
      <c r="R1802" s="682"/>
      <c r="S1802" s="682"/>
      <c r="T1802" s="682"/>
      <c r="U1802" s="682"/>
      <c r="V1802" s="682"/>
      <c r="W1802" s="682"/>
    </row>
    <row r="1803" spans="1:23">
      <c r="A1803" s="1045">
        <f t="shared" si="28"/>
        <v>8</v>
      </c>
      <c r="B1803" s="134">
        <v>45516</v>
      </c>
      <c r="C1803" s="70">
        <v>2018</v>
      </c>
      <c r="D1803" s="70" t="s">
        <v>58</v>
      </c>
      <c r="E1803" s="280" t="s">
        <v>3892</v>
      </c>
      <c r="F1803" s="1049">
        <v>524</v>
      </c>
      <c r="G1803" s="1049"/>
      <c r="H1803" s="564"/>
      <c r="I1803" s="609"/>
      <c r="J1803" s="1155"/>
      <c r="K1803" s="609"/>
      <c r="L1803" s="609"/>
      <c r="M1803" s="609"/>
      <c r="N1803" s="599"/>
      <c r="O1803" s="552" t="s">
        <v>1584</v>
      </c>
      <c r="P1803" s="603"/>
      <c r="Q1803" s="682"/>
      <c r="R1803" s="682"/>
      <c r="S1803" s="682"/>
      <c r="T1803" s="682"/>
      <c r="U1803" s="682"/>
      <c r="V1803" s="682"/>
      <c r="W1803" s="682"/>
    </row>
    <row r="1804" spans="1:23">
      <c r="A1804" s="1045">
        <f t="shared" si="28"/>
        <v>8</v>
      </c>
      <c r="B1804" s="134">
        <v>45516</v>
      </c>
      <c r="C1804" s="70">
        <v>5150</v>
      </c>
      <c r="D1804" s="70" t="s">
        <v>82</v>
      </c>
      <c r="E1804" s="280" t="s">
        <v>3893</v>
      </c>
      <c r="F1804" s="1049">
        <v>29640</v>
      </c>
      <c r="G1804" s="1049"/>
      <c r="H1804" s="564"/>
      <c r="I1804" s="609"/>
      <c r="J1804" s="1155"/>
      <c r="K1804" s="609"/>
      <c r="L1804" s="609"/>
      <c r="M1804" s="609"/>
      <c r="N1804" s="599"/>
      <c r="O1804" s="552" t="s">
        <v>1584</v>
      </c>
      <c r="P1804" s="603"/>
      <c r="Q1804" s="682"/>
      <c r="R1804" s="682"/>
      <c r="S1804" s="682"/>
      <c r="T1804" s="682"/>
      <c r="U1804" s="682"/>
      <c r="V1804" s="682"/>
      <c r="W1804" s="682"/>
    </row>
    <row r="1805" spans="1:23">
      <c r="A1805" s="1045">
        <f t="shared" si="28"/>
        <v>8</v>
      </c>
      <c r="B1805" s="134">
        <v>45516</v>
      </c>
      <c r="C1805" s="70">
        <v>2018</v>
      </c>
      <c r="D1805" s="70" t="s">
        <v>58</v>
      </c>
      <c r="E1805" s="280" t="s">
        <v>3893</v>
      </c>
      <c r="F1805" s="1049">
        <v>1482</v>
      </c>
      <c r="G1805" s="1049"/>
      <c r="H1805" s="564"/>
      <c r="I1805" s="609"/>
      <c r="J1805" s="1155"/>
      <c r="K1805" s="609"/>
      <c r="L1805" s="609"/>
      <c r="M1805" s="609"/>
      <c r="N1805" s="599"/>
      <c r="O1805" s="552" t="s">
        <v>1584</v>
      </c>
      <c r="P1805" s="603"/>
      <c r="Q1805" s="682"/>
      <c r="R1805" s="682"/>
      <c r="S1805" s="682"/>
      <c r="T1805" s="682"/>
      <c r="U1805" s="682"/>
      <c r="V1805" s="682"/>
      <c r="W1805" s="682"/>
    </row>
    <row r="1806" spans="1:23">
      <c r="A1806" s="1045">
        <f t="shared" si="28"/>
        <v>8</v>
      </c>
      <c r="B1806" s="134">
        <v>45516</v>
      </c>
      <c r="C1806" s="70">
        <v>5250</v>
      </c>
      <c r="D1806" s="70" t="s">
        <v>85</v>
      </c>
      <c r="E1806" s="280" t="s">
        <v>3894</v>
      </c>
      <c r="F1806" s="1049">
        <v>1080</v>
      </c>
      <c r="G1806" s="1049"/>
      <c r="H1806" s="564"/>
      <c r="I1806" s="609"/>
      <c r="J1806" s="1155"/>
      <c r="K1806" s="609"/>
      <c r="L1806" s="609"/>
      <c r="M1806" s="609"/>
      <c r="N1806" s="599"/>
      <c r="O1806" s="552" t="s">
        <v>1584</v>
      </c>
      <c r="P1806" s="603"/>
      <c r="Q1806" s="682"/>
      <c r="R1806" s="682"/>
      <c r="S1806" s="682"/>
      <c r="T1806" s="682"/>
      <c r="U1806" s="682"/>
      <c r="V1806" s="682"/>
      <c r="W1806" s="682"/>
    </row>
    <row r="1807" spans="1:23">
      <c r="A1807" s="1045">
        <f t="shared" si="28"/>
        <v>8</v>
      </c>
      <c r="B1807" s="134">
        <v>45516</v>
      </c>
      <c r="C1807" s="70">
        <v>2018</v>
      </c>
      <c r="D1807" s="70" t="s">
        <v>58</v>
      </c>
      <c r="E1807" s="280" t="s">
        <v>3894</v>
      </c>
      <c r="F1807" s="1049">
        <v>54</v>
      </c>
      <c r="G1807" s="1049"/>
      <c r="H1807" s="564"/>
      <c r="I1807" s="609"/>
      <c r="J1807" s="1155"/>
      <c r="K1807" s="609"/>
      <c r="L1807" s="609"/>
      <c r="M1807" s="609"/>
      <c r="N1807" s="599"/>
      <c r="O1807" s="552" t="s">
        <v>1584</v>
      </c>
      <c r="P1807" s="603"/>
      <c r="Q1807" s="682"/>
      <c r="R1807" s="682"/>
      <c r="S1807" s="682"/>
      <c r="T1807" s="682"/>
      <c r="U1807" s="682"/>
      <c r="V1807" s="682"/>
      <c r="W1807" s="682"/>
    </row>
    <row r="1808" spans="1:23">
      <c r="A1808" s="1045">
        <f t="shared" si="28"/>
        <v>8</v>
      </c>
      <c r="B1808" s="134">
        <v>45516</v>
      </c>
      <c r="C1808" s="70">
        <v>5250</v>
      </c>
      <c r="D1808" s="70" t="s">
        <v>85</v>
      </c>
      <c r="E1808" s="280" t="s">
        <v>3895</v>
      </c>
      <c r="F1808" s="1049">
        <v>35</v>
      </c>
      <c r="G1808" s="1049"/>
      <c r="H1808" s="564"/>
      <c r="I1808" s="609"/>
      <c r="J1808" s="1155"/>
      <c r="K1808" s="609"/>
      <c r="L1808" s="609"/>
      <c r="M1808" s="609"/>
      <c r="N1808" s="599"/>
      <c r="O1808" s="552" t="s">
        <v>1584</v>
      </c>
      <c r="P1808" s="603"/>
      <c r="Q1808" s="682"/>
      <c r="R1808" s="682"/>
      <c r="S1808" s="682"/>
      <c r="T1808" s="682"/>
      <c r="U1808" s="682"/>
      <c r="V1808" s="682"/>
      <c r="W1808" s="682"/>
    </row>
    <row r="1809" spans="1:23">
      <c r="A1809" s="1045">
        <f t="shared" si="28"/>
        <v>8</v>
      </c>
      <c r="B1809" s="134">
        <v>45516</v>
      </c>
      <c r="C1809" s="70">
        <v>2018</v>
      </c>
      <c r="D1809" s="70" t="s">
        <v>58</v>
      </c>
      <c r="E1809" s="280" t="s">
        <v>3895</v>
      </c>
      <c r="F1809" s="1049">
        <v>1.75</v>
      </c>
      <c r="G1809" s="1049"/>
      <c r="H1809" s="564"/>
      <c r="I1809" s="609"/>
      <c r="J1809" s="1155"/>
      <c r="K1809" s="609"/>
      <c r="L1809" s="609"/>
      <c r="M1809" s="609"/>
      <c r="N1809" s="599"/>
      <c r="O1809" s="552" t="s">
        <v>1584</v>
      </c>
      <c r="P1809" s="603"/>
      <c r="Q1809" s="682"/>
      <c r="R1809" s="682"/>
      <c r="S1809" s="682"/>
      <c r="T1809" s="682"/>
      <c r="U1809" s="682"/>
      <c r="V1809" s="682"/>
      <c r="W1809" s="682"/>
    </row>
    <row r="1810" spans="1:23">
      <c r="A1810" s="1045">
        <f t="shared" si="28"/>
        <v>8</v>
      </c>
      <c r="B1810" s="134">
        <v>45516</v>
      </c>
      <c r="C1810" s="70">
        <v>5250</v>
      </c>
      <c r="D1810" s="70" t="s">
        <v>85</v>
      </c>
      <c r="E1810" s="280" t="s">
        <v>3896</v>
      </c>
      <c r="F1810" s="1049">
        <v>45</v>
      </c>
      <c r="G1810" s="1049"/>
      <c r="H1810" s="564"/>
      <c r="I1810" s="609"/>
      <c r="J1810" s="1155"/>
      <c r="K1810" s="609"/>
      <c r="L1810" s="609"/>
      <c r="M1810" s="609"/>
      <c r="N1810" s="599"/>
      <c r="O1810" s="552" t="s">
        <v>1584</v>
      </c>
      <c r="P1810" s="603"/>
      <c r="Q1810" s="682"/>
      <c r="R1810" s="682"/>
      <c r="S1810" s="682"/>
      <c r="T1810" s="682"/>
      <c r="U1810" s="682"/>
      <c r="V1810" s="682"/>
      <c r="W1810" s="682"/>
    </row>
    <row r="1811" spans="1:23">
      <c r="A1811" s="1045">
        <f t="shared" si="28"/>
        <v>8</v>
      </c>
      <c r="B1811" s="134">
        <v>45516</v>
      </c>
      <c r="C1811" s="70">
        <v>2018</v>
      </c>
      <c r="D1811" s="70" t="s">
        <v>58</v>
      </c>
      <c r="E1811" s="280" t="s">
        <v>3896</v>
      </c>
      <c r="F1811" s="1049">
        <v>2.25</v>
      </c>
      <c r="G1811" s="1049"/>
      <c r="H1811" s="564"/>
      <c r="I1811" s="609"/>
      <c r="J1811" s="1155"/>
      <c r="K1811" s="609"/>
      <c r="L1811" s="609"/>
      <c r="M1811" s="609"/>
      <c r="N1811" s="599"/>
      <c r="O1811" s="552" t="s">
        <v>1584</v>
      </c>
      <c r="P1811" s="603"/>
      <c r="Q1811" s="682"/>
      <c r="R1811" s="682"/>
      <c r="S1811" s="682"/>
      <c r="T1811" s="682"/>
      <c r="U1811" s="682"/>
      <c r="V1811" s="682"/>
      <c r="W1811" s="682"/>
    </row>
    <row r="1812" spans="1:23">
      <c r="A1812" s="1045">
        <f t="shared" si="28"/>
        <v>8</v>
      </c>
      <c r="B1812" s="134">
        <v>45516</v>
      </c>
      <c r="C1812" s="70">
        <v>5250</v>
      </c>
      <c r="D1812" s="70" t="s">
        <v>85</v>
      </c>
      <c r="E1812" s="280" t="s">
        <v>3897</v>
      </c>
      <c r="F1812" s="1049">
        <v>180.43</v>
      </c>
      <c r="G1812" s="1049"/>
      <c r="H1812" s="564"/>
      <c r="I1812" s="609"/>
      <c r="J1812" s="1155"/>
      <c r="K1812" s="609"/>
      <c r="L1812" s="609"/>
      <c r="M1812" s="609"/>
      <c r="N1812" s="599"/>
      <c r="O1812" s="552" t="s">
        <v>1584</v>
      </c>
      <c r="P1812" s="603"/>
      <c r="Q1812" s="682"/>
      <c r="R1812" s="682"/>
      <c r="S1812" s="682"/>
      <c r="T1812" s="682"/>
      <c r="U1812" s="682"/>
      <c r="V1812" s="682"/>
      <c r="W1812" s="682"/>
    </row>
    <row r="1813" spans="1:23">
      <c r="A1813" s="1045">
        <f t="shared" ref="A1813:A1876" si="29">IF(B1813="","",MONTH(B1813))</f>
        <v>8</v>
      </c>
      <c r="B1813" s="134">
        <v>45516</v>
      </c>
      <c r="C1813" s="70">
        <v>2018</v>
      </c>
      <c r="D1813" s="70" t="s">
        <v>58</v>
      </c>
      <c r="E1813" s="280" t="s">
        <v>3897</v>
      </c>
      <c r="F1813" s="1049">
        <v>9.02</v>
      </c>
      <c r="G1813" s="1049"/>
      <c r="H1813" s="564"/>
      <c r="I1813" s="609"/>
      <c r="J1813" s="1155"/>
      <c r="K1813" s="609"/>
      <c r="L1813" s="609"/>
      <c r="M1813" s="609"/>
      <c r="N1813" s="599"/>
      <c r="O1813" s="552" t="s">
        <v>1584</v>
      </c>
      <c r="P1813" s="603"/>
      <c r="Q1813" s="682"/>
      <c r="R1813" s="682"/>
      <c r="S1813" s="682"/>
      <c r="T1813" s="682"/>
      <c r="U1813" s="682"/>
      <c r="V1813" s="682"/>
      <c r="W1813" s="682"/>
    </row>
    <row r="1814" spans="1:23">
      <c r="A1814" s="1045">
        <f t="shared" si="29"/>
        <v>8</v>
      </c>
      <c r="B1814" s="134">
        <v>45517</v>
      </c>
      <c r="C1814" s="70">
        <v>5200</v>
      </c>
      <c r="D1814" s="70" t="s">
        <v>83</v>
      </c>
      <c r="E1814" s="280" t="s">
        <v>3898</v>
      </c>
      <c r="F1814" s="1049">
        <v>7000.39</v>
      </c>
      <c r="G1814" s="1049"/>
      <c r="H1814" s="564"/>
      <c r="I1814" s="609"/>
      <c r="J1814" s="1155"/>
      <c r="K1814" s="609"/>
      <c r="L1814" s="609"/>
      <c r="M1814" s="609"/>
      <c r="N1814" s="599"/>
      <c r="O1814" s="552" t="s">
        <v>1584</v>
      </c>
      <c r="P1814" s="603"/>
      <c r="Q1814" s="682"/>
      <c r="R1814" s="682"/>
      <c r="S1814" s="682"/>
      <c r="T1814" s="682"/>
      <c r="U1814" s="682"/>
      <c r="V1814" s="682"/>
      <c r="W1814" s="682"/>
    </row>
    <row r="1815" spans="1:23">
      <c r="A1815" s="1045">
        <f t="shared" si="29"/>
        <v>8</v>
      </c>
      <c r="B1815" s="134">
        <v>45517</v>
      </c>
      <c r="C1815" s="70">
        <v>2018</v>
      </c>
      <c r="D1815" s="70" t="s">
        <v>58</v>
      </c>
      <c r="E1815" s="280" t="s">
        <v>3898</v>
      </c>
      <c r="F1815" s="1049">
        <v>350.03</v>
      </c>
      <c r="G1815" s="1049"/>
      <c r="H1815" s="564"/>
      <c r="I1815" s="609"/>
      <c r="J1815" s="1155"/>
      <c r="K1815" s="609"/>
      <c r="L1815" s="609"/>
      <c r="M1815" s="609"/>
      <c r="N1815" s="599"/>
      <c r="O1815" s="552" t="s">
        <v>1584</v>
      </c>
      <c r="P1815" s="603"/>
      <c r="Q1815" s="682"/>
      <c r="R1815" s="682"/>
      <c r="S1815" s="682"/>
      <c r="T1815" s="682"/>
      <c r="U1815" s="682"/>
      <c r="V1815" s="682"/>
      <c r="W1815" s="682"/>
    </row>
    <row r="1816" spans="1:23">
      <c r="A1816" s="1045">
        <f t="shared" si="29"/>
        <v>8</v>
      </c>
      <c r="B1816" s="134">
        <v>45517</v>
      </c>
      <c r="C1816" s="70">
        <v>5250</v>
      </c>
      <c r="D1816" s="70" t="s">
        <v>85</v>
      </c>
      <c r="E1816" s="280" t="s">
        <v>3899</v>
      </c>
      <c r="F1816" s="1049">
        <v>400</v>
      </c>
      <c r="G1816" s="1049"/>
      <c r="H1816" s="564"/>
      <c r="I1816" s="609"/>
      <c r="J1816" s="1155"/>
      <c r="K1816" s="609"/>
      <c r="L1816" s="609"/>
      <c r="M1816" s="609"/>
      <c r="N1816" s="599"/>
      <c r="O1816" s="552" t="s">
        <v>1584</v>
      </c>
      <c r="P1816" s="603"/>
      <c r="Q1816" s="682"/>
      <c r="R1816" s="682"/>
      <c r="S1816" s="682"/>
      <c r="T1816" s="682"/>
      <c r="U1816" s="682"/>
      <c r="V1816" s="682"/>
      <c r="W1816" s="682"/>
    </row>
    <row r="1817" spans="1:23">
      <c r="A1817" s="1045">
        <f t="shared" si="29"/>
        <v>8</v>
      </c>
      <c r="B1817" s="134">
        <v>45517</v>
      </c>
      <c r="C1817" s="70">
        <v>5250</v>
      </c>
      <c r="D1817" s="70" t="s">
        <v>85</v>
      </c>
      <c r="E1817" s="280" t="s">
        <v>3900</v>
      </c>
      <c r="F1817" s="1049">
        <v>300</v>
      </c>
      <c r="G1817" s="1049"/>
      <c r="H1817" s="564"/>
      <c r="I1817" s="609"/>
      <c r="J1817" s="1155"/>
      <c r="K1817" s="609"/>
      <c r="L1817" s="609"/>
      <c r="M1817" s="609"/>
      <c r="N1817" s="599"/>
      <c r="O1817" s="552" t="s">
        <v>1584</v>
      </c>
      <c r="P1817" s="603"/>
      <c r="Q1817" s="682"/>
      <c r="R1817" s="682"/>
      <c r="S1817" s="682"/>
      <c r="T1817" s="682"/>
      <c r="U1817" s="682"/>
      <c r="V1817" s="682"/>
      <c r="W1817" s="682"/>
    </row>
    <row r="1818" spans="1:23">
      <c r="A1818" s="1045">
        <f t="shared" si="29"/>
        <v>8</v>
      </c>
      <c r="B1818" s="134">
        <v>45517</v>
      </c>
      <c r="C1818" s="70">
        <v>5250</v>
      </c>
      <c r="D1818" s="70" t="s">
        <v>85</v>
      </c>
      <c r="E1818" s="280" t="s">
        <v>3901</v>
      </c>
      <c r="F1818" s="1049">
        <v>38</v>
      </c>
      <c r="G1818" s="1049"/>
      <c r="H1818" s="564"/>
      <c r="I1818" s="609"/>
      <c r="J1818" s="1155"/>
      <c r="K1818" s="609"/>
      <c r="L1818" s="609"/>
      <c r="M1818" s="609"/>
      <c r="N1818" s="599"/>
      <c r="O1818" s="552" t="s">
        <v>1584</v>
      </c>
      <c r="P1818" s="603"/>
      <c r="Q1818" s="682"/>
      <c r="R1818" s="682"/>
      <c r="S1818" s="682"/>
      <c r="T1818" s="682"/>
      <c r="U1818" s="682"/>
      <c r="V1818" s="682"/>
      <c r="W1818" s="682"/>
    </row>
    <row r="1819" spans="1:23">
      <c r="A1819" s="1045">
        <f t="shared" si="29"/>
        <v>8</v>
      </c>
      <c r="B1819" s="134">
        <v>45517</v>
      </c>
      <c r="C1819" s="70">
        <v>2018</v>
      </c>
      <c r="D1819" s="70" t="s">
        <v>58</v>
      </c>
      <c r="E1819" s="280" t="s">
        <v>3901</v>
      </c>
      <c r="F1819" s="1049">
        <v>1.9</v>
      </c>
      <c r="G1819" s="1049"/>
      <c r="H1819" s="564"/>
      <c r="I1819" s="609"/>
      <c r="J1819" s="1155"/>
      <c r="K1819" s="609"/>
      <c r="L1819" s="609"/>
      <c r="M1819" s="609"/>
      <c r="N1819" s="599"/>
      <c r="O1819" s="552" t="s">
        <v>1584</v>
      </c>
      <c r="P1819" s="603"/>
      <c r="Q1819" s="682"/>
      <c r="R1819" s="682"/>
      <c r="S1819" s="682"/>
      <c r="T1819" s="682"/>
      <c r="U1819" s="682"/>
      <c r="V1819" s="682"/>
      <c r="W1819" s="682"/>
    </row>
    <row r="1820" spans="1:23">
      <c r="A1820" s="1045">
        <f t="shared" si="29"/>
        <v>8</v>
      </c>
      <c r="B1820" s="134">
        <v>45517</v>
      </c>
      <c r="C1820" s="70">
        <v>5250</v>
      </c>
      <c r="D1820" s="70" t="s">
        <v>85</v>
      </c>
      <c r="E1820" s="280" t="s">
        <v>3902</v>
      </c>
      <c r="F1820" s="1049">
        <v>867</v>
      </c>
      <c r="G1820" s="1049"/>
      <c r="H1820" s="564"/>
      <c r="I1820" s="609"/>
      <c r="J1820" s="1155"/>
      <c r="K1820" s="609"/>
      <c r="L1820" s="609"/>
      <c r="M1820" s="609"/>
      <c r="N1820" s="599"/>
      <c r="O1820" s="552" t="s">
        <v>1584</v>
      </c>
      <c r="P1820" s="603"/>
      <c r="Q1820" s="682"/>
      <c r="R1820" s="682"/>
      <c r="S1820" s="682"/>
      <c r="T1820" s="682"/>
      <c r="U1820" s="682"/>
      <c r="V1820" s="682"/>
      <c r="W1820" s="682"/>
    </row>
    <row r="1821" spans="1:23">
      <c r="A1821" s="1045">
        <f t="shared" si="29"/>
        <v>8</v>
      </c>
      <c r="B1821" s="134">
        <v>45517</v>
      </c>
      <c r="C1821" s="70">
        <v>2018</v>
      </c>
      <c r="D1821" s="70" t="s">
        <v>58</v>
      </c>
      <c r="E1821" s="280" t="s">
        <v>3902</v>
      </c>
      <c r="F1821" s="1049">
        <v>43.33</v>
      </c>
      <c r="G1821" s="1049"/>
      <c r="H1821" s="564"/>
      <c r="I1821" s="609"/>
      <c r="J1821" s="1155"/>
      <c r="K1821" s="609"/>
      <c r="L1821" s="609"/>
      <c r="M1821" s="609"/>
      <c r="N1821" s="599"/>
      <c r="O1821" s="552" t="s">
        <v>1584</v>
      </c>
      <c r="P1821" s="603"/>
      <c r="Q1821" s="682"/>
      <c r="R1821" s="682"/>
      <c r="S1821" s="682"/>
      <c r="T1821" s="682"/>
      <c r="U1821" s="682"/>
      <c r="V1821" s="682"/>
      <c r="W1821" s="682"/>
    </row>
    <row r="1822" spans="1:23">
      <c r="A1822" s="1045">
        <f t="shared" si="29"/>
        <v>8</v>
      </c>
      <c r="B1822" s="134">
        <v>45517</v>
      </c>
      <c r="C1822" s="70">
        <v>5250</v>
      </c>
      <c r="D1822" s="70" t="s">
        <v>85</v>
      </c>
      <c r="E1822" s="280" t="s">
        <v>3903</v>
      </c>
      <c r="F1822" s="1049">
        <v>5</v>
      </c>
      <c r="G1822" s="1049"/>
      <c r="H1822" s="564"/>
      <c r="I1822" s="609"/>
      <c r="J1822" s="1155"/>
      <c r="K1822" s="609"/>
      <c r="L1822" s="609"/>
      <c r="M1822" s="609"/>
      <c r="N1822" s="599"/>
      <c r="O1822" s="552" t="s">
        <v>1584</v>
      </c>
      <c r="P1822" s="603"/>
      <c r="Q1822" s="682"/>
      <c r="R1822" s="682"/>
      <c r="S1822" s="682"/>
      <c r="T1822" s="682"/>
      <c r="U1822" s="682"/>
      <c r="V1822" s="682"/>
      <c r="W1822" s="682"/>
    </row>
    <row r="1823" spans="1:23">
      <c r="A1823" s="1045">
        <f t="shared" si="29"/>
        <v>8</v>
      </c>
      <c r="B1823" s="134">
        <v>45517</v>
      </c>
      <c r="C1823" s="70">
        <v>2018</v>
      </c>
      <c r="D1823" s="70" t="s">
        <v>58</v>
      </c>
      <c r="E1823" s="280" t="s">
        <v>3903</v>
      </c>
      <c r="F1823" s="1049">
        <v>0.25</v>
      </c>
      <c r="G1823" s="1049"/>
      <c r="H1823" s="564"/>
      <c r="I1823" s="609"/>
      <c r="J1823" s="1155"/>
      <c r="K1823" s="609"/>
      <c r="L1823" s="609"/>
      <c r="M1823" s="609"/>
      <c r="N1823" s="599"/>
      <c r="O1823" s="552" t="s">
        <v>1584</v>
      </c>
      <c r="P1823" s="603"/>
      <c r="Q1823" s="682"/>
      <c r="R1823" s="682"/>
      <c r="S1823" s="682"/>
      <c r="T1823" s="682"/>
      <c r="U1823" s="682"/>
      <c r="V1823" s="682"/>
      <c r="W1823" s="682"/>
    </row>
    <row r="1824" spans="1:23">
      <c r="A1824" s="1045">
        <f t="shared" si="29"/>
        <v>8</v>
      </c>
      <c r="B1824" s="134">
        <v>45517</v>
      </c>
      <c r="C1824" s="70">
        <v>5250</v>
      </c>
      <c r="D1824" s="70" t="s">
        <v>85</v>
      </c>
      <c r="E1824" s="280" t="s">
        <v>3904</v>
      </c>
      <c r="F1824" s="1049">
        <v>2491</v>
      </c>
      <c r="G1824" s="1049"/>
      <c r="H1824" s="564"/>
      <c r="I1824" s="609"/>
      <c r="J1824" s="1155"/>
      <c r="K1824" s="609"/>
      <c r="L1824" s="609"/>
      <c r="M1824" s="609"/>
      <c r="N1824" s="599"/>
      <c r="O1824" s="552" t="s">
        <v>1584</v>
      </c>
      <c r="P1824" s="603"/>
      <c r="Q1824" s="682"/>
      <c r="R1824" s="682"/>
      <c r="S1824" s="682"/>
      <c r="T1824" s="682"/>
      <c r="U1824" s="682"/>
      <c r="V1824" s="682"/>
      <c r="W1824" s="682"/>
    </row>
    <row r="1825" spans="1:23">
      <c r="A1825" s="1045">
        <f t="shared" si="29"/>
        <v>8</v>
      </c>
      <c r="B1825" s="134">
        <v>45517</v>
      </c>
      <c r="C1825" s="70">
        <v>2018</v>
      </c>
      <c r="D1825" s="70" t="s">
        <v>58</v>
      </c>
      <c r="E1825" s="280" t="s">
        <v>3904</v>
      </c>
      <c r="F1825" s="1049">
        <v>124.56</v>
      </c>
      <c r="G1825" s="1049"/>
      <c r="H1825" s="564"/>
      <c r="I1825" s="609"/>
      <c r="J1825" s="1155"/>
      <c r="K1825" s="609"/>
      <c r="L1825" s="609"/>
      <c r="M1825" s="609"/>
      <c r="N1825" s="599"/>
      <c r="O1825" s="552" t="s">
        <v>1584</v>
      </c>
      <c r="P1825" s="603"/>
      <c r="Q1825" s="682"/>
      <c r="R1825" s="682"/>
      <c r="S1825" s="682"/>
      <c r="T1825" s="682"/>
      <c r="U1825" s="682"/>
      <c r="V1825" s="682"/>
      <c r="W1825" s="682"/>
    </row>
    <row r="1826" spans="1:23">
      <c r="A1826" s="1045">
        <f t="shared" si="29"/>
        <v>8</v>
      </c>
      <c r="B1826" s="134">
        <v>45517</v>
      </c>
      <c r="C1826" s="70">
        <v>5250</v>
      </c>
      <c r="D1826" s="70" t="s">
        <v>85</v>
      </c>
      <c r="E1826" s="280" t="s">
        <v>3905</v>
      </c>
      <c r="F1826" s="1049">
        <v>1538</v>
      </c>
      <c r="G1826" s="1049"/>
      <c r="H1826" s="564"/>
      <c r="I1826" s="609"/>
      <c r="J1826" s="1155"/>
      <c r="K1826" s="609"/>
      <c r="L1826" s="609"/>
      <c r="M1826" s="609"/>
      <c r="N1826" s="599"/>
      <c r="O1826" s="552" t="s">
        <v>1584</v>
      </c>
      <c r="P1826" s="603"/>
      <c r="Q1826" s="682"/>
      <c r="R1826" s="682"/>
      <c r="S1826" s="682"/>
      <c r="T1826" s="682"/>
      <c r="U1826" s="682"/>
      <c r="V1826" s="682"/>
      <c r="W1826" s="682"/>
    </row>
    <row r="1827" spans="1:23">
      <c r="A1827" s="1045">
        <f t="shared" si="29"/>
        <v>8</v>
      </c>
      <c r="B1827" s="134">
        <v>45517</v>
      </c>
      <c r="C1827" s="70">
        <v>2018</v>
      </c>
      <c r="D1827" s="70" t="s">
        <v>58</v>
      </c>
      <c r="E1827" s="280" t="s">
        <v>3905</v>
      </c>
      <c r="F1827" s="1049">
        <v>76.900000000000006</v>
      </c>
      <c r="G1827" s="1049"/>
      <c r="H1827" s="564"/>
      <c r="I1827" s="609"/>
      <c r="J1827" s="1155"/>
      <c r="K1827" s="609"/>
      <c r="L1827" s="609"/>
      <c r="M1827" s="609"/>
      <c r="N1827" s="599"/>
      <c r="O1827" s="552" t="s">
        <v>1584</v>
      </c>
      <c r="P1827" s="603"/>
      <c r="Q1827" s="682"/>
      <c r="R1827" s="682"/>
      <c r="S1827" s="682"/>
      <c r="T1827" s="682"/>
      <c r="U1827" s="682"/>
      <c r="V1827" s="682"/>
      <c r="W1827" s="682"/>
    </row>
    <row r="1828" spans="1:23">
      <c r="A1828" s="1045">
        <f t="shared" si="29"/>
        <v>8</v>
      </c>
      <c r="B1828" s="134">
        <v>45517</v>
      </c>
      <c r="C1828" s="70">
        <v>5250</v>
      </c>
      <c r="D1828" s="70" t="s">
        <v>85</v>
      </c>
      <c r="E1828" s="280" t="s">
        <v>3906</v>
      </c>
      <c r="F1828" s="1049">
        <v>108</v>
      </c>
      <c r="G1828" s="1049"/>
      <c r="H1828" s="564"/>
      <c r="I1828" s="609"/>
      <c r="J1828" s="1155"/>
      <c r="K1828" s="609"/>
      <c r="L1828" s="609"/>
      <c r="M1828" s="609"/>
      <c r="N1828" s="599"/>
      <c r="O1828" s="552" t="s">
        <v>1584</v>
      </c>
      <c r="P1828" s="603"/>
      <c r="Q1828" s="682"/>
      <c r="R1828" s="682"/>
      <c r="S1828" s="682"/>
      <c r="T1828" s="682"/>
      <c r="U1828" s="682"/>
      <c r="V1828" s="682"/>
      <c r="W1828" s="682"/>
    </row>
    <row r="1829" spans="1:23">
      <c r="A1829" s="1045">
        <f t="shared" si="29"/>
        <v>8</v>
      </c>
      <c r="B1829" s="134">
        <v>45517</v>
      </c>
      <c r="C1829" s="70">
        <v>2018</v>
      </c>
      <c r="D1829" s="70" t="s">
        <v>58</v>
      </c>
      <c r="E1829" s="280" t="s">
        <v>3906</v>
      </c>
      <c r="F1829" s="1049">
        <v>5.4</v>
      </c>
      <c r="G1829" s="1049"/>
      <c r="H1829" s="564"/>
      <c r="I1829" s="609"/>
      <c r="J1829" s="1155"/>
      <c r="K1829" s="609"/>
      <c r="L1829" s="609"/>
      <c r="M1829" s="609"/>
      <c r="N1829" s="599"/>
      <c r="O1829" s="552" t="s">
        <v>1584</v>
      </c>
      <c r="P1829" s="603"/>
      <c r="Q1829" s="682"/>
      <c r="R1829" s="682"/>
      <c r="S1829" s="682"/>
      <c r="T1829" s="682"/>
      <c r="U1829" s="682"/>
      <c r="V1829" s="682"/>
      <c r="W1829" s="682"/>
    </row>
    <row r="1830" spans="1:23">
      <c r="A1830" s="1045">
        <f t="shared" si="29"/>
        <v>8</v>
      </c>
      <c r="B1830" s="134">
        <v>45517</v>
      </c>
      <c r="C1830" s="70">
        <v>5250</v>
      </c>
      <c r="D1830" s="70" t="s">
        <v>85</v>
      </c>
      <c r="E1830" s="280" t="s">
        <v>3907</v>
      </c>
      <c r="F1830" s="1049">
        <v>207.63</v>
      </c>
      <c r="G1830" s="1049"/>
      <c r="H1830" s="564"/>
      <c r="I1830" s="609"/>
      <c r="J1830" s="1155"/>
      <c r="K1830" s="609"/>
      <c r="L1830" s="609"/>
      <c r="M1830" s="609"/>
      <c r="N1830" s="599"/>
      <c r="O1830" s="552" t="s">
        <v>1584</v>
      </c>
      <c r="P1830" s="603"/>
      <c r="Q1830" s="682"/>
      <c r="R1830" s="682"/>
      <c r="S1830" s="682"/>
      <c r="T1830" s="682"/>
      <c r="U1830" s="682"/>
      <c r="V1830" s="682"/>
      <c r="W1830" s="682"/>
    </row>
    <row r="1831" spans="1:23">
      <c r="A1831" s="1045">
        <f t="shared" si="29"/>
        <v>8</v>
      </c>
      <c r="B1831" s="134">
        <v>45517</v>
      </c>
      <c r="C1831" s="70">
        <v>2018</v>
      </c>
      <c r="D1831" s="70" t="s">
        <v>58</v>
      </c>
      <c r="E1831" s="280" t="s">
        <v>3907</v>
      </c>
      <c r="F1831" s="1049">
        <v>10.39</v>
      </c>
      <c r="G1831" s="1049"/>
      <c r="H1831" s="564"/>
      <c r="I1831" s="609"/>
      <c r="J1831" s="1155"/>
      <c r="K1831" s="609"/>
      <c r="L1831" s="609"/>
      <c r="M1831" s="609"/>
      <c r="N1831" s="599"/>
      <c r="O1831" s="552" t="s">
        <v>1584</v>
      </c>
      <c r="P1831" s="603"/>
      <c r="Q1831" s="682"/>
      <c r="R1831" s="682"/>
      <c r="S1831" s="682"/>
      <c r="T1831" s="682"/>
      <c r="U1831" s="682"/>
      <c r="V1831" s="682"/>
      <c r="W1831" s="682"/>
    </row>
    <row r="1832" spans="1:23">
      <c r="A1832" s="1045">
        <f t="shared" si="29"/>
        <v>8</v>
      </c>
      <c r="B1832" s="134">
        <v>45518</v>
      </c>
      <c r="C1832" s="70">
        <v>5250</v>
      </c>
      <c r="D1832" s="70" t="s">
        <v>85</v>
      </c>
      <c r="E1832" s="280" t="s">
        <v>3908</v>
      </c>
      <c r="F1832" s="1049">
        <v>179</v>
      </c>
      <c r="G1832" s="1049"/>
      <c r="H1832" s="564"/>
      <c r="I1832" s="609"/>
      <c r="J1832" s="1155"/>
      <c r="K1832" s="609"/>
      <c r="L1832" s="609"/>
      <c r="M1832" s="609"/>
      <c r="N1832" s="599"/>
      <c r="O1832" s="552" t="s">
        <v>1584</v>
      </c>
      <c r="P1832" s="603"/>
      <c r="Q1832" s="682"/>
      <c r="R1832" s="682"/>
      <c r="S1832" s="682"/>
      <c r="T1832" s="682"/>
      <c r="U1832" s="682"/>
      <c r="V1832" s="682"/>
      <c r="W1832" s="682"/>
    </row>
    <row r="1833" spans="1:23">
      <c r="A1833" s="1045">
        <f t="shared" si="29"/>
        <v>8</v>
      </c>
      <c r="B1833" s="134">
        <v>45518</v>
      </c>
      <c r="C1833" s="70">
        <v>2018</v>
      </c>
      <c r="D1833" s="70" t="s">
        <v>58</v>
      </c>
      <c r="E1833" s="280" t="s">
        <v>3908</v>
      </c>
      <c r="F1833" s="1049">
        <v>8.9499999999999993</v>
      </c>
      <c r="G1833" s="1049"/>
      <c r="H1833" s="564"/>
      <c r="I1833" s="609"/>
      <c r="J1833" s="1155"/>
      <c r="K1833" s="609"/>
      <c r="L1833" s="609"/>
      <c r="M1833" s="609"/>
      <c r="N1833" s="599"/>
      <c r="O1833" s="552" t="s">
        <v>1584</v>
      </c>
      <c r="P1833" s="603"/>
      <c r="Q1833" s="682"/>
      <c r="R1833" s="682"/>
      <c r="S1833" s="682"/>
      <c r="T1833" s="682"/>
      <c r="U1833" s="682"/>
      <c r="V1833" s="682"/>
      <c r="W1833" s="682"/>
    </row>
    <row r="1834" spans="1:23">
      <c r="A1834" s="1045">
        <f t="shared" si="29"/>
        <v>8</v>
      </c>
      <c r="B1834" s="134">
        <v>45518</v>
      </c>
      <c r="C1834" s="70">
        <v>5250</v>
      </c>
      <c r="D1834" s="70" t="s">
        <v>85</v>
      </c>
      <c r="E1834" s="280" t="s">
        <v>3909</v>
      </c>
      <c r="F1834" s="1049">
        <v>35</v>
      </c>
      <c r="G1834" s="1049"/>
      <c r="H1834" s="564"/>
      <c r="I1834" s="609"/>
      <c r="J1834" s="1155"/>
      <c r="K1834" s="609"/>
      <c r="L1834" s="609"/>
      <c r="M1834" s="609"/>
      <c r="N1834" s="599"/>
      <c r="O1834" s="552" t="s">
        <v>1584</v>
      </c>
      <c r="P1834" s="603"/>
      <c r="Q1834" s="682"/>
      <c r="R1834" s="682"/>
      <c r="S1834" s="682"/>
      <c r="T1834" s="682"/>
      <c r="U1834" s="682"/>
      <c r="V1834" s="682"/>
      <c r="W1834" s="682"/>
    </row>
    <row r="1835" spans="1:23">
      <c r="A1835" s="1045">
        <f t="shared" si="29"/>
        <v>8</v>
      </c>
      <c r="B1835" s="134">
        <v>45518</v>
      </c>
      <c r="C1835" s="70">
        <v>2018</v>
      </c>
      <c r="D1835" s="70" t="s">
        <v>58</v>
      </c>
      <c r="E1835" s="280" t="s">
        <v>3910</v>
      </c>
      <c r="F1835" s="1049">
        <v>1.75</v>
      </c>
      <c r="G1835" s="1049"/>
      <c r="H1835" s="564"/>
      <c r="I1835" s="609"/>
      <c r="J1835" s="1155"/>
      <c r="K1835" s="609"/>
      <c r="L1835" s="609"/>
      <c r="M1835" s="609"/>
      <c r="N1835" s="599"/>
      <c r="O1835" s="552" t="s">
        <v>1584</v>
      </c>
      <c r="P1835" s="603"/>
      <c r="Q1835" s="682"/>
      <c r="R1835" s="682"/>
      <c r="S1835" s="682"/>
      <c r="T1835" s="682"/>
      <c r="U1835" s="682"/>
      <c r="V1835" s="682"/>
      <c r="W1835" s="682"/>
    </row>
    <row r="1836" spans="1:23">
      <c r="A1836" s="1045">
        <f t="shared" si="29"/>
        <v>8</v>
      </c>
      <c r="B1836" s="134">
        <v>45518</v>
      </c>
      <c r="C1836" s="70">
        <v>5250</v>
      </c>
      <c r="D1836" s="70" t="s">
        <v>85</v>
      </c>
      <c r="E1836" s="280" t="s">
        <v>3911</v>
      </c>
      <c r="F1836" s="1049">
        <v>14</v>
      </c>
      <c r="G1836" s="1049"/>
      <c r="H1836" s="564"/>
      <c r="I1836" s="609"/>
      <c r="J1836" s="1155"/>
      <c r="K1836" s="609"/>
      <c r="L1836" s="609"/>
      <c r="M1836" s="609"/>
      <c r="N1836" s="599"/>
      <c r="O1836" s="552" t="s">
        <v>1584</v>
      </c>
      <c r="P1836" s="603"/>
      <c r="Q1836" s="682"/>
      <c r="R1836" s="682"/>
      <c r="S1836" s="682"/>
      <c r="T1836" s="682"/>
      <c r="U1836" s="682"/>
      <c r="V1836" s="682"/>
      <c r="W1836" s="682"/>
    </row>
    <row r="1837" spans="1:23">
      <c r="A1837" s="1045">
        <f t="shared" si="29"/>
        <v>8</v>
      </c>
      <c r="B1837" s="134">
        <v>45518</v>
      </c>
      <c r="C1837" s="70">
        <v>2018</v>
      </c>
      <c r="D1837" s="70" t="s">
        <v>58</v>
      </c>
      <c r="E1837" s="280" t="s">
        <v>3911</v>
      </c>
      <c r="F1837" s="1049">
        <v>0.64</v>
      </c>
      <c r="G1837" s="1049"/>
      <c r="H1837" s="564"/>
      <c r="I1837" s="609"/>
      <c r="J1837" s="1155"/>
      <c r="K1837" s="609"/>
      <c r="L1837" s="609"/>
      <c r="M1837" s="609"/>
      <c r="N1837" s="599"/>
      <c r="O1837" s="552" t="s">
        <v>1584</v>
      </c>
      <c r="P1837" s="603"/>
      <c r="Q1837" s="682"/>
      <c r="R1837" s="682"/>
      <c r="S1837" s="682"/>
      <c r="T1837" s="682"/>
      <c r="U1837" s="682"/>
      <c r="V1837" s="682"/>
      <c r="W1837" s="682"/>
    </row>
    <row r="1838" spans="1:23">
      <c r="A1838" s="1045">
        <f t="shared" si="29"/>
        <v>8</v>
      </c>
      <c r="B1838" s="134">
        <v>45518</v>
      </c>
      <c r="C1838" s="70">
        <v>5150</v>
      </c>
      <c r="D1838" s="70" t="s">
        <v>82</v>
      </c>
      <c r="E1838" s="280" t="s">
        <v>3912</v>
      </c>
      <c r="F1838" s="1049">
        <v>25680</v>
      </c>
      <c r="G1838" s="1049"/>
      <c r="H1838" s="564"/>
      <c r="I1838" s="609"/>
      <c r="J1838" s="1155"/>
      <c r="K1838" s="609"/>
      <c r="L1838" s="609"/>
      <c r="M1838" s="609"/>
      <c r="N1838" s="599"/>
      <c r="O1838" s="552" t="s">
        <v>1584</v>
      </c>
      <c r="P1838" s="603"/>
      <c r="Q1838" s="682"/>
      <c r="R1838" s="682"/>
      <c r="S1838" s="682"/>
      <c r="T1838" s="682"/>
      <c r="U1838" s="682"/>
      <c r="V1838" s="682"/>
      <c r="W1838" s="682"/>
    </row>
    <row r="1839" spans="1:23">
      <c r="A1839" s="1045">
        <f t="shared" si="29"/>
        <v>8</v>
      </c>
      <c r="B1839" s="134">
        <v>45518</v>
      </c>
      <c r="C1839" s="70">
        <v>2018</v>
      </c>
      <c r="D1839" s="70" t="s">
        <v>58</v>
      </c>
      <c r="E1839" s="280" t="s">
        <v>3912</v>
      </c>
      <c r="F1839" s="1049">
        <v>1284</v>
      </c>
      <c r="G1839" s="1049"/>
      <c r="H1839" s="564"/>
      <c r="I1839" s="609"/>
      <c r="J1839" s="1155"/>
      <c r="K1839" s="609"/>
      <c r="L1839" s="609"/>
      <c r="M1839" s="609"/>
      <c r="N1839" s="599"/>
      <c r="O1839" s="552" t="s">
        <v>1584</v>
      </c>
      <c r="P1839" s="603"/>
      <c r="Q1839" s="682"/>
      <c r="R1839" s="682"/>
      <c r="S1839" s="682"/>
      <c r="T1839" s="682"/>
      <c r="U1839" s="682"/>
      <c r="V1839" s="682"/>
      <c r="W1839" s="682"/>
    </row>
    <row r="1840" spans="1:23">
      <c r="A1840" s="1045">
        <f t="shared" si="29"/>
        <v>8</v>
      </c>
      <c r="B1840" s="134">
        <v>45518</v>
      </c>
      <c r="C1840" s="70">
        <v>5250</v>
      </c>
      <c r="D1840" s="70" t="s">
        <v>85</v>
      </c>
      <c r="E1840" s="280" t="s">
        <v>3913</v>
      </c>
      <c r="F1840" s="1049">
        <v>250</v>
      </c>
      <c r="G1840" s="1049"/>
      <c r="H1840" s="564"/>
      <c r="I1840" s="609"/>
      <c r="J1840" s="1155"/>
      <c r="K1840" s="609"/>
      <c r="L1840" s="609"/>
      <c r="M1840" s="609"/>
      <c r="N1840" s="599"/>
      <c r="O1840" s="552" t="s">
        <v>1584</v>
      </c>
      <c r="P1840" s="603"/>
      <c r="Q1840" s="682"/>
      <c r="R1840" s="682"/>
      <c r="S1840" s="682"/>
      <c r="T1840" s="682"/>
      <c r="U1840" s="682"/>
      <c r="V1840" s="682"/>
      <c r="W1840" s="682"/>
    </row>
    <row r="1841" spans="1:23">
      <c r="A1841" s="1045">
        <f t="shared" si="29"/>
        <v>8</v>
      </c>
      <c r="B1841" s="134">
        <v>45518</v>
      </c>
      <c r="C1841" s="70">
        <v>5250</v>
      </c>
      <c r="D1841" s="70" t="s">
        <v>85</v>
      </c>
      <c r="E1841" s="280" t="s">
        <v>3914</v>
      </c>
      <c r="F1841" s="1049">
        <v>9.0500000000000007</v>
      </c>
      <c r="G1841" s="1049"/>
      <c r="H1841" s="564"/>
      <c r="I1841" s="609"/>
      <c r="J1841" s="1155"/>
      <c r="K1841" s="609"/>
      <c r="L1841" s="609"/>
      <c r="M1841" s="609"/>
      <c r="N1841" s="599"/>
      <c r="O1841" s="552" t="s">
        <v>1584</v>
      </c>
      <c r="P1841" s="603"/>
      <c r="Q1841" s="682"/>
      <c r="R1841" s="682"/>
      <c r="S1841" s="682"/>
      <c r="T1841" s="682"/>
      <c r="U1841" s="682"/>
      <c r="V1841" s="682"/>
      <c r="W1841" s="682"/>
    </row>
    <row r="1842" spans="1:23">
      <c r="A1842" s="1045">
        <f t="shared" si="29"/>
        <v>8</v>
      </c>
      <c r="B1842" s="134">
        <v>45518</v>
      </c>
      <c r="C1842" s="70">
        <v>2018</v>
      </c>
      <c r="D1842" s="70" t="s">
        <v>58</v>
      </c>
      <c r="E1842" s="280" t="s">
        <v>3914</v>
      </c>
      <c r="F1842" s="1049">
        <v>0.45</v>
      </c>
      <c r="G1842" s="1049"/>
      <c r="H1842" s="564"/>
      <c r="I1842" s="609"/>
      <c r="J1842" s="1155"/>
      <c r="K1842" s="609"/>
      <c r="L1842" s="609"/>
      <c r="M1842" s="609"/>
      <c r="N1842" s="599"/>
      <c r="O1842" s="552" t="s">
        <v>1584</v>
      </c>
      <c r="P1842" s="603"/>
      <c r="Q1842" s="682"/>
      <c r="R1842" s="682"/>
      <c r="S1842" s="682"/>
      <c r="T1842" s="682"/>
      <c r="U1842" s="682"/>
      <c r="V1842" s="682"/>
      <c r="W1842" s="682"/>
    </row>
    <row r="1843" spans="1:23">
      <c r="A1843" s="1045">
        <f t="shared" si="29"/>
        <v>8</v>
      </c>
      <c r="B1843" s="134">
        <v>45518</v>
      </c>
      <c r="C1843" s="70">
        <v>5220</v>
      </c>
      <c r="D1843" s="70" t="s">
        <v>84</v>
      </c>
      <c r="E1843" s="280" t="s">
        <v>3915</v>
      </c>
      <c r="F1843" s="1049">
        <v>1828.29</v>
      </c>
      <c r="G1843" s="1049"/>
      <c r="H1843" s="564"/>
      <c r="I1843" s="609"/>
      <c r="J1843" s="1155"/>
      <c r="K1843" s="609"/>
      <c r="L1843" s="609"/>
      <c r="M1843" s="609"/>
      <c r="N1843" s="599"/>
      <c r="O1843" s="552" t="s">
        <v>1584</v>
      </c>
      <c r="P1843" s="603"/>
      <c r="Q1843" s="682"/>
      <c r="R1843" s="682"/>
      <c r="S1843" s="682"/>
      <c r="T1843" s="682"/>
      <c r="U1843" s="682"/>
      <c r="V1843" s="682"/>
      <c r="W1843" s="682"/>
    </row>
    <row r="1844" spans="1:23">
      <c r="A1844" s="1045">
        <f t="shared" si="29"/>
        <v>8</v>
      </c>
      <c r="B1844" s="134">
        <v>45518</v>
      </c>
      <c r="C1844" s="70">
        <v>2018</v>
      </c>
      <c r="D1844" s="70" t="s">
        <v>58</v>
      </c>
      <c r="E1844" s="280" t="s">
        <v>3915</v>
      </c>
      <c r="F1844" s="1049">
        <v>91.41</v>
      </c>
      <c r="G1844" s="1049"/>
      <c r="H1844" s="564"/>
      <c r="I1844" s="609"/>
      <c r="J1844" s="1155"/>
      <c r="K1844" s="609"/>
      <c r="L1844" s="609"/>
      <c r="M1844" s="609"/>
      <c r="N1844" s="599"/>
      <c r="O1844" s="552" t="s">
        <v>1584</v>
      </c>
      <c r="P1844" s="603"/>
      <c r="Q1844" s="682"/>
      <c r="R1844" s="682"/>
      <c r="S1844" s="682"/>
      <c r="T1844" s="682"/>
      <c r="U1844" s="682"/>
      <c r="V1844" s="682"/>
      <c r="W1844" s="682"/>
    </row>
    <row r="1845" spans="1:23">
      <c r="A1845" s="1045">
        <f t="shared" si="29"/>
        <v>8</v>
      </c>
      <c r="B1845" s="134">
        <v>45518</v>
      </c>
      <c r="C1845" s="70">
        <v>5250</v>
      </c>
      <c r="D1845" s="70" t="s">
        <v>85</v>
      </c>
      <c r="E1845" s="280" t="s">
        <v>3916</v>
      </c>
      <c r="F1845" s="1049">
        <v>175</v>
      </c>
      <c r="G1845" s="1049"/>
      <c r="H1845" s="564"/>
      <c r="I1845" s="609"/>
      <c r="J1845" s="1155"/>
      <c r="K1845" s="609"/>
      <c r="L1845" s="609"/>
      <c r="M1845" s="609"/>
      <c r="N1845" s="599"/>
      <c r="O1845" s="552" t="s">
        <v>1584</v>
      </c>
      <c r="P1845" s="603"/>
      <c r="Q1845" s="682"/>
      <c r="R1845" s="682"/>
      <c r="S1845" s="682"/>
      <c r="T1845" s="682"/>
      <c r="U1845" s="682"/>
      <c r="V1845" s="682"/>
      <c r="W1845" s="682"/>
    </row>
    <row r="1846" spans="1:23">
      <c r="A1846" s="1045">
        <f t="shared" si="29"/>
        <v>8</v>
      </c>
      <c r="B1846" s="134">
        <v>45518</v>
      </c>
      <c r="C1846" s="70">
        <v>2018</v>
      </c>
      <c r="D1846" s="70" t="s">
        <v>58</v>
      </c>
      <c r="E1846" s="280" t="s">
        <v>3916</v>
      </c>
      <c r="F1846" s="1049">
        <v>8.75</v>
      </c>
      <c r="G1846" s="1049"/>
      <c r="H1846" s="564"/>
      <c r="I1846" s="609"/>
      <c r="J1846" s="1155"/>
      <c r="K1846" s="609"/>
      <c r="L1846" s="609"/>
      <c r="M1846" s="609"/>
      <c r="N1846" s="599"/>
      <c r="O1846" s="552" t="s">
        <v>1584</v>
      </c>
      <c r="P1846" s="603"/>
      <c r="Q1846" s="682"/>
      <c r="R1846" s="682"/>
      <c r="S1846" s="682"/>
      <c r="T1846" s="682"/>
      <c r="U1846" s="682"/>
      <c r="V1846" s="682"/>
      <c r="W1846" s="682"/>
    </row>
    <row r="1847" spans="1:23">
      <c r="A1847" s="1045">
        <f t="shared" si="29"/>
        <v>8</v>
      </c>
      <c r="B1847" s="134">
        <v>45518</v>
      </c>
      <c r="C1847" s="70">
        <v>5250</v>
      </c>
      <c r="D1847" s="70" t="s">
        <v>85</v>
      </c>
      <c r="E1847" s="280" t="s">
        <v>3917</v>
      </c>
      <c r="F1847" s="1049">
        <v>190</v>
      </c>
      <c r="G1847" s="1049"/>
      <c r="H1847" s="564"/>
      <c r="I1847" s="609"/>
      <c r="J1847" s="1155"/>
      <c r="K1847" s="609"/>
      <c r="L1847" s="609"/>
      <c r="M1847" s="609"/>
      <c r="N1847" s="599"/>
      <c r="O1847" s="552" t="s">
        <v>1584</v>
      </c>
      <c r="P1847" s="603"/>
      <c r="Q1847" s="682"/>
      <c r="R1847" s="682"/>
      <c r="S1847" s="682"/>
      <c r="T1847" s="682"/>
      <c r="U1847" s="682"/>
      <c r="V1847" s="682"/>
      <c r="W1847" s="682"/>
    </row>
    <row r="1848" spans="1:23">
      <c r="A1848" s="1045">
        <f t="shared" si="29"/>
        <v>8</v>
      </c>
      <c r="B1848" s="134">
        <v>45518</v>
      </c>
      <c r="C1848" s="70">
        <v>5250</v>
      </c>
      <c r="D1848" s="70" t="s">
        <v>85</v>
      </c>
      <c r="E1848" s="280" t="s">
        <v>3917</v>
      </c>
      <c r="F1848" s="1049">
        <v>9.5</v>
      </c>
      <c r="G1848" s="1049"/>
      <c r="H1848" s="564"/>
      <c r="I1848" s="609"/>
      <c r="J1848" s="1155"/>
      <c r="K1848" s="609"/>
      <c r="L1848" s="609"/>
      <c r="M1848" s="609"/>
      <c r="N1848" s="599"/>
      <c r="O1848" s="552" t="s">
        <v>1584</v>
      </c>
      <c r="P1848" s="603"/>
      <c r="Q1848" s="682"/>
      <c r="R1848" s="682"/>
      <c r="S1848" s="682"/>
      <c r="T1848" s="682"/>
      <c r="U1848" s="682"/>
      <c r="V1848" s="682"/>
      <c r="W1848" s="682"/>
    </row>
    <row r="1849" spans="1:23">
      <c r="A1849" s="1045">
        <f t="shared" si="29"/>
        <v>8</v>
      </c>
      <c r="B1849" s="134">
        <v>45518</v>
      </c>
      <c r="C1849" s="70">
        <v>5250</v>
      </c>
      <c r="D1849" s="70" t="s">
        <v>85</v>
      </c>
      <c r="E1849" s="280" t="s">
        <v>3918</v>
      </c>
      <c r="F1849" s="1049">
        <v>50</v>
      </c>
      <c r="G1849" s="1049"/>
      <c r="H1849" s="564"/>
      <c r="I1849" s="609"/>
      <c r="J1849" s="1155"/>
      <c r="K1849" s="609"/>
      <c r="L1849" s="609"/>
      <c r="M1849" s="609"/>
      <c r="N1849" s="599"/>
      <c r="O1849" s="552" t="s">
        <v>1584</v>
      </c>
      <c r="P1849" s="603"/>
      <c r="Q1849" s="682"/>
      <c r="R1849" s="682"/>
      <c r="S1849" s="682"/>
      <c r="T1849" s="682"/>
      <c r="U1849" s="682"/>
      <c r="V1849" s="682"/>
      <c r="W1849" s="682"/>
    </row>
    <row r="1850" spans="1:23">
      <c r="A1850" s="1045">
        <f t="shared" si="29"/>
        <v>8</v>
      </c>
      <c r="B1850" s="134">
        <v>45518</v>
      </c>
      <c r="C1850" s="70">
        <v>2018</v>
      </c>
      <c r="D1850" s="70" t="s">
        <v>58</v>
      </c>
      <c r="E1850" s="280" t="s">
        <v>3918</v>
      </c>
      <c r="F1850" s="1049">
        <v>2.5</v>
      </c>
      <c r="G1850" s="1049"/>
      <c r="H1850" s="564"/>
      <c r="I1850" s="609"/>
      <c r="J1850" s="1155"/>
      <c r="K1850" s="609"/>
      <c r="L1850" s="609"/>
      <c r="M1850" s="609"/>
      <c r="N1850" s="599"/>
      <c r="O1850" s="552" t="s">
        <v>1584</v>
      </c>
      <c r="P1850" s="603"/>
      <c r="Q1850" s="682"/>
      <c r="R1850" s="682"/>
      <c r="S1850" s="682"/>
      <c r="T1850" s="682"/>
      <c r="U1850" s="682"/>
      <c r="V1850" s="682"/>
      <c r="W1850" s="682"/>
    </row>
    <row r="1851" spans="1:23">
      <c r="A1851" s="1045">
        <f t="shared" si="29"/>
        <v>8</v>
      </c>
      <c r="B1851" s="134">
        <v>45518</v>
      </c>
      <c r="C1851" s="70">
        <v>5250</v>
      </c>
      <c r="D1851" s="70" t="s">
        <v>85</v>
      </c>
      <c r="E1851" s="280" t="s">
        <v>3919</v>
      </c>
      <c r="F1851" s="1049">
        <v>23.8</v>
      </c>
      <c r="G1851" s="1049"/>
      <c r="H1851" s="564"/>
      <c r="I1851" s="609"/>
      <c r="J1851" s="1155"/>
      <c r="K1851" s="609"/>
      <c r="L1851" s="609"/>
      <c r="M1851" s="609"/>
      <c r="N1851" s="599"/>
      <c r="O1851" s="552" t="s">
        <v>1584</v>
      </c>
      <c r="P1851" s="603"/>
      <c r="Q1851" s="682"/>
      <c r="R1851" s="682"/>
      <c r="S1851" s="682"/>
      <c r="T1851" s="682"/>
      <c r="U1851" s="682"/>
      <c r="V1851" s="682"/>
      <c r="W1851" s="682"/>
    </row>
    <row r="1852" spans="1:23">
      <c r="A1852" s="1045">
        <f t="shared" si="29"/>
        <v>8</v>
      </c>
      <c r="B1852" s="134">
        <v>45518</v>
      </c>
      <c r="C1852" s="70">
        <v>2018</v>
      </c>
      <c r="D1852" s="70" t="s">
        <v>58</v>
      </c>
      <c r="E1852" s="280" t="s">
        <v>3919</v>
      </c>
      <c r="F1852" s="1049">
        <v>1.19</v>
      </c>
      <c r="G1852" s="1049"/>
      <c r="H1852" s="564"/>
      <c r="I1852" s="609"/>
      <c r="J1852" s="1155"/>
      <c r="K1852" s="609"/>
      <c r="L1852" s="609"/>
      <c r="M1852" s="609"/>
      <c r="N1852" s="599"/>
      <c r="O1852" s="552" t="s">
        <v>1584</v>
      </c>
      <c r="P1852" s="603"/>
      <c r="Q1852" s="682"/>
      <c r="R1852" s="682"/>
      <c r="S1852" s="682"/>
      <c r="T1852" s="682"/>
      <c r="U1852" s="682"/>
      <c r="V1852" s="682"/>
      <c r="W1852" s="682"/>
    </row>
    <row r="1853" spans="1:23">
      <c r="A1853" s="1045">
        <f t="shared" si="29"/>
        <v>8</v>
      </c>
      <c r="B1853" s="134">
        <v>45518</v>
      </c>
      <c r="C1853" s="70">
        <v>5250</v>
      </c>
      <c r="D1853" s="70" t="s">
        <v>85</v>
      </c>
      <c r="E1853" s="280" t="s">
        <v>3920</v>
      </c>
      <c r="F1853" s="1049">
        <v>9.52</v>
      </c>
      <c r="G1853" s="1049"/>
      <c r="H1853" s="564"/>
      <c r="I1853" s="609"/>
      <c r="J1853" s="1155"/>
      <c r="K1853" s="609"/>
      <c r="L1853" s="609"/>
      <c r="M1853" s="609"/>
      <c r="N1853" s="599"/>
      <c r="O1853" s="552" t="s">
        <v>1584</v>
      </c>
      <c r="P1853" s="603"/>
      <c r="Q1853" s="682"/>
      <c r="R1853" s="682"/>
      <c r="S1853" s="682"/>
      <c r="T1853" s="682"/>
      <c r="U1853" s="682"/>
      <c r="V1853" s="682"/>
      <c r="W1853" s="682"/>
    </row>
    <row r="1854" spans="1:23">
      <c r="A1854" s="1045">
        <f t="shared" si="29"/>
        <v>8</v>
      </c>
      <c r="B1854" s="134">
        <v>45518</v>
      </c>
      <c r="C1854" s="70">
        <v>2018</v>
      </c>
      <c r="D1854" s="70" t="s">
        <v>58</v>
      </c>
      <c r="E1854" s="280" t="s">
        <v>3920</v>
      </c>
      <c r="F1854" s="1049">
        <v>0.48</v>
      </c>
      <c r="G1854" s="1049"/>
      <c r="H1854" s="564"/>
      <c r="I1854" s="609"/>
      <c r="J1854" s="1155"/>
      <c r="K1854" s="609"/>
      <c r="L1854" s="609"/>
      <c r="M1854" s="609"/>
      <c r="N1854" s="599"/>
      <c r="O1854" s="552" t="s">
        <v>1584</v>
      </c>
      <c r="P1854" s="603"/>
      <c r="Q1854" s="682"/>
      <c r="R1854" s="682"/>
      <c r="S1854" s="682"/>
      <c r="T1854" s="682"/>
      <c r="U1854" s="682"/>
      <c r="V1854" s="682"/>
      <c r="W1854" s="682"/>
    </row>
    <row r="1855" spans="1:23">
      <c r="A1855" s="1045">
        <f t="shared" si="29"/>
        <v>8</v>
      </c>
      <c r="B1855" s="134">
        <v>45519</v>
      </c>
      <c r="C1855" s="70">
        <v>5100</v>
      </c>
      <c r="D1855" s="70" t="s">
        <v>81</v>
      </c>
      <c r="E1855" s="280" t="s">
        <v>3921</v>
      </c>
      <c r="F1855" s="1049">
        <v>300</v>
      </c>
      <c r="G1855" s="1049"/>
      <c r="H1855" s="564"/>
      <c r="I1855" s="609"/>
      <c r="J1855" s="1155"/>
      <c r="K1855" s="609"/>
      <c r="L1855" s="609"/>
      <c r="M1855" s="609"/>
      <c r="N1855" s="599"/>
      <c r="O1855" s="552" t="s">
        <v>1584</v>
      </c>
      <c r="P1855" s="603"/>
      <c r="Q1855" s="682"/>
      <c r="R1855" s="682"/>
      <c r="S1855" s="682"/>
      <c r="T1855" s="682"/>
      <c r="U1855" s="682"/>
      <c r="V1855" s="682"/>
      <c r="W1855" s="682"/>
    </row>
    <row r="1856" spans="1:23">
      <c r="A1856" s="1045">
        <f t="shared" si="29"/>
        <v>8</v>
      </c>
      <c r="B1856" s="134">
        <v>45519</v>
      </c>
      <c r="C1856" s="70">
        <v>5250</v>
      </c>
      <c r="D1856" s="70" t="s">
        <v>85</v>
      </c>
      <c r="E1856" s="280" t="s">
        <v>3922</v>
      </c>
      <c r="F1856" s="1049">
        <v>315</v>
      </c>
      <c r="G1856" s="1049"/>
      <c r="H1856" s="564"/>
      <c r="I1856" s="609"/>
      <c r="J1856" s="1155"/>
      <c r="K1856" s="609"/>
      <c r="L1856" s="609"/>
      <c r="M1856" s="609"/>
      <c r="N1856" s="599"/>
      <c r="O1856" s="552" t="s">
        <v>1584</v>
      </c>
      <c r="P1856" s="603"/>
      <c r="Q1856" s="682"/>
      <c r="R1856" s="682"/>
      <c r="S1856" s="682"/>
      <c r="T1856" s="682"/>
      <c r="U1856" s="682"/>
      <c r="V1856" s="682"/>
      <c r="W1856" s="682"/>
    </row>
    <row r="1857" spans="1:23">
      <c r="A1857" s="1045">
        <f t="shared" si="29"/>
        <v>8</v>
      </c>
      <c r="B1857" s="134">
        <v>45519</v>
      </c>
      <c r="C1857" s="70">
        <v>2018</v>
      </c>
      <c r="D1857" s="70" t="s">
        <v>58</v>
      </c>
      <c r="E1857" s="280" t="s">
        <v>3922</v>
      </c>
      <c r="F1857" s="1049">
        <v>15.75</v>
      </c>
      <c r="G1857" s="1049"/>
      <c r="H1857" s="564"/>
      <c r="I1857" s="609"/>
      <c r="J1857" s="1155"/>
      <c r="K1857" s="609"/>
      <c r="L1857" s="609"/>
      <c r="M1857" s="609"/>
      <c r="N1857" s="599"/>
      <c r="O1857" s="552" t="s">
        <v>1584</v>
      </c>
      <c r="P1857" s="603"/>
      <c r="Q1857" s="682"/>
      <c r="R1857" s="682"/>
      <c r="S1857" s="682"/>
      <c r="T1857" s="682"/>
      <c r="U1857" s="682"/>
      <c r="V1857" s="682"/>
      <c r="W1857" s="682"/>
    </row>
    <row r="1858" spans="1:23">
      <c r="A1858" s="1045">
        <f t="shared" si="29"/>
        <v>8</v>
      </c>
      <c r="B1858" s="134">
        <v>45519</v>
      </c>
      <c r="C1858" s="70">
        <v>5250</v>
      </c>
      <c r="D1858" s="70" t="s">
        <v>85</v>
      </c>
      <c r="E1858" s="280" t="s">
        <v>3923</v>
      </c>
      <c r="F1858" s="1049">
        <v>105</v>
      </c>
      <c r="G1858" s="1049"/>
      <c r="H1858" s="564"/>
      <c r="I1858" s="609"/>
      <c r="J1858" s="1155"/>
      <c r="K1858" s="609"/>
      <c r="L1858" s="609"/>
      <c r="M1858" s="609"/>
      <c r="N1858" s="599"/>
      <c r="O1858" s="552" t="s">
        <v>1584</v>
      </c>
      <c r="P1858" s="603"/>
      <c r="Q1858" s="682"/>
      <c r="R1858" s="682"/>
      <c r="S1858" s="682"/>
      <c r="T1858" s="682"/>
      <c r="U1858" s="682"/>
      <c r="V1858" s="682"/>
      <c r="W1858" s="682"/>
    </row>
    <row r="1859" spans="1:23">
      <c r="A1859" s="1045">
        <f t="shared" si="29"/>
        <v>8</v>
      </c>
      <c r="B1859" s="134">
        <v>45519</v>
      </c>
      <c r="C1859" s="70">
        <v>2018</v>
      </c>
      <c r="D1859" s="70" t="s">
        <v>58</v>
      </c>
      <c r="E1859" s="280" t="s">
        <v>3923</v>
      </c>
      <c r="F1859" s="1049">
        <v>5.25</v>
      </c>
      <c r="G1859" s="1049"/>
      <c r="H1859" s="564"/>
      <c r="I1859" s="609"/>
      <c r="J1859" s="1155"/>
      <c r="K1859" s="609"/>
      <c r="L1859" s="609"/>
      <c r="M1859" s="609"/>
      <c r="N1859" s="599"/>
      <c r="O1859" s="552" t="s">
        <v>1584</v>
      </c>
      <c r="P1859" s="603"/>
      <c r="Q1859" s="682"/>
      <c r="R1859" s="682"/>
      <c r="S1859" s="682"/>
      <c r="T1859" s="682"/>
      <c r="U1859" s="682"/>
      <c r="V1859" s="682"/>
      <c r="W1859" s="682"/>
    </row>
    <row r="1860" spans="1:23">
      <c r="A1860" s="1045">
        <f t="shared" si="29"/>
        <v>8</v>
      </c>
      <c r="B1860" s="134">
        <v>45519</v>
      </c>
      <c r="C1860" s="70">
        <v>5150</v>
      </c>
      <c r="D1860" s="70" t="s">
        <v>82</v>
      </c>
      <c r="E1860" s="280" t="s">
        <v>3924</v>
      </c>
      <c r="F1860" s="1049">
        <v>28630</v>
      </c>
      <c r="G1860" s="1049"/>
      <c r="H1860" s="564"/>
      <c r="I1860" s="609"/>
      <c r="J1860" s="1155"/>
      <c r="K1860" s="609"/>
      <c r="L1860" s="609"/>
      <c r="M1860" s="609"/>
      <c r="N1860" s="599"/>
      <c r="O1860" s="552" t="s">
        <v>1584</v>
      </c>
      <c r="P1860" s="603"/>
      <c r="Q1860" s="682"/>
      <c r="R1860" s="682"/>
      <c r="S1860" s="682"/>
      <c r="T1860" s="682"/>
      <c r="U1860" s="682"/>
      <c r="V1860" s="682"/>
      <c r="W1860" s="682"/>
    </row>
    <row r="1861" spans="1:23">
      <c r="A1861" s="1045">
        <f t="shared" si="29"/>
        <v>8</v>
      </c>
      <c r="B1861" s="134">
        <v>45519</v>
      </c>
      <c r="C1861" s="70">
        <v>2018</v>
      </c>
      <c r="D1861" s="70" t="s">
        <v>58</v>
      </c>
      <c r="E1861" s="280" t="s">
        <v>3924</v>
      </c>
      <c r="F1861" s="1049">
        <v>1431.5</v>
      </c>
      <c r="G1861" s="1049"/>
      <c r="H1861" s="564"/>
      <c r="I1861" s="609"/>
      <c r="J1861" s="1155"/>
      <c r="K1861" s="609"/>
      <c r="L1861" s="609"/>
      <c r="M1861" s="609"/>
      <c r="N1861" s="599"/>
      <c r="O1861" s="552" t="s">
        <v>1584</v>
      </c>
      <c r="P1861" s="603"/>
      <c r="Q1861" s="682"/>
      <c r="R1861" s="682"/>
      <c r="S1861" s="682"/>
      <c r="T1861" s="682"/>
      <c r="U1861" s="682"/>
      <c r="V1861" s="682"/>
      <c r="W1861" s="682"/>
    </row>
    <row r="1862" spans="1:23">
      <c r="A1862" s="1045">
        <f t="shared" si="29"/>
        <v>8</v>
      </c>
      <c r="B1862" s="134">
        <v>45519</v>
      </c>
      <c r="C1862" s="70">
        <v>5150</v>
      </c>
      <c r="D1862" s="70" t="s">
        <v>82</v>
      </c>
      <c r="E1862" s="280" t="s">
        <v>3925</v>
      </c>
      <c r="F1862" s="1049">
        <v>3195</v>
      </c>
      <c r="G1862" s="1049"/>
      <c r="H1862" s="564"/>
      <c r="I1862" s="609"/>
      <c r="J1862" s="1155"/>
      <c r="K1862" s="609"/>
      <c r="L1862" s="609"/>
      <c r="M1862" s="609"/>
      <c r="N1862" s="599"/>
      <c r="O1862" s="552" t="s">
        <v>1584</v>
      </c>
      <c r="P1862" s="603"/>
      <c r="Q1862" s="682"/>
      <c r="R1862" s="682"/>
      <c r="S1862" s="682"/>
      <c r="T1862" s="682"/>
      <c r="U1862" s="682"/>
      <c r="V1862" s="682"/>
      <c r="W1862" s="682"/>
    </row>
    <row r="1863" spans="1:23">
      <c r="A1863" s="1045">
        <f t="shared" si="29"/>
        <v>8</v>
      </c>
      <c r="B1863" s="134">
        <v>45519</v>
      </c>
      <c r="C1863" s="70">
        <v>2018</v>
      </c>
      <c r="D1863" s="70" t="s">
        <v>58</v>
      </c>
      <c r="E1863" s="280" t="s">
        <v>3925</v>
      </c>
      <c r="F1863" s="1049">
        <v>159.75</v>
      </c>
      <c r="G1863" s="1049"/>
      <c r="H1863" s="564"/>
      <c r="I1863" s="609"/>
      <c r="J1863" s="1155"/>
      <c r="K1863" s="609"/>
      <c r="L1863" s="609"/>
      <c r="M1863" s="609"/>
      <c r="N1863" s="599"/>
      <c r="O1863" s="552" t="s">
        <v>1584</v>
      </c>
      <c r="P1863" s="603"/>
      <c r="Q1863" s="682"/>
      <c r="R1863" s="682"/>
      <c r="S1863" s="682"/>
      <c r="T1863" s="682"/>
      <c r="U1863" s="682"/>
      <c r="V1863" s="682"/>
      <c r="W1863" s="682"/>
    </row>
    <row r="1864" spans="1:23">
      <c r="A1864" s="1045">
        <f t="shared" si="29"/>
        <v>8</v>
      </c>
      <c r="B1864" s="134">
        <v>45519</v>
      </c>
      <c r="C1864" s="70">
        <v>5150</v>
      </c>
      <c r="D1864" s="70" t="s">
        <v>82</v>
      </c>
      <c r="E1864" s="280" t="s">
        <v>3926</v>
      </c>
      <c r="F1864" s="1049">
        <v>3450</v>
      </c>
      <c r="G1864" s="1049"/>
      <c r="H1864" s="564"/>
      <c r="I1864" s="609"/>
      <c r="J1864" s="1155"/>
      <c r="K1864" s="609"/>
      <c r="L1864" s="609"/>
      <c r="M1864" s="609"/>
      <c r="N1864" s="599"/>
      <c r="O1864" s="552" t="s">
        <v>1584</v>
      </c>
      <c r="P1864" s="603"/>
      <c r="Q1864" s="682"/>
      <c r="R1864" s="682"/>
      <c r="S1864" s="682"/>
      <c r="T1864" s="682"/>
      <c r="U1864" s="682"/>
      <c r="V1864" s="682"/>
      <c r="W1864" s="682"/>
    </row>
    <row r="1865" spans="1:23">
      <c r="A1865" s="1045">
        <f t="shared" si="29"/>
        <v>8</v>
      </c>
      <c r="B1865" s="134">
        <v>45519</v>
      </c>
      <c r="C1865" s="70">
        <v>2018</v>
      </c>
      <c r="D1865" s="70" t="s">
        <v>58</v>
      </c>
      <c r="E1865" s="280" t="s">
        <v>3926</v>
      </c>
      <c r="F1865" s="1049">
        <v>172.5</v>
      </c>
      <c r="G1865" s="1049"/>
      <c r="H1865" s="564"/>
      <c r="I1865" s="609"/>
      <c r="J1865" s="1155"/>
      <c r="K1865" s="609"/>
      <c r="L1865" s="609"/>
      <c r="M1865" s="609"/>
      <c r="N1865" s="599"/>
      <c r="O1865" s="552" t="s">
        <v>1584</v>
      </c>
      <c r="P1865" s="603"/>
      <c r="Q1865" s="682"/>
      <c r="R1865" s="682"/>
      <c r="S1865" s="682"/>
      <c r="T1865" s="682"/>
      <c r="U1865" s="682"/>
      <c r="V1865" s="682"/>
      <c r="W1865" s="682"/>
    </row>
    <row r="1866" spans="1:23">
      <c r="A1866" s="1045">
        <f t="shared" si="29"/>
        <v>8</v>
      </c>
      <c r="B1866" s="134">
        <v>45519</v>
      </c>
      <c r="C1866" s="70">
        <v>5250</v>
      </c>
      <c r="D1866" s="70" t="s">
        <v>85</v>
      </c>
      <c r="E1866" s="280" t="s">
        <v>3927</v>
      </c>
      <c r="F1866" s="1049">
        <v>72</v>
      </c>
      <c r="G1866" s="1049"/>
      <c r="H1866" s="564"/>
      <c r="I1866" s="609"/>
      <c r="J1866" s="1155"/>
      <c r="K1866" s="609"/>
      <c r="L1866" s="609"/>
      <c r="M1866" s="609"/>
      <c r="N1866" s="599"/>
      <c r="O1866" s="552" t="s">
        <v>1584</v>
      </c>
      <c r="P1866" s="603"/>
      <c r="Q1866" s="682"/>
      <c r="R1866" s="682"/>
      <c r="S1866" s="682"/>
      <c r="T1866" s="682"/>
      <c r="U1866" s="682"/>
      <c r="V1866" s="682"/>
      <c r="W1866" s="682"/>
    </row>
    <row r="1867" spans="1:23">
      <c r="A1867" s="1045">
        <f t="shared" si="29"/>
        <v>8</v>
      </c>
      <c r="B1867" s="134">
        <v>45519</v>
      </c>
      <c r="C1867" s="70">
        <v>2018</v>
      </c>
      <c r="D1867" s="70" t="s">
        <v>58</v>
      </c>
      <c r="E1867" s="280" t="s">
        <v>3927</v>
      </c>
      <c r="F1867" s="1049">
        <v>3.6</v>
      </c>
      <c r="G1867" s="1049"/>
      <c r="H1867" s="564"/>
      <c r="I1867" s="609"/>
      <c r="J1867" s="1155"/>
      <c r="K1867" s="609"/>
      <c r="L1867" s="609"/>
      <c r="M1867" s="609"/>
      <c r="N1867" s="599"/>
      <c r="O1867" s="552" t="s">
        <v>1584</v>
      </c>
      <c r="P1867" s="603"/>
      <c r="Q1867" s="682"/>
      <c r="R1867" s="682"/>
      <c r="S1867" s="682"/>
      <c r="T1867" s="682"/>
      <c r="U1867" s="682"/>
      <c r="V1867" s="682"/>
      <c r="W1867" s="682"/>
    </row>
    <row r="1868" spans="1:23">
      <c r="A1868" s="1045">
        <f t="shared" si="29"/>
        <v>8</v>
      </c>
      <c r="B1868" s="134">
        <v>45519</v>
      </c>
      <c r="C1868" s="70">
        <v>5250</v>
      </c>
      <c r="D1868" s="70" t="s">
        <v>85</v>
      </c>
      <c r="E1868" s="280" t="s">
        <v>3928</v>
      </c>
      <c r="F1868" s="1049">
        <v>8.57</v>
      </c>
      <c r="G1868" s="1049"/>
      <c r="H1868" s="564"/>
      <c r="I1868" s="609"/>
      <c r="J1868" s="1155"/>
      <c r="K1868" s="609"/>
      <c r="L1868" s="609"/>
      <c r="M1868" s="609"/>
      <c r="N1868" s="599"/>
      <c r="O1868" s="552" t="s">
        <v>1584</v>
      </c>
      <c r="P1868" s="603"/>
      <c r="Q1868" s="682"/>
      <c r="R1868" s="682"/>
      <c r="S1868" s="682"/>
      <c r="T1868" s="682"/>
      <c r="U1868" s="682"/>
      <c r="V1868" s="682"/>
      <c r="W1868" s="682"/>
    </row>
    <row r="1869" spans="1:23">
      <c r="A1869" s="1045">
        <f t="shared" si="29"/>
        <v>8</v>
      </c>
      <c r="B1869" s="134">
        <v>45519</v>
      </c>
      <c r="C1869" s="70">
        <v>2018</v>
      </c>
      <c r="D1869" s="70" t="s">
        <v>58</v>
      </c>
      <c r="E1869" s="280" t="s">
        <v>3928</v>
      </c>
      <c r="F1869" s="1049">
        <v>0.43</v>
      </c>
      <c r="G1869" s="1049"/>
      <c r="H1869" s="564"/>
      <c r="I1869" s="609"/>
      <c r="J1869" s="1155"/>
      <c r="K1869" s="609"/>
      <c r="L1869" s="609"/>
      <c r="M1869" s="609"/>
      <c r="N1869" s="599"/>
      <c r="O1869" s="552" t="s">
        <v>1584</v>
      </c>
      <c r="P1869" s="603"/>
      <c r="Q1869" s="682"/>
      <c r="R1869" s="682"/>
      <c r="S1869" s="682"/>
      <c r="T1869" s="682"/>
      <c r="U1869" s="682"/>
      <c r="V1869" s="682"/>
      <c r="W1869" s="682"/>
    </row>
    <row r="1870" spans="1:23">
      <c r="A1870" s="1045">
        <f t="shared" si="29"/>
        <v>8</v>
      </c>
      <c r="B1870" s="134">
        <v>45519</v>
      </c>
      <c r="C1870" s="70">
        <v>5250</v>
      </c>
      <c r="D1870" s="70" t="s">
        <v>85</v>
      </c>
      <c r="E1870" s="280" t="s">
        <v>3929</v>
      </c>
      <c r="F1870" s="1049">
        <v>30</v>
      </c>
      <c r="G1870" s="1049"/>
      <c r="H1870" s="564"/>
      <c r="I1870" s="609"/>
      <c r="J1870" s="1155"/>
      <c r="K1870" s="609"/>
      <c r="L1870" s="609"/>
      <c r="M1870" s="609"/>
      <c r="N1870" s="599"/>
      <c r="O1870" s="552" t="s">
        <v>1584</v>
      </c>
      <c r="P1870" s="603"/>
      <c r="Q1870" s="682"/>
      <c r="R1870" s="682"/>
      <c r="S1870" s="682"/>
      <c r="T1870" s="682"/>
      <c r="U1870" s="682"/>
      <c r="V1870" s="682"/>
      <c r="W1870" s="682"/>
    </row>
    <row r="1871" spans="1:23">
      <c r="A1871" s="1045">
        <f t="shared" si="29"/>
        <v>8</v>
      </c>
      <c r="B1871" s="134">
        <v>45519</v>
      </c>
      <c r="C1871" s="70">
        <v>5220</v>
      </c>
      <c r="D1871" s="70" t="s">
        <v>84</v>
      </c>
      <c r="E1871" s="280" t="s">
        <v>3930</v>
      </c>
      <c r="F1871" s="1049">
        <v>358.5</v>
      </c>
      <c r="G1871" s="1049"/>
      <c r="H1871" s="564"/>
      <c r="I1871" s="609"/>
      <c r="J1871" s="1155"/>
      <c r="K1871" s="609"/>
      <c r="L1871" s="609"/>
      <c r="M1871" s="609"/>
      <c r="N1871" s="599"/>
      <c r="O1871" s="552" t="s">
        <v>1584</v>
      </c>
      <c r="P1871" s="603"/>
      <c r="Q1871" s="682"/>
      <c r="R1871" s="682"/>
      <c r="S1871" s="682"/>
      <c r="T1871" s="682"/>
      <c r="U1871" s="682"/>
      <c r="V1871" s="682"/>
      <c r="W1871" s="682"/>
    </row>
    <row r="1872" spans="1:23">
      <c r="A1872" s="1045">
        <f t="shared" si="29"/>
        <v>8</v>
      </c>
      <c r="B1872" s="134">
        <v>45519</v>
      </c>
      <c r="C1872" s="70">
        <v>2018</v>
      </c>
      <c r="D1872" s="70" t="s">
        <v>58</v>
      </c>
      <c r="E1872" s="280" t="s">
        <v>3930</v>
      </c>
      <c r="F1872" s="1049">
        <v>17.93</v>
      </c>
      <c r="G1872" s="1049"/>
      <c r="H1872" s="564"/>
      <c r="I1872" s="609"/>
      <c r="J1872" s="1155"/>
      <c r="K1872" s="609"/>
      <c r="L1872" s="609"/>
      <c r="M1872" s="609"/>
      <c r="N1872" s="599"/>
      <c r="O1872" s="552" t="s">
        <v>1584</v>
      </c>
      <c r="P1872" s="603"/>
      <c r="Q1872" s="682"/>
      <c r="R1872" s="682"/>
      <c r="S1872" s="682"/>
      <c r="T1872" s="682"/>
      <c r="U1872" s="682"/>
      <c r="V1872" s="682"/>
      <c r="W1872" s="682"/>
    </row>
    <row r="1873" spans="1:23">
      <c r="A1873" s="1045">
        <f t="shared" si="29"/>
        <v>8</v>
      </c>
      <c r="B1873" s="134">
        <v>45519</v>
      </c>
      <c r="C1873" s="70">
        <v>5220</v>
      </c>
      <c r="D1873" s="70" t="s">
        <v>84</v>
      </c>
      <c r="E1873" s="280" t="s">
        <v>3931</v>
      </c>
      <c r="F1873" s="1049">
        <v>1312</v>
      </c>
      <c r="G1873" s="1049"/>
      <c r="H1873" s="564"/>
      <c r="I1873" s="609"/>
      <c r="J1873" s="1155"/>
      <c r="K1873" s="609"/>
      <c r="L1873" s="609"/>
      <c r="M1873" s="609"/>
      <c r="N1873" s="599"/>
      <c r="O1873" s="552" t="s">
        <v>1584</v>
      </c>
      <c r="P1873" s="603"/>
      <c r="Q1873" s="682"/>
      <c r="R1873" s="682"/>
      <c r="S1873" s="682"/>
      <c r="T1873" s="682"/>
      <c r="U1873" s="682"/>
      <c r="V1873" s="682"/>
      <c r="W1873" s="682"/>
    </row>
    <row r="1874" spans="1:23">
      <c r="A1874" s="1045">
        <f t="shared" si="29"/>
        <v>8</v>
      </c>
      <c r="B1874" s="134">
        <v>45519</v>
      </c>
      <c r="C1874" s="70">
        <v>2018</v>
      </c>
      <c r="D1874" s="70" t="s">
        <v>58</v>
      </c>
      <c r="E1874" s="280" t="s">
        <v>3931</v>
      </c>
      <c r="F1874" s="1049">
        <v>65.599999999999994</v>
      </c>
      <c r="G1874" s="1049"/>
      <c r="H1874" s="564"/>
      <c r="I1874" s="609"/>
      <c r="J1874" s="1155"/>
      <c r="K1874" s="609"/>
      <c r="L1874" s="609"/>
      <c r="M1874" s="609"/>
      <c r="N1874" s="599"/>
      <c r="O1874" s="552" t="s">
        <v>1584</v>
      </c>
      <c r="P1874" s="603"/>
      <c r="Q1874" s="682"/>
      <c r="R1874" s="682"/>
      <c r="S1874" s="682"/>
      <c r="T1874" s="682"/>
      <c r="U1874" s="682"/>
      <c r="V1874" s="682"/>
      <c r="W1874" s="682"/>
    </row>
    <row r="1875" spans="1:23">
      <c r="A1875" s="1045">
        <f t="shared" si="29"/>
        <v>8</v>
      </c>
      <c r="B1875" s="134">
        <v>45519</v>
      </c>
      <c r="C1875" s="70">
        <v>5250</v>
      </c>
      <c r="D1875" s="70" t="s">
        <v>85</v>
      </c>
      <c r="E1875" s="280" t="s">
        <v>3932</v>
      </c>
      <c r="F1875" s="1049">
        <v>167</v>
      </c>
      <c r="G1875" s="1049"/>
      <c r="H1875" s="564"/>
      <c r="I1875" s="609"/>
      <c r="J1875" s="1155"/>
      <c r="K1875" s="609"/>
      <c r="L1875" s="609"/>
      <c r="M1875" s="609"/>
      <c r="N1875" s="599"/>
      <c r="O1875" s="552" t="s">
        <v>1584</v>
      </c>
      <c r="P1875" s="603"/>
      <c r="Q1875" s="682"/>
      <c r="R1875" s="682"/>
      <c r="S1875" s="682"/>
      <c r="T1875" s="682"/>
      <c r="U1875" s="682"/>
      <c r="V1875" s="682"/>
      <c r="W1875" s="682"/>
    </row>
    <row r="1876" spans="1:23">
      <c r="A1876" s="1045">
        <f t="shared" si="29"/>
        <v>8</v>
      </c>
      <c r="B1876" s="134">
        <v>45519</v>
      </c>
      <c r="C1876" s="70">
        <v>2018</v>
      </c>
      <c r="D1876" s="70" t="s">
        <v>58</v>
      </c>
      <c r="E1876" s="280" t="s">
        <v>3932</v>
      </c>
      <c r="F1876" s="1049">
        <v>8.35</v>
      </c>
      <c r="G1876" s="1049"/>
      <c r="H1876" s="564"/>
      <c r="I1876" s="609"/>
      <c r="J1876" s="1155"/>
      <c r="K1876" s="609"/>
      <c r="L1876" s="609"/>
      <c r="M1876" s="609"/>
      <c r="N1876" s="599"/>
      <c r="O1876" s="552" t="s">
        <v>1584</v>
      </c>
      <c r="P1876" s="603"/>
      <c r="Q1876" s="682"/>
      <c r="R1876" s="682"/>
      <c r="S1876" s="682"/>
      <c r="T1876" s="682"/>
      <c r="U1876" s="682"/>
      <c r="V1876" s="682"/>
      <c r="W1876" s="682"/>
    </row>
    <row r="1877" spans="1:23">
      <c r="A1877" s="1045">
        <f t="shared" ref="A1877:A1940" si="30">IF(B1877="","",MONTH(B1877))</f>
        <v>8</v>
      </c>
      <c r="B1877" s="134">
        <v>45519</v>
      </c>
      <c r="C1877" s="70">
        <v>5250</v>
      </c>
      <c r="D1877" s="70" t="s">
        <v>85</v>
      </c>
      <c r="E1877" s="280" t="s">
        <v>3933</v>
      </c>
      <c r="F1877" s="1049">
        <v>60</v>
      </c>
      <c r="G1877" s="1049"/>
      <c r="H1877" s="564"/>
      <c r="I1877" s="609"/>
      <c r="J1877" s="1155"/>
      <c r="K1877" s="609"/>
      <c r="L1877" s="609"/>
      <c r="M1877" s="609"/>
      <c r="N1877" s="599"/>
      <c r="O1877" s="552" t="s">
        <v>1584</v>
      </c>
      <c r="P1877" s="603"/>
      <c r="Q1877" s="682"/>
      <c r="R1877" s="682"/>
      <c r="S1877" s="682"/>
      <c r="T1877" s="682"/>
      <c r="U1877" s="682"/>
      <c r="V1877" s="682"/>
      <c r="W1877" s="682"/>
    </row>
    <row r="1878" spans="1:23">
      <c r="A1878" s="1045">
        <f t="shared" si="30"/>
        <v>8</v>
      </c>
      <c r="B1878" s="134">
        <v>45519</v>
      </c>
      <c r="C1878" s="70">
        <v>2018</v>
      </c>
      <c r="D1878" s="70" t="s">
        <v>58</v>
      </c>
      <c r="E1878" s="280" t="s">
        <v>3933</v>
      </c>
      <c r="F1878" s="1049">
        <v>3</v>
      </c>
      <c r="G1878" s="1049"/>
      <c r="H1878" s="564"/>
      <c r="I1878" s="609"/>
      <c r="J1878" s="1155"/>
      <c r="K1878" s="609"/>
      <c r="L1878" s="609"/>
      <c r="M1878" s="609"/>
      <c r="N1878" s="599"/>
      <c r="O1878" s="552" t="s">
        <v>1584</v>
      </c>
      <c r="P1878" s="603"/>
      <c r="Q1878" s="682"/>
      <c r="R1878" s="682"/>
      <c r="S1878" s="682"/>
      <c r="T1878" s="682"/>
      <c r="U1878" s="682"/>
      <c r="V1878" s="682"/>
      <c r="W1878" s="682"/>
    </row>
    <row r="1879" spans="1:23">
      <c r="A1879" s="1045">
        <f t="shared" si="30"/>
        <v>8</v>
      </c>
      <c r="B1879" s="134">
        <v>45521</v>
      </c>
      <c r="C1879" s="70">
        <v>5250</v>
      </c>
      <c r="D1879" s="70" t="s">
        <v>85</v>
      </c>
      <c r="E1879" s="280" t="s">
        <v>3934</v>
      </c>
      <c r="F1879" s="1049">
        <v>30</v>
      </c>
      <c r="G1879" s="1049"/>
      <c r="H1879" s="564"/>
      <c r="I1879" s="609"/>
      <c r="J1879" s="1155"/>
      <c r="K1879" s="609"/>
      <c r="L1879" s="609"/>
      <c r="M1879" s="609"/>
      <c r="N1879" s="599"/>
      <c r="O1879" s="552" t="s">
        <v>1584</v>
      </c>
      <c r="P1879" s="603"/>
      <c r="Q1879" s="682"/>
      <c r="R1879" s="682"/>
      <c r="S1879" s="682"/>
      <c r="T1879" s="682"/>
      <c r="U1879" s="682"/>
      <c r="V1879" s="682"/>
      <c r="W1879" s="682"/>
    </row>
    <row r="1880" spans="1:23">
      <c r="A1880" s="1045">
        <f t="shared" si="30"/>
        <v>8</v>
      </c>
      <c r="B1880" s="134">
        <v>45521</v>
      </c>
      <c r="C1880" s="70">
        <v>2018</v>
      </c>
      <c r="D1880" s="70" t="s">
        <v>58</v>
      </c>
      <c r="E1880" s="280" t="s">
        <v>3934</v>
      </c>
      <c r="F1880" s="1049">
        <v>3.15</v>
      </c>
      <c r="G1880" s="1049"/>
      <c r="H1880" s="564"/>
      <c r="I1880" s="609"/>
      <c r="J1880" s="1155"/>
      <c r="K1880" s="609"/>
      <c r="L1880" s="609"/>
      <c r="M1880" s="609"/>
      <c r="N1880" s="599"/>
      <c r="O1880" s="552" t="s">
        <v>1584</v>
      </c>
      <c r="P1880" s="603"/>
      <c r="Q1880" s="682"/>
      <c r="R1880" s="682"/>
      <c r="S1880" s="682"/>
      <c r="T1880" s="682"/>
      <c r="U1880" s="682"/>
      <c r="V1880" s="682"/>
      <c r="W1880" s="682"/>
    </row>
    <row r="1881" spans="1:23">
      <c r="A1881" s="1045">
        <f t="shared" si="30"/>
        <v>8</v>
      </c>
      <c r="B1881" s="134">
        <v>45521</v>
      </c>
      <c r="C1881" s="70">
        <v>5250</v>
      </c>
      <c r="D1881" s="70" t="s">
        <v>85</v>
      </c>
      <c r="E1881" s="280" t="s">
        <v>3935</v>
      </c>
      <c r="F1881" s="1049">
        <v>10</v>
      </c>
      <c r="G1881" s="1049"/>
      <c r="H1881" s="564"/>
      <c r="I1881" s="609"/>
      <c r="J1881" s="1155"/>
      <c r="K1881" s="609"/>
      <c r="L1881" s="609"/>
      <c r="M1881" s="609"/>
      <c r="N1881" s="599"/>
      <c r="O1881" s="552" t="s">
        <v>1584</v>
      </c>
      <c r="P1881" s="603"/>
      <c r="Q1881" s="682"/>
      <c r="R1881" s="682"/>
      <c r="S1881" s="682"/>
      <c r="T1881" s="682"/>
      <c r="U1881" s="682"/>
      <c r="V1881" s="682"/>
      <c r="W1881" s="682"/>
    </row>
    <row r="1882" spans="1:23">
      <c r="A1882" s="1045">
        <f t="shared" si="30"/>
        <v>8</v>
      </c>
      <c r="B1882" s="134">
        <v>45521</v>
      </c>
      <c r="C1882" s="70">
        <v>2018</v>
      </c>
      <c r="D1882" s="70" t="s">
        <v>58</v>
      </c>
      <c r="E1882" s="280" t="s">
        <v>3935</v>
      </c>
      <c r="F1882" s="1049">
        <v>0.5</v>
      </c>
      <c r="G1882" s="1049"/>
      <c r="H1882" s="564"/>
      <c r="I1882" s="609"/>
      <c r="J1882" s="1155"/>
      <c r="K1882" s="609"/>
      <c r="L1882" s="609"/>
      <c r="M1882" s="609"/>
      <c r="N1882" s="599"/>
      <c r="O1882" s="552" t="s">
        <v>1584</v>
      </c>
      <c r="P1882" s="603"/>
      <c r="Q1882" s="682"/>
      <c r="R1882" s="682"/>
      <c r="S1882" s="682"/>
      <c r="T1882" s="682"/>
      <c r="U1882" s="682"/>
      <c r="V1882" s="682"/>
      <c r="W1882" s="682"/>
    </row>
    <row r="1883" spans="1:23">
      <c r="A1883" s="1045">
        <f t="shared" si="30"/>
        <v>8</v>
      </c>
      <c r="B1883" s="134">
        <v>45521</v>
      </c>
      <c r="C1883" s="70">
        <v>5250</v>
      </c>
      <c r="D1883" s="70" t="s">
        <v>85</v>
      </c>
      <c r="E1883" s="280" t="s">
        <v>3936</v>
      </c>
      <c r="F1883" s="1049">
        <v>9</v>
      </c>
      <c r="G1883" s="1049"/>
      <c r="H1883" s="564"/>
      <c r="I1883" s="609"/>
      <c r="J1883" s="1155"/>
      <c r="K1883" s="609"/>
      <c r="L1883" s="609"/>
      <c r="M1883" s="609"/>
      <c r="N1883" s="599"/>
      <c r="O1883" s="552" t="s">
        <v>1584</v>
      </c>
      <c r="P1883" s="603"/>
      <c r="Q1883" s="682"/>
      <c r="R1883" s="682"/>
      <c r="S1883" s="682"/>
      <c r="T1883" s="682"/>
      <c r="U1883" s="682"/>
      <c r="V1883" s="682"/>
      <c r="W1883" s="682"/>
    </row>
    <row r="1884" spans="1:23">
      <c r="A1884" s="1045">
        <f t="shared" si="30"/>
        <v>8</v>
      </c>
      <c r="B1884" s="134">
        <v>45521</v>
      </c>
      <c r="C1884" s="70">
        <v>2018</v>
      </c>
      <c r="D1884" s="70" t="s">
        <v>58</v>
      </c>
      <c r="E1884" s="280" t="s">
        <v>3936</v>
      </c>
      <c r="F1884" s="1049">
        <v>0.45</v>
      </c>
      <c r="G1884" s="1049"/>
      <c r="H1884" s="564"/>
      <c r="I1884" s="609"/>
      <c r="J1884" s="1155"/>
      <c r="K1884" s="609"/>
      <c r="L1884" s="609"/>
      <c r="M1884" s="609"/>
      <c r="N1884" s="599"/>
      <c r="O1884" s="552" t="s">
        <v>1584</v>
      </c>
      <c r="P1884" s="603"/>
      <c r="Q1884" s="682"/>
      <c r="R1884" s="682"/>
      <c r="S1884" s="682"/>
      <c r="T1884" s="682"/>
      <c r="U1884" s="682"/>
      <c r="V1884" s="682"/>
      <c r="W1884" s="682"/>
    </row>
    <row r="1885" spans="1:23">
      <c r="A1885" s="1045">
        <f t="shared" si="30"/>
        <v>8</v>
      </c>
      <c r="B1885" s="134">
        <v>45521</v>
      </c>
      <c r="C1885" s="70">
        <v>5250</v>
      </c>
      <c r="D1885" s="70" t="s">
        <v>85</v>
      </c>
      <c r="E1885" s="280" t="s">
        <v>3937</v>
      </c>
      <c r="F1885" s="1049">
        <v>20</v>
      </c>
      <c r="G1885" s="1049"/>
      <c r="H1885" s="564"/>
      <c r="I1885" s="609"/>
      <c r="J1885" s="1155"/>
      <c r="K1885" s="609"/>
      <c r="L1885" s="609"/>
      <c r="M1885" s="609"/>
      <c r="N1885" s="599"/>
      <c r="O1885" s="552" t="s">
        <v>1584</v>
      </c>
      <c r="P1885" s="603"/>
      <c r="Q1885" s="682"/>
      <c r="R1885" s="682"/>
      <c r="S1885" s="682"/>
      <c r="T1885" s="682"/>
      <c r="U1885" s="682"/>
      <c r="V1885" s="682"/>
      <c r="W1885" s="682"/>
    </row>
    <row r="1886" spans="1:23">
      <c r="A1886" s="1045">
        <f t="shared" si="30"/>
        <v>8</v>
      </c>
      <c r="B1886" s="134">
        <v>45521</v>
      </c>
      <c r="C1886" s="70">
        <v>2018</v>
      </c>
      <c r="D1886" s="70" t="s">
        <v>58</v>
      </c>
      <c r="E1886" s="280" t="s">
        <v>3937</v>
      </c>
      <c r="F1886" s="1049">
        <v>1</v>
      </c>
      <c r="G1886" s="1049"/>
      <c r="H1886" s="564"/>
      <c r="I1886" s="609"/>
      <c r="J1886" s="1155"/>
      <c r="K1886" s="609"/>
      <c r="L1886" s="609"/>
      <c r="M1886" s="609"/>
      <c r="N1886" s="599"/>
      <c r="O1886" s="552" t="s">
        <v>1584</v>
      </c>
      <c r="P1886" s="603"/>
      <c r="Q1886" s="682"/>
      <c r="R1886" s="682"/>
      <c r="S1886" s="682"/>
      <c r="T1886" s="682"/>
      <c r="U1886" s="682"/>
      <c r="V1886" s="682"/>
      <c r="W1886" s="682"/>
    </row>
    <row r="1887" spans="1:23">
      <c r="A1887" s="1045">
        <f t="shared" si="30"/>
        <v>8</v>
      </c>
      <c r="B1887" s="134">
        <v>45521</v>
      </c>
      <c r="C1887" s="70">
        <v>5200</v>
      </c>
      <c r="D1887" s="70" t="s">
        <v>83</v>
      </c>
      <c r="E1887" s="280" t="s">
        <v>3938</v>
      </c>
      <c r="F1887" s="1049">
        <v>4450.75</v>
      </c>
      <c r="G1887" s="1049"/>
      <c r="H1887" s="564"/>
      <c r="I1887" s="609"/>
      <c r="J1887" s="1155"/>
      <c r="K1887" s="609"/>
      <c r="L1887" s="609"/>
      <c r="M1887" s="609"/>
      <c r="N1887" s="599"/>
      <c r="O1887" s="552" t="s">
        <v>1584</v>
      </c>
      <c r="P1887" s="603"/>
      <c r="Q1887" s="682"/>
      <c r="R1887" s="682"/>
      <c r="S1887" s="682"/>
      <c r="T1887" s="682"/>
      <c r="U1887" s="682"/>
      <c r="V1887" s="682"/>
      <c r="W1887" s="682"/>
    </row>
    <row r="1888" spans="1:23">
      <c r="A1888" s="1045">
        <f t="shared" si="30"/>
        <v>8</v>
      </c>
      <c r="B1888" s="134">
        <v>45521</v>
      </c>
      <c r="C1888" s="70">
        <v>2018</v>
      </c>
      <c r="D1888" s="70" t="s">
        <v>58</v>
      </c>
      <c r="E1888" s="280" t="s">
        <v>3938</v>
      </c>
      <c r="F1888" s="1049">
        <v>233</v>
      </c>
      <c r="G1888" s="1049"/>
      <c r="H1888" s="564"/>
      <c r="I1888" s="609"/>
      <c r="J1888" s="1155"/>
      <c r="K1888" s="609"/>
      <c r="L1888" s="609"/>
      <c r="M1888" s="609"/>
      <c r="N1888" s="599"/>
      <c r="O1888" s="552" t="s">
        <v>1584</v>
      </c>
      <c r="P1888" s="603"/>
      <c r="Q1888" s="682"/>
      <c r="R1888" s="682"/>
      <c r="S1888" s="682"/>
      <c r="T1888" s="682"/>
      <c r="U1888" s="682"/>
      <c r="V1888" s="682"/>
      <c r="W1888" s="682"/>
    </row>
    <row r="1889" spans="1:23">
      <c r="A1889" s="1045">
        <f t="shared" si="30"/>
        <v>8</v>
      </c>
      <c r="B1889" s="134">
        <v>45521</v>
      </c>
      <c r="C1889" s="70">
        <v>5250</v>
      </c>
      <c r="D1889" s="70" t="s">
        <v>85</v>
      </c>
      <c r="E1889" s="280" t="s">
        <v>3939</v>
      </c>
      <c r="F1889" s="1049">
        <v>2.86</v>
      </c>
      <c r="G1889" s="1049"/>
      <c r="H1889" s="564"/>
      <c r="I1889" s="609"/>
      <c r="J1889" s="1155"/>
      <c r="K1889" s="609"/>
      <c r="L1889" s="609"/>
      <c r="M1889" s="609"/>
      <c r="N1889" s="599"/>
      <c r="O1889" s="552" t="s">
        <v>1584</v>
      </c>
      <c r="P1889" s="603"/>
      <c r="Q1889" s="682"/>
      <c r="R1889" s="682"/>
      <c r="S1889" s="682"/>
      <c r="T1889" s="682"/>
      <c r="U1889" s="682"/>
      <c r="V1889" s="682"/>
      <c r="W1889" s="682"/>
    </row>
    <row r="1890" spans="1:23">
      <c r="A1890" s="1045">
        <f t="shared" si="30"/>
        <v>8</v>
      </c>
      <c r="B1890" s="134">
        <v>45521</v>
      </c>
      <c r="C1890" s="70">
        <v>2018</v>
      </c>
      <c r="D1890" s="70" t="s">
        <v>58</v>
      </c>
      <c r="E1890" s="280" t="s">
        <v>3939</v>
      </c>
      <c r="F1890" s="1049">
        <v>0.14000000000000001</v>
      </c>
      <c r="G1890" s="1049"/>
      <c r="H1890" s="564"/>
      <c r="I1890" s="609"/>
      <c r="J1890" s="1155"/>
      <c r="K1890" s="609"/>
      <c r="L1890" s="609"/>
      <c r="M1890" s="609"/>
      <c r="N1890" s="599"/>
      <c r="O1890" s="552" t="s">
        <v>1584</v>
      </c>
      <c r="P1890" s="603"/>
      <c r="Q1890" s="682"/>
      <c r="R1890" s="682"/>
      <c r="S1890" s="682"/>
      <c r="T1890" s="682"/>
      <c r="U1890" s="682"/>
      <c r="V1890" s="682"/>
      <c r="W1890" s="682"/>
    </row>
    <row r="1891" spans="1:23">
      <c r="A1891" s="1045">
        <f t="shared" si="30"/>
        <v>8</v>
      </c>
      <c r="B1891" s="134">
        <v>45521</v>
      </c>
      <c r="C1891" s="70">
        <v>5250</v>
      </c>
      <c r="D1891" s="70" t="s">
        <v>85</v>
      </c>
      <c r="E1891" s="280" t="s">
        <v>3940</v>
      </c>
      <c r="F1891" s="1049">
        <v>1511.08</v>
      </c>
      <c r="G1891" s="1049"/>
      <c r="H1891" s="564"/>
      <c r="I1891" s="609"/>
      <c r="J1891" s="1155"/>
      <c r="K1891" s="609"/>
      <c r="L1891" s="609"/>
      <c r="M1891" s="609"/>
      <c r="N1891" s="599"/>
      <c r="O1891" s="552" t="s">
        <v>1584</v>
      </c>
      <c r="P1891" s="603"/>
      <c r="Q1891" s="682"/>
      <c r="R1891" s="682"/>
      <c r="S1891" s="682"/>
      <c r="T1891" s="682"/>
      <c r="U1891" s="682"/>
      <c r="V1891" s="682"/>
      <c r="W1891" s="682"/>
    </row>
    <row r="1892" spans="1:23">
      <c r="A1892" s="1045">
        <f t="shared" si="30"/>
        <v>8</v>
      </c>
      <c r="B1892" s="134">
        <v>45521</v>
      </c>
      <c r="C1892" s="70">
        <v>2018</v>
      </c>
      <c r="D1892" s="70" t="s">
        <v>58</v>
      </c>
      <c r="E1892" s="280" t="s">
        <v>3940</v>
      </c>
      <c r="F1892" s="1049">
        <v>75.55</v>
      </c>
      <c r="G1892" s="1049"/>
      <c r="H1892" s="564"/>
      <c r="I1892" s="609"/>
      <c r="J1892" s="1155"/>
      <c r="K1892" s="609"/>
      <c r="L1892" s="609"/>
      <c r="M1892" s="609"/>
      <c r="N1892" s="599"/>
      <c r="O1892" s="552" t="s">
        <v>1584</v>
      </c>
      <c r="P1892" s="603"/>
      <c r="Q1892" s="682"/>
      <c r="R1892" s="682"/>
      <c r="S1892" s="682"/>
      <c r="T1892" s="682"/>
      <c r="U1892" s="682"/>
      <c r="V1892" s="682"/>
      <c r="W1892" s="682"/>
    </row>
    <row r="1893" spans="1:23">
      <c r="A1893" s="1045">
        <f t="shared" si="30"/>
        <v>8</v>
      </c>
      <c r="B1893" s="134">
        <v>45521</v>
      </c>
      <c r="C1893" s="70">
        <v>5250</v>
      </c>
      <c r="D1893" s="70" t="s">
        <v>85</v>
      </c>
      <c r="E1893" s="280" t="s">
        <v>3941</v>
      </c>
      <c r="F1893" s="1049">
        <v>519.70000000000005</v>
      </c>
      <c r="G1893" s="1049"/>
      <c r="H1893" s="564"/>
      <c r="I1893" s="609"/>
      <c r="J1893" s="1155"/>
      <c r="K1893" s="609"/>
      <c r="L1893" s="609"/>
      <c r="M1893" s="609"/>
      <c r="N1893" s="599"/>
      <c r="O1893" s="552" t="s">
        <v>1584</v>
      </c>
      <c r="P1893" s="603"/>
      <c r="Q1893" s="682"/>
      <c r="R1893" s="682"/>
      <c r="S1893" s="682"/>
      <c r="T1893" s="682"/>
      <c r="U1893" s="682"/>
      <c r="V1893" s="682"/>
      <c r="W1893" s="682"/>
    </row>
    <row r="1894" spans="1:23">
      <c r="A1894" s="1045">
        <f t="shared" si="30"/>
        <v>8</v>
      </c>
      <c r="B1894" s="134">
        <v>45521</v>
      </c>
      <c r="C1894" s="70">
        <v>2018</v>
      </c>
      <c r="D1894" s="70" t="s">
        <v>58</v>
      </c>
      <c r="E1894" s="280" t="s">
        <v>3941</v>
      </c>
      <c r="F1894" s="1049">
        <v>25.98</v>
      </c>
      <c r="G1894" s="1049"/>
      <c r="H1894" s="564"/>
      <c r="I1894" s="609"/>
      <c r="J1894" s="1155"/>
      <c r="K1894" s="609"/>
      <c r="L1894" s="609"/>
      <c r="M1894" s="609"/>
      <c r="N1894" s="599"/>
      <c r="O1894" s="552" t="s">
        <v>1584</v>
      </c>
      <c r="P1894" s="603"/>
      <c r="Q1894" s="682"/>
      <c r="R1894" s="682"/>
      <c r="S1894" s="682"/>
      <c r="T1894" s="682"/>
      <c r="U1894" s="682"/>
      <c r="V1894" s="682"/>
      <c r="W1894" s="682"/>
    </row>
    <row r="1895" spans="1:23">
      <c r="A1895" s="1045">
        <f t="shared" si="30"/>
        <v>8</v>
      </c>
      <c r="B1895" s="134">
        <v>45521</v>
      </c>
      <c r="C1895" s="70">
        <v>5250</v>
      </c>
      <c r="D1895" s="70" t="s">
        <v>85</v>
      </c>
      <c r="E1895" s="280" t="s">
        <v>3942</v>
      </c>
      <c r="F1895" s="1049">
        <v>180</v>
      </c>
      <c r="G1895" s="1049"/>
      <c r="H1895" s="564"/>
      <c r="I1895" s="609"/>
      <c r="J1895" s="1155"/>
      <c r="K1895" s="609"/>
      <c r="L1895" s="609"/>
      <c r="M1895" s="609"/>
      <c r="N1895" s="599"/>
      <c r="O1895" s="552" t="s">
        <v>1584</v>
      </c>
      <c r="P1895" s="603"/>
      <c r="Q1895" s="682"/>
      <c r="R1895" s="682"/>
      <c r="S1895" s="682"/>
      <c r="T1895" s="682"/>
      <c r="U1895" s="682"/>
      <c r="V1895" s="682"/>
      <c r="W1895" s="682"/>
    </row>
    <row r="1896" spans="1:23">
      <c r="A1896" s="1045">
        <f t="shared" si="30"/>
        <v>8</v>
      </c>
      <c r="B1896" s="134">
        <v>45521</v>
      </c>
      <c r="C1896" s="70">
        <v>2018</v>
      </c>
      <c r="D1896" s="70" t="s">
        <v>58</v>
      </c>
      <c r="E1896" s="280" t="s">
        <v>3942</v>
      </c>
      <c r="F1896" s="1049">
        <v>9</v>
      </c>
      <c r="G1896" s="1049"/>
      <c r="H1896" s="564"/>
      <c r="I1896" s="609"/>
      <c r="J1896" s="1155"/>
      <c r="K1896" s="609"/>
      <c r="L1896" s="609"/>
      <c r="M1896" s="609"/>
      <c r="N1896" s="599"/>
      <c r="O1896" s="552" t="s">
        <v>1584</v>
      </c>
      <c r="P1896" s="603"/>
      <c r="Q1896" s="682"/>
      <c r="R1896" s="682"/>
      <c r="S1896" s="682"/>
      <c r="T1896" s="682"/>
      <c r="U1896" s="682"/>
      <c r="V1896" s="682"/>
      <c r="W1896" s="682"/>
    </row>
    <row r="1897" spans="1:23">
      <c r="A1897" s="1045">
        <f t="shared" si="30"/>
        <v>8</v>
      </c>
      <c r="B1897" s="134">
        <v>45521</v>
      </c>
      <c r="C1897" s="70">
        <v>5250</v>
      </c>
      <c r="D1897" s="70" t="s">
        <v>85</v>
      </c>
      <c r="E1897" s="280" t="s">
        <v>3943</v>
      </c>
      <c r="F1897" s="1049">
        <v>511.24</v>
      </c>
      <c r="G1897" s="1049"/>
      <c r="H1897" s="564"/>
      <c r="I1897" s="609"/>
      <c r="J1897" s="1155"/>
      <c r="K1897" s="609"/>
      <c r="L1897" s="609"/>
      <c r="M1897" s="609"/>
      <c r="N1897" s="599"/>
      <c r="O1897" s="552" t="s">
        <v>1584</v>
      </c>
      <c r="P1897" s="603"/>
      <c r="Q1897" s="682"/>
      <c r="R1897" s="682"/>
      <c r="S1897" s="682"/>
      <c r="T1897" s="682"/>
      <c r="U1897" s="682"/>
      <c r="V1897" s="682"/>
      <c r="W1897" s="682"/>
    </row>
    <row r="1898" spans="1:23">
      <c r="A1898" s="1045">
        <f t="shared" si="30"/>
        <v>8</v>
      </c>
      <c r="B1898" s="134">
        <v>45521</v>
      </c>
      <c r="C1898" s="70">
        <v>2018</v>
      </c>
      <c r="D1898" s="70" t="s">
        <v>58</v>
      </c>
      <c r="E1898" s="280" t="s">
        <v>3943</v>
      </c>
      <c r="F1898" s="1049">
        <v>25.56</v>
      </c>
      <c r="G1898" s="1049"/>
      <c r="H1898" s="564"/>
      <c r="I1898" s="609"/>
      <c r="J1898" s="1155"/>
      <c r="K1898" s="609"/>
      <c r="L1898" s="609"/>
      <c r="M1898" s="609"/>
      <c r="N1898" s="599"/>
      <c r="O1898" s="552" t="s">
        <v>1584</v>
      </c>
      <c r="P1898" s="603"/>
      <c r="Q1898" s="682"/>
      <c r="R1898" s="682"/>
      <c r="S1898" s="682"/>
      <c r="T1898" s="682"/>
      <c r="U1898" s="682"/>
      <c r="V1898" s="682"/>
      <c r="W1898" s="682"/>
    </row>
    <row r="1899" spans="1:23">
      <c r="A1899" s="1045">
        <f t="shared" si="30"/>
        <v>8</v>
      </c>
      <c r="B1899" s="134">
        <v>45522</v>
      </c>
      <c r="C1899" s="70">
        <v>5250</v>
      </c>
      <c r="D1899" s="70" t="s">
        <v>85</v>
      </c>
      <c r="E1899" s="280" t="s">
        <v>3944</v>
      </c>
      <c r="F1899" s="1049">
        <v>5</v>
      </c>
      <c r="G1899" s="1049"/>
      <c r="H1899" s="564"/>
      <c r="I1899" s="609"/>
      <c r="J1899" s="1155"/>
      <c r="K1899" s="609"/>
      <c r="L1899" s="609"/>
      <c r="M1899" s="609"/>
      <c r="N1899" s="599"/>
      <c r="O1899" s="552" t="s">
        <v>1584</v>
      </c>
      <c r="P1899" s="603"/>
      <c r="Q1899" s="682"/>
      <c r="R1899" s="682"/>
      <c r="S1899" s="682"/>
      <c r="T1899" s="682"/>
      <c r="U1899" s="682"/>
      <c r="V1899" s="682"/>
      <c r="W1899" s="682"/>
    </row>
    <row r="1900" spans="1:23">
      <c r="A1900" s="1045">
        <f t="shared" si="30"/>
        <v>8</v>
      </c>
      <c r="B1900" s="134">
        <v>45522</v>
      </c>
      <c r="C1900" s="70">
        <v>5250</v>
      </c>
      <c r="D1900" s="70" t="s">
        <v>85</v>
      </c>
      <c r="E1900" s="280" t="s">
        <v>3945</v>
      </c>
      <c r="F1900" s="1049">
        <v>300</v>
      </c>
      <c r="G1900" s="1049"/>
      <c r="H1900" s="564"/>
      <c r="I1900" s="609"/>
      <c r="J1900" s="1155"/>
      <c r="K1900" s="609"/>
      <c r="L1900" s="609"/>
      <c r="M1900" s="609"/>
      <c r="N1900" s="599"/>
      <c r="O1900" s="552" t="s">
        <v>1584</v>
      </c>
      <c r="P1900" s="603"/>
      <c r="Q1900" s="682"/>
      <c r="R1900" s="682"/>
      <c r="S1900" s="682"/>
      <c r="T1900" s="682"/>
      <c r="U1900" s="682"/>
      <c r="V1900" s="682"/>
      <c r="W1900" s="682"/>
    </row>
    <row r="1901" spans="1:23">
      <c r="A1901" s="1045">
        <f t="shared" si="30"/>
        <v>8</v>
      </c>
      <c r="B1901" s="134">
        <v>45522</v>
      </c>
      <c r="C1901" s="70">
        <v>5250</v>
      </c>
      <c r="D1901" s="70" t="s">
        <v>85</v>
      </c>
      <c r="E1901" s="280" t="s">
        <v>3946</v>
      </c>
      <c r="F1901" s="1049">
        <v>75</v>
      </c>
      <c r="G1901" s="1049"/>
      <c r="H1901" s="564"/>
      <c r="I1901" s="609"/>
      <c r="J1901" s="1155"/>
      <c r="K1901" s="609"/>
      <c r="L1901" s="609"/>
      <c r="M1901" s="609"/>
      <c r="N1901" s="599"/>
      <c r="O1901" s="552" t="s">
        <v>1584</v>
      </c>
      <c r="P1901" s="603"/>
      <c r="Q1901" s="682"/>
      <c r="R1901" s="682"/>
      <c r="S1901" s="682"/>
      <c r="T1901" s="682"/>
      <c r="U1901" s="682"/>
      <c r="V1901" s="682"/>
      <c r="W1901" s="682"/>
    </row>
    <row r="1902" spans="1:23">
      <c r="A1902" s="1045">
        <f t="shared" si="30"/>
        <v>8</v>
      </c>
      <c r="B1902" s="134">
        <v>45522</v>
      </c>
      <c r="C1902" s="70">
        <v>2018</v>
      </c>
      <c r="D1902" s="70" t="s">
        <v>58</v>
      </c>
      <c r="E1902" s="280" t="s">
        <v>3946</v>
      </c>
      <c r="F1902" s="1049">
        <v>3.75</v>
      </c>
      <c r="G1902" s="1049"/>
      <c r="H1902" s="564"/>
      <c r="I1902" s="609"/>
      <c r="J1902" s="1155"/>
      <c r="K1902" s="609"/>
      <c r="L1902" s="609"/>
      <c r="M1902" s="609"/>
      <c r="N1902" s="599"/>
      <c r="O1902" s="552" t="s">
        <v>1584</v>
      </c>
      <c r="P1902" s="603"/>
      <c r="Q1902" s="682"/>
      <c r="R1902" s="682"/>
      <c r="S1902" s="682"/>
      <c r="T1902" s="682"/>
      <c r="U1902" s="682"/>
      <c r="V1902" s="682"/>
      <c r="W1902" s="682"/>
    </row>
    <row r="1903" spans="1:23">
      <c r="A1903" s="1045">
        <f t="shared" si="30"/>
        <v>8</v>
      </c>
      <c r="B1903" s="134">
        <v>45522</v>
      </c>
      <c r="C1903" s="70">
        <v>5250</v>
      </c>
      <c r="D1903" s="70" t="s">
        <v>85</v>
      </c>
      <c r="E1903" s="280" t="s">
        <v>3947</v>
      </c>
      <c r="F1903" s="1049">
        <v>33.520000000000003</v>
      </c>
      <c r="G1903" s="1049"/>
      <c r="H1903" s="564"/>
      <c r="I1903" s="609"/>
      <c r="J1903" s="1155"/>
      <c r="K1903" s="609"/>
      <c r="L1903" s="609"/>
      <c r="M1903" s="609"/>
      <c r="N1903" s="599"/>
      <c r="O1903" s="552" t="s">
        <v>1584</v>
      </c>
      <c r="P1903" s="603"/>
      <c r="Q1903" s="682"/>
      <c r="R1903" s="682"/>
      <c r="S1903" s="682"/>
      <c r="T1903" s="682"/>
      <c r="U1903" s="682"/>
      <c r="V1903" s="682"/>
      <c r="W1903" s="682"/>
    </row>
    <row r="1904" spans="1:23">
      <c r="A1904" s="1045">
        <f t="shared" si="30"/>
        <v>8</v>
      </c>
      <c r="B1904" s="134">
        <v>45522</v>
      </c>
      <c r="C1904" s="70">
        <v>2018</v>
      </c>
      <c r="D1904" s="70" t="s">
        <v>58</v>
      </c>
      <c r="E1904" s="280" t="s">
        <v>3947</v>
      </c>
      <c r="F1904" s="1049">
        <v>1.68</v>
      </c>
      <c r="G1904" s="1049"/>
      <c r="H1904" s="564"/>
      <c r="I1904" s="609"/>
      <c r="J1904" s="1155"/>
      <c r="K1904" s="609"/>
      <c r="L1904" s="609"/>
      <c r="M1904" s="609"/>
      <c r="N1904" s="599"/>
      <c r="O1904" s="552" t="s">
        <v>1584</v>
      </c>
      <c r="P1904" s="603"/>
      <c r="Q1904" s="682"/>
      <c r="R1904" s="682"/>
      <c r="S1904" s="682"/>
      <c r="T1904" s="682"/>
      <c r="U1904" s="682"/>
      <c r="V1904" s="682"/>
      <c r="W1904" s="682"/>
    </row>
    <row r="1905" spans="1:23">
      <c r="A1905" s="1045">
        <f t="shared" si="30"/>
        <v>8</v>
      </c>
      <c r="B1905" s="134">
        <v>45523</v>
      </c>
      <c r="C1905" s="70">
        <v>5250</v>
      </c>
      <c r="D1905" s="70" t="s">
        <v>85</v>
      </c>
      <c r="E1905" s="280" t="s">
        <v>3948</v>
      </c>
      <c r="F1905" s="1049">
        <v>12.33</v>
      </c>
      <c r="G1905" s="1049"/>
      <c r="H1905" s="564"/>
      <c r="I1905" s="609"/>
      <c r="J1905" s="1155"/>
      <c r="K1905" s="609"/>
      <c r="L1905" s="609"/>
      <c r="M1905" s="609"/>
      <c r="N1905" s="599"/>
      <c r="O1905" s="552" t="s">
        <v>1584</v>
      </c>
      <c r="P1905" s="603"/>
      <c r="Q1905" s="682"/>
      <c r="R1905" s="682"/>
      <c r="S1905" s="682"/>
      <c r="T1905" s="682"/>
      <c r="U1905" s="682"/>
      <c r="V1905" s="682"/>
      <c r="W1905" s="682"/>
    </row>
    <row r="1906" spans="1:23">
      <c r="A1906" s="1045">
        <f t="shared" si="30"/>
        <v>8</v>
      </c>
      <c r="B1906" s="134">
        <v>45523</v>
      </c>
      <c r="C1906" s="70">
        <v>2018</v>
      </c>
      <c r="D1906" s="70" t="s">
        <v>58</v>
      </c>
      <c r="E1906" s="280" t="s">
        <v>3948</v>
      </c>
      <c r="F1906" s="1049">
        <v>0.62</v>
      </c>
      <c r="G1906" s="1049"/>
      <c r="H1906" s="564"/>
      <c r="I1906" s="609"/>
      <c r="J1906" s="1155"/>
      <c r="K1906" s="609"/>
      <c r="L1906" s="609"/>
      <c r="M1906" s="609"/>
      <c r="N1906" s="599"/>
      <c r="O1906" s="552" t="s">
        <v>1584</v>
      </c>
      <c r="P1906" s="603"/>
      <c r="Q1906" s="682"/>
      <c r="R1906" s="682"/>
      <c r="S1906" s="682"/>
      <c r="T1906" s="682"/>
      <c r="U1906" s="682"/>
      <c r="V1906" s="682"/>
      <c r="W1906" s="682"/>
    </row>
    <row r="1907" spans="1:23">
      <c r="A1907" s="1045">
        <f t="shared" si="30"/>
        <v>8</v>
      </c>
      <c r="B1907" s="134">
        <v>45523</v>
      </c>
      <c r="C1907" s="70">
        <v>5250</v>
      </c>
      <c r="D1907" s="70" t="s">
        <v>85</v>
      </c>
      <c r="E1907" s="280" t="s">
        <v>3949</v>
      </c>
      <c r="F1907" s="1049">
        <v>5</v>
      </c>
      <c r="G1907" s="1049"/>
      <c r="H1907" s="564"/>
      <c r="I1907" s="609"/>
      <c r="J1907" s="1155"/>
      <c r="K1907" s="609"/>
      <c r="L1907" s="609"/>
      <c r="M1907" s="609"/>
      <c r="N1907" s="599"/>
      <c r="O1907" s="552" t="s">
        <v>1584</v>
      </c>
      <c r="P1907" s="603"/>
      <c r="Q1907" s="682"/>
      <c r="R1907" s="682"/>
      <c r="S1907" s="682"/>
      <c r="T1907" s="682"/>
      <c r="U1907" s="682"/>
      <c r="V1907" s="682"/>
      <c r="W1907" s="682"/>
    </row>
    <row r="1908" spans="1:23">
      <c r="A1908" s="1045">
        <f t="shared" si="30"/>
        <v>8</v>
      </c>
      <c r="B1908" s="134">
        <v>45523</v>
      </c>
      <c r="C1908" s="70">
        <v>2018</v>
      </c>
      <c r="D1908" s="70" t="s">
        <v>58</v>
      </c>
      <c r="E1908" s="280" t="s">
        <v>3949</v>
      </c>
      <c r="F1908" s="1049">
        <v>0.25</v>
      </c>
      <c r="G1908" s="1049"/>
      <c r="H1908" s="564"/>
      <c r="I1908" s="609"/>
      <c r="J1908" s="1155"/>
      <c r="K1908" s="609"/>
      <c r="L1908" s="609"/>
      <c r="M1908" s="609"/>
      <c r="N1908" s="599"/>
      <c r="O1908" s="552" t="s">
        <v>1584</v>
      </c>
      <c r="P1908" s="603"/>
      <c r="Q1908" s="682"/>
      <c r="R1908" s="682"/>
      <c r="S1908" s="682"/>
      <c r="T1908" s="682"/>
      <c r="U1908" s="682"/>
      <c r="V1908" s="682"/>
      <c r="W1908" s="682"/>
    </row>
    <row r="1909" spans="1:23">
      <c r="A1909" s="1045">
        <f t="shared" si="30"/>
        <v>8</v>
      </c>
      <c r="B1909" s="134">
        <v>45523</v>
      </c>
      <c r="C1909" s="70">
        <v>5250</v>
      </c>
      <c r="D1909" s="70" t="s">
        <v>85</v>
      </c>
      <c r="E1909" s="280" t="s">
        <v>3950</v>
      </c>
      <c r="F1909" s="1049">
        <v>2280</v>
      </c>
      <c r="G1909" s="1049"/>
      <c r="H1909" s="564"/>
      <c r="I1909" s="609"/>
      <c r="J1909" s="1155"/>
      <c r="K1909" s="609"/>
      <c r="L1909" s="609"/>
      <c r="M1909" s="609"/>
      <c r="N1909" s="599"/>
      <c r="O1909" s="552" t="s">
        <v>1584</v>
      </c>
      <c r="P1909" s="603"/>
      <c r="Q1909" s="682"/>
      <c r="R1909" s="682"/>
      <c r="S1909" s="682"/>
      <c r="T1909" s="682"/>
      <c r="U1909" s="682"/>
      <c r="V1909" s="682"/>
      <c r="W1909" s="682"/>
    </row>
    <row r="1910" spans="1:23">
      <c r="A1910" s="1045">
        <f t="shared" si="30"/>
        <v>8</v>
      </c>
      <c r="B1910" s="134">
        <v>45523</v>
      </c>
      <c r="C1910" s="70">
        <v>2018</v>
      </c>
      <c r="D1910" s="70" t="s">
        <v>58</v>
      </c>
      <c r="E1910" s="280" t="s">
        <v>3950</v>
      </c>
      <c r="F1910" s="1049">
        <v>114</v>
      </c>
      <c r="G1910" s="1049"/>
      <c r="H1910" s="564"/>
      <c r="I1910" s="609"/>
      <c r="J1910" s="1155"/>
      <c r="K1910" s="609"/>
      <c r="L1910" s="609"/>
      <c r="M1910" s="609"/>
      <c r="N1910" s="599"/>
      <c r="O1910" s="552" t="s">
        <v>1584</v>
      </c>
      <c r="P1910" s="603"/>
      <c r="Q1910" s="682"/>
      <c r="R1910" s="682"/>
      <c r="S1910" s="682"/>
      <c r="T1910" s="682"/>
      <c r="U1910" s="682"/>
      <c r="V1910" s="682"/>
      <c r="W1910" s="682"/>
    </row>
    <row r="1911" spans="1:23">
      <c r="A1911" s="1045">
        <f t="shared" si="30"/>
        <v>8</v>
      </c>
      <c r="B1911" s="134">
        <v>45523</v>
      </c>
      <c r="C1911" s="70">
        <v>5250</v>
      </c>
      <c r="D1911" s="70" t="s">
        <v>85</v>
      </c>
      <c r="E1911" s="280" t="s">
        <v>3951</v>
      </c>
      <c r="F1911" s="1049">
        <v>390.58</v>
      </c>
      <c r="G1911" s="1049"/>
      <c r="H1911" s="564"/>
      <c r="I1911" s="609"/>
      <c r="J1911" s="1155"/>
      <c r="K1911" s="609"/>
      <c r="L1911" s="609"/>
      <c r="M1911" s="609"/>
      <c r="N1911" s="599"/>
      <c r="O1911" s="552" t="s">
        <v>1584</v>
      </c>
      <c r="P1911" s="603"/>
      <c r="Q1911" s="682"/>
      <c r="R1911" s="682"/>
      <c r="S1911" s="682"/>
      <c r="T1911" s="682"/>
      <c r="U1911" s="682"/>
      <c r="V1911" s="682"/>
      <c r="W1911" s="682"/>
    </row>
    <row r="1912" spans="1:23">
      <c r="A1912" s="1045">
        <f t="shared" si="30"/>
        <v>8</v>
      </c>
      <c r="B1912" s="134">
        <v>45523</v>
      </c>
      <c r="C1912" s="70">
        <v>2018</v>
      </c>
      <c r="D1912" s="70" t="s">
        <v>58</v>
      </c>
      <c r="E1912" s="280" t="s">
        <v>3951</v>
      </c>
      <c r="F1912" s="1049">
        <v>19.53</v>
      </c>
      <c r="G1912" s="1049"/>
      <c r="H1912" s="564"/>
      <c r="I1912" s="609"/>
      <c r="J1912" s="1155"/>
      <c r="K1912" s="609"/>
      <c r="L1912" s="609"/>
      <c r="M1912" s="609"/>
      <c r="N1912" s="599"/>
      <c r="O1912" s="552" t="s">
        <v>1584</v>
      </c>
      <c r="P1912" s="603"/>
      <c r="Q1912" s="682"/>
      <c r="R1912" s="682"/>
      <c r="S1912" s="682"/>
      <c r="T1912" s="682"/>
      <c r="U1912" s="682"/>
      <c r="V1912" s="682"/>
      <c r="W1912" s="682"/>
    </row>
    <row r="1913" spans="1:23">
      <c r="A1913" s="1045">
        <f t="shared" si="30"/>
        <v>8</v>
      </c>
      <c r="B1913" s="134">
        <v>45523</v>
      </c>
      <c r="C1913" s="70">
        <v>5250</v>
      </c>
      <c r="D1913" s="70" t="s">
        <v>85</v>
      </c>
      <c r="E1913" s="280" t="s">
        <v>3952</v>
      </c>
      <c r="F1913" s="1049">
        <v>160.71</v>
      </c>
      <c r="G1913" s="1049"/>
      <c r="H1913" s="564"/>
      <c r="I1913" s="609"/>
      <c r="J1913" s="1155"/>
      <c r="K1913" s="609"/>
      <c r="L1913" s="609"/>
      <c r="M1913" s="609"/>
      <c r="N1913" s="599"/>
      <c r="O1913" s="552" t="s">
        <v>1584</v>
      </c>
      <c r="P1913" s="603"/>
      <c r="Q1913" s="682"/>
      <c r="R1913" s="682"/>
      <c r="S1913" s="682"/>
      <c r="T1913" s="682"/>
      <c r="U1913" s="682"/>
      <c r="V1913" s="682"/>
      <c r="W1913" s="682"/>
    </row>
    <row r="1914" spans="1:23">
      <c r="A1914" s="1045">
        <f t="shared" si="30"/>
        <v>8</v>
      </c>
      <c r="B1914" s="134">
        <v>45523</v>
      </c>
      <c r="C1914" s="70">
        <v>2018</v>
      </c>
      <c r="D1914" s="70" t="s">
        <v>58</v>
      </c>
      <c r="E1914" s="280" t="s">
        <v>3952</v>
      </c>
      <c r="F1914" s="1049">
        <v>8.0299999999999994</v>
      </c>
      <c r="G1914" s="1049"/>
      <c r="H1914" s="564"/>
      <c r="I1914" s="609"/>
      <c r="J1914" s="1155"/>
      <c r="K1914" s="609"/>
      <c r="L1914" s="609"/>
      <c r="M1914" s="609"/>
      <c r="N1914" s="599"/>
      <c r="O1914" s="552" t="s">
        <v>1584</v>
      </c>
      <c r="P1914" s="603"/>
      <c r="Q1914" s="682"/>
      <c r="R1914" s="682"/>
      <c r="S1914" s="682"/>
      <c r="T1914" s="682"/>
      <c r="U1914" s="682"/>
      <c r="V1914" s="682"/>
      <c r="W1914" s="682"/>
    </row>
    <row r="1915" spans="1:23">
      <c r="A1915" s="1045">
        <f t="shared" si="30"/>
        <v>8</v>
      </c>
      <c r="B1915" s="134">
        <v>45524</v>
      </c>
      <c r="C1915" s="70">
        <v>5200</v>
      </c>
      <c r="D1915" s="70" t="s">
        <v>83</v>
      </c>
      <c r="E1915" s="280" t="s">
        <v>3953</v>
      </c>
      <c r="F1915" s="1049">
        <v>384.8</v>
      </c>
      <c r="G1915" s="1049"/>
      <c r="H1915" s="564"/>
      <c r="I1915" s="609"/>
      <c r="J1915" s="1155"/>
      <c r="K1915" s="609"/>
      <c r="L1915" s="609"/>
      <c r="M1915" s="609"/>
      <c r="N1915" s="599"/>
      <c r="O1915" s="552" t="s">
        <v>1584</v>
      </c>
      <c r="P1915" s="603"/>
      <c r="Q1915" s="682"/>
      <c r="R1915" s="682"/>
      <c r="S1915" s="682"/>
      <c r="T1915" s="682"/>
      <c r="U1915" s="682"/>
      <c r="V1915" s="682"/>
      <c r="W1915" s="682"/>
    </row>
    <row r="1916" spans="1:23">
      <c r="A1916" s="1045">
        <f t="shared" si="30"/>
        <v>8</v>
      </c>
      <c r="B1916" s="134">
        <v>45524</v>
      </c>
      <c r="C1916" s="70">
        <v>2018</v>
      </c>
      <c r="D1916" s="70" t="s">
        <v>58</v>
      </c>
      <c r="E1916" s="280" t="s">
        <v>3953</v>
      </c>
      <c r="F1916" s="1049">
        <v>19.239999999999998</v>
      </c>
      <c r="G1916" s="1049"/>
      <c r="H1916" s="564"/>
      <c r="I1916" s="609"/>
      <c r="J1916" s="1155"/>
      <c r="K1916" s="609"/>
      <c r="L1916" s="609"/>
      <c r="M1916" s="609"/>
      <c r="N1916" s="599"/>
      <c r="O1916" s="552" t="s">
        <v>1584</v>
      </c>
      <c r="P1916" s="603"/>
      <c r="Q1916" s="682"/>
      <c r="R1916" s="682"/>
      <c r="S1916" s="682"/>
      <c r="T1916" s="682"/>
      <c r="U1916" s="682"/>
      <c r="V1916" s="682"/>
      <c r="W1916" s="682"/>
    </row>
    <row r="1917" spans="1:23">
      <c r="A1917" s="1045">
        <f t="shared" si="30"/>
        <v>8</v>
      </c>
      <c r="B1917" s="134">
        <v>45524</v>
      </c>
      <c r="C1917" s="70">
        <v>5250</v>
      </c>
      <c r="D1917" s="70" t="s">
        <v>85</v>
      </c>
      <c r="E1917" s="280" t="s">
        <v>3954</v>
      </c>
      <c r="F1917" s="1049">
        <v>1800</v>
      </c>
      <c r="G1917" s="1049"/>
      <c r="H1917" s="564"/>
      <c r="I1917" s="609"/>
      <c r="J1917" s="1155"/>
      <c r="K1917" s="609"/>
      <c r="L1917" s="609"/>
      <c r="M1917" s="609"/>
      <c r="N1917" s="599"/>
      <c r="O1917" s="552" t="s">
        <v>1584</v>
      </c>
      <c r="P1917" s="603"/>
      <c r="Q1917" s="682"/>
      <c r="R1917" s="682"/>
      <c r="S1917" s="682"/>
      <c r="T1917" s="682"/>
      <c r="U1917" s="682"/>
      <c r="V1917" s="682"/>
      <c r="W1917" s="682"/>
    </row>
    <row r="1918" spans="1:23">
      <c r="A1918" s="1045">
        <f t="shared" si="30"/>
        <v>8</v>
      </c>
      <c r="B1918" s="134">
        <v>45524</v>
      </c>
      <c r="C1918" s="70">
        <v>5250</v>
      </c>
      <c r="D1918" s="70" t="s">
        <v>85</v>
      </c>
      <c r="E1918" s="280" t="s">
        <v>3954</v>
      </c>
      <c r="F1918" s="1049">
        <v>90</v>
      </c>
      <c r="G1918" s="1049"/>
      <c r="H1918" s="564"/>
      <c r="I1918" s="609"/>
      <c r="J1918" s="1155"/>
      <c r="K1918" s="609"/>
      <c r="L1918" s="609"/>
      <c r="M1918" s="609"/>
      <c r="N1918" s="599"/>
      <c r="O1918" s="552" t="s">
        <v>1584</v>
      </c>
      <c r="P1918" s="603"/>
      <c r="Q1918" s="682"/>
      <c r="R1918" s="682"/>
      <c r="S1918" s="682"/>
      <c r="T1918" s="682"/>
      <c r="U1918" s="682"/>
      <c r="V1918" s="682"/>
      <c r="W1918" s="682"/>
    </row>
    <row r="1919" spans="1:23">
      <c r="A1919" s="1045">
        <f t="shared" si="30"/>
        <v>8</v>
      </c>
      <c r="B1919" s="134">
        <v>45525</v>
      </c>
      <c r="C1919" s="70">
        <v>5250</v>
      </c>
      <c r="D1919" s="70" t="s">
        <v>85</v>
      </c>
      <c r="E1919" s="280" t="s">
        <v>3955</v>
      </c>
      <c r="F1919" s="1049">
        <v>50</v>
      </c>
      <c r="G1919" s="1049"/>
      <c r="H1919" s="564"/>
      <c r="I1919" s="609"/>
      <c r="J1919" s="1155"/>
      <c r="K1919" s="609"/>
      <c r="L1919" s="609"/>
      <c r="M1919" s="609"/>
      <c r="N1919" s="599"/>
      <c r="O1919" s="552" t="s">
        <v>1584</v>
      </c>
      <c r="P1919" s="603"/>
      <c r="Q1919" s="682"/>
      <c r="R1919" s="682"/>
      <c r="S1919" s="682"/>
      <c r="T1919" s="682"/>
      <c r="U1919" s="682"/>
      <c r="V1919" s="682"/>
      <c r="W1919" s="682"/>
    </row>
    <row r="1920" spans="1:23">
      <c r="A1920" s="1045">
        <f t="shared" si="30"/>
        <v>8</v>
      </c>
      <c r="B1920" s="134">
        <v>45525</v>
      </c>
      <c r="C1920" s="70">
        <v>2018</v>
      </c>
      <c r="D1920" s="70" t="s">
        <v>58</v>
      </c>
      <c r="E1920" s="280" t="s">
        <v>3955</v>
      </c>
      <c r="F1920" s="1049">
        <v>2.5</v>
      </c>
      <c r="G1920" s="1049"/>
      <c r="H1920" s="564"/>
      <c r="I1920" s="609"/>
      <c r="J1920" s="1155"/>
      <c r="K1920" s="609"/>
      <c r="L1920" s="609"/>
      <c r="M1920" s="609"/>
      <c r="N1920" s="599"/>
      <c r="O1920" s="552" t="s">
        <v>1584</v>
      </c>
      <c r="P1920" s="603"/>
      <c r="Q1920" s="682"/>
      <c r="R1920" s="682"/>
      <c r="S1920" s="682"/>
      <c r="T1920" s="682"/>
      <c r="U1920" s="682"/>
      <c r="V1920" s="682"/>
      <c r="W1920" s="682"/>
    </row>
    <row r="1921" spans="1:23">
      <c r="A1921" s="1045">
        <f t="shared" si="30"/>
        <v>8</v>
      </c>
      <c r="B1921" s="134">
        <v>45525</v>
      </c>
      <c r="C1921" s="70">
        <v>5250</v>
      </c>
      <c r="D1921" s="70" t="s">
        <v>85</v>
      </c>
      <c r="E1921" s="280" t="s">
        <v>3956</v>
      </c>
      <c r="F1921" s="1049">
        <v>20</v>
      </c>
      <c r="G1921" s="1049"/>
      <c r="H1921" s="564"/>
      <c r="I1921" s="609"/>
      <c r="J1921" s="1155"/>
      <c r="K1921" s="609"/>
      <c r="L1921" s="609"/>
      <c r="M1921" s="609"/>
      <c r="N1921" s="599"/>
      <c r="O1921" s="552" t="s">
        <v>1584</v>
      </c>
      <c r="P1921" s="603"/>
      <c r="Q1921" s="682"/>
      <c r="R1921" s="682"/>
      <c r="S1921" s="682"/>
      <c r="T1921" s="682"/>
      <c r="U1921" s="682"/>
      <c r="V1921" s="682"/>
      <c r="W1921" s="682"/>
    </row>
    <row r="1922" spans="1:23">
      <c r="A1922" s="1045">
        <f t="shared" si="30"/>
        <v>8</v>
      </c>
      <c r="B1922" s="134">
        <v>45525</v>
      </c>
      <c r="C1922" s="70">
        <v>5220</v>
      </c>
      <c r="D1922" s="70" t="s">
        <v>84</v>
      </c>
      <c r="E1922" s="280" t="s">
        <v>3957</v>
      </c>
      <c r="F1922" s="1049">
        <v>3268.7</v>
      </c>
      <c r="G1922" s="1049"/>
      <c r="H1922" s="564"/>
      <c r="I1922" s="609"/>
      <c r="J1922" s="1155"/>
      <c r="K1922" s="609"/>
      <c r="L1922" s="609"/>
      <c r="M1922" s="609"/>
      <c r="N1922" s="599"/>
      <c r="O1922" s="552" t="s">
        <v>1584</v>
      </c>
      <c r="P1922" s="603"/>
      <c r="Q1922" s="682"/>
      <c r="R1922" s="682"/>
      <c r="S1922" s="682"/>
      <c r="T1922" s="682"/>
      <c r="U1922" s="682"/>
      <c r="V1922" s="682"/>
      <c r="W1922" s="682"/>
    </row>
    <row r="1923" spans="1:23">
      <c r="A1923" s="1045">
        <f t="shared" si="30"/>
        <v>8</v>
      </c>
      <c r="B1923" s="134">
        <v>45525</v>
      </c>
      <c r="C1923" s="70">
        <v>2018</v>
      </c>
      <c r="D1923" s="70" t="s">
        <v>58</v>
      </c>
      <c r="E1923" s="280" t="s">
        <v>3957</v>
      </c>
      <c r="F1923" s="1049">
        <v>163.44</v>
      </c>
      <c r="G1923" s="1049"/>
      <c r="H1923" s="564"/>
      <c r="I1923" s="609"/>
      <c r="J1923" s="1155"/>
      <c r="K1923" s="609"/>
      <c r="L1923" s="609"/>
      <c r="M1923" s="609"/>
      <c r="N1923" s="599"/>
      <c r="O1923" s="552" t="s">
        <v>1584</v>
      </c>
      <c r="P1923" s="603"/>
      <c r="Q1923" s="682"/>
      <c r="R1923" s="682"/>
      <c r="S1923" s="682"/>
      <c r="T1923" s="682"/>
      <c r="U1923" s="682"/>
      <c r="V1923" s="682"/>
      <c r="W1923" s="682"/>
    </row>
    <row r="1924" spans="1:23">
      <c r="A1924" s="1045">
        <f t="shared" si="30"/>
        <v>8</v>
      </c>
      <c r="B1924" s="134">
        <v>45525</v>
      </c>
      <c r="C1924" s="70">
        <v>5250</v>
      </c>
      <c r="D1924" s="70" t="s">
        <v>85</v>
      </c>
      <c r="E1924" s="280" t="s">
        <v>3958</v>
      </c>
      <c r="F1924" s="1049">
        <v>126</v>
      </c>
      <c r="G1924" s="1049"/>
      <c r="H1924" s="564"/>
      <c r="I1924" s="609"/>
      <c r="J1924" s="1155"/>
      <c r="K1924" s="609"/>
      <c r="L1924" s="609"/>
      <c r="M1924" s="609"/>
      <c r="N1924" s="599"/>
      <c r="O1924" s="552" t="s">
        <v>1584</v>
      </c>
      <c r="P1924" s="603"/>
      <c r="Q1924" s="682"/>
      <c r="R1924" s="682"/>
      <c r="S1924" s="682"/>
      <c r="T1924" s="682"/>
      <c r="U1924" s="682"/>
      <c r="V1924" s="682"/>
      <c r="W1924" s="682"/>
    </row>
    <row r="1925" spans="1:23">
      <c r="A1925" s="1045">
        <f t="shared" si="30"/>
        <v>8</v>
      </c>
      <c r="B1925" s="134">
        <v>45525</v>
      </c>
      <c r="C1925" s="70">
        <v>2018</v>
      </c>
      <c r="D1925" s="70" t="s">
        <v>58</v>
      </c>
      <c r="E1925" s="280" t="s">
        <v>3958</v>
      </c>
      <c r="F1925" s="1049">
        <v>6.3</v>
      </c>
      <c r="G1925" s="1049"/>
      <c r="H1925" s="564"/>
      <c r="I1925" s="609"/>
      <c r="J1925" s="1155"/>
      <c r="K1925" s="609"/>
      <c r="L1925" s="609"/>
      <c r="M1925" s="609"/>
      <c r="N1925" s="599"/>
      <c r="O1925" s="552" t="s">
        <v>1584</v>
      </c>
      <c r="P1925" s="603"/>
      <c r="Q1925" s="682"/>
      <c r="R1925" s="682"/>
      <c r="S1925" s="682"/>
      <c r="T1925" s="682"/>
      <c r="U1925" s="682"/>
      <c r="V1925" s="682"/>
      <c r="W1925" s="682"/>
    </row>
    <row r="1926" spans="1:23">
      <c r="A1926" s="1045">
        <f t="shared" si="30"/>
        <v>8</v>
      </c>
      <c r="B1926" s="134">
        <v>45525</v>
      </c>
      <c r="C1926" s="70">
        <v>5250</v>
      </c>
      <c r="D1926" s="70" t="s">
        <v>85</v>
      </c>
      <c r="E1926" s="280" t="s">
        <v>3959</v>
      </c>
      <c r="F1926" s="1049">
        <v>1103</v>
      </c>
      <c r="G1926" s="1049"/>
      <c r="H1926" s="564"/>
      <c r="I1926" s="609"/>
      <c r="J1926" s="1155"/>
      <c r="K1926" s="609"/>
      <c r="L1926" s="609"/>
      <c r="M1926" s="609"/>
      <c r="N1926" s="599"/>
      <c r="O1926" s="552" t="s">
        <v>1584</v>
      </c>
      <c r="P1926" s="603"/>
      <c r="Q1926" s="682"/>
      <c r="R1926" s="682"/>
      <c r="S1926" s="682"/>
      <c r="T1926" s="682"/>
      <c r="U1926" s="682"/>
      <c r="V1926" s="682"/>
      <c r="W1926" s="682"/>
    </row>
    <row r="1927" spans="1:23">
      <c r="A1927" s="1045">
        <f t="shared" si="30"/>
        <v>8</v>
      </c>
      <c r="B1927" s="134">
        <v>45525</v>
      </c>
      <c r="C1927" s="70">
        <v>2018</v>
      </c>
      <c r="D1927" s="70" t="s">
        <v>58</v>
      </c>
      <c r="E1927" s="280" t="s">
        <v>3959</v>
      </c>
      <c r="F1927" s="1049">
        <v>55.15</v>
      </c>
      <c r="G1927" s="1049"/>
      <c r="H1927" s="564"/>
      <c r="I1927" s="609"/>
      <c r="J1927" s="1155"/>
      <c r="K1927" s="609"/>
      <c r="L1927" s="609"/>
      <c r="M1927" s="609"/>
      <c r="N1927" s="599"/>
      <c r="O1927" s="552" t="s">
        <v>1584</v>
      </c>
      <c r="P1927" s="603"/>
      <c r="Q1927" s="682"/>
      <c r="R1927" s="682"/>
      <c r="S1927" s="682"/>
      <c r="T1927" s="682"/>
      <c r="U1927" s="682"/>
      <c r="V1927" s="682"/>
      <c r="W1927" s="682"/>
    </row>
    <row r="1928" spans="1:23">
      <c r="A1928" s="1045">
        <f t="shared" si="30"/>
        <v>8</v>
      </c>
      <c r="B1928" s="134">
        <v>45526</v>
      </c>
      <c r="C1928" s="70">
        <v>5250</v>
      </c>
      <c r="D1928" s="70" t="s">
        <v>85</v>
      </c>
      <c r="E1928" s="280" t="s">
        <v>3960</v>
      </c>
      <c r="F1928" s="1049">
        <v>24</v>
      </c>
      <c r="G1928" s="1049"/>
      <c r="H1928" s="564"/>
      <c r="I1928" s="609"/>
      <c r="J1928" s="1155"/>
      <c r="K1928" s="609"/>
      <c r="L1928" s="609"/>
      <c r="M1928" s="609"/>
      <c r="N1928" s="599"/>
      <c r="O1928" s="552" t="s">
        <v>1584</v>
      </c>
      <c r="P1928" s="603"/>
      <c r="Q1928" s="682"/>
      <c r="R1928" s="682"/>
      <c r="S1928" s="682"/>
      <c r="T1928" s="682"/>
      <c r="U1928" s="682"/>
      <c r="V1928" s="682"/>
      <c r="W1928" s="682"/>
    </row>
    <row r="1929" spans="1:23">
      <c r="A1929" s="1045">
        <f t="shared" si="30"/>
        <v>8</v>
      </c>
      <c r="B1929" s="134">
        <v>45526</v>
      </c>
      <c r="C1929" s="70">
        <v>2018</v>
      </c>
      <c r="D1929" s="70" t="s">
        <v>58</v>
      </c>
      <c r="E1929" s="280" t="s">
        <v>3960</v>
      </c>
      <c r="F1929" s="1049">
        <v>1.2</v>
      </c>
      <c r="G1929" s="1049"/>
      <c r="H1929" s="564"/>
      <c r="I1929" s="609"/>
      <c r="J1929" s="1155"/>
      <c r="K1929" s="609"/>
      <c r="L1929" s="609"/>
      <c r="M1929" s="609"/>
      <c r="N1929" s="599"/>
      <c r="O1929" s="552" t="s">
        <v>1584</v>
      </c>
      <c r="P1929" s="603"/>
      <c r="Q1929" s="682"/>
      <c r="R1929" s="682"/>
      <c r="S1929" s="682"/>
      <c r="T1929" s="682"/>
      <c r="U1929" s="682"/>
      <c r="V1929" s="682"/>
      <c r="W1929" s="682"/>
    </row>
    <row r="1930" spans="1:23">
      <c r="A1930" s="1045">
        <f t="shared" si="30"/>
        <v>8</v>
      </c>
      <c r="B1930" s="134">
        <v>45526</v>
      </c>
      <c r="C1930" s="70">
        <v>5250</v>
      </c>
      <c r="D1930" s="70" t="s">
        <v>85</v>
      </c>
      <c r="E1930" s="280" t="s">
        <v>3961</v>
      </c>
      <c r="F1930" s="1049">
        <v>24</v>
      </c>
      <c r="G1930" s="1049"/>
      <c r="H1930" s="564"/>
      <c r="I1930" s="609"/>
      <c r="J1930" s="1155"/>
      <c r="K1930" s="609"/>
      <c r="L1930" s="609"/>
      <c r="M1930" s="609"/>
      <c r="N1930" s="599"/>
      <c r="O1930" s="552" t="s">
        <v>1584</v>
      </c>
      <c r="P1930" s="603"/>
      <c r="Q1930" s="682"/>
      <c r="R1930" s="682"/>
      <c r="S1930" s="682"/>
      <c r="T1930" s="682"/>
      <c r="U1930" s="682"/>
      <c r="V1930" s="682"/>
      <c r="W1930" s="682"/>
    </row>
    <row r="1931" spans="1:23">
      <c r="A1931" s="1045">
        <f t="shared" si="30"/>
        <v>8</v>
      </c>
      <c r="B1931" s="134">
        <v>45526</v>
      </c>
      <c r="C1931" s="70">
        <v>2018</v>
      </c>
      <c r="D1931" s="70" t="s">
        <v>58</v>
      </c>
      <c r="E1931" s="280" t="s">
        <v>3961</v>
      </c>
      <c r="F1931" s="1049">
        <v>1.2</v>
      </c>
      <c r="G1931" s="1049"/>
      <c r="H1931" s="564"/>
      <c r="I1931" s="609"/>
      <c r="J1931" s="1155"/>
      <c r="K1931" s="609"/>
      <c r="L1931" s="609"/>
      <c r="M1931" s="609"/>
      <c r="N1931" s="599"/>
      <c r="O1931" s="552" t="s">
        <v>1584</v>
      </c>
      <c r="P1931" s="603"/>
      <c r="Q1931" s="682"/>
      <c r="R1931" s="682"/>
      <c r="S1931" s="682"/>
      <c r="T1931" s="682"/>
      <c r="U1931" s="682"/>
      <c r="V1931" s="682"/>
      <c r="W1931" s="682"/>
    </row>
    <row r="1932" spans="1:23">
      <c r="A1932" s="1045">
        <f t="shared" si="30"/>
        <v>8</v>
      </c>
      <c r="B1932" s="134">
        <v>45526</v>
      </c>
      <c r="C1932" s="70">
        <v>5250</v>
      </c>
      <c r="D1932" s="70" t="s">
        <v>85</v>
      </c>
      <c r="E1932" s="280" t="s">
        <v>3962</v>
      </c>
      <c r="F1932" s="1049">
        <v>32</v>
      </c>
      <c r="G1932" s="1049"/>
      <c r="H1932" s="564"/>
      <c r="I1932" s="609"/>
      <c r="J1932" s="1155"/>
      <c r="K1932" s="609"/>
      <c r="L1932" s="609"/>
      <c r="M1932" s="609"/>
      <c r="N1932" s="599"/>
      <c r="O1932" s="552" t="s">
        <v>1584</v>
      </c>
      <c r="P1932" s="603"/>
      <c r="Q1932" s="682"/>
      <c r="R1932" s="682"/>
      <c r="S1932" s="682"/>
      <c r="T1932" s="682"/>
      <c r="U1932" s="682"/>
      <c r="V1932" s="682"/>
      <c r="W1932" s="682"/>
    </row>
    <row r="1933" spans="1:23">
      <c r="A1933" s="1045">
        <f t="shared" si="30"/>
        <v>8</v>
      </c>
      <c r="B1933" s="134">
        <v>45526</v>
      </c>
      <c r="C1933" s="70">
        <v>2018</v>
      </c>
      <c r="D1933" s="70" t="s">
        <v>58</v>
      </c>
      <c r="E1933" s="280" t="s">
        <v>3962</v>
      </c>
      <c r="F1933" s="1049">
        <v>1.6</v>
      </c>
      <c r="G1933" s="1049"/>
      <c r="H1933" s="564"/>
      <c r="I1933" s="609"/>
      <c r="J1933" s="1155"/>
      <c r="K1933" s="609"/>
      <c r="L1933" s="609"/>
      <c r="M1933" s="609"/>
      <c r="N1933" s="599"/>
      <c r="O1933" s="552" t="s">
        <v>1584</v>
      </c>
      <c r="P1933" s="603"/>
      <c r="Q1933" s="682"/>
      <c r="R1933" s="682"/>
      <c r="S1933" s="682"/>
      <c r="T1933" s="682"/>
      <c r="U1933" s="682"/>
      <c r="V1933" s="682"/>
      <c r="W1933" s="682"/>
    </row>
    <row r="1934" spans="1:23">
      <c r="A1934" s="1045">
        <f t="shared" si="30"/>
        <v>8</v>
      </c>
      <c r="B1934" s="134">
        <v>45526</v>
      </c>
      <c r="C1934" s="70">
        <v>5250</v>
      </c>
      <c r="D1934" s="70" t="s">
        <v>85</v>
      </c>
      <c r="E1934" s="280" t="s">
        <v>3963</v>
      </c>
      <c r="F1934" s="1049">
        <v>12</v>
      </c>
      <c r="G1934" s="1049"/>
      <c r="H1934" s="564"/>
      <c r="I1934" s="609"/>
      <c r="J1934" s="1155"/>
      <c r="K1934" s="609"/>
      <c r="L1934" s="609"/>
      <c r="M1934" s="609"/>
      <c r="N1934" s="599"/>
      <c r="O1934" s="552" t="s">
        <v>1584</v>
      </c>
      <c r="P1934" s="603"/>
      <c r="Q1934" s="682"/>
      <c r="R1934" s="682"/>
      <c r="S1934" s="682"/>
      <c r="T1934" s="682"/>
      <c r="U1934" s="682"/>
      <c r="V1934" s="682"/>
      <c r="W1934" s="682"/>
    </row>
    <row r="1935" spans="1:23">
      <c r="A1935" s="1045">
        <f t="shared" si="30"/>
        <v>8</v>
      </c>
      <c r="B1935" s="134">
        <v>45526</v>
      </c>
      <c r="C1935" s="70">
        <v>2018</v>
      </c>
      <c r="D1935" s="70" t="s">
        <v>58</v>
      </c>
      <c r="E1935" s="280" t="s">
        <v>3963</v>
      </c>
      <c r="F1935" s="1049">
        <v>0.6</v>
      </c>
      <c r="G1935" s="1049"/>
      <c r="H1935" s="564"/>
      <c r="I1935" s="609"/>
      <c r="J1935" s="1155"/>
      <c r="K1935" s="609"/>
      <c r="L1935" s="609"/>
      <c r="M1935" s="609"/>
      <c r="N1935" s="599"/>
      <c r="O1935" s="552" t="s">
        <v>1584</v>
      </c>
      <c r="P1935" s="603"/>
      <c r="Q1935" s="682"/>
      <c r="R1935" s="682"/>
      <c r="S1935" s="682"/>
      <c r="T1935" s="682"/>
      <c r="U1935" s="682"/>
      <c r="V1935" s="682"/>
      <c r="W1935" s="682"/>
    </row>
    <row r="1936" spans="1:23">
      <c r="A1936" s="1045">
        <f t="shared" si="30"/>
        <v>8</v>
      </c>
      <c r="B1936" s="134">
        <v>45526</v>
      </c>
      <c r="C1936" s="70">
        <v>5250</v>
      </c>
      <c r="D1936" s="70" t="s">
        <v>85</v>
      </c>
      <c r="E1936" s="280" t="s">
        <v>3964</v>
      </c>
      <c r="F1936" s="1049">
        <v>776</v>
      </c>
      <c r="G1936" s="1049"/>
      <c r="H1936" s="564"/>
      <c r="I1936" s="609"/>
      <c r="J1936" s="1155"/>
      <c r="K1936" s="609"/>
      <c r="L1936" s="609"/>
      <c r="M1936" s="609"/>
      <c r="N1936" s="599"/>
      <c r="O1936" s="552" t="s">
        <v>1584</v>
      </c>
      <c r="P1936" s="603"/>
      <c r="Q1936" s="682"/>
      <c r="R1936" s="682"/>
      <c r="S1936" s="682"/>
      <c r="T1936" s="682"/>
      <c r="U1936" s="682"/>
      <c r="V1936" s="682"/>
      <c r="W1936" s="682"/>
    </row>
    <row r="1937" spans="1:23">
      <c r="A1937" s="1045">
        <f t="shared" si="30"/>
        <v>8</v>
      </c>
      <c r="B1937" s="134">
        <v>45526</v>
      </c>
      <c r="C1937" s="70">
        <v>2018</v>
      </c>
      <c r="D1937" s="70" t="s">
        <v>58</v>
      </c>
      <c r="E1937" s="280" t="s">
        <v>3964</v>
      </c>
      <c r="F1937" s="1049">
        <v>38.799999999999997</v>
      </c>
      <c r="G1937" s="1049"/>
      <c r="H1937" s="564"/>
      <c r="I1937" s="609"/>
      <c r="J1937" s="1155"/>
      <c r="K1937" s="609"/>
      <c r="L1937" s="609"/>
      <c r="M1937" s="609"/>
      <c r="N1937" s="599"/>
      <c r="O1937" s="552" t="s">
        <v>1584</v>
      </c>
      <c r="P1937" s="603"/>
      <c r="Q1937" s="682"/>
      <c r="R1937" s="682"/>
      <c r="S1937" s="682"/>
      <c r="T1937" s="682"/>
      <c r="U1937" s="682"/>
      <c r="V1937" s="682"/>
      <c r="W1937" s="682"/>
    </row>
    <row r="1938" spans="1:23">
      <c r="A1938" s="1045">
        <f t="shared" si="30"/>
        <v>8</v>
      </c>
      <c r="B1938" s="134">
        <v>45526</v>
      </c>
      <c r="C1938" s="70">
        <v>5250</v>
      </c>
      <c r="D1938" s="70" t="s">
        <v>85</v>
      </c>
      <c r="E1938" s="280" t="s">
        <v>3965</v>
      </c>
      <c r="F1938" s="1049">
        <v>129</v>
      </c>
      <c r="G1938" s="1049"/>
      <c r="H1938" s="564"/>
      <c r="I1938" s="609"/>
      <c r="J1938" s="1155"/>
      <c r="K1938" s="609"/>
      <c r="L1938" s="609"/>
      <c r="M1938" s="609"/>
      <c r="N1938" s="599"/>
      <c r="O1938" s="552" t="s">
        <v>1584</v>
      </c>
      <c r="P1938" s="603"/>
      <c r="Q1938" s="682"/>
      <c r="R1938" s="682"/>
      <c r="S1938" s="682"/>
      <c r="T1938" s="682"/>
      <c r="U1938" s="682"/>
      <c r="V1938" s="682"/>
      <c r="W1938" s="682"/>
    </row>
    <row r="1939" spans="1:23">
      <c r="A1939" s="1045">
        <f t="shared" si="30"/>
        <v>8</v>
      </c>
      <c r="B1939" s="134">
        <v>45526</v>
      </c>
      <c r="C1939" s="70">
        <v>2018</v>
      </c>
      <c r="D1939" s="70" t="s">
        <v>58</v>
      </c>
      <c r="E1939" s="280" t="s">
        <v>3965</v>
      </c>
      <c r="F1939" s="1049">
        <v>6.45</v>
      </c>
      <c r="G1939" s="1049"/>
      <c r="H1939" s="564"/>
      <c r="I1939" s="609"/>
      <c r="J1939" s="1155"/>
      <c r="K1939" s="609"/>
      <c r="L1939" s="609"/>
      <c r="M1939" s="609"/>
      <c r="N1939" s="599"/>
      <c r="O1939" s="552" t="s">
        <v>1584</v>
      </c>
      <c r="P1939" s="603"/>
      <c r="Q1939" s="682"/>
      <c r="R1939" s="682"/>
      <c r="S1939" s="682"/>
      <c r="T1939" s="682"/>
      <c r="U1939" s="682"/>
      <c r="V1939" s="682"/>
      <c r="W1939" s="682"/>
    </row>
    <row r="1940" spans="1:23">
      <c r="A1940" s="1045">
        <f t="shared" si="30"/>
        <v>8</v>
      </c>
      <c r="B1940" s="134">
        <v>45526</v>
      </c>
      <c r="C1940" s="70">
        <v>5250</v>
      </c>
      <c r="D1940" s="70" t="s">
        <v>85</v>
      </c>
      <c r="E1940" s="280" t="s">
        <v>3966</v>
      </c>
      <c r="F1940" s="1049">
        <v>40</v>
      </c>
      <c r="G1940" s="1049"/>
      <c r="H1940" s="564"/>
      <c r="I1940" s="609"/>
      <c r="J1940" s="1155"/>
      <c r="K1940" s="609"/>
      <c r="L1940" s="609"/>
      <c r="M1940" s="609"/>
      <c r="N1940" s="599"/>
      <c r="O1940" s="552" t="s">
        <v>1584</v>
      </c>
      <c r="P1940" s="603"/>
      <c r="Q1940" s="682"/>
      <c r="R1940" s="682"/>
      <c r="S1940" s="682"/>
      <c r="T1940" s="682"/>
      <c r="U1940" s="682"/>
      <c r="V1940" s="682"/>
      <c r="W1940" s="682"/>
    </row>
    <row r="1941" spans="1:23">
      <c r="A1941" s="1045">
        <f t="shared" ref="A1941:A2004" si="31">IF(B1941="","",MONTH(B1941))</f>
        <v>8</v>
      </c>
      <c r="B1941" s="134">
        <v>45526</v>
      </c>
      <c r="C1941" s="70">
        <v>2018</v>
      </c>
      <c r="D1941" s="70" t="s">
        <v>58</v>
      </c>
      <c r="E1941" s="280" t="s">
        <v>3966</v>
      </c>
      <c r="F1941" s="1049">
        <v>2</v>
      </c>
      <c r="G1941" s="1049"/>
      <c r="H1941" s="564"/>
      <c r="I1941" s="609"/>
      <c r="J1941" s="1155"/>
      <c r="K1941" s="609"/>
      <c r="L1941" s="609"/>
      <c r="M1941" s="609"/>
      <c r="N1941" s="599"/>
      <c r="O1941" s="552" t="s">
        <v>1584</v>
      </c>
      <c r="P1941" s="603"/>
      <c r="Q1941" s="682"/>
      <c r="R1941" s="682"/>
      <c r="S1941" s="682"/>
      <c r="T1941" s="682"/>
      <c r="U1941" s="682"/>
      <c r="V1941" s="682"/>
      <c r="W1941" s="682"/>
    </row>
    <row r="1942" spans="1:23">
      <c r="A1942" s="1045">
        <f t="shared" si="31"/>
        <v>8</v>
      </c>
      <c r="B1942" s="134">
        <v>45526</v>
      </c>
      <c r="C1942" s="70">
        <v>5250</v>
      </c>
      <c r="D1942" s="70" t="s">
        <v>85</v>
      </c>
      <c r="E1942" s="280" t="s">
        <v>3967</v>
      </c>
      <c r="F1942" s="1049">
        <v>161.80000000000001</v>
      </c>
      <c r="G1942" s="1049"/>
      <c r="H1942" s="564"/>
      <c r="I1942" s="609"/>
      <c r="J1942" s="1155"/>
      <c r="K1942" s="609"/>
      <c r="L1942" s="609"/>
      <c r="M1942" s="609"/>
      <c r="N1942" s="599"/>
      <c r="O1942" s="552" t="s">
        <v>1584</v>
      </c>
      <c r="P1942" s="603"/>
      <c r="Q1942" s="682"/>
      <c r="R1942" s="682"/>
      <c r="S1942" s="682"/>
      <c r="T1942" s="682"/>
      <c r="U1942" s="682"/>
      <c r="V1942" s="682"/>
      <c r="W1942" s="682"/>
    </row>
    <row r="1943" spans="1:23">
      <c r="A1943" s="1045">
        <f t="shared" si="31"/>
        <v>8</v>
      </c>
      <c r="B1943" s="134">
        <v>45526</v>
      </c>
      <c r="C1943" s="70">
        <v>2018</v>
      </c>
      <c r="D1943" s="70" t="s">
        <v>58</v>
      </c>
      <c r="E1943" s="280" t="s">
        <v>3967</v>
      </c>
      <c r="F1943" s="1049">
        <v>8.09</v>
      </c>
      <c r="G1943" s="1049"/>
      <c r="H1943" s="564"/>
      <c r="I1943" s="609"/>
      <c r="J1943" s="1155"/>
      <c r="K1943" s="609"/>
      <c r="L1943" s="609"/>
      <c r="M1943" s="609"/>
      <c r="N1943" s="599"/>
      <c r="O1943" s="552" t="s">
        <v>1584</v>
      </c>
      <c r="P1943" s="603"/>
      <c r="Q1943" s="682"/>
      <c r="R1943" s="682"/>
      <c r="S1943" s="682"/>
      <c r="T1943" s="682"/>
      <c r="U1943" s="682"/>
      <c r="V1943" s="682"/>
      <c r="W1943" s="682"/>
    </row>
    <row r="1944" spans="1:23">
      <c r="A1944" s="1045">
        <f t="shared" si="31"/>
        <v>8</v>
      </c>
      <c r="B1944" s="134">
        <v>45527</v>
      </c>
      <c r="C1944" s="70">
        <v>5250</v>
      </c>
      <c r="D1944" s="70" t="s">
        <v>85</v>
      </c>
      <c r="E1944" s="280" t="s">
        <v>3968</v>
      </c>
      <c r="F1944" s="1049">
        <v>62.62</v>
      </c>
      <c r="G1944" s="1049"/>
      <c r="H1944" s="564"/>
      <c r="I1944" s="609"/>
      <c r="J1944" s="1155"/>
      <c r="K1944" s="609"/>
      <c r="L1944" s="609"/>
      <c r="M1944" s="609"/>
      <c r="N1944" s="599"/>
      <c r="O1944" s="552" t="s">
        <v>1584</v>
      </c>
      <c r="P1944" s="603"/>
      <c r="Q1944" s="682"/>
      <c r="R1944" s="682"/>
      <c r="S1944" s="682"/>
      <c r="T1944" s="682"/>
      <c r="U1944" s="682"/>
      <c r="V1944" s="682"/>
      <c r="W1944" s="682"/>
    </row>
    <row r="1945" spans="1:23">
      <c r="A1945" s="1045">
        <f t="shared" si="31"/>
        <v>8</v>
      </c>
      <c r="B1945" s="134">
        <v>45527</v>
      </c>
      <c r="C1945" s="70">
        <v>2018</v>
      </c>
      <c r="D1945" s="70" t="s">
        <v>58</v>
      </c>
      <c r="E1945" s="280" t="s">
        <v>3969</v>
      </c>
      <c r="F1945" s="1049">
        <v>3.13</v>
      </c>
      <c r="G1945" s="1049"/>
      <c r="H1945" s="564"/>
      <c r="I1945" s="609"/>
      <c r="J1945" s="1155"/>
      <c r="K1945" s="609"/>
      <c r="L1945" s="609"/>
      <c r="M1945" s="609"/>
      <c r="N1945" s="599"/>
      <c r="O1945" s="552" t="s">
        <v>1584</v>
      </c>
      <c r="P1945" s="603"/>
      <c r="Q1945" s="682"/>
      <c r="R1945" s="682"/>
      <c r="S1945" s="682"/>
      <c r="T1945" s="682"/>
      <c r="U1945" s="682"/>
      <c r="V1945" s="682"/>
      <c r="W1945" s="682"/>
    </row>
    <row r="1946" spans="1:23">
      <c r="A1946" s="1045">
        <f t="shared" si="31"/>
        <v>8</v>
      </c>
      <c r="B1946" s="134">
        <v>45528</v>
      </c>
      <c r="C1946" s="70">
        <v>5250</v>
      </c>
      <c r="D1946" s="70" t="s">
        <v>85</v>
      </c>
      <c r="E1946" s="280" t="s">
        <v>3970</v>
      </c>
      <c r="F1946" s="1049">
        <v>95</v>
      </c>
      <c r="G1946" s="1049"/>
      <c r="H1946" s="564"/>
      <c r="I1946" s="609"/>
      <c r="J1946" s="1155"/>
      <c r="K1946" s="609"/>
      <c r="L1946" s="609"/>
      <c r="M1946" s="609"/>
      <c r="N1946" s="599"/>
      <c r="O1946" s="552" t="s">
        <v>1584</v>
      </c>
      <c r="P1946" s="603"/>
      <c r="Q1946" s="682"/>
      <c r="R1946" s="682"/>
      <c r="S1946" s="682"/>
      <c r="T1946" s="682"/>
      <c r="U1946" s="682"/>
      <c r="V1946" s="682"/>
      <c r="W1946" s="682"/>
    </row>
    <row r="1947" spans="1:23">
      <c r="A1947" s="1045">
        <f t="shared" si="31"/>
        <v>8</v>
      </c>
      <c r="B1947" s="134">
        <v>45528</v>
      </c>
      <c r="C1947" s="70">
        <v>2018</v>
      </c>
      <c r="D1947" s="70" t="s">
        <v>58</v>
      </c>
      <c r="E1947" s="280" t="s">
        <v>3970</v>
      </c>
      <c r="F1947" s="1049">
        <v>4.7</v>
      </c>
      <c r="G1947" s="1049"/>
      <c r="H1947" s="564"/>
      <c r="I1947" s="609"/>
      <c r="J1947" s="1155"/>
      <c r="K1947" s="609"/>
      <c r="L1947" s="609"/>
      <c r="M1947" s="609"/>
      <c r="N1947" s="599"/>
      <c r="O1947" s="552" t="s">
        <v>1584</v>
      </c>
      <c r="P1947" s="603"/>
      <c r="Q1947" s="682"/>
      <c r="R1947" s="682"/>
      <c r="S1947" s="682"/>
      <c r="T1947" s="682"/>
      <c r="U1947" s="682"/>
      <c r="V1947" s="682"/>
      <c r="W1947" s="682"/>
    </row>
    <row r="1948" spans="1:23">
      <c r="A1948" s="1045">
        <f t="shared" si="31"/>
        <v>8</v>
      </c>
      <c r="B1948" s="134">
        <v>45528</v>
      </c>
      <c r="C1948" s="70">
        <v>5250</v>
      </c>
      <c r="D1948" s="70" t="s">
        <v>85</v>
      </c>
      <c r="E1948" s="280" t="s">
        <v>3971</v>
      </c>
      <c r="F1948" s="1049">
        <v>15</v>
      </c>
      <c r="G1948" s="1049"/>
      <c r="H1948" s="564"/>
      <c r="I1948" s="609"/>
      <c r="J1948" s="1155"/>
      <c r="K1948" s="609"/>
      <c r="L1948" s="609"/>
      <c r="M1948" s="609"/>
      <c r="N1948" s="599"/>
      <c r="O1948" s="552" t="s">
        <v>1584</v>
      </c>
      <c r="P1948" s="603"/>
      <c r="Q1948" s="682"/>
      <c r="R1948" s="682"/>
      <c r="S1948" s="682"/>
      <c r="T1948" s="682"/>
      <c r="U1948" s="682"/>
      <c r="V1948" s="682"/>
      <c r="W1948" s="682"/>
    </row>
    <row r="1949" spans="1:23">
      <c r="A1949" s="1045">
        <f t="shared" si="31"/>
        <v>8</v>
      </c>
      <c r="B1949" s="134">
        <v>45528</v>
      </c>
      <c r="C1949" s="70">
        <v>5250</v>
      </c>
      <c r="D1949" s="70" t="s">
        <v>85</v>
      </c>
      <c r="E1949" s="280" t="s">
        <v>3972</v>
      </c>
      <c r="F1949" s="1049">
        <v>5.71</v>
      </c>
      <c r="G1949" s="1049"/>
      <c r="H1949" s="564"/>
      <c r="I1949" s="609"/>
      <c r="J1949" s="1155"/>
      <c r="K1949" s="609"/>
      <c r="L1949" s="609"/>
      <c r="M1949" s="609"/>
      <c r="N1949" s="599"/>
      <c r="O1949" s="552" t="s">
        <v>1584</v>
      </c>
      <c r="P1949" s="603"/>
      <c r="Q1949" s="682"/>
      <c r="R1949" s="682"/>
      <c r="S1949" s="682"/>
      <c r="T1949" s="682"/>
      <c r="U1949" s="682"/>
      <c r="V1949" s="682"/>
      <c r="W1949" s="682"/>
    </row>
    <row r="1950" spans="1:23">
      <c r="A1950" s="1045">
        <f t="shared" si="31"/>
        <v>8</v>
      </c>
      <c r="B1950" s="134">
        <v>45528</v>
      </c>
      <c r="C1950" s="70">
        <v>2018</v>
      </c>
      <c r="D1950" s="70" t="s">
        <v>58</v>
      </c>
      <c r="E1950" s="280" t="s">
        <v>3972</v>
      </c>
      <c r="F1950" s="1049">
        <v>0.28999999999999998</v>
      </c>
      <c r="G1950" s="1049"/>
      <c r="H1950" s="564"/>
      <c r="I1950" s="609"/>
      <c r="J1950" s="1155"/>
      <c r="K1950" s="609"/>
      <c r="L1950" s="609"/>
      <c r="M1950" s="609"/>
      <c r="N1950" s="599"/>
      <c r="O1950" s="552" t="s">
        <v>1584</v>
      </c>
      <c r="P1950" s="603"/>
      <c r="Q1950" s="682"/>
      <c r="R1950" s="682"/>
      <c r="S1950" s="682"/>
      <c r="T1950" s="682"/>
      <c r="U1950" s="682"/>
      <c r="V1950" s="682"/>
      <c r="W1950" s="682"/>
    </row>
    <row r="1951" spans="1:23">
      <c r="A1951" s="1045">
        <f t="shared" si="31"/>
        <v>8</v>
      </c>
      <c r="B1951" s="134">
        <v>45528</v>
      </c>
      <c r="C1951" s="70">
        <v>5250</v>
      </c>
      <c r="D1951" s="70" t="s">
        <v>85</v>
      </c>
      <c r="E1951" s="280" t="s">
        <v>3973</v>
      </c>
      <c r="F1951" s="1049">
        <v>10</v>
      </c>
      <c r="G1951" s="1049"/>
      <c r="H1951" s="564"/>
      <c r="I1951" s="609"/>
      <c r="J1951" s="1155"/>
      <c r="K1951" s="609"/>
      <c r="L1951" s="609"/>
      <c r="M1951" s="609"/>
      <c r="N1951" s="599"/>
      <c r="O1951" s="552" t="s">
        <v>1584</v>
      </c>
      <c r="P1951" s="603"/>
      <c r="Q1951" s="682"/>
      <c r="R1951" s="682"/>
      <c r="S1951" s="682"/>
      <c r="T1951" s="682"/>
      <c r="U1951" s="682"/>
      <c r="V1951" s="682"/>
      <c r="W1951" s="682"/>
    </row>
    <row r="1952" spans="1:23">
      <c r="A1952" s="1045">
        <f t="shared" si="31"/>
        <v>8</v>
      </c>
      <c r="B1952" s="134">
        <v>45528</v>
      </c>
      <c r="C1952" s="70">
        <v>2018</v>
      </c>
      <c r="D1952" s="70" t="s">
        <v>58</v>
      </c>
      <c r="E1952" s="280" t="s">
        <v>3973</v>
      </c>
      <c r="F1952" s="1049">
        <v>0.5</v>
      </c>
      <c r="G1952" s="1049"/>
      <c r="H1952" s="564"/>
      <c r="I1952" s="609"/>
      <c r="J1952" s="1155"/>
      <c r="K1952" s="609"/>
      <c r="L1952" s="609"/>
      <c r="M1952" s="609"/>
      <c r="N1952" s="599"/>
      <c r="O1952" s="552" t="s">
        <v>1584</v>
      </c>
      <c r="P1952" s="603"/>
      <c r="Q1952" s="682"/>
      <c r="R1952" s="682"/>
      <c r="S1952" s="682"/>
      <c r="T1952" s="682"/>
      <c r="U1952" s="682"/>
      <c r="V1952" s="682"/>
      <c r="W1952" s="682"/>
    </row>
    <row r="1953" spans="1:23">
      <c r="A1953" s="1045">
        <f t="shared" si="31"/>
        <v>8</v>
      </c>
      <c r="B1953" s="134">
        <v>45528</v>
      </c>
      <c r="C1953" s="70">
        <v>5250</v>
      </c>
      <c r="D1953" s="70" t="s">
        <v>85</v>
      </c>
      <c r="E1953" s="280" t="s">
        <v>3974</v>
      </c>
      <c r="F1953" s="1049">
        <v>338.25</v>
      </c>
      <c r="G1953" s="1049"/>
      <c r="H1953" s="564"/>
      <c r="I1953" s="609"/>
      <c r="J1953" s="1155"/>
      <c r="K1953" s="609"/>
      <c r="L1953" s="609"/>
      <c r="M1953" s="609"/>
      <c r="N1953" s="599"/>
      <c r="O1953" s="552" t="s">
        <v>1584</v>
      </c>
      <c r="P1953" s="603"/>
      <c r="Q1953" s="682"/>
      <c r="R1953" s="682"/>
      <c r="S1953" s="682"/>
      <c r="T1953" s="682"/>
      <c r="U1953" s="682"/>
      <c r="V1953" s="682"/>
      <c r="W1953" s="682"/>
    </row>
    <row r="1954" spans="1:23">
      <c r="A1954" s="1045">
        <f t="shared" si="31"/>
        <v>8</v>
      </c>
      <c r="B1954" s="134">
        <v>45528</v>
      </c>
      <c r="C1954" s="70">
        <v>2018</v>
      </c>
      <c r="D1954" s="70" t="s">
        <v>58</v>
      </c>
      <c r="E1954" s="280" t="s">
        <v>3974</v>
      </c>
      <c r="F1954" s="1049">
        <v>16.91</v>
      </c>
      <c r="G1954" s="1049"/>
      <c r="H1954" s="564"/>
      <c r="I1954" s="609"/>
      <c r="J1954" s="1155"/>
      <c r="K1954" s="609"/>
      <c r="L1954" s="609"/>
      <c r="M1954" s="609"/>
      <c r="N1954" s="599"/>
      <c r="O1954" s="552" t="s">
        <v>1584</v>
      </c>
      <c r="P1954" s="603"/>
      <c r="Q1954" s="682"/>
      <c r="R1954" s="682"/>
      <c r="S1954" s="682"/>
      <c r="T1954" s="682"/>
      <c r="U1954" s="682"/>
      <c r="V1954" s="682"/>
      <c r="W1954" s="682"/>
    </row>
    <row r="1955" spans="1:23">
      <c r="A1955" s="1045">
        <f t="shared" si="31"/>
        <v>8</v>
      </c>
      <c r="B1955" s="134">
        <v>45528</v>
      </c>
      <c r="C1955" s="70">
        <v>5250</v>
      </c>
      <c r="D1955" s="70" t="s">
        <v>85</v>
      </c>
      <c r="E1955" s="280" t="s">
        <v>3975</v>
      </c>
      <c r="F1955" s="1049">
        <v>459</v>
      </c>
      <c r="G1955" s="1049"/>
      <c r="H1955" s="564"/>
      <c r="I1955" s="609"/>
      <c r="J1955" s="1155"/>
      <c r="K1955" s="609"/>
      <c r="L1955" s="609"/>
      <c r="M1955" s="609"/>
      <c r="N1955" s="599"/>
      <c r="O1955" s="552" t="s">
        <v>1584</v>
      </c>
      <c r="P1955" s="603"/>
      <c r="Q1955" s="682"/>
      <c r="R1955" s="682"/>
      <c r="S1955" s="682"/>
      <c r="T1955" s="682"/>
      <c r="U1955" s="682"/>
      <c r="V1955" s="682"/>
      <c r="W1955" s="682"/>
    </row>
    <row r="1956" spans="1:23">
      <c r="A1956" s="1045">
        <f t="shared" si="31"/>
        <v>8</v>
      </c>
      <c r="B1956" s="134">
        <v>45528</v>
      </c>
      <c r="C1956" s="70">
        <v>2018</v>
      </c>
      <c r="D1956" s="70" t="s">
        <v>58</v>
      </c>
      <c r="E1956" s="280" t="s">
        <v>3975</v>
      </c>
      <c r="F1956" s="1049">
        <v>22.95</v>
      </c>
      <c r="G1956" s="1049"/>
      <c r="H1956" s="564"/>
      <c r="I1956" s="609"/>
      <c r="J1956" s="1155"/>
      <c r="K1956" s="609"/>
      <c r="L1956" s="609"/>
      <c r="M1956" s="609"/>
      <c r="N1956" s="599"/>
      <c r="O1956" s="552" t="s">
        <v>1584</v>
      </c>
      <c r="P1956" s="603"/>
      <c r="Q1956" s="682"/>
      <c r="R1956" s="682"/>
      <c r="S1956" s="682"/>
      <c r="T1956" s="682"/>
      <c r="U1956" s="682"/>
      <c r="V1956" s="682"/>
      <c r="W1956" s="682"/>
    </row>
    <row r="1957" spans="1:23">
      <c r="A1957" s="1045">
        <f t="shared" si="31"/>
        <v>8</v>
      </c>
      <c r="B1957" s="134">
        <v>45529</v>
      </c>
      <c r="C1957" s="70">
        <v>5250</v>
      </c>
      <c r="D1957" s="70" t="s">
        <v>85</v>
      </c>
      <c r="E1957" s="280" t="s">
        <v>3976</v>
      </c>
      <c r="F1957" s="1049">
        <v>15</v>
      </c>
      <c r="G1957" s="1049"/>
      <c r="H1957" s="564"/>
      <c r="I1957" s="609"/>
      <c r="J1957" s="1155"/>
      <c r="K1957" s="609"/>
      <c r="L1957" s="609"/>
      <c r="M1957" s="609"/>
      <c r="N1957" s="599"/>
      <c r="O1957" s="552" t="s">
        <v>1584</v>
      </c>
      <c r="P1957" s="603"/>
      <c r="Q1957" s="682"/>
      <c r="R1957" s="682"/>
      <c r="S1957" s="682"/>
      <c r="T1957" s="682"/>
      <c r="U1957" s="682"/>
      <c r="V1957" s="682"/>
      <c r="W1957" s="682"/>
    </row>
    <row r="1958" spans="1:23">
      <c r="A1958" s="1045">
        <f t="shared" si="31"/>
        <v>8</v>
      </c>
      <c r="B1958" s="134">
        <v>45529</v>
      </c>
      <c r="C1958" s="70">
        <v>2018</v>
      </c>
      <c r="D1958" s="70" t="s">
        <v>58</v>
      </c>
      <c r="E1958" s="280" t="s">
        <v>3976</v>
      </c>
      <c r="F1958" s="1049">
        <v>0.75</v>
      </c>
      <c r="G1958" s="1049"/>
      <c r="H1958" s="564"/>
      <c r="I1958" s="609"/>
      <c r="J1958" s="1155"/>
      <c r="K1958" s="609"/>
      <c r="L1958" s="609"/>
      <c r="M1958" s="609"/>
      <c r="N1958" s="599"/>
      <c r="O1958" s="552" t="s">
        <v>1584</v>
      </c>
      <c r="P1958" s="603"/>
      <c r="Q1958" s="682"/>
      <c r="R1958" s="682"/>
      <c r="S1958" s="682"/>
      <c r="T1958" s="682"/>
      <c r="U1958" s="682"/>
      <c r="V1958" s="682"/>
      <c r="W1958" s="682"/>
    </row>
    <row r="1959" spans="1:23">
      <c r="A1959" s="1045">
        <f t="shared" si="31"/>
        <v>8</v>
      </c>
      <c r="B1959" s="134">
        <v>45529</v>
      </c>
      <c r="C1959" s="70">
        <v>5250</v>
      </c>
      <c r="D1959" s="70" t="s">
        <v>85</v>
      </c>
      <c r="E1959" s="280" t="s">
        <v>3977</v>
      </c>
      <c r="F1959" s="1049">
        <v>14</v>
      </c>
      <c r="G1959" s="1049"/>
      <c r="H1959" s="564"/>
      <c r="I1959" s="609"/>
      <c r="J1959" s="1155"/>
      <c r="K1959" s="609"/>
      <c r="L1959" s="609"/>
      <c r="M1959" s="609"/>
      <c r="N1959" s="599"/>
      <c r="O1959" s="552" t="s">
        <v>1584</v>
      </c>
      <c r="P1959" s="603"/>
      <c r="Q1959" s="682"/>
      <c r="R1959" s="682"/>
      <c r="S1959" s="682"/>
      <c r="T1959" s="682"/>
      <c r="U1959" s="682"/>
      <c r="V1959" s="682"/>
      <c r="W1959" s="682"/>
    </row>
    <row r="1960" spans="1:23">
      <c r="A1960" s="1045">
        <f t="shared" si="31"/>
        <v>8</v>
      </c>
      <c r="B1960" s="134">
        <v>45529</v>
      </c>
      <c r="C1960" s="70">
        <v>2018</v>
      </c>
      <c r="D1960" s="70" t="s">
        <v>58</v>
      </c>
      <c r="E1960" s="280" t="s">
        <v>3977</v>
      </c>
      <c r="F1960" s="1049">
        <v>0.9</v>
      </c>
      <c r="G1960" s="1049"/>
      <c r="H1960" s="564"/>
      <c r="I1960" s="609"/>
      <c r="J1960" s="1155"/>
      <c r="K1960" s="609"/>
      <c r="L1960" s="609"/>
      <c r="M1960" s="609"/>
      <c r="N1960" s="599"/>
      <c r="O1960" s="552" t="s">
        <v>1584</v>
      </c>
      <c r="P1960" s="603"/>
      <c r="Q1960" s="682"/>
      <c r="R1960" s="682"/>
      <c r="S1960" s="682"/>
      <c r="T1960" s="682"/>
      <c r="U1960" s="682"/>
      <c r="V1960" s="682"/>
      <c r="W1960" s="682"/>
    </row>
    <row r="1961" spans="1:23">
      <c r="A1961" s="1045">
        <f t="shared" si="31"/>
        <v>8</v>
      </c>
      <c r="B1961" s="134">
        <v>45529</v>
      </c>
      <c r="C1961" s="70">
        <v>5250</v>
      </c>
      <c r="D1961" s="70" t="s">
        <v>85</v>
      </c>
      <c r="E1961" s="280" t="s">
        <v>3978</v>
      </c>
      <c r="F1961" s="1049">
        <v>560</v>
      </c>
      <c r="G1961" s="1049"/>
      <c r="H1961" s="564"/>
      <c r="I1961" s="609"/>
      <c r="J1961" s="1155"/>
      <c r="K1961" s="609"/>
      <c r="L1961" s="609"/>
      <c r="M1961" s="609"/>
      <c r="N1961" s="599"/>
      <c r="O1961" s="552" t="s">
        <v>1584</v>
      </c>
      <c r="P1961" s="603"/>
      <c r="Q1961" s="682"/>
      <c r="R1961" s="682"/>
      <c r="S1961" s="682"/>
      <c r="T1961" s="682"/>
      <c r="U1961" s="682"/>
      <c r="V1961" s="682"/>
      <c r="W1961" s="682"/>
    </row>
    <row r="1962" spans="1:23">
      <c r="A1962" s="1045">
        <f t="shared" si="31"/>
        <v>8</v>
      </c>
      <c r="B1962" s="134">
        <v>45529</v>
      </c>
      <c r="C1962" s="70">
        <v>2018</v>
      </c>
      <c r="D1962" s="70" t="s">
        <v>58</v>
      </c>
      <c r="E1962" s="280" t="s">
        <v>3978</v>
      </c>
      <c r="F1962" s="1049">
        <v>28.01</v>
      </c>
      <c r="G1962" s="1049"/>
      <c r="H1962" s="564"/>
      <c r="I1962" s="609"/>
      <c r="J1962" s="1155"/>
      <c r="K1962" s="609"/>
      <c r="L1962" s="609"/>
      <c r="M1962" s="609"/>
      <c r="N1962" s="599"/>
      <c r="O1962" s="552" t="s">
        <v>1584</v>
      </c>
      <c r="P1962" s="603"/>
      <c r="Q1962" s="682"/>
      <c r="R1962" s="682"/>
      <c r="S1962" s="682"/>
      <c r="T1962" s="682"/>
      <c r="U1962" s="682"/>
      <c r="V1962" s="682"/>
      <c r="W1962" s="682"/>
    </row>
    <row r="1963" spans="1:23">
      <c r="A1963" s="1045">
        <f t="shared" si="31"/>
        <v>8</v>
      </c>
      <c r="B1963" s="134">
        <v>45529</v>
      </c>
      <c r="C1963" s="70">
        <v>5250</v>
      </c>
      <c r="D1963" s="70" t="s">
        <v>85</v>
      </c>
      <c r="E1963" s="280" t="s">
        <v>3979</v>
      </c>
      <c r="F1963" s="1049">
        <v>744</v>
      </c>
      <c r="G1963" s="1049"/>
      <c r="H1963" s="564"/>
      <c r="I1963" s="609"/>
      <c r="J1963" s="1155"/>
      <c r="K1963" s="609"/>
      <c r="L1963" s="609"/>
      <c r="M1963" s="609"/>
      <c r="N1963" s="599"/>
      <c r="O1963" s="552" t="s">
        <v>1584</v>
      </c>
      <c r="P1963" s="603"/>
      <c r="Q1963" s="682"/>
      <c r="R1963" s="682"/>
      <c r="S1963" s="682"/>
      <c r="T1963" s="682"/>
      <c r="U1963" s="682"/>
      <c r="V1963" s="682"/>
      <c r="W1963" s="682"/>
    </row>
    <row r="1964" spans="1:23">
      <c r="A1964" s="1045">
        <f t="shared" si="31"/>
        <v>8</v>
      </c>
      <c r="B1964" s="134">
        <v>45529</v>
      </c>
      <c r="C1964" s="70">
        <v>2018</v>
      </c>
      <c r="D1964" s="70" t="s">
        <v>58</v>
      </c>
      <c r="E1964" s="280" t="s">
        <v>3979</v>
      </c>
      <c r="F1964" s="1049">
        <v>37.200000000000003</v>
      </c>
      <c r="G1964" s="1049"/>
      <c r="H1964" s="564"/>
      <c r="I1964" s="609"/>
      <c r="J1964" s="1155"/>
      <c r="K1964" s="609"/>
      <c r="L1964" s="609"/>
      <c r="M1964" s="609"/>
      <c r="N1964" s="599"/>
      <c r="O1964" s="552" t="s">
        <v>1584</v>
      </c>
      <c r="P1964" s="603"/>
      <c r="Q1964" s="682"/>
      <c r="R1964" s="682"/>
      <c r="S1964" s="682"/>
      <c r="T1964" s="682"/>
      <c r="U1964" s="682"/>
      <c r="V1964" s="682"/>
      <c r="W1964" s="682"/>
    </row>
    <row r="1965" spans="1:23">
      <c r="A1965" s="1045">
        <f t="shared" si="31"/>
        <v>8</v>
      </c>
      <c r="B1965" s="134">
        <v>45529</v>
      </c>
      <c r="C1965" s="70">
        <v>5250</v>
      </c>
      <c r="D1965" s="70" t="s">
        <v>85</v>
      </c>
      <c r="E1965" s="280" t="s">
        <v>3980</v>
      </c>
      <c r="F1965" s="1049">
        <v>90</v>
      </c>
      <c r="G1965" s="1049"/>
      <c r="H1965" s="564"/>
      <c r="I1965" s="609"/>
      <c r="J1965" s="1155"/>
      <c r="K1965" s="609"/>
      <c r="L1965" s="609"/>
      <c r="M1965" s="609"/>
      <c r="N1965" s="599"/>
      <c r="O1965" s="552" t="s">
        <v>1584</v>
      </c>
      <c r="P1965" s="603"/>
      <c r="Q1965" s="682"/>
      <c r="R1965" s="682"/>
      <c r="S1965" s="682"/>
      <c r="T1965" s="682"/>
      <c r="U1965" s="682"/>
      <c r="V1965" s="682"/>
      <c r="W1965" s="682"/>
    </row>
    <row r="1966" spans="1:23">
      <c r="A1966" s="1045">
        <f t="shared" si="31"/>
        <v>8</v>
      </c>
      <c r="B1966" s="134">
        <v>45529</v>
      </c>
      <c r="C1966" s="70">
        <v>2018</v>
      </c>
      <c r="D1966" s="70" t="s">
        <v>58</v>
      </c>
      <c r="E1966" s="280" t="s">
        <v>3980</v>
      </c>
      <c r="F1966" s="1049">
        <v>4.5</v>
      </c>
      <c r="G1966" s="1049"/>
      <c r="H1966" s="564"/>
      <c r="I1966" s="609"/>
      <c r="J1966" s="1155"/>
      <c r="K1966" s="609"/>
      <c r="L1966" s="609"/>
      <c r="M1966" s="609"/>
      <c r="N1966" s="599"/>
      <c r="O1966" s="552" t="s">
        <v>1584</v>
      </c>
      <c r="P1966" s="603"/>
      <c r="Q1966" s="682"/>
      <c r="R1966" s="682"/>
      <c r="S1966" s="682"/>
      <c r="T1966" s="682"/>
      <c r="U1966" s="682"/>
      <c r="V1966" s="682"/>
      <c r="W1966" s="682"/>
    </row>
    <row r="1967" spans="1:23">
      <c r="A1967" s="1045">
        <f t="shared" si="31"/>
        <v>8</v>
      </c>
      <c r="B1967" s="134">
        <v>45529</v>
      </c>
      <c r="C1967" s="70">
        <v>5250</v>
      </c>
      <c r="D1967" s="70" t="s">
        <v>85</v>
      </c>
      <c r="E1967" s="280" t="s">
        <v>3981</v>
      </c>
      <c r="F1967" s="1049">
        <v>160</v>
      </c>
      <c r="G1967" s="1049"/>
      <c r="H1967" s="564"/>
      <c r="I1967" s="609"/>
      <c r="J1967" s="1155"/>
      <c r="K1967" s="609"/>
      <c r="L1967" s="609"/>
      <c r="M1967" s="609"/>
      <c r="N1967" s="599"/>
      <c r="O1967" s="552" t="s">
        <v>1584</v>
      </c>
      <c r="P1967" s="603"/>
      <c r="Q1967" s="682"/>
      <c r="R1967" s="682"/>
      <c r="S1967" s="682"/>
      <c r="T1967" s="682"/>
      <c r="U1967" s="682"/>
      <c r="V1967" s="682"/>
      <c r="W1967" s="682"/>
    </row>
    <row r="1968" spans="1:23">
      <c r="A1968" s="1045">
        <f t="shared" si="31"/>
        <v>8</v>
      </c>
      <c r="B1968" s="134">
        <v>45529</v>
      </c>
      <c r="C1968" s="70">
        <v>2018</v>
      </c>
      <c r="D1968" s="70" t="s">
        <v>58</v>
      </c>
      <c r="E1968" s="280" t="s">
        <v>3981</v>
      </c>
      <c r="F1968" s="1049">
        <v>8</v>
      </c>
      <c r="G1968" s="1049"/>
      <c r="H1968" s="564"/>
      <c r="I1968" s="609"/>
      <c r="J1968" s="1155"/>
      <c r="K1968" s="609"/>
      <c r="L1968" s="609"/>
      <c r="M1968" s="609"/>
      <c r="N1968" s="599"/>
      <c r="O1968" s="552" t="s">
        <v>1584</v>
      </c>
      <c r="P1968" s="603"/>
      <c r="Q1968" s="682"/>
      <c r="R1968" s="682"/>
      <c r="S1968" s="682"/>
      <c r="T1968" s="682"/>
      <c r="U1968" s="682"/>
      <c r="V1968" s="682"/>
      <c r="W1968" s="682"/>
    </row>
    <row r="1969" spans="1:23">
      <c r="A1969" s="1045">
        <f t="shared" si="31"/>
        <v>8</v>
      </c>
      <c r="B1969" s="134">
        <v>45530</v>
      </c>
      <c r="C1969" s="70">
        <v>5250</v>
      </c>
      <c r="D1969" s="70" t="s">
        <v>85</v>
      </c>
      <c r="E1969" s="280" t="s">
        <v>3982</v>
      </c>
      <c r="F1969" s="1049">
        <v>10</v>
      </c>
      <c r="G1969" s="1049"/>
      <c r="H1969" s="564"/>
      <c r="I1969" s="609"/>
      <c r="J1969" s="1155"/>
      <c r="K1969" s="609"/>
      <c r="L1969" s="609"/>
      <c r="M1969" s="609"/>
      <c r="N1969" s="599"/>
      <c r="O1969" s="552" t="s">
        <v>1584</v>
      </c>
      <c r="P1969" s="603"/>
      <c r="Q1969" s="682"/>
      <c r="R1969" s="682"/>
      <c r="S1969" s="682"/>
      <c r="T1969" s="682"/>
      <c r="U1969" s="682"/>
      <c r="V1969" s="682"/>
      <c r="W1969" s="682"/>
    </row>
    <row r="1970" spans="1:23">
      <c r="A1970" s="1045">
        <f t="shared" si="31"/>
        <v>8</v>
      </c>
      <c r="B1970" s="134">
        <v>45530</v>
      </c>
      <c r="C1970" s="70">
        <v>2018</v>
      </c>
      <c r="D1970" s="70" t="s">
        <v>58</v>
      </c>
      <c r="E1970" s="280" t="s">
        <v>3982</v>
      </c>
      <c r="F1970" s="1049">
        <v>0.5</v>
      </c>
      <c r="G1970" s="1049"/>
      <c r="H1970" s="564"/>
      <c r="I1970" s="609"/>
      <c r="J1970" s="1155"/>
      <c r="K1970" s="609"/>
      <c r="L1970" s="609"/>
      <c r="M1970" s="609"/>
      <c r="N1970" s="599"/>
      <c r="O1970" s="552" t="s">
        <v>1584</v>
      </c>
      <c r="P1970" s="603"/>
      <c r="Q1970" s="682"/>
      <c r="R1970" s="682"/>
      <c r="S1970" s="682"/>
      <c r="T1970" s="682"/>
      <c r="U1970" s="682"/>
      <c r="V1970" s="682"/>
      <c r="W1970" s="682"/>
    </row>
    <row r="1971" spans="1:23">
      <c r="A1971" s="1045">
        <f t="shared" si="31"/>
        <v>8</v>
      </c>
      <c r="B1971" s="134">
        <v>45530</v>
      </c>
      <c r="C1971" s="70">
        <v>5200</v>
      </c>
      <c r="D1971" s="70" t="s">
        <v>83</v>
      </c>
      <c r="E1971" s="280" t="s">
        <v>3983</v>
      </c>
      <c r="F1971" s="1049">
        <v>208.6</v>
      </c>
      <c r="G1971" s="1049"/>
      <c r="H1971" s="564"/>
      <c r="I1971" s="609"/>
      <c r="J1971" s="1155"/>
      <c r="K1971" s="609"/>
      <c r="L1971" s="609"/>
      <c r="M1971" s="609"/>
      <c r="N1971" s="599"/>
      <c r="O1971" s="552" t="s">
        <v>1584</v>
      </c>
      <c r="P1971" s="603"/>
      <c r="Q1971" s="682"/>
      <c r="R1971" s="682"/>
      <c r="S1971" s="682"/>
      <c r="T1971" s="682"/>
      <c r="U1971" s="682"/>
      <c r="V1971" s="682"/>
      <c r="W1971" s="682"/>
    </row>
    <row r="1972" spans="1:23">
      <c r="A1972" s="1045">
        <f t="shared" si="31"/>
        <v>8</v>
      </c>
      <c r="B1972" s="134">
        <v>45530</v>
      </c>
      <c r="C1972" s="70">
        <v>2018</v>
      </c>
      <c r="D1972" s="70" t="s">
        <v>58</v>
      </c>
      <c r="E1972" s="280" t="s">
        <v>3983</v>
      </c>
      <c r="F1972" s="1049">
        <v>10.43</v>
      </c>
      <c r="G1972" s="1049"/>
      <c r="H1972" s="564"/>
      <c r="I1972" s="609"/>
      <c r="J1972" s="1155"/>
      <c r="K1972" s="609"/>
      <c r="L1972" s="609"/>
      <c r="M1972" s="609"/>
      <c r="N1972" s="599"/>
      <c r="O1972" s="552" t="s">
        <v>1584</v>
      </c>
      <c r="P1972" s="603"/>
      <c r="Q1972" s="682"/>
      <c r="R1972" s="682"/>
      <c r="S1972" s="682"/>
      <c r="T1972" s="682"/>
      <c r="U1972" s="682"/>
      <c r="V1972" s="682"/>
      <c r="W1972" s="682"/>
    </row>
    <row r="1973" spans="1:23">
      <c r="A1973" s="1045">
        <f t="shared" si="31"/>
        <v>8</v>
      </c>
      <c r="B1973" s="134">
        <v>45530</v>
      </c>
      <c r="C1973" s="70">
        <v>5250</v>
      </c>
      <c r="D1973" s="70" t="s">
        <v>85</v>
      </c>
      <c r="E1973" s="280" t="s">
        <v>3984</v>
      </c>
      <c r="F1973" s="1049">
        <v>266</v>
      </c>
      <c r="G1973" s="1049"/>
      <c r="H1973" s="564"/>
      <c r="I1973" s="609"/>
      <c r="J1973" s="1155"/>
      <c r="K1973" s="609"/>
      <c r="L1973" s="609"/>
      <c r="M1973" s="609"/>
      <c r="N1973" s="599"/>
      <c r="O1973" s="552" t="s">
        <v>1584</v>
      </c>
      <c r="P1973" s="603"/>
      <c r="Q1973" s="682"/>
      <c r="R1973" s="682"/>
      <c r="S1973" s="682"/>
      <c r="T1973" s="682"/>
      <c r="U1973" s="682"/>
      <c r="V1973" s="682"/>
      <c r="W1973" s="682"/>
    </row>
    <row r="1974" spans="1:23">
      <c r="A1974" s="1045">
        <f t="shared" si="31"/>
        <v>8</v>
      </c>
      <c r="B1974" s="134">
        <v>45530</v>
      </c>
      <c r="C1974" s="70">
        <v>2018</v>
      </c>
      <c r="D1974" s="70" t="s">
        <v>58</v>
      </c>
      <c r="E1974" s="280" t="s">
        <v>3984</v>
      </c>
      <c r="F1974" s="1049">
        <v>13.29</v>
      </c>
      <c r="G1974" s="1049"/>
      <c r="H1974" s="564"/>
      <c r="I1974" s="609"/>
      <c r="J1974" s="1155"/>
      <c r="K1974" s="609"/>
      <c r="L1974" s="609"/>
      <c r="M1974" s="609"/>
      <c r="N1974" s="599"/>
      <c r="O1974" s="552" t="s">
        <v>1584</v>
      </c>
      <c r="P1974" s="603"/>
      <c r="Q1974" s="682"/>
      <c r="R1974" s="682"/>
      <c r="S1974" s="682"/>
      <c r="T1974" s="682"/>
      <c r="U1974" s="682"/>
      <c r="V1974" s="682"/>
      <c r="W1974" s="682"/>
    </row>
    <row r="1975" spans="1:23">
      <c r="A1975" s="1045">
        <f t="shared" si="31"/>
        <v>8</v>
      </c>
      <c r="B1975" s="134">
        <v>45530</v>
      </c>
      <c r="C1975" s="70">
        <v>5250</v>
      </c>
      <c r="D1975" s="70" t="s">
        <v>85</v>
      </c>
      <c r="E1975" s="280" t="s">
        <v>3985</v>
      </c>
      <c r="F1975" s="1049">
        <v>28</v>
      </c>
      <c r="G1975" s="1049"/>
      <c r="H1975" s="564"/>
      <c r="I1975" s="609"/>
      <c r="J1975" s="1155"/>
      <c r="K1975" s="609"/>
      <c r="L1975" s="609"/>
      <c r="M1975" s="609"/>
      <c r="N1975" s="599"/>
      <c r="O1975" s="552" t="s">
        <v>1584</v>
      </c>
      <c r="P1975" s="603"/>
      <c r="Q1975" s="682"/>
      <c r="R1975" s="682"/>
      <c r="S1975" s="682"/>
      <c r="T1975" s="682"/>
      <c r="U1975" s="682"/>
      <c r="V1975" s="682"/>
      <c r="W1975" s="682"/>
    </row>
    <row r="1976" spans="1:23">
      <c r="A1976" s="1045">
        <f t="shared" si="31"/>
        <v>8</v>
      </c>
      <c r="B1976" s="134">
        <v>45530</v>
      </c>
      <c r="C1976" s="70">
        <v>2018</v>
      </c>
      <c r="D1976" s="70" t="s">
        <v>58</v>
      </c>
      <c r="E1976" s="280" t="s">
        <v>3985</v>
      </c>
      <c r="F1976" s="1049">
        <v>1.4</v>
      </c>
      <c r="G1976" s="1049"/>
      <c r="H1976" s="564"/>
      <c r="I1976" s="609"/>
      <c r="J1976" s="1155"/>
      <c r="K1976" s="609"/>
      <c r="L1976" s="609"/>
      <c r="M1976" s="609"/>
      <c r="N1976" s="599"/>
      <c r="O1976" s="552" t="s">
        <v>1584</v>
      </c>
      <c r="P1976" s="603"/>
      <c r="Q1976" s="682"/>
      <c r="R1976" s="682"/>
      <c r="S1976" s="682"/>
      <c r="T1976" s="682"/>
      <c r="U1976" s="682"/>
      <c r="V1976" s="682"/>
      <c r="W1976" s="682"/>
    </row>
    <row r="1977" spans="1:23">
      <c r="A1977" s="1045">
        <f t="shared" si="31"/>
        <v>8</v>
      </c>
      <c r="B1977" s="134">
        <v>45530</v>
      </c>
      <c r="C1977" s="70">
        <v>5250</v>
      </c>
      <c r="D1977" s="70" t="s">
        <v>85</v>
      </c>
      <c r="E1977" s="280" t="s">
        <v>3986</v>
      </c>
      <c r="F1977" s="1049">
        <v>30</v>
      </c>
      <c r="G1977" s="1049"/>
      <c r="H1977" s="564"/>
      <c r="I1977" s="609"/>
      <c r="J1977" s="1155"/>
      <c r="K1977" s="609"/>
      <c r="L1977" s="609"/>
      <c r="M1977" s="609"/>
      <c r="N1977" s="599"/>
      <c r="O1977" s="552" t="s">
        <v>1584</v>
      </c>
      <c r="P1977" s="603"/>
      <c r="Q1977" s="682"/>
      <c r="R1977" s="682"/>
      <c r="S1977" s="682"/>
      <c r="T1977" s="682"/>
      <c r="U1977" s="682"/>
      <c r="V1977" s="682"/>
      <c r="W1977" s="682"/>
    </row>
    <row r="1978" spans="1:23">
      <c r="A1978" s="1045">
        <f t="shared" si="31"/>
        <v>8</v>
      </c>
      <c r="B1978" s="134">
        <v>45530</v>
      </c>
      <c r="C1978" s="70">
        <v>2018</v>
      </c>
      <c r="D1978" s="70" t="s">
        <v>58</v>
      </c>
      <c r="E1978" s="280" t="s">
        <v>3986</v>
      </c>
      <c r="F1978" s="1049">
        <v>1.5</v>
      </c>
      <c r="G1978" s="1049"/>
      <c r="H1978" s="564"/>
      <c r="I1978" s="609"/>
      <c r="J1978" s="1155"/>
      <c r="K1978" s="609"/>
      <c r="L1978" s="609"/>
      <c r="M1978" s="609"/>
      <c r="N1978" s="599"/>
      <c r="O1978" s="552" t="s">
        <v>1584</v>
      </c>
      <c r="P1978" s="603"/>
      <c r="Q1978" s="682"/>
      <c r="R1978" s="682"/>
      <c r="S1978" s="682"/>
      <c r="T1978" s="682"/>
      <c r="U1978" s="682"/>
      <c r="V1978" s="682"/>
      <c r="W1978" s="682"/>
    </row>
    <row r="1979" spans="1:23">
      <c r="A1979" s="1045">
        <f t="shared" si="31"/>
        <v>8</v>
      </c>
      <c r="B1979" s="134">
        <v>45530</v>
      </c>
      <c r="C1979" s="70">
        <v>5250</v>
      </c>
      <c r="D1979" s="70" t="s">
        <v>85</v>
      </c>
      <c r="E1979" s="280" t="s">
        <v>3987</v>
      </c>
      <c r="F1979" s="1049">
        <v>366</v>
      </c>
      <c r="G1979" s="1049"/>
      <c r="H1979" s="564"/>
      <c r="I1979" s="609"/>
      <c r="J1979" s="1155"/>
      <c r="K1979" s="609"/>
      <c r="L1979" s="609"/>
      <c r="M1979" s="609"/>
      <c r="N1979" s="599"/>
      <c r="O1979" s="552" t="s">
        <v>1584</v>
      </c>
      <c r="P1979" s="603"/>
      <c r="Q1979" s="682"/>
      <c r="R1979" s="682"/>
      <c r="S1979" s="682"/>
      <c r="T1979" s="682"/>
      <c r="U1979" s="682"/>
      <c r="V1979" s="682"/>
      <c r="W1979" s="682"/>
    </row>
    <row r="1980" spans="1:23">
      <c r="A1980" s="1045">
        <f t="shared" si="31"/>
        <v>8</v>
      </c>
      <c r="B1980" s="134">
        <v>45530</v>
      </c>
      <c r="C1980" s="70">
        <v>2018</v>
      </c>
      <c r="D1980" s="70" t="s">
        <v>58</v>
      </c>
      <c r="E1980" s="280" t="s">
        <v>3987</v>
      </c>
      <c r="F1980" s="1049">
        <v>18.3</v>
      </c>
      <c r="G1980" s="1049"/>
      <c r="H1980" s="564"/>
      <c r="I1980" s="609"/>
      <c r="J1980" s="1155"/>
      <c r="K1980" s="609"/>
      <c r="L1980" s="609"/>
      <c r="M1980" s="609"/>
      <c r="N1980" s="599"/>
      <c r="O1980" s="552" t="s">
        <v>1584</v>
      </c>
      <c r="P1980" s="603"/>
      <c r="Q1980" s="682"/>
      <c r="R1980" s="682"/>
      <c r="S1980" s="682"/>
      <c r="T1980" s="682"/>
      <c r="U1980" s="682"/>
      <c r="V1980" s="682"/>
      <c r="W1980" s="682"/>
    </row>
    <row r="1981" spans="1:23">
      <c r="A1981" s="1045">
        <f t="shared" si="31"/>
        <v>8</v>
      </c>
      <c r="B1981" s="134">
        <v>45531</v>
      </c>
      <c r="C1981" s="70">
        <v>5200</v>
      </c>
      <c r="D1981" s="70" t="s">
        <v>83</v>
      </c>
      <c r="E1981" s="280" t="s">
        <v>3988</v>
      </c>
      <c r="F1981" s="1049">
        <v>1982.09</v>
      </c>
      <c r="G1981" s="1049"/>
      <c r="H1981" s="564"/>
      <c r="I1981" s="609"/>
      <c r="J1981" s="1155"/>
      <c r="K1981" s="609"/>
      <c r="L1981" s="609"/>
      <c r="M1981" s="609"/>
      <c r="N1981" s="599"/>
      <c r="O1981" s="552" t="s">
        <v>1584</v>
      </c>
      <c r="P1981" s="603"/>
      <c r="Q1981" s="682"/>
      <c r="R1981" s="682"/>
      <c r="S1981" s="682"/>
      <c r="T1981" s="682"/>
      <c r="U1981" s="682"/>
      <c r="V1981" s="682"/>
      <c r="W1981" s="682"/>
    </row>
    <row r="1982" spans="1:23">
      <c r="A1982" s="1045">
        <f t="shared" si="31"/>
        <v>8</v>
      </c>
      <c r="B1982" s="134">
        <v>45531</v>
      </c>
      <c r="C1982" s="70">
        <v>2018</v>
      </c>
      <c r="D1982" s="70" t="s">
        <v>58</v>
      </c>
      <c r="E1982" s="280" t="s">
        <v>3988</v>
      </c>
      <c r="F1982" s="1049">
        <v>99.11</v>
      </c>
      <c r="G1982" s="1049"/>
      <c r="H1982" s="564"/>
      <c r="I1982" s="609"/>
      <c r="J1982" s="1155"/>
      <c r="K1982" s="609"/>
      <c r="L1982" s="609"/>
      <c r="M1982" s="609"/>
      <c r="N1982" s="599"/>
      <c r="O1982" s="552" t="s">
        <v>1584</v>
      </c>
      <c r="P1982" s="603"/>
      <c r="Q1982" s="682"/>
      <c r="R1982" s="682"/>
      <c r="S1982" s="682"/>
      <c r="T1982" s="682"/>
      <c r="U1982" s="682"/>
      <c r="V1982" s="682"/>
      <c r="W1982" s="682"/>
    </row>
    <row r="1983" spans="1:23">
      <c r="A1983" s="1045">
        <f t="shared" si="31"/>
        <v>8</v>
      </c>
      <c r="B1983" s="134">
        <v>45531</v>
      </c>
      <c r="C1983" s="70">
        <v>5250</v>
      </c>
      <c r="D1983" s="70" t="s">
        <v>85</v>
      </c>
      <c r="E1983" s="280" t="s">
        <v>3989</v>
      </c>
      <c r="F1983" s="1049">
        <v>13.81</v>
      </c>
      <c r="G1983" s="1049"/>
      <c r="H1983" s="564"/>
      <c r="I1983" s="609"/>
      <c r="J1983" s="1155"/>
      <c r="K1983" s="609"/>
      <c r="L1983" s="609"/>
      <c r="M1983" s="609"/>
      <c r="N1983" s="599"/>
      <c r="O1983" s="552" t="s">
        <v>1584</v>
      </c>
      <c r="P1983" s="603"/>
      <c r="Q1983" s="682"/>
      <c r="R1983" s="682"/>
      <c r="S1983" s="682"/>
      <c r="T1983" s="682"/>
      <c r="U1983" s="682"/>
      <c r="V1983" s="682"/>
      <c r="W1983" s="682"/>
    </row>
    <row r="1984" spans="1:23">
      <c r="A1984" s="1045">
        <f t="shared" si="31"/>
        <v>8</v>
      </c>
      <c r="B1984" s="134">
        <v>45531</v>
      </c>
      <c r="C1984" s="70">
        <v>2018</v>
      </c>
      <c r="D1984" s="70" t="s">
        <v>58</v>
      </c>
      <c r="E1984" s="280" t="s">
        <v>3989</v>
      </c>
      <c r="F1984" s="1049">
        <v>0.69</v>
      </c>
      <c r="G1984" s="1049"/>
      <c r="H1984" s="564"/>
      <c r="I1984" s="609"/>
      <c r="J1984" s="1155"/>
      <c r="K1984" s="609"/>
      <c r="L1984" s="609"/>
      <c r="M1984" s="609"/>
      <c r="N1984" s="599"/>
      <c r="O1984" s="552" t="s">
        <v>1584</v>
      </c>
      <c r="P1984" s="603"/>
      <c r="Q1984" s="682"/>
      <c r="R1984" s="682"/>
      <c r="S1984" s="682"/>
      <c r="T1984" s="682"/>
      <c r="U1984" s="682"/>
      <c r="V1984" s="682"/>
      <c r="W1984" s="682"/>
    </row>
    <row r="1985" spans="1:23">
      <c r="A1985" s="1045">
        <f t="shared" si="31"/>
        <v>8</v>
      </c>
      <c r="B1985" s="134">
        <v>45531</v>
      </c>
      <c r="C1985" s="70">
        <v>5250</v>
      </c>
      <c r="D1985" s="70" t="s">
        <v>85</v>
      </c>
      <c r="E1985" s="280" t="s">
        <v>3990</v>
      </c>
      <c r="F1985" s="1049">
        <v>380</v>
      </c>
      <c r="G1985" s="1049"/>
      <c r="H1985" s="564"/>
      <c r="I1985" s="609"/>
      <c r="J1985" s="1155"/>
      <c r="K1985" s="609"/>
      <c r="L1985" s="609"/>
      <c r="M1985" s="609"/>
      <c r="N1985" s="599"/>
      <c r="O1985" s="552" t="s">
        <v>1584</v>
      </c>
      <c r="P1985" s="603"/>
      <c r="Q1985" s="682"/>
      <c r="R1985" s="682"/>
      <c r="S1985" s="682"/>
      <c r="T1985" s="682"/>
      <c r="U1985" s="682"/>
      <c r="V1985" s="682"/>
      <c r="W1985" s="682"/>
    </row>
    <row r="1986" spans="1:23">
      <c r="A1986" s="1045">
        <f t="shared" si="31"/>
        <v>8</v>
      </c>
      <c r="B1986" s="134">
        <v>45531</v>
      </c>
      <c r="C1986" s="70">
        <v>2018</v>
      </c>
      <c r="D1986" s="70" t="s">
        <v>58</v>
      </c>
      <c r="E1986" s="280" t="s">
        <v>3990</v>
      </c>
      <c r="F1986" s="1049">
        <v>19</v>
      </c>
      <c r="G1986" s="1049"/>
      <c r="H1986" s="564"/>
      <c r="I1986" s="609"/>
      <c r="J1986" s="1155"/>
      <c r="K1986" s="609"/>
      <c r="L1986" s="609"/>
      <c r="M1986" s="609"/>
      <c r="N1986" s="599"/>
      <c r="O1986" s="552" t="s">
        <v>1584</v>
      </c>
      <c r="P1986" s="603"/>
      <c r="Q1986" s="682"/>
      <c r="R1986" s="682"/>
      <c r="S1986" s="682"/>
      <c r="T1986" s="682"/>
      <c r="U1986" s="682"/>
      <c r="V1986" s="682"/>
      <c r="W1986" s="682"/>
    </row>
    <row r="1987" spans="1:23">
      <c r="A1987" s="1045">
        <f t="shared" si="31"/>
        <v>8</v>
      </c>
      <c r="B1987" s="134">
        <v>45531</v>
      </c>
      <c r="C1987" s="70">
        <v>5250</v>
      </c>
      <c r="D1987" s="70" t="s">
        <v>85</v>
      </c>
      <c r="E1987" s="280" t="s">
        <v>3991</v>
      </c>
      <c r="F1987" s="1049">
        <v>184.24</v>
      </c>
      <c r="G1987" s="1049"/>
      <c r="H1987" s="564"/>
      <c r="I1987" s="609"/>
      <c r="J1987" s="1155"/>
      <c r="K1987" s="609"/>
      <c r="L1987" s="609"/>
      <c r="M1987" s="609"/>
      <c r="N1987" s="599"/>
      <c r="O1987" s="552" t="s">
        <v>1584</v>
      </c>
      <c r="P1987" s="603"/>
      <c r="Q1987" s="682"/>
      <c r="R1987" s="682"/>
      <c r="S1987" s="682"/>
      <c r="T1987" s="682"/>
      <c r="U1987" s="682"/>
      <c r="V1987" s="682"/>
      <c r="W1987" s="682"/>
    </row>
    <row r="1988" spans="1:23">
      <c r="A1988" s="1045">
        <f t="shared" si="31"/>
        <v>8</v>
      </c>
      <c r="B1988" s="134">
        <v>45531</v>
      </c>
      <c r="C1988" s="70">
        <v>2018</v>
      </c>
      <c r="D1988" s="70" t="s">
        <v>58</v>
      </c>
      <c r="E1988" s="280" t="s">
        <v>3991</v>
      </c>
      <c r="F1988" s="1049">
        <v>9.2100000000000009</v>
      </c>
      <c r="G1988" s="1049"/>
      <c r="H1988" s="564"/>
      <c r="I1988" s="609"/>
      <c r="J1988" s="1155"/>
      <c r="K1988" s="609"/>
      <c r="L1988" s="609"/>
      <c r="M1988" s="609"/>
      <c r="N1988" s="599"/>
      <c r="O1988" s="552" t="s">
        <v>1584</v>
      </c>
      <c r="P1988" s="603"/>
      <c r="Q1988" s="682"/>
      <c r="R1988" s="682"/>
      <c r="S1988" s="682"/>
      <c r="T1988" s="682"/>
      <c r="U1988" s="682"/>
      <c r="V1988" s="682"/>
      <c r="W1988" s="682"/>
    </row>
    <row r="1989" spans="1:23">
      <c r="A1989" s="1045">
        <f t="shared" si="31"/>
        <v>8</v>
      </c>
      <c r="B1989" s="134">
        <v>45531</v>
      </c>
      <c r="C1989" s="70">
        <v>5250</v>
      </c>
      <c r="D1989" s="70" t="s">
        <v>85</v>
      </c>
      <c r="E1989" s="280" t="s">
        <v>3992</v>
      </c>
      <c r="F1989" s="1049">
        <v>30</v>
      </c>
      <c r="G1989" s="1049"/>
      <c r="H1989" s="564"/>
      <c r="I1989" s="609"/>
      <c r="J1989" s="1155"/>
      <c r="K1989" s="609"/>
      <c r="L1989" s="609"/>
      <c r="M1989" s="609"/>
      <c r="N1989" s="599"/>
      <c r="O1989" s="552" t="s">
        <v>1584</v>
      </c>
      <c r="P1989" s="603"/>
      <c r="Q1989" s="682"/>
      <c r="R1989" s="682"/>
      <c r="S1989" s="682"/>
      <c r="T1989" s="682"/>
      <c r="U1989" s="682"/>
      <c r="V1989" s="682"/>
      <c r="W1989" s="682"/>
    </row>
    <row r="1990" spans="1:23">
      <c r="A1990" s="1045">
        <f t="shared" si="31"/>
        <v>8</v>
      </c>
      <c r="B1990" s="134">
        <v>45531</v>
      </c>
      <c r="C1990" s="70">
        <v>2018</v>
      </c>
      <c r="D1990" s="70" t="s">
        <v>58</v>
      </c>
      <c r="E1990" s="280" t="s">
        <v>3992</v>
      </c>
      <c r="F1990" s="1049">
        <v>1.5</v>
      </c>
      <c r="G1990" s="1049"/>
      <c r="H1990" s="564"/>
      <c r="I1990" s="609"/>
      <c r="J1990" s="1155"/>
      <c r="K1990" s="609"/>
      <c r="L1990" s="609"/>
      <c r="M1990" s="609"/>
      <c r="N1990" s="599"/>
      <c r="O1990" s="552" t="s">
        <v>1584</v>
      </c>
      <c r="P1990" s="603"/>
      <c r="Q1990" s="682"/>
      <c r="R1990" s="682"/>
      <c r="S1990" s="682"/>
      <c r="T1990" s="682"/>
      <c r="U1990" s="682"/>
      <c r="V1990" s="682"/>
      <c r="W1990" s="682"/>
    </row>
    <row r="1991" spans="1:23">
      <c r="A1991" s="1045">
        <f t="shared" si="31"/>
        <v>8</v>
      </c>
      <c r="B1991" s="134">
        <v>45531</v>
      </c>
      <c r="C1991" s="70">
        <v>5250</v>
      </c>
      <c r="D1991" s="70" t="s">
        <v>85</v>
      </c>
      <c r="E1991" s="280" t="s">
        <v>3993</v>
      </c>
      <c r="F1991" s="1049">
        <v>14.3</v>
      </c>
      <c r="G1991" s="1049"/>
      <c r="H1991" s="564"/>
      <c r="I1991" s="609"/>
      <c r="J1991" s="1155"/>
      <c r="K1991" s="609"/>
      <c r="L1991" s="609"/>
      <c r="M1991" s="609"/>
      <c r="N1991" s="599"/>
      <c r="O1991" s="552" t="s">
        <v>1584</v>
      </c>
      <c r="P1991" s="603"/>
      <c r="Q1991" s="682"/>
      <c r="R1991" s="682"/>
      <c r="S1991" s="682"/>
      <c r="T1991" s="682"/>
      <c r="U1991" s="682"/>
      <c r="V1991" s="682"/>
      <c r="W1991" s="682"/>
    </row>
    <row r="1992" spans="1:23">
      <c r="A1992" s="1045">
        <f t="shared" si="31"/>
        <v>8</v>
      </c>
      <c r="B1992" s="134">
        <v>45531</v>
      </c>
      <c r="C1992" s="70">
        <v>2018</v>
      </c>
      <c r="D1992" s="70" t="s">
        <v>58</v>
      </c>
      <c r="E1992" s="280" t="s">
        <v>3993</v>
      </c>
      <c r="F1992" s="1049">
        <v>0.72</v>
      </c>
      <c r="G1992" s="1049"/>
      <c r="H1992" s="564"/>
      <c r="I1992" s="609"/>
      <c r="J1992" s="1155"/>
      <c r="K1992" s="609"/>
      <c r="L1992" s="609"/>
      <c r="M1992" s="609"/>
      <c r="N1992" s="599"/>
      <c r="O1992" s="552" t="s">
        <v>1584</v>
      </c>
      <c r="P1992" s="603"/>
      <c r="Q1992" s="682"/>
      <c r="R1992" s="682"/>
      <c r="S1992" s="682"/>
      <c r="T1992" s="682"/>
      <c r="U1992" s="682"/>
      <c r="V1992" s="682"/>
      <c r="W1992" s="682"/>
    </row>
    <row r="1993" spans="1:23">
      <c r="A1993" s="1045">
        <f t="shared" si="31"/>
        <v>8</v>
      </c>
      <c r="B1993" s="134">
        <v>45532</v>
      </c>
      <c r="C1993" s="70">
        <v>5250</v>
      </c>
      <c r="D1993" s="70" t="s">
        <v>85</v>
      </c>
      <c r="E1993" s="280" t="s">
        <v>3994</v>
      </c>
      <c r="F1993" s="1049">
        <v>35</v>
      </c>
      <c r="G1993" s="1049"/>
      <c r="H1993" s="564"/>
      <c r="I1993" s="609"/>
      <c r="J1993" s="1155"/>
      <c r="K1993" s="609"/>
      <c r="L1993" s="609"/>
      <c r="M1993" s="609"/>
      <c r="N1993" s="599"/>
      <c r="O1993" s="552" t="s">
        <v>1584</v>
      </c>
      <c r="P1993" s="603"/>
      <c r="Q1993" s="682"/>
      <c r="R1993" s="682"/>
      <c r="S1993" s="682"/>
      <c r="T1993" s="682"/>
      <c r="U1993" s="682"/>
      <c r="V1993" s="682"/>
      <c r="W1993" s="682"/>
    </row>
    <row r="1994" spans="1:23">
      <c r="A1994" s="1045">
        <f t="shared" si="31"/>
        <v>8</v>
      </c>
      <c r="B1994" s="134">
        <v>45532</v>
      </c>
      <c r="C1994" s="70">
        <v>2018</v>
      </c>
      <c r="D1994" s="70" t="s">
        <v>58</v>
      </c>
      <c r="E1994" s="280" t="s">
        <v>3994</v>
      </c>
      <c r="F1994" s="1049">
        <v>175</v>
      </c>
      <c r="G1994" s="1049"/>
      <c r="H1994" s="564"/>
      <c r="I1994" s="609"/>
      <c r="J1994" s="1155"/>
      <c r="K1994" s="609"/>
      <c r="L1994" s="609"/>
      <c r="M1994" s="609"/>
      <c r="N1994" s="599"/>
      <c r="O1994" s="552" t="s">
        <v>1584</v>
      </c>
      <c r="P1994" s="603"/>
      <c r="Q1994" s="682"/>
      <c r="R1994" s="682"/>
      <c r="S1994" s="682"/>
      <c r="T1994" s="682"/>
      <c r="U1994" s="682"/>
      <c r="V1994" s="682"/>
      <c r="W1994" s="682"/>
    </row>
    <row r="1995" spans="1:23">
      <c r="A1995" s="1045">
        <f t="shared" si="31"/>
        <v>8</v>
      </c>
      <c r="B1995" s="134">
        <v>45532</v>
      </c>
      <c r="C1995" s="70">
        <v>5250</v>
      </c>
      <c r="D1995" s="70" t="s">
        <v>85</v>
      </c>
      <c r="E1995" s="280" t="s">
        <v>3995</v>
      </c>
      <c r="F1995" s="1049">
        <v>760</v>
      </c>
      <c r="G1995" s="1049"/>
      <c r="H1995" s="564"/>
      <c r="I1995" s="609"/>
      <c r="J1995" s="1155"/>
      <c r="K1995" s="609"/>
      <c r="L1995" s="609"/>
      <c r="M1995" s="609"/>
      <c r="N1995" s="599"/>
      <c r="O1995" s="552" t="s">
        <v>1584</v>
      </c>
      <c r="P1995" s="603"/>
      <c r="Q1995" s="682"/>
      <c r="R1995" s="682"/>
      <c r="S1995" s="682"/>
      <c r="T1995" s="682"/>
      <c r="U1995" s="682"/>
      <c r="V1995" s="682"/>
      <c r="W1995" s="682"/>
    </row>
    <row r="1996" spans="1:23">
      <c r="A1996" s="1045">
        <f t="shared" si="31"/>
        <v>8</v>
      </c>
      <c r="B1996" s="134">
        <v>45532</v>
      </c>
      <c r="C1996" s="70">
        <v>2018</v>
      </c>
      <c r="D1996" s="70" t="s">
        <v>58</v>
      </c>
      <c r="E1996" s="280" t="s">
        <v>3995</v>
      </c>
      <c r="F1996" s="1049">
        <v>38</v>
      </c>
      <c r="G1996" s="1049"/>
      <c r="H1996" s="564"/>
      <c r="I1996" s="609"/>
      <c r="J1996" s="1155"/>
      <c r="K1996" s="609"/>
      <c r="L1996" s="609"/>
      <c r="M1996" s="609"/>
      <c r="N1996" s="599"/>
      <c r="O1996" s="552" t="s">
        <v>1584</v>
      </c>
      <c r="P1996" s="603"/>
      <c r="Q1996" s="682"/>
      <c r="R1996" s="682"/>
      <c r="S1996" s="682"/>
      <c r="T1996" s="682"/>
      <c r="U1996" s="682"/>
      <c r="V1996" s="682"/>
      <c r="W1996" s="682"/>
    </row>
    <row r="1997" spans="1:23">
      <c r="A1997" s="1045">
        <f t="shared" si="31"/>
        <v>8</v>
      </c>
      <c r="B1997" s="134">
        <v>45532</v>
      </c>
      <c r="C1997" s="70">
        <v>5250</v>
      </c>
      <c r="D1997" s="70" t="s">
        <v>85</v>
      </c>
      <c r="E1997" s="280" t="s">
        <v>3996</v>
      </c>
      <c r="F1997" s="1049">
        <v>1140</v>
      </c>
      <c r="G1997" s="1049"/>
      <c r="H1997" s="564"/>
      <c r="I1997" s="609"/>
      <c r="J1997" s="1155"/>
      <c r="K1997" s="609"/>
      <c r="L1997" s="609"/>
      <c r="M1997" s="609"/>
      <c r="N1997" s="599"/>
      <c r="O1997" s="552" t="s">
        <v>1584</v>
      </c>
      <c r="P1997" s="603"/>
      <c r="Q1997" s="682"/>
      <c r="R1997" s="682"/>
      <c r="S1997" s="682"/>
      <c r="T1997" s="682"/>
      <c r="U1997" s="682"/>
      <c r="V1997" s="682"/>
      <c r="W1997" s="682"/>
    </row>
    <row r="1998" spans="1:23">
      <c r="A1998" s="1045">
        <f t="shared" si="31"/>
        <v>8</v>
      </c>
      <c r="B1998" s="134">
        <v>45532</v>
      </c>
      <c r="C1998" s="70">
        <v>2018</v>
      </c>
      <c r="D1998" s="70" t="s">
        <v>58</v>
      </c>
      <c r="E1998" s="280" t="s">
        <v>3996</v>
      </c>
      <c r="F1998" s="1049">
        <v>57</v>
      </c>
      <c r="G1998" s="1049"/>
      <c r="H1998" s="564"/>
      <c r="I1998" s="609"/>
      <c r="J1998" s="1155"/>
      <c r="K1998" s="609"/>
      <c r="L1998" s="609"/>
      <c r="M1998" s="609"/>
      <c r="N1998" s="599"/>
      <c r="O1998" s="552" t="s">
        <v>1584</v>
      </c>
      <c r="P1998" s="603"/>
      <c r="Q1998" s="682"/>
      <c r="R1998" s="682"/>
      <c r="S1998" s="682"/>
      <c r="T1998" s="682"/>
      <c r="U1998" s="682"/>
      <c r="V1998" s="682"/>
      <c r="W1998" s="682"/>
    </row>
    <row r="1999" spans="1:23">
      <c r="A1999" s="1045">
        <f t="shared" si="31"/>
        <v>8</v>
      </c>
      <c r="B1999" s="134">
        <v>45532</v>
      </c>
      <c r="C1999" s="70">
        <v>5250</v>
      </c>
      <c r="D1999" s="70" t="s">
        <v>85</v>
      </c>
      <c r="E1999" s="280" t="s">
        <v>3997</v>
      </c>
      <c r="F1999" s="1049">
        <v>105</v>
      </c>
      <c r="G1999" s="1049"/>
      <c r="H1999" s="564"/>
      <c r="I1999" s="609"/>
      <c r="J1999" s="1155"/>
      <c r="K1999" s="609"/>
      <c r="L1999" s="609"/>
      <c r="M1999" s="609"/>
      <c r="N1999" s="599"/>
      <c r="O1999" s="552" t="s">
        <v>1584</v>
      </c>
      <c r="P1999" s="603"/>
      <c r="Q1999" s="682"/>
      <c r="R1999" s="682"/>
      <c r="S1999" s="682"/>
      <c r="T1999" s="682"/>
      <c r="U1999" s="682"/>
      <c r="V1999" s="682"/>
      <c r="W1999" s="682"/>
    </row>
    <row r="2000" spans="1:23">
      <c r="A2000" s="1045">
        <f t="shared" si="31"/>
        <v>8</v>
      </c>
      <c r="B2000" s="134">
        <v>45532</v>
      </c>
      <c r="C2000" s="70">
        <v>2018</v>
      </c>
      <c r="D2000" s="70" t="s">
        <v>58</v>
      </c>
      <c r="E2000" s="280" t="s">
        <v>3997</v>
      </c>
      <c r="F2000" s="1049">
        <v>5.25</v>
      </c>
      <c r="G2000" s="1049"/>
      <c r="H2000" s="564"/>
      <c r="I2000" s="609"/>
      <c r="J2000" s="1155"/>
      <c r="K2000" s="609"/>
      <c r="L2000" s="609"/>
      <c r="M2000" s="609"/>
      <c r="N2000" s="599"/>
      <c r="O2000" s="552" t="s">
        <v>1584</v>
      </c>
      <c r="P2000" s="603"/>
      <c r="Q2000" s="682"/>
      <c r="R2000" s="682"/>
      <c r="S2000" s="682"/>
      <c r="T2000" s="682"/>
      <c r="U2000" s="682"/>
      <c r="V2000" s="682"/>
      <c r="W2000" s="682"/>
    </row>
    <row r="2001" spans="1:23">
      <c r="A2001" s="1045">
        <f t="shared" si="31"/>
        <v>8</v>
      </c>
      <c r="B2001" s="134">
        <v>45532</v>
      </c>
      <c r="C2001" s="70">
        <v>5250</v>
      </c>
      <c r="D2001" s="70" t="s">
        <v>85</v>
      </c>
      <c r="E2001" s="280" t="s">
        <v>3998</v>
      </c>
      <c r="F2001" s="1049">
        <v>30</v>
      </c>
      <c r="G2001" s="1049"/>
      <c r="H2001" s="564"/>
      <c r="I2001" s="609"/>
      <c r="J2001" s="1155"/>
      <c r="K2001" s="609"/>
      <c r="L2001" s="609"/>
      <c r="M2001" s="609"/>
      <c r="N2001" s="599"/>
      <c r="O2001" s="552" t="s">
        <v>1584</v>
      </c>
      <c r="P2001" s="603"/>
      <c r="Q2001" s="682"/>
      <c r="R2001" s="682"/>
      <c r="S2001" s="682"/>
      <c r="T2001" s="682"/>
      <c r="U2001" s="682"/>
      <c r="V2001" s="682"/>
      <c r="W2001" s="682"/>
    </row>
    <row r="2002" spans="1:23">
      <c r="A2002" s="1045">
        <f t="shared" si="31"/>
        <v>8</v>
      </c>
      <c r="B2002" s="134">
        <v>45532</v>
      </c>
      <c r="C2002" s="70">
        <v>2018</v>
      </c>
      <c r="D2002" s="70" t="s">
        <v>58</v>
      </c>
      <c r="E2002" s="280" t="s">
        <v>3998</v>
      </c>
      <c r="F2002" s="1049">
        <v>1.5</v>
      </c>
      <c r="G2002" s="1049"/>
      <c r="H2002" s="564"/>
      <c r="I2002" s="609"/>
      <c r="J2002" s="1155"/>
      <c r="K2002" s="609"/>
      <c r="L2002" s="609"/>
      <c r="M2002" s="609"/>
      <c r="N2002" s="599"/>
      <c r="O2002" s="552" t="s">
        <v>1584</v>
      </c>
      <c r="P2002" s="603"/>
      <c r="Q2002" s="682"/>
      <c r="R2002" s="682"/>
      <c r="S2002" s="682"/>
      <c r="T2002" s="682"/>
      <c r="U2002" s="682"/>
      <c r="V2002" s="682"/>
      <c r="W2002" s="682"/>
    </row>
    <row r="2003" spans="1:23">
      <c r="A2003" s="1045">
        <f t="shared" si="31"/>
        <v>8</v>
      </c>
      <c r="B2003" s="134">
        <v>45533</v>
      </c>
      <c r="C2003" s="70">
        <v>5250</v>
      </c>
      <c r="D2003" s="70" t="s">
        <v>85</v>
      </c>
      <c r="E2003" s="280" t="s">
        <v>3999</v>
      </c>
      <c r="F2003" s="1049">
        <v>15</v>
      </c>
      <c r="G2003" s="1049"/>
      <c r="H2003" s="564"/>
      <c r="I2003" s="609"/>
      <c r="J2003" s="1155"/>
      <c r="K2003" s="609"/>
      <c r="L2003" s="609"/>
      <c r="M2003" s="609"/>
      <c r="N2003" s="599"/>
      <c r="O2003" s="552" t="s">
        <v>1584</v>
      </c>
      <c r="P2003" s="603"/>
      <c r="Q2003" s="682"/>
      <c r="R2003" s="682"/>
      <c r="S2003" s="682"/>
      <c r="T2003" s="682"/>
      <c r="U2003" s="682"/>
      <c r="V2003" s="682"/>
      <c r="W2003" s="682"/>
    </row>
    <row r="2004" spans="1:23">
      <c r="A2004" s="1045">
        <f t="shared" si="31"/>
        <v>8</v>
      </c>
      <c r="B2004" s="134">
        <v>45533</v>
      </c>
      <c r="C2004" s="70">
        <v>5250</v>
      </c>
      <c r="D2004" s="70" t="s">
        <v>85</v>
      </c>
      <c r="E2004" s="280" t="s">
        <v>3999</v>
      </c>
      <c r="F2004" s="1049">
        <v>0.71</v>
      </c>
      <c r="G2004" s="1049"/>
      <c r="H2004" s="564"/>
      <c r="I2004" s="609"/>
      <c r="J2004" s="1155"/>
      <c r="K2004" s="609"/>
      <c r="L2004" s="609"/>
      <c r="M2004" s="609"/>
      <c r="N2004" s="599"/>
      <c r="O2004" s="552" t="s">
        <v>1584</v>
      </c>
      <c r="P2004" s="603"/>
      <c r="Q2004" s="682"/>
      <c r="R2004" s="682"/>
      <c r="S2004" s="682"/>
      <c r="T2004" s="682"/>
      <c r="U2004" s="682"/>
      <c r="V2004" s="682"/>
      <c r="W2004" s="682"/>
    </row>
    <row r="2005" spans="1:23">
      <c r="A2005" s="1045">
        <f t="shared" ref="A2005:A2068" si="32">IF(B2005="","",MONTH(B2005))</f>
        <v>8</v>
      </c>
      <c r="B2005" s="134">
        <v>45533</v>
      </c>
      <c r="C2005" s="70">
        <v>5250</v>
      </c>
      <c r="D2005" s="70" t="s">
        <v>85</v>
      </c>
      <c r="E2005" s="280" t="s">
        <v>4000</v>
      </c>
      <c r="F2005" s="1049">
        <v>20.5</v>
      </c>
      <c r="G2005" s="1049"/>
      <c r="H2005" s="564"/>
      <c r="I2005" s="609"/>
      <c r="J2005" s="1155"/>
      <c r="K2005" s="609"/>
      <c r="L2005" s="609"/>
      <c r="M2005" s="609"/>
      <c r="N2005" s="599"/>
      <c r="O2005" s="552" t="s">
        <v>1584</v>
      </c>
      <c r="P2005" s="603"/>
      <c r="Q2005" s="682"/>
      <c r="R2005" s="682"/>
      <c r="S2005" s="682"/>
      <c r="T2005" s="682"/>
      <c r="U2005" s="682"/>
      <c r="V2005" s="682"/>
      <c r="W2005" s="682"/>
    </row>
    <row r="2006" spans="1:23">
      <c r="A2006" s="1045">
        <f t="shared" si="32"/>
        <v>8</v>
      </c>
      <c r="B2006" s="134">
        <v>45533</v>
      </c>
      <c r="C2006" s="70">
        <v>2018</v>
      </c>
      <c r="D2006" s="70" t="s">
        <v>58</v>
      </c>
      <c r="E2006" s="280" t="s">
        <v>4000</v>
      </c>
      <c r="F2006" s="1049">
        <v>1.03</v>
      </c>
      <c r="G2006" s="1049"/>
      <c r="H2006" s="564"/>
      <c r="I2006" s="609"/>
      <c r="J2006" s="1155"/>
      <c r="K2006" s="609"/>
      <c r="L2006" s="609"/>
      <c r="M2006" s="609"/>
      <c r="N2006" s="599"/>
      <c r="O2006" s="552" t="s">
        <v>1584</v>
      </c>
      <c r="P2006" s="603"/>
      <c r="Q2006" s="682"/>
      <c r="R2006" s="682"/>
      <c r="S2006" s="682"/>
      <c r="T2006" s="682"/>
      <c r="U2006" s="682"/>
      <c r="V2006" s="682"/>
      <c r="W2006" s="682"/>
    </row>
    <row r="2007" spans="1:23">
      <c r="A2007" s="1045">
        <f t="shared" si="32"/>
        <v>8</v>
      </c>
      <c r="B2007" s="134">
        <v>45533</v>
      </c>
      <c r="C2007" s="70">
        <v>5200</v>
      </c>
      <c r="D2007" s="70" t="s">
        <v>83</v>
      </c>
      <c r="E2007" s="280" t="s">
        <v>4001</v>
      </c>
      <c r="F2007" s="1049">
        <v>172.97</v>
      </c>
      <c r="G2007" s="1049"/>
      <c r="H2007" s="564"/>
      <c r="I2007" s="609"/>
      <c r="J2007" s="1155"/>
      <c r="K2007" s="609"/>
      <c r="L2007" s="609"/>
      <c r="M2007" s="609"/>
      <c r="N2007" s="599"/>
      <c r="O2007" s="552" t="s">
        <v>1584</v>
      </c>
      <c r="P2007" s="603"/>
      <c r="Q2007" s="682"/>
      <c r="R2007" s="682"/>
      <c r="S2007" s="682"/>
      <c r="T2007" s="682"/>
      <c r="U2007" s="682"/>
      <c r="V2007" s="682"/>
      <c r="W2007" s="682"/>
    </row>
    <row r="2008" spans="1:23">
      <c r="A2008" s="1045">
        <f t="shared" si="32"/>
        <v>8</v>
      </c>
      <c r="B2008" s="134">
        <v>45533</v>
      </c>
      <c r="C2008" s="70">
        <v>2018</v>
      </c>
      <c r="D2008" s="70" t="s">
        <v>58</v>
      </c>
      <c r="E2008" s="280" t="s">
        <v>4001</v>
      </c>
      <c r="F2008" s="1049">
        <v>8.66</v>
      </c>
      <c r="G2008" s="1049"/>
      <c r="H2008" s="564"/>
      <c r="I2008" s="609"/>
      <c r="J2008" s="1155"/>
      <c r="K2008" s="609"/>
      <c r="L2008" s="609"/>
      <c r="M2008" s="609"/>
      <c r="N2008" s="599"/>
      <c r="O2008" s="552" t="s">
        <v>1584</v>
      </c>
      <c r="P2008" s="603"/>
      <c r="Q2008" s="682"/>
      <c r="R2008" s="682"/>
      <c r="S2008" s="682"/>
      <c r="T2008" s="682"/>
      <c r="U2008" s="682"/>
      <c r="V2008" s="682"/>
      <c r="W2008" s="682"/>
    </row>
    <row r="2009" spans="1:23">
      <c r="A2009" s="1045">
        <f t="shared" si="32"/>
        <v>8</v>
      </c>
      <c r="B2009" s="134">
        <v>45533</v>
      </c>
      <c r="C2009" s="70">
        <v>5200</v>
      </c>
      <c r="D2009" s="70" t="s">
        <v>83</v>
      </c>
      <c r="E2009" s="280" t="s">
        <v>4002</v>
      </c>
      <c r="F2009" s="1049">
        <v>158.85</v>
      </c>
      <c r="G2009" s="1049"/>
      <c r="H2009" s="564"/>
      <c r="I2009" s="609"/>
      <c r="J2009" s="1155"/>
      <c r="K2009" s="609"/>
      <c r="L2009" s="609"/>
      <c r="M2009" s="609"/>
      <c r="N2009" s="599"/>
      <c r="O2009" s="552" t="s">
        <v>1584</v>
      </c>
      <c r="P2009" s="603"/>
      <c r="Q2009" s="682"/>
      <c r="R2009" s="682"/>
      <c r="S2009" s="682"/>
      <c r="T2009" s="682"/>
      <c r="U2009" s="682"/>
      <c r="V2009" s="682"/>
      <c r="W2009" s="682"/>
    </row>
    <row r="2010" spans="1:23">
      <c r="A2010" s="1045">
        <f t="shared" si="32"/>
        <v>8</v>
      </c>
      <c r="B2010" s="134">
        <v>45533</v>
      </c>
      <c r="C2010" s="70">
        <v>2018</v>
      </c>
      <c r="D2010" s="70" t="s">
        <v>58</v>
      </c>
      <c r="E2010" s="280" t="s">
        <v>4002</v>
      </c>
      <c r="F2010" s="1049">
        <v>7.94</v>
      </c>
      <c r="G2010" s="1049"/>
      <c r="H2010" s="564"/>
      <c r="I2010" s="609"/>
      <c r="J2010" s="1155"/>
      <c r="K2010" s="609"/>
      <c r="L2010" s="609"/>
      <c r="M2010" s="609"/>
      <c r="N2010" s="599"/>
      <c r="O2010" s="552" t="s">
        <v>1584</v>
      </c>
      <c r="P2010" s="603"/>
      <c r="Q2010" s="682"/>
      <c r="R2010" s="682"/>
      <c r="S2010" s="682"/>
      <c r="T2010" s="682"/>
      <c r="U2010" s="682"/>
      <c r="V2010" s="682"/>
      <c r="W2010" s="682"/>
    </row>
    <row r="2011" spans="1:23">
      <c r="A2011" s="1045">
        <f t="shared" si="32"/>
        <v>8</v>
      </c>
      <c r="B2011" s="134">
        <v>45533</v>
      </c>
      <c r="C2011" s="70">
        <v>5250</v>
      </c>
      <c r="D2011" s="70" t="s">
        <v>85</v>
      </c>
      <c r="E2011" s="280" t="s">
        <v>4003</v>
      </c>
      <c r="F2011" s="1049">
        <v>55</v>
      </c>
      <c r="G2011" s="1049"/>
      <c r="H2011" s="564"/>
      <c r="I2011" s="609"/>
      <c r="J2011" s="1155"/>
      <c r="K2011" s="609"/>
      <c r="L2011" s="609"/>
      <c r="M2011" s="609"/>
      <c r="N2011" s="599"/>
      <c r="O2011" s="552" t="s">
        <v>1584</v>
      </c>
      <c r="P2011" s="603"/>
      <c r="Q2011" s="682"/>
      <c r="R2011" s="682"/>
      <c r="S2011" s="682"/>
      <c r="T2011" s="682"/>
      <c r="U2011" s="682"/>
      <c r="V2011" s="682"/>
      <c r="W2011" s="682"/>
    </row>
    <row r="2012" spans="1:23">
      <c r="A2012" s="1045">
        <f t="shared" si="32"/>
        <v>8</v>
      </c>
      <c r="B2012" s="134">
        <v>45533</v>
      </c>
      <c r="C2012" s="70">
        <v>2018</v>
      </c>
      <c r="D2012" s="70" t="s">
        <v>58</v>
      </c>
      <c r="E2012" s="280" t="s">
        <v>4003</v>
      </c>
      <c r="F2012" s="1049">
        <v>2.75</v>
      </c>
      <c r="G2012" s="1049"/>
      <c r="H2012" s="564"/>
      <c r="I2012" s="609"/>
      <c r="J2012" s="1155"/>
      <c r="K2012" s="609"/>
      <c r="L2012" s="609"/>
      <c r="M2012" s="609"/>
      <c r="N2012" s="599"/>
      <c r="O2012" s="552" t="s">
        <v>1584</v>
      </c>
      <c r="P2012" s="603"/>
      <c r="Q2012" s="682"/>
      <c r="R2012" s="682"/>
      <c r="S2012" s="682"/>
      <c r="T2012" s="682"/>
      <c r="U2012" s="682"/>
      <c r="V2012" s="682"/>
      <c r="W2012" s="682"/>
    </row>
    <row r="2013" spans="1:23">
      <c r="A2013" s="1045">
        <f t="shared" si="32"/>
        <v>8</v>
      </c>
      <c r="B2013" s="134">
        <v>45534</v>
      </c>
      <c r="C2013" s="70">
        <v>5150</v>
      </c>
      <c r="D2013" s="70" t="s">
        <v>82</v>
      </c>
      <c r="E2013" s="280" t="s">
        <v>4004</v>
      </c>
      <c r="F2013" s="1049">
        <v>16025</v>
      </c>
      <c r="G2013" s="1049"/>
      <c r="H2013" s="564"/>
      <c r="I2013" s="609"/>
      <c r="J2013" s="1155"/>
      <c r="K2013" s="609"/>
      <c r="L2013" s="609"/>
      <c r="M2013" s="609"/>
      <c r="N2013" s="599"/>
      <c r="O2013" s="552" t="s">
        <v>1584</v>
      </c>
      <c r="P2013" s="603"/>
      <c r="Q2013" s="682"/>
      <c r="R2013" s="682"/>
      <c r="S2013" s="682"/>
      <c r="T2013" s="682"/>
      <c r="U2013" s="682"/>
      <c r="V2013" s="682"/>
      <c r="W2013" s="682"/>
    </row>
    <row r="2014" spans="1:23">
      <c r="A2014" s="1045">
        <f t="shared" si="32"/>
        <v>8</v>
      </c>
      <c r="B2014" s="134">
        <v>45534</v>
      </c>
      <c r="C2014" s="70">
        <v>2018</v>
      </c>
      <c r="D2014" s="70" t="s">
        <v>58</v>
      </c>
      <c r="E2014" s="280" t="s">
        <v>4004</v>
      </c>
      <c r="F2014" s="1049">
        <v>801.25</v>
      </c>
      <c r="G2014" s="1049"/>
      <c r="H2014" s="564"/>
      <c r="I2014" s="609"/>
      <c r="J2014" s="1155"/>
      <c r="K2014" s="609"/>
      <c r="L2014" s="609"/>
      <c r="M2014" s="609"/>
      <c r="N2014" s="599"/>
      <c r="O2014" s="552" t="s">
        <v>1584</v>
      </c>
      <c r="P2014" s="603"/>
      <c r="Q2014" s="682"/>
      <c r="R2014" s="682"/>
      <c r="S2014" s="682"/>
      <c r="T2014" s="682"/>
      <c r="U2014" s="682"/>
      <c r="V2014" s="682"/>
      <c r="W2014" s="682"/>
    </row>
    <row r="2015" spans="1:23">
      <c r="A2015" s="1045">
        <f t="shared" si="32"/>
        <v>8</v>
      </c>
      <c r="B2015" s="134">
        <v>45534</v>
      </c>
      <c r="C2015" s="70">
        <v>5150</v>
      </c>
      <c r="D2015" s="70" t="s">
        <v>82</v>
      </c>
      <c r="E2015" s="280" t="s">
        <v>4005</v>
      </c>
      <c r="F2015" s="1049">
        <v>5240</v>
      </c>
      <c r="G2015" s="1049"/>
      <c r="H2015" s="564"/>
      <c r="I2015" s="609"/>
      <c r="J2015" s="1155"/>
      <c r="K2015" s="609"/>
      <c r="L2015" s="609"/>
      <c r="M2015" s="609"/>
      <c r="N2015" s="599"/>
      <c r="O2015" s="552" t="s">
        <v>1584</v>
      </c>
      <c r="P2015" s="603"/>
      <c r="Q2015" s="682"/>
      <c r="R2015" s="682"/>
      <c r="S2015" s="682"/>
      <c r="T2015" s="682"/>
      <c r="U2015" s="682"/>
      <c r="V2015" s="682"/>
      <c r="W2015" s="682"/>
    </row>
    <row r="2016" spans="1:23">
      <c r="A2016" s="1045">
        <f t="shared" si="32"/>
        <v>8</v>
      </c>
      <c r="B2016" s="134">
        <v>45534</v>
      </c>
      <c r="C2016" s="70">
        <v>2018</v>
      </c>
      <c r="D2016" s="70" t="s">
        <v>58</v>
      </c>
      <c r="E2016" s="280" t="s">
        <v>4005</v>
      </c>
      <c r="F2016" s="1049">
        <v>262</v>
      </c>
      <c r="G2016" s="1049"/>
      <c r="H2016" s="564"/>
      <c r="I2016" s="609"/>
      <c r="J2016" s="1155"/>
      <c r="K2016" s="609"/>
      <c r="L2016" s="609"/>
      <c r="M2016" s="609"/>
      <c r="N2016" s="599"/>
      <c r="O2016" s="552" t="s">
        <v>1584</v>
      </c>
      <c r="P2016" s="603"/>
      <c r="Q2016" s="682"/>
      <c r="R2016" s="682"/>
      <c r="S2016" s="682"/>
      <c r="T2016" s="682"/>
      <c r="U2016" s="682"/>
      <c r="V2016" s="682"/>
      <c r="W2016" s="682"/>
    </row>
    <row r="2017" spans="1:23">
      <c r="A2017" s="1045">
        <f t="shared" si="32"/>
        <v>8</v>
      </c>
      <c r="B2017" s="134">
        <v>45534</v>
      </c>
      <c r="C2017" s="70">
        <v>5250</v>
      </c>
      <c r="D2017" s="70" t="s">
        <v>85</v>
      </c>
      <c r="E2017" s="280" t="s">
        <v>4006</v>
      </c>
      <c r="F2017" s="1049">
        <v>1900</v>
      </c>
      <c r="G2017" s="1049"/>
      <c r="H2017" s="564"/>
      <c r="I2017" s="609"/>
      <c r="J2017" s="1155"/>
      <c r="K2017" s="609"/>
      <c r="L2017" s="609"/>
      <c r="M2017" s="609"/>
      <c r="N2017" s="599"/>
      <c r="O2017" s="552" t="s">
        <v>1584</v>
      </c>
      <c r="P2017" s="603"/>
      <c r="Q2017" s="682"/>
      <c r="R2017" s="682"/>
      <c r="S2017" s="682"/>
      <c r="T2017" s="682"/>
      <c r="U2017" s="682"/>
      <c r="V2017" s="682"/>
      <c r="W2017" s="682"/>
    </row>
    <row r="2018" spans="1:23">
      <c r="A2018" s="1045">
        <f t="shared" si="32"/>
        <v>8</v>
      </c>
      <c r="B2018" s="134">
        <v>45534</v>
      </c>
      <c r="C2018" s="70">
        <v>2018</v>
      </c>
      <c r="D2018" s="70" t="s">
        <v>58</v>
      </c>
      <c r="E2018" s="280" t="s">
        <v>4006</v>
      </c>
      <c r="F2018" s="1049">
        <v>95</v>
      </c>
      <c r="G2018" s="1049"/>
      <c r="H2018" s="564"/>
      <c r="I2018" s="609"/>
      <c r="J2018" s="1155"/>
      <c r="K2018" s="609"/>
      <c r="L2018" s="609"/>
      <c r="M2018" s="609"/>
      <c r="N2018" s="599"/>
      <c r="O2018" s="552" t="s">
        <v>1584</v>
      </c>
      <c r="P2018" s="603"/>
      <c r="Q2018" s="682"/>
      <c r="R2018" s="682"/>
      <c r="S2018" s="682"/>
      <c r="T2018" s="682"/>
      <c r="U2018" s="682"/>
      <c r="V2018" s="682"/>
      <c r="W2018" s="682"/>
    </row>
    <row r="2019" spans="1:23">
      <c r="A2019" s="1045">
        <f t="shared" si="32"/>
        <v>8</v>
      </c>
      <c r="B2019" s="134">
        <v>45535</v>
      </c>
      <c r="C2019" s="70">
        <v>5250</v>
      </c>
      <c r="D2019" s="70" t="s">
        <v>85</v>
      </c>
      <c r="E2019" s="280" t="s">
        <v>4007</v>
      </c>
      <c r="F2019" s="1049">
        <v>50</v>
      </c>
      <c r="G2019" s="1049"/>
      <c r="H2019" s="564"/>
      <c r="I2019" s="609"/>
      <c r="J2019" s="1155"/>
      <c r="K2019" s="609"/>
      <c r="L2019" s="609"/>
      <c r="M2019" s="609"/>
      <c r="N2019" s="599"/>
      <c r="O2019" s="552" t="s">
        <v>1584</v>
      </c>
      <c r="P2019" s="603"/>
      <c r="Q2019" s="682"/>
      <c r="R2019" s="682"/>
      <c r="S2019" s="682"/>
      <c r="T2019" s="682"/>
      <c r="U2019" s="682"/>
      <c r="V2019" s="682"/>
      <c r="W2019" s="682"/>
    </row>
    <row r="2020" spans="1:23">
      <c r="A2020" s="1045">
        <f t="shared" si="32"/>
        <v>8</v>
      </c>
      <c r="B2020" s="134">
        <v>45535</v>
      </c>
      <c r="C2020" s="70">
        <v>2018</v>
      </c>
      <c r="D2020" s="70" t="s">
        <v>58</v>
      </c>
      <c r="E2020" s="280" t="s">
        <v>4007</v>
      </c>
      <c r="F2020" s="1049">
        <v>2.5</v>
      </c>
      <c r="G2020" s="1049"/>
      <c r="H2020" s="564"/>
      <c r="I2020" s="609"/>
      <c r="J2020" s="1155"/>
      <c r="K2020" s="609"/>
      <c r="L2020" s="609"/>
      <c r="M2020" s="609"/>
      <c r="N2020" s="599"/>
      <c r="O2020" s="552" t="s">
        <v>1584</v>
      </c>
      <c r="P2020" s="603"/>
      <c r="Q2020" s="682"/>
      <c r="R2020" s="682"/>
      <c r="S2020" s="682"/>
      <c r="T2020" s="682"/>
      <c r="U2020" s="682"/>
      <c r="V2020" s="682"/>
      <c r="W2020" s="682"/>
    </row>
    <row r="2021" spans="1:23">
      <c r="A2021" s="1045">
        <f t="shared" si="32"/>
        <v>8</v>
      </c>
      <c r="B2021" s="134">
        <v>45535</v>
      </c>
      <c r="C2021" s="70">
        <v>5250</v>
      </c>
      <c r="D2021" s="70" t="s">
        <v>85</v>
      </c>
      <c r="E2021" s="280" t="s">
        <v>4008</v>
      </c>
      <c r="F2021" s="1049">
        <v>26</v>
      </c>
      <c r="G2021" s="1049"/>
      <c r="H2021" s="564"/>
      <c r="I2021" s="609"/>
      <c r="J2021" s="1155"/>
      <c r="K2021" s="609"/>
      <c r="L2021" s="609"/>
      <c r="M2021" s="609"/>
      <c r="N2021" s="599"/>
      <c r="O2021" s="552" t="s">
        <v>1584</v>
      </c>
      <c r="P2021" s="603"/>
      <c r="Q2021" s="682"/>
      <c r="R2021" s="682"/>
      <c r="S2021" s="682"/>
      <c r="T2021" s="682"/>
      <c r="U2021" s="682"/>
      <c r="V2021" s="682"/>
      <c r="W2021" s="682"/>
    </row>
    <row r="2022" spans="1:23">
      <c r="A2022" s="1045">
        <f t="shared" si="32"/>
        <v>8</v>
      </c>
      <c r="B2022" s="134">
        <v>45535</v>
      </c>
      <c r="C2022" s="70">
        <v>2018</v>
      </c>
      <c r="D2022" s="70" t="s">
        <v>58</v>
      </c>
      <c r="E2022" s="280" t="s">
        <v>4008</v>
      </c>
      <c r="F2022" s="1049">
        <v>1.3</v>
      </c>
      <c r="G2022" s="1049"/>
      <c r="H2022" s="564"/>
      <c r="I2022" s="609"/>
      <c r="J2022" s="1155"/>
      <c r="K2022" s="609"/>
      <c r="L2022" s="609"/>
      <c r="M2022" s="609"/>
      <c r="N2022" s="599"/>
      <c r="O2022" s="552" t="s">
        <v>1584</v>
      </c>
      <c r="P2022" s="603"/>
      <c r="Q2022" s="682"/>
      <c r="R2022" s="682"/>
      <c r="S2022" s="682"/>
      <c r="T2022" s="682"/>
      <c r="U2022" s="682"/>
      <c r="V2022" s="682"/>
      <c r="W2022" s="682"/>
    </row>
    <row r="2023" spans="1:23">
      <c r="A2023" s="1045">
        <f t="shared" si="32"/>
        <v>8</v>
      </c>
      <c r="B2023" s="134">
        <v>45535</v>
      </c>
      <c r="C2023" s="70">
        <v>5250</v>
      </c>
      <c r="D2023" s="70" t="s">
        <v>85</v>
      </c>
      <c r="E2023" s="280" t="s">
        <v>4009</v>
      </c>
      <c r="F2023" s="1049">
        <v>40</v>
      </c>
      <c r="G2023" s="1049"/>
      <c r="H2023" s="564"/>
      <c r="I2023" s="609"/>
      <c r="J2023" s="1155"/>
      <c r="K2023" s="609"/>
      <c r="L2023" s="609"/>
      <c r="M2023" s="609"/>
      <c r="N2023" s="599"/>
      <c r="O2023" s="552" t="s">
        <v>1584</v>
      </c>
      <c r="P2023" s="603"/>
      <c r="Q2023" s="682"/>
      <c r="R2023" s="682"/>
      <c r="S2023" s="682"/>
      <c r="T2023" s="682"/>
      <c r="U2023" s="682"/>
      <c r="V2023" s="682"/>
      <c r="W2023" s="682"/>
    </row>
    <row r="2024" spans="1:23">
      <c r="A2024" s="1045">
        <f t="shared" si="32"/>
        <v>8</v>
      </c>
      <c r="B2024" s="134">
        <v>45535</v>
      </c>
      <c r="C2024" s="70">
        <v>2018</v>
      </c>
      <c r="D2024" s="70" t="s">
        <v>58</v>
      </c>
      <c r="E2024" s="280" t="s">
        <v>4009</v>
      </c>
      <c r="F2024" s="1049">
        <v>2</v>
      </c>
      <c r="G2024" s="1049"/>
      <c r="H2024" s="564"/>
      <c r="I2024" s="609"/>
      <c r="J2024" s="1155"/>
      <c r="K2024" s="609"/>
      <c r="L2024" s="609"/>
      <c r="M2024" s="609"/>
      <c r="N2024" s="599"/>
      <c r="O2024" s="552" t="s">
        <v>1584</v>
      </c>
      <c r="P2024" s="603"/>
      <c r="Q2024" s="682"/>
      <c r="R2024" s="682"/>
      <c r="S2024" s="682"/>
      <c r="T2024" s="682"/>
      <c r="U2024" s="682"/>
      <c r="V2024" s="682"/>
      <c r="W2024" s="682"/>
    </row>
    <row r="2025" spans="1:23">
      <c r="A2025" s="1045">
        <f t="shared" si="32"/>
        <v>8</v>
      </c>
      <c r="B2025" s="134">
        <v>45535</v>
      </c>
      <c r="C2025" s="70">
        <v>5200</v>
      </c>
      <c r="D2025" s="70" t="s">
        <v>83</v>
      </c>
      <c r="E2025" s="280" t="s">
        <v>4010</v>
      </c>
      <c r="F2025" s="1049">
        <v>1000</v>
      </c>
      <c r="G2025" s="1049"/>
      <c r="H2025" s="564"/>
      <c r="I2025" s="609"/>
      <c r="J2025" s="1155"/>
      <c r="K2025" s="609"/>
      <c r="L2025" s="609"/>
      <c r="M2025" s="609"/>
      <c r="N2025" s="599"/>
      <c r="O2025" s="552" t="s">
        <v>1584</v>
      </c>
      <c r="P2025" s="603"/>
      <c r="Q2025" s="682"/>
      <c r="R2025" s="682"/>
      <c r="S2025" s="682"/>
      <c r="T2025" s="682"/>
      <c r="U2025" s="682"/>
      <c r="V2025" s="682"/>
      <c r="W2025" s="682"/>
    </row>
    <row r="2026" spans="1:23">
      <c r="A2026" s="1045">
        <f t="shared" si="32"/>
        <v>8</v>
      </c>
      <c r="B2026" s="134">
        <v>45535</v>
      </c>
      <c r="C2026" s="70">
        <v>2018</v>
      </c>
      <c r="D2026" s="70" t="s">
        <v>58</v>
      </c>
      <c r="E2026" s="280" t="s">
        <v>4010</v>
      </c>
      <c r="F2026" s="1049">
        <v>50</v>
      </c>
      <c r="G2026" s="1049"/>
      <c r="H2026" s="564"/>
      <c r="I2026" s="609"/>
      <c r="J2026" s="1155"/>
      <c r="K2026" s="609"/>
      <c r="L2026" s="609"/>
      <c r="M2026" s="609"/>
      <c r="N2026" s="599"/>
      <c r="O2026" s="552" t="s">
        <v>1584</v>
      </c>
      <c r="P2026" s="603"/>
      <c r="Q2026" s="682"/>
      <c r="R2026" s="682"/>
      <c r="S2026" s="682"/>
      <c r="T2026" s="682"/>
      <c r="U2026" s="682"/>
      <c r="V2026" s="682"/>
      <c r="W2026" s="682"/>
    </row>
    <row r="2027" spans="1:23">
      <c r="A2027" s="1045">
        <f t="shared" si="32"/>
        <v>8</v>
      </c>
      <c r="B2027" s="134">
        <v>45535</v>
      </c>
      <c r="C2027" s="70">
        <v>5250</v>
      </c>
      <c r="D2027" s="70" t="s">
        <v>85</v>
      </c>
      <c r="E2027" s="280" t="s">
        <v>4011</v>
      </c>
      <c r="F2027" s="1049">
        <v>1910</v>
      </c>
      <c r="G2027" s="1049"/>
      <c r="H2027" s="564"/>
      <c r="I2027" s="609"/>
      <c r="J2027" s="1155"/>
      <c r="K2027" s="609"/>
      <c r="L2027" s="609"/>
      <c r="M2027" s="609"/>
      <c r="N2027" s="599"/>
      <c r="O2027" s="552" t="s">
        <v>1584</v>
      </c>
      <c r="P2027" s="603"/>
      <c r="Q2027" s="682"/>
      <c r="R2027" s="682"/>
      <c r="S2027" s="682"/>
      <c r="T2027" s="682"/>
      <c r="U2027" s="682"/>
      <c r="V2027" s="682"/>
      <c r="W2027" s="682"/>
    </row>
    <row r="2028" spans="1:23">
      <c r="A2028" s="1045">
        <f t="shared" si="32"/>
        <v>8</v>
      </c>
      <c r="B2028" s="134">
        <v>45535</v>
      </c>
      <c r="C2028" s="70">
        <v>2018</v>
      </c>
      <c r="D2028" s="70" t="s">
        <v>58</v>
      </c>
      <c r="E2028" s="280" t="s">
        <v>4011</v>
      </c>
      <c r="F2028" s="1049">
        <v>95.5</v>
      </c>
      <c r="G2028" s="1049"/>
      <c r="H2028" s="564"/>
      <c r="I2028" s="609"/>
      <c r="J2028" s="1155"/>
      <c r="K2028" s="609"/>
      <c r="L2028" s="609"/>
      <c r="M2028" s="609"/>
      <c r="N2028" s="599"/>
      <c r="O2028" s="552" t="s">
        <v>1584</v>
      </c>
      <c r="P2028" s="603"/>
      <c r="Q2028" s="682"/>
      <c r="R2028" s="682"/>
      <c r="S2028" s="682"/>
      <c r="T2028" s="682"/>
      <c r="U2028" s="682"/>
      <c r="V2028" s="682"/>
      <c r="W2028" s="682"/>
    </row>
    <row r="2029" spans="1:23">
      <c r="A2029" s="1045">
        <f t="shared" si="32"/>
        <v>8</v>
      </c>
      <c r="B2029" s="134">
        <v>45535</v>
      </c>
      <c r="C2029" s="70">
        <v>5220</v>
      </c>
      <c r="D2029" s="70" t="s">
        <v>84</v>
      </c>
      <c r="E2029" s="280" t="s">
        <v>4012</v>
      </c>
      <c r="F2029" s="1049">
        <v>457.14</v>
      </c>
      <c r="G2029" s="1049"/>
      <c r="H2029" s="564"/>
      <c r="I2029" s="609"/>
      <c r="J2029" s="1155"/>
      <c r="K2029" s="609"/>
      <c r="L2029" s="609"/>
      <c r="M2029" s="609"/>
      <c r="N2029" s="599"/>
      <c r="O2029" s="552" t="s">
        <v>1584</v>
      </c>
      <c r="P2029" s="603"/>
      <c r="Q2029" s="682"/>
      <c r="R2029" s="682"/>
      <c r="S2029" s="682"/>
      <c r="T2029" s="682"/>
      <c r="U2029" s="682"/>
      <c r="V2029" s="682"/>
      <c r="W2029" s="682"/>
    </row>
    <row r="2030" spans="1:23">
      <c r="A2030" s="1045">
        <f t="shared" si="32"/>
        <v>8</v>
      </c>
      <c r="B2030" s="134">
        <v>45535</v>
      </c>
      <c r="C2030" s="70">
        <v>2018</v>
      </c>
      <c r="D2030" s="70" t="s">
        <v>58</v>
      </c>
      <c r="E2030" s="280" t="s">
        <v>4012</v>
      </c>
      <c r="F2030" s="1049">
        <v>22.86</v>
      </c>
      <c r="G2030" s="1049"/>
      <c r="H2030" s="564"/>
      <c r="I2030" s="609"/>
      <c r="J2030" s="1155"/>
      <c r="K2030" s="609"/>
      <c r="L2030" s="609"/>
      <c r="M2030" s="609"/>
      <c r="N2030" s="599"/>
      <c r="O2030" s="552" t="s">
        <v>1584</v>
      </c>
      <c r="P2030" s="603"/>
      <c r="Q2030" s="682"/>
      <c r="R2030" s="682"/>
      <c r="S2030" s="682"/>
      <c r="T2030" s="682"/>
      <c r="U2030" s="682"/>
      <c r="V2030" s="682"/>
      <c r="W2030" s="682"/>
    </row>
    <row r="2031" spans="1:23">
      <c r="A2031" s="1045">
        <f t="shared" si="32"/>
        <v>8</v>
      </c>
      <c r="B2031" s="134">
        <v>45535</v>
      </c>
      <c r="C2031" s="70">
        <v>5250</v>
      </c>
      <c r="D2031" s="70" t="s">
        <v>85</v>
      </c>
      <c r="E2031" s="280" t="s">
        <v>4013</v>
      </c>
      <c r="F2031" s="1049">
        <v>446.25</v>
      </c>
      <c r="G2031" s="1049"/>
      <c r="H2031" s="564"/>
      <c r="I2031" s="609"/>
      <c r="J2031" s="1155"/>
      <c r="K2031" s="609"/>
      <c r="L2031" s="609"/>
      <c r="M2031" s="609"/>
      <c r="N2031" s="599"/>
      <c r="O2031" s="552" t="s">
        <v>1584</v>
      </c>
      <c r="P2031" s="603"/>
      <c r="Q2031" s="682"/>
      <c r="R2031" s="682"/>
      <c r="S2031" s="682"/>
      <c r="T2031" s="682"/>
      <c r="U2031" s="682"/>
      <c r="V2031" s="682"/>
      <c r="W2031" s="682"/>
    </row>
    <row r="2032" spans="1:23">
      <c r="A2032" s="1045">
        <f t="shared" si="32"/>
        <v>8</v>
      </c>
      <c r="B2032" s="134">
        <v>45535</v>
      </c>
      <c r="C2032" s="70">
        <v>2018</v>
      </c>
      <c r="D2032" s="70" t="s">
        <v>58</v>
      </c>
      <c r="E2032" s="280" t="s">
        <v>4013</v>
      </c>
      <c r="F2032" s="1049">
        <v>22.31</v>
      </c>
      <c r="G2032" s="1049"/>
      <c r="H2032" s="564"/>
      <c r="I2032" s="609"/>
      <c r="J2032" s="1155"/>
      <c r="K2032" s="609"/>
      <c r="L2032" s="609"/>
      <c r="M2032" s="609"/>
      <c r="N2032" s="599"/>
      <c r="O2032" s="552" t="s">
        <v>1584</v>
      </c>
      <c r="P2032" s="603"/>
      <c r="Q2032" s="682"/>
      <c r="R2032" s="682"/>
      <c r="S2032" s="682"/>
      <c r="T2032" s="682"/>
      <c r="U2032" s="682"/>
      <c r="V2032" s="682"/>
      <c r="W2032" s="682"/>
    </row>
    <row r="2033" spans="1:23">
      <c r="A2033" s="1045">
        <f t="shared" si="32"/>
        <v>8</v>
      </c>
      <c r="B2033" s="134">
        <v>45535</v>
      </c>
      <c r="C2033" s="70">
        <v>5250</v>
      </c>
      <c r="D2033" s="70" t="s">
        <v>85</v>
      </c>
      <c r="E2033" s="280" t="s">
        <v>4014</v>
      </c>
      <c r="F2033" s="1049">
        <v>192.5</v>
      </c>
      <c r="G2033" s="1049"/>
      <c r="H2033" s="564"/>
      <c r="I2033" s="609"/>
      <c r="J2033" s="1155"/>
      <c r="K2033" s="609"/>
      <c r="L2033" s="609"/>
      <c r="M2033" s="609"/>
      <c r="N2033" s="599"/>
      <c r="O2033" s="552" t="s">
        <v>1584</v>
      </c>
      <c r="P2033" s="603"/>
      <c r="Q2033" s="682"/>
      <c r="R2033" s="682"/>
      <c r="S2033" s="682"/>
      <c r="T2033" s="682"/>
      <c r="U2033" s="682"/>
      <c r="V2033" s="682"/>
      <c r="W2033" s="682"/>
    </row>
    <row r="2034" spans="1:23">
      <c r="A2034" s="1045">
        <f t="shared" si="32"/>
        <v>8</v>
      </c>
      <c r="B2034" s="134">
        <v>45535</v>
      </c>
      <c r="C2034" s="70">
        <v>2018</v>
      </c>
      <c r="D2034" s="70" t="s">
        <v>58</v>
      </c>
      <c r="E2034" s="280" t="s">
        <v>4014</v>
      </c>
      <c r="F2034" s="1049">
        <v>9.64</v>
      </c>
      <c r="G2034" s="1049"/>
      <c r="H2034" s="564"/>
      <c r="I2034" s="609"/>
      <c r="J2034" s="1155"/>
      <c r="K2034" s="609"/>
      <c r="L2034" s="609"/>
      <c r="M2034" s="609"/>
      <c r="N2034" s="599"/>
      <c r="O2034" s="552" t="s">
        <v>1584</v>
      </c>
      <c r="P2034" s="603"/>
      <c r="Q2034" s="682"/>
      <c r="R2034" s="682"/>
      <c r="S2034" s="682"/>
      <c r="T2034" s="682"/>
      <c r="U2034" s="682"/>
      <c r="V2034" s="682"/>
      <c r="W2034" s="682"/>
    </row>
    <row r="2035" spans="1:23">
      <c r="A2035" s="1045">
        <f t="shared" si="32"/>
        <v>8</v>
      </c>
      <c r="B2035" s="134">
        <v>45535</v>
      </c>
      <c r="C2035" s="70">
        <v>5250</v>
      </c>
      <c r="D2035" s="70" t="s">
        <v>85</v>
      </c>
      <c r="E2035" s="280" t="s">
        <v>4015</v>
      </c>
      <c r="F2035" s="1049">
        <v>712</v>
      </c>
      <c r="G2035" s="1049"/>
      <c r="H2035" s="564"/>
      <c r="I2035" s="609"/>
      <c r="J2035" s="1155"/>
      <c r="K2035" s="609"/>
      <c r="L2035" s="609"/>
      <c r="M2035" s="609"/>
      <c r="N2035" s="599"/>
      <c r="O2035" s="552" t="s">
        <v>1584</v>
      </c>
      <c r="P2035" s="603"/>
      <c r="Q2035" s="682"/>
      <c r="R2035" s="682"/>
      <c r="S2035" s="682"/>
      <c r="T2035" s="682"/>
      <c r="U2035" s="682"/>
      <c r="V2035" s="682"/>
      <c r="W2035" s="682"/>
    </row>
    <row r="2036" spans="1:23">
      <c r="A2036" s="1045">
        <f t="shared" si="32"/>
        <v>8</v>
      </c>
      <c r="B2036" s="134">
        <v>45535</v>
      </c>
      <c r="C2036" s="70">
        <v>2018</v>
      </c>
      <c r="D2036" s="70" t="s">
        <v>58</v>
      </c>
      <c r="E2036" s="280" t="s">
        <v>4015</v>
      </c>
      <c r="F2036" s="1049">
        <v>35.6</v>
      </c>
      <c r="G2036" s="1049"/>
      <c r="H2036" s="564"/>
      <c r="I2036" s="609"/>
      <c r="J2036" s="1155"/>
      <c r="K2036" s="609"/>
      <c r="L2036" s="609"/>
      <c r="M2036" s="609"/>
      <c r="N2036" s="599"/>
      <c r="O2036" s="552" t="s">
        <v>1584</v>
      </c>
      <c r="P2036" s="603"/>
      <c r="Q2036" s="682"/>
      <c r="R2036" s="682"/>
      <c r="S2036" s="682"/>
      <c r="T2036" s="682"/>
      <c r="U2036" s="682"/>
      <c r="V2036" s="682"/>
      <c r="W2036" s="682"/>
    </row>
    <row r="2037" spans="1:23">
      <c r="A2037" s="1045">
        <f t="shared" si="32"/>
        <v>9</v>
      </c>
      <c r="B2037" s="134">
        <v>45536</v>
      </c>
      <c r="C2037" s="70">
        <v>5250</v>
      </c>
      <c r="D2037" s="70" t="s">
        <v>85</v>
      </c>
      <c r="E2037" s="280" t="s">
        <v>4016</v>
      </c>
      <c r="F2037" s="1049">
        <v>18</v>
      </c>
      <c r="G2037" s="1049"/>
      <c r="H2037" s="564"/>
      <c r="I2037" s="609"/>
      <c r="J2037" s="1155"/>
      <c r="K2037" s="609"/>
      <c r="L2037" s="609"/>
      <c r="M2037" s="609"/>
      <c r="N2037" s="599"/>
      <c r="O2037" s="552" t="s">
        <v>1584</v>
      </c>
      <c r="P2037" s="603"/>
      <c r="Q2037" s="682"/>
      <c r="R2037" s="682"/>
      <c r="S2037" s="682"/>
      <c r="T2037" s="682"/>
      <c r="U2037" s="682"/>
      <c r="V2037" s="682"/>
      <c r="W2037" s="682"/>
    </row>
    <row r="2038" spans="1:23">
      <c r="A2038" s="1045">
        <f t="shared" si="32"/>
        <v>9</v>
      </c>
      <c r="B2038" s="134">
        <v>45536</v>
      </c>
      <c r="C2038" s="70">
        <v>2018</v>
      </c>
      <c r="D2038" s="70" t="s">
        <v>58</v>
      </c>
      <c r="E2038" s="280" t="s">
        <v>4016</v>
      </c>
      <c r="F2038" s="1049">
        <v>0.9</v>
      </c>
      <c r="G2038" s="1049"/>
      <c r="H2038" s="564"/>
      <c r="I2038" s="609"/>
      <c r="J2038" s="1155"/>
      <c r="K2038" s="609"/>
      <c r="L2038" s="609"/>
      <c r="M2038" s="609"/>
      <c r="N2038" s="599"/>
      <c r="O2038" s="552" t="s">
        <v>1584</v>
      </c>
      <c r="P2038" s="603"/>
      <c r="Q2038" s="682"/>
      <c r="R2038" s="682"/>
      <c r="S2038" s="682"/>
      <c r="T2038" s="682"/>
      <c r="U2038" s="682"/>
      <c r="V2038" s="682"/>
      <c r="W2038" s="682"/>
    </row>
    <row r="2039" spans="1:23">
      <c r="A2039" s="1045">
        <f t="shared" si="32"/>
        <v>9</v>
      </c>
      <c r="B2039" s="134">
        <v>45536</v>
      </c>
      <c r="C2039" s="70">
        <v>5250</v>
      </c>
      <c r="D2039" s="70" t="s">
        <v>85</v>
      </c>
      <c r="E2039" s="280" t="s">
        <v>4017</v>
      </c>
      <c r="F2039" s="1049">
        <v>270</v>
      </c>
      <c r="G2039" s="1049"/>
      <c r="H2039" s="564"/>
      <c r="I2039" s="609"/>
      <c r="J2039" s="1155"/>
      <c r="K2039" s="609"/>
      <c r="L2039" s="609"/>
      <c r="M2039" s="609"/>
      <c r="N2039" s="599"/>
      <c r="O2039" s="552" t="s">
        <v>1584</v>
      </c>
      <c r="P2039" s="603"/>
      <c r="Q2039" s="682"/>
      <c r="R2039" s="682"/>
      <c r="S2039" s="682"/>
      <c r="T2039" s="682"/>
      <c r="U2039" s="682"/>
      <c r="V2039" s="682"/>
      <c r="W2039" s="682"/>
    </row>
    <row r="2040" spans="1:23">
      <c r="A2040" s="1045">
        <f t="shared" si="32"/>
        <v>9</v>
      </c>
      <c r="B2040" s="134">
        <v>45536</v>
      </c>
      <c r="C2040" s="70">
        <v>2018</v>
      </c>
      <c r="D2040" s="70" t="s">
        <v>58</v>
      </c>
      <c r="E2040" s="280" t="s">
        <v>4017</v>
      </c>
      <c r="F2040" s="1049">
        <v>13.5</v>
      </c>
      <c r="G2040" s="1049"/>
      <c r="H2040" s="564"/>
      <c r="I2040" s="609"/>
      <c r="J2040" s="1155"/>
      <c r="K2040" s="609"/>
      <c r="L2040" s="609"/>
      <c r="M2040" s="609"/>
      <c r="N2040" s="599"/>
      <c r="O2040" s="552" t="s">
        <v>1584</v>
      </c>
      <c r="P2040" s="603"/>
      <c r="Q2040" s="682"/>
      <c r="R2040" s="682"/>
      <c r="S2040" s="682"/>
      <c r="T2040" s="682"/>
      <c r="U2040" s="682"/>
      <c r="V2040" s="682"/>
      <c r="W2040" s="682"/>
    </row>
    <row r="2041" spans="1:23">
      <c r="A2041" s="1045">
        <f t="shared" si="32"/>
        <v>9</v>
      </c>
      <c r="B2041" s="134">
        <v>45536</v>
      </c>
      <c r="C2041" s="70">
        <v>5250</v>
      </c>
      <c r="D2041" s="70" t="s">
        <v>85</v>
      </c>
      <c r="E2041" s="280" t="s">
        <v>4018</v>
      </c>
      <c r="F2041" s="1049">
        <v>175</v>
      </c>
      <c r="G2041" s="1049"/>
      <c r="H2041" s="564"/>
      <c r="I2041" s="609"/>
      <c r="J2041" s="1155"/>
      <c r="K2041" s="609"/>
      <c r="L2041" s="609"/>
      <c r="M2041" s="609"/>
      <c r="N2041" s="599"/>
      <c r="O2041" s="552" t="s">
        <v>1584</v>
      </c>
      <c r="P2041" s="603"/>
      <c r="Q2041" s="682"/>
      <c r="R2041" s="682"/>
      <c r="S2041" s="682"/>
      <c r="T2041" s="682"/>
      <c r="U2041" s="682"/>
      <c r="V2041" s="682"/>
      <c r="W2041" s="682"/>
    </row>
    <row r="2042" spans="1:23">
      <c r="A2042" s="1045">
        <f t="shared" si="32"/>
        <v>9</v>
      </c>
      <c r="B2042" s="134">
        <v>45536</v>
      </c>
      <c r="C2042" s="70">
        <v>2018</v>
      </c>
      <c r="D2042" s="70" t="s">
        <v>58</v>
      </c>
      <c r="E2042" s="280" t="s">
        <v>4018</v>
      </c>
      <c r="F2042" s="1049">
        <v>8.75</v>
      </c>
      <c r="G2042" s="1049"/>
      <c r="H2042" s="564"/>
      <c r="I2042" s="609"/>
      <c r="J2042" s="1155"/>
      <c r="K2042" s="609"/>
      <c r="L2042" s="609"/>
      <c r="M2042" s="609"/>
      <c r="N2042" s="599"/>
      <c r="O2042" s="552" t="s">
        <v>1584</v>
      </c>
      <c r="P2042" s="603"/>
      <c r="Q2042" s="682"/>
      <c r="R2042" s="682"/>
      <c r="S2042" s="682"/>
      <c r="T2042" s="682"/>
      <c r="U2042" s="682"/>
      <c r="V2042" s="682"/>
      <c r="W2042" s="682"/>
    </row>
    <row r="2043" spans="1:23">
      <c r="A2043" s="1045">
        <f t="shared" si="32"/>
        <v>9</v>
      </c>
      <c r="B2043" s="134">
        <v>45536</v>
      </c>
      <c r="C2043" s="70">
        <v>5250</v>
      </c>
      <c r="D2043" s="70" t="s">
        <v>85</v>
      </c>
      <c r="E2043" s="280" t="s">
        <v>4019</v>
      </c>
      <c r="F2043" s="1049">
        <v>110.24</v>
      </c>
      <c r="G2043" s="1049"/>
      <c r="H2043" s="564"/>
      <c r="I2043" s="609"/>
      <c r="J2043" s="1155"/>
      <c r="K2043" s="609"/>
      <c r="L2043" s="609"/>
      <c r="M2043" s="609"/>
      <c r="N2043" s="599"/>
      <c r="O2043" s="552" t="s">
        <v>1584</v>
      </c>
      <c r="P2043" s="603"/>
      <c r="Q2043" s="682"/>
      <c r="R2043" s="682"/>
      <c r="S2043" s="682"/>
      <c r="T2043" s="682"/>
      <c r="U2043" s="682"/>
      <c r="V2043" s="682"/>
      <c r="W2043" s="682"/>
    </row>
    <row r="2044" spans="1:23">
      <c r="A2044" s="1045">
        <f t="shared" si="32"/>
        <v>9</v>
      </c>
      <c r="B2044" s="134">
        <v>45536</v>
      </c>
      <c r="C2044" s="70">
        <v>2018</v>
      </c>
      <c r="D2044" s="70" t="s">
        <v>58</v>
      </c>
      <c r="E2044" s="280" t="s">
        <v>4019</v>
      </c>
      <c r="F2044" s="1049">
        <v>5.51</v>
      </c>
      <c r="G2044" s="1049"/>
      <c r="H2044" s="564"/>
      <c r="I2044" s="609"/>
      <c r="J2044" s="1155"/>
      <c r="K2044" s="609"/>
      <c r="L2044" s="609"/>
      <c r="M2044" s="609"/>
      <c r="N2044" s="599"/>
      <c r="O2044" s="552" t="s">
        <v>1584</v>
      </c>
      <c r="P2044" s="603"/>
      <c r="Q2044" s="682"/>
      <c r="R2044" s="682"/>
      <c r="S2044" s="682"/>
      <c r="T2044" s="682"/>
      <c r="U2044" s="682"/>
      <c r="V2044" s="682"/>
      <c r="W2044" s="682"/>
    </row>
    <row r="2045" spans="1:23">
      <c r="A2045" s="1045">
        <f t="shared" si="32"/>
        <v>9</v>
      </c>
      <c r="B2045" s="134">
        <v>45537</v>
      </c>
      <c r="C2045" s="70">
        <v>5250</v>
      </c>
      <c r="D2045" s="70" t="s">
        <v>85</v>
      </c>
      <c r="E2045" s="280" t="s">
        <v>4020</v>
      </c>
      <c r="F2045" s="1049">
        <v>300</v>
      </c>
      <c r="G2045" s="1049"/>
      <c r="H2045" s="564"/>
      <c r="I2045" s="609"/>
      <c r="J2045" s="1155"/>
      <c r="K2045" s="609"/>
      <c r="L2045" s="609"/>
      <c r="M2045" s="609"/>
      <c r="N2045" s="599"/>
      <c r="O2045" s="552" t="s">
        <v>1584</v>
      </c>
      <c r="P2045" s="603"/>
      <c r="Q2045" s="682"/>
      <c r="R2045" s="682"/>
      <c r="S2045" s="682"/>
      <c r="T2045" s="682"/>
      <c r="U2045" s="682"/>
      <c r="V2045" s="682"/>
      <c r="W2045" s="682"/>
    </row>
    <row r="2046" spans="1:23">
      <c r="A2046" s="1045">
        <f t="shared" si="32"/>
        <v>9</v>
      </c>
      <c r="B2046" s="134">
        <v>45537</v>
      </c>
      <c r="C2046" s="70">
        <v>5250</v>
      </c>
      <c r="D2046" s="70" t="s">
        <v>85</v>
      </c>
      <c r="E2046" s="280" t="s">
        <v>4021</v>
      </c>
      <c r="F2046" s="1049">
        <v>32</v>
      </c>
      <c r="G2046" s="1049"/>
      <c r="H2046" s="564"/>
      <c r="I2046" s="609"/>
      <c r="J2046" s="1155"/>
      <c r="K2046" s="609"/>
      <c r="L2046" s="609"/>
      <c r="M2046" s="609"/>
      <c r="N2046" s="599"/>
      <c r="O2046" s="552" t="s">
        <v>1584</v>
      </c>
      <c r="P2046" s="603"/>
      <c r="Q2046" s="682"/>
      <c r="R2046" s="682"/>
      <c r="S2046" s="682"/>
      <c r="T2046" s="682"/>
      <c r="U2046" s="682"/>
      <c r="V2046" s="682"/>
      <c r="W2046" s="682"/>
    </row>
    <row r="2047" spans="1:23">
      <c r="A2047" s="1045">
        <f t="shared" si="32"/>
        <v>9</v>
      </c>
      <c r="B2047" s="134">
        <v>45537</v>
      </c>
      <c r="C2047" s="70">
        <v>2018</v>
      </c>
      <c r="D2047" s="70" t="s">
        <v>58</v>
      </c>
      <c r="E2047" s="280" t="s">
        <v>4021</v>
      </c>
      <c r="F2047" s="1049">
        <v>1.6</v>
      </c>
      <c r="G2047" s="1049"/>
      <c r="H2047" s="564"/>
      <c r="I2047" s="609"/>
      <c r="J2047" s="1155"/>
      <c r="K2047" s="609"/>
      <c r="L2047" s="609"/>
      <c r="M2047" s="609"/>
      <c r="N2047" s="599"/>
      <c r="O2047" s="552" t="s">
        <v>1584</v>
      </c>
      <c r="P2047" s="603"/>
      <c r="Q2047" s="682"/>
      <c r="R2047" s="682"/>
      <c r="S2047" s="682"/>
      <c r="T2047" s="682"/>
      <c r="U2047" s="682"/>
      <c r="V2047" s="682"/>
      <c r="W2047" s="682"/>
    </row>
    <row r="2048" spans="1:23">
      <c r="A2048" s="1045">
        <f t="shared" si="32"/>
        <v>9</v>
      </c>
      <c r="B2048" s="134">
        <v>45537</v>
      </c>
      <c r="C2048" s="70">
        <v>5250</v>
      </c>
      <c r="D2048" s="70" t="s">
        <v>85</v>
      </c>
      <c r="E2048" s="280" t="s">
        <v>4022</v>
      </c>
      <c r="F2048" s="1049">
        <v>85</v>
      </c>
      <c r="G2048" s="1049"/>
      <c r="H2048" s="564"/>
      <c r="I2048" s="609"/>
      <c r="J2048" s="1155"/>
      <c r="K2048" s="609"/>
      <c r="L2048" s="609"/>
      <c r="M2048" s="609"/>
      <c r="N2048" s="599"/>
      <c r="O2048" s="552" t="s">
        <v>1584</v>
      </c>
      <c r="P2048" s="603"/>
      <c r="Q2048" s="682"/>
      <c r="R2048" s="682"/>
      <c r="S2048" s="682"/>
      <c r="T2048" s="682"/>
      <c r="U2048" s="682"/>
      <c r="V2048" s="682"/>
      <c r="W2048" s="682"/>
    </row>
    <row r="2049" spans="1:23">
      <c r="A2049" s="1045">
        <f t="shared" si="32"/>
        <v>9</v>
      </c>
      <c r="B2049" s="134">
        <v>45537</v>
      </c>
      <c r="C2049" s="70">
        <v>2018</v>
      </c>
      <c r="D2049" s="70" t="s">
        <v>58</v>
      </c>
      <c r="E2049" s="280" t="s">
        <v>4022</v>
      </c>
      <c r="F2049" s="1049">
        <v>4.25</v>
      </c>
      <c r="G2049" s="1049"/>
      <c r="H2049" s="564"/>
      <c r="I2049" s="609"/>
      <c r="J2049" s="1155"/>
      <c r="K2049" s="609"/>
      <c r="L2049" s="609"/>
      <c r="M2049" s="609"/>
      <c r="N2049" s="599"/>
      <c r="O2049" s="552" t="s">
        <v>1584</v>
      </c>
      <c r="P2049" s="603"/>
      <c r="Q2049" s="682"/>
      <c r="R2049" s="682"/>
      <c r="S2049" s="682"/>
      <c r="T2049" s="682"/>
      <c r="U2049" s="682"/>
      <c r="V2049" s="682"/>
      <c r="W2049" s="682"/>
    </row>
    <row r="2050" spans="1:23">
      <c r="A2050" s="1045">
        <f t="shared" si="32"/>
        <v>9</v>
      </c>
      <c r="B2050" s="134">
        <v>45537</v>
      </c>
      <c r="C2050" s="70">
        <v>5200</v>
      </c>
      <c r="D2050" s="70" t="s">
        <v>83</v>
      </c>
      <c r="E2050" s="280" t="s">
        <v>4023</v>
      </c>
      <c r="F2050" s="1049">
        <v>296.61</v>
      </c>
      <c r="G2050" s="1049"/>
      <c r="H2050" s="564"/>
      <c r="I2050" s="609"/>
      <c r="J2050" s="1155"/>
      <c r="K2050" s="609"/>
      <c r="L2050" s="609"/>
      <c r="M2050" s="609"/>
      <c r="N2050" s="599"/>
      <c r="O2050" s="552" t="s">
        <v>1584</v>
      </c>
      <c r="P2050" s="603"/>
      <c r="Q2050" s="682"/>
      <c r="R2050" s="682"/>
      <c r="S2050" s="682"/>
      <c r="T2050" s="682"/>
      <c r="U2050" s="682"/>
      <c r="V2050" s="682"/>
      <c r="W2050" s="682"/>
    </row>
    <row r="2051" spans="1:23">
      <c r="A2051" s="1045">
        <f t="shared" si="32"/>
        <v>9</v>
      </c>
      <c r="B2051" s="134">
        <v>45537</v>
      </c>
      <c r="C2051" s="70">
        <v>2018</v>
      </c>
      <c r="D2051" s="70" t="s">
        <v>58</v>
      </c>
      <c r="E2051" s="280" t="s">
        <v>4023</v>
      </c>
      <c r="F2051" s="1049">
        <v>14.83</v>
      </c>
      <c r="G2051" s="1049"/>
      <c r="H2051" s="564"/>
      <c r="I2051" s="609"/>
      <c r="J2051" s="1155"/>
      <c r="K2051" s="609"/>
      <c r="L2051" s="609"/>
      <c r="M2051" s="609"/>
      <c r="N2051" s="599"/>
      <c r="O2051" s="552" t="s">
        <v>1584</v>
      </c>
      <c r="P2051" s="603"/>
      <c r="Q2051" s="682"/>
      <c r="R2051" s="682"/>
      <c r="S2051" s="682"/>
      <c r="T2051" s="682"/>
      <c r="U2051" s="682"/>
      <c r="V2051" s="682"/>
      <c r="W2051" s="682"/>
    </row>
    <row r="2052" spans="1:23">
      <c r="A2052" s="1045">
        <f t="shared" si="32"/>
        <v>9</v>
      </c>
      <c r="B2052" s="134">
        <v>45537</v>
      </c>
      <c r="C2052" s="70">
        <v>5250</v>
      </c>
      <c r="D2052" s="70" t="s">
        <v>85</v>
      </c>
      <c r="E2052" s="280" t="s">
        <v>4024</v>
      </c>
      <c r="F2052" s="1049">
        <v>86</v>
      </c>
      <c r="G2052" s="1049"/>
      <c r="H2052" s="564"/>
      <c r="I2052" s="609"/>
      <c r="J2052" s="1155"/>
      <c r="K2052" s="609"/>
      <c r="L2052" s="609"/>
      <c r="M2052" s="609"/>
      <c r="N2052" s="599"/>
      <c r="O2052" s="552" t="s">
        <v>1584</v>
      </c>
      <c r="P2052" s="603"/>
      <c r="Q2052" s="682"/>
      <c r="R2052" s="682"/>
      <c r="S2052" s="682"/>
      <c r="T2052" s="682"/>
      <c r="U2052" s="682"/>
      <c r="V2052" s="682"/>
      <c r="W2052" s="682"/>
    </row>
    <row r="2053" spans="1:23">
      <c r="A2053" s="1045">
        <f t="shared" si="32"/>
        <v>9</v>
      </c>
      <c r="B2053" s="134">
        <v>45537</v>
      </c>
      <c r="C2053" s="70">
        <v>2018</v>
      </c>
      <c r="D2053" s="70" t="s">
        <v>58</v>
      </c>
      <c r="E2053" s="280" t="s">
        <v>4024</v>
      </c>
      <c r="F2053" s="1049">
        <v>4.3</v>
      </c>
      <c r="G2053" s="1049"/>
      <c r="H2053" s="564"/>
      <c r="I2053" s="609"/>
      <c r="J2053" s="1155"/>
      <c r="K2053" s="609"/>
      <c r="L2053" s="609"/>
      <c r="M2053" s="609"/>
      <c r="N2053" s="599"/>
      <c r="O2053" s="552" t="s">
        <v>1584</v>
      </c>
      <c r="P2053" s="603"/>
      <c r="Q2053" s="682"/>
      <c r="R2053" s="682"/>
      <c r="S2053" s="682"/>
      <c r="T2053" s="682"/>
      <c r="U2053" s="682"/>
      <c r="V2053" s="682"/>
      <c r="W2053" s="682"/>
    </row>
    <row r="2054" spans="1:23">
      <c r="A2054" s="1045">
        <f t="shared" si="32"/>
        <v>9</v>
      </c>
      <c r="B2054" s="134">
        <v>45537</v>
      </c>
      <c r="C2054" s="70">
        <v>5250</v>
      </c>
      <c r="D2054" s="70" t="s">
        <v>85</v>
      </c>
      <c r="E2054" s="280" t="s">
        <v>4025</v>
      </c>
      <c r="F2054" s="1049">
        <v>90</v>
      </c>
      <c r="G2054" s="1049"/>
      <c r="H2054" s="564"/>
      <c r="I2054" s="609"/>
      <c r="J2054" s="1155"/>
      <c r="K2054" s="609"/>
      <c r="L2054" s="609"/>
      <c r="M2054" s="609"/>
      <c r="N2054" s="599"/>
      <c r="O2054" s="552" t="s">
        <v>1584</v>
      </c>
      <c r="P2054" s="603"/>
      <c r="Q2054" s="682"/>
      <c r="R2054" s="682"/>
      <c r="S2054" s="682"/>
      <c r="T2054" s="682"/>
      <c r="U2054" s="682"/>
      <c r="V2054" s="682"/>
      <c r="W2054" s="682"/>
    </row>
    <row r="2055" spans="1:23">
      <c r="A2055" s="1045">
        <f t="shared" si="32"/>
        <v>9</v>
      </c>
      <c r="B2055" s="134">
        <v>45537</v>
      </c>
      <c r="C2055" s="70">
        <v>2018</v>
      </c>
      <c r="D2055" s="70" t="s">
        <v>58</v>
      </c>
      <c r="E2055" s="280" t="s">
        <v>4025</v>
      </c>
      <c r="F2055" s="1049">
        <v>4.5</v>
      </c>
      <c r="G2055" s="1049"/>
      <c r="H2055" s="564"/>
      <c r="I2055" s="609"/>
      <c r="J2055" s="1155"/>
      <c r="K2055" s="609"/>
      <c r="L2055" s="609"/>
      <c r="M2055" s="609"/>
      <c r="N2055" s="599"/>
      <c r="O2055" s="552" t="s">
        <v>1584</v>
      </c>
      <c r="P2055" s="603"/>
      <c r="Q2055" s="682"/>
      <c r="R2055" s="682"/>
      <c r="S2055" s="682"/>
      <c r="T2055" s="682"/>
      <c r="U2055" s="682"/>
      <c r="V2055" s="682"/>
      <c r="W2055" s="682"/>
    </row>
    <row r="2056" spans="1:23">
      <c r="A2056" s="1045">
        <f t="shared" si="32"/>
        <v>9</v>
      </c>
      <c r="B2056" s="134">
        <v>45537</v>
      </c>
      <c r="C2056" s="70">
        <v>5220</v>
      </c>
      <c r="D2056" s="70" t="s">
        <v>84</v>
      </c>
      <c r="E2056" s="280" t="s">
        <v>4026</v>
      </c>
      <c r="F2056" s="1049">
        <v>2040</v>
      </c>
      <c r="G2056" s="1049"/>
      <c r="H2056" s="564"/>
      <c r="I2056" s="609"/>
      <c r="J2056" s="1155"/>
      <c r="K2056" s="609"/>
      <c r="L2056" s="609"/>
      <c r="M2056" s="609"/>
      <c r="N2056" s="599"/>
      <c r="O2056" s="552" t="s">
        <v>1584</v>
      </c>
      <c r="P2056" s="603"/>
      <c r="Q2056" s="682"/>
      <c r="R2056" s="682"/>
      <c r="S2056" s="682"/>
      <c r="T2056" s="682"/>
      <c r="U2056" s="682"/>
      <c r="V2056" s="682"/>
      <c r="W2056" s="682"/>
    </row>
    <row r="2057" spans="1:23">
      <c r="A2057" s="1045">
        <f t="shared" si="32"/>
        <v>9</v>
      </c>
      <c r="B2057" s="134">
        <v>45537</v>
      </c>
      <c r="C2057" s="70">
        <v>2018</v>
      </c>
      <c r="D2057" s="70" t="s">
        <v>58</v>
      </c>
      <c r="E2057" s="280" t="s">
        <v>4026</v>
      </c>
      <c r="F2057" s="1049">
        <v>102</v>
      </c>
      <c r="G2057" s="1049"/>
      <c r="H2057" s="564"/>
      <c r="I2057" s="609"/>
      <c r="J2057" s="1155"/>
      <c r="K2057" s="609"/>
      <c r="L2057" s="609"/>
      <c r="M2057" s="609"/>
      <c r="N2057" s="599"/>
      <c r="O2057" s="552" t="s">
        <v>1584</v>
      </c>
      <c r="P2057" s="603"/>
      <c r="Q2057" s="682"/>
      <c r="R2057" s="682"/>
      <c r="S2057" s="682"/>
      <c r="T2057" s="682"/>
      <c r="U2057" s="682"/>
      <c r="V2057" s="682"/>
      <c r="W2057" s="682"/>
    </row>
    <row r="2058" spans="1:23">
      <c r="A2058" s="1045">
        <f t="shared" si="32"/>
        <v>9</v>
      </c>
      <c r="B2058" s="134">
        <v>45537</v>
      </c>
      <c r="C2058" s="70">
        <v>5220</v>
      </c>
      <c r="D2058" s="70" t="s">
        <v>84</v>
      </c>
      <c r="E2058" s="280" t="s">
        <v>4027</v>
      </c>
      <c r="F2058" s="1049">
        <v>580</v>
      </c>
      <c r="G2058" s="1049"/>
      <c r="H2058" s="564"/>
      <c r="I2058" s="609"/>
      <c r="J2058" s="1155"/>
      <c r="K2058" s="609"/>
      <c r="L2058" s="609"/>
      <c r="M2058" s="609"/>
      <c r="N2058" s="599"/>
      <c r="O2058" s="552" t="s">
        <v>1584</v>
      </c>
      <c r="P2058" s="603"/>
      <c r="Q2058" s="682"/>
      <c r="R2058" s="682"/>
      <c r="S2058" s="682"/>
      <c r="T2058" s="682"/>
      <c r="U2058" s="682"/>
      <c r="V2058" s="682"/>
      <c r="W2058" s="682"/>
    </row>
    <row r="2059" spans="1:23">
      <c r="A2059" s="1045">
        <f t="shared" si="32"/>
        <v>9</v>
      </c>
      <c r="B2059" s="134">
        <v>45537</v>
      </c>
      <c r="C2059" s="70">
        <v>2018</v>
      </c>
      <c r="D2059" s="70" t="s">
        <v>58</v>
      </c>
      <c r="E2059" s="280" t="s">
        <v>4027</v>
      </c>
      <c r="F2059" s="1049">
        <v>29</v>
      </c>
      <c r="G2059" s="1049"/>
      <c r="H2059" s="564"/>
      <c r="I2059" s="609"/>
      <c r="J2059" s="1155"/>
      <c r="K2059" s="609"/>
      <c r="L2059" s="609"/>
      <c r="M2059" s="609"/>
      <c r="N2059" s="599"/>
      <c r="O2059" s="552" t="s">
        <v>1584</v>
      </c>
      <c r="P2059" s="603"/>
      <c r="Q2059" s="682"/>
      <c r="R2059" s="682"/>
      <c r="S2059" s="682"/>
      <c r="T2059" s="682"/>
      <c r="U2059" s="682"/>
      <c r="V2059" s="682"/>
      <c r="W2059" s="682"/>
    </row>
    <row r="2060" spans="1:23">
      <c r="A2060" s="1045">
        <f t="shared" si="32"/>
        <v>9</v>
      </c>
      <c r="B2060" s="134">
        <v>45537</v>
      </c>
      <c r="C2060" s="70">
        <v>5250</v>
      </c>
      <c r="D2060" s="70" t="s">
        <v>85</v>
      </c>
      <c r="E2060" s="280" t="s">
        <v>4028</v>
      </c>
      <c r="F2060" s="1049">
        <v>385.9</v>
      </c>
      <c r="G2060" s="1049"/>
      <c r="H2060" s="564"/>
      <c r="I2060" s="609"/>
      <c r="J2060" s="1155"/>
      <c r="K2060" s="609"/>
      <c r="L2060" s="609"/>
      <c r="M2060" s="609"/>
      <c r="N2060" s="599"/>
      <c r="O2060" s="552" t="s">
        <v>1584</v>
      </c>
      <c r="P2060" s="603"/>
      <c r="Q2060" s="682"/>
      <c r="R2060" s="682"/>
      <c r="S2060" s="682"/>
      <c r="T2060" s="682"/>
      <c r="U2060" s="682"/>
      <c r="V2060" s="682"/>
      <c r="W2060" s="682"/>
    </row>
    <row r="2061" spans="1:23">
      <c r="A2061" s="1045">
        <f t="shared" si="32"/>
        <v>9</v>
      </c>
      <c r="B2061" s="134">
        <v>45537</v>
      </c>
      <c r="C2061" s="70">
        <v>2018</v>
      </c>
      <c r="D2061" s="70" t="s">
        <v>58</v>
      </c>
      <c r="E2061" s="280" t="s">
        <v>4028</v>
      </c>
      <c r="F2061" s="1049">
        <v>19.28</v>
      </c>
      <c r="G2061" s="1049"/>
      <c r="H2061" s="564"/>
      <c r="I2061" s="609"/>
      <c r="J2061" s="1155"/>
      <c r="K2061" s="609"/>
      <c r="L2061" s="609"/>
      <c r="M2061" s="609"/>
      <c r="N2061" s="599"/>
      <c r="O2061" s="552" t="s">
        <v>1584</v>
      </c>
      <c r="P2061" s="603"/>
      <c r="Q2061" s="682"/>
      <c r="R2061" s="682"/>
      <c r="S2061" s="682"/>
      <c r="T2061" s="682"/>
      <c r="U2061" s="682"/>
      <c r="V2061" s="682"/>
      <c r="W2061" s="682"/>
    </row>
    <row r="2062" spans="1:23">
      <c r="A2062" s="1045">
        <f t="shared" si="32"/>
        <v>9</v>
      </c>
      <c r="B2062" s="134">
        <v>45537</v>
      </c>
      <c r="C2062" s="70">
        <v>5250</v>
      </c>
      <c r="D2062" s="70" t="s">
        <v>85</v>
      </c>
      <c r="E2062" s="280" t="s">
        <v>4029</v>
      </c>
      <c r="F2062" s="1049">
        <v>231</v>
      </c>
      <c r="G2062" s="1049"/>
      <c r="H2062" s="564"/>
      <c r="I2062" s="609"/>
      <c r="J2062" s="1155"/>
      <c r="K2062" s="609"/>
      <c r="L2062" s="609"/>
      <c r="M2062" s="609"/>
      <c r="N2062" s="599"/>
      <c r="O2062" s="552" t="s">
        <v>1584</v>
      </c>
      <c r="P2062" s="603"/>
      <c r="Q2062" s="682"/>
      <c r="R2062" s="682"/>
      <c r="S2062" s="682"/>
      <c r="T2062" s="682"/>
      <c r="U2062" s="682"/>
      <c r="V2062" s="682"/>
      <c r="W2062" s="682"/>
    </row>
    <row r="2063" spans="1:23">
      <c r="A2063" s="1045">
        <f t="shared" si="32"/>
        <v>9</v>
      </c>
      <c r="B2063" s="134">
        <v>45537</v>
      </c>
      <c r="C2063" s="70">
        <v>2018</v>
      </c>
      <c r="D2063" s="70" t="s">
        <v>58</v>
      </c>
      <c r="E2063" s="280" t="s">
        <v>4029</v>
      </c>
      <c r="F2063" s="1049">
        <v>11.55</v>
      </c>
      <c r="G2063" s="1049"/>
      <c r="H2063" s="564"/>
      <c r="I2063" s="609"/>
      <c r="J2063" s="1155"/>
      <c r="K2063" s="609"/>
      <c r="L2063" s="609"/>
      <c r="M2063" s="609"/>
      <c r="N2063" s="599"/>
      <c r="O2063" s="552" t="s">
        <v>1584</v>
      </c>
      <c r="P2063" s="603"/>
      <c r="Q2063" s="682"/>
      <c r="R2063" s="682"/>
      <c r="S2063" s="682"/>
      <c r="T2063" s="682"/>
      <c r="U2063" s="682"/>
      <c r="V2063" s="682"/>
      <c r="W2063" s="682"/>
    </row>
    <row r="2064" spans="1:23">
      <c r="A2064" s="1045">
        <f t="shared" si="32"/>
        <v>9</v>
      </c>
      <c r="B2064" s="134">
        <v>45538</v>
      </c>
      <c r="C2064" s="70">
        <v>5250</v>
      </c>
      <c r="D2064" s="70" t="s">
        <v>85</v>
      </c>
      <c r="E2064" s="280" t="s">
        <v>4030</v>
      </c>
      <c r="F2064" s="1049">
        <v>300</v>
      </c>
      <c r="G2064" s="1049"/>
      <c r="H2064" s="564"/>
      <c r="I2064" s="609"/>
      <c r="J2064" s="1155"/>
      <c r="K2064" s="609"/>
      <c r="L2064" s="609"/>
      <c r="M2064" s="609"/>
      <c r="N2064" s="599"/>
      <c r="O2064" s="552" t="s">
        <v>1584</v>
      </c>
      <c r="P2064" s="603"/>
      <c r="Q2064" s="682"/>
      <c r="R2064" s="682"/>
      <c r="S2064" s="682"/>
      <c r="T2064" s="682"/>
      <c r="U2064" s="682"/>
      <c r="V2064" s="682"/>
      <c r="W2064" s="682"/>
    </row>
    <row r="2065" spans="1:23">
      <c r="A2065" s="1045">
        <f t="shared" si="32"/>
        <v>9</v>
      </c>
      <c r="B2065" s="134">
        <v>45538</v>
      </c>
      <c r="C2065" s="70">
        <v>5250</v>
      </c>
      <c r="D2065" s="70" t="s">
        <v>85</v>
      </c>
      <c r="E2065" s="280" t="s">
        <v>4031</v>
      </c>
      <c r="F2065" s="1049">
        <v>131</v>
      </c>
      <c r="G2065" s="1049"/>
      <c r="H2065" s="564"/>
      <c r="I2065" s="609"/>
      <c r="J2065" s="1155"/>
      <c r="K2065" s="609"/>
      <c r="L2065" s="609"/>
      <c r="M2065" s="609"/>
      <c r="N2065" s="599"/>
      <c r="O2065" s="552" t="s">
        <v>1584</v>
      </c>
      <c r="P2065" s="603"/>
      <c r="Q2065" s="682"/>
      <c r="R2065" s="682"/>
      <c r="S2065" s="682"/>
      <c r="T2065" s="682"/>
      <c r="U2065" s="682"/>
      <c r="V2065" s="682"/>
      <c r="W2065" s="682"/>
    </row>
    <row r="2066" spans="1:23">
      <c r="A2066" s="1045">
        <f t="shared" si="32"/>
        <v>9</v>
      </c>
      <c r="B2066" s="134">
        <v>45538</v>
      </c>
      <c r="C2066" s="70">
        <v>2018</v>
      </c>
      <c r="D2066" s="70" t="s">
        <v>58</v>
      </c>
      <c r="E2066" s="280" t="s">
        <v>4031</v>
      </c>
      <c r="F2066" s="1049">
        <v>6.55</v>
      </c>
      <c r="G2066" s="1049"/>
      <c r="H2066" s="564"/>
      <c r="I2066" s="609"/>
      <c r="J2066" s="1155"/>
      <c r="K2066" s="609"/>
      <c r="L2066" s="609"/>
      <c r="M2066" s="609"/>
      <c r="N2066" s="599"/>
      <c r="O2066" s="552" t="s">
        <v>1584</v>
      </c>
      <c r="P2066" s="603"/>
      <c r="Q2066" s="682"/>
      <c r="R2066" s="682"/>
      <c r="S2066" s="682"/>
      <c r="T2066" s="682"/>
      <c r="U2066" s="682"/>
      <c r="V2066" s="682"/>
      <c r="W2066" s="682"/>
    </row>
    <row r="2067" spans="1:23">
      <c r="A2067" s="1045">
        <f t="shared" si="32"/>
        <v>9</v>
      </c>
      <c r="B2067" s="134">
        <v>45538</v>
      </c>
      <c r="C2067" s="70">
        <v>5250</v>
      </c>
      <c r="D2067" s="70" t="s">
        <v>85</v>
      </c>
      <c r="E2067" s="280" t="s">
        <v>4032</v>
      </c>
      <c r="F2067" s="1049">
        <v>50</v>
      </c>
      <c r="G2067" s="1049"/>
      <c r="H2067" s="564"/>
      <c r="I2067" s="609"/>
      <c r="J2067" s="1155"/>
      <c r="K2067" s="609"/>
      <c r="L2067" s="609"/>
      <c r="M2067" s="609"/>
      <c r="N2067" s="599"/>
      <c r="O2067" s="552" t="s">
        <v>1584</v>
      </c>
      <c r="P2067" s="603"/>
      <c r="Q2067" s="682"/>
      <c r="R2067" s="682"/>
      <c r="S2067" s="682"/>
      <c r="T2067" s="682"/>
      <c r="U2067" s="682"/>
      <c r="V2067" s="682"/>
      <c r="W2067" s="682"/>
    </row>
    <row r="2068" spans="1:23">
      <c r="A2068" s="1045">
        <f t="shared" si="32"/>
        <v>9</v>
      </c>
      <c r="B2068" s="134">
        <v>45538</v>
      </c>
      <c r="C2068" s="70">
        <v>2018</v>
      </c>
      <c r="D2068" s="70" t="s">
        <v>58</v>
      </c>
      <c r="E2068" s="280" t="s">
        <v>4032</v>
      </c>
      <c r="F2068" s="1049">
        <v>2.5</v>
      </c>
      <c r="G2068" s="1049"/>
      <c r="H2068" s="564"/>
      <c r="I2068" s="609"/>
      <c r="J2068" s="1155"/>
      <c r="K2068" s="609"/>
      <c r="L2068" s="609"/>
      <c r="M2068" s="609"/>
      <c r="N2068" s="599"/>
      <c r="O2068" s="552" t="s">
        <v>1584</v>
      </c>
      <c r="P2068" s="603"/>
      <c r="Q2068" s="682"/>
      <c r="R2068" s="682"/>
      <c r="S2068" s="682"/>
      <c r="T2068" s="682"/>
      <c r="U2068" s="682"/>
      <c r="V2068" s="682"/>
      <c r="W2068" s="682"/>
    </row>
    <row r="2069" spans="1:23">
      <c r="A2069" s="1045">
        <f t="shared" ref="A2069:A2132" si="33">IF(B2069="","",MONTH(B2069))</f>
        <v>9</v>
      </c>
      <c r="B2069" s="134">
        <v>45538</v>
      </c>
      <c r="C2069" s="70">
        <v>5250</v>
      </c>
      <c r="D2069" s="70" t="s">
        <v>85</v>
      </c>
      <c r="E2069" s="280" t="s">
        <v>4033</v>
      </c>
      <c r="F2069" s="1049">
        <v>35</v>
      </c>
      <c r="G2069" s="1049"/>
      <c r="H2069" s="564"/>
      <c r="I2069" s="609"/>
      <c r="J2069" s="1155"/>
      <c r="K2069" s="609"/>
      <c r="L2069" s="609"/>
      <c r="M2069" s="609"/>
      <c r="N2069" s="599"/>
      <c r="O2069" s="552" t="s">
        <v>1584</v>
      </c>
      <c r="P2069" s="603"/>
      <c r="Q2069" s="682"/>
      <c r="R2069" s="682"/>
      <c r="S2069" s="682"/>
      <c r="T2069" s="682"/>
      <c r="U2069" s="682"/>
      <c r="V2069" s="682"/>
      <c r="W2069" s="682"/>
    </row>
    <row r="2070" spans="1:23">
      <c r="A2070" s="1045">
        <f t="shared" si="33"/>
        <v>9</v>
      </c>
      <c r="B2070" s="134">
        <v>45538</v>
      </c>
      <c r="C2070" s="70">
        <v>2018</v>
      </c>
      <c r="D2070" s="70" t="s">
        <v>58</v>
      </c>
      <c r="E2070" s="280" t="s">
        <v>4033</v>
      </c>
      <c r="F2070" s="1049">
        <v>1.75</v>
      </c>
      <c r="G2070" s="1049"/>
      <c r="H2070" s="564"/>
      <c r="I2070" s="609"/>
      <c r="J2070" s="1155"/>
      <c r="K2070" s="609"/>
      <c r="L2070" s="609"/>
      <c r="M2070" s="609"/>
      <c r="N2070" s="599"/>
      <c r="O2070" s="552" t="s">
        <v>1584</v>
      </c>
      <c r="P2070" s="603"/>
      <c r="Q2070" s="682"/>
      <c r="R2070" s="682"/>
      <c r="S2070" s="682"/>
      <c r="T2070" s="682"/>
      <c r="U2070" s="682"/>
      <c r="V2070" s="682"/>
      <c r="W2070" s="682"/>
    </row>
    <row r="2071" spans="1:23">
      <c r="A2071" s="1045">
        <f t="shared" si="33"/>
        <v>9</v>
      </c>
      <c r="B2071" s="134">
        <v>45538</v>
      </c>
      <c r="C2071" s="70">
        <v>5200</v>
      </c>
      <c r="D2071" s="70" t="s">
        <v>83</v>
      </c>
      <c r="E2071" s="280" t="s">
        <v>4034</v>
      </c>
      <c r="F2071" s="1049">
        <v>1231.53</v>
      </c>
      <c r="G2071" s="1049"/>
      <c r="H2071" s="564"/>
      <c r="I2071" s="609"/>
      <c r="J2071" s="1155"/>
      <c r="K2071" s="609"/>
      <c r="L2071" s="609"/>
      <c r="M2071" s="609"/>
      <c r="N2071" s="599"/>
      <c r="O2071" s="552" t="s">
        <v>1584</v>
      </c>
      <c r="P2071" s="603"/>
      <c r="Q2071" s="682"/>
      <c r="R2071" s="682"/>
      <c r="S2071" s="682"/>
      <c r="T2071" s="682"/>
      <c r="U2071" s="682"/>
      <c r="V2071" s="682"/>
      <c r="W2071" s="682"/>
    </row>
    <row r="2072" spans="1:23">
      <c r="A2072" s="1045">
        <f t="shared" si="33"/>
        <v>9</v>
      </c>
      <c r="B2072" s="134">
        <v>45538</v>
      </c>
      <c r="C2072" s="70">
        <v>2018</v>
      </c>
      <c r="D2072" s="70" t="s">
        <v>58</v>
      </c>
      <c r="E2072" s="280" t="s">
        <v>4034</v>
      </c>
      <c r="F2072" s="1049">
        <v>61.58</v>
      </c>
      <c r="G2072" s="1049"/>
      <c r="H2072" s="564"/>
      <c r="I2072" s="609"/>
      <c r="J2072" s="1155"/>
      <c r="K2072" s="609"/>
      <c r="L2072" s="609"/>
      <c r="M2072" s="609"/>
      <c r="N2072" s="599"/>
      <c r="O2072" s="552" t="s">
        <v>1584</v>
      </c>
      <c r="P2072" s="603"/>
      <c r="Q2072" s="682"/>
      <c r="R2072" s="682"/>
      <c r="S2072" s="682"/>
      <c r="T2072" s="682"/>
      <c r="U2072" s="682"/>
      <c r="V2072" s="682"/>
      <c r="W2072" s="682"/>
    </row>
    <row r="2073" spans="1:23">
      <c r="A2073" s="1045">
        <f t="shared" si="33"/>
        <v>9</v>
      </c>
      <c r="B2073" s="134">
        <v>45538</v>
      </c>
      <c r="C2073" s="70">
        <v>5200</v>
      </c>
      <c r="D2073" s="70" t="s">
        <v>83</v>
      </c>
      <c r="E2073" s="280" t="s">
        <v>4035</v>
      </c>
      <c r="F2073" s="1049">
        <v>146.68</v>
      </c>
      <c r="G2073" s="1049"/>
      <c r="H2073" s="564"/>
      <c r="I2073" s="609"/>
      <c r="J2073" s="1155"/>
      <c r="K2073" s="609"/>
      <c r="L2073" s="609"/>
      <c r="M2073" s="609"/>
      <c r="N2073" s="599"/>
      <c r="O2073" s="552" t="s">
        <v>1584</v>
      </c>
      <c r="P2073" s="603"/>
      <c r="Q2073" s="682"/>
      <c r="R2073" s="682"/>
      <c r="S2073" s="682"/>
      <c r="T2073" s="682"/>
      <c r="U2073" s="682"/>
      <c r="V2073" s="682"/>
      <c r="W2073" s="682"/>
    </row>
    <row r="2074" spans="1:23">
      <c r="A2074" s="1045">
        <f t="shared" si="33"/>
        <v>9</v>
      </c>
      <c r="B2074" s="134">
        <v>45538</v>
      </c>
      <c r="C2074" s="70">
        <v>2018</v>
      </c>
      <c r="D2074" s="70" t="s">
        <v>58</v>
      </c>
      <c r="E2074" s="280" t="s">
        <v>4035</v>
      </c>
      <c r="F2074" s="1049">
        <v>7.33</v>
      </c>
      <c r="G2074" s="1049"/>
      <c r="H2074" s="564"/>
      <c r="I2074" s="609"/>
      <c r="J2074" s="1155"/>
      <c r="K2074" s="609"/>
      <c r="L2074" s="609"/>
      <c r="M2074" s="609"/>
      <c r="N2074" s="599"/>
      <c r="O2074" s="552" t="s">
        <v>1584</v>
      </c>
      <c r="P2074" s="603"/>
      <c r="Q2074" s="682"/>
      <c r="R2074" s="682"/>
      <c r="S2074" s="682"/>
      <c r="T2074" s="682"/>
      <c r="U2074" s="682"/>
      <c r="V2074" s="682"/>
      <c r="W2074" s="682"/>
    </row>
    <row r="2075" spans="1:23">
      <c r="A2075" s="1045">
        <f t="shared" si="33"/>
        <v>9</v>
      </c>
      <c r="B2075" s="134">
        <v>45538</v>
      </c>
      <c r="C2075" s="70">
        <v>5250</v>
      </c>
      <c r="D2075" s="70" t="s">
        <v>85</v>
      </c>
      <c r="E2075" s="280" t="s">
        <v>4036</v>
      </c>
      <c r="F2075" s="1049">
        <v>28.6</v>
      </c>
      <c r="G2075" s="1049"/>
      <c r="H2075" s="564"/>
      <c r="I2075" s="609"/>
      <c r="J2075" s="1155"/>
      <c r="K2075" s="609"/>
      <c r="L2075" s="609"/>
      <c r="M2075" s="609"/>
      <c r="N2075" s="599"/>
      <c r="O2075" s="552" t="s">
        <v>1584</v>
      </c>
      <c r="P2075" s="603"/>
      <c r="Q2075" s="682"/>
      <c r="R2075" s="682"/>
      <c r="S2075" s="682"/>
      <c r="T2075" s="682"/>
      <c r="U2075" s="682"/>
      <c r="V2075" s="682"/>
      <c r="W2075" s="682"/>
    </row>
    <row r="2076" spans="1:23">
      <c r="A2076" s="1045">
        <f t="shared" si="33"/>
        <v>9</v>
      </c>
      <c r="B2076" s="134">
        <v>45538</v>
      </c>
      <c r="C2076" s="70">
        <v>2018</v>
      </c>
      <c r="D2076" s="70" t="s">
        <v>58</v>
      </c>
      <c r="E2076" s="280" t="s">
        <v>4036</v>
      </c>
      <c r="F2076" s="1049">
        <v>1.43</v>
      </c>
      <c r="G2076" s="1049"/>
      <c r="H2076" s="564"/>
      <c r="I2076" s="609"/>
      <c r="J2076" s="1155"/>
      <c r="K2076" s="609"/>
      <c r="L2076" s="609"/>
      <c r="M2076" s="609"/>
      <c r="N2076" s="599"/>
      <c r="O2076" s="552" t="s">
        <v>1584</v>
      </c>
      <c r="P2076" s="603"/>
      <c r="Q2076" s="682"/>
      <c r="R2076" s="682"/>
      <c r="S2076" s="682"/>
      <c r="T2076" s="682"/>
      <c r="U2076" s="682"/>
      <c r="V2076" s="682"/>
      <c r="W2076" s="682"/>
    </row>
    <row r="2077" spans="1:23">
      <c r="A2077" s="1045">
        <f t="shared" si="33"/>
        <v>9</v>
      </c>
      <c r="B2077" s="134">
        <v>45539</v>
      </c>
      <c r="C2077" s="70">
        <v>5150</v>
      </c>
      <c r="D2077" s="70" t="s">
        <v>82</v>
      </c>
      <c r="E2077" s="280" t="s">
        <v>4037</v>
      </c>
      <c r="F2077" s="1049">
        <v>17723.349999999999</v>
      </c>
      <c r="G2077" s="1049"/>
      <c r="H2077" s="564"/>
      <c r="I2077" s="609"/>
      <c r="J2077" s="1155"/>
      <c r="K2077" s="609"/>
      <c r="L2077" s="609"/>
      <c r="M2077" s="609"/>
      <c r="N2077" s="599"/>
      <c r="O2077" s="552" t="s">
        <v>1584</v>
      </c>
      <c r="P2077" s="603"/>
      <c r="Q2077" s="682"/>
      <c r="R2077" s="682"/>
      <c r="S2077" s="682"/>
      <c r="T2077" s="682"/>
      <c r="U2077" s="682"/>
      <c r="V2077" s="682"/>
      <c r="W2077" s="682"/>
    </row>
    <row r="2078" spans="1:23">
      <c r="A2078" s="1045">
        <f t="shared" si="33"/>
        <v>9</v>
      </c>
      <c r="B2078" s="134">
        <v>45539</v>
      </c>
      <c r="C2078" s="70">
        <v>2018</v>
      </c>
      <c r="D2078" s="70" t="s">
        <v>58</v>
      </c>
      <c r="E2078" s="280" t="s">
        <v>4037</v>
      </c>
      <c r="F2078" s="1049">
        <v>886.17</v>
      </c>
      <c r="G2078" s="1049"/>
      <c r="H2078" s="564"/>
      <c r="I2078" s="609"/>
      <c r="J2078" s="1155"/>
      <c r="K2078" s="609"/>
      <c r="L2078" s="609"/>
      <c r="M2078" s="609"/>
      <c r="N2078" s="599"/>
      <c r="O2078" s="552" t="s">
        <v>1584</v>
      </c>
      <c r="P2078" s="603"/>
      <c r="Q2078" s="682"/>
      <c r="R2078" s="682"/>
      <c r="S2078" s="682"/>
      <c r="T2078" s="682"/>
      <c r="U2078" s="682"/>
      <c r="V2078" s="682"/>
      <c r="W2078" s="682"/>
    </row>
    <row r="2079" spans="1:23">
      <c r="A2079" s="1045">
        <f t="shared" si="33"/>
        <v>9</v>
      </c>
      <c r="B2079" s="134">
        <v>45539</v>
      </c>
      <c r="C2079" s="70">
        <v>5250</v>
      </c>
      <c r="D2079" s="70" t="s">
        <v>85</v>
      </c>
      <c r="E2079" s="280" t="s">
        <v>4038</v>
      </c>
      <c r="F2079" s="1049">
        <v>10</v>
      </c>
      <c r="G2079" s="1049"/>
      <c r="H2079" s="564"/>
      <c r="I2079" s="609"/>
      <c r="J2079" s="1155"/>
      <c r="K2079" s="609"/>
      <c r="L2079" s="609"/>
      <c r="M2079" s="609"/>
      <c r="N2079" s="599"/>
      <c r="O2079" s="552" t="s">
        <v>1584</v>
      </c>
      <c r="P2079" s="603"/>
      <c r="Q2079" s="682"/>
      <c r="R2079" s="682"/>
      <c r="S2079" s="682"/>
      <c r="T2079" s="682"/>
      <c r="U2079" s="682"/>
      <c r="V2079" s="682"/>
      <c r="W2079" s="682"/>
    </row>
    <row r="2080" spans="1:23">
      <c r="A2080" s="1045">
        <f t="shared" si="33"/>
        <v>9</v>
      </c>
      <c r="B2080" s="134">
        <v>45539</v>
      </c>
      <c r="C2080" s="70">
        <v>2018</v>
      </c>
      <c r="D2080" s="70" t="s">
        <v>58</v>
      </c>
      <c r="E2080" s="280" t="s">
        <v>4038</v>
      </c>
      <c r="F2080" s="1049">
        <v>0.5</v>
      </c>
      <c r="G2080" s="1049"/>
      <c r="H2080" s="564"/>
      <c r="I2080" s="609"/>
      <c r="J2080" s="1155"/>
      <c r="K2080" s="609"/>
      <c r="L2080" s="609"/>
      <c r="M2080" s="609"/>
      <c r="N2080" s="599"/>
      <c r="O2080" s="552" t="s">
        <v>1584</v>
      </c>
      <c r="P2080" s="603"/>
      <c r="Q2080" s="682"/>
      <c r="R2080" s="682"/>
      <c r="S2080" s="682"/>
      <c r="T2080" s="682"/>
      <c r="U2080" s="682"/>
      <c r="V2080" s="682"/>
      <c r="W2080" s="682"/>
    </row>
    <row r="2081" spans="1:23">
      <c r="A2081" s="1045">
        <f t="shared" si="33"/>
        <v>9</v>
      </c>
      <c r="B2081" s="134">
        <v>45539</v>
      </c>
      <c r="C2081" s="70">
        <v>5250</v>
      </c>
      <c r="D2081" s="70" t="s">
        <v>85</v>
      </c>
      <c r="E2081" s="280" t="s">
        <v>4039</v>
      </c>
      <c r="F2081" s="1049">
        <v>85</v>
      </c>
      <c r="G2081" s="1049"/>
      <c r="H2081" s="564"/>
      <c r="I2081" s="609"/>
      <c r="J2081" s="1155"/>
      <c r="K2081" s="609"/>
      <c r="L2081" s="609"/>
      <c r="M2081" s="609"/>
      <c r="N2081" s="599"/>
      <c r="O2081" s="552" t="s">
        <v>1584</v>
      </c>
      <c r="P2081" s="603"/>
      <c r="Q2081" s="682"/>
      <c r="R2081" s="682"/>
      <c r="S2081" s="682"/>
      <c r="T2081" s="682"/>
      <c r="U2081" s="682"/>
      <c r="V2081" s="682"/>
      <c r="W2081" s="682"/>
    </row>
    <row r="2082" spans="1:23">
      <c r="A2082" s="1045">
        <f t="shared" si="33"/>
        <v>9</v>
      </c>
      <c r="B2082" s="134">
        <v>45539</v>
      </c>
      <c r="C2082" s="70">
        <v>2018</v>
      </c>
      <c r="D2082" s="70" t="s">
        <v>58</v>
      </c>
      <c r="E2082" s="280" t="s">
        <v>4039</v>
      </c>
      <c r="F2082" s="1049">
        <v>4.25</v>
      </c>
      <c r="G2082" s="1049"/>
      <c r="H2082" s="564"/>
      <c r="I2082" s="609"/>
      <c r="J2082" s="1155"/>
      <c r="K2082" s="609"/>
      <c r="L2082" s="609"/>
      <c r="M2082" s="609"/>
      <c r="N2082" s="599"/>
      <c r="O2082" s="552" t="s">
        <v>1584</v>
      </c>
      <c r="P2082" s="603"/>
      <c r="Q2082" s="682"/>
      <c r="R2082" s="682"/>
      <c r="S2082" s="682"/>
      <c r="T2082" s="682"/>
      <c r="U2082" s="682"/>
      <c r="V2082" s="682"/>
      <c r="W2082" s="682"/>
    </row>
    <row r="2083" spans="1:23">
      <c r="A2083" s="1045">
        <f t="shared" si="33"/>
        <v>9</v>
      </c>
      <c r="B2083" s="134">
        <v>45539</v>
      </c>
      <c r="C2083" s="70">
        <v>5250</v>
      </c>
      <c r="D2083" s="70" t="s">
        <v>85</v>
      </c>
      <c r="E2083" s="280" t="s">
        <v>4040</v>
      </c>
      <c r="F2083" s="1049">
        <v>15</v>
      </c>
      <c r="G2083" s="1049"/>
      <c r="H2083" s="564"/>
      <c r="I2083" s="609"/>
      <c r="J2083" s="1155"/>
      <c r="K2083" s="609"/>
      <c r="L2083" s="609"/>
      <c r="M2083" s="609"/>
      <c r="N2083" s="599"/>
      <c r="O2083" s="552" t="s">
        <v>1584</v>
      </c>
      <c r="P2083" s="603"/>
      <c r="Q2083" s="682"/>
      <c r="R2083" s="682"/>
      <c r="S2083" s="682"/>
      <c r="T2083" s="682"/>
      <c r="U2083" s="682"/>
      <c r="V2083" s="682"/>
      <c r="W2083" s="682"/>
    </row>
    <row r="2084" spans="1:23">
      <c r="A2084" s="1045">
        <f t="shared" si="33"/>
        <v>9</v>
      </c>
      <c r="B2084" s="134">
        <v>45539</v>
      </c>
      <c r="C2084" s="70">
        <v>2018</v>
      </c>
      <c r="D2084" s="70" t="s">
        <v>58</v>
      </c>
      <c r="E2084" s="280" t="s">
        <v>4040</v>
      </c>
      <c r="F2084" s="1049">
        <v>0.71</v>
      </c>
      <c r="G2084" s="1049"/>
      <c r="H2084" s="564"/>
      <c r="I2084" s="609"/>
      <c r="J2084" s="1155"/>
      <c r="K2084" s="609"/>
      <c r="L2084" s="609"/>
      <c r="M2084" s="609"/>
      <c r="N2084" s="599"/>
      <c r="O2084" s="552" t="s">
        <v>1584</v>
      </c>
      <c r="P2084" s="603"/>
      <c r="Q2084" s="682"/>
      <c r="R2084" s="682"/>
      <c r="S2084" s="682"/>
      <c r="T2084" s="682"/>
      <c r="U2084" s="682"/>
      <c r="V2084" s="682"/>
      <c r="W2084" s="682"/>
    </row>
    <row r="2085" spans="1:23">
      <c r="A2085" s="1045">
        <f t="shared" si="33"/>
        <v>9</v>
      </c>
      <c r="B2085" s="134">
        <v>45539</v>
      </c>
      <c r="C2085" s="70">
        <v>5250</v>
      </c>
      <c r="D2085" s="70" t="s">
        <v>85</v>
      </c>
      <c r="E2085" s="280" t="s">
        <v>4041</v>
      </c>
      <c r="F2085" s="1049">
        <v>5</v>
      </c>
      <c r="G2085" s="1049"/>
      <c r="H2085" s="564"/>
      <c r="I2085" s="609"/>
      <c r="J2085" s="1155"/>
      <c r="K2085" s="609"/>
      <c r="L2085" s="609"/>
      <c r="M2085" s="609"/>
      <c r="N2085" s="599"/>
      <c r="O2085" s="552" t="s">
        <v>1584</v>
      </c>
      <c r="P2085" s="603"/>
      <c r="Q2085" s="682"/>
      <c r="R2085" s="682"/>
      <c r="S2085" s="682"/>
      <c r="T2085" s="682"/>
      <c r="U2085" s="682"/>
      <c r="V2085" s="682"/>
      <c r="W2085" s="682"/>
    </row>
    <row r="2086" spans="1:23">
      <c r="A2086" s="1045">
        <f t="shared" si="33"/>
        <v>9</v>
      </c>
      <c r="B2086" s="134">
        <v>45539</v>
      </c>
      <c r="C2086" s="70">
        <v>2018</v>
      </c>
      <c r="D2086" s="70" t="s">
        <v>58</v>
      </c>
      <c r="E2086" s="280" t="s">
        <v>4041</v>
      </c>
      <c r="F2086" s="1049">
        <v>0.25</v>
      </c>
      <c r="G2086" s="1049"/>
      <c r="H2086" s="564"/>
      <c r="I2086" s="609"/>
      <c r="J2086" s="1155"/>
      <c r="K2086" s="609"/>
      <c r="L2086" s="609"/>
      <c r="M2086" s="609"/>
      <c r="N2086" s="599"/>
      <c r="O2086" s="552" t="s">
        <v>1584</v>
      </c>
      <c r="P2086" s="603"/>
      <c r="Q2086" s="682"/>
      <c r="R2086" s="682"/>
      <c r="S2086" s="682"/>
      <c r="T2086" s="682"/>
      <c r="U2086" s="682"/>
      <c r="V2086" s="682"/>
      <c r="W2086" s="682"/>
    </row>
    <row r="2087" spans="1:23">
      <c r="A2087" s="1045">
        <f t="shared" si="33"/>
        <v>9</v>
      </c>
      <c r="B2087" s="134">
        <v>45539</v>
      </c>
      <c r="C2087" s="70">
        <v>5250</v>
      </c>
      <c r="D2087" s="70" t="s">
        <v>85</v>
      </c>
      <c r="E2087" s="280" t="s">
        <v>4042</v>
      </c>
      <c r="F2087" s="1049">
        <v>294.39999999999998</v>
      </c>
      <c r="G2087" s="1049"/>
      <c r="H2087" s="564"/>
      <c r="I2087" s="609"/>
      <c r="J2087" s="1155"/>
      <c r="K2087" s="609"/>
      <c r="L2087" s="609"/>
      <c r="M2087" s="609"/>
      <c r="N2087" s="599"/>
      <c r="O2087" s="552" t="s">
        <v>1584</v>
      </c>
      <c r="P2087" s="603"/>
      <c r="Q2087" s="682"/>
      <c r="R2087" s="682"/>
      <c r="S2087" s="682"/>
      <c r="T2087" s="682"/>
      <c r="U2087" s="682"/>
      <c r="V2087" s="682"/>
      <c r="W2087" s="682"/>
    </row>
    <row r="2088" spans="1:23">
      <c r="A2088" s="1045">
        <f t="shared" si="33"/>
        <v>9</v>
      </c>
      <c r="B2088" s="134">
        <v>45539</v>
      </c>
      <c r="C2088" s="70">
        <v>2018</v>
      </c>
      <c r="D2088" s="70" t="s">
        <v>58</v>
      </c>
      <c r="E2088" s="280" t="s">
        <v>4042</v>
      </c>
      <c r="F2088" s="1049">
        <v>14.72</v>
      </c>
      <c r="G2088" s="1049"/>
      <c r="H2088" s="564"/>
      <c r="I2088" s="609"/>
      <c r="J2088" s="1155"/>
      <c r="K2088" s="609"/>
      <c r="L2088" s="609"/>
      <c r="M2088" s="609"/>
      <c r="N2088" s="599"/>
      <c r="O2088" s="552" t="s">
        <v>1584</v>
      </c>
      <c r="P2088" s="603"/>
      <c r="Q2088" s="682"/>
      <c r="R2088" s="682"/>
      <c r="S2088" s="682"/>
      <c r="T2088" s="682"/>
      <c r="U2088" s="682"/>
      <c r="V2088" s="682"/>
      <c r="W2088" s="682"/>
    </row>
    <row r="2089" spans="1:23">
      <c r="A2089" s="1045">
        <f t="shared" si="33"/>
        <v>9</v>
      </c>
      <c r="B2089" s="134">
        <v>45539</v>
      </c>
      <c r="C2089" s="70">
        <v>5250</v>
      </c>
      <c r="D2089" s="70" t="s">
        <v>85</v>
      </c>
      <c r="E2089" s="280" t="s">
        <v>4043</v>
      </c>
      <c r="F2089" s="1049">
        <v>345.25</v>
      </c>
      <c r="G2089" s="1049"/>
      <c r="H2089" s="564"/>
      <c r="I2089" s="609"/>
      <c r="J2089" s="1155"/>
      <c r="K2089" s="609"/>
      <c r="L2089" s="609"/>
      <c r="M2089" s="609"/>
      <c r="N2089" s="599"/>
      <c r="O2089" s="552" t="s">
        <v>1584</v>
      </c>
      <c r="P2089" s="603"/>
      <c r="Q2089" s="682"/>
      <c r="R2089" s="682"/>
      <c r="S2089" s="682"/>
      <c r="T2089" s="682"/>
      <c r="U2089" s="682"/>
      <c r="V2089" s="682"/>
      <c r="W2089" s="682"/>
    </row>
    <row r="2090" spans="1:23">
      <c r="A2090" s="1045">
        <f t="shared" si="33"/>
        <v>9</v>
      </c>
      <c r="B2090" s="134">
        <v>45539</v>
      </c>
      <c r="C2090" s="70">
        <v>2018</v>
      </c>
      <c r="D2090" s="70" t="s">
        <v>58</v>
      </c>
      <c r="E2090" s="280" t="s">
        <v>4043</v>
      </c>
      <c r="F2090" s="1049">
        <v>17.260000000000002</v>
      </c>
      <c r="G2090" s="1049"/>
      <c r="H2090" s="564"/>
      <c r="I2090" s="609"/>
      <c r="J2090" s="1155"/>
      <c r="K2090" s="609"/>
      <c r="L2090" s="609"/>
      <c r="M2090" s="609"/>
      <c r="N2090" s="599"/>
      <c r="O2090" s="552" t="s">
        <v>1584</v>
      </c>
      <c r="P2090" s="603"/>
      <c r="Q2090" s="682"/>
      <c r="R2090" s="682"/>
      <c r="S2090" s="682"/>
      <c r="T2090" s="682"/>
      <c r="U2090" s="682"/>
      <c r="V2090" s="682"/>
      <c r="W2090" s="682"/>
    </row>
    <row r="2091" spans="1:23">
      <c r="A2091" s="1045">
        <f t="shared" si="33"/>
        <v>9</v>
      </c>
      <c r="B2091" s="134">
        <v>45539</v>
      </c>
      <c r="C2091" s="70">
        <v>5250</v>
      </c>
      <c r="D2091" s="70" t="s">
        <v>85</v>
      </c>
      <c r="E2091" s="280" t="s">
        <v>4044</v>
      </c>
      <c r="F2091" s="1049">
        <v>298</v>
      </c>
      <c r="G2091" s="1049"/>
      <c r="H2091" s="564"/>
      <c r="I2091" s="609"/>
      <c r="J2091" s="1155"/>
      <c r="K2091" s="609"/>
      <c r="L2091" s="609"/>
      <c r="M2091" s="609"/>
      <c r="N2091" s="599"/>
      <c r="O2091" s="552" t="s">
        <v>1584</v>
      </c>
      <c r="P2091" s="603"/>
      <c r="Q2091" s="682"/>
      <c r="R2091" s="682"/>
      <c r="S2091" s="682"/>
      <c r="T2091" s="682"/>
      <c r="U2091" s="682"/>
      <c r="V2091" s="682"/>
      <c r="W2091" s="682"/>
    </row>
    <row r="2092" spans="1:23">
      <c r="A2092" s="1045">
        <f t="shared" si="33"/>
        <v>9</v>
      </c>
      <c r="B2092" s="134">
        <v>45539</v>
      </c>
      <c r="C2092" s="70">
        <v>2018</v>
      </c>
      <c r="D2092" s="70" t="s">
        <v>58</v>
      </c>
      <c r="E2092" s="280" t="s">
        <v>4044</v>
      </c>
      <c r="F2092" s="1049">
        <v>14.9</v>
      </c>
      <c r="G2092" s="1049"/>
      <c r="H2092" s="564"/>
      <c r="I2092" s="609"/>
      <c r="J2092" s="1155"/>
      <c r="K2092" s="609"/>
      <c r="L2092" s="609"/>
      <c r="M2092" s="609"/>
      <c r="N2092" s="599"/>
      <c r="O2092" s="552" t="s">
        <v>1584</v>
      </c>
      <c r="P2092" s="603"/>
      <c r="Q2092" s="682"/>
      <c r="R2092" s="682"/>
      <c r="S2092" s="682"/>
      <c r="T2092" s="682"/>
      <c r="U2092" s="682"/>
      <c r="V2092" s="682"/>
      <c r="W2092" s="682"/>
    </row>
    <row r="2093" spans="1:23">
      <c r="A2093" s="1045">
        <f t="shared" si="33"/>
        <v>9</v>
      </c>
      <c r="B2093" s="134">
        <v>45539</v>
      </c>
      <c r="C2093" s="70">
        <v>5250</v>
      </c>
      <c r="D2093" s="70" t="s">
        <v>85</v>
      </c>
      <c r="E2093" s="280" t="s">
        <v>4045</v>
      </c>
      <c r="F2093" s="1049">
        <v>105</v>
      </c>
      <c r="G2093" s="1049"/>
      <c r="H2093" s="564"/>
      <c r="I2093" s="609"/>
      <c r="J2093" s="1155"/>
      <c r="K2093" s="609"/>
      <c r="L2093" s="609"/>
      <c r="M2093" s="609"/>
      <c r="N2093" s="599"/>
      <c r="O2093" s="552" t="s">
        <v>1584</v>
      </c>
      <c r="P2093" s="603"/>
      <c r="Q2093" s="682"/>
      <c r="R2093" s="682"/>
      <c r="S2093" s="682"/>
      <c r="T2093" s="682"/>
      <c r="U2093" s="682"/>
      <c r="V2093" s="682"/>
      <c r="W2093" s="682"/>
    </row>
    <row r="2094" spans="1:23">
      <c r="A2094" s="1045">
        <f t="shared" si="33"/>
        <v>9</v>
      </c>
      <c r="B2094" s="134">
        <v>45539</v>
      </c>
      <c r="C2094" s="70">
        <v>2018</v>
      </c>
      <c r="D2094" s="70" t="s">
        <v>58</v>
      </c>
      <c r="E2094" s="280" t="s">
        <v>4045</v>
      </c>
      <c r="F2094" s="1049">
        <v>5.25</v>
      </c>
      <c r="G2094" s="1049"/>
      <c r="H2094" s="564"/>
      <c r="I2094" s="609"/>
      <c r="J2094" s="1155"/>
      <c r="K2094" s="609"/>
      <c r="L2094" s="609"/>
      <c r="M2094" s="609"/>
      <c r="N2094" s="599"/>
      <c r="O2094" s="552" t="s">
        <v>1584</v>
      </c>
      <c r="P2094" s="603"/>
      <c r="Q2094" s="682"/>
      <c r="R2094" s="682"/>
      <c r="S2094" s="682"/>
      <c r="T2094" s="682"/>
      <c r="U2094" s="682"/>
      <c r="V2094" s="682"/>
      <c r="W2094" s="682"/>
    </row>
    <row r="2095" spans="1:23">
      <c r="A2095" s="1045">
        <f t="shared" si="33"/>
        <v>9</v>
      </c>
      <c r="B2095" s="134">
        <v>45539</v>
      </c>
      <c r="C2095" s="70">
        <v>5250</v>
      </c>
      <c r="D2095" s="70" t="s">
        <v>85</v>
      </c>
      <c r="E2095" s="280" t="s">
        <v>4046</v>
      </c>
      <c r="F2095" s="1049">
        <v>720</v>
      </c>
      <c r="G2095" s="1049"/>
      <c r="H2095" s="564"/>
      <c r="I2095" s="609"/>
      <c r="J2095" s="1155"/>
      <c r="K2095" s="609"/>
      <c r="L2095" s="609"/>
      <c r="M2095" s="609"/>
      <c r="N2095" s="599"/>
      <c r="O2095" s="552" t="s">
        <v>1584</v>
      </c>
      <c r="P2095" s="603"/>
      <c r="Q2095" s="682"/>
      <c r="R2095" s="682"/>
      <c r="S2095" s="682"/>
      <c r="T2095" s="682"/>
      <c r="U2095" s="682"/>
      <c r="V2095" s="682"/>
      <c r="W2095" s="682"/>
    </row>
    <row r="2096" spans="1:23">
      <c r="A2096" s="1045">
        <f t="shared" si="33"/>
        <v>9</v>
      </c>
      <c r="B2096" s="134">
        <v>45539</v>
      </c>
      <c r="C2096" s="70">
        <v>2018</v>
      </c>
      <c r="D2096" s="70" t="s">
        <v>58</v>
      </c>
      <c r="E2096" s="280" t="s">
        <v>4046</v>
      </c>
      <c r="F2096" s="1049">
        <v>36</v>
      </c>
      <c r="G2096" s="1049"/>
      <c r="H2096" s="564"/>
      <c r="I2096" s="609"/>
      <c r="J2096" s="1155"/>
      <c r="K2096" s="609"/>
      <c r="L2096" s="609"/>
      <c r="M2096" s="609"/>
      <c r="N2096" s="599"/>
      <c r="O2096" s="552" t="s">
        <v>1584</v>
      </c>
      <c r="P2096" s="603"/>
      <c r="Q2096" s="682"/>
      <c r="R2096" s="682"/>
      <c r="S2096" s="682"/>
      <c r="T2096" s="682"/>
      <c r="U2096" s="682"/>
      <c r="V2096" s="682"/>
      <c r="W2096" s="682"/>
    </row>
    <row r="2097" spans="1:23">
      <c r="A2097" s="1045">
        <f t="shared" si="33"/>
        <v>9</v>
      </c>
      <c r="B2097" s="134">
        <v>45539</v>
      </c>
      <c r="C2097" s="70">
        <v>5250</v>
      </c>
      <c r="D2097" s="70" t="s">
        <v>85</v>
      </c>
      <c r="E2097" s="280" t="s">
        <v>4047</v>
      </c>
      <c r="F2097" s="1049">
        <v>1080</v>
      </c>
      <c r="G2097" s="1049"/>
      <c r="H2097" s="564"/>
      <c r="I2097" s="609"/>
      <c r="J2097" s="1155"/>
      <c r="K2097" s="609"/>
      <c r="L2097" s="609"/>
      <c r="M2097" s="609"/>
      <c r="N2097" s="599"/>
      <c r="O2097" s="552" t="s">
        <v>1584</v>
      </c>
      <c r="P2097" s="603"/>
      <c r="Q2097" s="682"/>
      <c r="R2097" s="682"/>
      <c r="S2097" s="682"/>
      <c r="T2097" s="682"/>
      <c r="U2097" s="682"/>
      <c r="V2097" s="682"/>
      <c r="W2097" s="682"/>
    </row>
    <row r="2098" spans="1:23">
      <c r="A2098" s="1045">
        <f t="shared" si="33"/>
        <v>9</v>
      </c>
      <c r="B2098" s="134">
        <v>45539</v>
      </c>
      <c r="C2098" s="70">
        <v>2018</v>
      </c>
      <c r="D2098" s="70" t="s">
        <v>58</v>
      </c>
      <c r="E2098" s="280" t="s">
        <v>4047</v>
      </c>
      <c r="F2098" s="1049">
        <v>54</v>
      </c>
      <c r="G2098" s="1049"/>
      <c r="H2098" s="564"/>
      <c r="I2098" s="609"/>
      <c r="J2098" s="1155"/>
      <c r="K2098" s="609"/>
      <c r="L2098" s="609"/>
      <c r="M2098" s="609"/>
      <c r="N2098" s="599"/>
      <c r="O2098" s="552" t="s">
        <v>1584</v>
      </c>
      <c r="P2098" s="603"/>
      <c r="Q2098" s="682"/>
      <c r="R2098" s="682"/>
      <c r="S2098" s="682"/>
      <c r="T2098" s="682"/>
      <c r="U2098" s="682"/>
      <c r="V2098" s="682"/>
      <c r="W2098" s="682"/>
    </row>
    <row r="2099" spans="1:23">
      <c r="A2099" s="1045">
        <f t="shared" si="33"/>
        <v>9</v>
      </c>
      <c r="B2099" s="134">
        <v>45540</v>
      </c>
      <c r="C2099" s="70">
        <v>5250</v>
      </c>
      <c r="D2099" s="70" t="s">
        <v>85</v>
      </c>
      <c r="E2099" s="280" t="s">
        <v>4048</v>
      </c>
      <c r="F2099" s="1049">
        <v>36.25</v>
      </c>
      <c r="G2099" s="1049"/>
      <c r="H2099" s="564"/>
      <c r="I2099" s="609"/>
      <c r="J2099" s="1155"/>
      <c r="K2099" s="609"/>
      <c r="L2099" s="609"/>
      <c r="M2099" s="609"/>
      <c r="N2099" s="599"/>
      <c r="O2099" s="552" t="s">
        <v>1584</v>
      </c>
      <c r="P2099" s="603"/>
      <c r="Q2099" s="682"/>
      <c r="R2099" s="682"/>
      <c r="S2099" s="682"/>
      <c r="T2099" s="682"/>
      <c r="U2099" s="682"/>
      <c r="V2099" s="682"/>
      <c r="W2099" s="682"/>
    </row>
    <row r="2100" spans="1:23">
      <c r="A2100" s="1045">
        <f t="shared" si="33"/>
        <v>9</v>
      </c>
      <c r="B2100" s="134">
        <v>45540</v>
      </c>
      <c r="C2100" s="70">
        <v>2018</v>
      </c>
      <c r="D2100" s="70" t="s">
        <v>58</v>
      </c>
      <c r="E2100" s="280" t="s">
        <v>4048</v>
      </c>
      <c r="F2100" s="1049">
        <v>1.81</v>
      </c>
      <c r="G2100" s="1049"/>
      <c r="H2100" s="564"/>
      <c r="I2100" s="609"/>
      <c r="J2100" s="1155"/>
      <c r="K2100" s="609"/>
      <c r="L2100" s="609"/>
      <c r="M2100" s="609"/>
      <c r="N2100" s="599"/>
      <c r="O2100" s="552" t="s">
        <v>1584</v>
      </c>
      <c r="P2100" s="603"/>
      <c r="Q2100" s="682"/>
      <c r="R2100" s="682"/>
      <c r="S2100" s="682"/>
      <c r="T2100" s="682"/>
      <c r="U2100" s="682"/>
      <c r="V2100" s="682"/>
      <c r="W2100" s="682"/>
    </row>
    <row r="2101" spans="1:23">
      <c r="A2101" s="1045">
        <f t="shared" si="33"/>
        <v>9</v>
      </c>
      <c r="B2101" s="134">
        <v>45540</v>
      </c>
      <c r="C2101" s="70">
        <v>5250</v>
      </c>
      <c r="D2101" s="70" t="s">
        <v>85</v>
      </c>
      <c r="E2101" s="280" t="s">
        <v>4049</v>
      </c>
      <c r="F2101" s="1049">
        <v>245</v>
      </c>
      <c r="G2101" s="1049"/>
      <c r="H2101" s="564"/>
      <c r="I2101" s="609"/>
      <c r="J2101" s="1155"/>
      <c r="K2101" s="609"/>
      <c r="L2101" s="609"/>
      <c r="M2101" s="609"/>
      <c r="N2101" s="599"/>
      <c r="O2101" s="552" t="s">
        <v>1584</v>
      </c>
      <c r="P2101" s="603"/>
      <c r="Q2101" s="682"/>
      <c r="R2101" s="682"/>
      <c r="S2101" s="682"/>
      <c r="T2101" s="682"/>
      <c r="U2101" s="682"/>
      <c r="V2101" s="682"/>
      <c r="W2101" s="682"/>
    </row>
    <row r="2102" spans="1:23">
      <c r="A2102" s="1045">
        <f t="shared" si="33"/>
        <v>9</v>
      </c>
      <c r="B2102" s="134">
        <v>45540</v>
      </c>
      <c r="C2102" s="70">
        <v>2018</v>
      </c>
      <c r="D2102" s="70" t="s">
        <v>58</v>
      </c>
      <c r="E2102" s="280" t="s">
        <v>4049</v>
      </c>
      <c r="F2102" s="1049">
        <v>12.25</v>
      </c>
      <c r="G2102" s="1049"/>
      <c r="H2102" s="564"/>
      <c r="I2102" s="609"/>
      <c r="J2102" s="1155"/>
      <c r="K2102" s="609"/>
      <c r="L2102" s="609"/>
      <c r="M2102" s="609"/>
      <c r="N2102" s="599"/>
      <c r="O2102" s="552" t="s">
        <v>1584</v>
      </c>
      <c r="P2102" s="603"/>
      <c r="Q2102" s="682"/>
      <c r="R2102" s="682"/>
      <c r="S2102" s="682"/>
      <c r="T2102" s="682"/>
      <c r="U2102" s="682"/>
      <c r="V2102" s="682"/>
      <c r="W2102" s="682"/>
    </row>
    <row r="2103" spans="1:23">
      <c r="A2103" s="1045">
        <f t="shared" si="33"/>
        <v>9</v>
      </c>
      <c r="B2103" s="134">
        <v>45541</v>
      </c>
      <c r="C2103" s="70">
        <v>5200</v>
      </c>
      <c r="D2103" s="70" t="s">
        <v>83</v>
      </c>
      <c r="E2103" s="280" t="s">
        <v>4050</v>
      </c>
      <c r="F2103" s="1049">
        <v>6096.18</v>
      </c>
      <c r="G2103" s="1049"/>
      <c r="H2103" s="564"/>
      <c r="I2103" s="609"/>
      <c r="J2103" s="1155"/>
      <c r="K2103" s="609"/>
      <c r="L2103" s="609"/>
      <c r="M2103" s="609"/>
      <c r="N2103" s="599"/>
      <c r="O2103" s="552" t="s">
        <v>1584</v>
      </c>
      <c r="P2103" s="603"/>
      <c r="Q2103" s="682"/>
      <c r="R2103" s="682"/>
      <c r="S2103" s="682"/>
      <c r="T2103" s="682"/>
      <c r="U2103" s="682"/>
      <c r="V2103" s="682"/>
      <c r="W2103" s="682"/>
    </row>
    <row r="2104" spans="1:23">
      <c r="A2104" s="1045">
        <f t="shared" si="33"/>
        <v>9</v>
      </c>
      <c r="B2104" s="134">
        <v>45541</v>
      </c>
      <c r="C2104" s="70">
        <v>2018</v>
      </c>
      <c r="D2104" s="70" t="s">
        <v>58</v>
      </c>
      <c r="E2104" s="280" t="s">
        <v>4050</v>
      </c>
      <c r="F2104" s="1049">
        <v>304.81</v>
      </c>
      <c r="G2104" s="1049"/>
      <c r="H2104" s="564"/>
      <c r="I2104" s="609"/>
      <c r="J2104" s="1155"/>
      <c r="K2104" s="609"/>
      <c r="L2104" s="609"/>
      <c r="M2104" s="609"/>
      <c r="N2104" s="599"/>
      <c r="O2104" s="552" t="s">
        <v>1584</v>
      </c>
      <c r="P2104" s="603"/>
      <c r="Q2104" s="682"/>
      <c r="R2104" s="682"/>
      <c r="S2104" s="682"/>
      <c r="T2104" s="682"/>
      <c r="U2104" s="682"/>
      <c r="V2104" s="682"/>
      <c r="W2104" s="682"/>
    </row>
    <row r="2105" spans="1:23">
      <c r="A2105" s="1045">
        <f t="shared" si="33"/>
        <v>9</v>
      </c>
      <c r="B2105" s="134">
        <v>45541</v>
      </c>
      <c r="C2105" s="70">
        <v>5250</v>
      </c>
      <c r="D2105" s="70" t="s">
        <v>85</v>
      </c>
      <c r="E2105" s="280" t="s">
        <v>4051</v>
      </c>
      <c r="F2105" s="1049">
        <v>100</v>
      </c>
      <c r="G2105" s="1049"/>
      <c r="H2105" s="564"/>
      <c r="I2105" s="609"/>
      <c r="J2105" s="1155"/>
      <c r="K2105" s="609"/>
      <c r="L2105" s="609"/>
      <c r="M2105" s="609"/>
      <c r="N2105" s="599"/>
      <c r="O2105" s="552" t="s">
        <v>1584</v>
      </c>
      <c r="P2105" s="603"/>
      <c r="Q2105" s="682"/>
      <c r="R2105" s="682"/>
      <c r="S2105" s="682"/>
      <c r="T2105" s="682"/>
      <c r="U2105" s="682"/>
      <c r="V2105" s="682"/>
      <c r="W2105" s="682"/>
    </row>
    <row r="2106" spans="1:23">
      <c r="A2106" s="1045">
        <f t="shared" si="33"/>
        <v>9</v>
      </c>
      <c r="B2106" s="134">
        <v>45541</v>
      </c>
      <c r="C2106" s="70">
        <v>2018</v>
      </c>
      <c r="D2106" s="70" t="s">
        <v>58</v>
      </c>
      <c r="E2106" s="280" t="s">
        <v>4051</v>
      </c>
      <c r="F2106" s="1049">
        <v>5</v>
      </c>
      <c r="G2106" s="1049"/>
      <c r="H2106" s="564"/>
      <c r="I2106" s="609"/>
      <c r="J2106" s="1155"/>
      <c r="K2106" s="609"/>
      <c r="L2106" s="609"/>
      <c r="M2106" s="609"/>
      <c r="N2106" s="599"/>
      <c r="O2106" s="552" t="s">
        <v>1584</v>
      </c>
      <c r="P2106" s="603"/>
      <c r="Q2106" s="682"/>
      <c r="R2106" s="682"/>
      <c r="S2106" s="682"/>
      <c r="T2106" s="682"/>
      <c r="U2106" s="682"/>
      <c r="V2106" s="682"/>
      <c r="W2106" s="682"/>
    </row>
    <row r="2107" spans="1:23">
      <c r="A2107" s="1045">
        <f t="shared" si="33"/>
        <v>9</v>
      </c>
      <c r="B2107" s="134">
        <v>45541</v>
      </c>
      <c r="C2107" s="70">
        <v>5250</v>
      </c>
      <c r="D2107" s="70" t="s">
        <v>85</v>
      </c>
      <c r="E2107" s="280" t="s">
        <v>4052</v>
      </c>
      <c r="F2107" s="1049">
        <v>71.63</v>
      </c>
      <c r="G2107" s="1049"/>
      <c r="H2107" s="564"/>
      <c r="I2107" s="609"/>
      <c r="J2107" s="1155"/>
      <c r="K2107" s="609"/>
      <c r="L2107" s="609"/>
      <c r="M2107" s="609"/>
      <c r="N2107" s="599"/>
      <c r="O2107" s="552" t="s">
        <v>1584</v>
      </c>
      <c r="P2107" s="603"/>
      <c r="Q2107" s="682"/>
      <c r="R2107" s="682"/>
      <c r="S2107" s="682"/>
      <c r="T2107" s="682"/>
      <c r="U2107" s="682"/>
      <c r="V2107" s="682"/>
      <c r="W2107" s="682"/>
    </row>
    <row r="2108" spans="1:23">
      <c r="A2108" s="1045">
        <f t="shared" si="33"/>
        <v>9</v>
      </c>
      <c r="B2108" s="134">
        <v>45541</v>
      </c>
      <c r="C2108" s="70">
        <v>2018</v>
      </c>
      <c r="D2108" s="70" t="s">
        <v>58</v>
      </c>
      <c r="E2108" s="280" t="s">
        <v>4052</v>
      </c>
      <c r="F2108" s="1049">
        <v>3.85</v>
      </c>
      <c r="G2108" s="1049"/>
      <c r="H2108" s="564"/>
      <c r="I2108" s="609"/>
      <c r="J2108" s="1155"/>
      <c r="K2108" s="609"/>
      <c r="L2108" s="609"/>
      <c r="M2108" s="609"/>
      <c r="N2108" s="599"/>
      <c r="O2108" s="552" t="s">
        <v>1584</v>
      </c>
      <c r="P2108" s="603"/>
      <c r="Q2108" s="682"/>
      <c r="R2108" s="682"/>
      <c r="S2108" s="682"/>
      <c r="T2108" s="682"/>
      <c r="U2108" s="682"/>
      <c r="V2108" s="682"/>
      <c r="W2108" s="682"/>
    </row>
    <row r="2109" spans="1:23">
      <c r="A2109" s="1045">
        <f t="shared" si="33"/>
        <v>9</v>
      </c>
      <c r="B2109" s="134">
        <v>45541</v>
      </c>
      <c r="C2109" s="70">
        <v>5250</v>
      </c>
      <c r="D2109" s="70" t="s">
        <v>85</v>
      </c>
      <c r="E2109" s="280" t="s">
        <v>4052</v>
      </c>
      <c r="F2109" s="1049">
        <v>380.95</v>
      </c>
      <c r="G2109" s="1049"/>
      <c r="H2109" s="564"/>
      <c r="I2109" s="609"/>
      <c r="J2109" s="1155"/>
      <c r="K2109" s="609"/>
      <c r="L2109" s="609"/>
      <c r="M2109" s="609"/>
      <c r="N2109" s="599"/>
      <c r="O2109" s="552" t="s">
        <v>1584</v>
      </c>
      <c r="P2109" s="603"/>
      <c r="Q2109" s="682"/>
      <c r="R2109" s="682"/>
      <c r="S2109" s="682"/>
      <c r="T2109" s="682"/>
      <c r="U2109" s="682"/>
      <c r="V2109" s="682"/>
      <c r="W2109" s="682"/>
    </row>
    <row r="2110" spans="1:23">
      <c r="A2110" s="1045">
        <f t="shared" si="33"/>
        <v>9</v>
      </c>
      <c r="B2110" s="134">
        <v>45541</v>
      </c>
      <c r="C2110" s="70">
        <v>2018</v>
      </c>
      <c r="D2110" s="70" t="s">
        <v>58</v>
      </c>
      <c r="E2110" s="280" t="s">
        <v>4052</v>
      </c>
      <c r="F2110" s="1049">
        <v>19.05</v>
      </c>
      <c r="G2110" s="1049"/>
      <c r="H2110" s="564"/>
      <c r="I2110" s="609"/>
      <c r="J2110" s="1155"/>
      <c r="K2110" s="609"/>
      <c r="L2110" s="609"/>
      <c r="M2110" s="609"/>
      <c r="N2110" s="599"/>
      <c r="O2110" s="552" t="s">
        <v>1584</v>
      </c>
      <c r="P2110" s="603"/>
      <c r="Q2110" s="682"/>
      <c r="R2110" s="682"/>
      <c r="S2110" s="682"/>
      <c r="T2110" s="682"/>
      <c r="U2110" s="682"/>
      <c r="V2110" s="682"/>
      <c r="W2110" s="682"/>
    </row>
    <row r="2111" spans="1:23">
      <c r="A2111" s="1045">
        <f t="shared" si="33"/>
        <v>9</v>
      </c>
      <c r="B2111" s="134">
        <v>45542</v>
      </c>
      <c r="C2111" s="70">
        <v>5250</v>
      </c>
      <c r="D2111" s="70" t="s">
        <v>85</v>
      </c>
      <c r="E2111" s="280" t="s">
        <v>4053</v>
      </c>
      <c r="F2111" s="1049">
        <v>78</v>
      </c>
      <c r="G2111" s="1049"/>
      <c r="H2111" s="564"/>
      <c r="I2111" s="609"/>
      <c r="J2111" s="1155"/>
      <c r="K2111" s="609"/>
      <c r="L2111" s="609"/>
      <c r="M2111" s="609"/>
      <c r="N2111" s="599"/>
      <c r="O2111" s="552" t="s">
        <v>1584</v>
      </c>
      <c r="P2111" s="603"/>
      <c r="Q2111" s="682"/>
      <c r="R2111" s="682"/>
      <c r="S2111" s="682"/>
      <c r="T2111" s="682"/>
      <c r="U2111" s="682"/>
      <c r="V2111" s="682"/>
      <c r="W2111" s="682"/>
    </row>
    <row r="2112" spans="1:23">
      <c r="A2112" s="1045">
        <f t="shared" si="33"/>
        <v>9</v>
      </c>
      <c r="B2112" s="134">
        <v>45542</v>
      </c>
      <c r="C2112" s="70">
        <v>2018</v>
      </c>
      <c r="D2112" s="70" t="s">
        <v>58</v>
      </c>
      <c r="E2112" s="280" t="s">
        <v>4054</v>
      </c>
      <c r="F2112" s="1049">
        <v>3.9</v>
      </c>
      <c r="G2112" s="1049"/>
      <c r="H2112" s="564"/>
      <c r="I2112" s="609"/>
      <c r="J2112" s="1155"/>
      <c r="K2112" s="609"/>
      <c r="L2112" s="609"/>
      <c r="M2112" s="609"/>
      <c r="N2112" s="599"/>
      <c r="O2112" s="552" t="s">
        <v>1584</v>
      </c>
      <c r="P2112" s="603"/>
      <c r="Q2112" s="682"/>
      <c r="R2112" s="682"/>
      <c r="S2112" s="682"/>
      <c r="T2112" s="682"/>
      <c r="U2112" s="682"/>
      <c r="V2112" s="682"/>
      <c r="W2112" s="682"/>
    </row>
    <row r="2113" spans="1:23">
      <c r="A2113" s="1045">
        <f t="shared" si="33"/>
        <v>9</v>
      </c>
      <c r="B2113" s="134">
        <v>45542</v>
      </c>
      <c r="C2113" s="70">
        <v>5250</v>
      </c>
      <c r="D2113" s="70" t="s">
        <v>85</v>
      </c>
      <c r="E2113" s="280" t="s">
        <v>4055</v>
      </c>
      <c r="F2113" s="1049">
        <v>22</v>
      </c>
      <c r="G2113" s="1049"/>
      <c r="H2113" s="564"/>
      <c r="I2113" s="609"/>
      <c r="J2113" s="1155"/>
      <c r="K2113" s="609"/>
      <c r="L2113" s="609"/>
      <c r="M2113" s="609"/>
      <c r="N2113" s="599"/>
      <c r="O2113" s="552" t="s">
        <v>1584</v>
      </c>
      <c r="P2113" s="603"/>
      <c r="Q2113" s="682"/>
      <c r="R2113" s="682"/>
      <c r="S2113" s="682"/>
      <c r="T2113" s="682"/>
      <c r="U2113" s="682"/>
      <c r="V2113" s="682"/>
      <c r="W2113" s="682"/>
    </row>
    <row r="2114" spans="1:23">
      <c r="A2114" s="1045">
        <f t="shared" si="33"/>
        <v>9</v>
      </c>
      <c r="B2114" s="134">
        <v>45542</v>
      </c>
      <c r="C2114" s="70">
        <v>2018</v>
      </c>
      <c r="D2114" s="70" t="s">
        <v>58</v>
      </c>
      <c r="E2114" s="280" t="s">
        <v>4055</v>
      </c>
      <c r="F2114" s="1049">
        <v>1.1000000000000001</v>
      </c>
      <c r="G2114" s="1049"/>
      <c r="H2114" s="564"/>
      <c r="I2114" s="609"/>
      <c r="J2114" s="1155"/>
      <c r="K2114" s="609"/>
      <c r="L2114" s="609"/>
      <c r="M2114" s="609"/>
      <c r="N2114" s="599"/>
      <c r="O2114" s="552" t="s">
        <v>1584</v>
      </c>
      <c r="P2114" s="603"/>
      <c r="Q2114" s="682"/>
      <c r="R2114" s="682"/>
      <c r="S2114" s="682"/>
      <c r="T2114" s="682"/>
      <c r="U2114" s="682"/>
      <c r="V2114" s="682"/>
      <c r="W2114" s="682"/>
    </row>
    <row r="2115" spans="1:23">
      <c r="A2115" s="1045">
        <f t="shared" si="33"/>
        <v>9</v>
      </c>
      <c r="B2115" s="134">
        <v>45542</v>
      </c>
      <c r="C2115" s="70">
        <v>5250</v>
      </c>
      <c r="D2115" s="70" t="s">
        <v>85</v>
      </c>
      <c r="E2115" s="280" t="s">
        <v>4056</v>
      </c>
      <c r="F2115" s="1049">
        <v>122</v>
      </c>
      <c r="G2115" s="1049"/>
      <c r="H2115" s="564"/>
      <c r="I2115" s="609"/>
      <c r="J2115" s="1155"/>
      <c r="K2115" s="609"/>
      <c r="L2115" s="609"/>
      <c r="M2115" s="609"/>
      <c r="N2115" s="599"/>
      <c r="O2115" s="552" t="s">
        <v>1584</v>
      </c>
      <c r="P2115" s="603"/>
      <c r="Q2115" s="682"/>
      <c r="R2115" s="682"/>
      <c r="S2115" s="682"/>
      <c r="T2115" s="682"/>
      <c r="U2115" s="682"/>
      <c r="V2115" s="682"/>
      <c r="W2115" s="682"/>
    </row>
    <row r="2116" spans="1:23">
      <c r="A2116" s="1045">
        <f t="shared" si="33"/>
        <v>9</v>
      </c>
      <c r="B2116" s="134">
        <v>45542</v>
      </c>
      <c r="C2116" s="70">
        <v>2018</v>
      </c>
      <c r="D2116" s="70" t="s">
        <v>58</v>
      </c>
      <c r="E2116" s="280" t="s">
        <v>4056</v>
      </c>
      <c r="F2116" s="1049">
        <v>6.1</v>
      </c>
      <c r="G2116" s="1049"/>
      <c r="H2116" s="564"/>
      <c r="I2116" s="609"/>
      <c r="J2116" s="1155"/>
      <c r="K2116" s="609"/>
      <c r="L2116" s="609"/>
      <c r="M2116" s="609"/>
      <c r="N2116" s="599"/>
      <c r="O2116" s="552" t="s">
        <v>1584</v>
      </c>
      <c r="P2116" s="603"/>
      <c r="Q2116" s="682"/>
      <c r="R2116" s="682"/>
      <c r="S2116" s="682"/>
      <c r="T2116" s="682"/>
      <c r="U2116" s="682"/>
      <c r="V2116" s="682"/>
      <c r="W2116" s="682"/>
    </row>
    <row r="2117" spans="1:23">
      <c r="A2117" s="1045">
        <f t="shared" si="33"/>
        <v>9</v>
      </c>
      <c r="B2117" s="134">
        <v>45542</v>
      </c>
      <c r="C2117" s="70">
        <v>5250</v>
      </c>
      <c r="D2117" s="70" t="s">
        <v>85</v>
      </c>
      <c r="E2117" s="280" t="s">
        <v>4057</v>
      </c>
      <c r="F2117" s="1049">
        <v>100</v>
      </c>
      <c r="G2117" s="1049"/>
      <c r="H2117" s="564"/>
      <c r="I2117" s="609"/>
      <c r="J2117" s="1155"/>
      <c r="K2117" s="609"/>
      <c r="L2117" s="609"/>
      <c r="M2117" s="609"/>
      <c r="N2117" s="599"/>
      <c r="O2117" s="552" t="s">
        <v>1584</v>
      </c>
      <c r="P2117" s="603"/>
      <c r="Q2117" s="682"/>
      <c r="R2117" s="682"/>
      <c r="S2117" s="682"/>
      <c r="T2117" s="682"/>
      <c r="U2117" s="682"/>
      <c r="V2117" s="682"/>
      <c r="W2117" s="682"/>
    </row>
    <row r="2118" spans="1:23">
      <c r="A2118" s="1045">
        <f t="shared" si="33"/>
        <v>9</v>
      </c>
      <c r="B2118" s="134">
        <v>45542</v>
      </c>
      <c r="C2118" s="70">
        <v>2018</v>
      </c>
      <c r="D2118" s="70" t="s">
        <v>58</v>
      </c>
      <c r="E2118" s="280" t="s">
        <v>4057</v>
      </c>
      <c r="F2118" s="1049">
        <v>5</v>
      </c>
      <c r="G2118" s="1049"/>
      <c r="H2118" s="564"/>
      <c r="I2118" s="609"/>
      <c r="J2118" s="1155"/>
      <c r="K2118" s="609"/>
      <c r="L2118" s="609"/>
      <c r="M2118" s="609"/>
      <c r="N2118" s="599"/>
      <c r="O2118" s="552" t="s">
        <v>1584</v>
      </c>
      <c r="P2118" s="603"/>
      <c r="Q2118" s="682"/>
      <c r="R2118" s="682"/>
      <c r="S2118" s="682"/>
      <c r="T2118" s="682"/>
      <c r="U2118" s="682"/>
      <c r="V2118" s="682"/>
      <c r="W2118" s="682"/>
    </row>
    <row r="2119" spans="1:23">
      <c r="A2119" s="1045">
        <f t="shared" si="33"/>
        <v>9</v>
      </c>
      <c r="B2119" s="134">
        <v>45542</v>
      </c>
      <c r="C2119" s="70">
        <v>5250</v>
      </c>
      <c r="D2119" s="70" t="s">
        <v>85</v>
      </c>
      <c r="E2119" s="280" t="s">
        <v>4058</v>
      </c>
      <c r="F2119" s="1049">
        <v>183</v>
      </c>
      <c r="G2119" s="1049"/>
      <c r="H2119" s="564"/>
      <c r="I2119" s="609"/>
      <c r="J2119" s="1155"/>
      <c r="K2119" s="609"/>
      <c r="L2119" s="609"/>
      <c r="M2119" s="609"/>
      <c r="N2119" s="599"/>
      <c r="O2119" s="552" t="s">
        <v>1584</v>
      </c>
      <c r="P2119" s="603"/>
      <c r="Q2119" s="682"/>
      <c r="R2119" s="682"/>
      <c r="S2119" s="682"/>
      <c r="T2119" s="682"/>
      <c r="U2119" s="682"/>
      <c r="V2119" s="682"/>
      <c r="W2119" s="682"/>
    </row>
    <row r="2120" spans="1:23">
      <c r="A2120" s="1045">
        <f t="shared" si="33"/>
        <v>9</v>
      </c>
      <c r="B2120" s="134">
        <v>45542</v>
      </c>
      <c r="C2120" s="70">
        <v>2018</v>
      </c>
      <c r="D2120" s="70" t="s">
        <v>58</v>
      </c>
      <c r="E2120" s="280" t="s">
        <v>4058</v>
      </c>
      <c r="F2120" s="1049">
        <v>9.14</v>
      </c>
      <c r="G2120" s="1049"/>
      <c r="H2120" s="564"/>
      <c r="I2120" s="609"/>
      <c r="J2120" s="1155"/>
      <c r="K2120" s="609"/>
      <c r="L2120" s="609"/>
      <c r="M2120" s="609"/>
      <c r="N2120" s="599"/>
      <c r="O2120" s="552" t="s">
        <v>1584</v>
      </c>
      <c r="P2120" s="603"/>
      <c r="Q2120" s="682"/>
      <c r="R2120" s="682"/>
      <c r="S2120" s="682"/>
      <c r="T2120" s="682"/>
      <c r="U2120" s="682"/>
      <c r="V2120" s="682"/>
      <c r="W2120" s="682"/>
    </row>
    <row r="2121" spans="1:23">
      <c r="A2121" s="1045">
        <f t="shared" si="33"/>
        <v>9</v>
      </c>
      <c r="B2121" s="134">
        <v>45542</v>
      </c>
      <c r="C2121" s="70">
        <v>5250</v>
      </c>
      <c r="D2121" s="70" t="s">
        <v>85</v>
      </c>
      <c r="E2121" s="280" t="s">
        <v>4059</v>
      </c>
      <c r="F2121" s="1049">
        <v>63</v>
      </c>
      <c r="G2121" s="1049"/>
      <c r="H2121" s="564"/>
      <c r="I2121" s="609"/>
      <c r="J2121" s="1155"/>
      <c r="K2121" s="609"/>
      <c r="L2121" s="609"/>
      <c r="M2121" s="609"/>
      <c r="N2121" s="599"/>
      <c r="O2121" s="552" t="s">
        <v>1584</v>
      </c>
      <c r="P2121" s="603"/>
      <c r="Q2121" s="682"/>
      <c r="R2121" s="682"/>
      <c r="S2121" s="682"/>
      <c r="T2121" s="682"/>
      <c r="U2121" s="682"/>
      <c r="V2121" s="682"/>
      <c r="W2121" s="682"/>
    </row>
    <row r="2122" spans="1:23">
      <c r="A2122" s="1045">
        <f t="shared" si="33"/>
        <v>9</v>
      </c>
      <c r="B2122" s="134">
        <v>45542</v>
      </c>
      <c r="C2122" s="70">
        <v>2018</v>
      </c>
      <c r="D2122" s="70" t="s">
        <v>58</v>
      </c>
      <c r="E2122" s="280" t="s">
        <v>4059</v>
      </c>
      <c r="F2122" s="1049">
        <v>3.09</v>
      </c>
      <c r="G2122" s="1049"/>
      <c r="H2122" s="564"/>
      <c r="I2122" s="609"/>
      <c r="J2122" s="1155"/>
      <c r="K2122" s="609"/>
      <c r="L2122" s="609"/>
      <c r="M2122" s="609"/>
      <c r="N2122" s="599"/>
      <c r="O2122" s="552" t="s">
        <v>1584</v>
      </c>
      <c r="P2122" s="603"/>
      <c r="Q2122" s="682"/>
      <c r="R2122" s="682"/>
      <c r="S2122" s="682"/>
      <c r="T2122" s="682"/>
      <c r="U2122" s="682"/>
      <c r="V2122" s="682"/>
      <c r="W2122" s="682"/>
    </row>
    <row r="2123" spans="1:23">
      <c r="A2123" s="1045">
        <f t="shared" si="33"/>
        <v>9</v>
      </c>
      <c r="B2123" s="134">
        <v>45542</v>
      </c>
      <c r="C2123" s="70">
        <v>5250</v>
      </c>
      <c r="D2123" s="70" t="s">
        <v>85</v>
      </c>
      <c r="E2123" s="280" t="s">
        <v>4060</v>
      </c>
      <c r="F2123" s="1049">
        <v>145</v>
      </c>
      <c r="G2123" s="1049"/>
      <c r="H2123" s="564"/>
      <c r="I2123" s="609"/>
      <c r="J2123" s="1155"/>
      <c r="K2123" s="609"/>
      <c r="L2123" s="609"/>
      <c r="M2123" s="609"/>
      <c r="N2123" s="599"/>
      <c r="O2123" s="552" t="s">
        <v>1584</v>
      </c>
      <c r="P2123" s="603"/>
      <c r="Q2123" s="682"/>
      <c r="R2123" s="682"/>
      <c r="S2123" s="682"/>
      <c r="T2123" s="682"/>
      <c r="U2123" s="682"/>
      <c r="V2123" s="682"/>
      <c r="W2123" s="682"/>
    </row>
    <row r="2124" spans="1:23">
      <c r="A2124" s="1045">
        <f t="shared" si="33"/>
        <v>9</v>
      </c>
      <c r="B2124" s="134">
        <v>45542</v>
      </c>
      <c r="C2124" s="70">
        <v>2018</v>
      </c>
      <c r="D2124" s="70" t="s">
        <v>58</v>
      </c>
      <c r="E2124" s="280" t="s">
        <v>4060</v>
      </c>
      <c r="F2124" s="1049">
        <v>7.25</v>
      </c>
      <c r="G2124" s="1049"/>
      <c r="H2124" s="564"/>
      <c r="I2124" s="609"/>
      <c r="J2124" s="1155"/>
      <c r="K2124" s="609"/>
      <c r="L2124" s="609"/>
      <c r="M2124" s="609"/>
      <c r="N2124" s="599"/>
      <c r="O2124" s="552" t="s">
        <v>1584</v>
      </c>
      <c r="P2124" s="603"/>
      <c r="Q2124" s="682"/>
      <c r="R2124" s="682"/>
      <c r="S2124" s="682"/>
      <c r="T2124" s="682"/>
      <c r="U2124" s="682"/>
      <c r="V2124" s="682"/>
      <c r="W2124" s="682"/>
    </row>
    <row r="2125" spans="1:23">
      <c r="A2125" s="1045">
        <f t="shared" si="33"/>
        <v>9</v>
      </c>
      <c r="B2125" s="134">
        <v>45542</v>
      </c>
      <c r="C2125" s="70">
        <v>5250</v>
      </c>
      <c r="D2125" s="70" t="s">
        <v>85</v>
      </c>
      <c r="E2125" s="280" t="s">
        <v>4061</v>
      </c>
      <c r="F2125" s="1049">
        <v>38</v>
      </c>
      <c r="G2125" s="1049"/>
      <c r="H2125" s="564"/>
      <c r="I2125" s="609"/>
      <c r="J2125" s="1155"/>
      <c r="K2125" s="609"/>
      <c r="L2125" s="609"/>
      <c r="M2125" s="609"/>
      <c r="N2125" s="599"/>
      <c r="O2125" s="552" t="s">
        <v>1584</v>
      </c>
      <c r="P2125" s="603"/>
      <c r="Q2125" s="682"/>
      <c r="R2125" s="682"/>
      <c r="S2125" s="682"/>
      <c r="T2125" s="682"/>
      <c r="U2125" s="682"/>
      <c r="V2125" s="682"/>
      <c r="W2125" s="682"/>
    </row>
    <row r="2126" spans="1:23">
      <c r="A2126" s="1045">
        <f t="shared" si="33"/>
        <v>9</v>
      </c>
      <c r="B2126" s="134">
        <v>45542</v>
      </c>
      <c r="C2126" s="70">
        <v>2018</v>
      </c>
      <c r="D2126" s="70" t="s">
        <v>58</v>
      </c>
      <c r="E2126" s="280" t="s">
        <v>4061</v>
      </c>
      <c r="F2126" s="1049">
        <v>1.9</v>
      </c>
      <c r="G2126" s="1049"/>
      <c r="H2126" s="564"/>
      <c r="I2126" s="609"/>
      <c r="J2126" s="1155"/>
      <c r="K2126" s="609"/>
      <c r="L2126" s="609"/>
      <c r="M2126" s="609"/>
      <c r="N2126" s="599"/>
      <c r="O2126" s="552" t="s">
        <v>1584</v>
      </c>
      <c r="P2126" s="603"/>
      <c r="Q2126" s="682"/>
      <c r="R2126" s="682"/>
      <c r="S2126" s="682"/>
      <c r="T2126" s="682"/>
      <c r="U2126" s="682"/>
      <c r="V2126" s="682"/>
      <c r="W2126" s="682"/>
    </row>
    <row r="2127" spans="1:23">
      <c r="A2127" s="1045">
        <f t="shared" si="33"/>
        <v>9</v>
      </c>
      <c r="B2127" s="134">
        <v>45542</v>
      </c>
      <c r="C2127" s="70">
        <v>5250</v>
      </c>
      <c r="D2127" s="70" t="s">
        <v>85</v>
      </c>
      <c r="E2127" s="280" t="s">
        <v>4062</v>
      </c>
      <c r="F2127" s="1049">
        <v>253</v>
      </c>
      <c r="G2127" s="1049"/>
      <c r="H2127" s="564"/>
      <c r="I2127" s="609"/>
      <c r="J2127" s="1155"/>
      <c r="K2127" s="609"/>
      <c r="L2127" s="609"/>
      <c r="M2127" s="609"/>
      <c r="N2127" s="599"/>
      <c r="O2127" s="552" t="s">
        <v>1584</v>
      </c>
      <c r="P2127" s="603"/>
      <c r="Q2127" s="682"/>
      <c r="R2127" s="682"/>
      <c r="S2127" s="682"/>
      <c r="T2127" s="682"/>
      <c r="U2127" s="682"/>
      <c r="V2127" s="682"/>
      <c r="W2127" s="682"/>
    </row>
    <row r="2128" spans="1:23">
      <c r="A2128" s="1045">
        <f t="shared" si="33"/>
        <v>9</v>
      </c>
      <c r="B2128" s="134">
        <v>45542</v>
      </c>
      <c r="C2128" s="70">
        <v>2018</v>
      </c>
      <c r="D2128" s="70" t="s">
        <v>58</v>
      </c>
      <c r="E2128" s="280" t="s">
        <v>4062</v>
      </c>
      <c r="F2128" s="1049">
        <v>12.65</v>
      </c>
      <c r="G2128" s="1049"/>
      <c r="H2128" s="564"/>
      <c r="I2128" s="609"/>
      <c r="J2128" s="1155"/>
      <c r="K2128" s="609"/>
      <c r="L2128" s="609"/>
      <c r="M2128" s="609"/>
      <c r="N2128" s="599"/>
      <c r="O2128" s="552" t="s">
        <v>1584</v>
      </c>
      <c r="P2128" s="603"/>
      <c r="Q2128" s="682"/>
      <c r="R2128" s="682"/>
      <c r="S2128" s="682"/>
      <c r="T2128" s="682"/>
      <c r="U2128" s="682"/>
      <c r="V2128" s="682"/>
      <c r="W2128" s="682"/>
    </row>
    <row r="2129" spans="1:23">
      <c r="A2129" s="1045">
        <f t="shared" si="33"/>
        <v>9</v>
      </c>
      <c r="B2129" s="134">
        <v>45542</v>
      </c>
      <c r="C2129" s="70">
        <v>5250</v>
      </c>
      <c r="D2129" s="70" t="s">
        <v>85</v>
      </c>
      <c r="E2129" s="280" t="s">
        <v>4063</v>
      </c>
      <c r="F2129" s="1049">
        <v>95.12</v>
      </c>
      <c r="G2129" s="1049"/>
      <c r="H2129" s="564"/>
      <c r="I2129" s="609"/>
      <c r="J2129" s="1155"/>
      <c r="K2129" s="609"/>
      <c r="L2129" s="609"/>
      <c r="M2129" s="609"/>
      <c r="N2129" s="599"/>
      <c r="O2129" s="552" t="s">
        <v>1584</v>
      </c>
      <c r="P2129" s="603"/>
      <c r="Q2129" s="682"/>
      <c r="R2129" s="682"/>
      <c r="S2129" s="682"/>
      <c r="T2129" s="682"/>
      <c r="U2129" s="682"/>
      <c r="V2129" s="682"/>
      <c r="W2129" s="682"/>
    </row>
    <row r="2130" spans="1:23">
      <c r="A2130" s="1045">
        <f t="shared" si="33"/>
        <v>9</v>
      </c>
      <c r="B2130" s="134">
        <v>45542</v>
      </c>
      <c r="C2130" s="70">
        <v>2018</v>
      </c>
      <c r="D2130" s="70" t="s">
        <v>58</v>
      </c>
      <c r="E2130" s="280" t="s">
        <v>4063</v>
      </c>
      <c r="F2130" s="1049">
        <v>4.76</v>
      </c>
      <c r="G2130" s="1049"/>
      <c r="H2130" s="564"/>
      <c r="I2130" s="609"/>
      <c r="J2130" s="1155"/>
      <c r="K2130" s="609"/>
      <c r="L2130" s="609"/>
      <c r="M2130" s="609"/>
      <c r="N2130" s="599"/>
      <c r="O2130" s="552" t="s">
        <v>1584</v>
      </c>
      <c r="P2130" s="603"/>
      <c r="Q2130" s="682"/>
      <c r="R2130" s="682"/>
      <c r="S2130" s="682"/>
      <c r="T2130" s="682"/>
      <c r="U2130" s="682"/>
      <c r="V2130" s="682"/>
      <c r="W2130" s="682"/>
    </row>
    <row r="2131" spans="1:23">
      <c r="A2131" s="1045">
        <f t="shared" si="33"/>
        <v>9</v>
      </c>
      <c r="B2131" s="134">
        <v>45543</v>
      </c>
      <c r="C2131" s="70">
        <v>5250</v>
      </c>
      <c r="D2131" s="70" t="s">
        <v>85</v>
      </c>
      <c r="E2131" s="280" t="s">
        <v>4064</v>
      </c>
      <c r="F2131" s="1049">
        <v>50</v>
      </c>
      <c r="G2131" s="1049"/>
      <c r="H2131" s="564"/>
      <c r="I2131" s="609"/>
      <c r="J2131" s="1155"/>
      <c r="K2131" s="609"/>
      <c r="L2131" s="609"/>
      <c r="M2131" s="609"/>
      <c r="N2131" s="599"/>
      <c r="O2131" s="552" t="s">
        <v>1584</v>
      </c>
      <c r="P2131" s="603"/>
      <c r="Q2131" s="682"/>
      <c r="R2131" s="682"/>
      <c r="S2131" s="682"/>
      <c r="T2131" s="682"/>
      <c r="U2131" s="682"/>
      <c r="V2131" s="682"/>
      <c r="W2131" s="682"/>
    </row>
    <row r="2132" spans="1:23">
      <c r="A2132" s="1045">
        <f t="shared" si="33"/>
        <v>9</v>
      </c>
      <c r="B2132" s="134">
        <v>45543</v>
      </c>
      <c r="C2132" s="70">
        <v>2018</v>
      </c>
      <c r="D2132" s="70" t="s">
        <v>58</v>
      </c>
      <c r="E2132" s="280" t="s">
        <v>4064</v>
      </c>
      <c r="F2132" s="1049">
        <v>2.5</v>
      </c>
      <c r="G2132" s="1049"/>
      <c r="H2132" s="564"/>
      <c r="I2132" s="609"/>
      <c r="J2132" s="1155"/>
      <c r="K2132" s="609"/>
      <c r="L2132" s="609"/>
      <c r="M2132" s="609"/>
      <c r="N2132" s="599"/>
      <c r="O2132" s="552" t="s">
        <v>1584</v>
      </c>
      <c r="P2132" s="603"/>
      <c r="Q2132" s="682"/>
      <c r="R2132" s="682"/>
      <c r="S2132" s="682"/>
      <c r="T2132" s="682"/>
      <c r="U2132" s="682"/>
      <c r="V2132" s="682"/>
      <c r="W2132" s="682"/>
    </row>
    <row r="2133" spans="1:23">
      <c r="A2133" s="1045">
        <f t="shared" ref="A2133:A2196" si="34">IF(B2133="","",MONTH(B2133))</f>
        <v>9</v>
      </c>
      <c r="B2133" s="134">
        <v>45543</v>
      </c>
      <c r="C2133" s="70">
        <v>5250</v>
      </c>
      <c r="D2133" s="70" t="s">
        <v>85</v>
      </c>
      <c r="E2133" s="280" t="s">
        <v>4065</v>
      </c>
      <c r="F2133" s="1049">
        <v>88.5</v>
      </c>
      <c r="G2133" s="1049"/>
      <c r="H2133" s="564"/>
      <c r="I2133" s="609"/>
      <c r="J2133" s="1155"/>
      <c r="K2133" s="609"/>
      <c r="L2133" s="609"/>
      <c r="M2133" s="609"/>
      <c r="N2133" s="599"/>
      <c r="O2133" s="552" t="s">
        <v>1584</v>
      </c>
      <c r="P2133" s="603"/>
      <c r="Q2133" s="682"/>
      <c r="R2133" s="682"/>
      <c r="S2133" s="682"/>
      <c r="T2133" s="682"/>
      <c r="U2133" s="682"/>
      <c r="V2133" s="682"/>
      <c r="W2133" s="682"/>
    </row>
    <row r="2134" spans="1:23">
      <c r="A2134" s="1045">
        <f t="shared" si="34"/>
        <v>9</v>
      </c>
      <c r="B2134" s="134">
        <v>45543</v>
      </c>
      <c r="C2134" s="70">
        <v>2018</v>
      </c>
      <c r="D2134" s="70" t="s">
        <v>58</v>
      </c>
      <c r="E2134" s="280" t="s">
        <v>4065</v>
      </c>
      <c r="F2134" s="1049">
        <v>4.43</v>
      </c>
      <c r="G2134" s="1049"/>
      <c r="H2134" s="564"/>
      <c r="I2134" s="609"/>
      <c r="J2134" s="1155"/>
      <c r="K2134" s="609"/>
      <c r="L2134" s="609"/>
      <c r="M2134" s="609"/>
      <c r="N2134" s="599"/>
      <c r="O2134" s="552" t="s">
        <v>1584</v>
      </c>
      <c r="P2134" s="603"/>
      <c r="Q2134" s="682"/>
      <c r="R2134" s="682"/>
      <c r="S2134" s="682"/>
      <c r="T2134" s="682"/>
      <c r="U2134" s="682"/>
      <c r="V2134" s="682"/>
      <c r="W2134" s="682"/>
    </row>
    <row r="2135" spans="1:23">
      <c r="A2135" s="1045">
        <f t="shared" si="34"/>
        <v>9</v>
      </c>
      <c r="B2135" s="134">
        <v>45543</v>
      </c>
      <c r="C2135" s="70">
        <v>5250</v>
      </c>
      <c r="D2135" s="70" t="s">
        <v>85</v>
      </c>
      <c r="E2135" s="280" t="s">
        <v>4066</v>
      </c>
      <c r="F2135" s="1049">
        <v>12.93</v>
      </c>
      <c r="G2135" s="1049"/>
      <c r="H2135" s="564"/>
      <c r="I2135" s="609"/>
      <c r="J2135" s="1155"/>
      <c r="K2135" s="609"/>
      <c r="L2135" s="609"/>
      <c r="M2135" s="609"/>
      <c r="N2135" s="599"/>
      <c r="O2135" s="552" t="s">
        <v>1584</v>
      </c>
      <c r="P2135" s="603"/>
      <c r="Q2135" s="682"/>
      <c r="R2135" s="682"/>
      <c r="S2135" s="682"/>
      <c r="T2135" s="682"/>
      <c r="U2135" s="682"/>
      <c r="V2135" s="682"/>
      <c r="W2135" s="682"/>
    </row>
    <row r="2136" spans="1:23">
      <c r="A2136" s="1045">
        <f t="shared" si="34"/>
        <v>9</v>
      </c>
      <c r="B2136" s="134">
        <v>45543</v>
      </c>
      <c r="C2136" s="70">
        <v>5250</v>
      </c>
      <c r="D2136" s="70" t="s">
        <v>85</v>
      </c>
      <c r="E2136" s="280" t="s">
        <v>4067</v>
      </c>
      <c r="F2136" s="1049">
        <v>72.5</v>
      </c>
      <c r="G2136" s="1049"/>
      <c r="H2136" s="564"/>
      <c r="I2136" s="609"/>
      <c r="J2136" s="1155"/>
      <c r="K2136" s="609"/>
      <c r="L2136" s="609"/>
      <c r="M2136" s="609"/>
      <c r="N2136" s="599"/>
      <c r="O2136" s="552" t="s">
        <v>1584</v>
      </c>
      <c r="P2136" s="603"/>
      <c r="Q2136" s="682"/>
      <c r="R2136" s="682"/>
      <c r="S2136" s="682"/>
      <c r="T2136" s="682"/>
      <c r="U2136" s="682"/>
      <c r="V2136" s="682"/>
      <c r="W2136" s="682"/>
    </row>
    <row r="2137" spans="1:23">
      <c r="A2137" s="1045">
        <f t="shared" si="34"/>
        <v>9</v>
      </c>
      <c r="B2137" s="134">
        <v>45543</v>
      </c>
      <c r="C2137" s="70">
        <v>2018</v>
      </c>
      <c r="D2137" s="70" t="s">
        <v>58</v>
      </c>
      <c r="E2137" s="280" t="s">
        <v>4067</v>
      </c>
      <c r="F2137" s="1049">
        <v>3.63</v>
      </c>
      <c r="G2137" s="1049"/>
      <c r="H2137" s="564"/>
      <c r="I2137" s="609"/>
      <c r="J2137" s="1155"/>
      <c r="K2137" s="609"/>
      <c r="L2137" s="609"/>
      <c r="M2137" s="609"/>
      <c r="N2137" s="599"/>
      <c r="O2137" s="552" t="s">
        <v>1584</v>
      </c>
      <c r="P2137" s="603"/>
      <c r="Q2137" s="682"/>
      <c r="R2137" s="682"/>
      <c r="S2137" s="682"/>
      <c r="T2137" s="682"/>
      <c r="U2137" s="682"/>
      <c r="V2137" s="682"/>
      <c r="W2137" s="682"/>
    </row>
    <row r="2138" spans="1:23">
      <c r="A2138" s="1045">
        <f t="shared" si="34"/>
        <v>9</v>
      </c>
      <c r="B2138" s="134">
        <v>45544</v>
      </c>
      <c r="C2138" s="70">
        <v>5200</v>
      </c>
      <c r="D2138" s="70" t="s">
        <v>83</v>
      </c>
      <c r="E2138" s="280" t="s">
        <v>4068</v>
      </c>
      <c r="F2138" s="1049">
        <v>1904.81</v>
      </c>
      <c r="G2138" s="1049"/>
      <c r="H2138" s="564"/>
      <c r="I2138" s="609"/>
      <c r="J2138" s="1155"/>
      <c r="K2138" s="609"/>
      <c r="L2138" s="609"/>
      <c r="M2138" s="609"/>
      <c r="N2138" s="599"/>
      <c r="O2138" s="552" t="s">
        <v>1584</v>
      </c>
      <c r="P2138" s="603"/>
      <c r="Q2138" s="682"/>
      <c r="R2138" s="682"/>
      <c r="S2138" s="682"/>
      <c r="T2138" s="682"/>
      <c r="U2138" s="682"/>
      <c r="V2138" s="682"/>
      <c r="W2138" s="682"/>
    </row>
    <row r="2139" spans="1:23">
      <c r="A2139" s="1045">
        <f t="shared" si="34"/>
        <v>9</v>
      </c>
      <c r="B2139" s="134">
        <v>45544</v>
      </c>
      <c r="C2139" s="70">
        <v>2018</v>
      </c>
      <c r="D2139" s="70" t="s">
        <v>58</v>
      </c>
      <c r="E2139" s="280" t="s">
        <v>4068</v>
      </c>
      <c r="F2139" s="1049">
        <v>95.25</v>
      </c>
      <c r="G2139" s="1049"/>
      <c r="H2139" s="564"/>
      <c r="I2139" s="609"/>
      <c r="J2139" s="1155"/>
      <c r="K2139" s="609"/>
      <c r="L2139" s="609"/>
      <c r="M2139" s="609"/>
      <c r="N2139" s="599"/>
      <c r="O2139" s="552" t="s">
        <v>1584</v>
      </c>
      <c r="P2139" s="603"/>
      <c r="Q2139" s="682"/>
      <c r="R2139" s="682"/>
      <c r="S2139" s="682"/>
      <c r="T2139" s="682"/>
      <c r="U2139" s="682"/>
      <c r="V2139" s="682"/>
      <c r="W2139" s="682"/>
    </row>
    <row r="2140" spans="1:23">
      <c r="A2140" s="1045">
        <f t="shared" si="34"/>
        <v>9</v>
      </c>
      <c r="B2140" s="134">
        <v>45544</v>
      </c>
      <c r="C2140" s="70">
        <v>5200</v>
      </c>
      <c r="D2140" s="70" t="s">
        <v>83</v>
      </c>
      <c r="E2140" s="280" t="s">
        <v>4069</v>
      </c>
      <c r="F2140" s="1049">
        <v>2952.54</v>
      </c>
      <c r="G2140" s="1049"/>
      <c r="H2140" s="564"/>
      <c r="I2140" s="609"/>
      <c r="J2140" s="1155"/>
      <c r="K2140" s="609"/>
      <c r="L2140" s="609"/>
      <c r="M2140" s="609"/>
      <c r="N2140" s="599"/>
      <c r="O2140" s="552" t="s">
        <v>1584</v>
      </c>
      <c r="P2140" s="603"/>
      <c r="Q2140" s="682"/>
      <c r="R2140" s="682"/>
      <c r="S2140" s="682"/>
      <c r="T2140" s="682"/>
      <c r="U2140" s="682"/>
      <c r="V2140" s="682"/>
      <c r="W2140" s="682"/>
    </row>
    <row r="2141" spans="1:23">
      <c r="A2141" s="1045">
        <f t="shared" si="34"/>
        <v>9</v>
      </c>
      <c r="B2141" s="134">
        <v>45544</v>
      </c>
      <c r="C2141" s="70">
        <v>2018</v>
      </c>
      <c r="D2141" s="70" t="s">
        <v>58</v>
      </c>
      <c r="E2141" s="280" t="s">
        <v>4069</v>
      </c>
      <c r="F2141" s="1049">
        <v>147.63999999999999</v>
      </c>
      <c r="G2141" s="1049"/>
      <c r="H2141" s="564"/>
      <c r="I2141" s="609"/>
      <c r="J2141" s="1155"/>
      <c r="K2141" s="609"/>
      <c r="L2141" s="609"/>
      <c r="M2141" s="609"/>
      <c r="N2141" s="599"/>
      <c r="O2141" s="552" t="s">
        <v>1584</v>
      </c>
      <c r="P2141" s="603"/>
      <c r="Q2141" s="682"/>
      <c r="R2141" s="682"/>
      <c r="S2141" s="682"/>
      <c r="T2141" s="682"/>
      <c r="U2141" s="682"/>
      <c r="V2141" s="682"/>
      <c r="W2141" s="682"/>
    </row>
    <row r="2142" spans="1:23">
      <c r="A2142" s="1045">
        <f t="shared" si="34"/>
        <v>9</v>
      </c>
      <c r="B2142" s="134">
        <v>45544</v>
      </c>
      <c r="C2142" s="70">
        <v>5250</v>
      </c>
      <c r="D2142" s="70" t="s">
        <v>85</v>
      </c>
      <c r="E2142" s="280" t="s">
        <v>4070</v>
      </c>
      <c r="F2142" s="1049">
        <v>66.8</v>
      </c>
      <c r="G2142" s="1049"/>
      <c r="H2142" s="564"/>
      <c r="I2142" s="609"/>
      <c r="J2142" s="1155"/>
      <c r="K2142" s="609"/>
      <c r="L2142" s="609"/>
      <c r="M2142" s="609"/>
      <c r="N2142" s="599"/>
      <c r="O2142" s="552" t="s">
        <v>1584</v>
      </c>
      <c r="P2142" s="603"/>
      <c r="Q2142" s="682"/>
      <c r="R2142" s="682"/>
      <c r="S2142" s="682"/>
      <c r="T2142" s="682"/>
      <c r="U2142" s="682"/>
      <c r="V2142" s="682"/>
      <c r="W2142" s="682"/>
    </row>
    <row r="2143" spans="1:23">
      <c r="A2143" s="1045">
        <f t="shared" si="34"/>
        <v>9</v>
      </c>
      <c r="B2143" s="134">
        <v>45544</v>
      </c>
      <c r="C2143" s="70">
        <v>2018</v>
      </c>
      <c r="D2143" s="70" t="s">
        <v>58</v>
      </c>
      <c r="E2143" s="280" t="s">
        <v>4070</v>
      </c>
      <c r="F2143" s="1049">
        <v>3.35</v>
      </c>
      <c r="G2143" s="1049"/>
      <c r="H2143" s="564"/>
      <c r="I2143" s="609"/>
      <c r="J2143" s="1155"/>
      <c r="K2143" s="609"/>
      <c r="L2143" s="609"/>
      <c r="M2143" s="609"/>
      <c r="N2143" s="599"/>
      <c r="O2143" s="552" t="s">
        <v>1584</v>
      </c>
      <c r="P2143" s="603"/>
      <c r="Q2143" s="682"/>
      <c r="R2143" s="682"/>
      <c r="S2143" s="682"/>
      <c r="T2143" s="682"/>
      <c r="U2143" s="682"/>
      <c r="V2143" s="682"/>
      <c r="W2143" s="682"/>
    </row>
    <row r="2144" spans="1:23">
      <c r="A2144" s="1045">
        <f t="shared" si="34"/>
        <v>9</v>
      </c>
      <c r="B2144" s="134">
        <v>45545</v>
      </c>
      <c r="C2144" s="70">
        <v>5250</v>
      </c>
      <c r="D2144" s="70" t="s">
        <v>85</v>
      </c>
      <c r="E2144" s="280" t="s">
        <v>4071</v>
      </c>
      <c r="F2144" s="1049">
        <v>15</v>
      </c>
      <c r="G2144" s="1049"/>
      <c r="H2144" s="564"/>
      <c r="I2144" s="609"/>
      <c r="J2144" s="1155"/>
      <c r="K2144" s="609"/>
      <c r="L2144" s="609"/>
      <c r="M2144" s="609"/>
      <c r="N2144" s="599"/>
      <c r="O2144" s="552" t="s">
        <v>1584</v>
      </c>
      <c r="P2144" s="603"/>
      <c r="Q2144" s="682"/>
      <c r="R2144" s="682"/>
      <c r="S2144" s="682"/>
      <c r="T2144" s="682"/>
      <c r="U2144" s="682"/>
      <c r="V2144" s="682"/>
      <c r="W2144" s="682"/>
    </row>
    <row r="2145" spans="1:23">
      <c r="A2145" s="1045">
        <f t="shared" si="34"/>
        <v>9</v>
      </c>
      <c r="B2145" s="134">
        <v>45545</v>
      </c>
      <c r="C2145" s="70">
        <v>2018</v>
      </c>
      <c r="D2145" s="70" t="s">
        <v>58</v>
      </c>
      <c r="E2145" s="280" t="s">
        <v>4071</v>
      </c>
      <c r="F2145" s="1049">
        <v>0.75</v>
      </c>
      <c r="G2145" s="1049"/>
      <c r="H2145" s="564"/>
      <c r="I2145" s="609"/>
      <c r="J2145" s="1155"/>
      <c r="K2145" s="609"/>
      <c r="L2145" s="609"/>
      <c r="M2145" s="609"/>
      <c r="N2145" s="599"/>
      <c r="O2145" s="552" t="s">
        <v>1584</v>
      </c>
      <c r="P2145" s="603"/>
      <c r="Q2145" s="682"/>
      <c r="R2145" s="682"/>
      <c r="S2145" s="682"/>
      <c r="T2145" s="682"/>
      <c r="U2145" s="682"/>
      <c r="V2145" s="682"/>
      <c r="W2145" s="682"/>
    </row>
    <row r="2146" spans="1:23">
      <c r="A2146" s="1045">
        <f t="shared" si="34"/>
        <v>9</v>
      </c>
      <c r="B2146" s="134">
        <v>45545</v>
      </c>
      <c r="C2146" s="70">
        <v>5250</v>
      </c>
      <c r="D2146" s="70" t="s">
        <v>85</v>
      </c>
      <c r="E2146" s="280" t="s">
        <v>4072</v>
      </c>
      <c r="F2146" s="1049">
        <v>18</v>
      </c>
      <c r="G2146" s="1049"/>
      <c r="H2146" s="564"/>
      <c r="I2146" s="609"/>
      <c r="J2146" s="1155"/>
      <c r="K2146" s="609"/>
      <c r="L2146" s="609"/>
      <c r="M2146" s="609"/>
      <c r="N2146" s="599"/>
      <c r="O2146" s="552" t="s">
        <v>1584</v>
      </c>
      <c r="P2146" s="603"/>
      <c r="Q2146" s="682"/>
      <c r="R2146" s="682"/>
      <c r="S2146" s="682"/>
      <c r="T2146" s="682"/>
      <c r="U2146" s="682"/>
      <c r="V2146" s="682"/>
      <c r="W2146" s="682"/>
    </row>
    <row r="2147" spans="1:23">
      <c r="A2147" s="1045">
        <f t="shared" si="34"/>
        <v>9</v>
      </c>
      <c r="B2147" s="134">
        <v>45545</v>
      </c>
      <c r="C2147" s="70">
        <v>2018</v>
      </c>
      <c r="D2147" s="70" t="s">
        <v>58</v>
      </c>
      <c r="E2147" s="280" t="s">
        <v>4072</v>
      </c>
      <c r="F2147" s="1049">
        <v>0.9</v>
      </c>
      <c r="G2147" s="1049"/>
      <c r="H2147" s="564"/>
      <c r="I2147" s="609"/>
      <c r="J2147" s="1155"/>
      <c r="K2147" s="609"/>
      <c r="L2147" s="609"/>
      <c r="M2147" s="609"/>
      <c r="N2147" s="599"/>
      <c r="O2147" s="552" t="s">
        <v>1584</v>
      </c>
      <c r="P2147" s="603"/>
      <c r="Q2147" s="682"/>
      <c r="R2147" s="682"/>
      <c r="S2147" s="682"/>
      <c r="T2147" s="682"/>
      <c r="U2147" s="682"/>
      <c r="V2147" s="682"/>
      <c r="W2147" s="682"/>
    </row>
    <row r="2148" spans="1:23">
      <c r="A2148" s="1045">
        <f t="shared" si="34"/>
        <v>9</v>
      </c>
      <c r="B2148" s="134">
        <v>45545</v>
      </c>
      <c r="C2148" s="70">
        <v>5250</v>
      </c>
      <c r="D2148" s="70" t="s">
        <v>85</v>
      </c>
      <c r="E2148" s="280" t="s">
        <v>4073</v>
      </c>
      <c r="F2148" s="1049">
        <v>518.5</v>
      </c>
      <c r="G2148" s="1049"/>
      <c r="H2148" s="564"/>
      <c r="I2148" s="609"/>
      <c r="J2148" s="1155"/>
      <c r="K2148" s="609"/>
      <c r="L2148" s="609"/>
      <c r="M2148" s="609"/>
      <c r="N2148" s="599"/>
      <c r="O2148" s="552" t="s">
        <v>1584</v>
      </c>
      <c r="P2148" s="603"/>
      <c r="Q2148" s="682"/>
      <c r="R2148" s="682"/>
      <c r="S2148" s="682"/>
      <c r="T2148" s="682"/>
      <c r="U2148" s="682"/>
      <c r="V2148" s="682"/>
      <c r="W2148" s="682"/>
    </row>
    <row r="2149" spans="1:23">
      <c r="A2149" s="1045">
        <f t="shared" si="34"/>
        <v>9</v>
      </c>
      <c r="B2149" s="134">
        <v>45545</v>
      </c>
      <c r="C2149" s="70">
        <v>2018</v>
      </c>
      <c r="D2149" s="70" t="s">
        <v>58</v>
      </c>
      <c r="E2149" s="280" t="s">
        <v>4073</v>
      </c>
      <c r="F2149" s="1049">
        <v>25.92</v>
      </c>
      <c r="G2149" s="1049"/>
      <c r="H2149" s="564"/>
      <c r="I2149" s="609"/>
      <c r="J2149" s="1155"/>
      <c r="K2149" s="609"/>
      <c r="L2149" s="609"/>
      <c r="M2149" s="609"/>
      <c r="N2149" s="599"/>
      <c r="O2149" s="552" t="s">
        <v>1584</v>
      </c>
      <c r="P2149" s="603"/>
      <c r="Q2149" s="682"/>
      <c r="R2149" s="682"/>
      <c r="S2149" s="682"/>
      <c r="T2149" s="682"/>
      <c r="U2149" s="682"/>
      <c r="V2149" s="682"/>
      <c r="W2149" s="682"/>
    </row>
    <row r="2150" spans="1:23">
      <c r="A2150" s="1045">
        <f t="shared" si="34"/>
        <v>9</v>
      </c>
      <c r="B2150" s="134">
        <v>45545</v>
      </c>
      <c r="C2150" s="70">
        <v>5250</v>
      </c>
      <c r="D2150" s="70" t="s">
        <v>85</v>
      </c>
      <c r="E2150" s="280" t="s">
        <v>4074</v>
      </c>
      <c r="F2150" s="1049">
        <v>10</v>
      </c>
      <c r="G2150" s="1049"/>
      <c r="H2150" s="564"/>
      <c r="I2150" s="609"/>
      <c r="J2150" s="1155"/>
      <c r="K2150" s="609"/>
      <c r="L2150" s="609"/>
      <c r="M2150" s="609"/>
      <c r="N2150" s="599"/>
      <c r="O2150" s="552" t="s">
        <v>1584</v>
      </c>
      <c r="P2150" s="603"/>
      <c r="Q2150" s="682"/>
      <c r="R2150" s="682"/>
      <c r="S2150" s="682"/>
      <c r="T2150" s="682"/>
      <c r="U2150" s="682"/>
      <c r="V2150" s="682"/>
      <c r="W2150" s="682"/>
    </row>
    <row r="2151" spans="1:23">
      <c r="A2151" s="1045">
        <f t="shared" si="34"/>
        <v>9</v>
      </c>
      <c r="B2151" s="134">
        <v>45545</v>
      </c>
      <c r="C2151" s="70">
        <v>2018</v>
      </c>
      <c r="D2151" s="70" t="s">
        <v>58</v>
      </c>
      <c r="E2151" s="280" t="s">
        <v>4074</v>
      </c>
      <c r="F2151" s="1049">
        <v>0.5</v>
      </c>
      <c r="G2151" s="1049"/>
      <c r="H2151" s="564"/>
      <c r="I2151" s="609"/>
      <c r="J2151" s="1155"/>
      <c r="K2151" s="609"/>
      <c r="L2151" s="609"/>
      <c r="M2151" s="609"/>
      <c r="N2151" s="599"/>
      <c r="O2151" s="552" t="s">
        <v>1584</v>
      </c>
      <c r="P2151" s="603"/>
      <c r="Q2151" s="682"/>
      <c r="R2151" s="682"/>
      <c r="S2151" s="682"/>
      <c r="T2151" s="682"/>
      <c r="U2151" s="682"/>
      <c r="V2151" s="682"/>
      <c r="W2151" s="682"/>
    </row>
    <row r="2152" spans="1:23">
      <c r="A2152" s="1045">
        <f t="shared" si="34"/>
        <v>9</v>
      </c>
      <c r="B2152" s="134">
        <v>45545</v>
      </c>
      <c r="C2152" s="70">
        <v>5250</v>
      </c>
      <c r="D2152" s="70" t="s">
        <v>85</v>
      </c>
      <c r="E2152" s="280" t="s">
        <v>4075</v>
      </c>
      <c r="F2152" s="1049">
        <v>73</v>
      </c>
      <c r="G2152" s="1049"/>
      <c r="H2152" s="564"/>
      <c r="I2152" s="609"/>
      <c r="J2152" s="1155"/>
      <c r="K2152" s="609"/>
      <c r="L2152" s="609"/>
      <c r="M2152" s="609"/>
      <c r="N2152" s="599"/>
      <c r="O2152" s="552" t="s">
        <v>1584</v>
      </c>
      <c r="P2152" s="603"/>
      <c r="Q2152" s="682"/>
      <c r="R2152" s="682"/>
      <c r="S2152" s="682"/>
      <c r="T2152" s="682"/>
      <c r="U2152" s="682"/>
      <c r="V2152" s="682"/>
      <c r="W2152" s="682"/>
    </row>
    <row r="2153" spans="1:23">
      <c r="A2153" s="1045">
        <f t="shared" si="34"/>
        <v>9</v>
      </c>
      <c r="B2153" s="134">
        <v>45545</v>
      </c>
      <c r="C2153" s="70">
        <v>2018</v>
      </c>
      <c r="D2153" s="70" t="s">
        <v>58</v>
      </c>
      <c r="E2153" s="280" t="s">
        <v>4075</v>
      </c>
      <c r="F2153" s="1049">
        <v>3.65</v>
      </c>
      <c r="G2153" s="1049"/>
      <c r="H2153" s="564"/>
      <c r="I2153" s="609"/>
      <c r="J2153" s="1155"/>
      <c r="K2153" s="609"/>
      <c r="L2153" s="609"/>
      <c r="M2153" s="609"/>
      <c r="N2153" s="599"/>
      <c r="O2153" s="552" t="s">
        <v>1584</v>
      </c>
      <c r="P2153" s="603"/>
      <c r="Q2153" s="682"/>
      <c r="R2153" s="682"/>
      <c r="S2153" s="682"/>
      <c r="T2153" s="682"/>
      <c r="U2153" s="682"/>
      <c r="V2153" s="682"/>
      <c r="W2153" s="682"/>
    </row>
    <row r="2154" spans="1:23">
      <c r="A2154" s="1045">
        <f t="shared" si="34"/>
        <v>9</v>
      </c>
      <c r="B2154" s="134">
        <v>45545</v>
      </c>
      <c r="C2154" s="70">
        <v>5250</v>
      </c>
      <c r="D2154" s="70" t="s">
        <v>85</v>
      </c>
      <c r="E2154" s="280" t="s">
        <v>4076</v>
      </c>
      <c r="F2154" s="1049">
        <v>50</v>
      </c>
      <c r="G2154" s="1049"/>
      <c r="H2154" s="564"/>
      <c r="I2154" s="609"/>
      <c r="J2154" s="1155"/>
      <c r="K2154" s="609"/>
      <c r="L2154" s="609"/>
      <c r="M2154" s="609"/>
      <c r="N2154" s="599"/>
      <c r="O2154" s="552" t="s">
        <v>1584</v>
      </c>
      <c r="P2154" s="603"/>
      <c r="Q2154" s="682"/>
      <c r="R2154" s="682"/>
      <c r="S2154" s="682"/>
      <c r="T2154" s="682"/>
      <c r="U2154" s="682"/>
      <c r="V2154" s="682"/>
      <c r="W2154" s="682"/>
    </row>
    <row r="2155" spans="1:23">
      <c r="A2155" s="1045">
        <f t="shared" si="34"/>
        <v>9</v>
      </c>
      <c r="B2155" s="134">
        <v>45545</v>
      </c>
      <c r="C2155" s="70">
        <v>2018</v>
      </c>
      <c r="D2155" s="70" t="s">
        <v>58</v>
      </c>
      <c r="E2155" s="280" t="s">
        <v>4076</v>
      </c>
      <c r="F2155" s="1049">
        <v>2.5</v>
      </c>
      <c r="G2155" s="1049"/>
      <c r="H2155" s="564"/>
      <c r="I2155" s="609"/>
      <c r="J2155" s="1155"/>
      <c r="K2155" s="609"/>
      <c r="L2155" s="609"/>
      <c r="M2155" s="609"/>
      <c r="N2155" s="599"/>
      <c r="O2155" s="552" t="s">
        <v>1584</v>
      </c>
      <c r="P2155" s="603"/>
      <c r="Q2155" s="682"/>
      <c r="R2155" s="682"/>
      <c r="S2155" s="682"/>
      <c r="T2155" s="682"/>
      <c r="U2155" s="682"/>
      <c r="V2155" s="682"/>
      <c r="W2155" s="682"/>
    </row>
    <row r="2156" spans="1:23">
      <c r="A2156" s="1045">
        <f t="shared" si="34"/>
        <v>9</v>
      </c>
      <c r="B2156" s="134">
        <v>45545</v>
      </c>
      <c r="C2156" s="70">
        <v>5250</v>
      </c>
      <c r="D2156" s="70" t="s">
        <v>85</v>
      </c>
      <c r="E2156" s="280" t="s">
        <v>4077</v>
      </c>
      <c r="F2156" s="1049">
        <v>50</v>
      </c>
      <c r="G2156" s="1049"/>
      <c r="H2156" s="564"/>
      <c r="I2156" s="609"/>
      <c r="J2156" s="1155"/>
      <c r="K2156" s="609"/>
      <c r="L2156" s="609"/>
      <c r="M2156" s="609"/>
      <c r="N2156" s="599"/>
      <c r="O2156" s="552" t="s">
        <v>1584</v>
      </c>
      <c r="P2156" s="603"/>
      <c r="Q2156" s="682"/>
      <c r="R2156" s="682"/>
      <c r="S2156" s="682"/>
      <c r="T2156" s="682"/>
      <c r="U2156" s="682"/>
      <c r="V2156" s="682"/>
      <c r="W2156" s="682"/>
    </row>
    <row r="2157" spans="1:23">
      <c r="A2157" s="1045">
        <f t="shared" si="34"/>
        <v>9</v>
      </c>
      <c r="B2157" s="134">
        <v>45545</v>
      </c>
      <c r="C2157" s="70">
        <v>2018</v>
      </c>
      <c r="D2157" s="70" t="s">
        <v>58</v>
      </c>
      <c r="E2157" s="280" t="s">
        <v>4077</v>
      </c>
      <c r="F2157" s="1049">
        <v>2.5</v>
      </c>
      <c r="G2157" s="1049"/>
      <c r="H2157" s="564"/>
      <c r="I2157" s="609"/>
      <c r="J2157" s="1155"/>
      <c r="K2157" s="609"/>
      <c r="L2157" s="609"/>
      <c r="M2157" s="609"/>
      <c r="N2157" s="599"/>
      <c r="O2157" s="552" t="s">
        <v>1584</v>
      </c>
      <c r="P2157" s="603"/>
      <c r="Q2157" s="682"/>
      <c r="R2157" s="682"/>
      <c r="S2157" s="682"/>
      <c r="T2157" s="682"/>
      <c r="U2157" s="682"/>
      <c r="V2157" s="682"/>
      <c r="W2157" s="682"/>
    </row>
    <row r="2158" spans="1:23">
      <c r="A2158" s="1045">
        <f t="shared" si="34"/>
        <v>9</v>
      </c>
      <c r="B2158" s="134">
        <v>45545</v>
      </c>
      <c r="C2158" s="70">
        <v>5250</v>
      </c>
      <c r="D2158" s="70" t="s">
        <v>85</v>
      </c>
      <c r="E2158" s="280" t="s">
        <v>4078</v>
      </c>
      <c r="F2158" s="1049">
        <v>92</v>
      </c>
      <c r="G2158" s="1049"/>
      <c r="H2158" s="564"/>
      <c r="I2158" s="609"/>
      <c r="J2158" s="1155"/>
      <c r="K2158" s="609"/>
      <c r="L2158" s="609"/>
      <c r="M2158" s="609"/>
      <c r="N2158" s="599"/>
      <c r="O2158" s="552" t="s">
        <v>1584</v>
      </c>
      <c r="P2158" s="603"/>
      <c r="Q2158" s="682"/>
      <c r="R2158" s="682"/>
      <c r="S2158" s="682"/>
      <c r="T2158" s="682"/>
      <c r="U2158" s="682"/>
      <c r="V2158" s="682"/>
      <c r="W2158" s="682"/>
    </row>
    <row r="2159" spans="1:23">
      <c r="A2159" s="1045">
        <f t="shared" si="34"/>
        <v>9</v>
      </c>
      <c r="B2159" s="134">
        <v>45545</v>
      </c>
      <c r="C2159" s="70">
        <v>2018</v>
      </c>
      <c r="D2159" s="70" t="s">
        <v>58</v>
      </c>
      <c r="E2159" s="280" t="s">
        <v>4078</v>
      </c>
      <c r="F2159" s="1049">
        <v>4.6100000000000003</v>
      </c>
      <c r="G2159" s="1049"/>
      <c r="H2159" s="564"/>
      <c r="I2159" s="609"/>
      <c r="J2159" s="1155"/>
      <c r="K2159" s="609"/>
      <c r="L2159" s="609"/>
      <c r="M2159" s="609"/>
      <c r="N2159" s="599"/>
      <c r="O2159" s="552" t="s">
        <v>1584</v>
      </c>
      <c r="P2159" s="603"/>
      <c r="Q2159" s="682"/>
      <c r="R2159" s="682"/>
      <c r="S2159" s="682"/>
      <c r="T2159" s="682"/>
      <c r="U2159" s="682"/>
      <c r="V2159" s="682"/>
      <c r="W2159" s="682"/>
    </row>
    <row r="2160" spans="1:23">
      <c r="A2160" s="1045">
        <f t="shared" si="34"/>
        <v>9</v>
      </c>
      <c r="B2160" s="134">
        <v>45546</v>
      </c>
      <c r="C2160" s="70">
        <v>5250</v>
      </c>
      <c r="D2160" s="70" t="s">
        <v>85</v>
      </c>
      <c r="E2160" s="280" t="s">
        <v>4079</v>
      </c>
      <c r="F2160" s="1049">
        <v>35</v>
      </c>
      <c r="G2160" s="1049"/>
      <c r="H2160" s="564"/>
      <c r="I2160" s="609"/>
      <c r="J2160" s="1155"/>
      <c r="K2160" s="609"/>
      <c r="L2160" s="609"/>
      <c r="M2160" s="609"/>
      <c r="N2160" s="599"/>
      <c r="O2160" s="552" t="s">
        <v>1584</v>
      </c>
      <c r="P2160" s="603"/>
      <c r="Q2160" s="682"/>
      <c r="R2160" s="682"/>
      <c r="S2160" s="682"/>
      <c r="T2160" s="682"/>
      <c r="U2160" s="682"/>
      <c r="V2160" s="682"/>
      <c r="W2160" s="682"/>
    </row>
    <row r="2161" spans="1:23">
      <c r="A2161" s="1045">
        <f t="shared" si="34"/>
        <v>9</v>
      </c>
      <c r="B2161" s="134">
        <v>45546</v>
      </c>
      <c r="C2161" s="70">
        <v>2018</v>
      </c>
      <c r="D2161" s="70" t="s">
        <v>58</v>
      </c>
      <c r="E2161" s="280" t="s">
        <v>4079</v>
      </c>
      <c r="F2161" s="1049">
        <v>1.75</v>
      </c>
      <c r="G2161" s="1049"/>
      <c r="H2161" s="564"/>
      <c r="I2161" s="609"/>
      <c r="J2161" s="1155"/>
      <c r="K2161" s="609"/>
      <c r="L2161" s="609"/>
      <c r="M2161" s="609"/>
      <c r="N2161" s="599"/>
      <c r="O2161" s="552" t="s">
        <v>1584</v>
      </c>
      <c r="P2161" s="603"/>
      <c r="Q2161" s="682"/>
      <c r="R2161" s="682"/>
      <c r="S2161" s="682"/>
      <c r="T2161" s="682"/>
      <c r="U2161" s="682"/>
      <c r="V2161" s="682"/>
      <c r="W2161" s="682"/>
    </row>
    <row r="2162" spans="1:23">
      <c r="A2162" s="1045">
        <f t="shared" si="34"/>
        <v>9</v>
      </c>
      <c r="B2162" s="134">
        <v>45546</v>
      </c>
      <c r="C2162" s="70">
        <v>5250</v>
      </c>
      <c r="D2162" s="70" t="s">
        <v>85</v>
      </c>
      <c r="E2162" s="280" t="s">
        <v>4080</v>
      </c>
      <c r="F2162" s="1049">
        <v>9.52</v>
      </c>
      <c r="G2162" s="1049"/>
      <c r="H2162" s="564"/>
      <c r="I2162" s="609"/>
      <c r="J2162" s="1155"/>
      <c r="K2162" s="609"/>
      <c r="L2162" s="609"/>
      <c r="M2162" s="609"/>
      <c r="N2162" s="599"/>
      <c r="O2162" s="552" t="s">
        <v>1584</v>
      </c>
      <c r="P2162" s="603"/>
      <c r="Q2162" s="682"/>
      <c r="R2162" s="682"/>
      <c r="S2162" s="682"/>
      <c r="T2162" s="682"/>
      <c r="U2162" s="682"/>
      <c r="V2162" s="682"/>
      <c r="W2162" s="682"/>
    </row>
    <row r="2163" spans="1:23">
      <c r="A2163" s="1045">
        <f t="shared" si="34"/>
        <v>9</v>
      </c>
      <c r="B2163" s="134">
        <v>45546</v>
      </c>
      <c r="C2163" s="70">
        <v>2018</v>
      </c>
      <c r="D2163" s="70" t="s">
        <v>58</v>
      </c>
      <c r="E2163" s="280" t="s">
        <v>4080</v>
      </c>
      <c r="F2163" s="1049">
        <v>0.48</v>
      </c>
      <c r="G2163" s="1049"/>
      <c r="H2163" s="564"/>
      <c r="I2163" s="609"/>
      <c r="J2163" s="1155"/>
      <c r="K2163" s="609"/>
      <c r="L2163" s="609"/>
      <c r="M2163" s="609"/>
      <c r="N2163" s="599"/>
      <c r="O2163" s="552" t="s">
        <v>1584</v>
      </c>
      <c r="P2163" s="603"/>
      <c r="Q2163" s="682"/>
      <c r="R2163" s="682"/>
      <c r="S2163" s="682"/>
      <c r="T2163" s="682"/>
      <c r="U2163" s="682"/>
      <c r="V2163" s="682"/>
      <c r="W2163" s="682"/>
    </row>
    <row r="2164" spans="1:23">
      <c r="A2164" s="1045">
        <f t="shared" si="34"/>
        <v>9</v>
      </c>
      <c r="B2164" s="134">
        <v>45546</v>
      </c>
      <c r="C2164" s="70">
        <v>5250</v>
      </c>
      <c r="D2164" s="70" t="s">
        <v>85</v>
      </c>
      <c r="E2164" s="280" t="s">
        <v>4080</v>
      </c>
      <c r="F2164" s="1049">
        <v>9.52</v>
      </c>
      <c r="G2164" s="1049"/>
      <c r="H2164" s="564"/>
      <c r="I2164" s="609"/>
      <c r="J2164" s="1155"/>
      <c r="K2164" s="609"/>
      <c r="L2164" s="609"/>
      <c r="M2164" s="609"/>
      <c r="N2164" s="599"/>
      <c r="O2164" s="552" t="s">
        <v>1584</v>
      </c>
      <c r="P2164" s="603"/>
      <c r="Q2164" s="682"/>
      <c r="R2164" s="682"/>
      <c r="S2164" s="682"/>
      <c r="T2164" s="682"/>
      <c r="U2164" s="682"/>
      <c r="V2164" s="682"/>
      <c r="W2164" s="682"/>
    </row>
    <row r="2165" spans="1:23">
      <c r="A2165" s="1045">
        <f t="shared" si="34"/>
        <v>9</v>
      </c>
      <c r="B2165" s="134">
        <v>45546</v>
      </c>
      <c r="C2165" s="70">
        <v>2018</v>
      </c>
      <c r="D2165" s="70" t="s">
        <v>58</v>
      </c>
      <c r="E2165" s="280" t="s">
        <v>4080</v>
      </c>
      <c r="F2165" s="1049">
        <v>0.48</v>
      </c>
      <c r="G2165" s="1049"/>
      <c r="H2165" s="564"/>
      <c r="I2165" s="609"/>
      <c r="J2165" s="1155"/>
      <c r="K2165" s="609"/>
      <c r="L2165" s="609"/>
      <c r="M2165" s="609"/>
      <c r="N2165" s="599"/>
      <c r="O2165" s="552" t="s">
        <v>1584</v>
      </c>
      <c r="P2165" s="603"/>
      <c r="Q2165" s="682"/>
      <c r="R2165" s="682"/>
      <c r="S2165" s="682"/>
      <c r="T2165" s="682"/>
      <c r="U2165" s="682"/>
      <c r="V2165" s="682"/>
      <c r="W2165" s="682"/>
    </row>
    <row r="2166" spans="1:23">
      <c r="A2166" s="1045">
        <f t="shared" si="34"/>
        <v>9</v>
      </c>
      <c r="B2166" s="134">
        <v>45546</v>
      </c>
      <c r="C2166" s="70">
        <v>5250</v>
      </c>
      <c r="D2166" s="70" t="s">
        <v>85</v>
      </c>
      <c r="E2166" s="280" t="s">
        <v>4081</v>
      </c>
      <c r="F2166" s="1049">
        <v>8</v>
      </c>
      <c r="G2166" s="1049"/>
      <c r="H2166" s="564"/>
      <c r="I2166" s="609"/>
      <c r="J2166" s="1155"/>
      <c r="K2166" s="609"/>
      <c r="L2166" s="609"/>
      <c r="M2166" s="609"/>
      <c r="N2166" s="599"/>
      <c r="O2166" s="552" t="s">
        <v>1584</v>
      </c>
      <c r="P2166" s="603"/>
      <c r="Q2166" s="682"/>
      <c r="R2166" s="682"/>
      <c r="S2166" s="682"/>
      <c r="T2166" s="682"/>
      <c r="U2166" s="682"/>
      <c r="V2166" s="682"/>
      <c r="W2166" s="682"/>
    </row>
    <row r="2167" spans="1:23">
      <c r="A2167" s="1045">
        <f t="shared" si="34"/>
        <v>9</v>
      </c>
      <c r="B2167" s="134">
        <v>45546</v>
      </c>
      <c r="C2167" s="70">
        <v>2018</v>
      </c>
      <c r="D2167" s="70" t="s">
        <v>58</v>
      </c>
      <c r="E2167" s="280" t="s">
        <v>4081</v>
      </c>
      <c r="F2167" s="1049">
        <v>0.4</v>
      </c>
      <c r="G2167" s="1049"/>
      <c r="H2167" s="564"/>
      <c r="I2167" s="609"/>
      <c r="J2167" s="1155"/>
      <c r="K2167" s="609"/>
      <c r="L2167" s="609"/>
      <c r="M2167" s="609"/>
      <c r="N2167" s="599"/>
      <c r="O2167" s="552" t="s">
        <v>1584</v>
      </c>
      <c r="P2167" s="603"/>
      <c r="Q2167" s="682"/>
      <c r="R2167" s="682"/>
      <c r="S2167" s="682"/>
      <c r="T2167" s="682"/>
      <c r="U2167" s="682"/>
      <c r="V2167" s="682"/>
      <c r="W2167" s="682"/>
    </row>
    <row r="2168" spans="1:23">
      <c r="A2168" s="1045">
        <f t="shared" si="34"/>
        <v>9</v>
      </c>
      <c r="B2168" s="134">
        <v>45546</v>
      </c>
      <c r="C2168" s="70">
        <v>5250</v>
      </c>
      <c r="D2168" s="70" t="s">
        <v>85</v>
      </c>
      <c r="E2168" s="280" t="s">
        <v>4082</v>
      </c>
      <c r="F2168" s="1049">
        <v>16</v>
      </c>
      <c r="G2168" s="1049"/>
      <c r="H2168" s="564"/>
      <c r="I2168" s="609"/>
      <c r="J2168" s="1155"/>
      <c r="K2168" s="609"/>
      <c r="L2168" s="609"/>
      <c r="M2168" s="609"/>
      <c r="N2168" s="599"/>
      <c r="O2168" s="552" t="s">
        <v>1584</v>
      </c>
      <c r="P2168" s="603"/>
      <c r="Q2168" s="682"/>
      <c r="R2168" s="682"/>
      <c r="S2168" s="682"/>
      <c r="T2168" s="682"/>
      <c r="U2168" s="682"/>
      <c r="V2168" s="682"/>
      <c r="W2168" s="682"/>
    </row>
    <row r="2169" spans="1:23">
      <c r="A2169" s="1045">
        <f t="shared" si="34"/>
        <v>9</v>
      </c>
      <c r="B2169" s="134">
        <v>45546</v>
      </c>
      <c r="C2169" s="70">
        <v>2018</v>
      </c>
      <c r="D2169" s="70" t="s">
        <v>58</v>
      </c>
      <c r="E2169" s="280" t="s">
        <v>4082</v>
      </c>
      <c r="F2169" s="1049">
        <v>0.8</v>
      </c>
      <c r="G2169" s="1049"/>
      <c r="H2169" s="564"/>
      <c r="I2169" s="609"/>
      <c r="J2169" s="1155"/>
      <c r="K2169" s="609"/>
      <c r="L2169" s="609"/>
      <c r="M2169" s="609"/>
      <c r="N2169" s="599"/>
      <c r="O2169" s="552" t="s">
        <v>1584</v>
      </c>
      <c r="P2169" s="603"/>
      <c r="Q2169" s="682"/>
      <c r="R2169" s="682"/>
      <c r="S2169" s="682"/>
      <c r="T2169" s="682"/>
      <c r="U2169" s="682"/>
      <c r="V2169" s="682"/>
      <c r="W2169" s="682"/>
    </row>
    <row r="2170" spans="1:23">
      <c r="A2170" s="1045">
        <f t="shared" si="34"/>
        <v>9</v>
      </c>
      <c r="B2170" s="134">
        <v>45546</v>
      </c>
      <c r="C2170" s="70">
        <v>5250</v>
      </c>
      <c r="D2170" s="70" t="s">
        <v>85</v>
      </c>
      <c r="E2170" s="280" t="s">
        <v>4083</v>
      </c>
      <c r="F2170" s="1049">
        <v>1207.99</v>
      </c>
      <c r="G2170" s="1049"/>
      <c r="H2170" s="564"/>
      <c r="I2170" s="609"/>
      <c r="J2170" s="1155"/>
      <c r="K2170" s="609"/>
      <c r="L2170" s="609"/>
      <c r="M2170" s="609"/>
      <c r="N2170" s="599"/>
      <c r="O2170" s="552" t="s">
        <v>1584</v>
      </c>
      <c r="P2170" s="603"/>
      <c r="Q2170" s="682"/>
      <c r="R2170" s="682"/>
      <c r="S2170" s="682"/>
      <c r="T2170" s="682"/>
      <c r="U2170" s="682"/>
      <c r="V2170" s="682"/>
      <c r="W2170" s="682"/>
    </row>
    <row r="2171" spans="1:23">
      <c r="A2171" s="1045">
        <f t="shared" si="34"/>
        <v>9</v>
      </c>
      <c r="B2171" s="134">
        <v>45546</v>
      </c>
      <c r="C2171" s="70">
        <v>2018</v>
      </c>
      <c r="D2171" s="70" t="s">
        <v>58</v>
      </c>
      <c r="E2171" s="280" t="s">
        <v>4083</v>
      </c>
      <c r="F2171" s="1049">
        <v>60.4</v>
      </c>
      <c r="G2171" s="1049"/>
      <c r="H2171" s="564"/>
      <c r="I2171" s="609"/>
      <c r="J2171" s="1155"/>
      <c r="K2171" s="609"/>
      <c r="L2171" s="609"/>
      <c r="M2171" s="609"/>
      <c r="N2171" s="599"/>
      <c r="O2171" s="552" t="s">
        <v>1584</v>
      </c>
      <c r="P2171" s="603"/>
      <c r="Q2171" s="682"/>
      <c r="R2171" s="682"/>
      <c r="S2171" s="682"/>
      <c r="T2171" s="682"/>
      <c r="U2171" s="682"/>
      <c r="V2171" s="682"/>
      <c r="W2171" s="682"/>
    </row>
    <row r="2172" spans="1:23">
      <c r="A2172" s="1045">
        <f t="shared" si="34"/>
        <v>9</v>
      </c>
      <c r="B2172" s="134">
        <v>45546</v>
      </c>
      <c r="C2172" s="70">
        <v>5250</v>
      </c>
      <c r="D2172" s="70" t="s">
        <v>85</v>
      </c>
      <c r="E2172" s="280" t="s">
        <v>4084</v>
      </c>
      <c r="F2172" s="1049">
        <v>380.5</v>
      </c>
      <c r="G2172" s="1049"/>
      <c r="H2172" s="564"/>
      <c r="I2172" s="609"/>
      <c r="J2172" s="1155"/>
      <c r="K2172" s="609"/>
      <c r="L2172" s="609"/>
      <c r="M2172" s="609"/>
      <c r="N2172" s="599"/>
      <c r="O2172" s="552" t="s">
        <v>1584</v>
      </c>
      <c r="P2172" s="603"/>
      <c r="Q2172" s="682"/>
      <c r="R2172" s="682"/>
      <c r="S2172" s="682"/>
      <c r="T2172" s="682"/>
      <c r="U2172" s="682"/>
      <c r="V2172" s="682"/>
      <c r="W2172" s="682"/>
    </row>
    <row r="2173" spans="1:23">
      <c r="A2173" s="1045">
        <f t="shared" si="34"/>
        <v>9</v>
      </c>
      <c r="B2173" s="134">
        <v>45546</v>
      </c>
      <c r="C2173" s="70">
        <v>2018</v>
      </c>
      <c r="D2173" s="70" t="s">
        <v>58</v>
      </c>
      <c r="E2173" s="280" t="s">
        <v>4084</v>
      </c>
      <c r="F2173" s="1049">
        <v>19.03</v>
      </c>
      <c r="G2173" s="1049"/>
      <c r="H2173" s="564"/>
      <c r="I2173" s="609"/>
      <c r="J2173" s="1155"/>
      <c r="K2173" s="609"/>
      <c r="L2173" s="609"/>
      <c r="M2173" s="609"/>
      <c r="N2173" s="599"/>
      <c r="O2173" s="552" t="s">
        <v>1584</v>
      </c>
      <c r="P2173" s="603"/>
      <c r="Q2173" s="682"/>
      <c r="R2173" s="682"/>
      <c r="S2173" s="682"/>
      <c r="T2173" s="682"/>
      <c r="U2173" s="682"/>
      <c r="V2173" s="682"/>
      <c r="W2173" s="682"/>
    </row>
    <row r="2174" spans="1:23">
      <c r="A2174" s="1045">
        <f t="shared" si="34"/>
        <v>9</v>
      </c>
      <c r="B2174" s="134">
        <v>45547</v>
      </c>
      <c r="C2174" s="70">
        <v>5250</v>
      </c>
      <c r="D2174" s="70" t="s">
        <v>85</v>
      </c>
      <c r="E2174" s="280" t="s">
        <v>4085</v>
      </c>
      <c r="F2174" s="1049">
        <v>47.5</v>
      </c>
      <c r="G2174" s="1049"/>
      <c r="H2174" s="564"/>
      <c r="I2174" s="609"/>
      <c r="J2174" s="1155"/>
      <c r="K2174" s="609"/>
      <c r="L2174" s="609"/>
      <c r="M2174" s="609"/>
      <c r="N2174" s="599"/>
      <c r="O2174" s="552" t="s">
        <v>1584</v>
      </c>
      <c r="P2174" s="603"/>
      <c r="Q2174" s="682"/>
      <c r="R2174" s="682"/>
      <c r="S2174" s="682"/>
      <c r="T2174" s="682"/>
      <c r="U2174" s="682"/>
      <c r="V2174" s="682"/>
      <c r="W2174" s="682"/>
    </row>
    <row r="2175" spans="1:23">
      <c r="A2175" s="1045">
        <f t="shared" si="34"/>
        <v>9</v>
      </c>
      <c r="B2175" s="134">
        <v>45547</v>
      </c>
      <c r="C2175" s="70">
        <v>2018</v>
      </c>
      <c r="D2175" s="70" t="s">
        <v>58</v>
      </c>
      <c r="E2175" s="280" t="s">
        <v>4085</v>
      </c>
      <c r="F2175" s="1049">
        <v>2.38</v>
      </c>
      <c r="G2175" s="1049"/>
      <c r="H2175" s="564"/>
      <c r="I2175" s="609"/>
      <c r="J2175" s="1155"/>
      <c r="K2175" s="609"/>
      <c r="L2175" s="609"/>
      <c r="M2175" s="609"/>
      <c r="N2175" s="599"/>
      <c r="O2175" s="552" t="s">
        <v>1584</v>
      </c>
      <c r="P2175" s="603"/>
      <c r="Q2175" s="682"/>
      <c r="R2175" s="682"/>
      <c r="S2175" s="682"/>
      <c r="T2175" s="682"/>
      <c r="U2175" s="682"/>
      <c r="V2175" s="682"/>
      <c r="W2175" s="682"/>
    </row>
    <row r="2176" spans="1:23">
      <c r="A2176" s="1045">
        <f t="shared" si="34"/>
        <v>9</v>
      </c>
      <c r="B2176" s="134">
        <v>45547</v>
      </c>
      <c r="C2176" s="70">
        <v>5250</v>
      </c>
      <c r="D2176" s="70" t="s">
        <v>85</v>
      </c>
      <c r="E2176" s="280" t="s">
        <v>4086</v>
      </c>
      <c r="F2176" s="1049">
        <v>80</v>
      </c>
      <c r="G2176" s="1049"/>
      <c r="H2176" s="564"/>
      <c r="I2176" s="609"/>
      <c r="J2176" s="1155"/>
      <c r="K2176" s="609"/>
      <c r="L2176" s="609"/>
      <c r="M2176" s="609"/>
      <c r="N2176" s="599"/>
      <c r="O2176" s="552" t="s">
        <v>1584</v>
      </c>
      <c r="P2176" s="603"/>
      <c r="Q2176" s="682"/>
      <c r="R2176" s="682"/>
      <c r="S2176" s="682"/>
      <c r="T2176" s="682"/>
      <c r="U2176" s="682"/>
      <c r="V2176" s="682"/>
      <c r="W2176" s="682"/>
    </row>
    <row r="2177" spans="1:23">
      <c r="A2177" s="1045">
        <f t="shared" si="34"/>
        <v>9</v>
      </c>
      <c r="B2177" s="134">
        <v>45547</v>
      </c>
      <c r="C2177" s="70">
        <v>2018</v>
      </c>
      <c r="D2177" s="70" t="s">
        <v>58</v>
      </c>
      <c r="E2177" s="280" t="s">
        <v>4086</v>
      </c>
      <c r="F2177" s="1049">
        <v>4</v>
      </c>
      <c r="G2177" s="1049"/>
      <c r="H2177" s="564"/>
      <c r="I2177" s="609"/>
      <c r="J2177" s="1155"/>
      <c r="K2177" s="609"/>
      <c r="L2177" s="609"/>
      <c r="M2177" s="609"/>
      <c r="N2177" s="599"/>
      <c r="O2177" s="552" t="s">
        <v>1584</v>
      </c>
      <c r="P2177" s="603"/>
      <c r="Q2177" s="682"/>
      <c r="R2177" s="682"/>
      <c r="S2177" s="682"/>
      <c r="T2177" s="682"/>
      <c r="U2177" s="682"/>
      <c r="V2177" s="682"/>
      <c r="W2177" s="682"/>
    </row>
    <row r="2178" spans="1:23">
      <c r="A2178" s="1045">
        <f t="shared" si="34"/>
        <v>9</v>
      </c>
      <c r="B2178" s="134">
        <v>45548</v>
      </c>
      <c r="C2178" s="70">
        <v>5200</v>
      </c>
      <c r="D2178" s="70" t="s">
        <v>83</v>
      </c>
      <c r="E2178" s="280" t="s">
        <v>4087</v>
      </c>
      <c r="F2178" s="1049">
        <v>8285.7999999999993</v>
      </c>
      <c r="G2178" s="1049"/>
      <c r="H2178" s="564"/>
      <c r="I2178" s="609"/>
      <c r="J2178" s="1155"/>
      <c r="K2178" s="609"/>
      <c r="L2178" s="609"/>
      <c r="M2178" s="609"/>
      <c r="N2178" s="599"/>
      <c r="O2178" s="552" t="s">
        <v>1584</v>
      </c>
      <c r="P2178" s="603"/>
      <c r="Q2178" s="682"/>
      <c r="R2178" s="682"/>
      <c r="S2178" s="682"/>
      <c r="T2178" s="682"/>
      <c r="U2178" s="682"/>
      <c r="V2178" s="682"/>
      <c r="W2178" s="682"/>
    </row>
    <row r="2179" spans="1:23">
      <c r="A2179" s="1045">
        <f t="shared" si="34"/>
        <v>9</v>
      </c>
      <c r="B2179" s="134">
        <v>45548</v>
      </c>
      <c r="C2179" s="70">
        <v>2018</v>
      </c>
      <c r="D2179" s="70" t="s">
        <v>58</v>
      </c>
      <c r="E2179" s="280" t="s">
        <v>4087</v>
      </c>
      <c r="F2179" s="1049">
        <v>414.29</v>
      </c>
      <c r="G2179" s="1049"/>
      <c r="H2179" s="564"/>
      <c r="I2179" s="609"/>
      <c r="J2179" s="1155"/>
      <c r="K2179" s="609"/>
      <c r="L2179" s="609"/>
      <c r="M2179" s="609"/>
      <c r="N2179" s="599"/>
      <c r="O2179" s="552" t="s">
        <v>1584</v>
      </c>
      <c r="P2179" s="603"/>
      <c r="Q2179" s="682"/>
      <c r="R2179" s="682"/>
      <c r="S2179" s="682"/>
      <c r="T2179" s="682"/>
      <c r="U2179" s="682"/>
      <c r="V2179" s="682"/>
      <c r="W2179" s="682"/>
    </row>
    <row r="2180" spans="1:23">
      <c r="A2180" s="1045">
        <f t="shared" si="34"/>
        <v>9</v>
      </c>
      <c r="B2180" s="134">
        <v>45548</v>
      </c>
      <c r="C2180" s="70">
        <v>5250</v>
      </c>
      <c r="D2180" s="70" t="s">
        <v>85</v>
      </c>
      <c r="E2180" s="280" t="s">
        <v>4088</v>
      </c>
      <c r="F2180" s="1049">
        <v>560</v>
      </c>
      <c r="G2180" s="1049"/>
      <c r="H2180" s="564"/>
      <c r="I2180" s="609"/>
      <c r="J2180" s="1155"/>
      <c r="K2180" s="609"/>
      <c r="L2180" s="609"/>
      <c r="M2180" s="609"/>
      <c r="N2180" s="599"/>
      <c r="O2180" s="552" t="s">
        <v>1584</v>
      </c>
      <c r="P2180" s="603"/>
      <c r="Q2180" s="682"/>
      <c r="R2180" s="682"/>
      <c r="S2180" s="682"/>
      <c r="T2180" s="682"/>
      <c r="U2180" s="682"/>
      <c r="V2180" s="682"/>
      <c r="W2180" s="682"/>
    </row>
    <row r="2181" spans="1:23">
      <c r="A2181" s="1045">
        <f t="shared" si="34"/>
        <v>9</v>
      </c>
      <c r="B2181" s="134">
        <v>45548</v>
      </c>
      <c r="C2181" s="70">
        <v>2018</v>
      </c>
      <c r="D2181" s="70" t="s">
        <v>58</v>
      </c>
      <c r="E2181" s="280" t="s">
        <v>4088</v>
      </c>
      <c r="F2181" s="1049">
        <v>28</v>
      </c>
      <c r="G2181" s="1049"/>
      <c r="H2181" s="564"/>
      <c r="I2181" s="609"/>
      <c r="J2181" s="1155"/>
      <c r="K2181" s="609"/>
      <c r="L2181" s="609"/>
      <c r="M2181" s="609"/>
      <c r="N2181" s="599"/>
      <c r="O2181" s="552" t="s">
        <v>1584</v>
      </c>
      <c r="P2181" s="603"/>
      <c r="Q2181" s="682"/>
      <c r="R2181" s="682"/>
      <c r="S2181" s="682"/>
      <c r="T2181" s="682"/>
      <c r="U2181" s="682"/>
      <c r="V2181" s="682"/>
      <c r="W2181" s="682"/>
    </row>
    <row r="2182" spans="1:23">
      <c r="A2182" s="1045">
        <f t="shared" si="34"/>
        <v>9</v>
      </c>
      <c r="B2182" s="134">
        <v>45548</v>
      </c>
      <c r="C2182" s="70">
        <v>5250</v>
      </c>
      <c r="D2182" s="70" t="s">
        <v>85</v>
      </c>
      <c r="E2182" s="280" t="s">
        <v>4089</v>
      </c>
      <c r="F2182" s="1049">
        <v>2660</v>
      </c>
      <c r="G2182" s="1049"/>
      <c r="H2182" s="564"/>
      <c r="I2182" s="609"/>
      <c r="J2182" s="1155"/>
      <c r="K2182" s="609"/>
      <c r="L2182" s="609"/>
      <c r="M2182" s="609"/>
      <c r="N2182" s="599"/>
      <c r="O2182" s="552" t="s">
        <v>1584</v>
      </c>
      <c r="P2182" s="603"/>
      <c r="Q2182" s="682"/>
      <c r="R2182" s="682"/>
      <c r="S2182" s="682"/>
      <c r="T2182" s="682"/>
      <c r="U2182" s="682"/>
      <c r="V2182" s="682"/>
      <c r="W2182" s="682"/>
    </row>
    <row r="2183" spans="1:23">
      <c r="A2183" s="1045">
        <f t="shared" si="34"/>
        <v>9</v>
      </c>
      <c r="B2183" s="134">
        <v>45548</v>
      </c>
      <c r="C2183" s="70">
        <v>2018</v>
      </c>
      <c r="D2183" s="70" t="s">
        <v>58</v>
      </c>
      <c r="E2183" s="280" t="s">
        <v>4089</v>
      </c>
      <c r="F2183" s="1049">
        <v>133</v>
      </c>
      <c r="G2183" s="1049"/>
      <c r="H2183" s="564"/>
      <c r="I2183" s="609"/>
      <c r="J2183" s="1155"/>
      <c r="K2183" s="609"/>
      <c r="L2183" s="609"/>
      <c r="M2183" s="609"/>
      <c r="N2183" s="599"/>
      <c r="O2183" s="552" t="s">
        <v>1584</v>
      </c>
      <c r="P2183" s="603"/>
      <c r="Q2183" s="682"/>
      <c r="R2183" s="682"/>
      <c r="S2183" s="682"/>
      <c r="T2183" s="682"/>
      <c r="U2183" s="682"/>
      <c r="V2183" s="682"/>
      <c r="W2183" s="682"/>
    </row>
    <row r="2184" spans="1:23">
      <c r="A2184" s="1045">
        <f t="shared" si="34"/>
        <v>9</v>
      </c>
      <c r="B2184" s="134">
        <v>45548</v>
      </c>
      <c r="C2184" s="70">
        <v>5220</v>
      </c>
      <c r="D2184" s="70" t="s">
        <v>84</v>
      </c>
      <c r="E2184" s="280" t="s">
        <v>4090</v>
      </c>
      <c r="F2184" s="1049">
        <v>1668</v>
      </c>
      <c r="G2184" s="1049"/>
      <c r="H2184" s="564"/>
      <c r="I2184" s="609"/>
      <c r="J2184" s="1155"/>
      <c r="K2184" s="609"/>
      <c r="L2184" s="609"/>
      <c r="M2184" s="609"/>
      <c r="N2184" s="599"/>
      <c r="O2184" s="552" t="s">
        <v>1584</v>
      </c>
      <c r="P2184" s="603"/>
      <c r="Q2184" s="682"/>
      <c r="R2184" s="682"/>
      <c r="S2184" s="682"/>
      <c r="T2184" s="682"/>
      <c r="U2184" s="682"/>
      <c r="V2184" s="682"/>
      <c r="W2184" s="682"/>
    </row>
    <row r="2185" spans="1:23">
      <c r="A2185" s="1045">
        <f t="shared" si="34"/>
        <v>9</v>
      </c>
      <c r="B2185" s="134">
        <v>45548</v>
      </c>
      <c r="C2185" s="70">
        <v>2018</v>
      </c>
      <c r="D2185" s="70" t="s">
        <v>58</v>
      </c>
      <c r="E2185" s="280" t="s">
        <v>4090</v>
      </c>
      <c r="F2185" s="1049">
        <v>84.4</v>
      </c>
      <c r="G2185" s="1049"/>
      <c r="H2185" s="564"/>
      <c r="I2185" s="609"/>
      <c r="J2185" s="1155"/>
      <c r="K2185" s="609"/>
      <c r="L2185" s="609"/>
      <c r="M2185" s="609"/>
      <c r="N2185" s="599"/>
      <c r="O2185" s="552" t="s">
        <v>1584</v>
      </c>
      <c r="P2185" s="603"/>
      <c r="Q2185" s="682"/>
      <c r="R2185" s="682"/>
      <c r="S2185" s="682"/>
      <c r="T2185" s="682"/>
      <c r="U2185" s="682"/>
      <c r="V2185" s="682"/>
      <c r="W2185" s="682"/>
    </row>
    <row r="2186" spans="1:23">
      <c r="A2186" s="1045">
        <f t="shared" si="34"/>
        <v>9</v>
      </c>
      <c r="B2186" s="134">
        <v>45548</v>
      </c>
      <c r="C2186" s="70">
        <v>5250</v>
      </c>
      <c r="D2186" s="70" t="s">
        <v>85</v>
      </c>
      <c r="E2186" s="280" t="s">
        <v>4091</v>
      </c>
      <c r="F2186" s="1049">
        <v>823</v>
      </c>
      <c r="G2186" s="1049"/>
      <c r="H2186" s="564"/>
      <c r="I2186" s="609"/>
      <c r="J2186" s="1155"/>
      <c r="K2186" s="609"/>
      <c r="L2186" s="609"/>
      <c r="M2186" s="609"/>
      <c r="N2186" s="599"/>
      <c r="O2186" s="552" t="s">
        <v>1584</v>
      </c>
      <c r="P2186" s="603"/>
      <c r="Q2186" s="682"/>
      <c r="R2186" s="682"/>
      <c r="S2186" s="682"/>
      <c r="T2186" s="682"/>
      <c r="U2186" s="682"/>
      <c r="V2186" s="682"/>
      <c r="W2186" s="682"/>
    </row>
    <row r="2187" spans="1:23">
      <c r="A2187" s="1045">
        <f t="shared" si="34"/>
        <v>9</v>
      </c>
      <c r="B2187" s="134">
        <v>45548</v>
      </c>
      <c r="C2187" s="70">
        <v>2018</v>
      </c>
      <c r="D2187" s="70" t="s">
        <v>58</v>
      </c>
      <c r="E2187" s="280" t="s">
        <v>4091</v>
      </c>
      <c r="F2187" s="1049">
        <v>41.14</v>
      </c>
      <c r="G2187" s="1049"/>
      <c r="H2187" s="564"/>
      <c r="I2187" s="609"/>
      <c r="J2187" s="1155"/>
      <c r="K2187" s="609"/>
      <c r="L2187" s="609"/>
      <c r="M2187" s="609"/>
      <c r="N2187" s="599"/>
      <c r="O2187" s="552" t="s">
        <v>1584</v>
      </c>
      <c r="P2187" s="603"/>
      <c r="Q2187" s="682"/>
      <c r="R2187" s="682"/>
      <c r="S2187" s="682"/>
      <c r="T2187" s="682"/>
      <c r="U2187" s="682"/>
      <c r="V2187" s="682"/>
      <c r="W2187" s="682"/>
    </row>
    <row r="2188" spans="1:23">
      <c r="A2188" s="1045">
        <f t="shared" si="34"/>
        <v>9</v>
      </c>
      <c r="B2188" s="134">
        <v>45548</v>
      </c>
      <c r="C2188" s="70">
        <v>5250</v>
      </c>
      <c r="D2188" s="70" t="s">
        <v>85</v>
      </c>
      <c r="E2188" s="280" t="s">
        <v>4092</v>
      </c>
      <c r="F2188" s="1049">
        <v>30</v>
      </c>
      <c r="G2188" s="1049"/>
      <c r="H2188" s="564"/>
      <c r="I2188" s="609"/>
      <c r="J2188" s="1155"/>
      <c r="K2188" s="609"/>
      <c r="L2188" s="609"/>
      <c r="M2188" s="609"/>
      <c r="N2188" s="599"/>
      <c r="O2188" s="552" t="s">
        <v>1584</v>
      </c>
      <c r="P2188" s="603"/>
      <c r="Q2188" s="682"/>
      <c r="R2188" s="682"/>
      <c r="S2188" s="682"/>
      <c r="T2188" s="682"/>
      <c r="U2188" s="682"/>
      <c r="V2188" s="682"/>
      <c r="W2188" s="682"/>
    </row>
    <row r="2189" spans="1:23">
      <c r="A2189" s="1045">
        <f t="shared" si="34"/>
        <v>9</v>
      </c>
      <c r="B2189" s="134">
        <v>45548</v>
      </c>
      <c r="C2189" s="70">
        <v>5250</v>
      </c>
      <c r="D2189" s="70" t="s">
        <v>85</v>
      </c>
      <c r="E2189" s="280" t="s">
        <v>4092</v>
      </c>
      <c r="F2189" s="1049">
        <v>2.89</v>
      </c>
      <c r="G2189" s="1049"/>
      <c r="H2189" s="564"/>
      <c r="I2189" s="609"/>
      <c r="J2189" s="1155"/>
      <c r="K2189" s="609"/>
      <c r="L2189" s="609"/>
      <c r="M2189" s="609"/>
      <c r="N2189" s="599"/>
      <c r="O2189" s="552" t="s">
        <v>1584</v>
      </c>
      <c r="P2189" s="603"/>
      <c r="Q2189" s="682"/>
      <c r="R2189" s="682"/>
      <c r="S2189" s="682"/>
      <c r="T2189" s="682"/>
      <c r="U2189" s="682"/>
      <c r="V2189" s="682"/>
      <c r="W2189" s="682"/>
    </row>
    <row r="2190" spans="1:23">
      <c r="A2190" s="1045">
        <f t="shared" si="34"/>
        <v>9</v>
      </c>
      <c r="B2190" s="134">
        <v>45548</v>
      </c>
      <c r="C2190" s="70">
        <v>5250</v>
      </c>
      <c r="D2190" s="70" t="s">
        <v>85</v>
      </c>
      <c r="E2190" s="280" t="s">
        <v>4092</v>
      </c>
      <c r="F2190" s="1049">
        <v>8</v>
      </c>
      <c r="G2190" s="1049"/>
      <c r="H2190" s="564"/>
      <c r="I2190" s="609"/>
      <c r="J2190" s="1155"/>
      <c r="K2190" s="609"/>
      <c r="L2190" s="609"/>
      <c r="M2190" s="609"/>
      <c r="N2190" s="599"/>
      <c r="O2190" s="552" t="s">
        <v>1584</v>
      </c>
      <c r="P2190" s="603"/>
      <c r="Q2190" s="682"/>
      <c r="R2190" s="682"/>
      <c r="S2190" s="682"/>
      <c r="T2190" s="682"/>
      <c r="U2190" s="682"/>
      <c r="V2190" s="682"/>
      <c r="W2190" s="682"/>
    </row>
    <row r="2191" spans="1:23">
      <c r="A2191" s="1045">
        <f t="shared" si="34"/>
        <v>9</v>
      </c>
      <c r="B2191" s="134">
        <v>45548</v>
      </c>
      <c r="C2191" s="70">
        <v>5250</v>
      </c>
      <c r="D2191" s="70" t="s">
        <v>85</v>
      </c>
      <c r="E2191" s="280" t="s">
        <v>4092</v>
      </c>
      <c r="F2191" s="1049">
        <v>4.75</v>
      </c>
      <c r="G2191" s="1049"/>
      <c r="H2191" s="564"/>
      <c r="I2191" s="609"/>
      <c r="J2191" s="1155"/>
      <c r="K2191" s="609"/>
      <c r="L2191" s="609"/>
      <c r="M2191" s="609"/>
      <c r="N2191" s="599"/>
      <c r="O2191" s="552" t="s">
        <v>1584</v>
      </c>
      <c r="P2191" s="603"/>
      <c r="Q2191" s="682"/>
      <c r="R2191" s="682"/>
      <c r="S2191" s="682"/>
      <c r="T2191" s="682"/>
      <c r="U2191" s="682"/>
      <c r="V2191" s="682"/>
      <c r="W2191" s="682"/>
    </row>
    <row r="2192" spans="1:23">
      <c r="A2192" s="1045">
        <f t="shared" si="34"/>
        <v>9</v>
      </c>
      <c r="B2192" s="134">
        <v>45548</v>
      </c>
      <c r="C2192" s="70">
        <v>5250</v>
      </c>
      <c r="D2192" s="70" t="s">
        <v>85</v>
      </c>
      <c r="E2192" s="280" t="s">
        <v>4092</v>
      </c>
      <c r="F2192" s="1049">
        <v>10</v>
      </c>
      <c r="G2192" s="1049"/>
      <c r="H2192" s="564"/>
      <c r="I2192" s="609"/>
      <c r="J2192" s="1155"/>
      <c r="K2192" s="609"/>
      <c r="L2192" s="609"/>
      <c r="M2192" s="609"/>
      <c r="N2192" s="599"/>
      <c r="O2192" s="552" t="s">
        <v>1584</v>
      </c>
      <c r="P2192" s="603"/>
      <c r="Q2192" s="682"/>
      <c r="R2192" s="682"/>
      <c r="S2192" s="682"/>
      <c r="T2192" s="682"/>
      <c r="U2192" s="682"/>
      <c r="V2192" s="682"/>
      <c r="W2192" s="682"/>
    </row>
    <row r="2193" spans="1:23">
      <c r="A2193" s="1045">
        <f t="shared" si="34"/>
        <v>9</v>
      </c>
      <c r="B2193" s="134">
        <v>45548</v>
      </c>
      <c r="C2193" s="70">
        <v>5250</v>
      </c>
      <c r="D2193" s="70" t="s">
        <v>85</v>
      </c>
      <c r="E2193" s="280" t="s">
        <v>4092</v>
      </c>
      <c r="F2193" s="1049">
        <v>8</v>
      </c>
      <c r="G2193" s="1049"/>
      <c r="H2193" s="564"/>
      <c r="I2193" s="609"/>
      <c r="J2193" s="1155"/>
      <c r="K2193" s="609"/>
      <c r="L2193" s="609"/>
      <c r="M2193" s="609"/>
      <c r="N2193" s="599"/>
      <c r="O2193" s="552" t="s">
        <v>1584</v>
      </c>
      <c r="P2193" s="603"/>
      <c r="Q2193" s="682"/>
      <c r="R2193" s="682"/>
      <c r="S2193" s="682"/>
      <c r="T2193" s="682"/>
      <c r="U2193" s="682"/>
      <c r="V2193" s="682"/>
      <c r="W2193" s="682"/>
    </row>
    <row r="2194" spans="1:23">
      <c r="A2194" s="1045">
        <f t="shared" si="34"/>
        <v>9</v>
      </c>
      <c r="B2194" s="134">
        <v>45548</v>
      </c>
      <c r="C2194" s="70">
        <v>2018</v>
      </c>
      <c r="D2194" s="70" t="s">
        <v>58</v>
      </c>
      <c r="E2194" s="280" t="s">
        <v>4092</v>
      </c>
      <c r="F2194" s="1049">
        <v>2</v>
      </c>
      <c r="G2194" s="1049"/>
      <c r="H2194" s="564"/>
      <c r="I2194" s="609"/>
      <c r="J2194" s="1155"/>
      <c r="K2194" s="609"/>
      <c r="L2194" s="609"/>
      <c r="M2194" s="609"/>
      <c r="N2194" s="599"/>
      <c r="O2194" s="552" t="s">
        <v>1584</v>
      </c>
      <c r="P2194" s="603"/>
      <c r="Q2194" s="682"/>
      <c r="R2194" s="682"/>
      <c r="S2194" s="682"/>
      <c r="T2194" s="682"/>
      <c r="U2194" s="682"/>
      <c r="V2194" s="682"/>
      <c r="W2194" s="682"/>
    </row>
    <row r="2195" spans="1:23">
      <c r="A2195" s="1045">
        <f t="shared" si="34"/>
        <v>9</v>
      </c>
      <c r="B2195" s="134">
        <v>45550</v>
      </c>
      <c r="C2195" s="70">
        <v>5250</v>
      </c>
      <c r="D2195" s="70" t="s">
        <v>85</v>
      </c>
      <c r="E2195" s="280" t="s">
        <v>4093</v>
      </c>
      <c r="F2195" s="1049">
        <v>675</v>
      </c>
      <c r="G2195" s="1049"/>
      <c r="H2195" s="564"/>
      <c r="I2195" s="609"/>
      <c r="J2195" s="1155"/>
      <c r="K2195" s="609"/>
      <c r="L2195" s="609"/>
      <c r="M2195" s="609"/>
      <c r="N2195" s="599"/>
      <c r="O2195" s="552" t="s">
        <v>1584</v>
      </c>
      <c r="P2195" s="603"/>
      <c r="Q2195" s="682"/>
      <c r="R2195" s="682"/>
      <c r="S2195" s="682"/>
      <c r="T2195" s="682"/>
      <c r="U2195" s="682"/>
      <c r="V2195" s="682"/>
      <c r="W2195" s="682"/>
    </row>
    <row r="2196" spans="1:23">
      <c r="A2196" s="1045">
        <f t="shared" si="34"/>
        <v>9</v>
      </c>
      <c r="B2196" s="134">
        <v>45550</v>
      </c>
      <c r="C2196" s="70">
        <v>2018</v>
      </c>
      <c r="D2196" s="70" t="s">
        <v>58</v>
      </c>
      <c r="E2196" s="280" t="s">
        <v>4093</v>
      </c>
      <c r="F2196" s="1049">
        <v>33.75</v>
      </c>
      <c r="G2196" s="1049"/>
      <c r="H2196" s="564"/>
      <c r="I2196" s="609"/>
      <c r="J2196" s="1155"/>
      <c r="K2196" s="609"/>
      <c r="L2196" s="609"/>
      <c r="M2196" s="609"/>
      <c r="N2196" s="599"/>
      <c r="O2196" s="552" t="s">
        <v>1584</v>
      </c>
      <c r="P2196" s="603"/>
      <c r="Q2196" s="682"/>
      <c r="R2196" s="682"/>
      <c r="S2196" s="682"/>
      <c r="T2196" s="682"/>
      <c r="U2196" s="682"/>
      <c r="V2196" s="682"/>
      <c r="W2196" s="682"/>
    </row>
    <row r="2197" spans="1:23">
      <c r="A2197" s="1045">
        <f t="shared" ref="A2197:A2260" si="35">IF(B2197="","",MONTH(B2197))</f>
        <v>9</v>
      </c>
      <c r="B2197" s="134">
        <v>45551</v>
      </c>
      <c r="C2197" s="70">
        <v>5250</v>
      </c>
      <c r="D2197" s="70" t="s">
        <v>85</v>
      </c>
      <c r="E2197" s="280" t="s">
        <v>4094</v>
      </c>
      <c r="F2197" s="1049">
        <v>22</v>
      </c>
      <c r="G2197" s="1049"/>
      <c r="H2197" s="564"/>
      <c r="I2197" s="609"/>
      <c r="J2197" s="1155"/>
      <c r="K2197" s="609"/>
      <c r="L2197" s="609"/>
      <c r="M2197" s="609"/>
      <c r="N2197" s="599"/>
      <c r="O2197" s="552" t="s">
        <v>1584</v>
      </c>
      <c r="P2197" s="603"/>
      <c r="Q2197" s="682"/>
      <c r="R2197" s="682"/>
      <c r="S2197" s="682"/>
      <c r="T2197" s="682"/>
      <c r="U2197" s="682"/>
      <c r="V2197" s="682"/>
      <c r="W2197" s="682"/>
    </row>
    <row r="2198" spans="1:23">
      <c r="A2198" s="1045">
        <f t="shared" si="35"/>
        <v>9</v>
      </c>
      <c r="B2198" s="134">
        <v>45551</v>
      </c>
      <c r="C2198" s="70">
        <v>2018</v>
      </c>
      <c r="D2198" s="70" t="s">
        <v>58</v>
      </c>
      <c r="E2198" s="280" t="s">
        <v>4094</v>
      </c>
      <c r="F2198" s="1049">
        <v>1.1000000000000001</v>
      </c>
      <c r="G2198" s="1049"/>
      <c r="H2198" s="564"/>
      <c r="I2198" s="609"/>
      <c r="J2198" s="1155"/>
      <c r="K2198" s="609"/>
      <c r="L2198" s="609"/>
      <c r="M2198" s="609"/>
      <c r="N2198" s="599"/>
      <c r="O2198" s="552" t="s">
        <v>1584</v>
      </c>
      <c r="P2198" s="603"/>
      <c r="Q2198" s="682"/>
      <c r="R2198" s="682"/>
      <c r="S2198" s="682"/>
      <c r="T2198" s="682"/>
      <c r="U2198" s="682"/>
      <c r="V2198" s="682"/>
      <c r="W2198" s="682"/>
    </row>
    <row r="2199" spans="1:23">
      <c r="A2199" s="1045">
        <f t="shared" si="35"/>
        <v>9</v>
      </c>
      <c r="B2199" s="134">
        <v>45551</v>
      </c>
      <c r="C2199" s="70">
        <v>5250</v>
      </c>
      <c r="D2199" s="70" t="s">
        <v>85</v>
      </c>
      <c r="E2199" s="280" t="s">
        <v>4095</v>
      </c>
      <c r="F2199" s="1049">
        <v>35</v>
      </c>
      <c r="G2199" s="1049"/>
      <c r="H2199" s="564"/>
      <c r="I2199" s="609"/>
      <c r="J2199" s="1155"/>
      <c r="K2199" s="609"/>
      <c r="L2199" s="609"/>
      <c r="M2199" s="609"/>
      <c r="N2199" s="599"/>
      <c r="O2199" s="552" t="s">
        <v>1584</v>
      </c>
      <c r="P2199" s="603"/>
      <c r="Q2199" s="682"/>
      <c r="R2199" s="682"/>
      <c r="S2199" s="682"/>
      <c r="T2199" s="682"/>
      <c r="U2199" s="682"/>
      <c r="V2199" s="682"/>
      <c r="W2199" s="682"/>
    </row>
    <row r="2200" spans="1:23">
      <c r="A2200" s="1045">
        <f t="shared" si="35"/>
        <v>9</v>
      </c>
      <c r="B2200" s="134">
        <v>45551</v>
      </c>
      <c r="C2200" s="70">
        <v>2018</v>
      </c>
      <c r="D2200" s="70" t="s">
        <v>58</v>
      </c>
      <c r="E2200" s="280" t="s">
        <v>4095</v>
      </c>
      <c r="F2200" s="1049">
        <v>1.75</v>
      </c>
      <c r="G2200" s="1049"/>
      <c r="H2200" s="564"/>
      <c r="I2200" s="609"/>
      <c r="J2200" s="1155"/>
      <c r="K2200" s="609"/>
      <c r="L2200" s="609"/>
      <c r="M2200" s="609"/>
      <c r="N2200" s="599"/>
      <c r="O2200" s="552" t="s">
        <v>1584</v>
      </c>
      <c r="P2200" s="603"/>
      <c r="Q2200" s="682"/>
      <c r="R2200" s="682"/>
      <c r="S2200" s="682"/>
      <c r="T2200" s="682"/>
      <c r="U2200" s="682"/>
      <c r="V2200" s="682"/>
      <c r="W2200" s="682"/>
    </row>
    <row r="2201" spans="1:23">
      <c r="A2201" s="1045">
        <f t="shared" si="35"/>
        <v>9</v>
      </c>
      <c r="B2201" s="134">
        <v>45551</v>
      </c>
      <c r="C2201" s="70">
        <v>5220</v>
      </c>
      <c r="D2201" s="70" t="s">
        <v>84</v>
      </c>
      <c r="E2201" s="280" t="s">
        <v>4096</v>
      </c>
      <c r="F2201" s="1049">
        <v>910</v>
      </c>
      <c r="G2201" s="1049"/>
      <c r="H2201" s="564"/>
      <c r="I2201" s="609"/>
      <c r="J2201" s="1155"/>
      <c r="K2201" s="609"/>
      <c r="L2201" s="609"/>
      <c r="M2201" s="609"/>
      <c r="N2201" s="599"/>
      <c r="O2201" s="552" t="s">
        <v>1584</v>
      </c>
      <c r="P2201" s="603"/>
      <c r="Q2201" s="682"/>
      <c r="R2201" s="682"/>
      <c r="S2201" s="682"/>
      <c r="T2201" s="682"/>
      <c r="U2201" s="682"/>
      <c r="V2201" s="682"/>
      <c r="W2201" s="682"/>
    </row>
    <row r="2202" spans="1:23">
      <c r="A2202" s="1045">
        <f t="shared" si="35"/>
        <v>9</v>
      </c>
      <c r="B2202" s="134">
        <v>45551</v>
      </c>
      <c r="C2202" s="70">
        <v>2018</v>
      </c>
      <c r="D2202" s="70" t="s">
        <v>58</v>
      </c>
      <c r="E2202" s="280" t="s">
        <v>4096</v>
      </c>
      <c r="F2202" s="1049">
        <v>45.5</v>
      </c>
      <c r="G2202" s="1049"/>
      <c r="H2202" s="564"/>
      <c r="I2202" s="609"/>
      <c r="J2202" s="1155"/>
      <c r="K2202" s="609"/>
      <c r="L2202" s="609"/>
      <c r="M2202" s="609"/>
      <c r="N2202" s="599"/>
      <c r="O2202" s="552" t="s">
        <v>1584</v>
      </c>
      <c r="P2202" s="603"/>
      <c r="Q2202" s="682"/>
      <c r="R2202" s="682"/>
      <c r="S2202" s="682"/>
      <c r="T2202" s="682"/>
      <c r="U2202" s="682"/>
      <c r="V2202" s="682"/>
      <c r="W2202" s="682"/>
    </row>
    <row r="2203" spans="1:23">
      <c r="A2203" s="1045">
        <f t="shared" si="35"/>
        <v>9</v>
      </c>
      <c r="B2203" s="134">
        <v>45551</v>
      </c>
      <c r="C2203" s="70">
        <v>5250</v>
      </c>
      <c r="D2203" s="70" t="s">
        <v>85</v>
      </c>
      <c r="E2203" s="280" t="s">
        <v>4097</v>
      </c>
      <c r="F2203" s="1049">
        <v>323.39999999999998</v>
      </c>
      <c r="G2203" s="1049"/>
      <c r="H2203" s="564"/>
      <c r="I2203" s="609"/>
      <c r="J2203" s="1155"/>
      <c r="K2203" s="609"/>
      <c r="L2203" s="609"/>
      <c r="M2203" s="609"/>
      <c r="N2203" s="599"/>
      <c r="O2203" s="552" t="s">
        <v>1584</v>
      </c>
      <c r="P2203" s="603"/>
      <c r="Q2203" s="682"/>
      <c r="R2203" s="682"/>
      <c r="S2203" s="682"/>
      <c r="T2203" s="682"/>
      <c r="U2203" s="682"/>
      <c r="V2203" s="682"/>
      <c r="W2203" s="682"/>
    </row>
    <row r="2204" spans="1:23">
      <c r="A2204" s="1045">
        <f t="shared" si="35"/>
        <v>9</v>
      </c>
      <c r="B2204" s="134">
        <v>45551</v>
      </c>
      <c r="C2204" s="70">
        <v>2018</v>
      </c>
      <c r="D2204" s="70" t="s">
        <v>58</v>
      </c>
      <c r="E2204" s="280" t="s">
        <v>4097</v>
      </c>
      <c r="F2204" s="1049">
        <v>16.170000000000002</v>
      </c>
      <c r="G2204" s="1049"/>
      <c r="H2204" s="564"/>
      <c r="I2204" s="609"/>
      <c r="J2204" s="1155"/>
      <c r="K2204" s="609"/>
      <c r="L2204" s="609"/>
      <c r="M2204" s="609"/>
      <c r="N2204" s="599"/>
      <c r="O2204" s="552" t="s">
        <v>1584</v>
      </c>
      <c r="P2204" s="603"/>
      <c r="Q2204" s="682"/>
      <c r="R2204" s="682"/>
      <c r="S2204" s="682"/>
      <c r="T2204" s="682"/>
      <c r="U2204" s="682"/>
      <c r="V2204" s="682"/>
      <c r="W2204" s="682"/>
    </row>
    <row r="2205" spans="1:23">
      <c r="A2205" s="1045">
        <f t="shared" si="35"/>
        <v>9</v>
      </c>
      <c r="B2205" s="134">
        <v>45551</v>
      </c>
      <c r="C2205" s="70">
        <v>5250</v>
      </c>
      <c r="D2205" s="70" t="s">
        <v>85</v>
      </c>
      <c r="E2205" s="280" t="s">
        <v>4098</v>
      </c>
      <c r="F2205" s="1049">
        <v>106.41</v>
      </c>
      <c r="G2205" s="1049"/>
      <c r="H2205" s="564"/>
      <c r="I2205" s="609"/>
      <c r="J2205" s="1155"/>
      <c r="K2205" s="609"/>
      <c r="L2205" s="609"/>
      <c r="M2205" s="609"/>
      <c r="N2205" s="599"/>
      <c r="O2205" s="552" t="s">
        <v>1584</v>
      </c>
      <c r="P2205" s="603"/>
      <c r="Q2205" s="682"/>
      <c r="R2205" s="682"/>
      <c r="S2205" s="682"/>
      <c r="T2205" s="682"/>
      <c r="U2205" s="682"/>
      <c r="V2205" s="682"/>
      <c r="W2205" s="682"/>
    </row>
    <row r="2206" spans="1:23">
      <c r="A2206" s="1045">
        <f t="shared" si="35"/>
        <v>9</v>
      </c>
      <c r="B2206" s="134">
        <v>45551</v>
      </c>
      <c r="C2206" s="70">
        <v>2018</v>
      </c>
      <c r="D2206" s="70" t="s">
        <v>58</v>
      </c>
      <c r="E2206" s="280" t="s">
        <v>4098</v>
      </c>
      <c r="F2206" s="1049">
        <v>5.32</v>
      </c>
      <c r="G2206" s="1049"/>
      <c r="H2206" s="564"/>
      <c r="I2206" s="609"/>
      <c r="J2206" s="1155"/>
      <c r="K2206" s="609"/>
      <c r="L2206" s="609"/>
      <c r="M2206" s="609"/>
      <c r="N2206" s="599"/>
      <c r="O2206" s="552" t="s">
        <v>1584</v>
      </c>
      <c r="P2206" s="603"/>
      <c r="Q2206" s="682"/>
      <c r="R2206" s="682"/>
      <c r="S2206" s="682"/>
      <c r="T2206" s="682"/>
      <c r="U2206" s="682"/>
      <c r="V2206" s="682"/>
      <c r="W2206" s="682"/>
    </row>
    <row r="2207" spans="1:23">
      <c r="A2207" s="1045">
        <f t="shared" si="35"/>
        <v>9</v>
      </c>
      <c r="B2207" s="134">
        <v>45552</v>
      </c>
      <c r="C2207" s="70">
        <v>5250</v>
      </c>
      <c r="D2207" s="70" t="s">
        <v>85</v>
      </c>
      <c r="E2207" s="280" t="s">
        <v>4099</v>
      </c>
      <c r="F2207" s="1049">
        <v>35</v>
      </c>
      <c r="G2207" s="1049"/>
      <c r="H2207" s="564"/>
      <c r="I2207" s="609"/>
      <c r="J2207" s="1155"/>
      <c r="K2207" s="609"/>
      <c r="L2207" s="609"/>
      <c r="M2207" s="609"/>
      <c r="N2207" s="599"/>
      <c r="O2207" s="552" t="s">
        <v>1584</v>
      </c>
      <c r="P2207" s="603"/>
      <c r="Q2207" s="682"/>
      <c r="R2207" s="682"/>
      <c r="S2207" s="682"/>
      <c r="T2207" s="682"/>
      <c r="U2207" s="682"/>
      <c r="V2207" s="682"/>
      <c r="W2207" s="682"/>
    </row>
    <row r="2208" spans="1:23">
      <c r="A2208" s="1045">
        <f t="shared" si="35"/>
        <v>9</v>
      </c>
      <c r="B2208" s="134">
        <v>45552</v>
      </c>
      <c r="C2208" s="70">
        <v>2018</v>
      </c>
      <c r="D2208" s="70" t="s">
        <v>58</v>
      </c>
      <c r="E2208" s="280" t="s">
        <v>4099</v>
      </c>
      <c r="F2208" s="1049">
        <v>1.75</v>
      </c>
      <c r="G2208" s="1049"/>
      <c r="H2208" s="564"/>
      <c r="I2208" s="609"/>
      <c r="J2208" s="1155"/>
      <c r="K2208" s="609"/>
      <c r="L2208" s="609"/>
      <c r="M2208" s="609"/>
      <c r="N2208" s="599"/>
      <c r="O2208" s="552" t="s">
        <v>1584</v>
      </c>
      <c r="P2208" s="603"/>
      <c r="Q2208" s="682"/>
      <c r="R2208" s="682"/>
      <c r="S2208" s="682"/>
      <c r="T2208" s="682"/>
      <c r="U2208" s="682"/>
      <c r="V2208" s="682"/>
      <c r="W2208" s="682"/>
    </row>
    <row r="2209" spans="1:23">
      <c r="A2209" s="1045">
        <f t="shared" si="35"/>
        <v>9</v>
      </c>
      <c r="B2209" s="134">
        <v>45552</v>
      </c>
      <c r="C2209" s="70">
        <v>5250</v>
      </c>
      <c r="D2209" s="70" t="s">
        <v>85</v>
      </c>
      <c r="E2209" s="280" t="s">
        <v>4100</v>
      </c>
      <c r="F2209" s="1049">
        <v>1370</v>
      </c>
      <c r="G2209" s="1049"/>
      <c r="H2209" s="564"/>
      <c r="I2209" s="609"/>
      <c r="J2209" s="1155"/>
      <c r="K2209" s="609"/>
      <c r="L2209" s="609"/>
      <c r="M2209" s="609"/>
      <c r="N2209" s="599"/>
      <c r="O2209" s="552" t="s">
        <v>1584</v>
      </c>
      <c r="P2209" s="603"/>
      <c r="Q2209" s="682"/>
      <c r="R2209" s="682"/>
      <c r="S2209" s="682"/>
      <c r="T2209" s="682"/>
      <c r="U2209" s="682"/>
      <c r="V2209" s="682"/>
      <c r="W2209" s="682"/>
    </row>
    <row r="2210" spans="1:23">
      <c r="A2210" s="1045">
        <f t="shared" si="35"/>
        <v>9</v>
      </c>
      <c r="B2210" s="134">
        <v>45552</v>
      </c>
      <c r="C2210" s="70">
        <v>2018</v>
      </c>
      <c r="D2210" s="70" t="s">
        <v>58</v>
      </c>
      <c r="E2210" s="280" t="s">
        <v>4100</v>
      </c>
      <c r="F2210" s="1049">
        <v>68.5</v>
      </c>
      <c r="G2210" s="1049"/>
      <c r="H2210" s="564"/>
      <c r="I2210" s="609"/>
      <c r="J2210" s="1155"/>
      <c r="K2210" s="609"/>
      <c r="L2210" s="609"/>
      <c r="M2210" s="609"/>
      <c r="N2210" s="599"/>
      <c r="O2210" s="552" t="s">
        <v>1584</v>
      </c>
      <c r="P2210" s="603"/>
      <c r="Q2210" s="682"/>
      <c r="R2210" s="682"/>
      <c r="S2210" s="682"/>
      <c r="T2210" s="682"/>
      <c r="U2210" s="682"/>
      <c r="V2210" s="682"/>
      <c r="W2210" s="682"/>
    </row>
    <row r="2211" spans="1:23">
      <c r="A2211" s="1045">
        <f t="shared" si="35"/>
        <v>9</v>
      </c>
      <c r="B2211" s="134">
        <v>45552</v>
      </c>
      <c r="C2211" s="70">
        <v>5250</v>
      </c>
      <c r="D2211" s="70" t="s">
        <v>85</v>
      </c>
      <c r="E2211" s="280" t="s">
        <v>4101</v>
      </c>
      <c r="F2211" s="1049">
        <v>14.29</v>
      </c>
      <c r="G2211" s="1049"/>
      <c r="H2211" s="564"/>
      <c r="I2211" s="609"/>
      <c r="J2211" s="1155"/>
      <c r="K2211" s="609"/>
      <c r="L2211" s="609"/>
      <c r="M2211" s="609"/>
      <c r="N2211" s="599"/>
      <c r="O2211" s="552" t="s">
        <v>1584</v>
      </c>
      <c r="P2211" s="603"/>
      <c r="Q2211" s="682"/>
      <c r="R2211" s="682"/>
      <c r="S2211" s="682"/>
      <c r="T2211" s="682"/>
      <c r="U2211" s="682"/>
      <c r="V2211" s="682"/>
      <c r="W2211" s="682"/>
    </row>
    <row r="2212" spans="1:23">
      <c r="A2212" s="1045">
        <f t="shared" si="35"/>
        <v>9</v>
      </c>
      <c r="B2212" s="134">
        <v>45552</v>
      </c>
      <c r="C2212" s="70">
        <v>2018</v>
      </c>
      <c r="D2212" s="70" t="s">
        <v>58</v>
      </c>
      <c r="E2212" s="280" t="s">
        <v>4101</v>
      </c>
      <c r="F2212" s="1049">
        <v>0.71</v>
      </c>
      <c r="G2212" s="1049"/>
      <c r="H2212" s="564"/>
      <c r="I2212" s="609"/>
      <c r="J2212" s="1155"/>
      <c r="K2212" s="609"/>
      <c r="L2212" s="609"/>
      <c r="M2212" s="609"/>
      <c r="N2212" s="599"/>
      <c r="O2212" s="552" t="s">
        <v>1584</v>
      </c>
      <c r="P2212" s="603"/>
      <c r="Q2212" s="682"/>
      <c r="R2212" s="682"/>
      <c r="S2212" s="682"/>
      <c r="T2212" s="682"/>
      <c r="U2212" s="682"/>
      <c r="V2212" s="682"/>
      <c r="W2212" s="682"/>
    </row>
    <row r="2213" spans="1:23">
      <c r="A2213" s="1045">
        <f t="shared" si="35"/>
        <v>9</v>
      </c>
      <c r="B2213" s="134">
        <v>45553</v>
      </c>
      <c r="C2213" s="70">
        <v>5250</v>
      </c>
      <c r="D2213" s="70" t="s">
        <v>85</v>
      </c>
      <c r="E2213" s="280" t="s">
        <v>4102</v>
      </c>
      <c r="F2213" s="1049">
        <v>22.5</v>
      </c>
      <c r="G2213" s="1049"/>
      <c r="H2213" s="564"/>
      <c r="I2213" s="609"/>
      <c r="J2213" s="1155"/>
      <c r="K2213" s="609"/>
      <c r="L2213" s="609"/>
      <c r="M2213" s="609"/>
      <c r="N2213" s="599"/>
      <c r="O2213" s="552" t="s">
        <v>1584</v>
      </c>
      <c r="P2213" s="603"/>
      <c r="Q2213" s="682"/>
      <c r="R2213" s="682"/>
      <c r="S2213" s="682"/>
      <c r="T2213" s="682"/>
      <c r="U2213" s="682"/>
      <c r="V2213" s="682"/>
      <c r="W2213" s="682"/>
    </row>
    <row r="2214" spans="1:23">
      <c r="A2214" s="1045">
        <f t="shared" si="35"/>
        <v>9</v>
      </c>
      <c r="B2214" s="134">
        <v>45553</v>
      </c>
      <c r="C2214" s="70">
        <v>2018</v>
      </c>
      <c r="D2214" s="70" t="s">
        <v>58</v>
      </c>
      <c r="E2214" s="280" t="s">
        <v>4102</v>
      </c>
      <c r="F2214" s="1049">
        <v>1.1299999999999999</v>
      </c>
      <c r="G2214" s="1049"/>
      <c r="H2214" s="564"/>
      <c r="I2214" s="609"/>
      <c r="J2214" s="1155"/>
      <c r="K2214" s="609"/>
      <c r="L2214" s="609"/>
      <c r="M2214" s="609"/>
      <c r="N2214" s="599"/>
      <c r="O2214" s="552" t="s">
        <v>1584</v>
      </c>
      <c r="P2214" s="603"/>
      <c r="Q2214" s="682"/>
      <c r="R2214" s="682"/>
      <c r="S2214" s="682"/>
      <c r="T2214" s="682"/>
      <c r="U2214" s="682"/>
      <c r="V2214" s="682"/>
      <c r="W2214" s="682"/>
    </row>
    <row r="2215" spans="1:23">
      <c r="A2215" s="1045">
        <f t="shared" si="35"/>
        <v>9</v>
      </c>
      <c r="B2215" s="134">
        <v>45553</v>
      </c>
      <c r="C2215" s="70">
        <v>5250</v>
      </c>
      <c r="D2215" s="70" t="s">
        <v>85</v>
      </c>
      <c r="E2215" s="280" t="s">
        <v>4103</v>
      </c>
      <c r="F2215" s="1049">
        <v>35</v>
      </c>
      <c r="G2215" s="1049"/>
      <c r="H2215" s="564"/>
      <c r="I2215" s="609"/>
      <c r="J2215" s="1155"/>
      <c r="K2215" s="609"/>
      <c r="L2215" s="609"/>
      <c r="M2215" s="609"/>
      <c r="N2215" s="599"/>
      <c r="O2215" s="552" t="s">
        <v>1584</v>
      </c>
      <c r="P2215" s="603"/>
      <c r="Q2215" s="682"/>
      <c r="R2215" s="682"/>
      <c r="S2215" s="682"/>
      <c r="T2215" s="682"/>
      <c r="U2215" s="682"/>
      <c r="V2215" s="682"/>
      <c r="W2215" s="682"/>
    </row>
    <row r="2216" spans="1:23">
      <c r="A2216" s="1045">
        <f t="shared" si="35"/>
        <v>9</v>
      </c>
      <c r="B2216" s="134">
        <v>45553</v>
      </c>
      <c r="C2216" s="70">
        <v>2018</v>
      </c>
      <c r="D2216" s="70" t="s">
        <v>58</v>
      </c>
      <c r="E2216" s="280" t="s">
        <v>4103</v>
      </c>
      <c r="F2216" s="1049">
        <v>1.75</v>
      </c>
      <c r="G2216" s="1049"/>
      <c r="H2216" s="564"/>
      <c r="I2216" s="609"/>
      <c r="J2216" s="1155"/>
      <c r="K2216" s="609"/>
      <c r="L2216" s="609"/>
      <c r="M2216" s="609"/>
      <c r="N2216" s="599"/>
      <c r="O2216" s="552" t="s">
        <v>1584</v>
      </c>
      <c r="P2216" s="603"/>
      <c r="Q2216" s="682"/>
      <c r="R2216" s="682"/>
      <c r="S2216" s="682"/>
      <c r="T2216" s="682"/>
      <c r="U2216" s="682"/>
      <c r="V2216" s="682"/>
      <c r="W2216" s="682"/>
    </row>
    <row r="2217" spans="1:23">
      <c r="A2217" s="1045">
        <f t="shared" si="35"/>
        <v>9</v>
      </c>
      <c r="B2217" s="134">
        <v>45553</v>
      </c>
      <c r="C2217" s="70">
        <v>5150</v>
      </c>
      <c r="D2217" s="70" t="s">
        <v>82</v>
      </c>
      <c r="E2217" s="280" t="s">
        <v>4104</v>
      </c>
      <c r="F2217" s="1049">
        <v>23530</v>
      </c>
      <c r="G2217" s="1049"/>
      <c r="H2217" s="564"/>
      <c r="I2217" s="609"/>
      <c r="J2217" s="1155"/>
      <c r="K2217" s="609"/>
      <c r="L2217" s="609"/>
      <c r="M2217" s="609"/>
      <c r="N2217" s="599"/>
      <c r="O2217" s="552" t="s">
        <v>1584</v>
      </c>
      <c r="P2217" s="603"/>
      <c r="Q2217" s="682"/>
      <c r="R2217" s="682"/>
      <c r="S2217" s="682"/>
      <c r="T2217" s="682"/>
      <c r="U2217" s="682"/>
      <c r="V2217" s="682"/>
      <c r="W2217" s="682"/>
    </row>
    <row r="2218" spans="1:23">
      <c r="A2218" s="1045">
        <f t="shared" si="35"/>
        <v>9</v>
      </c>
      <c r="B2218" s="134">
        <v>45553</v>
      </c>
      <c r="C2218" s="70">
        <v>2018</v>
      </c>
      <c r="D2218" s="70" t="s">
        <v>58</v>
      </c>
      <c r="E2218" s="280" t="s">
        <v>4104</v>
      </c>
      <c r="F2218" s="1049">
        <v>1176</v>
      </c>
      <c r="G2218" s="1049"/>
      <c r="H2218" s="564"/>
      <c r="I2218" s="609"/>
      <c r="J2218" s="1155"/>
      <c r="K2218" s="609"/>
      <c r="L2218" s="609"/>
      <c r="M2218" s="609"/>
      <c r="N2218" s="599"/>
      <c r="O2218" s="552" t="s">
        <v>1584</v>
      </c>
      <c r="P2218" s="603"/>
      <c r="Q2218" s="682"/>
      <c r="R2218" s="682"/>
      <c r="S2218" s="682"/>
      <c r="T2218" s="682"/>
      <c r="U2218" s="682"/>
      <c r="V2218" s="682"/>
      <c r="W2218" s="682"/>
    </row>
    <row r="2219" spans="1:23">
      <c r="A2219" s="1045">
        <f t="shared" si="35"/>
        <v>9</v>
      </c>
      <c r="B2219" s="134">
        <v>45553</v>
      </c>
      <c r="C2219" s="70">
        <v>5250</v>
      </c>
      <c r="D2219" s="70" t="s">
        <v>85</v>
      </c>
      <c r="E2219" s="280" t="s">
        <v>4105</v>
      </c>
      <c r="F2219" s="1049">
        <v>129</v>
      </c>
      <c r="G2219" s="1049"/>
      <c r="H2219" s="564"/>
      <c r="I2219" s="609"/>
      <c r="J2219" s="1155"/>
      <c r="K2219" s="609"/>
      <c r="L2219" s="609"/>
      <c r="M2219" s="609"/>
      <c r="N2219" s="599"/>
      <c r="O2219" s="552" t="s">
        <v>1584</v>
      </c>
      <c r="P2219" s="603"/>
      <c r="Q2219" s="682"/>
      <c r="R2219" s="682"/>
      <c r="S2219" s="682"/>
      <c r="T2219" s="682"/>
      <c r="U2219" s="682"/>
      <c r="V2219" s="682"/>
      <c r="W2219" s="682"/>
    </row>
    <row r="2220" spans="1:23">
      <c r="A2220" s="1045">
        <f t="shared" si="35"/>
        <v>9</v>
      </c>
      <c r="B2220" s="134">
        <v>45553</v>
      </c>
      <c r="C2220" s="70">
        <v>2018</v>
      </c>
      <c r="D2220" s="70" t="s">
        <v>58</v>
      </c>
      <c r="E2220" s="280" t="s">
        <v>4105</v>
      </c>
      <c r="F2220" s="1049">
        <v>6.45</v>
      </c>
      <c r="G2220" s="1049"/>
      <c r="H2220" s="564"/>
      <c r="I2220" s="609"/>
      <c r="J2220" s="1155"/>
      <c r="K2220" s="609"/>
      <c r="L2220" s="609"/>
      <c r="M2220" s="609"/>
      <c r="N2220" s="599"/>
      <c r="O2220" s="552" t="s">
        <v>1584</v>
      </c>
      <c r="P2220" s="603"/>
      <c r="Q2220" s="682"/>
      <c r="R2220" s="682"/>
      <c r="S2220" s="682"/>
      <c r="T2220" s="682"/>
      <c r="U2220" s="682"/>
      <c r="V2220" s="682"/>
      <c r="W2220" s="682"/>
    </row>
    <row r="2221" spans="1:23">
      <c r="A2221" s="1045">
        <f t="shared" si="35"/>
        <v>9</v>
      </c>
      <c r="B2221" s="134">
        <v>45553</v>
      </c>
      <c r="C2221" s="70">
        <v>5250</v>
      </c>
      <c r="D2221" s="70" t="s">
        <v>85</v>
      </c>
      <c r="E2221" s="280" t="s">
        <v>4106</v>
      </c>
      <c r="F2221" s="1049">
        <v>33</v>
      </c>
      <c r="G2221" s="1049"/>
      <c r="H2221" s="564"/>
      <c r="I2221" s="609"/>
      <c r="J2221" s="1155"/>
      <c r="K2221" s="609"/>
      <c r="L2221" s="609"/>
      <c r="M2221" s="609"/>
      <c r="N2221" s="599"/>
      <c r="O2221" s="552" t="s">
        <v>1584</v>
      </c>
      <c r="P2221" s="603"/>
      <c r="Q2221" s="682"/>
      <c r="R2221" s="682"/>
      <c r="S2221" s="682"/>
      <c r="T2221" s="682"/>
      <c r="U2221" s="682"/>
      <c r="V2221" s="682"/>
      <c r="W2221" s="682"/>
    </row>
    <row r="2222" spans="1:23">
      <c r="A2222" s="1045">
        <f t="shared" si="35"/>
        <v>9</v>
      </c>
      <c r="B2222" s="134">
        <v>45553</v>
      </c>
      <c r="C2222" s="70">
        <v>2018</v>
      </c>
      <c r="D2222" s="70" t="s">
        <v>58</v>
      </c>
      <c r="E2222" s="280" t="s">
        <v>4106</v>
      </c>
      <c r="F2222" s="1049">
        <v>1.65</v>
      </c>
      <c r="G2222" s="1049"/>
      <c r="H2222" s="564"/>
      <c r="I2222" s="609"/>
      <c r="J2222" s="1155"/>
      <c r="K2222" s="609"/>
      <c r="L2222" s="609"/>
      <c r="M2222" s="609"/>
      <c r="N2222" s="599"/>
      <c r="O2222" s="552" t="s">
        <v>1584</v>
      </c>
      <c r="P2222" s="603"/>
      <c r="Q2222" s="682"/>
      <c r="R2222" s="682"/>
      <c r="S2222" s="682"/>
      <c r="T2222" s="682"/>
      <c r="U2222" s="682"/>
      <c r="V2222" s="682"/>
      <c r="W2222" s="682"/>
    </row>
    <row r="2223" spans="1:23">
      <c r="A2223" s="1045">
        <f t="shared" si="35"/>
        <v>9</v>
      </c>
      <c r="B2223" s="134">
        <v>45553</v>
      </c>
      <c r="C2223" s="70">
        <v>5250</v>
      </c>
      <c r="D2223" s="70" t="s">
        <v>85</v>
      </c>
      <c r="E2223" s="280" t="s">
        <v>4107</v>
      </c>
      <c r="F2223" s="1049">
        <v>175</v>
      </c>
      <c r="G2223" s="1049"/>
      <c r="H2223" s="564"/>
      <c r="I2223" s="609"/>
      <c r="J2223" s="1155"/>
      <c r="K2223" s="609"/>
      <c r="L2223" s="609"/>
      <c r="M2223" s="609"/>
      <c r="N2223" s="599"/>
      <c r="O2223" s="552" t="s">
        <v>1584</v>
      </c>
      <c r="P2223" s="603"/>
      <c r="Q2223" s="682"/>
      <c r="R2223" s="682"/>
      <c r="S2223" s="682"/>
      <c r="T2223" s="682"/>
      <c r="U2223" s="682"/>
      <c r="V2223" s="682"/>
      <c r="W2223" s="682"/>
    </row>
    <row r="2224" spans="1:23">
      <c r="A2224" s="1045">
        <f t="shared" si="35"/>
        <v>9</v>
      </c>
      <c r="B2224" s="134">
        <v>45553</v>
      </c>
      <c r="C2224" s="70">
        <v>2018</v>
      </c>
      <c r="D2224" s="70" t="s">
        <v>58</v>
      </c>
      <c r="E2224" s="280" t="s">
        <v>4107</v>
      </c>
      <c r="F2224" s="1049">
        <v>8.75</v>
      </c>
      <c r="G2224" s="1049"/>
      <c r="H2224" s="564"/>
      <c r="I2224" s="609"/>
      <c r="J2224" s="1155"/>
      <c r="K2224" s="609"/>
      <c r="L2224" s="609"/>
      <c r="M2224" s="609"/>
      <c r="N2224" s="599"/>
      <c r="O2224" s="552" t="s">
        <v>1584</v>
      </c>
      <c r="P2224" s="603"/>
      <c r="Q2224" s="682"/>
      <c r="R2224" s="682"/>
      <c r="S2224" s="682"/>
      <c r="T2224" s="682"/>
      <c r="U2224" s="682"/>
      <c r="V2224" s="682"/>
      <c r="W2224" s="682"/>
    </row>
    <row r="2225" spans="1:23">
      <c r="A2225" s="1045">
        <f t="shared" si="35"/>
        <v>9</v>
      </c>
      <c r="B2225" s="134">
        <v>45553</v>
      </c>
      <c r="C2225" s="70">
        <v>5250</v>
      </c>
      <c r="D2225" s="70" t="s">
        <v>85</v>
      </c>
      <c r="E2225" s="280" t="s">
        <v>4108</v>
      </c>
      <c r="F2225" s="1049">
        <v>233.33</v>
      </c>
      <c r="G2225" s="1049"/>
      <c r="H2225" s="564"/>
      <c r="I2225" s="609"/>
      <c r="J2225" s="1155"/>
      <c r="K2225" s="609"/>
      <c r="L2225" s="609"/>
      <c r="M2225" s="609"/>
      <c r="N2225" s="599"/>
      <c r="O2225" s="552" t="s">
        <v>1584</v>
      </c>
      <c r="P2225" s="603"/>
      <c r="Q2225" s="682"/>
      <c r="R2225" s="682"/>
      <c r="S2225" s="682"/>
      <c r="T2225" s="682"/>
      <c r="U2225" s="682"/>
      <c r="V2225" s="682"/>
      <c r="W2225" s="682"/>
    </row>
    <row r="2226" spans="1:23">
      <c r="A2226" s="1045">
        <f t="shared" si="35"/>
        <v>9</v>
      </c>
      <c r="B2226" s="134">
        <v>45553</v>
      </c>
      <c r="C2226" s="70">
        <v>2018</v>
      </c>
      <c r="D2226" s="70" t="s">
        <v>58</v>
      </c>
      <c r="E2226" s="280" t="s">
        <v>4108</v>
      </c>
      <c r="F2226" s="1049">
        <v>11.67</v>
      </c>
      <c r="G2226" s="1049"/>
      <c r="H2226" s="564"/>
      <c r="I2226" s="609"/>
      <c r="J2226" s="1155"/>
      <c r="K2226" s="609"/>
      <c r="L2226" s="609"/>
      <c r="M2226" s="609"/>
      <c r="N2226" s="599"/>
      <c r="O2226" s="552" t="s">
        <v>1584</v>
      </c>
      <c r="P2226" s="603"/>
      <c r="Q2226" s="682"/>
      <c r="R2226" s="682"/>
      <c r="S2226" s="682"/>
      <c r="T2226" s="682"/>
      <c r="U2226" s="682"/>
      <c r="V2226" s="682"/>
      <c r="W2226" s="682"/>
    </row>
    <row r="2227" spans="1:23">
      <c r="A2227" s="1045">
        <f t="shared" si="35"/>
        <v>9</v>
      </c>
      <c r="B2227" s="134">
        <v>45554</v>
      </c>
      <c r="C2227" s="70">
        <v>5250</v>
      </c>
      <c r="D2227" s="70" t="s">
        <v>85</v>
      </c>
      <c r="E2227" s="280" t="s">
        <v>4109</v>
      </c>
      <c r="F2227" s="1049">
        <v>19</v>
      </c>
      <c r="G2227" s="1049"/>
      <c r="H2227" s="564"/>
      <c r="I2227" s="609"/>
      <c r="J2227" s="1155"/>
      <c r="K2227" s="609"/>
      <c r="L2227" s="609"/>
      <c r="M2227" s="609"/>
      <c r="N2227" s="599"/>
      <c r="O2227" s="552" t="s">
        <v>1584</v>
      </c>
      <c r="P2227" s="603"/>
      <c r="Q2227" s="682"/>
      <c r="R2227" s="682"/>
      <c r="S2227" s="682"/>
      <c r="T2227" s="682"/>
      <c r="U2227" s="682"/>
      <c r="V2227" s="682"/>
      <c r="W2227" s="682"/>
    </row>
    <row r="2228" spans="1:23">
      <c r="A2228" s="1045">
        <f t="shared" si="35"/>
        <v>9</v>
      </c>
      <c r="B2228" s="134">
        <v>45554</v>
      </c>
      <c r="C2228" s="70">
        <v>2018</v>
      </c>
      <c r="D2228" s="70" t="s">
        <v>58</v>
      </c>
      <c r="E2228" s="280" t="s">
        <v>4109</v>
      </c>
      <c r="F2228" s="1049">
        <v>0.95</v>
      </c>
      <c r="G2228" s="1049"/>
      <c r="H2228" s="564"/>
      <c r="I2228" s="609"/>
      <c r="J2228" s="1155"/>
      <c r="K2228" s="609"/>
      <c r="L2228" s="609"/>
      <c r="M2228" s="609"/>
      <c r="N2228" s="599"/>
      <c r="O2228" s="552" t="s">
        <v>1584</v>
      </c>
      <c r="P2228" s="603"/>
      <c r="Q2228" s="682"/>
      <c r="R2228" s="682"/>
      <c r="S2228" s="682"/>
      <c r="T2228" s="682"/>
      <c r="U2228" s="682"/>
      <c r="V2228" s="682"/>
      <c r="W2228" s="682"/>
    </row>
    <row r="2229" spans="1:23">
      <c r="A2229" s="1045">
        <f t="shared" si="35"/>
        <v>9</v>
      </c>
      <c r="B2229" s="134">
        <v>45554</v>
      </c>
      <c r="C2229" s="70">
        <v>5250</v>
      </c>
      <c r="D2229" s="70" t="s">
        <v>85</v>
      </c>
      <c r="E2229" s="280" t="s">
        <v>4110</v>
      </c>
      <c r="F2229" s="1049">
        <v>12</v>
      </c>
      <c r="G2229" s="1049"/>
      <c r="H2229" s="564"/>
      <c r="I2229" s="609"/>
      <c r="J2229" s="1155"/>
      <c r="K2229" s="609"/>
      <c r="L2229" s="609"/>
      <c r="M2229" s="609"/>
      <c r="N2229" s="599"/>
      <c r="O2229" s="552" t="s">
        <v>1584</v>
      </c>
      <c r="P2229" s="603"/>
      <c r="Q2229" s="682"/>
      <c r="R2229" s="682"/>
      <c r="S2229" s="682"/>
      <c r="T2229" s="682"/>
      <c r="U2229" s="682"/>
      <c r="V2229" s="682"/>
      <c r="W2229" s="682"/>
    </row>
    <row r="2230" spans="1:23">
      <c r="A2230" s="1045">
        <f t="shared" si="35"/>
        <v>9</v>
      </c>
      <c r="B2230" s="134">
        <v>45554</v>
      </c>
      <c r="C2230" s="70">
        <v>2018</v>
      </c>
      <c r="D2230" s="70" t="s">
        <v>58</v>
      </c>
      <c r="E2230" s="280" t="s">
        <v>4110</v>
      </c>
      <c r="F2230" s="1049">
        <v>0.6</v>
      </c>
      <c r="G2230" s="1049"/>
      <c r="H2230" s="564"/>
      <c r="I2230" s="609"/>
      <c r="J2230" s="1155"/>
      <c r="K2230" s="609"/>
      <c r="L2230" s="609"/>
      <c r="M2230" s="609"/>
      <c r="N2230" s="599"/>
      <c r="O2230" s="552" t="s">
        <v>1584</v>
      </c>
      <c r="P2230" s="603"/>
      <c r="Q2230" s="682"/>
      <c r="R2230" s="682"/>
      <c r="S2230" s="682"/>
      <c r="T2230" s="682"/>
      <c r="U2230" s="682"/>
      <c r="V2230" s="682"/>
      <c r="W2230" s="682"/>
    </row>
    <row r="2231" spans="1:23">
      <c r="A2231" s="1045">
        <f t="shared" si="35"/>
        <v>9</v>
      </c>
      <c r="B2231" s="134">
        <v>45554</v>
      </c>
      <c r="C2231" s="70">
        <v>5250</v>
      </c>
      <c r="D2231" s="70" t="s">
        <v>85</v>
      </c>
      <c r="E2231" s="280" t="s">
        <v>4111</v>
      </c>
      <c r="F2231" s="1049">
        <v>4</v>
      </c>
      <c r="G2231" s="1049"/>
      <c r="H2231" s="564"/>
      <c r="I2231" s="609"/>
      <c r="J2231" s="1155"/>
      <c r="K2231" s="609"/>
      <c r="L2231" s="609"/>
      <c r="M2231" s="609"/>
      <c r="N2231" s="599"/>
      <c r="O2231" s="552" t="s">
        <v>1584</v>
      </c>
      <c r="P2231" s="603"/>
      <c r="Q2231" s="682"/>
      <c r="R2231" s="682"/>
      <c r="S2231" s="682"/>
      <c r="T2231" s="682"/>
      <c r="U2231" s="682"/>
      <c r="V2231" s="682"/>
      <c r="W2231" s="682"/>
    </row>
    <row r="2232" spans="1:23">
      <c r="A2232" s="1045">
        <f t="shared" si="35"/>
        <v>9</v>
      </c>
      <c r="B2232" s="134">
        <v>45554</v>
      </c>
      <c r="C2232" s="70">
        <v>2018</v>
      </c>
      <c r="D2232" s="70" t="s">
        <v>58</v>
      </c>
      <c r="E2232" s="280" t="s">
        <v>4111</v>
      </c>
      <c r="F2232" s="1049">
        <v>0.2</v>
      </c>
      <c r="G2232" s="1049"/>
      <c r="H2232" s="564"/>
      <c r="I2232" s="609"/>
      <c r="J2232" s="1155"/>
      <c r="K2232" s="609"/>
      <c r="L2232" s="609"/>
      <c r="M2232" s="609"/>
      <c r="N2232" s="599"/>
      <c r="O2232" s="552" t="s">
        <v>1584</v>
      </c>
      <c r="P2232" s="603"/>
      <c r="Q2232" s="682"/>
      <c r="R2232" s="682"/>
      <c r="S2232" s="682"/>
      <c r="T2232" s="682"/>
      <c r="U2232" s="682"/>
      <c r="V2232" s="682"/>
      <c r="W2232" s="682"/>
    </row>
    <row r="2233" spans="1:23">
      <c r="A2233" s="1045">
        <f t="shared" si="35"/>
        <v>9</v>
      </c>
      <c r="B2233" s="134">
        <v>45554</v>
      </c>
      <c r="C2233" s="70">
        <v>5150</v>
      </c>
      <c r="D2233" s="70" t="s">
        <v>82</v>
      </c>
      <c r="E2233" s="280" t="s">
        <v>4112</v>
      </c>
      <c r="F2233" s="1049">
        <v>1910</v>
      </c>
      <c r="G2233" s="1049"/>
      <c r="H2233" s="564"/>
      <c r="I2233" s="609"/>
      <c r="J2233" s="1155"/>
      <c r="K2233" s="609"/>
      <c r="L2233" s="609"/>
      <c r="M2233" s="609"/>
      <c r="N2233" s="599"/>
      <c r="O2233" s="552" t="s">
        <v>1584</v>
      </c>
      <c r="P2233" s="603"/>
      <c r="Q2233" s="682"/>
      <c r="R2233" s="682"/>
      <c r="S2233" s="682"/>
      <c r="T2233" s="682"/>
      <c r="U2233" s="682"/>
      <c r="V2233" s="682"/>
      <c r="W2233" s="682"/>
    </row>
    <row r="2234" spans="1:23">
      <c r="A2234" s="1045">
        <f t="shared" si="35"/>
        <v>9</v>
      </c>
      <c r="B2234" s="134">
        <v>45554</v>
      </c>
      <c r="C2234" s="70">
        <v>2018</v>
      </c>
      <c r="D2234" s="70" t="s">
        <v>58</v>
      </c>
      <c r="E2234" s="280" t="s">
        <v>4112</v>
      </c>
      <c r="F2234" s="1049">
        <v>95.5</v>
      </c>
      <c r="G2234" s="1049"/>
      <c r="H2234" s="564"/>
      <c r="I2234" s="609"/>
      <c r="J2234" s="1155"/>
      <c r="K2234" s="609"/>
      <c r="L2234" s="609"/>
      <c r="M2234" s="609"/>
      <c r="N2234" s="599"/>
      <c r="O2234" s="552" t="s">
        <v>1584</v>
      </c>
      <c r="P2234" s="603"/>
      <c r="Q2234" s="682"/>
      <c r="R2234" s="682"/>
      <c r="S2234" s="682"/>
      <c r="T2234" s="682"/>
      <c r="U2234" s="682"/>
      <c r="V2234" s="682"/>
      <c r="W2234" s="682"/>
    </row>
    <row r="2235" spans="1:23">
      <c r="A2235" s="1045">
        <f t="shared" si="35"/>
        <v>9</v>
      </c>
      <c r="B2235" s="134">
        <v>45554</v>
      </c>
      <c r="C2235" s="70">
        <v>5250</v>
      </c>
      <c r="D2235" s="70" t="s">
        <v>85</v>
      </c>
      <c r="E2235" s="280" t="s">
        <v>4113</v>
      </c>
      <c r="F2235" s="1049">
        <v>23.81</v>
      </c>
      <c r="G2235" s="1049"/>
      <c r="H2235" s="564"/>
      <c r="I2235" s="609"/>
      <c r="J2235" s="1155"/>
      <c r="K2235" s="609"/>
      <c r="L2235" s="609"/>
      <c r="M2235" s="609"/>
      <c r="N2235" s="599"/>
      <c r="O2235" s="552" t="s">
        <v>1584</v>
      </c>
      <c r="P2235" s="603"/>
      <c r="Q2235" s="682"/>
      <c r="R2235" s="682"/>
      <c r="S2235" s="682"/>
      <c r="T2235" s="682"/>
      <c r="U2235" s="682"/>
      <c r="V2235" s="682"/>
      <c r="W2235" s="682"/>
    </row>
    <row r="2236" spans="1:23">
      <c r="A2236" s="1045">
        <f t="shared" si="35"/>
        <v>9</v>
      </c>
      <c r="B2236" s="134">
        <v>45554</v>
      </c>
      <c r="C2236" s="70">
        <v>2018</v>
      </c>
      <c r="D2236" s="70" t="s">
        <v>58</v>
      </c>
      <c r="E2236" s="280" t="s">
        <v>4113</v>
      </c>
      <c r="F2236" s="1049">
        <v>1.19</v>
      </c>
      <c r="G2236" s="1049"/>
      <c r="H2236" s="564"/>
      <c r="I2236" s="609"/>
      <c r="J2236" s="1155"/>
      <c r="K2236" s="609"/>
      <c r="L2236" s="609"/>
      <c r="M2236" s="609"/>
      <c r="N2236" s="599"/>
      <c r="O2236" s="552" t="s">
        <v>1584</v>
      </c>
      <c r="P2236" s="603"/>
      <c r="Q2236" s="682"/>
      <c r="R2236" s="682"/>
      <c r="S2236" s="682"/>
      <c r="T2236" s="682"/>
      <c r="U2236" s="682"/>
      <c r="V2236" s="682"/>
      <c r="W2236" s="682"/>
    </row>
    <row r="2237" spans="1:23">
      <c r="A2237" s="1045">
        <f t="shared" si="35"/>
        <v>9</v>
      </c>
      <c r="B2237" s="134">
        <v>45554</v>
      </c>
      <c r="C2237" s="70">
        <v>5250</v>
      </c>
      <c r="D2237" s="70" t="s">
        <v>85</v>
      </c>
      <c r="E2237" s="280" t="s">
        <v>4114</v>
      </c>
      <c r="F2237" s="1049">
        <v>360</v>
      </c>
      <c r="G2237" s="1049"/>
      <c r="H2237" s="564"/>
      <c r="I2237" s="609"/>
      <c r="J2237" s="1155"/>
      <c r="K2237" s="609"/>
      <c r="L2237" s="609"/>
      <c r="M2237" s="609"/>
      <c r="N2237" s="599"/>
      <c r="O2237" s="552" t="s">
        <v>1584</v>
      </c>
      <c r="P2237" s="603"/>
      <c r="Q2237" s="682"/>
      <c r="R2237" s="682"/>
      <c r="S2237" s="682"/>
      <c r="T2237" s="682"/>
      <c r="U2237" s="682"/>
      <c r="V2237" s="682"/>
      <c r="W2237" s="682"/>
    </row>
    <row r="2238" spans="1:23">
      <c r="A2238" s="1045">
        <f t="shared" si="35"/>
        <v>9</v>
      </c>
      <c r="B2238" s="134">
        <v>45554</v>
      </c>
      <c r="C2238" s="70">
        <v>2018</v>
      </c>
      <c r="D2238" s="70" t="s">
        <v>58</v>
      </c>
      <c r="E2238" s="280" t="s">
        <v>4114</v>
      </c>
      <c r="F2238" s="1049">
        <v>18</v>
      </c>
      <c r="G2238" s="1049"/>
      <c r="H2238" s="564"/>
      <c r="I2238" s="609"/>
      <c r="J2238" s="1155"/>
      <c r="K2238" s="609"/>
      <c r="L2238" s="609"/>
      <c r="M2238" s="609"/>
      <c r="N2238" s="599"/>
      <c r="O2238" s="552" t="s">
        <v>1584</v>
      </c>
      <c r="P2238" s="603"/>
      <c r="Q2238" s="682"/>
      <c r="R2238" s="682"/>
      <c r="S2238" s="682"/>
      <c r="T2238" s="682"/>
      <c r="U2238" s="682"/>
      <c r="V2238" s="682"/>
      <c r="W2238" s="682"/>
    </row>
    <row r="2239" spans="1:23">
      <c r="A2239" s="1045">
        <f t="shared" si="35"/>
        <v>9</v>
      </c>
      <c r="B2239" s="134">
        <v>45554</v>
      </c>
      <c r="C2239" s="70">
        <v>5250</v>
      </c>
      <c r="D2239" s="70" t="s">
        <v>85</v>
      </c>
      <c r="E2239" s="280" t="s">
        <v>4115</v>
      </c>
      <c r="F2239" s="1049">
        <v>1140</v>
      </c>
      <c r="G2239" s="1049"/>
      <c r="H2239" s="564"/>
      <c r="I2239" s="609"/>
      <c r="J2239" s="1155"/>
      <c r="K2239" s="609"/>
      <c r="L2239" s="609"/>
      <c r="M2239" s="609"/>
      <c r="N2239" s="599"/>
      <c r="O2239" s="552" t="s">
        <v>1584</v>
      </c>
      <c r="P2239" s="603"/>
      <c r="Q2239" s="682"/>
      <c r="R2239" s="682"/>
      <c r="S2239" s="682"/>
      <c r="T2239" s="682"/>
      <c r="U2239" s="682"/>
      <c r="V2239" s="682"/>
      <c r="W2239" s="682"/>
    </row>
    <row r="2240" spans="1:23">
      <c r="A2240" s="1045">
        <f t="shared" si="35"/>
        <v>9</v>
      </c>
      <c r="B2240" s="134">
        <v>45554</v>
      </c>
      <c r="C2240" s="70">
        <v>2018</v>
      </c>
      <c r="D2240" s="70" t="s">
        <v>58</v>
      </c>
      <c r="E2240" s="280" t="s">
        <v>4115</v>
      </c>
      <c r="F2240" s="1049">
        <v>57</v>
      </c>
      <c r="G2240" s="1049"/>
      <c r="H2240" s="564"/>
      <c r="I2240" s="609"/>
      <c r="J2240" s="1155"/>
      <c r="K2240" s="609"/>
      <c r="L2240" s="609"/>
      <c r="M2240" s="609"/>
      <c r="N2240" s="599"/>
      <c r="O2240" s="552" t="s">
        <v>1584</v>
      </c>
      <c r="P2240" s="603"/>
      <c r="Q2240" s="682"/>
      <c r="R2240" s="682"/>
      <c r="S2240" s="682"/>
      <c r="T2240" s="682"/>
      <c r="U2240" s="682"/>
      <c r="V2240" s="682"/>
      <c r="W2240" s="682"/>
    </row>
    <row r="2241" spans="1:23">
      <c r="A2241" s="1045">
        <f t="shared" si="35"/>
        <v>9</v>
      </c>
      <c r="B2241" s="134">
        <v>45555</v>
      </c>
      <c r="C2241" s="70">
        <v>5250</v>
      </c>
      <c r="D2241" s="70" t="s">
        <v>85</v>
      </c>
      <c r="E2241" s="280" t="s">
        <v>4116</v>
      </c>
      <c r="F2241" s="1049">
        <v>35</v>
      </c>
      <c r="G2241" s="1049"/>
      <c r="H2241" s="564"/>
      <c r="I2241" s="609"/>
      <c r="J2241" s="1155"/>
      <c r="K2241" s="609"/>
      <c r="L2241" s="609"/>
      <c r="M2241" s="609"/>
      <c r="N2241" s="599"/>
      <c r="O2241" s="552" t="s">
        <v>1584</v>
      </c>
      <c r="P2241" s="603"/>
      <c r="Q2241" s="682"/>
      <c r="R2241" s="682"/>
      <c r="S2241" s="682"/>
      <c r="T2241" s="682"/>
      <c r="U2241" s="682"/>
      <c r="V2241" s="682"/>
      <c r="W2241" s="682"/>
    </row>
    <row r="2242" spans="1:23">
      <c r="A2242" s="1045">
        <f t="shared" si="35"/>
        <v>9</v>
      </c>
      <c r="B2242" s="134">
        <v>45555</v>
      </c>
      <c r="C2242" s="70">
        <v>2018</v>
      </c>
      <c r="D2242" s="70" t="s">
        <v>58</v>
      </c>
      <c r="E2242" s="280" t="s">
        <v>4116</v>
      </c>
      <c r="F2242" s="1049">
        <v>1.75</v>
      </c>
      <c r="G2242" s="1049"/>
      <c r="H2242" s="564"/>
      <c r="I2242" s="609"/>
      <c r="J2242" s="1155"/>
      <c r="K2242" s="609"/>
      <c r="L2242" s="609"/>
      <c r="M2242" s="609"/>
      <c r="N2242" s="599"/>
      <c r="O2242" s="552" t="s">
        <v>1584</v>
      </c>
      <c r="P2242" s="603"/>
      <c r="Q2242" s="682"/>
      <c r="R2242" s="682"/>
      <c r="S2242" s="682"/>
      <c r="T2242" s="682"/>
      <c r="U2242" s="682"/>
      <c r="V2242" s="682"/>
      <c r="W2242" s="682"/>
    </row>
    <row r="2243" spans="1:23">
      <c r="A2243" s="1045">
        <f t="shared" si="35"/>
        <v>9</v>
      </c>
      <c r="B2243" s="134">
        <v>45555</v>
      </c>
      <c r="C2243" s="70">
        <v>5250</v>
      </c>
      <c r="D2243" s="70" t="s">
        <v>85</v>
      </c>
      <c r="E2243" s="280" t="s">
        <v>4117</v>
      </c>
      <c r="F2243" s="1049">
        <v>163.12</v>
      </c>
      <c r="G2243" s="1049"/>
      <c r="H2243" s="564"/>
      <c r="I2243" s="609"/>
      <c r="J2243" s="1155"/>
      <c r="K2243" s="609"/>
      <c r="L2243" s="609"/>
      <c r="M2243" s="609"/>
      <c r="N2243" s="599"/>
      <c r="O2243" s="552" t="s">
        <v>1584</v>
      </c>
      <c r="P2243" s="603"/>
      <c r="Q2243" s="682"/>
      <c r="R2243" s="682"/>
      <c r="S2243" s="682"/>
      <c r="T2243" s="682"/>
      <c r="U2243" s="682"/>
      <c r="V2243" s="682"/>
      <c r="W2243" s="682"/>
    </row>
    <row r="2244" spans="1:23">
      <c r="A2244" s="1045">
        <f t="shared" si="35"/>
        <v>9</v>
      </c>
      <c r="B2244" s="134">
        <v>45555</v>
      </c>
      <c r="C2244" s="70">
        <v>2018</v>
      </c>
      <c r="D2244" s="70" t="s">
        <v>58</v>
      </c>
      <c r="E2244" s="280" t="s">
        <v>4117</v>
      </c>
      <c r="F2244" s="1049">
        <v>8.14</v>
      </c>
      <c r="G2244" s="1049"/>
      <c r="H2244" s="564"/>
      <c r="I2244" s="609"/>
      <c r="J2244" s="1155"/>
      <c r="K2244" s="609"/>
      <c r="L2244" s="609"/>
      <c r="M2244" s="609"/>
      <c r="N2244" s="599"/>
      <c r="O2244" s="552" t="s">
        <v>1584</v>
      </c>
      <c r="P2244" s="603"/>
      <c r="Q2244" s="682"/>
      <c r="R2244" s="682"/>
      <c r="S2244" s="682"/>
      <c r="T2244" s="682"/>
      <c r="U2244" s="682"/>
      <c r="V2244" s="682"/>
      <c r="W2244" s="682"/>
    </row>
    <row r="2245" spans="1:23">
      <c r="A2245" s="1045">
        <f t="shared" si="35"/>
        <v>9</v>
      </c>
      <c r="B2245" s="134">
        <v>45555</v>
      </c>
      <c r="C2245" s="70">
        <v>5250</v>
      </c>
      <c r="D2245" s="70" t="s">
        <v>85</v>
      </c>
      <c r="E2245" s="280" t="s">
        <v>4118</v>
      </c>
      <c r="F2245" s="1049">
        <v>227.62</v>
      </c>
      <c r="G2245" s="1049"/>
      <c r="H2245" s="564"/>
      <c r="I2245" s="609"/>
      <c r="J2245" s="1155"/>
      <c r="K2245" s="609"/>
      <c r="L2245" s="609"/>
      <c r="M2245" s="609"/>
      <c r="N2245" s="599"/>
      <c r="O2245" s="552" t="s">
        <v>1584</v>
      </c>
      <c r="P2245" s="603"/>
      <c r="Q2245" s="682"/>
      <c r="R2245" s="682"/>
      <c r="S2245" s="682"/>
      <c r="T2245" s="682"/>
      <c r="U2245" s="682"/>
      <c r="V2245" s="682"/>
      <c r="W2245" s="682"/>
    </row>
    <row r="2246" spans="1:23">
      <c r="A2246" s="1045">
        <f t="shared" si="35"/>
        <v>9</v>
      </c>
      <c r="B2246" s="134">
        <v>45555</v>
      </c>
      <c r="C2246" s="70">
        <v>2018</v>
      </c>
      <c r="D2246" s="70" t="s">
        <v>58</v>
      </c>
      <c r="E2246" s="280" t="s">
        <v>4118</v>
      </c>
      <c r="F2246" s="1049">
        <v>11.38</v>
      </c>
      <c r="G2246" s="1049"/>
      <c r="H2246" s="564"/>
      <c r="I2246" s="609"/>
      <c r="J2246" s="1155"/>
      <c r="K2246" s="609"/>
      <c r="L2246" s="609"/>
      <c r="M2246" s="609"/>
      <c r="N2246" s="599"/>
      <c r="O2246" s="552" t="s">
        <v>1584</v>
      </c>
      <c r="P2246" s="603"/>
      <c r="Q2246" s="682"/>
      <c r="R2246" s="682"/>
      <c r="S2246" s="682"/>
      <c r="T2246" s="682"/>
      <c r="U2246" s="682"/>
      <c r="V2246" s="682"/>
      <c r="W2246" s="682"/>
    </row>
    <row r="2247" spans="1:23">
      <c r="A2247" s="1045">
        <f t="shared" si="35"/>
        <v>9</v>
      </c>
      <c r="B2247" s="134">
        <v>45556</v>
      </c>
      <c r="C2247" s="70">
        <v>5250</v>
      </c>
      <c r="D2247" s="70" t="s">
        <v>85</v>
      </c>
      <c r="E2247" s="280" t="s">
        <v>4119</v>
      </c>
      <c r="F2247" s="1049">
        <v>73.5</v>
      </c>
      <c r="G2247" s="1049"/>
      <c r="H2247" s="564"/>
      <c r="I2247" s="609"/>
      <c r="J2247" s="1155"/>
      <c r="K2247" s="609"/>
      <c r="L2247" s="609"/>
      <c r="M2247" s="609"/>
      <c r="N2247" s="599"/>
      <c r="O2247" s="552" t="s">
        <v>1584</v>
      </c>
      <c r="P2247" s="603"/>
      <c r="Q2247" s="682"/>
      <c r="R2247" s="682"/>
      <c r="S2247" s="682"/>
      <c r="T2247" s="682"/>
      <c r="U2247" s="682"/>
      <c r="V2247" s="682"/>
      <c r="W2247" s="682"/>
    </row>
    <row r="2248" spans="1:23">
      <c r="A2248" s="1045">
        <f t="shared" si="35"/>
        <v>9</v>
      </c>
      <c r="B2248" s="134">
        <v>45556</v>
      </c>
      <c r="C2248" s="70">
        <v>2018</v>
      </c>
      <c r="D2248" s="70" t="s">
        <v>58</v>
      </c>
      <c r="E2248" s="280" t="s">
        <v>4119</v>
      </c>
      <c r="F2248" s="1049">
        <v>3.68</v>
      </c>
      <c r="G2248" s="1049"/>
      <c r="H2248" s="564"/>
      <c r="I2248" s="609"/>
      <c r="J2248" s="1155"/>
      <c r="K2248" s="609"/>
      <c r="L2248" s="609"/>
      <c r="M2248" s="609"/>
      <c r="N2248" s="599"/>
      <c r="O2248" s="552" t="s">
        <v>1584</v>
      </c>
      <c r="P2248" s="603"/>
      <c r="Q2248" s="682"/>
      <c r="R2248" s="682"/>
      <c r="S2248" s="682"/>
      <c r="T2248" s="682"/>
      <c r="U2248" s="682"/>
      <c r="V2248" s="682"/>
      <c r="W2248" s="682"/>
    </row>
    <row r="2249" spans="1:23">
      <c r="A2249" s="1045">
        <f t="shared" si="35"/>
        <v>9</v>
      </c>
      <c r="B2249" s="134">
        <v>45556</v>
      </c>
      <c r="C2249" s="70">
        <v>5250</v>
      </c>
      <c r="D2249" s="70" t="s">
        <v>85</v>
      </c>
      <c r="E2249" s="280" t="s">
        <v>4120</v>
      </c>
      <c r="F2249" s="1049">
        <v>93.5</v>
      </c>
      <c r="G2249" s="1049"/>
      <c r="H2249" s="564"/>
      <c r="I2249" s="609"/>
      <c r="J2249" s="1155"/>
      <c r="K2249" s="609"/>
      <c r="L2249" s="609"/>
      <c r="M2249" s="609"/>
      <c r="N2249" s="599"/>
      <c r="O2249" s="552" t="s">
        <v>1584</v>
      </c>
      <c r="P2249" s="603"/>
      <c r="Q2249" s="682"/>
      <c r="R2249" s="682"/>
      <c r="S2249" s="682"/>
      <c r="T2249" s="682"/>
      <c r="U2249" s="682"/>
      <c r="V2249" s="682"/>
      <c r="W2249" s="682"/>
    </row>
    <row r="2250" spans="1:23">
      <c r="A2250" s="1045">
        <f t="shared" si="35"/>
        <v>9</v>
      </c>
      <c r="B2250" s="134">
        <v>45556</v>
      </c>
      <c r="C2250" s="70">
        <v>2018</v>
      </c>
      <c r="D2250" s="70" t="s">
        <v>58</v>
      </c>
      <c r="E2250" s="280" t="s">
        <v>4120</v>
      </c>
      <c r="F2250" s="1049">
        <v>4.68</v>
      </c>
      <c r="G2250" s="1049"/>
      <c r="H2250" s="564"/>
      <c r="I2250" s="609"/>
      <c r="J2250" s="1155"/>
      <c r="K2250" s="609"/>
      <c r="L2250" s="609"/>
      <c r="M2250" s="609"/>
      <c r="N2250" s="599"/>
      <c r="O2250" s="552" t="s">
        <v>1584</v>
      </c>
      <c r="P2250" s="603"/>
      <c r="Q2250" s="682"/>
      <c r="R2250" s="682"/>
      <c r="S2250" s="682"/>
      <c r="T2250" s="682"/>
      <c r="U2250" s="682"/>
      <c r="V2250" s="682"/>
      <c r="W2250" s="682"/>
    </row>
    <row r="2251" spans="1:23">
      <c r="A2251" s="1045">
        <f t="shared" si="35"/>
        <v>9</v>
      </c>
      <c r="B2251" s="134">
        <v>45556</v>
      </c>
      <c r="C2251" s="70">
        <v>5250</v>
      </c>
      <c r="D2251" s="70" t="s">
        <v>85</v>
      </c>
      <c r="E2251" s="280" t="s">
        <v>4121</v>
      </c>
      <c r="F2251" s="1049">
        <v>151.91</v>
      </c>
      <c r="G2251" s="1049"/>
      <c r="H2251" s="564"/>
      <c r="I2251" s="609"/>
      <c r="J2251" s="1155"/>
      <c r="K2251" s="609"/>
      <c r="L2251" s="609"/>
      <c r="M2251" s="609"/>
      <c r="N2251" s="599"/>
      <c r="O2251" s="552" t="s">
        <v>1584</v>
      </c>
      <c r="P2251" s="603"/>
      <c r="Q2251" s="682"/>
      <c r="R2251" s="682"/>
      <c r="S2251" s="682"/>
      <c r="T2251" s="682"/>
      <c r="U2251" s="682"/>
      <c r="V2251" s="682"/>
      <c r="W2251" s="682"/>
    </row>
    <row r="2252" spans="1:23">
      <c r="A2252" s="1045">
        <f t="shared" si="35"/>
        <v>9</v>
      </c>
      <c r="B2252" s="134">
        <v>45556</v>
      </c>
      <c r="C2252" s="70">
        <v>2018</v>
      </c>
      <c r="D2252" s="70" t="s">
        <v>58</v>
      </c>
      <c r="E2252" s="280" t="s">
        <v>4121</v>
      </c>
      <c r="F2252" s="1049">
        <v>7.6</v>
      </c>
      <c r="G2252" s="1049"/>
      <c r="H2252" s="564"/>
      <c r="I2252" s="609"/>
      <c r="J2252" s="1155"/>
      <c r="K2252" s="609"/>
      <c r="L2252" s="609"/>
      <c r="M2252" s="609"/>
      <c r="N2252" s="599"/>
      <c r="O2252" s="552" t="s">
        <v>1584</v>
      </c>
      <c r="P2252" s="603"/>
      <c r="Q2252" s="682"/>
      <c r="R2252" s="682"/>
      <c r="S2252" s="682"/>
      <c r="T2252" s="682"/>
      <c r="U2252" s="682"/>
      <c r="V2252" s="682"/>
      <c r="W2252" s="682"/>
    </row>
    <row r="2253" spans="1:23">
      <c r="A2253" s="1045">
        <f t="shared" si="35"/>
        <v>9</v>
      </c>
      <c r="B2253" s="134">
        <v>45557</v>
      </c>
      <c r="C2253" s="70">
        <v>5250</v>
      </c>
      <c r="D2253" s="70" t="s">
        <v>85</v>
      </c>
      <c r="E2253" s="280" t="s">
        <v>4122</v>
      </c>
      <c r="F2253" s="1049">
        <v>426.12</v>
      </c>
      <c r="G2253" s="1049"/>
      <c r="H2253" s="564"/>
      <c r="I2253" s="609"/>
      <c r="J2253" s="1155"/>
      <c r="K2253" s="609"/>
      <c r="L2253" s="609"/>
      <c r="M2253" s="609"/>
      <c r="N2253" s="599"/>
      <c r="O2253" s="552" t="s">
        <v>1584</v>
      </c>
      <c r="P2253" s="603"/>
      <c r="Q2253" s="682"/>
      <c r="R2253" s="682"/>
      <c r="S2253" s="682"/>
      <c r="T2253" s="682"/>
      <c r="U2253" s="682"/>
      <c r="V2253" s="682"/>
      <c r="W2253" s="682"/>
    </row>
    <row r="2254" spans="1:23">
      <c r="A2254" s="1045">
        <f t="shared" si="35"/>
        <v>9</v>
      </c>
      <c r="B2254" s="134">
        <v>45557</v>
      </c>
      <c r="C2254" s="70">
        <v>2018</v>
      </c>
      <c r="D2254" s="70" t="s">
        <v>58</v>
      </c>
      <c r="E2254" s="280" t="s">
        <v>4122</v>
      </c>
      <c r="F2254" s="1049">
        <v>21.31</v>
      </c>
      <c r="G2254" s="1049"/>
      <c r="H2254" s="564"/>
      <c r="I2254" s="609"/>
      <c r="J2254" s="1155"/>
      <c r="K2254" s="609"/>
      <c r="L2254" s="609"/>
      <c r="M2254" s="609"/>
      <c r="N2254" s="599"/>
      <c r="O2254" s="552" t="s">
        <v>1584</v>
      </c>
      <c r="P2254" s="603"/>
      <c r="Q2254" s="682"/>
      <c r="R2254" s="682"/>
      <c r="S2254" s="682"/>
      <c r="T2254" s="682"/>
      <c r="U2254" s="682"/>
      <c r="V2254" s="682"/>
      <c r="W2254" s="682"/>
    </row>
    <row r="2255" spans="1:23">
      <c r="A2255" s="1045">
        <f t="shared" si="35"/>
        <v>9</v>
      </c>
      <c r="B2255" s="134">
        <v>45557</v>
      </c>
      <c r="C2255" s="70">
        <v>5250</v>
      </c>
      <c r="D2255" s="70" t="s">
        <v>85</v>
      </c>
      <c r="E2255" s="280" t="s">
        <v>4123</v>
      </c>
      <c r="F2255" s="1049">
        <v>53.61</v>
      </c>
      <c r="G2255" s="1049"/>
      <c r="H2255" s="564"/>
      <c r="I2255" s="609"/>
      <c r="J2255" s="1155"/>
      <c r="K2255" s="609"/>
      <c r="L2255" s="609"/>
      <c r="M2255" s="609"/>
      <c r="N2255" s="599"/>
      <c r="O2255" s="552" t="s">
        <v>1584</v>
      </c>
      <c r="P2255" s="603"/>
      <c r="Q2255" s="682"/>
      <c r="R2255" s="682"/>
      <c r="S2255" s="682"/>
      <c r="T2255" s="682"/>
      <c r="U2255" s="682"/>
      <c r="V2255" s="682"/>
      <c r="W2255" s="682"/>
    </row>
    <row r="2256" spans="1:23">
      <c r="A2256" s="1045">
        <f t="shared" si="35"/>
        <v>9</v>
      </c>
      <c r="B2256" s="134">
        <v>45557</v>
      </c>
      <c r="C2256" s="70">
        <v>2018</v>
      </c>
      <c r="D2256" s="70" t="s">
        <v>58</v>
      </c>
      <c r="E2256" s="280" t="s">
        <v>4123</v>
      </c>
      <c r="F2256" s="1049">
        <v>2.69</v>
      </c>
      <c r="G2256" s="1049"/>
      <c r="H2256" s="564"/>
      <c r="I2256" s="609"/>
      <c r="J2256" s="1155"/>
      <c r="K2256" s="609"/>
      <c r="L2256" s="609"/>
      <c r="M2256" s="609"/>
      <c r="N2256" s="599"/>
      <c r="O2256" s="552" t="s">
        <v>1584</v>
      </c>
      <c r="P2256" s="603"/>
      <c r="Q2256" s="682"/>
      <c r="R2256" s="682"/>
      <c r="S2256" s="682"/>
      <c r="T2256" s="682"/>
      <c r="U2256" s="682"/>
      <c r="V2256" s="682"/>
      <c r="W2256" s="682"/>
    </row>
    <row r="2257" spans="1:23">
      <c r="A2257" s="1045">
        <f t="shared" si="35"/>
        <v>9</v>
      </c>
      <c r="B2257" s="134">
        <v>45558</v>
      </c>
      <c r="C2257" s="70">
        <v>5250</v>
      </c>
      <c r="D2257" s="70" t="s">
        <v>85</v>
      </c>
      <c r="E2257" s="280" t="s">
        <v>4124</v>
      </c>
      <c r="F2257" s="1049">
        <v>30</v>
      </c>
      <c r="G2257" s="1049"/>
      <c r="H2257" s="564"/>
      <c r="I2257" s="609"/>
      <c r="J2257" s="1155"/>
      <c r="K2257" s="609"/>
      <c r="L2257" s="609"/>
      <c r="M2257" s="609"/>
      <c r="N2257" s="599"/>
      <c r="O2257" s="552" t="s">
        <v>1584</v>
      </c>
      <c r="P2257" s="603"/>
      <c r="Q2257" s="682"/>
      <c r="R2257" s="682"/>
      <c r="S2257" s="682"/>
      <c r="T2257" s="682"/>
      <c r="U2257" s="682"/>
      <c r="V2257" s="682"/>
      <c r="W2257" s="682"/>
    </row>
    <row r="2258" spans="1:23">
      <c r="A2258" s="1045">
        <f t="shared" si="35"/>
        <v>9</v>
      </c>
      <c r="B2258" s="134">
        <v>45558</v>
      </c>
      <c r="C2258" s="70">
        <v>5250</v>
      </c>
      <c r="D2258" s="70" t="s">
        <v>85</v>
      </c>
      <c r="E2258" s="280" t="s">
        <v>4125</v>
      </c>
      <c r="F2258" s="1049">
        <v>3280</v>
      </c>
      <c r="G2258" s="1049"/>
      <c r="H2258" s="564"/>
      <c r="I2258" s="609"/>
      <c r="J2258" s="1155"/>
      <c r="K2258" s="609"/>
      <c r="L2258" s="609"/>
      <c r="M2258" s="609"/>
      <c r="N2258" s="599"/>
      <c r="O2258" s="552" t="s">
        <v>1584</v>
      </c>
      <c r="P2258" s="603"/>
      <c r="Q2258" s="682"/>
      <c r="R2258" s="682"/>
      <c r="S2258" s="682"/>
      <c r="T2258" s="682"/>
      <c r="U2258" s="682"/>
      <c r="V2258" s="682"/>
      <c r="W2258" s="682"/>
    </row>
    <row r="2259" spans="1:23">
      <c r="A2259" s="1045">
        <f t="shared" si="35"/>
        <v>9</v>
      </c>
      <c r="B2259" s="134">
        <v>45558</v>
      </c>
      <c r="C2259" s="70">
        <v>2018</v>
      </c>
      <c r="D2259" s="70" t="s">
        <v>58</v>
      </c>
      <c r="E2259" s="280" t="s">
        <v>4125</v>
      </c>
      <c r="F2259" s="1049">
        <v>164</v>
      </c>
      <c r="G2259" s="1049"/>
      <c r="H2259" s="564"/>
      <c r="I2259" s="609"/>
      <c r="J2259" s="1155"/>
      <c r="K2259" s="609"/>
      <c r="L2259" s="609"/>
      <c r="M2259" s="609"/>
      <c r="N2259" s="599"/>
      <c r="O2259" s="552" t="s">
        <v>1584</v>
      </c>
      <c r="P2259" s="603"/>
      <c r="Q2259" s="682"/>
      <c r="R2259" s="682"/>
      <c r="S2259" s="682"/>
      <c r="T2259" s="682"/>
      <c r="U2259" s="682"/>
      <c r="V2259" s="682"/>
      <c r="W2259" s="682"/>
    </row>
    <row r="2260" spans="1:23">
      <c r="A2260" s="1045">
        <f t="shared" si="35"/>
        <v>9</v>
      </c>
      <c r="B2260" s="134">
        <v>45558</v>
      </c>
      <c r="C2260" s="70">
        <v>5250</v>
      </c>
      <c r="D2260" s="70" t="s">
        <v>85</v>
      </c>
      <c r="E2260" s="280" t="s">
        <v>4126</v>
      </c>
      <c r="F2260" s="1049">
        <v>328.57</v>
      </c>
      <c r="G2260" s="1049"/>
      <c r="H2260" s="564"/>
      <c r="I2260" s="609"/>
      <c r="J2260" s="1155"/>
      <c r="K2260" s="609"/>
      <c r="L2260" s="609"/>
      <c r="M2260" s="609"/>
      <c r="N2260" s="599"/>
      <c r="O2260" s="552" t="s">
        <v>1584</v>
      </c>
      <c r="P2260" s="603"/>
      <c r="Q2260" s="682"/>
      <c r="R2260" s="682"/>
      <c r="S2260" s="682"/>
      <c r="T2260" s="682"/>
      <c r="U2260" s="682"/>
      <c r="V2260" s="682"/>
      <c r="W2260" s="682"/>
    </row>
    <row r="2261" spans="1:23">
      <c r="A2261" s="1045">
        <f t="shared" ref="A2261:A2324" si="36">IF(B2261="","",MONTH(B2261))</f>
        <v>9</v>
      </c>
      <c r="B2261" s="134">
        <v>45558</v>
      </c>
      <c r="C2261" s="70">
        <v>2018</v>
      </c>
      <c r="D2261" s="70" t="s">
        <v>58</v>
      </c>
      <c r="E2261" s="280" t="s">
        <v>4126</v>
      </c>
      <c r="F2261" s="1049">
        <v>16.43</v>
      </c>
      <c r="G2261" s="1049"/>
      <c r="H2261" s="564"/>
      <c r="I2261" s="609"/>
      <c r="J2261" s="1155"/>
      <c r="K2261" s="609"/>
      <c r="L2261" s="609"/>
      <c r="M2261" s="609"/>
      <c r="N2261" s="599"/>
      <c r="O2261" s="552" t="s">
        <v>1584</v>
      </c>
      <c r="P2261" s="603"/>
      <c r="Q2261" s="682"/>
      <c r="R2261" s="682"/>
      <c r="S2261" s="682"/>
      <c r="T2261" s="682"/>
      <c r="U2261" s="682"/>
      <c r="V2261" s="682"/>
      <c r="W2261" s="682"/>
    </row>
    <row r="2262" spans="1:23">
      <c r="A2262" s="1045">
        <f t="shared" si="36"/>
        <v>9</v>
      </c>
      <c r="B2262" s="134">
        <v>45558</v>
      </c>
      <c r="C2262" s="70">
        <v>5250</v>
      </c>
      <c r="D2262" s="70" t="s">
        <v>85</v>
      </c>
      <c r="E2262" s="280" t="s">
        <v>4127</v>
      </c>
      <c r="F2262" s="1049">
        <v>22</v>
      </c>
      <c r="G2262" s="1049"/>
      <c r="H2262" s="564"/>
      <c r="I2262" s="609"/>
      <c r="J2262" s="1155"/>
      <c r="K2262" s="609"/>
      <c r="L2262" s="609"/>
      <c r="M2262" s="609"/>
      <c r="N2262" s="599"/>
      <c r="O2262" s="552" t="s">
        <v>1584</v>
      </c>
      <c r="P2262" s="603"/>
      <c r="Q2262" s="682"/>
      <c r="R2262" s="682"/>
      <c r="S2262" s="682"/>
      <c r="T2262" s="682"/>
      <c r="U2262" s="682"/>
      <c r="V2262" s="682"/>
      <c r="W2262" s="682"/>
    </row>
    <row r="2263" spans="1:23">
      <c r="A2263" s="1045">
        <f t="shared" si="36"/>
        <v>9</v>
      </c>
      <c r="B2263" s="134">
        <v>45558</v>
      </c>
      <c r="C2263" s="70">
        <v>2018</v>
      </c>
      <c r="D2263" s="70" t="s">
        <v>58</v>
      </c>
      <c r="E2263" s="280" t="s">
        <v>4127</v>
      </c>
      <c r="F2263" s="1049">
        <v>1.1000000000000001</v>
      </c>
      <c r="G2263" s="1049"/>
      <c r="H2263" s="564"/>
      <c r="I2263" s="609"/>
      <c r="J2263" s="1155"/>
      <c r="K2263" s="609"/>
      <c r="L2263" s="609"/>
      <c r="M2263" s="609"/>
      <c r="N2263" s="599"/>
      <c r="O2263" s="552" t="s">
        <v>1584</v>
      </c>
      <c r="P2263" s="603"/>
      <c r="Q2263" s="682"/>
      <c r="R2263" s="682"/>
      <c r="S2263" s="682"/>
      <c r="T2263" s="682"/>
      <c r="U2263" s="682"/>
      <c r="V2263" s="682"/>
      <c r="W2263" s="682"/>
    </row>
    <row r="2264" spans="1:23">
      <c r="A2264" s="1045">
        <f t="shared" si="36"/>
        <v>9</v>
      </c>
      <c r="B2264" s="134">
        <v>45558</v>
      </c>
      <c r="C2264" s="70">
        <v>5250</v>
      </c>
      <c r="D2264" s="70" t="s">
        <v>85</v>
      </c>
      <c r="E2264" s="280" t="s">
        <v>4128</v>
      </c>
      <c r="F2264" s="1049">
        <v>663.14</v>
      </c>
      <c r="G2264" s="1049"/>
      <c r="H2264" s="564"/>
      <c r="I2264" s="609"/>
      <c r="J2264" s="1155"/>
      <c r="K2264" s="609"/>
      <c r="L2264" s="609"/>
      <c r="M2264" s="609"/>
      <c r="N2264" s="599"/>
      <c r="O2264" s="552" t="s">
        <v>1584</v>
      </c>
      <c r="P2264" s="603"/>
      <c r="Q2264" s="682"/>
      <c r="R2264" s="682"/>
      <c r="S2264" s="682"/>
      <c r="T2264" s="682"/>
      <c r="U2264" s="682"/>
      <c r="V2264" s="682"/>
      <c r="W2264" s="682"/>
    </row>
    <row r="2265" spans="1:23">
      <c r="A2265" s="1045">
        <f t="shared" si="36"/>
        <v>9</v>
      </c>
      <c r="B2265" s="134">
        <v>45558</v>
      </c>
      <c r="C2265" s="70">
        <v>2018</v>
      </c>
      <c r="D2265" s="70" t="s">
        <v>58</v>
      </c>
      <c r="E2265" s="280" t="s">
        <v>4128</v>
      </c>
      <c r="F2265" s="1049">
        <v>33.159999999999997</v>
      </c>
      <c r="G2265" s="1049"/>
      <c r="H2265" s="564"/>
      <c r="I2265" s="609"/>
      <c r="J2265" s="1155"/>
      <c r="K2265" s="609"/>
      <c r="L2265" s="609"/>
      <c r="M2265" s="609"/>
      <c r="N2265" s="599"/>
      <c r="O2265" s="552" t="s">
        <v>1584</v>
      </c>
      <c r="P2265" s="603"/>
      <c r="Q2265" s="682"/>
      <c r="R2265" s="682"/>
      <c r="S2265" s="682"/>
      <c r="T2265" s="682"/>
      <c r="U2265" s="682"/>
      <c r="V2265" s="682"/>
      <c r="W2265" s="682"/>
    </row>
    <row r="2266" spans="1:23">
      <c r="A2266" s="1045">
        <f t="shared" si="36"/>
        <v>9</v>
      </c>
      <c r="B2266" s="134">
        <v>45558</v>
      </c>
      <c r="C2266" s="70">
        <v>5250</v>
      </c>
      <c r="D2266" s="70" t="s">
        <v>85</v>
      </c>
      <c r="E2266" s="280" t="s">
        <v>4129</v>
      </c>
      <c r="F2266" s="1049">
        <v>680</v>
      </c>
      <c r="G2266" s="1049"/>
      <c r="H2266" s="564"/>
      <c r="I2266" s="609"/>
      <c r="J2266" s="1155"/>
      <c r="K2266" s="609"/>
      <c r="L2266" s="609"/>
      <c r="M2266" s="609"/>
      <c r="N2266" s="599"/>
      <c r="O2266" s="552" t="s">
        <v>1584</v>
      </c>
      <c r="P2266" s="603"/>
      <c r="Q2266" s="682"/>
      <c r="R2266" s="682"/>
      <c r="S2266" s="682"/>
      <c r="T2266" s="682"/>
      <c r="U2266" s="682"/>
      <c r="V2266" s="682"/>
      <c r="W2266" s="682"/>
    </row>
    <row r="2267" spans="1:23">
      <c r="A2267" s="1045">
        <f t="shared" si="36"/>
        <v>9</v>
      </c>
      <c r="B2267" s="134">
        <v>45558</v>
      </c>
      <c r="C2267" s="70">
        <v>2018</v>
      </c>
      <c r="D2267" s="70" t="s">
        <v>58</v>
      </c>
      <c r="E2267" s="280" t="s">
        <v>4129</v>
      </c>
      <c r="F2267" s="1049">
        <v>34</v>
      </c>
      <c r="G2267" s="1049"/>
      <c r="H2267" s="564"/>
      <c r="I2267" s="609"/>
      <c r="J2267" s="1155"/>
      <c r="K2267" s="609"/>
      <c r="L2267" s="609"/>
      <c r="M2267" s="609"/>
      <c r="N2267" s="599"/>
      <c r="O2267" s="552" t="s">
        <v>1584</v>
      </c>
      <c r="P2267" s="603"/>
      <c r="Q2267" s="682"/>
      <c r="R2267" s="682"/>
      <c r="S2267" s="682"/>
      <c r="T2267" s="682"/>
      <c r="U2267" s="682"/>
      <c r="V2267" s="682"/>
      <c r="W2267" s="682"/>
    </row>
    <row r="2268" spans="1:23">
      <c r="A2268" s="1045">
        <f t="shared" si="36"/>
        <v>9</v>
      </c>
      <c r="B2268" s="134">
        <v>45558</v>
      </c>
      <c r="C2268" s="70">
        <v>5250</v>
      </c>
      <c r="D2268" s="70" t="s">
        <v>85</v>
      </c>
      <c r="E2268" s="280" t="s">
        <v>4130</v>
      </c>
      <c r="F2268" s="1049">
        <v>75.5</v>
      </c>
      <c r="G2268" s="1049"/>
      <c r="H2268" s="564"/>
      <c r="I2268" s="609"/>
      <c r="J2268" s="1155"/>
      <c r="K2268" s="609"/>
      <c r="L2268" s="609"/>
      <c r="M2268" s="609"/>
      <c r="N2268" s="599"/>
      <c r="O2268" s="552" t="s">
        <v>1584</v>
      </c>
      <c r="P2268" s="603"/>
      <c r="Q2268" s="682"/>
      <c r="R2268" s="682"/>
      <c r="S2268" s="682"/>
      <c r="T2268" s="682"/>
      <c r="U2268" s="682"/>
      <c r="V2268" s="682"/>
      <c r="W2268" s="682"/>
    </row>
    <row r="2269" spans="1:23">
      <c r="A2269" s="1045">
        <f t="shared" si="36"/>
        <v>9</v>
      </c>
      <c r="B2269" s="134">
        <v>45558</v>
      </c>
      <c r="C2269" s="70">
        <v>2018</v>
      </c>
      <c r="D2269" s="70" t="s">
        <v>58</v>
      </c>
      <c r="E2269" s="280" t="s">
        <v>4130</v>
      </c>
      <c r="F2269" s="1049">
        <v>3.78</v>
      </c>
      <c r="G2269" s="1049"/>
      <c r="H2269" s="564"/>
      <c r="I2269" s="609"/>
      <c r="J2269" s="1155"/>
      <c r="K2269" s="609"/>
      <c r="L2269" s="609"/>
      <c r="M2269" s="609"/>
      <c r="N2269" s="599"/>
      <c r="O2269" s="552" t="s">
        <v>1584</v>
      </c>
      <c r="P2269" s="603"/>
      <c r="Q2269" s="682"/>
      <c r="R2269" s="682"/>
      <c r="S2269" s="682"/>
      <c r="T2269" s="682"/>
      <c r="U2269" s="682"/>
      <c r="V2269" s="682"/>
      <c r="W2269" s="682"/>
    </row>
    <row r="2270" spans="1:23">
      <c r="A2270" s="1045">
        <f t="shared" si="36"/>
        <v>9</v>
      </c>
      <c r="B2270" s="134">
        <v>45559</v>
      </c>
      <c r="C2270" s="70">
        <v>5250</v>
      </c>
      <c r="D2270" s="70" t="s">
        <v>85</v>
      </c>
      <c r="E2270" s="280" t="s">
        <v>4131</v>
      </c>
      <c r="F2270" s="1049">
        <v>26.67</v>
      </c>
      <c r="G2270" s="1049"/>
      <c r="H2270" s="564"/>
      <c r="I2270" s="609"/>
      <c r="J2270" s="1155"/>
      <c r="K2270" s="609"/>
      <c r="L2270" s="609"/>
      <c r="M2270" s="609"/>
      <c r="N2270" s="599"/>
      <c r="O2270" s="552" t="s">
        <v>1584</v>
      </c>
      <c r="P2270" s="603"/>
      <c r="Q2270" s="682"/>
      <c r="R2270" s="682"/>
      <c r="S2270" s="682"/>
      <c r="T2270" s="682"/>
      <c r="U2270" s="682"/>
      <c r="V2270" s="682"/>
      <c r="W2270" s="682"/>
    </row>
    <row r="2271" spans="1:23">
      <c r="A2271" s="1045">
        <f t="shared" si="36"/>
        <v>9</v>
      </c>
      <c r="B2271" s="134">
        <v>45559</v>
      </c>
      <c r="C2271" s="70">
        <v>2018</v>
      </c>
      <c r="D2271" s="70" t="s">
        <v>58</v>
      </c>
      <c r="E2271" s="280" t="s">
        <v>4131</v>
      </c>
      <c r="F2271" s="1049">
        <v>1.33</v>
      </c>
      <c r="G2271" s="1049"/>
      <c r="H2271" s="564"/>
      <c r="I2271" s="609"/>
      <c r="J2271" s="1155"/>
      <c r="K2271" s="609"/>
      <c r="L2271" s="609"/>
      <c r="M2271" s="609"/>
      <c r="N2271" s="599"/>
      <c r="O2271" s="552" t="s">
        <v>1584</v>
      </c>
      <c r="P2271" s="603"/>
      <c r="Q2271" s="682"/>
      <c r="R2271" s="682"/>
      <c r="S2271" s="682"/>
      <c r="T2271" s="682"/>
      <c r="U2271" s="682"/>
      <c r="V2271" s="682"/>
      <c r="W2271" s="682"/>
    </row>
    <row r="2272" spans="1:23">
      <c r="A2272" s="1045">
        <f t="shared" si="36"/>
        <v>9</v>
      </c>
      <c r="B2272" s="134">
        <v>45559</v>
      </c>
      <c r="C2272" s="70">
        <v>5250</v>
      </c>
      <c r="D2272" s="70" t="s">
        <v>85</v>
      </c>
      <c r="E2272" s="280" t="s">
        <v>4132</v>
      </c>
      <c r="F2272" s="1049">
        <v>62.5</v>
      </c>
      <c r="G2272" s="1049"/>
      <c r="H2272" s="564"/>
      <c r="I2272" s="609"/>
      <c r="J2272" s="1155"/>
      <c r="K2272" s="609"/>
      <c r="L2272" s="609"/>
      <c r="M2272" s="609"/>
      <c r="N2272" s="599"/>
      <c r="O2272" s="552" t="s">
        <v>1584</v>
      </c>
      <c r="P2272" s="603"/>
      <c r="Q2272" s="682"/>
      <c r="R2272" s="682"/>
      <c r="S2272" s="682"/>
      <c r="T2272" s="682"/>
      <c r="U2272" s="682"/>
      <c r="V2272" s="682"/>
      <c r="W2272" s="682"/>
    </row>
    <row r="2273" spans="1:23">
      <c r="A2273" s="1045">
        <f t="shared" si="36"/>
        <v>9</v>
      </c>
      <c r="B2273" s="134">
        <v>45559</v>
      </c>
      <c r="C2273" s="70">
        <v>2018</v>
      </c>
      <c r="D2273" s="70" t="s">
        <v>58</v>
      </c>
      <c r="E2273" s="280" t="s">
        <v>4132</v>
      </c>
      <c r="F2273" s="1049">
        <v>3.13</v>
      </c>
      <c r="G2273" s="1049"/>
      <c r="H2273" s="564"/>
      <c r="I2273" s="609"/>
      <c r="J2273" s="1155"/>
      <c r="K2273" s="609"/>
      <c r="L2273" s="609"/>
      <c r="M2273" s="609"/>
      <c r="N2273" s="599"/>
      <c r="O2273" s="552" t="s">
        <v>1584</v>
      </c>
      <c r="P2273" s="603"/>
      <c r="Q2273" s="682"/>
      <c r="R2273" s="682"/>
      <c r="S2273" s="682"/>
      <c r="T2273" s="682"/>
      <c r="U2273" s="682"/>
      <c r="V2273" s="682"/>
      <c r="W2273" s="682"/>
    </row>
    <row r="2274" spans="1:23">
      <c r="A2274" s="1045">
        <f t="shared" si="36"/>
        <v>9</v>
      </c>
      <c r="B2274" s="134">
        <v>45560</v>
      </c>
      <c r="C2274" s="70">
        <v>5250</v>
      </c>
      <c r="D2274" s="70" t="s">
        <v>85</v>
      </c>
      <c r="E2274" s="280" t="s">
        <v>4133</v>
      </c>
      <c r="F2274" s="1049">
        <v>105</v>
      </c>
      <c r="G2274" s="1049"/>
      <c r="H2274" s="564"/>
      <c r="I2274" s="609"/>
      <c r="J2274" s="1155"/>
      <c r="K2274" s="609"/>
      <c r="L2274" s="609"/>
      <c r="M2274" s="609"/>
      <c r="N2274" s="599"/>
      <c r="O2274" s="552" t="s">
        <v>1584</v>
      </c>
      <c r="P2274" s="603"/>
      <c r="Q2274" s="682"/>
      <c r="R2274" s="682"/>
      <c r="S2274" s="682"/>
      <c r="T2274" s="682"/>
      <c r="U2274" s="682"/>
      <c r="V2274" s="682"/>
      <c r="W2274" s="682"/>
    </row>
    <row r="2275" spans="1:23">
      <c r="A2275" s="1045">
        <f t="shared" si="36"/>
        <v>9</v>
      </c>
      <c r="B2275" s="134">
        <v>45560</v>
      </c>
      <c r="C2275" s="70">
        <v>2018</v>
      </c>
      <c r="D2275" s="70" t="s">
        <v>58</v>
      </c>
      <c r="E2275" s="280" t="s">
        <v>4133</v>
      </c>
      <c r="F2275" s="1049">
        <v>5.25</v>
      </c>
      <c r="G2275" s="1049"/>
      <c r="H2275" s="564"/>
      <c r="I2275" s="609"/>
      <c r="J2275" s="1155"/>
      <c r="K2275" s="609"/>
      <c r="L2275" s="609"/>
      <c r="M2275" s="609"/>
      <c r="N2275" s="599"/>
      <c r="O2275" s="552" t="s">
        <v>1584</v>
      </c>
      <c r="P2275" s="603"/>
      <c r="Q2275" s="682"/>
      <c r="R2275" s="682"/>
      <c r="S2275" s="682"/>
      <c r="T2275" s="682"/>
      <c r="U2275" s="682"/>
      <c r="V2275" s="682"/>
      <c r="W2275" s="682"/>
    </row>
    <row r="2276" spans="1:23">
      <c r="A2276" s="1045">
        <f t="shared" si="36"/>
        <v>9</v>
      </c>
      <c r="B2276" s="134">
        <v>45560</v>
      </c>
      <c r="C2276" s="70">
        <v>5250</v>
      </c>
      <c r="D2276" s="70" t="s">
        <v>85</v>
      </c>
      <c r="E2276" s="280" t="s">
        <v>4134</v>
      </c>
      <c r="F2276" s="1049">
        <v>10</v>
      </c>
      <c r="G2276" s="1049"/>
      <c r="H2276" s="564"/>
      <c r="I2276" s="609"/>
      <c r="J2276" s="1155"/>
      <c r="K2276" s="609"/>
      <c r="L2276" s="609"/>
      <c r="M2276" s="609"/>
      <c r="N2276" s="599"/>
      <c r="O2276" s="552" t="s">
        <v>1584</v>
      </c>
      <c r="P2276" s="603"/>
      <c r="Q2276" s="682"/>
      <c r="R2276" s="682"/>
      <c r="S2276" s="682"/>
      <c r="T2276" s="682"/>
      <c r="U2276" s="682"/>
      <c r="V2276" s="682"/>
      <c r="W2276" s="682"/>
    </row>
    <row r="2277" spans="1:23">
      <c r="A2277" s="1045">
        <f t="shared" si="36"/>
        <v>9</v>
      </c>
      <c r="B2277" s="134">
        <v>45560</v>
      </c>
      <c r="C2277" s="70">
        <v>5250</v>
      </c>
      <c r="D2277" s="70" t="s">
        <v>85</v>
      </c>
      <c r="E2277" s="280" t="s">
        <v>4135</v>
      </c>
      <c r="F2277" s="1049">
        <v>30</v>
      </c>
      <c r="G2277" s="1049"/>
      <c r="H2277" s="564"/>
      <c r="I2277" s="609"/>
      <c r="J2277" s="1155"/>
      <c r="K2277" s="609"/>
      <c r="L2277" s="609"/>
      <c r="M2277" s="609"/>
      <c r="N2277" s="599"/>
      <c r="O2277" s="552" t="s">
        <v>1584</v>
      </c>
      <c r="P2277" s="603"/>
      <c r="Q2277" s="682"/>
      <c r="R2277" s="682"/>
      <c r="S2277" s="682"/>
      <c r="T2277" s="682"/>
      <c r="U2277" s="682"/>
      <c r="V2277" s="682"/>
      <c r="W2277" s="682"/>
    </row>
    <row r="2278" spans="1:23">
      <c r="A2278" s="1045">
        <f t="shared" si="36"/>
        <v>9</v>
      </c>
      <c r="B2278" s="134">
        <v>45560</v>
      </c>
      <c r="C2278" s="70">
        <v>5250</v>
      </c>
      <c r="D2278" s="70" t="s">
        <v>85</v>
      </c>
      <c r="E2278" s="280" t="s">
        <v>4136</v>
      </c>
      <c r="F2278" s="1049">
        <v>28</v>
      </c>
      <c r="G2278" s="1049"/>
      <c r="H2278" s="564"/>
      <c r="I2278" s="609"/>
      <c r="J2278" s="1155"/>
      <c r="K2278" s="609"/>
      <c r="L2278" s="609"/>
      <c r="M2278" s="609"/>
      <c r="N2278" s="599"/>
      <c r="O2278" s="552" t="s">
        <v>1584</v>
      </c>
      <c r="P2278" s="603"/>
      <c r="Q2278" s="682"/>
      <c r="R2278" s="682"/>
      <c r="S2278" s="682"/>
      <c r="T2278" s="682"/>
      <c r="U2278" s="682"/>
      <c r="V2278" s="682"/>
      <c r="W2278" s="682"/>
    </row>
    <row r="2279" spans="1:23">
      <c r="A2279" s="1045">
        <f t="shared" si="36"/>
        <v>9</v>
      </c>
      <c r="B2279" s="134">
        <v>45560</v>
      </c>
      <c r="C2279" s="70">
        <v>2018</v>
      </c>
      <c r="D2279" s="70" t="s">
        <v>58</v>
      </c>
      <c r="E2279" s="280" t="s">
        <v>4136</v>
      </c>
      <c r="F2279" s="1049">
        <v>1.4</v>
      </c>
      <c r="G2279" s="1049"/>
      <c r="H2279" s="564"/>
      <c r="I2279" s="609"/>
      <c r="J2279" s="1155"/>
      <c r="K2279" s="609"/>
      <c r="L2279" s="609"/>
      <c r="M2279" s="609"/>
      <c r="N2279" s="599"/>
      <c r="O2279" s="552" t="s">
        <v>1584</v>
      </c>
      <c r="P2279" s="603"/>
      <c r="Q2279" s="682"/>
      <c r="R2279" s="682"/>
      <c r="S2279" s="682"/>
      <c r="T2279" s="682"/>
      <c r="U2279" s="682"/>
      <c r="V2279" s="682"/>
      <c r="W2279" s="682"/>
    </row>
    <row r="2280" spans="1:23">
      <c r="A2280" s="1045">
        <f t="shared" si="36"/>
        <v>9</v>
      </c>
      <c r="B2280" s="134">
        <v>45560</v>
      </c>
      <c r="C2280" s="70">
        <v>5250</v>
      </c>
      <c r="D2280" s="70" t="s">
        <v>85</v>
      </c>
      <c r="E2280" s="280" t="s">
        <v>4137</v>
      </c>
      <c r="F2280" s="1049">
        <v>187</v>
      </c>
      <c r="G2280" s="1049"/>
      <c r="H2280" s="564"/>
      <c r="I2280" s="609"/>
      <c r="J2280" s="1155"/>
      <c r="K2280" s="609"/>
      <c r="L2280" s="609"/>
      <c r="M2280" s="609"/>
      <c r="N2280" s="599"/>
      <c r="O2280" s="552" t="s">
        <v>1584</v>
      </c>
      <c r="P2280" s="603"/>
      <c r="Q2280" s="682"/>
      <c r="R2280" s="682"/>
      <c r="S2280" s="682"/>
      <c r="T2280" s="682"/>
      <c r="U2280" s="682"/>
      <c r="V2280" s="682"/>
      <c r="W2280" s="682"/>
    </row>
    <row r="2281" spans="1:23">
      <c r="A2281" s="1045">
        <f t="shared" si="36"/>
        <v>9</v>
      </c>
      <c r="B2281" s="134">
        <v>45560</v>
      </c>
      <c r="C2281" s="70">
        <v>2018</v>
      </c>
      <c r="D2281" s="70" t="s">
        <v>58</v>
      </c>
      <c r="E2281" s="280" t="s">
        <v>4137</v>
      </c>
      <c r="F2281" s="1049">
        <v>9.35</v>
      </c>
      <c r="G2281" s="1049"/>
      <c r="H2281" s="564"/>
      <c r="I2281" s="609"/>
      <c r="J2281" s="1155"/>
      <c r="K2281" s="609"/>
      <c r="L2281" s="609"/>
      <c r="M2281" s="609"/>
      <c r="N2281" s="599"/>
      <c r="O2281" s="552" t="s">
        <v>1584</v>
      </c>
      <c r="P2281" s="603"/>
      <c r="Q2281" s="682"/>
      <c r="R2281" s="682"/>
      <c r="S2281" s="682"/>
      <c r="T2281" s="682"/>
      <c r="U2281" s="682"/>
      <c r="V2281" s="682"/>
      <c r="W2281" s="682"/>
    </row>
    <row r="2282" spans="1:23">
      <c r="A2282" s="1045">
        <f t="shared" si="36"/>
        <v>9</v>
      </c>
      <c r="B2282" s="134">
        <v>45561</v>
      </c>
      <c r="C2282" s="70">
        <v>5250</v>
      </c>
      <c r="D2282" s="70" t="s">
        <v>85</v>
      </c>
      <c r="E2282" s="280" t="s">
        <v>4138</v>
      </c>
      <c r="F2282" s="1049">
        <v>5</v>
      </c>
      <c r="G2282" s="1049"/>
      <c r="H2282" s="564"/>
      <c r="I2282" s="609"/>
      <c r="J2282" s="1155"/>
      <c r="K2282" s="609"/>
      <c r="L2282" s="609"/>
      <c r="M2282" s="609"/>
      <c r="N2282" s="599"/>
      <c r="O2282" s="552" t="s">
        <v>1584</v>
      </c>
      <c r="P2282" s="603"/>
      <c r="Q2282" s="682"/>
      <c r="R2282" s="682"/>
      <c r="S2282" s="682"/>
      <c r="T2282" s="682"/>
      <c r="U2282" s="682"/>
      <c r="V2282" s="682"/>
      <c r="W2282" s="682"/>
    </row>
    <row r="2283" spans="1:23">
      <c r="A2283" s="1045">
        <f t="shared" si="36"/>
        <v>9</v>
      </c>
      <c r="B2283" s="134">
        <v>45561</v>
      </c>
      <c r="C2283" s="70">
        <v>2018</v>
      </c>
      <c r="D2283" s="70" t="s">
        <v>58</v>
      </c>
      <c r="E2283" s="280" t="s">
        <v>4138</v>
      </c>
      <c r="F2283" s="1049">
        <v>0.5</v>
      </c>
      <c r="G2283" s="1049"/>
      <c r="H2283" s="564"/>
      <c r="I2283" s="609"/>
      <c r="J2283" s="1155"/>
      <c r="K2283" s="609"/>
      <c r="L2283" s="609"/>
      <c r="M2283" s="609"/>
      <c r="N2283" s="599"/>
      <c r="O2283" s="552" t="s">
        <v>1584</v>
      </c>
      <c r="P2283" s="603"/>
      <c r="Q2283" s="682"/>
      <c r="R2283" s="682"/>
      <c r="S2283" s="682"/>
      <c r="T2283" s="682"/>
      <c r="U2283" s="682"/>
      <c r="V2283" s="682"/>
      <c r="W2283" s="682"/>
    </row>
    <row r="2284" spans="1:23">
      <c r="A2284" s="1045">
        <f t="shared" si="36"/>
        <v>9</v>
      </c>
      <c r="B2284" s="134">
        <v>45561</v>
      </c>
      <c r="C2284" s="70">
        <v>5250</v>
      </c>
      <c r="D2284" s="70" t="s">
        <v>85</v>
      </c>
      <c r="E2284" s="280" t="s">
        <v>4139</v>
      </c>
      <c r="F2284" s="1049">
        <v>39</v>
      </c>
      <c r="G2284" s="1049"/>
      <c r="H2284" s="564"/>
      <c r="I2284" s="609"/>
      <c r="J2284" s="1155"/>
      <c r="K2284" s="609"/>
      <c r="L2284" s="609"/>
      <c r="M2284" s="609"/>
      <c r="N2284" s="599"/>
      <c r="O2284" s="552" t="s">
        <v>1584</v>
      </c>
      <c r="P2284" s="603"/>
      <c r="Q2284" s="682"/>
      <c r="R2284" s="682"/>
      <c r="S2284" s="682"/>
      <c r="T2284" s="682"/>
      <c r="U2284" s="682"/>
      <c r="V2284" s="682"/>
      <c r="W2284" s="682"/>
    </row>
    <row r="2285" spans="1:23">
      <c r="A2285" s="1045">
        <f t="shared" si="36"/>
        <v>9</v>
      </c>
      <c r="B2285" s="134">
        <v>45561</v>
      </c>
      <c r="C2285" s="70">
        <v>2018</v>
      </c>
      <c r="D2285" s="70" t="s">
        <v>58</v>
      </c>
      <c r="E2285" s="280" t="s">
        <v>4139</v>
      </c>
      <c r="F2285" s="1049">
        <v>1.95</v>
      </c>
      <c r="G2285" s="1049"/>
      <c r="H2285" s="564"/>
      <c r="I2285" s="609"/>
      <c r="J2285" s="1155"/>
      <c r="K2285" s="609"/>
      <c r="L2285" s="609"/>
      <c r="M2285" s="609"/>
      <c r="N2285" s="599"/>
      <c r="O2285" s="552" t="s">
        <v>1584</v>
      </c>
      <c r="P2285" s="603"/>
      <c r="Q2285" s="682"/>
      <c r="R2285" s="682"/>
      <c r="S2285" s="682"/>
      <c r="T2285" s="682"/>
      <c r="U2285" s="682"/>
      <c r="V2285" s="682"/>
      <c r="W2285" s="682"/>
    </row>
    <row r="2286" spans="1:23">
      <c r="A2286" s="1045">
        <f t="shared" si="36"/>
        <v>9</v>
      </c>
      <c r="B2286" s="134">
        <v>45561</v>
      </c>
      <c r="C2286" s="70">
        <v>5150</v>
      </c>
      <c r="D2286" s="70" t="s">
        <v>82</v>
      </c>
      <c r="E2286" s="280" t="s">
        <v>4140</v>
      </c>
      <c r="F2286" s="1049">
        <v>33220</v>
      </c>
      <c r="G2286" s="1049"/>
      <c r="H2286" s="564"/>
      <c r="I2286" s="609"/>
      <c r="J2286" s="1155"/>
      <c r="K2286" s="609"/>
      <c r="L2286" s="609"/>
      <c r="M2286" s="609"/>
      <c r="N2286" s="599"/>
      <c r="O2286" s="552" t="s">
        <v>1584</v>
      </c>
      <c r="P2286" s="603"/>
      <c r="Q2286" s="682"/>
      <c r="R2286" s="682"/>
      <c r="S2286" s="682"/>
      <c r="T2286" s="682"/>
      <c r="U2286" s="682"/>
      <c r="V2286" s="682"/>
      <c r="W2286" s="682"/>
    </row>
    <row r="2287" spans="1:23">
      <c r="A2287" s="1045">
        <f t="shared" si="36"/>
        <v>9</v>
      </c>
      <c r="B2287" s="134">
        <v>45561</v>
      </c>
      <c r="C2287" s="70">
        <v>2018</v>
      </c>
      <c r="D2287" s="70" t="s">
        <v>58</v>
      </c>
      <c r="E2287" s="280" t="s">
        <v>4140</v>
      </c>
      <c r="F2287" s="1049">
        <v>1661</v>
      </c>
      <c r="G2287" s="1049"/>
      <c r="H2287" s="564"/>
      <c r="I2287" s="609"/>
      <c r="J2287" s="1155"/>
      <c r="K2287" s="609"/>
      <c r="L2287" s="609"/>
      <c r="M2287" s="609"/>
      <c r="N2287" s="599"/>
      <c r="O2287" s="552" t="s">
        <v>1584</v>
      </c>
      <c r="P2287" s="603"/>
      <c r="Q2287" s="682"/>
      <c r="R2287" s="682"/>
      <c r="S2287" s="682"/>
      <c r="T2287" s="682"/>
      <c r="U2287" s="682"/>
      <c r="V2287" s="682"/>
      <c r="W2287" s="682"/>
    </row>
    <row r="2288" spans="1:23">
      <c r="A2288" s="1045">
        <f t="shared" si="36"/>
        <v>9</v>
      </c>
      <c r="B2288" s="134">
        <v>45561</v>
      </c>
      <c r="C2288" s="70">
        <v>5250</v>
      </c>
      <c r="D2288" s="70" t="s">
        <v>85</v>
      </c>
      <c r="E2288" s="280" t="s">
        <v>4141</v>
      </c>
      <c r="F2288" s="1049">
        <v>10</v>
      </c>
      <c r="G2288" s="1049"/>
      <c r="H2288" s="564"/>
      <c r="I2288" s="609"/>
      <c r="J2288" s="1155"/>
      <c r="K2288" s="609"/>
      <c r="L2288" s="609"/>
      <c r="M2288" s="609"/>
      <c r="N2288" s="599"/>
      <c r="O2288" s="552" t="s">
        <v>1584</v>
      </c>
      <c r="P2288" s="603"/>
      <c r="Q2288" s="682"/>
      <c r="R2288" s="682"/>
      <c r="S2288" s="682"/>
      <c r="T2288" s="682"/>
      <c r="U2288" s="682"/>
      <c r="V2288" s="682"/>
      <c r="W2288" s="682"/>
    </row>
    <row r="2289" spans="1:23">
      <c r="A2289" s="1045">
        <f t="shared" si="36"/>
        <v>9</v>
      </c>
      <c r="B2289" s="134">
        <v>45561</v>
      </c>
      <c r="C2289" s="70">
        <v>2018</v>
      </c>
      <c r="D2289" s="70" t="s">
        <v>58</v>
      </c>
      <c r="E2289" s="280" t="s">
        <v>4141</v>
      </c>
      <c r="F2289" s="1049">
        <v>0.5</v>
      </c>
      <c r="G2289" s="1049"/>
      <c r="H2289" s="564"/>
      <c r="I2289" s="609"/>
      <c r="J2289" s="1155"/>
      <c r="K2289" s="609"/>
      <c r="L2289" s="609"/>
      <c r="M2289" s="609"/>
      <c r="N2289" s="599"/>
      <c r="O2289" s="552" t="s">
        <v>1584</v>
      </c>
      <c r="P2289" s="603"/>
      <c r="Q2289" s="682"/>
      <c r="R2289" s="682"/>
      <c r="S2289" s="682"/>
      <c r="T2289" s="682"/>
      <c r="U2289" s="682"/>
      <c r="V2289" s="682"/>
      <c r="W2289" s="682"/>
    </row>
    <row r="2290" spans="1:23">
      <c r="A2290" s="1045">
        <f t="shared" si="36"/>
        <v>9</v>
      </c>
      <c r="B2290" s="134">
        <v>45562</v>
      </c>
      <c r="C2290" s="70">
        <v>5250</v>
      </c>
      <c r="D2290" s="70" t="s">
        <v>85</v>
      </c>
      <c r="E2290" s="280" t="s">
        <v>4142</v>
      </c>
      <c r="F2290" s="1049">
        <v>7640</v>
      </c>
      <c r="G2290" s="1049"/>
      <c r="H2290" s="564"/>
      <c r="I2290" s="609"/>
      <c r="J2290" s="1155"/>
      <c r="K2290" s="609"/>
      <c r="L2290" s="609"/>
      <c r="M2290" s="609"/>
      <c r="N2290" s="599"/>
      <c r="O2290" s="552" t="s">
        <v>1584</v>
      </c>
      <c r="P2290" s="603"/>
      <c r="Q2290" s="682"/>
      <c r="R2290" s="682"/>
      <c r="S2290" s="682"/>
      <c r="T2290" s="682"/>
      <c r="U2290" s="682"/>
      <c r="V2290" s="682"/>
      <c r="W2290" s="682"/>
    </row>
    <row r="2291" spans="1:23">
      <c r="A2291" s="1045">
        <f t="shared" si="36"/>
        <v>9</v>
      </c>
      <c r="B2291" s="134">
        <v>45562</v>
      </c>
      <c r="C2291" s="70">
        <v>2018</v>
      </c>
      <c r="D2291" s="70" t="s">
        <v>58</v>
      </c>
      <c r="E2291" s="280" t="s">
        <v>4142</v>
      </c>
      <c r="F2291" s="1049">
        <v>382</v>
      </c>
      <c r="G2291" s="1049"/>
      <c r="H2291" s="564"/>
      <c r="I2291" s="609"/>
      <c r="J2291" s="1155"/>
      <c r="K2291" s="609"/>
      <c r="L2291" s="609"/>
      <c r="M2291" s="609"/>
      <c r="N2291" s="599"/>
      <c r="O2291" s="552" t="s">
        <v>1584</v>
      </c>
      <c r="P2291" s="603"/>
      <c r="Q2291" s="682"/>
      <c r="R2291" s="682"/>
      <c r="S2291" s="682"/>
      <c r="T2291" s="682"/>
      <c r="U2291" s="682"/>
      <c r="V2291" s="682"/>
      <c r="W2291" s="682"/>
    </row>
    <row r="2292" spans="1:23">
      <c r="A2292" s="1045">
        <f t="shared" si="36"/>
        <v>9</v>
      </c>
      <c r="B2292" s="134">
        <v>45562</v>
      </c>
      <c r="C2292" s="70">
        <v>5250</v>
      </c>
      <c r="D2292" s="70" t="s">
        <v>85</v>
      </c>
      <c r="E2292" s="280" t="s">
        <v>4143</v>
      </c>
      <c r="F2292" s="1049">
        <v>430</v>
      </c>
      <c r="G2292" s="1049"/>
      <c r="H2292" s="564"/>
      <c r="I2292" s="609"/>
      <c r="J2292" s="1155"/>
      <c r="K2292" s="609"/>
      <c r="L2292" s="609"/>
      <c r="M2292" s="609"/>
      <c r="N2292" s="599"/>
      <c r="O2292" s="552" t="s">
        <v>1584</v>
      </c>
      <c r="P2292" s="603"/>
      <c r="Q2292" s="682"/>
      <c r="R2292" s="682"/>
      <c r="S2292" s="682"/>
      <c r="T2292" s="682"/>
      <c r="U2292" s="682"/>
      <c r="V2292" s="682"/>
      <c r="W2292" s="682"/>
    </row>
    <row r="2293" spans="1:23">
      <c r="A2293" s="1045">
        <f t="shared" si="36"/>
        <v>9</v>
      </c>
      <c r="B2293" s="134">
        <v>45562</v>
      </c>
      <c r="C2293" s="70">
        <v>2018</v>
      </c>
      <c r="D2293" s="70" t="s">
        <v>58</v>
      </c>
      <c r="E2293" s="280" t="s">
        <v>4143</v>
      </c>
      <c r="F2293" s="1049">
        <v>21.48</v>
      </c>
      <c r="G2293" s="1049"/>
      <c r="H2293" s="564"/>
      <c r="I2293" s="609"/>
      <c r="J2293" s="1155"/>
      <c r="K2293" s="609"/>
      <c r="L2293" s="609"/>
      <c r="M2293" s="609"/>
      <c r="N2293" s="599"/>
      <c r="O2293" s="552" t="s">
        <v>1584</v>
      </c>
      <c r="P2293" s="603"/>
      <c r="Q2293" s="682"/>
      <c r="R2293" s="682"/>
      <c r="S2293" s="682"/>
      <c r="T2293" s="682"/>
      <c r="U2293" s="682"/>
      <c r="V2293" s="682"/>
      <c r="W2293" s="682"/>
    </row>
    <row r="2294" spans="1:23">
      <c r="A2294" s="1045">
        <f t="shared" si="36"/>
        <v>9</v>
      </c>
      <c r="B2294" s="134">
        <v>45562</v>
      </c>
      <c r="C2294" s="70">
        <v>5250</v>
      </c>
      <c r="D2294" s="70" t="s">
        <v>85</v>
      </c>
      <c r="E2294" s="280" t="s">
        <v>4144</v>
      </c>
      <c r="F2294" s="1049">
        <v>217.5</v>
      </c>
      <c r="G2294" s="1049"/>
      <c r="H2294" s="564"/>
      <c r="I2294" s="609"/>
      <c r="J2294" s="1155"/>
      <c r="K2294" s="609"/>
      <c r="L2294" s="609"/>
      <c r="M2294" s="609"/>
      <c r="N2294" s="599"/>
      <c r="O2294" s="552" t="s">
        <v>1584</v>
      </c>
      <c r="P2294" s="603"/>
      <c r="Q2294" s="682"/>
      <c r="R2294" s="682"/>
      <c r="S2294" s="682"/>
      <c r="T2294" s="682"/>
      <c r="U2294" s="682"/>
      <c r="V2294" s="682"/>
      <c r="W2294" s="682"/>
    </row>
    <row r="2295" spans="1:23">
      <c r="A2295" s="1045">
        <f t="shared" si="36"/>
        <v>9</v>
      </c>
      <c r="B2295" s="134">
        <v>45562</v>
      </c>
      <c r="C2295" s="70">
        <v>2018</v>
      </c>
      <c r="D2295" s="70" t="s">
        <v>58</v>
      </c>
      <c r="E2295" s="280" t="s">
        <v>4144</v>
      </c>
      <c r="F2295" s="1049">
        <v>10.88</v>
      </c>
      <c r="G2295" s="1049"/>
      <c r="H2295" s="564"/>
      <c r="I2295" s="609"/>
      <c r="J2295" s="1155"/>
      <c r="K2295" s="609"/>
      <c r="L2295" s="609"/>
      <c r="M2295" s="609"/>
      <c r="N2295" s="599"/>
      <c r="O2295" s="552" t="s">
        <v>1584</v>
      </c>
      <c r="P2295" s="603"/>
      <c r="Q2295" s="682"/>
      <c r="R2295" s="682"/>
      <c r="S2295" s="682"/>
      <c r="T2295" s="682"/>
      <c r="U2295" s="682"/>
      <c r="V2295" s="682"/>
      <c r="W2295" s="682"/>
    </row>
    <row r="2296" spans="1:23">
      <c r="A2296" s="1045">
        <f t="shared" si="36"/>
        <v>9</v>
      </c>
      <c r="B2296" s="134">
        <v>45563</v>
      </c>
      <c r="C2296" s="70">
        <v>5250</v>
      </c>
      <c r="D2296" s="70" t="s">
        <v>85</v>
      </c>
      <c r="E2296" s="280" t="s">
        <v>4145</v>
      </c>
      <c r="F2296" s="1049">
        <v>36</v>
      </c>
      <c r="G2296" s="1049"/>
      <c r="H2296" s="564"/>
      <c r="I2296" s="609"/>
      <c r="J2296" s="1155"/>
      <c r="K2296" s="609"/>
      <c r="L2296" s="609"/>
      <c r="M2296" s="609"/>
      <c r="N2296" s="599"/>
      <c r="O2296" s="552" t="s">
        <v>1584</v>
      </c>
      <c r="P2296" s="603"/>
      <c r="Q2296" s="682"/>
      <c r="R2296" s="682"/>
      <c r="S2296" s="682"/>
      <c r="T2296" s="682"/>
      <c r="U2296" s="682"/>
      <c r="V2296" s="682"/>
      <c r="W2296" s="682"/>
    </row>
    <row r="2297" spans="1:23">
      <c r="A2297" s="1045">
        <f t="shared" si="36"/>
        <v>9</v>
      </c>
      <c r="B2297" s="134">
        <v>45563</v>
      </c>
      <c r="C2297" s="70">
        <v>2018</v>
      </c>
      <c r="D2297" s="70" t="s">
        <v>58</v>
      </c>
      <c r="E2297" s="280" t="s">
        <v>4145</v>
      </c>
      <c r="F2297" s="1049">
        <v>1.8</v>
      </c>
      <c r="G2297" s="1049"/>
      <c r="H2297" s="564"/>
      <c r="I2297" s="609"/>
      <c r="J2297" s="1155"/>
      <c r="K2297" s="609"/>
      <c r="L2297" s="609"/>
      <c r="M2297" s="609"/>
      <c r="N2297" s="599"/>
      <c r="O2297" s="552" t="s">
        <v>1584</v>
      </c>
      <c r="P2297" s="603"/>
      <c r="Q2297" s="682"/>
      <c r="R2297" s="682"/>
      <c r="S2297" s="682"/>
      <c r="T2297" s="682"/>
      <c r="U2297" s="682"/>
      <c r="V2297" s="682"/>
      <c r="W2297" s="682"/>
    </row>
    <row r="2298" spans="1:23">
      <c r="A2298" s="1045">
        <f t="shared" si="36"/>
        <v>9</v>
      </c>
      <c r="B2298" s="134">
        <v>45563</v>
      </c>
      <c r="C2298" s="70">
        <v>5250</v>
      </c>
      <c r="D2298" s="70" t="s">
        <v>85</v>
      </c>
      <c r="E2298" s="280" t="s">
        <v>4146</v>
      </c>
      <c r="F2298" s="1049">
        <v>1400</v>
      </c>
      <c r="G2298" s="1049"/>
      <c r="H2298" s="564"/>
      <c r="I2298" s="609"/>
      <c r="J2298" s="1155"/>
      <c r="K2298" s="609"/>
      <c r="L2298" s="609"/>
      <c r="M2298" s="609"/>
      <c r="N2298" s="599"/>
      <c r="O2298" s="552" t="s">
        <v>1584</v>
      </c>
      <c r="P2298" s="603"/>
      <c r="Q2298" s="682"/>
      <c r="R2298" s="682"/>
      <c r="S2298" s="682"/>
      <c r="T2298" s="682"/>
      <c r="U2298" s="682"/>
      <c r="V2298" s="682"/>
      <c r="W2298" s="682"/>
    </row>
    <row r="2299" spans="1:23">
      <c r="A2299" s="1045">
        <f t="shared" si="36"/>
        <v>9</v>
      </c>
      <c r="B2299" s="134">
        <v>45563</v>
      </c>
      <c r="C2299" s="70">
        <v>2018</v>
      </c>
      <c r="D2299" s="70" t="s">
        <v>58</v>
      </c>
      <c r="E2299" s="280" t="s">
        <v>4146</v>
      </c>
      <c r="F2299" s="1049">
        <v>70</v>
      </c>
      <c r="G2299" s="1049"/>
      <c r="H2299" s="564"/>
      <c r="I2299" s="609"/>
      <c r="J2299" s="1155"/>
      <c r="K2299" s="609"/>
      <c r="L2299" s="609"/>
      <c r="M2299" s="609"/>
      <c r="N2299" s="599"/>
      <c r="O2299" s="552" t="s">
        <v>1584</v>
      </c>
      <c r="P2299" s="603"/>
      <c r="Q2299" s="682"/>
      <c r="R2299" s="682"/>
      <c r="S2299" s="682"/>
      <c r="T2299" s="682"/>
      <c r="U2299" s="682"/>
      <c r="V2299" s="682"/>
      <c r="W2299" s="682"/>
    </row>
    <row r="2300" spans="1:23">
      <c r="A2300" s="1045">
        <f t="shared" si="36"/>
        <v>9</v>
      </c>
      <c r="B2300" s="134">
        <v>45563</v>
      </c>
      <c r="C2300" s="70">
        <v>5250</v>
      </c>
      <c r="D2300" s="70" t="s">
        <v>85</v>
      </c>
      <c r="E2300" s="280" t="s">
        <v>4147</v>
      </c>
      <c r="F2300" s="1049">
        <v>193.33</v>
      </c>
      <c r="G2300" s="1049"/>
      <c r="H2300" s="564"/>
      <c r="I2300" s="609"/>
      <c r="J2300" s="1155"/>
      <c r="K2300" s="609"/>
      <c r="L2300" s="609"/>
      <c r="M2300" s="609"/>
      <c r="N2300" s="599"/>
      <c r="O2300" s="552" t="s">
        <v>1584</v>
      </c>
      <c r="P2300" s="603"/>
      <c r="Q2300" s="682"/>
      <c r="R2300" s="682"/>
      <c r="S2300" s="682"/>
      <c r="T2300" s="682"/>
      <c r="U2300" s="682"/>
      <c r="V2300" s="682"/>
      <c r="W2300" s="682"/>
    </row>
    <row r="2301" spans="1:23">
      <c r="A2301" s="1045">
        <f t="shared" si="36"/>
        <v>9</v>
      </c>
      <c r="B2301" s="134">
        <v>45563</v>
      </c>
      <c r="C2301" s="70">
        <v>2018</v>
      </c>
      <c r="D2301" s="70" t="s">
        <v>58</v>
      </c>
      <c r="E2301" s="280" t="s">
        <v>4147</v>
      </c>
      <c r="F2301" s="1049">
        <v>9.67</v>
      </c>
      <c r="G2301" s="1049"/>
      <c r="H2301" s="564"/>
      <c r="I2301" s="609"/>
      <c r="J2301" s="1155"/>
      <c r="K2301" s="609"/>
      <c r="L2301" s="609"/>
      <c r="M2301" s="609"/>
      <c r="N2301" s="599"/>
      <c r="O2301" s="552" t="s">
        <v>1584</v>
      </c>
      <c r="P2301" s="603"/>
      <c r="Q2301" s="682"/>
      <c r="R2301" s="682"/>
      <c r="S2301" s="682"/>
      <c r="T2301" s="682"/>
      <c r="U2301" s="682"/>
      <c r="V2301" s="682"/>
      <c r="W2301" s="682"/>
    </row>
    <row r="2302" spans="1:23">
      <c r="A2302" s="1045">
        <f t="shared" si="36"/>
        <v>9</v>
      </c>
      <c r="B2302" s="134">
        <v>45563</v>
      </c>
      <c r="C2302" s="70">
        <v>5250</v>
      </c>
      <c r="D2302" s="70" t="s">
        <v>85</v>
      </c>
      <c r="E2302" s="280" t="s">
        <v>4148</v>
      </c>
      <c r="F2302" s="1049">
        <v>123.81</v>
      </c>
      <c r="G2302" s="1049"/>
      <c r="H2302" s="564"/>
      <c r="I2302" s="609"/>
      <c r="J2302" s="1155"/>
      <c r="K2302" s="609"/>
      <c r="L2302" s="609"/>
      <c r="M2302" s="609"/>
      <c r="N2302" s="599"/>
      <c r="O2302" s="552" t="s">
        <v>1584</v>
      </c>
      <c r="P2302" s="603"/>
      <c r="Q2302" s="682"/>
      <c r="R2302" s="682"/>
      <c r="S2302" s="682"/>
      <c r="T2302" s="682"/>
      <c r="U2302" s="682"/>
      <c r="V2302" s="682"/>
      <c r="W2302" s="682"/>
    </row>
    <row r="2303" spans="1:23">
      <c r="A2303" s="1045">
        <f t="shared" si="36"/>
        <v>9</v>
      </c>
      <c r="B2303" s="134">
        <v>45563</v>
      </c>
      <c r="C2303" s="70">
        <v>2018</v>
      </c>
      <c r="D2303" s="70" t="s">
        <v>58</v>
      </c>
      <c r="E2303" s="280" t="s">
        <v>4148</v>
      </c>
      <c r="F2303" s="1049">
        <v>6.19</v>
      </c>
      <c r="G2303" s="1049"/>
      <c r="H2303" s="564"/>
      <c r="I2303" s="609"/>
      <c r="J2303" s="1155"/>
      <c r="K2303" s="609"/>
      <c r="L2303" s="609"/>
      <c r="M2303" s="609"/>
      <c r="N2303" s="599"/>
      <c r="O2303" s="552" t="s">
        <v>1584</v>
      </c>
      <c r="P2303" s="603"/>
      <c r="Q2303" s="682"/>
      <c r="R2303" s="682"/>
      <c r="S2303" s="682"/>
      <c r="T2303" s="682"/>
      <c r="U2303" s="682"/>
      <c r="V2303" s="682"/>
      <c r="W2303" s="682"/>
    </row>
    <row r="2304" spans="1:23">
      <c r="A2304" s="1045">
        <f t="shared" si="36"/>
        <v>9</v>
      </c>
      <c r="B2304" s="134">
        <v>45564</v>
      </c>
      <c r="C2304" s="70">
        <v>5250</v>
      </c>
      <c r="D2304" s="70" t="s">
        <v>85</v>
      </c>
      <c r="E2304" s="280" t="s">
        <v>4149</v>
      </c>
      <c r="F2304" s="1049">
        <v>29.5</v>
      </c>
      <c r="G2304" s="1049"/>
      <c r="H2304" s="564"/>
      <c r="I2304" s="609"/>
      <c r="J2304" s="1155"/>
      <c r="K2304" s="609"/>
      <c r="L2304" s="609"/>
      <c r="M2304" s="609"/>
      <c r="N2304" s="599"/>
      <c r="O2304" s="552" t="s">
        <v>1584</v>
      </c>
      <c r="P2304" s="603"/>
      <c r="Q2304" s="682"/>
      <c r="R2304" s="682"/>
      <c r="S2304" s="682"/>
      <c r="T2304" s="682"/>
      <c r="U2304" s="682"/>
      <c r="V2304" s="682"/>
      <c r="W2304" s="682"/>
    </row>
    <row r="2305" spans="1:23">
      <c r="A2305" s="1045">
        <f t="shared" si="36"/>
        <v>9</v>
      </c>
      <c r="B2305" s="134">
        <v>45564</v>
      </c>
      <c r="C2305" s="70">
        <v>2018</v>
      </c>
      <c r="D2305" s="70" t="s">
        <v>58</v>
      </c>
      <c r="E2305" s="280" t="s">
        <v>4149</v>
      </c>
      <c r="F2305" s="1049">
        <v>1.48</v>
      </c>
      <c r="G2305" s="1049"/>
      <c r="H2305" s="564"/>
      <c r="I2305" s="609"/>
      <c r="J2305" s="1155"/>
      <c r="K2305" s="609"/>
      <c r="L2305" s="609"/>
      <c r="M2305" s="609"/>
      <c r="N2305" s="599"/>
      <c r="O2305" s="552" t="s">
        <v>1584</v>
      </c>
      <c r="P2305" s="603"/>
      <c r="Q2305" s="682"/>
      <c r="R2305" s="682"/>
      <c r="S2305" s="682"/>
      <c r="T2305" s="682"/>
      <c r="U2305" s="682"/>
      <c r="V2305" s="682"/>
      <c r="W2305" s="682"/>
    </row>
    <row r="2306" spans="1:23">
      <c r="A2306" s="1045">
        <f t="shared" si="36"/>
        <v>9</v>
      </c>
      <c r="B2306" s="134">
        <v>45565</v>
      </c>
      <c r="C2306" s="70">
        <v>5200</v>
      </c>
      <c r="D2306" s="70" t="s">
        <v>83</v>
      </c>
      <c r="E2306" s="280" t="s">
        <v>4150</v>
      </c>
      <c r="F2306" s="1049">
        <v>3714.47</v>
      </c>
      <c r="G2306" s="1049"/>
      <c r="H2306" s="564"/>
      <c r="I2306" s="609"/>
      <c r="J2306" s="1155"/>
      <c r="K2306" s="609"/>
      <c r="L2306" s="609"/>
      <c r="M2306" s="609"/>
      <c r="N2306" s="599"/>
      <c r="O2306" s="552" t="s">
        <v>1584</v>
      </c>
      <c r="P2306" s="603"/>
      <c r="Q2306" s="682"/>
      <c r="R2306" s="682"/>
      <c r="S2306" s="682"/>
      <c r="T2306" s="682"/>
      <c r="U2306" s="682"/>
      <c r="V2306" s="682"/>
      <c r="W2306" s="682"/>
    </row>
    <row r="2307" spans="1:23">
      <c r="A2307" s="1045">
        <f t="shared" si="36"/>
        <v>9</v>
      </c>
      <c r="B2307" s="134">
        <v>45565</v>
      </c>
      <c r="C2307" s="70">
        <v>2018</v>
      </c>
      <c r="D2307" s="70" t="s">
        <v>58</v>
      </c>
      <c r="E2307" s="280" t="s">
        <v>4150</v>
      </c>
      <c r="F2307" s="1049">
        <v>185.71</v>
      </c>
      <c r="G2307" s="1049"/>
      <c r="H2307" s="564"/>
      <c r="I2307" s="609"/>
      <c r="J2307" s="1155"/>
      <c r="K2307" s="609"/>
      <c r="L2307" s="609"/>
      <c r="M2307" s="609"/>
      <c r="N2307" s="599"/>
      <c r="O2307" s="552" t="s">
        <v>1584</v>
      </c>
      <c r="P2307" s="603"/>
      <c r="Q2307" s="682"/>
      <c r="R2307" s="682"/>
      <c r="S2307" s="682"/>
      <c r="T2307" s="682"/>
      <c r="U2307" s="682"/>
      <c r="V2307" s="682"/>
      <c r="W2307" s="682"/>
    </row>
    <row r="2308" spans="1:23">
      <c r="A2308" s="1045">
        <f t="shared" si="36"/>
        <v>9</v>
      </c>
      <c r="B2308" s="134">
        <v>45565</v>
      </c>
      <c r="C2308" s="70">
        <v>6026</v>
      </c>
      <c r="D2308" s="70" t="s">
        <v>117</v>
      </c>
      <c r="E2308" s="280" t="s">
        <v>4151</v>
      </c>
      <c r="F2308" s="1049">
        <v>40</v>
      </c>
      <c r="G2308" s="1049"/>
      <c r="H2308" s="564"/>
      <c r="I2308" s="609"/>
      <c r="J2308" s="1155"/>
      <c r="K2308" s="609"/>
      <c r="L2308" s="609"/>
      <c r="M2308" s="609"/>
      <c r="N2308" s="599"/>
      <c r="O2308" s="552" t="s">
        <v>1584</v>
      </c>
      <c r="P2308" s="603"/>
      <c r="Q2308" s="682"/>
      <c r="R2308" s="682"/>
      <c r="S2308" s="682"/>
      <c r="T2308" s="682"/>
      <c r="U2308" s="682"/>
      <c r="V2308" s="682"/>
      <c r="W2308" s="682"/>
    </row>
    <row r="2309" spans="1:23">
      <c r="A2309" s="1045">
        <f t="shared" si="36"/>
        <v>9</v>
      </c>
      <c r="B2309" s="134">
        <v>45565</v>
      </c>
      <c r="C2309" s="70">
        <v>2018</v>
      </c>
      <c r="D2309" s="70" t="s">
        <v>58</v>
      </c>
      <c r="E2309" s="280" t="s">
        <v>4151</v>
      </c>
      <c r="F2309" s="1049">
        <v>2</v>
      </c>
      <c r="G2309" s="1049"/>
      <c r="H2309" s="564"/>
      <c r="I2309" s="609"/>
      <c r="J2309" s="1155"/>
      <c r="K2309" s="609"/>
      <c r="L2309" s="609"/>
      <c r="M2309" s="609"/>
      <c r="N2309" s="599"/>
      <c r="O2309" s="552" t="s">
        <v>1584</v>
      </c>
      <c r="P2309" s="603"/>
      <c r="Q2309" s="682"/>
      <c r="R2309" s="682"/>
      <c r="S2309" s="682"/>
      <c r="T2309" s="682"/>
      <c r="U2309" s="682"/>
      <c r="V2309" s="682"/>
      <c r="W2309" s="682"/>
    </row>
    <row r="2310" spans="1:23">
      <c r="A2310" s="1045">
        <f t="shared" si="36"/>
        <v>9</v>
      </c>
      <c r="B2310" s="134">
        <v>45565</v>
      </c>
      <c r="C2310" s="70">
        <v>5250</v>
      </c>
      <c r="D2310" s="70" t="s">
        <v>85</v>
      </c>
      <c r="E2310" s="280" t="s">
        <v>4152</v>
      </c>
      <c r="F2310" s="1049">
        <v>840</v>
      </c>
      <c r="G2310" s="1049"/>
      <c r="H2310" s="564"/>
      <c r="I2310" s="609"/>
      <c r="J2310" s="1155"/>
      <c r="K2310" s="609"/>
      <c r="L2310" s="609"/>
      <c r="M2310" s="609"/>
      <c r="N2310" s="599"/>
      <c r="O2310" s="552" t="s">
        <v>1584</v>
      </c>
      <c r="P2310" s="603"/>
      <c r="Q2310" s="682"/>
      <c r="R2310" s="682"/>
      <c r="S2310" s="682"/>
      <c r="T2310" s="682"/>
      <c r="U2310" s="682"/>
      <c r="V2310" s="682"/>
      <c r="W2310" s="682"/>
    </row>
    <row r="2311" spans="1:23">
      <c r="A2311" s="1045">
        <f t="shared" si="36"/>
        <v>9</v>
      </c>
      <c r="B2311" s="134">
        <v>45565</v>
      </c>
      <c r="C2311" s="70">
        <v>2018</v>
      </c>
      <c r="D2311" s="70" t="s">
        <v>58</v>
      </c>
      <c r="E2311" s="280" t="s">
        <v>4152</v>
      </c>
      <c r="F2311" s="1049">
        <v>42</v>
      </c>
      <c r="G2311" s="1049"/>
      <c r="H2311" s="564"/>
      <c r="I2311" s="609"/>
      <c r="J2311" s="1155"/>
      <c r="K2311" s="609"/>
      <c r="L2311" s="609"/>
      <c r="M2311" s="609"/>
      <c r="N2311" s="599"/>
      <c r="O2311" s="552" t="s">
        <v>1584</v>
      </c>
      <c r="P2311" s="603"/>
      <c r="Q2311" s="682"/>
      <c r="R2311" s="682"/>
      <c r="S2311" s="682"/>
      <c r="T2311" s="682"/>
      <c r="U2311" s="682"/>
      <c r="V2311" s="682"/>
      <c r="W2311" s="682"/>
    </row>
    <row r="2312" spans="1:23">
      <c r="A2312" s="1045">
        <f t="shared" si="36"/>
        <v>9</v>
      </c>
      <c r="B2312" s="134">
        <v>45565</v>
      </c>
      <c r="C2312" s="70">
        <v>5250</v>
      </c>
      <c r="D2312" s="70" t="s">
        <v>85</v>
      </c>
      <c r="E2312" s="280" t="s">
        <v>4153</v>
      </c>
      <c r="F2312" s="1049">
        <v>32.5</v>
      </c>
      <c r="G2312" s="1049"/>
      <c r="H2312" s="564"/>
      <c r="I2312" s="609"/>
      <c r="J2312" s="1155"/>
      <c r="K2312" s="609"/>
      <c r="L2312" s="609"/>
      <c r="M2312" s="609"/>
      <c r="N2312" s="599"/>
      <c r="O2312" s="552" t="s">
        <v>1584</v>
      </c>
      <c r="P2312" s="603"/>
      <c r="Q2312" s="682"/>
      <c r="R2312" s="682"/>
      <c r="S2312" s="682"/>
      <c r="T2312" s="682"/>
      <c r="U2312" s="682"/>
      <c r="V2312" s="682"/>
      <c r="W2312" s="682"/>
    </row>
    <row r="2313" spans="1:23">
      <c r="A2313" s="1045">
        <f t="shared" si="36"/>
        <v>9</v>
      </c>
      <c r="B2313" s="134">
        <v>45565</v>
      </c>
      <c r="C2313" s="70">
        <v>2018</v>
      </c>
      <c r="D2313" s="70" t="s">
        <v>58</v>
      </c>
      <c r="E2313" s="280" t="s">
        <v>4153</v>
      </c>
      <c r="F2313" s="1049">
        <v>1.63</v>
      </c>
      <c r="G2313" s="1049"/>
      <c r="H2313" s="564"/>
      <c r="I2313" s="609"/>
      <c r="J2313" s="1155"/>
      <c r="K2313" s="609"/>
      <c r="L2313" s="609"/>
      <c r="M2313" s="609"/>
      <c r="N2313" s="599"/>
      <c r="O2313" s="552" t="s">
        <v>1584</v>
      </c>
      <c r="P2313" s="603"/>
      <c r="Q2313" s="682"/>
      <c r="R2313" s="682"/>
      <c r="S2313" s="682"/>
      <c r="T2313" s="682"/>
      <c r="U2313" s="682"/>
      <c r="V2313" s="682"/>
      <c r="W2313" s="682"/>
    </row>
    <row r="2314" spans="1:23">
      <c r="A2314" s="1045">
        <f t="shared" si="36"/>
        <v>9</v>
      </c>
      <c r="B2314" s="134">
        <v>45565</v>
      </c>
      <c r="C2314" s="70">
        <v>5250</v>
      </c>
      <c r="D2314" s="70" t="s">
        <v>85</v>
      </c>
      <c r="E2314" s="280" t="s">
        <v>4154</v>
      </c>
      <c r="F2314" s="1049">
        <v>196.81</v>
      </c>
      <c r="G2314" s="1049"/>
      <c r="H2314" s="564"/>
      <c r="I2314" s="609"/>
      <c r="J2314" s="1155"/>
      <c r="K2314" s="609"/>
      <c r="L2314" s="609"/>
      <c r="M2314" s="609"/>
      <c r="N2314" s="599"/>
      <c r="O2314" s="552" t="s">
        <v>1584</v>
      </c>
      <c r="P2314" s="603"/>
      <c r="Q2314" s="682"/>
      <c r="R2314" s="682"/>
      <c r="S2314" s="682"/>
      <c r="T2314" s="682"/>
      <c r="U2314" s="682"/>
      <c r="V2314" s="682"/>
      <c r="W2314" s="682"/>
    </row>
    <row r="2315" spans="1:23">
      <c r="A2315" s="1045">
        <f t="shared" si="36"/>
        <v>9</v>
      </c>
      <c r="B2315" s="134">
        <v>45565</v>
      </c>
      <c r="C2315" s="70">
        <v>2018</v>
      </c>
      <c r="D2315" s="70" t="s">
        <v>58</v>
      </c>
      <c r="E2315" s="280" t="s">
        <v>4154</v>
      </c>
      <c r="F2315" s="1049">
        <v>9.84</v>
      </c>
      <c r="G2315" s="1049"/>
      <c r="H2315" s="564"/>
      <c r="I2315" s="609"/>
      <c r="J2315" s="1155"/>
      <c r="K2315" s="609"/>
      <c r="L2315" s="609"/>
      <c r="M2315" s="609"/>
      <c r="N2315" s="599"/>
      <c r="O2315" s="552" t="s">
        <v>1584</v>
      </c>
      <c r="P2315" s="603"/>
      <c r="Q2315" s="682"/>
      <c r="R2315" s="682"/>
      <c r="S2315" s="682"/>
      <c r="T2315" s="682"/>
      <c r="U2315" s="682"/>
      <c r="V2315" s="682"/>
      <c r="W2315" s="682"/>
    </row>
    <row r="2316" spans="1:23">
      <c r="A2316" s="1045">
        <f t="shared" si="36"/>
        <v>9</v>
      </c>
      <c r="B2316" s="134">
        <v>45565</v>
      </c>
      <c r="C2316" s="70">
        <v>5250</v>
      </c>
      <c r="D2316" s="70" t="s">
        <v>85</v>
      </c>
      <c r="E2316" s="280" t="s">
        <v>4155</v>
      </c>
      <c r="F2316" s="1049">
        <v>340</v>
      </c>
      <c r="G2316" s="1049"/>
      <c r="H2316" s="564"/>
      <c r="I2316" s="609"/>
      <c r="J2316" s="1155"/>
      <c r="K2316" s="609"/>
      <c r="L2316" s="609"/>
      <c r="M2316" s="609"/>
      <c r="N2316" s="599"/>
      <c r="O2316" s="552" t="s">
        <v>1584</v>
      </c>
      <c r="P2316" s="603"/>
      <c r="Q2316" s="682"/>
      <c r="R2316" s="682"/>
      <c r="S2316" s="682"/>
      <c r="T2316" s="682"/>
      <c r="U2316" s="682"/>
      <c r="V2316" s="682"/>
      <c r="W2316" s="682"/>
    </row>
    <row r="2317" spans="1:23">
      <c r="A2317" s="1045">
        <f t="shared" si="36"/>
        <v>9</v>
      </c>
      <c r="B2317" s="134">
        <v>45565</v>
      </c>
      <c r="C2317" s="70">
        <v>2018</v>
      </c>
      <c r="D2317" s="70" t="s">
        <v>58</v>
      </c>
      <c r="E2317" s="280" t="s">
        <v>4155</v>
      </c>
      <c r="F2317" s="1049">
        <v>17</v>
      </c>
      <c r="G2317" s="1049"/>
      <c r="H2317" s="564"/>
      <c r="I2317" s="609"/>
      <c r="J2317" s="1155"/>
      <c r="K2317" s="609"/>
      <c r="L2317" s="609"/>
      <c r="M2317" s="609"/>
      <c r="N2317" s="599"/>
      <c r="O2317" s="552" t="s">
        <v>1584</v>
      </c>
      <c r="P2317" s="603"/>
      <c r="Q2317" s="682"/>
      <c r="R2317" s="682"/>
      <c r="S2317" s="682"/>
      <c r="T2317" s="682"/>
      <c r="U2317" s="682"/>
      <c r="V2317" s="682"/>
      <c r="W2317" s="682"/>
    </row>
    <row r="2318" spans="1:23">
      <c r="A2318" s="1045">
        <f t="shared" si="36"/>
        <v>10</v>
      </c>
      <c r="B2318" s="134">
        <v>45566</v>
      </c>
      <c r="C2318" s="70">
        <v>5250</v>
      </c>
      <c r="D2318" s="70" t="s">
        <v>85</v>
      </c>
      <c r="E2318" s="280" t="s">
        <v>4156</v>
      </c>
      <c r="F2318" s="1049">
        <v>1400</v>
      </c>
      <c r="G2318" s="1049"/>
      <c r="H2318" s="564"/>
      <c r="I2318" s="609"/>
      <c r="J2318" s="1155"/>
      <c r="K2318" s="609"/>
      <c r="L2318" s="609"/>
      <c r="M2318" s="609"/>
      <c r="N2318" s="599"/>
      <c r="O2318" s="552" t="s">
        <v>1584</v>
      </c>
      <c r="P2318" s="603"/>
      <c r="Q2318" s="682"/>
      <c r="R2318" s="682"/>
      <c r="S2318" s="682"/>
      <c r="T2318" s="682"/>
      <c r="U2318" s="682"/>
      <c r="V2318" s="682"/>
      <c r="W2318" s="682"/>
    </row>
    <row r="2319" spans="1:23">
      <c r="A2319" s="1045">
        <f t="shared" si="36"/>
        <v>10</v>
      </c>
      <c r="B2319" s="134">
        <v>45566</v>
      </c>
      <c r="C2319" s="70">
        <v>2018</v>
      </c>
      <c r="D2319" s="70" t="s">
        <v>58</v>
      </c>
      <c r="E2319" s="280" t="s">
        <v>4156</v>
      </c>
      <c r="F2319" s="1049">
        <v>70</v>
      </c>
      <c r="G2319" s="1049"/>
      <c r="H2319" s="564"/>
      <c r="I2319" s="609"/>
      <c r="J2319" s="1155"/>
      <c r="K2319" s="609"/>
      <c r="L2319" s="609"/>
      <c r="M2319" s="609"/>
      <c r="N2319" s="599"/>
      <c r="O2319" s="552" t="s">
        <v>1584</v>
      </c>
      <c r="P2319" s="603"/>
      <c r="Q2319" s="682"/>
      <c r="R2319" s="682"/>
      <c r="S2319" s="682"/>
      <c r="T2319" s="682"/>
      <c r="U2319" s="682"/>
      <c r="V2319" s="682"/>
      <c r="W2319" s="682"/>
    </row>
    <row r="2320" spans="1:23">
      <c r="A2320" s="1045">
        <f t="shared" si="36"/>
        <v>10</v>
      </c>
      <c r="B2320" s="134">
        <v>45566</v>
      </c>
      <c r="C2320" s="70">
        <v>5250</v>
      </c>
      <c r="D2320" s="70" t="s">
        <v>85</v>
      </c>
      <c r="E2320" s="280" t="s">
        <v>4157</v>
      </c>
      <c r="F2320" s="1049">
        <v>10686.2</v>
      </c>
      <c r="G2320" s="1049"/>
      <c r="H2320" s="564"/>
      <c r="I2320" s="609"/>
      <c r="J2320" s="1155"/>
      <c r="K2320" s="609"/>
      <c r="L2320" s="609"/>
      <c r="M2320" s="609"/>
      <c r="N2320" s="599"/>
      <c r="O2320" s="552" t="s">
        <v>1584</v>
      </c>
      <c r="P2320" s="603"/>
      <c r="Q2320" s="682"/>
      <c r="R2320" s="682"/>
      <c r="S2320" s="682"/>
      <c r="T2320" s="682"/>
      <c r="U2320" s="682"/>
      <c r="V2320" s="682"/>
      <c r="W2320" s="682"/>
    </row>
    <row r="2321" spans="1:23">
      <c r="A2321" s="1045">
        <f t="shared" si="36"/>
        <v>10</v>
      </c>
      <c r="B2321" s="134">
        <v>45566</v>
      </c>
      <c r="C2321" s="70">
        <v>2018</v>
      </c>
      <c r="D2321" s="70" t="s">
        <v>58</v>
      </c>
      <c r="E2321" s="280" t="s">
        <v>4157</v>
      </c>
      <c r="F2321" s="1049">
        <v>534.30999999999995</v>
      </c>
      <c r="G2321" s="1049"/>
      <c r="H2321" s="564"/>
      <c r="I2321" s="609"/>
      <c r="J2321" s="1155"/>
      <c r="K2321" s="609"/>
      <c r="L2321" s="609"/>
      <c r="M2321" s="609"/>
      <c r="N2321" s="599"/>
      <c r="O2321" s="552" t="s">
        <v>1584</v>
      </c>
      <c r="P2321" s="603"/>
      <c r="Q2321" s="682"/>
      <c r="R2321" s="682"/>
      <c r="S2321" s="682"/>
      <c r="T2321" s="682"/>
      <c r="U2321" s="682"/>
      <c r="V2321" s="682"/>
      <c r="W2321" s="682"/>
    </row>
    <row r="2322" spans="1:23">
      <c r="A2322" s="1045">
        <f t="shared" si="36"/>
        <v>10</v>
      </c>
      <c r="B2322" s="134">
        <v>45566</v>
      </c>
      <c r="C2322" s="70">
        <v>5250</v>
      </c>
      <c r="D2322" s="70" t="s">
        <v>85</v>
      </c>
      <c r="E2322" s="280" t="s">
        <v>4158</v>
      </c>
      <c r="F2322" s="1049">
        <v>85</v>
      </c>
      <c r="G2322" s="1049"/>
      <c r="H2322" s="564"/>
      <c r="I2322" s="609"/>
      <c r="J2322" s="1155"/>
      <c r="K2322" s="609"/>
      <c r="L2322" s="609"/>
      <c r="M2322" s="609"/>
      <c r="N2322" s="599"/>
      <c r="O2322" s="552" t="s">
        <v>1584</v>
      </c>
      <c r="P2322" s="603"/>
      <c r="Q2322" s="682"/>
      <c r="R2322" s="682"/>
      <c r="S2322" s="682"/>
      <c r="T2322" s="682"/>
      <c r="U2322" s="682"/>
      <c r="V2322" s="682"/>
      <c r="W2322" s="682"/>
    </row>
    <row r="2323" spans="1:23">
      <c r="A2323" s="1045">
        <f t="shared" si="36"/>
        <v>10</v>
      </c>
      <c r="B2323" s="134">
        <v>45566</v>
      </c>
      <c r="C2323" s="70">
        <v>2018</v>
      </c>
      <c r="D2323" s="70" t="s">
        <v>58</v>
      </c>
      <c r="E2323" s="280" t="s">
        <v>4158</v>
      </c>
      <c r="F2323" s="1049">
        <v>4.25</v>
      </c>
      <c r="G2323" s="1049"/>
      <c r="H2323" s="564"/>
      <c r="I2323" s="609"/>
      <c r="J2323" s="1155"/>
      <c r="K2323" s="609"/>
      <c r="L2323" s="609"/>
      <c r="M2323" s="609"/>
      <c r="N2323" s="599"/>
      <c r="O2323" s="552" t="s">
        <v>1584</v>
      </c>
      <c r="P2323" s="603"/>
      <c r="Q2323" s="682"/>
      <c r="R2323" s="682"/>
      <c r="S2323" s="682"/>
      <c r="T2323" s="682"/>
      <c r="U2323" s="682"/>
      <c r="V2323" s="682"/>
      <c r="W2323" s="682"/>
    </row>
    <row r="2324" spans="1:23">
      <c r="A2324" s="1045">
        <f t="shared" si="36"/>
        <v>10</v>
      </c>
      <c r="B2324" s="134">
        <v>45566</v>
      </c>
      <c r="C2324" s="70">
        <v>5250</v>
      </c>
      <c r="D2324" s="70" t="s">
        <v>85</v>
      </c>
      <c r="E2324" s="280" t="s">
        <v>4159</v>
      </c>
      <c r="F2324" s="1049">
        <v>165</v>
      </c>
      <c r="G2324" s="1049"/>
      <c r="H2324" s="564"/>
      <c r="I2324" s="609"/>
      <c r="J2324" s="1155"/>
      <c r="K2324" s="609"/>
      <c r="L2324" s="609"/>
      <c r="M2324" s="609"/>
      <c r="N2324" s="599"/>
      <c r="O2324" s="552" t="s">
        <v>1584</v>
      </c>
      <c r="P2324" s="603"/>
      <c r="Q2324" s="682"/>
      <c r="R2324" s="682"/>
      <c r="S2324" s="682"/>
      <c r="T2324" s="682"/>
      <c r="U2324" s="682"/>
      <c r="V2324" s="682"/>
      <c r="W2324" s="682"/>
    </row>
    <row r="2325" spans="1:23">
      <c r="A2325" s="1045">
        <f t="shared" ref="A2325:A2388" si="37">IF(B2325="","",MONTH(B2325))</f>
        <v>10</v>
      </c>
      <c r="B2325" s="134">
        <v>45566</v>
      </c>
      <c r="C2325" s="70">
        <v>2018</v>
      </c>
      <c r="D2325" s="70" t="s">
        <v>58</v>
      </c>
      <c r="E2325" s="280" t="s">
        <v>4159</v>
      </c>
      <c r="F2325" s="1049">
        <v>8.25</v>
      </c>
      <c r="G2325" s="1049"/>
      <c r="H2325" s="564"/>
      <c r="I2325" s="609"/>
      <c r="J2325" s="1155"/>
      <c r="K2325" s="609"/>
      <c r="L2325" s="609"/>
      <c r="M2325" s="609"/>
      <c r="N2325" s="599"/>
      <c r="O2325" s="552" t="s">
        <v>1584</v>
      </c>
      <c r="P2325" s="603"/>
      <c r="Q2325" s="682"/>
      <c r="R2325" s="682"/>
      <c r="S2325" s="682"/>
      <c r="T2325" s="682"/>
      <c r="U2325" s="682"/>
      <c r="V2325" s="682"/>
      <c r="W2325" s="682"/>
    </row>
    <row r="2326" spans="1:23">
      <c r="A2326" s="1045">
        <f t="shared" si="37"/>
        <v>10</v>
      </c>
      <c r="B2326" s="134">
        <v>45567</v>
      </c>
      <c r="C2326" s="70">
        <v>5250</v>
      </c>
      <c r="D2326" s="70" t="s">
        <v>85</v>
      </c>
      <c r="E2326" s="280" t="s">
        <v>4160</v>
      </c>
      <c r="F2326" s="1049">
        <v>88</v>
      </c>
      <c r="G2326" s="1049"/>
      <c r="H2326" s="564"/>
      <c r="I2326" s="609"/>
      <c r="J2326" s="1155"/>
      <c r="K2326" s="609"/>
      <c r="L2326" s="609"/>
      <c r="M2326" s="609"/>
      <c r="N2326" s="599"/>
      <c r="O2326" s="552" t="s">
        <v>1584</v>
      </c>
      <c r="P2326" s="603"/>
      <c r="Q2326" s="682"/>
      <c r="R2326" s="682"/>
      <c r="S2326" s="682"/>
      <c r="T2326" s="682"/>
      <c r="U2326" s="682"/>
      <c r="V2326" s="682"/>
      <c r="W2326" s="682"/>
    </row>
    <row r="2327" spans="1:23">
      <c r="A2327" s="1045">
        <f t="shared" si="37"/>
        <v>10</v>
      </c>
      <c r="B2327" s="134">
        <v>45567</v>
      </c>
      <c r="C2327" s="70">
        <v>2018</v>
      </c>
      <c r="D2327" s="70" t="s">
        <v>58</v>
      </c>
      <c r="E2327" s="280" t="s">
        <v>4160</v>
      </c>
      <c r="F2327" s="1049">
        <v>4.4000000000000004</v>
      </c>
      <c r="G2327" s="1049"/>
      <c r="H2327" s="564"/>
      <c r="I2327" s="609"/>
      <c r="J2327" s="1155"/>
      <c r="K2327" s="609"/>
      <c r="L2327" s="609"/>
      <c r="M2327" s="609"/>
      <c r="N2327" s="599"/>
      <c r="O2327" s="552" t="s">
        <v>1584</v>
      </c>
      <c r="P2327" s="603"/>
      <c r="Q2327" s="682"/>
      <c r="R2327" s="682"/>
      <c r="S2327" s="682"/>
      <c r="T2327" s="682"/>
      <c r="U2327" s="682"/>
      <c r="V2327" s="682"/>
      <c r="W2327" s="682"/>
    </row>
    <row r="2328" spans="1:23">
      <c r="A2328" s="1045">
        <f t="shared" si="37"/>
        <v>10</v>
      </c>
      <c r="B2328" s="134">
        <v>45567</v>
      </c>
      <c r="C2328" s="70">
        <v>5250</v>
      </c>
      <c r="D2328" s="70" t="s">
        <v>85</v>
      </c>
      <c r="E2328" s="280" t="s">
        <v>4161</v>
      </c>
      <c r="F2328" s="1049">
        <v>554.9</v>
      </c>
      <c r="G2328" s="1049"/>
      <c r="H2328" s="564"/>
      <c r="I2328" s="609"/>
      <c r="J2328" s="1155"/>
      <c r="K2328" s="609"/>
      <c r="L2328" s="609"/>
      <c r="M2328" s="609"/>
      <c r="N2328" s="599"/>
      <c r="O2328" s="552" t="s">
        <v>1584</v>
      </c>
      <c r="P2328" s="603"/>
      <c r="Q2328" s="682"/>
      <c r="R2328" s="682"/>
      <c r="S2328" s="682"/>
      <c r="T2328" s="682"/>
      <c r="U2328" s="682"/>
      <c r="V2328" s="682"/>
      <c r="W2328" s="682"/>
    </row>
    <row r="2329" spans="1:23">
      <c r="A2329" s="1045">
        <f t="shared" si="37"/>
        <v>10</v>
      </c>
      <c r="B2329" s="134">
        <v>45567</v>
      </c>
      <c r="C2329" s="70">
        <v>2018</v>
      </c>
      <c r="D2329" s="70" t="s">
        <v>58</v>
      </c>
      <c r="E2329" s="280" t="s">
        <v>4161</v>
      </c>
      <c r="F2329" s="1049">
        <v>27.72</v>
      </c>
      <c r="G2329" s="1049"/>
      <c r="H2329" s="564"/>
      <c r="I2329" s="609"/>
      <c r="J2329" s="1155"/>
      <c r="K2329" s="609"/>
      <c r="L2329" s="609"/>
      <c r="M2329" s="609"/>
      <c r="N2329" s="599"/>
      <c r="O2329" s="552" t="s">
        <v>1584</v>
      </c>
      <c r="P2329" s="603"/>
      <c r="Q2329" s="682"/>
      <c r="R2329" s="682"/>
      <c r="S2329" s="682"/>
      <c r="T2329" s="682"/>
      <c r="U2329" s="682"/>
      <c r="V2329" s="682"/>
      <c r="W2329" s="682"/>
    </row>
    <row r="2330" spans="1:23">
      <c r="A2330" s="1045">
        <f t="shared" si="37"/>
        <v>10</v>
      </c>
      <c r="B2330" s="134">
        <v>45567</v>
      </c>
      <c r="C2330" s="70">
        <v>5250</v>
      </c>
      <c r="D2330" s="70" t="s">
        <v>85</v>
      </c>
      <c r="E2330" s="280" t="s">
        <v>4162</v>
      </c>
      <c r="F2330" s="1049">
        <v>240.4</v>
      </c>
      <c r="G2330" s="1049"/>
      <c r="H2330" s="564"/>
      <c r="I2330" s="609"/>
      <c r="J2330" s="1155"/>
      <c r="K2330" s="609"/>
      <c r="L2330" s="609"/>
      <c r="M2330" s="609"/>
      <c r="N2330" s="599"/>
      <c r="O2330" s="552" t="s">
        <v>1584</v>
      </c>
      <c r="P2330" s="603"/>
      <c r="Q2330" s="682"/>
      <c r="R2330" s="682"/>
      <c r="S2330" s="682"/>
      <c r="T2330" s="682"/>
      <c r="U2330" s="682"/>
      <c r="V2330" s="682"/>
      <c r="W2330" s="682"/>
    </row>
    <row r="2331" spans="1:23">
      <c r="A2331" s="1045">
        <f t="shared" si="37"/>
        <v>10</v>
      </c>
      <c r="B2331" s="134">
        <v>45567</v>
      </c>
      <c r="C2331" s="70">
        <v>2018</v>
      </c>
      <c r="D2331" s="70" t="s">
        <v>58</v>
      </c>
      <c r="E2331" s="280" t="s">
        <v>4162</v>
      </c>
      <c r="F2331" s="1049">
        <v>12.02</v>
      </c>
      <c r="G2331" s="1049"/>
      <c r="H2331" s="564"/>
      <c r="I2331" s="609"/>
      <c r="J2331" s="1155"/>
      <c r="K2331" s="609"/>
      <c r="L2331" s="609"/>
      <c r="M2331" s="609"/>
      <c r="N2331" s="599"/>
      <c r="O2331" s="552" t="s">
        <v>1584</v>
      </c>
      <c r="P2331" s="603"/>
      <c r="Q2331" s="682"/>
      <c r="R2331" s="682"/>
      <c r="S2331" s="682"/>
      <c r="T2331" s="682"/>
      <c r="U2331" s="682"/>
      <c r="V2331" s="682"/>
      <c r="W2331" s="682"/>
    </row>
    <row r="2332" spans="1:23">
      <c r="A2332" s="1045">
        <f t="shared" si="37"/>
        <v>10</v>
      </c>
      <c r="B2332" s="134">
        <v>45567</v>
      </c>
      <c r="C2332" s="70">
        <v>5250</v>
      </c>
      <c r="D2332" s="70" t="s">
        <v>85</v>
      </c>
      <c r="E2332" s="280" t="s">
        <v>4163</v>
      </c>
      <c r="F2332" s="1049">
        <v>593.08000000000004</v>
      </c>
      <c r="G2332" s="1049"/>
      <c r="H2332" s="564"/>
      <c r="I2332" s="609"/>
      <c r="J2332" s="1155"/>
      <c r="K2332" s="609"/>
      <c r="L2332" s="609"/>
      <c r="M2332" s="609"/>
      <c r="N2332" s="599"/>
      <c r="O2332" s="552" t="s">
        <v>1584</v>
      </c>
      <c r="P2332" s="603"/>
      <c r="Q2332" s="682"/>
      <c r="R2332" s="682"/>
      <c r="S2332" s="682"/>
      <c r="T2332" s="682"/>
      <c r="U2332" s="682"/>
      <c r="V2332" s="682"/>
      <c r="W2332" s="682"/>
    </row>
    <row r="2333" spans="1:23">
      <c r="A2333" s="1045">
        <f t="shared" si="37"/>
        <v>10</v>
      </c>
      <c r="B2333" s="134">
        <v>45567</v>
      </c>
      <c r="C2333" s="70">
        <v>2018</v>
      </c>
      <c r="D2333" s="70" t="s">
        <v>58</v>
      </c>
      <c r="E2333" s="280" t="s">
        <v>4163</v>
      </c>
      <c r="F2333" s="1049">
        <v>29.65</v>
      </c>
      <c r="G2333" s="1049"/>
      <c r="H2333" s="564"/>
      <c r="I2333" s="609"/>
      <c r="J2333" s="1155"/>
      <c r="K2333" s="609"/>
      <c r="L2333" s="609"/>
      <c r="M2333" s="609"/>
      <c r="N2333" s="599"/>
      <c r="O2333" s="552" t="s">
        <v>1584</v>
      </c>
      <c r="P2333" s="603"/>
      <c r="Q2333" s="682"/>
      <c r="R2333" s="682"/>
      <c r="S2333" s="682"/>
      <c r="T2333" s="682"/>
      <c r="U2333" s="682"/>
      <c r="V2333" s="682"/>
      <c r="W2333" s="682"/>
    </row>
    <row r="2334" spans="1:23">
      <c r="A2334" s="1045">
        <f t="shared" si="37"/>
        <v>10</v>
      </c>
      <c r="B2334" s="134">
        <v>45568</v>
      </c>
      <c r="C2334" s="70">
        <v>5250</v>
      </c>
      <c r="D2334" s="70" t="s">
        <v>85</v>
      </c>
      <c r="E2334" s="280" t="s">
        <v>4164</v>
      </c>
      <c r="F2334" s="1049">
        <v>20</v>
      </c>
      <c r="G2334" s="1049"/>
      <c r="H2334" s="564"/>
      <c r="I2334" s="609"/>
      <c r="J2334" s="1155"/>
      <c r="K2334" s="609"/>
      <c r="L2334" s="609"/>
      <c r="M2334" s="609"/>
      <c r="N2334" s="599"/>
      <c r="O2334" s="552" t="s">
        <v>1584</v>
      </c>
      <c r="P2334" s="603"/>
      <c r="Q2334" s="682"/>
      <c r="R2334" s="682"/>
      <c r="S2334" s="682"/>
      <c r="T2334" s="682"/>
      <c r="U2334" s="682"/>
      <c r="V2334" s="682"/>
      <c r="W2334" s="682"/>
    </row>
    <row r="2335" spans="1:23">
      <c r="A2335" s="1045">
        <f t="shared" si="37"/>
        <v>10</v>
      </c>
      <c r="B2335" s="134">
        <v>45568</v>
      </c>
      <c r="C2335" s="70">
        <v>2018</v>
      </c>
      <c r="D2335" s="70" t="s">
        <v>58</v>
      </c>
      <c r="E2335" s="280" t="s">
        <v>4164</v>
      </c>
      <c r="F2335" s="1049">
        <v>1</v>
      </c>
      <c r="G2335" s="1049"/>
      <c r="H2335" s="564"/>
      <c r="I2335" s="609"/>
      <c r="J2335" s="1155"/>
      <c r="K2335" s="609"/>
      <c r="L2335" s="609"/>
      <c r="M2335" s="609"/>
      <c r="N2335" s="599"/>
      <c r="O2335" s="552" t="s">
        <v>1584</v>
      </c>
      <c r="P2335" s="603"/>
      <c r="Q2335" s="682"/>
      <c r="R2335" s="682"/>
      <c r="S2335" s="682"/>
      <c r="T2335" s="682"/>
      <c r="U2335" s="682"/>
      <c r="V2335" s="682"/>
      <c r="W2335" s="682"/>
    </row>
    <row r="2336" spans="1:23">
      <c r="A2336" s="1045">
        <f t="shared" si="37"/>
        <v>10</v>
      </c>
      <c r="B2336" s="134">
        <v>45568</v>
      </c>
      <c r="C2336" s="70">
        <v>5150</v>
      </c>
      <c r="D2336" s="70" t="s">
        <v>82</v>
      </c>
      <c r="E2336" s="280" t="s">
        <v>4165</v>
      </c>
      <c r="F2336" s="1049">
        <v>25160</v>
      </c>
      <c r="G2336" s="1049"/>
      <c r="H2336" s="564"/>
      <c r="I2336" s="609"/>
      <c r="J2336" s="1155"/>
      <c r="K2336" s="609"/>
      <c r="L2336" s="609"/>
      <c r="M2336" s="609"/>
      <c r="N2336" s="599"/>
      <c r="O2336" s="552" t="s">
        <v>1584</v>
      </c>
      <c r="P2336" s="603"/>
      <c r="Q2336" s="682"/>
      <c r="R2336" s="682"/>
      <c r="S2336" s="682"/>
      <c r="T2336" s="682"/>
      <c r="U2336" s="682"/>
      <c r="V2336" s="682"/>
      <c r="W2336" s="682"/>
    </row>
    <row r="2337" spans="1:23">
      <c r="A2337" s="1045">
        <f t="shared" si="37"/>
        <v>10</v>
      </c>
      <c r="B2337" s="134">
        <v>45568</v>
      </c>
      <c r="C2337" s="70">
        <v>2018</v>
      </c>
      <c r="D2337" s="70" t="s">
        <v>58</v>
      </c>
      <c r="E2337" s="280" t="s">
        <v>4165</v>
      </c>
      <c r="F2337" s="1049">
        <v>1258</v>
      </c>
      <c r="G2337" s="1049"/>
      <c r="H2337" s="564"/>
      <c r="I2337" s="609"/>
      <c r="J2337" s="1155"/>
      <c r="K2337" s="609"/>
      <c r="L2337" s="609"/>
      <c r="M2337" s="609"/>
      <c r="N2337" s="599"/>
      <c r="O2337" s="552" t="s">
        <v>1584</v>
      </c>
      <c r="P2337" s="603"/>
      <c r="Q2337" s="682"/>
      <c r="R2337" s="682"/>
      <c r="S2337" s="682"/>
      <c r="T2337" s="682"/>
      <c r="U2337" s="682"/>
      <c r="V2337" s="682"/>
      <c r="W2337" s="682"/>
    </row>
    <row r="2338" spans="1:23">
      <c r="A2338" s="1045">
        <f t="shared" si="37"/>
        <v>10</v>
      </c>
      <c r="B2338" s="134">
        <v>45571</v>
      </c>
      <c r="C2338" s="70">
        <v>5150</v>
      </c>
      <c r="D2338" s="70" t="s">
        <v>82</v>
      </c>
      <c r="E2338" s="280" t="s">
        <v>4166</v>
      </c>
      <c r="F2338" s="1049">
        <v>27360</v>
      </c>
      <c r="G2338" s="1049"/>
      <c r="H2338" s="564"/>
      <c r="I2338" s="609"/>
      <c r="J2338" s="1155"/>
      <c r="K2338" s="609"/>
      <c r="L2338" s="609"/>
      <c r="M2338" s="609"/>
      <c r="N2338" s="599"/>
      <c r="O2338" s="552" t="s">
        <v>1584</v>
      </c>
      <c r="P2338" s="603"/>
      <c r="Q2338" s="682"/>
      <c r="R2338" s="682"/>
      <c r="S2338" s="682"/>
      <c r="T2338" s="682"/>
      <c r="U2338" s="682"/>
      <c r="V2338" s="682"/>
      <c r="W2338" s="682"/>
    </row>
    <row r="2339" spans="1:23">
      <c r="A2339" s="1045">
        <f t="shared" si="37"/>
        <v>10</v>
      </c>
      <c r="B2339" s="134">
        <v>45571</v>
      </c>
      <c r="C2339" s="70">
        <v>2018</v>
      </c>
      <c r="D2339" s="70" t="s">
        <v>58</v>
      </c>
      <c r="E2339" s="280" t="s">
        <v>4166</v>
      </c>
      <c r="F2339" s="1049">
        <v>1368</v>
      </c>
      <c r="G2339" s="1049"/>
      <c r="H2339" s="564"/>
      <c r="I2339" s="609"/>
      <c r="J2339" s="1155"/>
      <c r="K2339" s="609"/>
      <c r="L2339" s="609"/>
      <c r="M2339" s="609"/>
      <c r="N2339" s="599"/>
      <c r="O2339" s="552" t="s">
        <v>1584</v>
      </c>
      <c r="P2339" s="603"/>
      <c r="Q2339" s="682"/>
      <c r="R2339" s="682"/>
      <c r="S2339" s="682"/>
      <c r="T2339" s="682"/>
      <c r="U2339" s="682"/>
      <c r="V2339" s="682"/>
      <c r="W2339" s="682"/>
    </row>
    <row r="2340" spans="1:23">
      <c r="A2340" s="1045">
        <f t="shared" si="37"/>
        <v>10</v>
      </c>
      <c r="B2340" s="134">
        <v>45573</v>
      </c>
      <c r="C2340" s="70">
        <v>2000</v>
      </c>
      <c r="D2340" s="70" t="s">
        <v>57</v>
      </c>
      <c r="E2340" s="280" t="s">
        <v>4167</v>
      </c>
      <c r="F2340" s="1049"/>
      <c r="G2340" s="1049">
        <v>973240.43000000145</v>
      </c>
      <c r="H2340" s="564"/>
      <c r="I2340" s="609"/>
      <c r="J2340" s="1155"/>
      <c r="K2340" s="609"/>
      <c r="L2340" s="609"/>
      <c r="M2340" s="609"/>
      <c r="N2340" s="599"/>
      <c r="O2340" s="552" t="s">
        <v>1584</v>
      </c>
      <c r="P2340" s="603"/>
      <c r="Q2340" s="682"/>
      <c r="R2340" s="682"/>
      <c r="S2340" s="682"/>
      <c r="T2340" s="682"/>
      <c r="U2340" s="682"/>
      <c r="V2340" s="682"/>
      <c r="W2340" s="682"/>
    </row>
    <row r="2341" spans="1:23">
      <c r="A2341" s="1045">
        <f t="shared" si="37"/>
        <v>6</v>
      </c>
      <c r="B2341" s="134">
        <v>45444</v>
      </c>
      <c r="C2341" s="70">
        <v>1022</v>
      </c>
      <c r="D2341" s="70" t="s">
        <v>5119</v>
      </c>
      <c r="E2341" s="280" t="s">
        <v>4168</v>
      </c>
      <c r="F2341" s="1049"/>
      <c r="G2341" s="1049">
        <v>26056</v>
      </c>
      <c r="H2341" s="564"/>
      <c r="I2341" s="609"/>
      <c r="J2341" s="1155"/>
      <c r="K2341" s="609"/>
      <c r="L2341" s="609"/>
      <c r="M2341" s="609"/>
      <c r="N2341" s="599"/>
      <c r="O2341" s="552" t="s">
        <v>1584</v>
      </c>
      <c r="P2341" s="603"/>
      <c r="Q2341" s="682"/>
      <c r="R2341" s="682"/>
      <c r="S2341" s="682"/>
      <c r="T2341" s="682"/>
      <c r="U2341" s="682"/>
      <c r="V2341" s="682"/>
      <c r="W2341" s="682"/>
    </row>
    <row r="2342" spans="1:23">
      <c r="A2342" s="1045">
        <f t="shared" si="37"/>
        <v>6</v>
      </c>
      <c r="B2342" s="134">
        <v>45444</v>
      </c>
      <c r="C2342" s="70">
        <v>1017</v>
      </c>
      <c r="D2342" s="70" t="s">
        <v>5118</v>
      </c>
      <c r="E2342" s="280" t="s">
        <v>4169</v>
      </c>
      <c r="F2342" s="1049"/>
      <c r="G2342" s="1049">
        <v>477.33</v>
      </c>
      <c r="H2342" s="564"/>
      <c r="I2342" s="609"/>
      <c r="J2342" s="1155"/>
      <c r="K2342" s="609"/>
      <c r="L2342" s="609"/>
      <c r="M2342" s="609"/>
      <c r="N2342" s="599"/>
      <c r="O2342" s="552" t="s">
        <v>1584</v>
      </c>
      <c r="P2342" s="603"/>
      <c r="Q2342" s="682"/>
      <c r="R2342" s="682"/>
      <c r="S2342" s="682"/>
      <c r="T2342" s="682"/>
      <c r="U2342" s="682"/>
      <c r="V2342" s="682"/>
      <c r="W2342" s="682"/>
    </row>
    <row r="2343" spans="1:23">
      <c r="A2343" s="1045">
        <f t="shared" si="37"/>
        <v>6</v>
      </c>
      <c r="B2343" s="134">
        <v>45444</v>
      </c>
      <c r="C2343" s="70">
        <v>1017</v>
      </c>
      <c r="D2343" s="70" t="s">
        <v>5118</v>
      </c>
      <c r="E2343" s="280" t="s">
        <v>4170</v>
      </c>
      <c r="F2343" s="1049"/>
      <c r="G2343" s="1049">
        <v>5806.5</v>
      </c>
      <c r="H2343" s="564"/>
      <c r="I2343" s="609"/>
      <c r="J2343" s="1155"/>
      <c r="K2343" s="609"/>
      <c r="L2343" s="609"/>
      <c r="M2343" s="609"/>
      <c r="N2343" s="599"/>
      <c r="O2343" s="552" t="s">
        <v>1584</v>
      </c>
      <c r="P2343" s="603"/>
      <c r="Q2343" s="682"/>
      <c r="R2343" s="682"/>
      <c r="S2343" s="682"/>
      <c r="T2343" s="682"/>
      <c r="U2343" s="682"/>
      <c r="V2343" s="682"/>
      <c r="W2343" s="682"/>
    </row>
    <row r="2344" spans="1:23">
      <c r="A2344" s="1045">
        <f t="shared" si="37"/>
        <v>6</v>
      </c>
      <c r="B2344" s="134">
        <v>45444</v>
      </c>
      <c r="C2344" s="70">
        <v>1017</v>
      </c>
      <c r="D2344" s="70" t="s">
        <v>5118</v>
      </c>
      <c r="E2344" s="280" t="s">
        <v>4171</v>
      </c>
      <c r="F2344" s="1049"/>
      <c r="G2344" s="1049">
        <v>367.4</v>
      </c>
      <c r="H2344" s="564"/>
      <c r="I2344" s="609"/>
      <c r="J2344" s="1155"/>
      <c r="K2344" s="609"/>
      <c r="L2344" s="609"/>
      <c r="M2344" s="609"/>
      <c r="N2344" s="599"/>
      <c r="O2344" s="552" t="s">
        <v>1584</v>
      </c>
      <c r="P2344" s="603"/>
      <c r="Q2344" s="682"/>
      <c r="R2344" s="682"/>
      <c r="S2344" s="682"/>
      <c r="T2344" s="682"/>
      <c r="U2344" s="682"/>
      <c r="V2344" s="682"/>
      <c r="W2344" s="682"/>
    </row>
    <row r="2345" spans="1:23">
      <c r="A2345" s="1045">
        <f t="shared" si="37"/>
        <v>6</v>
      </c>
      <c r="B2345" s="134">
        <v>45444</v>
      </c>
      <c r="C2345" s="70">
        <v>1017</v>
      </c>
      <c r="D2345" s="70" t="s">
        <v>5118</v>
      </c>
      <c r="E2345" s="280" t="s">
        <v>4172</v>
      </c>
      <c r="F2345" s="1049"/>
      <c r="G2345" s="1049">
        <v>386.25</v>
      </c>
      <c r="H2345" s="564"/>
      <c r="I2345" s="609"/>
      <c r="J2345" s="1155"/>
      <c r="K2345" s="609"/>
      <c r="L2345" s="609"/>
      <c r="M2345" s="609"/>
      <c r="N2345" s="599"/>
      <c r="O2345" s="552" t="s">
        <v>1584</v>
      </c>
      <c r="P2345" s="603"/>
      <c r="Q2345" s="682"/>
      <c r="R2345" s="682"/>
      <c r="S2345" s="682"/>
      <c r="T2345" s="682"/>
      <c r="U2345" s="682"/>
      <c r="V2345" s="682"/>
      <c r="W2345" s="682"/>
    </row>
    <row r="2346" spans="1:23">
      <c r="A2346" s="1045">
        <f t="shared" si="37"/>
        <v>6</v>
      </c>
      <c r="B2346" s="134">
        <v>45445</v>
      </c>
      <c r="C2346" s="70">
        <v>1017</v>
      </c>
      <c r="D2346" s="70" t="s">
        <v>5118</v>
      </c>
      <c r="E2346" s="280" t="s">
        <v>4173</v>
      </c>
      <c r="F2346" s="1049"/>
      <c r="G2346" s="1049">
        <v>168</v>
      </c>
      <c r="H2346" s="564"/>
      <c r="I2346" s="609"/>
      <c r="J2346" s="1155"/>
      <c r="K2346" s="609"/>
      <c r="L2346" s="609"/>
      <c r="M2346" s="609"/>
      <c r="N2346" s="599"/>
      <c r="O2346" s="552" t="s">
        <v>1584</v>
      </c>
      <c r="P2346" s="603"/>
      <c r="Q2346" s="682"/>
      <c r="R2346" s="682"/>
      <c r="S2346" s="682"/>
      <c r="T2346" s="682"/>
      <c r="U2346" s="682"/>
      <c r="V2346" s="682"/>
      <c r="W2346" s="682"/>
    </row>
    <row r="2347" spans="1:23">
      <c r="A2347" s="1045">
        <f t="shared" si="37"/>
        <v>6</v>
      </c>
      <c r="B2347" s="134">
        <v>45446</v>
      </c>
      <c r="C2347" s="70">
        <v>1017</v>
      </c>
      <c r="D2347" s="70" t="s">
        <v>5118</v>
      </c>
      <c r="E2347" s="280" t="s">
        <v>4174</v>
      </c>
      <c r="F2347" s="1049"/>
      <c r="G2347" s="1049">
        <v>42</v>
      </c>
      <c r="H2347" s="564"/>
      <c r="I2347" s="609"/>
      <c r="J2347" s="1155"/>
      <c r="K2347" s="609"/>
      <c r="L2347" s="609"/>
      <c r="M2347" s="609"/>
      <c r="N2347" s="599"/>
      <c r="O2347" s="552" t="s">
        <v>1584</v>
      </c>
      <c r="P2347" s="603"/>
      <c r="Q2347" s="682"/>
      <c r="R2347" s="682"/>
      <c r="S2347" s="682"/>
      <c r="T2347" s="682"/>
      <c r="U2347" s="682"/>
      <c r="V2347" s="682"/>
      <c r="W2347" s="682"/>
    </row>
    <row r="2348" spans="1:23">
      <c r="A2348" s="1045">
        <f t="shared" si="37"/>
        <v>6</v>
      </c>
      <c r="B2348" s="134">
        <v>45446</v>
      </c>
      <c r="C2348" s="70">
        <v>1017</v>
      </c>
      <c r="D2348" s="70" t="s">
        <v>5118</v>
      </c>
      <c r="E2348" s="280" t="s">
        <v>4175</v>
      </c>
      <c r="F2348" s="1049"/>
      <c r="G2348" s="1049">
        <v>2400.3000000000002</v>
      </c>
      <c r="H2348" s="564"/>
      <c r="I2348" s="609"/>
      <c r="J2348" s="1155"/>
      <c r="K2348" s="609"/>
      <c r="L2348" s="609"/>
      <c r="M2348" s="609"/>
      <c r="N2348" s="599"/>
      <c r="O2348" s="552" t="s">
        <v>1584</v>
      </c>
      <c r="P2348" s="603"/>
      <c r="Q2348" s="682"/>
      <c r="R2348" s="682"/>
      <c r="S2348" s="682"/>
      <c r="T2348" s="682"/>
      <c r="U2348" s="682"/>
      <c r="V2348" s="682"/>
      <c r="W2348" s="682"/>
    </row>
    <row r="2349" spans="1:23">
      <c r="A2349" s="1045">
        <f t="shared" si="37"/>
        <v>6</v>
      </c>
      <c r="B2349" s="134">
        <v>45446</v>
      </c>
      <c r="C2349" s="70">
        <v>1017</v>
      </c>
      <c r="D2349" s="70" t="s">
        <v>5118</v>
      </c>
      <c r="E2349" s="280" t="s">
        <v>4176</v>
      </c>
      <c r="F2349" s="1049"/>
      <c r="G2349" s="1049">
        <v>1671.29</v>
      </c>
      <c r="H2349" s="564"/>
      <c r="I2349" s="609"/>
      <c r="J2349" s="1155"/>
      <c r="K2349" s="609"/>
      <c r="L2349" s="609"/>
      <c r="M2349" s="609"/>
      <c r="N2349" s="599"/>
      <c r="O2349" s="552" t="s">
        <v>1584</v>
      </c>
      <c r="P2349" s="603"/>
      <c r="Q2349" s="682"/>
      <c r="R2349" s="682"/>
      <c r="S2349" s="682"/>
      <c r="T2349" s="682"/>
      <c r="U2349" s="682"/>
      <c r="V2349" s="682"/>
      <c r="W2349" s="682"/>
    </row>
    <row r="2350" spans="1:23">
      <c r="A2350" s="1045">
        <f t="shared" si="37"/>
        <v>6</v>
      </c>
      <c r="B2350" s="134">
        <v>45446</v>
      </c>
      <c r="C2350" s="70">
        <v>1017</v>
      </c>
      <c r="D2350" s="70" t="s">
        <v>5118</v>
      </c>
      <c r="E2350" s="280" t="s">
        <v>4177</v>
      </c>
      <c r="F2350" s="1049"/>
      <c r="G2350" s="1049">
        <v>10.5</v>
      </c>
      <c r="H2350" s="564"/>
      <c r="I2350" s="609"/>
      <c r="J2350" s="1155"/>
      <c r="K2350" s="609"/>
      <c r="L2350" s="609"/>
      <c r="M2350" s="609"/>
      <c r="N2350" s="599"/>
      <c r="O2350" s="552" t="s">
        <v>1584</v>
      </c>
      <c r="P2350" s="603"/>
      <c r="Q2350" s="682"/>
      <c r="R2350" s="682"/>
      <c r="S2350" s="682"/>
      <c r="T2350" s="682"/>
      <c r="U2350" s="682"/>
      <c r="V2350" s="682"/>
      <c r="W2350" s="682"/>
    </row>
    <row r="2351" spans="1:23">
      <c r="A2351" s="1045">
        <f t="shared" si="37"/>
        <v>6</v>
      </c>
      <c r="B2351" s="134">
        <v>45446</v>
      </c>
      <c r="C2351" s="70">
        <v>1017</v>
      </c>
      <c r="D2351" s="70" t="s">
        <v>5118</v>
      </c>
      <c r="E2351" s="280" t="s">
        <v>4178</v>
      </c>
      <c r="F2351" s="1049"/>
      <c r="G2351" s="1049">
        <v>588</v>
      </c>
      <c r="H2351" s="564"/>
      <c r="I2351" s="609"/>
      <c r="J2351" s="1155"/>
      <c r="K2351" s="609"/>
      <c r="L2351" s="609"/>
      <c r="M2351" s="609"/>
      <c r="N2351" s="599"/>
      <c r="O2351" s="552" t="s">
        <v>1584</v>
      </c>
      <c r="P2351" s="603"/>
      <c r="Q2351" s="682"/>
      <c r="R2351" s="682"/>
      <c r="S2351" s="682"/>
      <c r="T2351" s="682"/>
      <c r="U2351" s="682"/>
      <c r="V2351" s="682"/>
      <c r="W2351" s="682"/>
    </row>
    <row r="2352" spans="1:23">
      <c r="A2352" s="1045">
        <f t="shared" si="37"/>
        <v>6</v>
      </c>
      <c r="B2352" s="134">
        <v>45446</v>
      </c>
      <c r="C2352" s="70">
        <v>1017</v>
      </c>
      <c r="D2352" s="70" t="s">
        <v>5118</v>
      </c>
      <c r="E2352" s="280" t="s">
        <v>4179</v>
      </c>
      <c r="F2352" s="1049"/>
      <c r="G2352" s="1049">
        <v>36.75</v>
      </c>
      <c r="H2352" s="564"/>
      <c r="I2352" s="609"/>
      <c r="J2352" s="1155"/>
      <c r="K2352" s="609"/>
      <c r="L2352" s="609"/>
      <c r="M2352" s="609"/>
      <c r="N2352" s="599"/>
      <c r="O2352" s="552" t="s">
        <v>1584</v>
      </c>
      <c r="P2352" s="603"/>
      <c r="Q2352" s="682"/>
      <c r="R2352" s="682"/>
      <c r="S2352" s="682"/>
      <c r="T2352" s="682"/>
      <c r="U2352" s="682"/>
      <c r="V2352" s="682"/>
      <c r="W2352" s="682"/>
    </row>
    <row r="2353" spans="1:23">
      <c r="A2353" s="1045">
        <f t="shared" si="37"/>
        <v>6</v>
      </c>
      <c r="B2353" s="134">
        <v>45447</v>
      </c>
      <c r="C2353" s="70">
        <v>1017</v>
      </c>
      <c r="D2353" s="70" t="s">
        <v>5118</v>
      </c>
      <c r="E2353" s="280" t="s">
        <v>4180</v>
      </c>
      <c r="F2353" s="1049"/>
      <c r="G2353" s="1049">
        <v>252</v>
      </c>
      <c r="H2353" s="564"/>
      <c r="I2353" s="609"/>
      <c r="J2353" s="1155"/>
      <c r="K2353" s="609"/>
      <c r="L2353" s="609"/>
      <c r="M2353" s="609"/>
      <c r="N2353" s="599"/>
      <c r="O2353" s="552" t="s">
        <v>1584</v>
      </c>
      <c r="P2353" s="603"/>
      <c r="Q2353" s="682"/>
      <c r="R2353" s="682"/>
      <c r="S2353" s="682"/>
      <c r="T2353" s="682"/>
      <c r="U2353" s="682"/>
      <c r="V2353" s="682"/>
      <c r="W2353" s="682"/>
    </row>
    <row r="2354" spans="1:23">
      <c r="A2354" s="1045">
        <f t="shared" si="37"/>
        <v>6</v>
      </c>
      <c r="B2354" s="134">
        <v>45447</v>
      </c>
      <c r="C2354" s="70">
        <v>1017</v>
      </c>
      <c r="D2354" s="70" t="s">
        <v>5118</v>
      </c>
      <c r="E2354" s="280" t="s">
        <v>4181</v>
      </c>
      <c r="F2354" s="1049"/>
      <c r="G2354" s="1049">
        <v>305.5</v>
      </c>
      <c r="H2354" s="564"/>
      <c r="I2354" s="609"/>
      <c r="J2354" s="1155"/>
      <c r="K2354" s="609"/>
      <c r="L2354" s="609"/>
      <c r="M2354" s="609"/>
      <c r="N2354" s="599"/>
      <c r="O2354" s="552" t="s">
        <v>1584</v>
      </c>
      <c r="P2354" s="603"/>
      <c r="Q2354" s="682"/>
      <c r="R2354" s="682"/>
      <c r="S2354" s="682"/>
      <c r="T2354" s="682"/>
      <c r="U2354" s="682"/>
      <c r="V2354" s="682"/>
      <c r="W2354" s="682"/>
    </row>
    <row r="2355" spans="1:23">
      <c r="A2355" s="1045">
        <f t="shared" si="37"/>
        <v>6</v>
      </c>
      <c r="B2355" s="134">
        <v>45447</v>
      </c>
      <c r="C2355" s="70">
        <v>1017</v>
      </c>
      <c r="D2355" s="70" t="s">
        <v>5118</v>
      </c>
      <c r="E2355" s="280" t="s">
        <v>4182</v>
      </c>
      <c r="F2355" s="1049"/>
      <c r="G2355" s="1049">
        <v>26.25</v>
      </c>
      <c r="H2355" s="564"/>
      <c r="I2355" s="609"/>
      <c r="J2355" s="1155"/>
      <c r="K2355" s="609"/>
      <c r="L2355" s="609"/>
      <c r="M2355" s="609"/>
      <c r="N2355" s="599"/>
      <c r="O2355" s="552" t="s">
        <v>1584</v>
      </c>
      <c r="P2355" s="603"/>
      <c r="Q2355" s="682"/>
      <c r="R2355" s="682"/>
      <c r="S2355" s="682"/>
      <c r="T2355" s="682"/>
      <c r="U2355" s="682"/>
      <c r="V2355" s="682"/>
      <c r="W2355" s="682"/>
    </row>
    <row r="2356" spans="1:23">
      <c r="A2356" s="1045">
        <f t="shared" si="37"/>
        <v>6</v>
      </c>
      <c r="B2356" s="134">
        <v>45447</v>
      </c>
      <c r="C2356" s="70">
        <v>1017</v>
      </c>
      <c r="D2356" s="70" t="s">
        <v>5118</v>
      </c>
      <c r="E2356" s="280" t="s">
        <v>4183</v>
      </c>
      <c r="F2356" s="1049"/>
      <c r="G2356" s="1049">
        <v>150.76</v>
      </c>
      <c r="H2356" s="564"/>
      <c r="I2356" s="609"/>
      <c r="J2356" s="1155"/>
      <c r="K2356" s="609"/>
      <c r="L2356" s="609"/>
      <c r="M2356" s="609"/>
      <c r="N2356" s="599"/>
      <c r="O2356" s="552" t="s">
        <v>1584</v>
      </c>
      <c r="P2356" s="603"/>
      <c r="Q2356" s="682"/>
      <c r="R2356" s="682"/>
      <c r="S2356" s="682"/>
      <c r="T2356" s="682"/>
      <c r="U2356" s="682"/>
      <c r="V2356" s="682"/>
      <c r="W2356" s="682"/>
    </row>
    <row r="2357" spans="1:23">
      <c r="A2357" s="1045">
        <f t="shared" si="37"/>
        <v>6</v>
      </c>
      <c r="B2357" s="134">
        <v>45447</v>
      </c>
      <c r="C2357" s="70">
        <v>1017</v>
      </c>
      <c r="D2357" s="70" t="s">
        <v>5118</v>
      </c>
      <c r="E2357" s="280" t="s">
        <v>4184</v>
      </c>
      <c r="F2357" s="1049"/>
      <c r="G2357" s="1049">
        <v>10.5</v>
      </c>
      <c r="H2357" s="564"/>
      <c r="I2357" s="609"/>
      <c r="J2357" s="1155"/>
      <c r="K2357" s="609"/>
      <c r="L2357" s="609"/>
      <c r="M2357" s="609"/>
      <c r="N2357" s="599"/>
      <c r="O2357" s="552" t="s">
        <v>1584</v>
      </c>
      <c r="P2357" s="603"/>
      <c r="Q2357" s="682"/>
      <c r="R2357" s="682"/>
      <c r="S2357" s="682"/>
      <c r="T2357" s="682"/>
      <c r="U2357" s="682"/>
      <c r="V2357" s="682"/>
      <c r="W2357" s="682"/>
    </row>
    <row r="2358" spans="1:23">
      <c r="A2358" s="1045">
        <f t="shared" si="37"/>
        <v>6</v>
      </c>
      <c r="B2358" s="134">
        <v>45447</v>
      </c>
      <c r="C2358" s="70">
        <v>1017</v>
      </c>
      <c r="D2358" s="70" t="s">
        <v>5118</v>
      </c>
      <c r="E2358" s="280" t="s">
        <v>4185</v>
      </c>
      <c r="F2358" s="1049"/>
      <c r="G2358" s="1049">
        <v>897.5</v>
      </c>
      <c r="H2358" s="564"/>
      <c r="I2358" s="609"/>
      <c r="J2358" s="1155"/>
      <c r="K2358" s="609"/>
      <c r="L2358" s="609"/>
      <c r="M2358" s="609"/>
      <c r="N2358" s="599"/>
      <c r="O2358" s="552" t="s">
        <v>1584</v>
      </c>
      <c r="P2358" s="603"/>
      <c r="Q2358" s="682"/>
      <c r="R2358" s="682"/>
      <c r="S2358" s="682"/>
      <c r="T2358" s="682"/>
      <c r="U2358" s="682"/>
      <c r="V2358" s="682"/>
      <c r="W2358" s="682"/>
    </row>
    <row r="2359" spans="1:23">
      <c r="A2359" s="1045">
        <f t="shared" si="37"/>
        <v>6</v>
      </c>
      <c r="B2359" s="134">
        <v>45447</v>
      </c>
      <c r="C2359" s="70">
        <v>1017</v>
      </c>
      <c r="D2359" s="70" t="s">
        <v>5118</v>
      </c>
      <c r="E2359" s="280" t="s">
        <v>4186</v>
      </c>
      <c r="F2359" s="1049"/>
      <c r="G2359" s="1049">
        <v>264.60000000000002</v>
      </c>
      <c r="H2359" s="564"/>
      <c r="I2359" s="609"/>
      <c r="J2359" s="1155"/>
      <c r="K2359" s="609"/>
      <c r="L2359" s="609"/>
      <c r="M2359" s="609"/>
      <c r="N2359" s="599"/>
      <c r="O2359" s="552" t="s">
        <v>1584</v>
      </c>
      <c r="P2359" s="603"/>
      <c r="Q2359" s="682"/>
      <c r="R2359" s="682"/>
      <c r="S2359" s="682"/>
      <c r="T2359" s="682"/>
      <c r="U2359" s="682"/>
      <c r="V2359" s="682"/>
      <c r="W2359" s="682"/>
    </row>
    <row r="2360" spans="1:23">
      <c r="A2360" s="1045">
        <f t="shared" si="37"/>
        <v>6</v>
      </c>
      <c r="B2360" s="134">
        <v>45448</v>
      </c>
      <c r="C2360" s="70">
        <v>1022</v>
      </c>
      <c r="D2360" s="70" t="s">
        <v>5119</v>
      </c>
      <c r="E2360" s="280" t="s">
        <v>4187</v>
      </c>
      <c r="F2360" s="1049"/>
      <c r="G2360" s="1049">
        <v>28980</v>
      </c>
      <c r="H2360" s="564"/>
      <c r="I2360" s="609"/>
      <c r="J2360" s="1155"/>
      <c r="K2360" s="609"/>
      <c r="L2360" s="609"/>
      <c r="M2360" s="609"/>
      <c r="N2360" s="599"/>
      <c r="O2360" s="552" t="s">
        <v>1584</v>
      </c>
      <c r="P2360" s="603"/>
      <c r="Q2360" s="682"/>
      <c r="R2360" s="682"/>
      <c r="S2360" s="682"/>
      <c r="T2360" s="682"/>
      <c r="U2360" s="682"/>
      <c r="V2360" s="682"/>
      <c r="W2360" s="682"/>
    </row>
    <row r="2361" spans="1:23">
      <c r="A2361" s="1045">
        <f t="shared" si="37"/>
        <v>6</v>
      </c>
      <c r="B2361" s="134">
        <v>45448</v>
      </c>
      <c r="C2361" s="70">
        <v>1022</v>
      </c>
      <c r="D2361" s="70" t="s">
        <v>5119</v>
      </c>
      <c r="E2361" s="280" t="s">
        <v>4188</v>
      </c>
      <c r="F2361" s="1049"/>
      <c r="G2361" s="1049">
        <v>32776</v>
      </c>
      <c r="H2361" s="564"/>
      <c r="I2361" s="609"/>
      <c r="J2361" s="1155"/>
      <c r="K2361" s="609"/>
      <c r="L2361" s="609"/>
      <c r="M2361" s="609"/>
      <c r="N2361" s="599"/>
      <c r="O2361" s="552" t="s">
        <v>1584</v>
      </c>
      <c r="P2361" s="603"/>
      <c r="Q2361" s="682"/>
      <c r="R2361" s="682"/>
      <c r="S2361" s="682"/>
      <c r="T2361" s="682"/>
      <c r="U2361" s="682"/>
      <c r="V2361" s="682"/>
      <c r="W2361" s="682"/>
    </row>
    <row r="2362" spans="1:23">
      <c r="A2362" s="1045">
        <f t="shared" si="37"/>
        <v>6</v>
      </c>
      <c r="B2362" s="134">
        <v>45448</v>
      </c>
      <c r="C2362" s="70">
        <v>1017</v>
      </c>
      <c r="D2362" s="70" t="s">
        <v>5118</v>
      </c>
      <c r="E2362" s="280" t="s">
        <v>4189</v>
      </c>
      <c r="F2362" s="1049"/>
      <c r="G2362" s="1049">
        <v>105</v>
      </c>
      <c r="H2362" s="564"/>
      <c r="I2362" s="609"/>
      <c r="J2362" s="1155"/>
      <c r="K2362" s="609"/>
      <c r="L2362" s="609"/>
      <c r="M2362" s="609"/>
      <c r="N2362" s="599"/>
      <c r="O2362" s="552" t="s">
        <v>1584</v>
      </c>
      <c r="P2362" s="603"/>
      <c r="Q2362" s="682"/>
      <c r="R2362" s="682"/>
      <c r="S2362" s="682"/>
      <c r="T2362" s="682"/>
      <c r="U2362" s="682"/>
      <c r="V2362" s="682"/>
      <c r="W2362" s="682"/>
    </row>
    <row r="2363" spans="1:23">
      <c r="A2363" s="1045">
        <f t="shared" si="37"/>
        <v>6</v>
      </c>
      <c r="B2363" s="134">
        <v>45448</v>
      </c>
      <c r="C2363" s="70">
        <v>1017</v>
      </c>
      <c r="D2363" s="70" t="s">
        <v>5118</v>
      </c>
      <c r="E2363" s="280" t="s">
        <v>4190</v>
      </c>
      <c r="F2363" s="1049"/>
      <c r="G2363" s="1049">
        <v>405.83</v>
      </c>
      <c r="H2363" s="564"/>
      <c r="I2363" s="609"/>
      <c r="J2363" s="1155"/>
      <c r="K2363" s="609"/>
      <c r="L2363" s="609"/>
      <c r="M2363" s="609"/>
      <c r="N2363" s="599"/>
      <c r="O2363" s="552" t="s">
        <v>1584</v>
      </c>
      <c r="P2363" s="603"/>
      <c r="Q2363" s="682"/>
      <c r="R2363" s="682"/>
      <c r="S2363" s="682"/>
      <c r="T2363" s="682"/>
      <c r="U2363" s="682"/>
      <c r="V2363" s="682"/>
      <c r="W2363" s="682"/>
    </row>
    <row r="2364" spans="1:23">
      <c r="A2364" s="1045">
        <f t="shared" si="37"/>
        <v>6</v>
      </c>
      <c r="B2364" s="134">
        <v>45448</v>
      </c>
      <c r="C2364" s="70">
        <v>1017</v>
      </c>
      <c r="D2364" s="70" t="s">
        <v>5118</v>
      </c>
      <c r="E2364" s="280" t="s">
        <v>4191</v>
      </c>
      <c r="F2364" s="1049"/>
      <c r="G2364" s="1049">
        <v>251</v>
      </c>
      <c r="H2364" s="564"/>
      <c r="I2364" s="609"/>
      <c r="J2364" s="1155"/>
      <c r="K2364" s="609"/>
      <c r="L2364" s="609"/>
      <c r="M2364" s="609"/>
      <c r="N2364" s="599"/>
      <c r="O2364" s="552" t="s">
        <v>1584</v>
      </c>
      <c r="P2364" s="603"/>
      <c r="Q2364" s="682"/>
      <c r="R2364" s="682"/>
      <c r="S2364" s="682"/>
      <c r="T2364" s="682"/>
      <c r="U2364" s="682"/>
      <c r="V2364" s="682"/>
      <c r="W2364" s="682"/>
    </row>
    <row r="2365" spans="1:23">
      <c r="A2365" s="1045">
        <f t="shared" si="37"/>
        <v>6</v>
      </c>
      <c r="B2365" s="134">
        <v>45449</v>
      </c>
      <c r="C2365" s="70">
        <v>1017</v>
      </c>
      <c r="D2365" s="70" t="s">
        <v>5118</v>
      </c>
      <c r="E2365" s="280" t="s">
        <v>4192</v>
      </c>
      <c r="F2365" s="1049"/>
      <c r="G2365" s="1049">
        <v>173.25</v>
      </c>
      <c r="H2365" s="564"/>
      <c r="I2365" s="609"/>
      <c r="J2365" s="1155"/>
      <c r="K2365" s="609"/>
      <c r="L2365" s="609"/>
      <c r="M2365" s="609"/>
      <c r="N2365" s="599"/>
      <c r="O2365" s="552" t="s">
        <v>1584</v>
      </c>
      <c r="P2365" s="603"/>
      <c r="Q2365" s="682"/>
      <c r="R2365" s="682"/>
      <c r="S2365" s="682"/>
      <c r="T2365" s="682"/>
      <c r="U2365" s="682"/>
      <c r="V2365" s="682"/>
      <c r="W2365" s="682"/>
    </row>
    <row r="2366" spans="1:23">
      <c r="A2366" s="1045">
        <f t="shared" si="37"/>
        <v>6</v>
      </c>
      <c r="B2366" s="134">
        <v>45449</v>
      </c>
      <c r="C2366" s="70">
        <v>1017</v>
      </c>
      <c r="D2366" s="70" t="s">
        <v>5118</v>
      </c>
      <c r="E2366" s="280" t="s">
        <v>4193</v>
      </c>
      <c r="F2366" s="1049"/>
      <c r="G2366" s="1049">
        <v>195.17</v>
      </c>
      <c r="H2366" s="564"/>
      <c r="I2366" s="609"/>
      <c r="J2366" s="1155"/>
      <c r="K2366" s="609"/>
      <c r="L2366" s="609"/>
      <c r="M2366" s="609"/>
      <c r="N2366" s="599"/>
      <c r="O2366" s="552" t="s">
        <v>1584</v>
      </c>
      <c r="P2366" s="603"/>
      <c r="Q2366" s="682"/>
      <c r="R2366" s="682"/>
      <c r="S2366" s="682"/>
      <c r="T2366" s="682"/>
      <c r="U2366" s="682"/>
      <c r="V2366" s="682"/>
      <c r="W2366" s="682"/>
    </row>
    <row r="2367" spans="1:23">
      <c r="A2367" s="1045">
        <f t="shared" si="37"/>
        <v>6</v>
      </c>
      <c r="B2367" s="134">
        <v>45449</v>
      </c>
      <c r="C2367" s="70">
        <v>1017</v>
      </c>
      <c r="D2367" s="70" t="s">
        <v>5118</v>
      </c>
      <c r="E2367" s="280" t="s">
        <v>4194</v>
      </c>
      <c r="F2367" s="1049"/>
      <c r="G2367" s="1049">
        <v>231</v>
      </c>
      <c r="H2367" s="564"/>
      <c r="I2367" s="609"/>
      <c r="J2367" s="1155"/>
      <c r="K2367" s="609"/>
      <c r="L2367" s="609"/>
      <c r="M2367" s="609"/>
      <c r="N2367" s="599"/>
      <c r="O2367" s="552" t="s">
        <v>1584</v>
      </c>
      <c r="P2367" s="603"/>
      <c r="Q2367" s="682"/>
      <c r="R2367" s="682"/>
      <c r="S2367" s="682"/>
      <c r="T2367" s="682"/>
      <c r="U2367" s="682"/>
      <c r="V2367" s="682"/>
      <c r="W2367" s="682"/>
    </row>
    <row r="2368" spans="1:23">
      <c r="A2368" s="1045">
        <f t="shared" si="37"/>
        <v>6</v>
      </c>
      <c r="B2368" s="134">
        <v>45449</v>
      </c>
      <c r="C2368" s="70">
        <v>1017</v>
      </c>
      <c r="D2368" s="70" t="s">
        <v>5118</v>
      </c>
      <c r="E2368" s="280" t="s">
        <v>4195</v>
      </c>
      <c r="F2368" s="1049"/>
      <c r="G2368" s="1049">
        <v>88.2</v>
      </c>
      <c r="H2368" s="564"/>
      <c r="I2368" s="609"/>
      <c r="J2368" s="1155"/>
      <c r="K2368" s="609"/>
      <c r="L2368" s="609"/>
      <c r="M2368" s="609"/>
      <c r="N2368" s="599"/>
      <c r="O2368" s="552" t="s">
        <v>1584</v>
      </c>
      <c r="P2368" s="603"/>
      <c r="Q2368" s="682"/>
      <c r="R2368" s="682"/>
      <c r="S2368" s="682"/>
      <c r="T2368" s="682"/>
      <c r="U2368" s="682"/>
      <c r="V2368" s="682"/>
      <c r="W2368" s="682"/>
    </row>
    <row r="2369" spans="1:23">
      <c r="A2369" s="1045">
        <f t="shared" si="37"/>
        <v>6</v>
      </c>
      <c r="B2369" s="134">
        <v>45450</v>
      </c>
      <c r="C2369" s="70">
        <v>1017</v>
      </c>
      <c r="D2369" s="70" t="s">
        <v>5118</v>
      </c>
      <c r="E2369" s="280" t="s">
        <v>4196</v>
      </c>
      <c r="F2369" s="1049"/>
      <c r="G2369" s="1049">
        <v>226.8</v>
      </c>
      <c r="H2369" s="564"/>
      <c r="I2369" s="609"/>
      <c r="J2369" s="1155"/>
      <c r="K2369" s="609"/>
      <c r="L2369" s="609"/>
      <c r="M2369" s="609"/>
      <c r="N2369" s="599"/>
      <c r="O2369" s="552" t="s">
        <v>1584</v>
      </c>
      <c r="P2369" s="603"/>
      <c r="Q2369" s="682"/>
      <c r="R2369" s="682"/>
      <c r="S2369" s="682"/>
      <c r="T2369" s="682"/>
      <c r="U2369" s="682"/>
      <c r="V2369" s="682"/>
      <c r="W2369" s="682"/>
    </row>
    <row r="2370" spans="1:23">
      <c r="A2370" s="1045">
        <f t="shared" si="37"/>
        <v>6</v>
      </c>
      <c r="B2370" s="134">
        <v>45450</v>
      </c>
      <c r="C2370" s="70">
        <v>1017</v>
      </c>
      <c r="D2370" s="70" t="s">
        <v>5118</v>
      </c>
      <c r="E2370" s="280" t="s">
        <v>4197</v>
      </c>
      <c r="F2370" s="1049"/>
      <c r="G2370" s="1049">
        <v>148.43</v>
      </c>
      <c r="H2370" s="564"/>
      <c r="I2370" s="609"/>
      <c r="J2370" s="1155"/>
      <c r="K2370" s="609"/>
      <c r="L2370" s="609"/>
      <c r="M2370" s="609"/>
      <c r="N2370" s="599"/>
      <c r="O2370" s="552" t="s">
        <v>1584</v>
      </c>
      <c r="P2370" s="603"/>
      <c r="Q2370" s="682"/>
      <c r="R2370" s="682"/>
      <c r="S2370" s="682"/>
      <c r="T2370" s="682"/>
      <c r="U2370" s="682"/>
      <c r="V2370" s="682"/>
      <c r="W2370" s="682"/>
    </row>
    <row r="2371" spans="1:23">
      <c r="A2371" s="1045">
        <f t="shared" si="37"/>
        <v>6</v>
      </c>
      <c r="B2371" s="134">
        <v>45450</v>
      </c>
      <c r="C2371" s="70">
        <v>1017</v>
      </c>
      <c r="D2371" s="70" t="s">
        <v>5118</v>
      </c>
      <c r="E2371" s="280" t="s">
        <v>4198</v>
      </c>
      <c r="F2371" s="1049"/>
      <c r="G2371" s="1049">
        <v>24.15</v>
      </c>
      <c r="H2371" s="564"/>
      <c r="I2371" s="609"/>
      <c r="J2371" s="1155"/>
      <c r="K2371" s="609"/>
      <c r="L2371" s="609"/>
      <c r="M2371" s="609"/>
      <c r="N2371" s="599"/>
      <c r="O2371" s="552" t="s">
        <v>1584</v>
      </c>
      <c r="P2371" s="603"/>
      <c r="Q2371" s="682"/>
      <c r="R2371" s="682"/>
      <c r="S2371" s="682"/>
      <c r="T2371" s="682"/>
      <c r="U2371" s="682"/>
      <c r="V2371" s="682"/>
      <c r="W2371" s="682"/>
    </row>
    <row r="2372" spans="1:23">
      <c r="A2372" s="1045">
        <f t="shared" si="37"/>
        <v>6</v>
      </c>
      <c r="B2372" s="134">
        <v>45450</v>
      </c>
      <c r="C2372" s="70">
        <v>1017</v>
      </c>
      <c r="D2372" s="70" t="s">
        <v>5118</v>
      </c>
      <c r="E2372" s="280" t="s">
        <v>4199</v>
      </c>
      <c r="F2372" s="1049"/>
      <c r="G2372" s="1049">
        <v>796.94</v>
      </c>
      <c r="H2372" s="564"/>
      <c r="I2372" s="609"/>
      <c r="J2372" s="1155"/>
      <c r="K2372" s="609"/>
      <c r="L2372" s="609"/>
      <c r="M2372" s="609"/>
      <c r="N2372" s="599"/>
      <c r="O2372" s="552" t="s">
        <v>1584</v>
      </c>
      <c r="P2372" s="603"/>
      <c r="Q2372" s="682"/>
      <c r="R2372" s="682"/>
      <c r="S2372" s="682"/>
      <c r="T2372" s="682"/>
      <c r="U2372" s="682"/>
      <c r="V2372" s="682"/>
      <c r="W2372" s="682"/>
    </row>
    <row r="2373" spans="1:23">
      <c r="A2373" s="1045">
        <f t="shared" si="37"/>
        <v>6</v>
      </c>
      <c r="B2373" s="134">
        <v>45450</v>
      </c>
      <c r="C2373" s="70">
        <v>1017</v>
      </c>
      <c r="D2373" s="70" t="s">
        <v>5118</v>
      </c>
      <c r="E2373" s="280" t="s">
        <v>4200</v>
      </c>
      <c r="F2373" s="1049"/>
      <c r="G2373" s="1049">
        <v>798</v>
      </c>
      <c r="H2373" s="564"/>
      <c r="I2373" s="609"/>
      <c r="J2373" s="1155"/>
      <c r="K2373" s="609"/>
      <c r="L2373" s="609"/>
      <c r="M2373" s="609"/>
      <c r="N2373" s="599"/>
      <c r="O2373" s="552" t="s">
        <v>1584</v>
      </c>
      <c r="P2373" s="603"/>
      <c r="Q2373" s="682"/>
      <c r="R2373" s="682"/>
      <c r="S2373" s="682"/>
      <c r="T2373" s="682"/>
      <c r="U2373" s="682"/>
      <c r="V2373" s="682"/>
      <c r="W2373" s="682"/>
    </row>
    <row r="2374" spans="1:23">
      <c r="A2374" s="1045">
        <f t="shared" si="37"/>
        <v>6</v>
      </c>
      <c r="B2374" s="134">
        <v>45450</v>
      </c>
      <c r="C2374" s="70">
        <v>1017</v>
      </c>
      <c r="D2374" s="70" t="s">
        <v>5118</v>
      </c>
      <c r="E2374" s="280" t="s">
        <v>4201</v>
      </c>
      <c r="F2374" s="1049"/>
      <c r="G2374" s="1049">
        <v>110</v>
      </c>
      <c r="H2374" s="564"/>
      <c r="I2374" s="609"/>
      <c r="J2374" s="1155"/>
      <c r="K2374" s="609"/>
      <c r="L2374" s="609"/>
      <c r="M2374" s="609"/>
      <c r="N2374" s="599"/>
      <c r="O2374" s="552" t="s">
        <v>1584</v>
      </c>
      <c r="P2374" s="603"/>
      <c r="Q2374" s="682"/>
      <c r="R2374" s="682"/>
      <c r="S2374" s="682"/>
      <c r="T2374" s="682"/>
      <c r="U2374" s="682"/>
      <c r="V2374" s="682"/>
      <c r="W2374" s="682"/>
    </row>
    <row r="2375" spans="1:23">
      <c r="A2375" s="1045">
        <f t="shared" si="37"/>
        <v>6</v>
      </c>
      <c r="B2375" s="134">
        <v>45451</v>
      </c>
      <c r="C2375" s="70">
        <v>1017</v>
      </c>
      <c r="D2375" s="70" t="s">
        <v>5118</v>
      </c>
      <c r="E2375" s="280" t="s">
        <v>4202</v>
      </c>
      <c r="F2375" s="1049"/>
      <c r="G2375" s="1049">
        <v>311.33999999999997</v>
      </c>
      <c r="H2375" s="564"/>
      <c r="I2375" s="609"/>
      <c r="J2375" s="1155"/>
      <c r="K2375" s="609"/>
      <c r="L2375" s="609"/>
      <c r="M2375" s="609"/>
      <c r="N2375" s="599"/>
      <c r="O2375" s="552" t="s">
        <v>1584</v>
      </c>
      <c r="P2375" s="603"/>
      <c r="Q2375" s="682"/>
      <c r="R2375" s="682"/>
      <c r="S2375" s="682"/>
      <c r="T2375" s="682"/>
      <c r="U2375" s="682"/>
      <c r="V2375" s="682"/>
      <c r="W2375" s="682"/>
    </row>
    <row r="2376" spans="1:23">
      <c r="A2376" s="1045">
        <f t="shared" si="37"/>
        <v>6</v>
      </c>
      <c r="B2376" s="134">
        <v>45451</v>
      </c>
      <c r="C2376" s="70">
        <v>1017</v>
      </c>
      <c r="D2376" s="70" t="s">
        <v>5118</v>
      </c>
      <c r="E2376" s="280" t="s">
        <v>4203</v>
      </c>
      <c r="F2376" s="1049"/>
      <c r="G2376" s="1049">
        <v>35.020000000000003</v>
      </c>
      <c r="H2376" s="564"/>
      <c r="I2376" s="609"/>
      <c r="J2376" s="1155"/>
      <c r="K2376" s="609"/>
      <c r="L2376" s="609"/>
      <c r="M2376" s="609"/>
      <c r="N2376" s="599"/>
      <c r="O2376" s="552" t="s">
        <v>1584</v>
      </c>
      <c r="P2376" s="603"/>
      <c r="Q2376" s="682"/>
      <c r="R2376" s="682"/>
      <c r="S2376" s="682"/>
      <c r="T2376" s="682"/>
      <c r="U2376" s="682"/>
      <c r="V2376" s="682"/>
      <c r="W2376" s="682"/>
    </row>
    <row r="2377" spans="1:23">
      <c r="A2377" s="1045">
        <f t="shared" si="37"/>
        <v>6</v>
      </c>
      <c r="B2377" s="134">
        <v>45452</v>
      </c>
      <c r="C2377" s="70">
        <v>1017</v>
      </c>
      <c r="D2377" s="70" t="s">
        <v>5118</v>
      </c>
      <c r="E2377" s="280" t="s">
        <v>4204</v>
      </c>
      <c r="F2377" s="1049"/>
      <c r="G2377" s="1049">
        <v>15.57</v>
      </c>
      <c r="H2377" s="564"/>
      <c r="I2377" s="609"/>
      <c r="J2377" s="1155"/>
      <c r="K2377" s="609"/>
      <c r="L2377" s="609"/>
      <c r="M2377" s="609"/>
      <c r="N2377" s="599"/>
      <c r="O2377" s="552" t="s">
        <v>1584</v>
      </c>
      <c r="P2377" s="603"/>
      <c r="Q2377" s="682"/>
      <c r="R2377" s="682"/>
      <c r="S2377" s="682"/>
      <c r="T2377" s="682"/>
      <c r="U2377" s="682"/>
      <c r="V2377" s="682"/>
      <c r="W2377" s="682"/>
    </row>
    <row r="2378" spans="1:23">
      <c r="A2378" s="1045">
        <f t="shared" si="37"/>
        <v>6</v>
      </c>
      <c r="B2378" s="134">
        <v>45452</v>
      </c>
      <c r="C2378" s="70">
        <v>1017</v>
      </c>
      <c r="D2378" s="70" t="s">
        <v>5118</v>
      </c>
      <c r="E2378" s="280" t="s">
        <v>4205</v>
      </c>
      <c r="F2378" s="1049"/>
      <c r="G2378" s="1049">
        <v>55.41</v>
      </c>
      <c r="H2378" s="564"/>
      <c r="I2378" s="609"/>
      <c r="J2378" s="1155"/>
      <c r="K2378" s="609"/>
      <c r="L2378" s="609"/>
      <c r="M2378" s="609"/>
      <c r="N2378" s="599"/>
      <c r="O2378" s="552" t="s">
        <v>1584</v>
      </c>
      <c r="P2378" s="603"/>
      <c r="Q2378" s="682"/>
      <c r="R2378" s="682"/>
      <c r="S2378" s="682"/>
      <c r="T2378" s="682"/>
      <c r="U2378" s="682"/>
      <c r="V2378" s="682"/>
      <c r="W2378" s="682"/>
    </row>
    <row r="2379" spans="1:23">
      <c r="A2379" s="1045">
        <f t="shared" si="37"/>
        <v>6</v>
      </c>
      <c r="B2379" s="134">
        <v>45452</v>
      </c>
      <c r="C2379" s="70">
        <v>1017</v>
      </c>
      <c r="D2379" s="70" t="s">
        <v>5118</v>
      </c>
      <c r="E2379" s="280" t="s">
        <v>4206</v>
      </c>
      <c r="F2379" s="1049"/>
      <c r="G2379" s="1049">
        <v>75.599999999999994</v>
      </c>
      <c r="H2379" s="564"/>
      <c r="I2379" s="609"/>
      <c r="J2379" s="1155"/>
      <c r="K2379" s="609"/>
      <c r="L2379" s="609"/>
      <c r="M2379" s="609"/>
      <c r="N2379" s="599"/>
      <c r="O2379" s="552" t="s">
        <v>1584</v>
      </c>
      <c r="P2379" s="603"/>
      <c r="Q2379" s="682"/>
      <c r="R2379" s="682"/>
      <c r="S2379" s="682"/>
      <c r="T2379" s="682"/>
      <c r="U2379" s="682"/>
      <c r="V2379" s="682"/>
      <c r="W2379" s="682"/>
    </row>
    <row r="2380" spans="1:23">
      <c r="A2380" s="1045">
        <f t="shared" si="37"/>
        <v>6</v>
      </c>
      <c r="B2380" s="134">
        <v>45453</v>
      </c>
      <c r="C2380" s="70">
        <v>1022</v>
      </c>
      <c r="D2380" s="70" t="s">
        <v>5119</v>
      </c>
      <c r="E2380" s="280" t="s">
        <v>4207</v>
      </c>
      <c r="F2380" s="1049"/>
      <c r="G2380" s="1049">
        <v>34135</v>
      </c>
      <c r="H2380" s="564"/>
      <c r="I2380" s="609"/>
      <c r="J2380" s="1155"/>
      <c r="K2380" s="609"/>
      <c r="L2380" s="609"/>
      <c r="M2380" s="609"/>
      <c r="N2380" s="599"/>
      <c r="O2380" s="552" t="s">
        <v>1584</v>
      </c>
      <c r="P2380" s="603"/>
      <c r="Q2380" s="682"/>
      <c r="R2380" s="682"/>
      <c r="S2380" s="682"/>
      <c r="T2380" s="682"/>
      <c r="U2380" s="682"/>
      <c r="V2380" s="682"/>
      <c r="W2380" s="682"/>
    </row>
    <row r="2381" spans="1:23">
      <c r="A2381" s="1045">
        <f t="shared" si="37"/>
        <v>6</v>
      </c>
      <c r="B2381" s="134">
        <v>45453</v>
      </c>
      <c r="C2381" s="70">
        <v>1017</v>
      </c>
      <c r="D2381" s="70" t="s">
        <v>5118</v>
      </c>
      <c r="E2381" s="280" t="s">
        <v>4208</v>
      </c>
      <c r="F2381" s="1049"/>
      <c r="G2381" s="1049">
        <v>353.26</v>
      </c>
      <c r="H2381" s="564"/>
      <c r="I2381" s="609"/>
      <c r="J2381" s="1155"/>
      <c r="K2381" s="609"/>
      <c r="L2381" s="609"/>
      <c r="M2381" s="609"/>
      <c r="N2381" s="599"/>
      <c r="O2381" s="552" t="s">
        <v>1584</v>
      </c>
      <c r="P2381" s="603"/>
      <c r="Q2381" s="682"/>
      <c r="R2381" s="682"/>
      <c r="S2381" s="682"/>
      <c r="T2381" s="682"/>
      <c r="U2381" s="682"/>
      <c r="V2381" s="682"/>
      <c r="W2381" s="682"/>
    </row>
    <row r="2382" spans="1:23">
      <c r="A2382" s="1045">
        <f t="shared" si="37"/>
        <v>6</v>
      </c>
      <c r="B2382" s="134">
        <v>45453</v>
      </c>
      <c r="C2382" s="70">
        <v>1017</v>
      </c>
      <c r="D2382" s="70" t="s">
        <v>5118</v>
      </c>
      <c r="E2382" s="280" t="s">
        <v>4209</v>
      </c>
      <c r="F2382" s="1049"/>
      <c r="G2382" s="1049">
        <v>16.8</v>
      </c>
      <c r="H2382" s="564"/>
      <c r="I2382" s="609"/>
      <c r="J2382" s="1155"/>
      <c r="K2382" s="609"/>
      <c r="L2382" s="609"/>
      <c r="M2382" s="609"/>
      <c r="N2382" s="599"/>
      <c r="O2382" s="552" t="s">
        <v>1584</v>
      </c>
      <c r="P2382" s="603"/>
      <c r="Q2382" s="682"/>
      <c r="R2382" s="682"/>
      <c r="S2382" s="682"/>
      <c r="T2382" s="682"/>
      <c r="U2382" s="682"/>
      <c r="V2382" s="682"/>
      <c r="W2382" s="682"/>
    </row>
    <row r="2383" spans="1:23">
      <c r="A2383" s="1045">
        <f t="shared" si="37"/>
        <v>6</v>
      </c>
      <c r="B2383" s="134">
        <v>45453</v>
      </c>
      <c r="C2383" s="70">
        <v>1017</v>
      </c>
      <c r="D2383" s="70" t="s">
        <v>5118</v>
      </c>
      <c r="E2383" s="280" t="s">
        <v>4210</v>
      </c>
      <c r="F2383" s="1049"/>
      <c r="G2383" s="1049">
        <v>12.6</v>
      </c>
      <c r="H2383" s="564"/>
      <c r="I2383" s="609"/>
      <c r="J2383" s="1155"/>
      <c r="K2383" s="609"/>
      <c r="L2383" s="609"/>
      <c r="M2383" s="609"/>
      <c r="N2383" s="599"/>
      <c r="O2383" s="552" t="s">
        <v>1584</v>
      </c>
      <c r="P2383" s="603"/>
      <c r="Q2383" s="682"/>
      <c r="R2383" s="682"/>
      <c r="S2383" s="682"/>
      <c r="T2383" s="682"/>
      <c r="U2383" s="682"/>
      <c r="V2383" s="682"/>
      <c r="W2383" s="682"/>
    </row>
    <row r="2384" spans="1:23">
      <c r="A2384" s="1045">
        <f t="shared" si="37"/>
        <v>6</v>
      </c>
      <c r="B2384" s="134">
        <v>45453</v>
      </c>
      <c r="C2384" s="70">
        <v>1017</v>
      </c>
      <c r="D2384" s="70" t="s">
        <v>5118</v>
      </c>
      <c r="E2384" s="280" t="s">
        <v>4211</v>
      </c>
      <c r="F2384" s="1049"/>
      <c r="G2384" s="1049">
        <v>57.75</v>
      </c>
      <c r="H2384" s="564"/>
      <c r="I2384" s="609"/>
      <c r="J2384" s="1155"/>
      <c r="K2384" s="609"/>
      <c r="L2384" s="609"/>
      <c r="M2384" s="609"/>
      <c r="N2384" s="599"/>
      <c r="O2384" s="552" t="s">
        <v>1584</v>
      </c>
      <c r="P2384" s="603"/>
      <c r="Q2384" s="682"/>
      <c r="R2384" s="682"/>
      <c r="S2384" s="682"/>
      <c r="T2384" s="682"/>
      <c r="U2384" s="682"/>
      <c r="V2384" s="682"/>
      <c r="W2384" s="682"/>
    </row>
    <row r="2385" spans="1:23">
      <c r="A2385" s="1045">
        <f t="shared" si="37"/>
        <v>6</v>
      </c>
      <c r="B2385" s="134">
        <v>45453</v>
      </c>
      <c r="C2385" s="70">
        <v>1017</v>
      </c>
      <c r="D2385" s="70" t="s">
        <v>5118</v>
      </c>
      <c r="E2385" s="280" t="s">
        <v>4212</v>
      </c>
      <c r="F2385" s="1049"/>
      <c r="G2385" s="1049">
        <v>36.75</v>
      </c>
      <c r="H2385" s="564"/>
      <c r="I2385" s="609"/>
      <c r="J2385" s="1155"/>
      <c r="K2385" s="609"/>
      <c r="L2385" s="609"/>
      <c r="M2385" s="609"/>
      <c r="N2385" s="599"/>
      <c r="O2385" s="552" t="s">
        <v>1584</v>
      </c>
      <c r="P2385" s="603"/>
      <c r="Q2385" s="682"/>
      <c r="R2385" s="682"/>
      <c r="S2385" s="682"/>
      <c r="T2385" s="682"/>
      <c r="U2385" s="682"/>
      <c r="V2385" s="682"/>
      <c r="W2385" s="682"/>
    </row>
    <row r="2386" spans="1:23">
      <c r="A2386" s="1045">
        <f t="shared" si="37"/>
        <v>6</v>
      </c>
      <c r="B2386" s="134">
        <v>45454</v>
      </c>
      <c r="C2386" s="70">
        <v>1017</v>
      </c>
      <c r="D2386" s="70" t="s">
        <v>5118</v>
      </c>
      <c r="E2386" s="280" t="s">
        <v>4213</v>
      </c>
      <c r="F2386" s="1049"/>
      <c r="G2386" s="1049">
        <v>52.5</v>
      </c>
      <c r="H2386" s="564"/>
      <c r="I2386" s="609"/>
      <c r="J2386" s="1155"/>
      <c r="K2386" s="609"/>
      <c r="L2386" s="609"/>
      <c r="M2386" s="609"/>
      <c r="N2386" s="599"/>
      <c r="O2386" s="552" t="s">
        <v>1584</v>
      </c>
      <c r="P2386" s="603"/>
      <c r="Q2386" s="682"/>
      <c r="R2386" s="682"/>
      <c r="S2386" s="682"/>
      <c r="T2386" s="682"/>
      <c r="U2386" s="682"/>
      <c r="V2386" s="682"/>
      <c r="W2386" s="682"/>
    </row>
    <row r="2387" spans="1:23">
      <c r="A2387" s="1045">
        <f t="shared" si="37"/>
        <v>6</v>
      </c>
      <c r="B2387" s="134">
        <v>45454</v>
      </c>
      <c r="C2387" s="70">
        <v>1017</v>
      </c>
      <c r="D2387" s="70" t="s">
        <v>5118</v>
      </c>
      <c r="E2387" s="280" t="s">
        <v>4214</v>
      </c>
      <c r="F2387" s="1049"/>
      <c r="G2387" s="1049">
        <v>2148.56</v>
      </c>
      <c r="H2387" s="564"/>
      <c r="I2387" s="609"/>
      <c r="J2387" s="1155"/>
      <c r="K2387" s="609"/>
      <c r="L2387" s="609"/>
      <c r="M2387" s="609"/>
      <c r="N2387" s="599"/>
      <c r="O2387" s="552" t="s">
        <v>1584</v>
      </c>
      <c r="P2387" s="603"/>
      <c r="Q2387" s="682"/>
      <c r="R2387" s="682"/>
      <c r="S2387" s="682"/>
      <c r="T2387" s="682"/>
      <c r="U2387" s="682"/>
      <c r="V2387" s="682"/>
      <c r="W2387" s="682"/>
    </row>
    <row r="2388" spans="1:23">
      <c r="A2388" s="1045">
        <f t="shared" si="37"/>
        <v>6</v>
      </c>
      <c r="B2388" s="134">
        <v>45454</v>
      </c>
      <c r="C2388" s="70">
        <v>1017</v>
      </c>
      <c r="D2388" s="70" t="s">
        <v>5118</v>
      </c>
      <c r="E2388" s="280" t="s">
        <v>4215</v>
      </c>
      <c r="F2388" s="1049"/>
      <c r="G2388" s="1049">
        <v>39.9</v>
      </c>
      <c r="H2388" s="564"/>
      <c r="I2388" s="609"/>
      <c r="J2388" s="1155"/>
      <c r="K2388" s="609"/>
      <c r="L2388" s="609"/>
      <c r="M2388" s="609"/>
      <c r="N2388" s="599"/>
      <c r="O2388" s="552" t="s">
        <v>1584</v>
      </c>
      <c r="P2388" s="603"/>
      <c r="Q2388" s="682"/>
      <c r="R2388" s="682"/>
      <c r="S2388" s="682"/>
      <c r="T2388" s="682"/>
      <c r="U2388" s="682"/>
      <c r="V2388" s="682"/>
      <c r="W2388" s="682"/>
    </row>
    <row r="2389" spans="1:23">
      <c r="A2389" s="1045">
        <f t="shared" ref="A2389:A2452" si="38">IF(B2389="","",MONTH(B2389))</f>
        <v>6</v>
      </c>
      <c r="B2389" s="134">
        <v>45454</v>
      </c>
      <c r="C2389" s="70">
        <v>1017</v>
      </c>
      <c r="D2389" s="70" t="s">
        <v>5118</v>
      </c>
      <c r="E2389" s="280" t="s">
        <v>4216</v>
      </c>
      <c r="F2389" s="1049"/>
      <c r="G2389" s="1049">
        <v>95</v>
      </c>
      <c r="H2389" s="564"/>
      <c r="I2389" s="609"/>
      <c r="J2389" s="1155"/>
      <c r="K2389" s="609"/>
      <c r="L2389" s="609"/>
      <c r="M2389" s="609"/>
      <c r="N2389" s="599"/>
      <c r="O2389" s="552" t="s">
        <v>1584</v>
      </c>
      <c r="P2389" s="603"/>
      <c r="Q2389" s="682"/>
      <c r="R2389" s="682"/>
      <c r="S2389" s="682"/>
      <c r="T2389" s="682"/>
      <c r="U2389" s="682"/>
      <c r="V2389" s="682"/>
      <c r="W2389" s="682"/>
    </row>
    <row r="2390" spans="1:23">
      <c r="A2390" s="1045">
        <f t="shared" si="38"/>
        <v>6</v>
      </c>
      <c r="B2390" s="134">
        <v>45454</v>
      </c>
      <c r="C2390" s="70">
        <v>1017</v>
      </c>
      <c r="D2390" s="70" t="s">
        <v>5118</v>
      </c>
      <c r="E2390" s="280" t="s">
        <v>4217</v>
      </c>
      <c r="F2390" s="1049"/>
      <c r="G2390" s="1049">
        <v>26.78</v>
      </c>
      <c r="H2390" s="564"/>
      <c r="I2390" s="609"/>
      <c r="J2390" s="1155"/>
      <c r="K2390" s="609"/>
      <c r="L2390" s="609"/>
      <c r="M2390" s="609"/>
      <c r="N2390" s="599"/>
      <c r="O2390" s="552" t="s">
        <v>1584</v>
      </c>
      <c r="P2390" s="603"/>
      <c r="Q2390" s="682"/>
      <c r="R2390" s="682"/>
      <c r="S2390" s="682"/>
      <c r="T2390" s="682"/>
      <c r="U2390" s="682"/>
      <c r="V2390" s="682"/>
      <c r="W2390" s="682"/>
    </row>
    <row r="2391" spans="1:23">
      <c r="A2391" s="1045">
        <f t="shared" si="38"/>
        <v>6</v>
      </c>
      <c r="B2391" s="134">
        <v>45454</v>
      </c>
      <c r="C2391" s="70">
        <v>1017</v>
      </c>
      <c r="D2391" s="70" t="s">
        <v>5118</v>
      </c>
      <c r="E2391" s="280" t="s">
        <v>4218</v>
      </c>
      <c r="F2391" s="1049"/>
      <c r="G2391" s="1049">
        <v>400</v>
      </c>
      <c r="H2391" s="564"/>
      <c r="I2391" s="609"/>
      <c r="J2391" s="1155"/>
      <c r="K2391" s="609"/>
      <c r="L2391" s="609"/>
      <c r="M2391" s="609"/>
      <c r="N2391" s="599"/>
      <c r="O2391" s="552" t="s">
        <v>1584</v>
      </c>
      <c r="P2391" s="603"/>
      <c r="Q2391" s="682"/>
      <c r="R2391" s="682"/>
      <c r="S2391" s="682"/>
      <c r="T2391" s="682"/>
      <c r="U2391" s="682"/>
      <c r="V2391" s="682"/>
      <c r="W2391" s="682"/>
    </row>
    <row r="2392" spans="1:23">
      <c r="A2392" s="1045">
        <f t="shared" si="38"/>
        <v>6</v>
      </c>
      <c r="B2392" s="134">
        <v>45455</v>
      </c>
      <c r="C2392" s="70">
        <v>1017</v>
      </c>
      <c r="D2392" s="70" t="s">
        <v>5118</v>
      </c>
      <c r="E2392" s="280" t="s">
        <v>4219</v>
      </c>
      <c r="F2392" s="1049"/>
      <c r="G2392" s="1049">
        <v>1865.85</v>
      </c>
      <c r="H2392" s="564"/>
      <c r="I2392" s="609"/>
      <c r="J2392" s="1155"/>
      <c r="K2392" s="609"/>
      <c r="L2392" s="609"/>
      <c r="M2392" s="609"/>
      <c r="N2392" s="599"/>
      <c r="O2392" s="552" t="s">
        <v>1584</v>
      </c>
      <c r="P2392" s="603"/>
      <c r="Q2392" s="682"/>
      <c r="R2392" s="682"/>
      <c r="S2392" s="682"/>
      <c r="T2392" s="682"/>
      <c r="U2392" s="682"/>
      <c r="V2392" s="682"/>
      <c r="W2392" s="682"/>
    </row>
    <row r="2393" spans="1:23">
      <c r="A2393" s="1045">
        <f t="shared" si="38"/>
        <v>6</v>
      </c>
      <c r="B2393" s="134">
        <v>45455</v>
      </c>
      <c r="C2393" s="70">
        <v>1017</v>
      </c>
      <c r="D2393" s="70" t="s">
        <v>5118</v>
      </c>
      <c r="E2393" s="280" t="s">
        <v>4220</v>
      </c>
      <c r="F2393" s="1049"/>
      <c r="G2393" s="1049">
        <v>484.65</v>
      </c>
      <c r="H2393" s="564"/>
      <c r="I2393" s="609"/>
      <c r="J2393" s="1155"/>
      <c r="K2393" s="609"/>
      <c r="L2393" s="609"/>
      <c r="M2393" s="609"/>
      <c r="N2393" s="599"/>
      <c r="O2393" s="552" t="s">
        <v>1584</v>
      </c>
      <c r="P2393" s="603"/>
      <c r="Q2393" s="682"/>
      <c r="R2393" s="682"/>
      <c r="S2393" s="682"/>
      <c r="T2393" s="682"/>
      <c r="U2393" s="682"/>
      <c r="V2393" s="682"/>
      <c r="W2393" s="682"/>
    </row>
    <row r="2394" spans="1:23">
      <c r="A2394" s="1045">
        <f t="shared" si="38"/>
        <v>6</v>
      </c>
      <c r="B2394" s="134">
        <v>45455</v>
      </c>
      <c r="C2394" s="70">
        <v>1017</v>
      </c>
      <c r="D2394" s="70" t="s">
        <v>5118</v>
      </c>
      <c r="E2394" s="280" t="s">
        <v>4221</v>
      </c>
      <c r="F2394" s="1049"/>
      <c r="G2394" s="1049">
        <v>55.13</v>
      </c>
      <c r="H2394" s="564"/>
      <c r="I2394" s="609"/>
      <c r="J2394" s="1155"/>
      <c r="K2394" s="609"/>
      <c r="L2394" s="609"/>
      <c r="M2394" s="609"/>
      <c r="N2394" s="599"/>
      <c r="O2394" s="552" t="s">
        <v>1584</v>
      </c>
      <c r="P2394" s="603"/>
      <c r="Q2394" s="682"/>
      <c r="R2394" s="682"/>
      <c r="S2394" s="682"/>
      <c r="T2394" s="682"/>
      <c r="U2394" s="682"/>
      <c r="V2394" s="682"/>
      <c r="W2394" s="682"/>
    </row>
    <row r="2395" spans="1:23">
      <c r="A2395" s="1045">
        <f t="shared" si="38"/>
        <v>6</v>
      </c>
      <c r="B2395" s="134">
        <v>45455</v>
      </c>
      <c r="C2395" s="70">
        <v>1017</v>
      </c>
      <c r="D2395" s="70" t="s">
        <v>5118</v>
      </c>
      <c r="E2395" s="280" t="s">
        <v>4222</v>
      </c>
      <c r="F2395" s="1049"/>
      <c r="G2395" s="1049">
        <v>3990</v>
      </c>
      <c r="H2395" s="564"/>
      <c r="I2395" s="609"/>
      <c r="J2395" s="1155"/>
      <c r="K2395" s="609"/>
      <c r="L2395" s="609"/>
      <c r="M2395" s="609"/>
      <c r="N2395" s="599"/>
      <c r="O2395" s="552" t="s">
        <v>1584</v>
      </c>
      <c r="P2395" s="603"/>
      <c r="Q2395" s="682"/>
      <c r="R2395" s="682"/>
      <c r="S2395" s="682"/>
      <c r="T2395" s="682"/>
      <c r="U2395" s="682"/>
      <c r="V2395" s="682"/>
      <c r="W2395" s="682"/>
    </row>
    <row r="2396" spans="1:23">
      <c r="A2396" s="1045">
        <f t="shared" si="38"/>
        <v>6</v>
      </c>
      <c r="B2396" s="134">
        <v>45455</v>
      </c>
      <c r="C2396" s="70">
        <v>1017</v>
      </c>
      <c r="D2396" s="70" t="s">
        <v>5118</v>
      </c>
      <c r="E2396" s="280" t="s">
        <v>4223</v>
      </c>
      <c r="F2396" s="1049"/>
      <c r="G2396" s="1049">
        <v>73.5</v>
      </c>
      <c r="H2396" s="564"/>
      <c r="I2396" s="609"/>
      <c r="J2396" s="1155"/>
      <c r="K2396" s="609"/>
      <c r="L2396" s="609"/>
      <c r="M2396" s="609"/>
      <c r="N2396" s="599"/>
      <c r="O2396" s="552" t="s">
        <v>1584</v>
      </c>
      <c r="P2396" s="603"/>
      <c r="Q2396" s="682"/>
      <c r="R2396" s="682"/>
      <c r="S2396" s="682"/>
      <c r="T2396" s="682"/>
      <c r="U2396" s="682"/>
      <c r="V2396" s="682"/>
      <c r="W2396" s="682"/>
    </row>
    <row r="2397" spans="1:23">
      <c r="A2397" s="1045">
        <f t="shared" si="38"/>
        <v>6</v>
      </c>
      <c r="B2397" s="134">
        <v>45456</v>
      </c>
      <c r="C2397" s="70">
        <v>1017</v>
      </c>
      <c r="D2397" s="70" t="s">
        <v>5118</v>
      </c>
      <c r="E2397" s="280" t="s">
        <v>4224</v>
      </c>
      <c r="F2397" s="1049"/>
      <c r="G2397" s="1049">
        <v>30</v>
      </c>
      <c r="H2397" s="564"/>
      <c r="I2397" s="609"/>
      <c r="J2397" s="1155"/>
      <c r="K2397" s="609"/>
      <c r="L2397" s="609"/>
      <c r="M2397" s="609"/>
      <c r="N2397" s="599"/>
      <c r="O2397" s="552" t="s">
        <v>1584</v>
      </c>
      <c r="P2397" s="603"/>
      <c r="Q2397" s="682"/>
      <c r="R2397" s="682"/>
      <c r="S2397" s="682"/>
      <c r="T2397" s="682"/>
      <c r="U2397" s="682"/>
      <c r="V2397" s="682"/>
      <c r="W2397" s="682"/>
    </row>
    <row r="2398" spans="1:23">
      <c r="A2398" s="1045">
        <f t="shared" si="38"/>
        <v>6</v>
      </c>
      <c r="B2398" s="134">
        <v>45456</v>
      </c>
      <c r="C2398" s="70">
        <v>1017</v>
      </c>
      <c r="D2398" s="70" t="s">
        <v>5118</v>
      </c>
      <c r="E2398" s="280" t="s">
        <v>4225</v>
      </c>
      <c r="F2398" s="1049"/>
      <c r="G2398" s="1049">
        <v>203.7</v>
      </c>
      <c r="H2398" s="564"/>
      <c r="I2398" s="609"/>
      <c r="J2398" s="1155"/>
      <c r="K2398" s="609"/>
      <c r="L2398" s="609"/>
      <c r="M2398" s="609"/>
      <c r="N2398" s="599"/>
      <c r="O2398" s="552" t="s">
        <v>1584</v>
      </c>
      <c r="P2398" s="603"/>
      <c r="Q2398" s="682"/>
      <c r="R2398" s="682"/>
      <c r="S2398" s="682"/>
      <c r="T2398" s="682"/>
      <c r="U2398" s="682"/>
      <c r="V2398" s="682"/>
      <c r="W2398" s="682"/>
    </row>
    <row r="2399" spans="1:23">
      <c r="A2399" s="1045">
        <f t="shared" si="38"/>
        <v>6</v>
      </c>
      <c r="B2399" s="134">
        <v>45456</v>
      </c>
      <c r="C2399" s="70">
        <v>1017</v>
      </c>
      <c r="D2399" s="70" t="s">
        <v>5118</v>
      </c>
      <c r="E2399" s="280" t="s">
        <v>4226</v>
      </c>
      <c r="F2399" s="1049"/>
      <c r="G2399" s="1049">
        <v>5</v>
      </c>
      <c r="H2399" s="564"/>
      <c r="I2399" s="609"/>
      <c r="J2399" s="1155"/>
      <c r="K2399" s="609"/>
      <c r="L2399" s="609"/>
      <c r="M2399" s="609"/>
      <c r="N2399" s="599"/>
      <c r="O2399" s="552" t="s">
        <v>1584</v>
      </c>
      <c r="P2399" s="603"/>
      <c r="Q2399" s="682"/>
      <c r="R2399" s="682"/>
      <c r="S2399" s="682"/>
      <c r="T2399" s="682"/>
      <c r="U2399" s="682"/>
      <c r="V2399" s="682"/>
      <c r="W2399" s="682"/>
    </row>
    <row r="2400" spans="1:23">
      <c r="A2400" s="1045">
        <f t="shared" si="38"/>
        <v>6</v>
      </c>
      <c r="B2400" s="134">
        <v>45456</v>
      </c>
      <c r="C2400" s="70">
        <v>1017</v>
      </c>
      <c r="D2400" s="70" t="s">
        <v>5118</v>
      </c>
      <c r="E2400" s="280" t="s">
        <v>4227</v>
      </c>
      <c r="F2400" s="1049"/>
      <c r="G2400" s="1049">
        <v>20</v>
      </c>
      <c r="H2400" s="564"/>
      <c r="I2400" s="609"/>
      <c r="J2400" s="1155"/>
      <c r="K2400" s="609"/>
      <c r="L2400" s="609"/>
      <c r="M2400" s="609"/>
      <c r="N2400" s="599"/>
      <c r="O2400" s="552" t="s">
        <v>1584</v>
      </c>
      <c r="P2400" s="603"/>
      <c r="Q2400" s="682"/>
      <c r="R2400" s="682"/>
      <c r="S2400" s="682"/>
      <c r="T2400" s="682"/>
      <c r="U2400" s="682"/>
      <c r="V2400" s="682"/>
      <c r="W2400" s="682"/>
    </row>
    <row r="2401" spans="1:23">
      <c r="A2401" s="1045">
        <f t="shared" si="38"/>
        <v>6</v>
      </c>
      <c r="B2401" s="134">
        <v>45457</v>
      </c>
      <c r="C2401" s="70">
        <v>1017</v>
      </c>
      <c r="D2401" s="70" t="s">
        <v>5118</v>
      </c>
      <c r="E2401" s="280" t="s">
        <v>4228</v>
      </c>
      <c r="F2401" s="1049"/>
      <c r="G2401" s="1049">
        <v>1937.25</v>
      </c>
      <c r="H2401" s="564"/>
      <c r="I2401" s="609"/>
      <c r="J2401" s="1155"/>
      <c r="K2401" s="609"/>
      <c r="L2401" s="609"/>
      <c r="M2401" s="609"/>
      <c r="N2401" s="599"/>
      <c r="O2401" s="552" t="s">
        <v>1584</v>
      </c>
      <c r="P2401" s="603"/>
      <c r="Q2401" s="682"/>
      <c r="R2401" s="682"/>
      <c r="S2401" s="682"/>
      <c r="T2401" s="682"/>
      <c r="U2401" s="682"/>
      <c r="V2401" s="682"/>
      <c r="W2401" s="682"/>
    </row>
    <row r="2402" spans="1:23">
      <c r="A2402" s="1045">
        <f t="shared" si="38"/>
        <v>6</v>
      </c>
      <c r="B2402" s="134">
        <v>45457</v>
      </c>
      <c r="C2402" s="70">
        <v>1017</v>
      </c>
      <c r="D2402" s="70" t="s">
        <v>5118</v>
      </c>
      <c r="E2402" s="280" t="s">
        <v>4229</v>
      </c>
      <c r="F2402" s="1049"/>
      <c r="G2402" s="1049">
        <v>899.95</v>
      </c>
      <c r="H2402" s="564"/>
      <c r="I2402" s="609"/>
      <c r="J2402" s="1155"/>
      <c r="K2402" s="609"/>
      <c r="L2402" s="609"/>
      <c r="M2402" s="609"/>
      <c r="N2402" s="599"/>
      <c r="O2402" s="552" t="s">
        <v>1584</v>
      </c>
      <c r="P2402" s="603"/>
      <c r="Q2402" s="682"/>
      <c r="R2402" s="682"/>
      <c r="S2402" s="682"/>
      <c r="T2402" s="682"/>
      <c r="U2402" s="682"/>
      <c r="V2402" s="682"/>
      <c r="W2402" s="682"/>
    </row>
    <row r="2403" spans="1:23">
      <c r="A2403" s="1045">
        <f t="shared" si="38"/>
        <v>6</v>
      </c>
      <c r="B2403" s="134">
        <v>45457</v>
      </c>
      <c r="C2403" s="70">
        <v>1017</v>
      </c>
      <c r="D2403" s="70" t="s">
        <v>5118</v>
      </c>
      <c r="E2403" s="280" t="s">
        <v>4230</v>
      </c>
      <c r="F2403" s="1049"/>
      <c r="G2403" s="1049">
        <v>16</v>
      </c>
      <c r="H2403" s="564"/>
      <c r="I2403" s="609"/>
      <c r="J2403" s="1155"/>
      <c r="K2403" s="609"/>
      <c r="L2403" s="609"/>
      <c r="M2403" s="609"/>
      <c r="N2403" s="599"/>
      <c r="O2403" s="552" t="s">
        <v>1584</v>
      </c>
      <c r="P2403" s="603"/>
      <c r="Q2403" s="682"/>
      <c r="R2403" s="682"/>
      <c r="S2403" s="682"/>
      <c r="T2403" s="682"/>
      <c r="U2403" s="682"/>
      <c r="V2403" s="682"/>
      <c r="W2403" s="682"/>
    </row>
    <row r="2404" spans="1:23">
      <c r="A2404" s="1045">
        <f t="shared" si="38"/>
        <v>6</v>
      </c>
      <c r="B2404" s="134">
        <v>45458</v>
      </c>
      <c r="C2404" s="70">
        <v>1022</v>
      </c>
      <c r="D2404" s="70" t="s">
        <v>5119</v>
      </c>
      <c r="E2404" s="280" t="s">
        <v>4231</v>
      </c>
      <c r="F2404" s="1049"/>
      <c r="G2404" s="1049">
        <v>33968</v>
      </c>
      <c r="H2404" s="564"/>
      <c r="I2404" s="609"/>
      <c r="J2404" s="1155"/>
      <c r="K2404" s="609"/>
      <c r="L2404" s="609"/>
      <c r="M2404" s="609"/>
      <c r="N2404" s="599"/>
      <c r="O2404" s="552" t="s">
        <v>1584</v>
      </c>
      <c r="P2404" s="603"/>
      <c r="Q2404" s="682"/>
      <c r="R2404" s="682"/>
      <c r="S2404" s="682"/>
      <c r="T2404" s="682"/>
      <c r="U2404" s="682"/>
      <c r="V2404" s="682"/>
      <c r="W2404" s="682"/>
    </row>
    <row r="2405" spans="1:23">
      <c r="A2405" s="1045">
        <f t="shared" si="38"/>
        <v>6</v>
      </c>
      <c r="B2405" s="134">
        <v>45458</v>
      </c>
      <c r="C2405" s="70">
        <v>1017</v>
      </c>
      <c r="D2405" s="70" t="s">
        <v>5118</v>
      </c>
      <c r="E2405" s="280" t="s">
        <v>4232</v>
      </c>
      <c r="F2405" s="1049"/>
      <c r="G2405" s="1049">
        <v>36.75</v>
      </c>
      <c r="H2405" s="564"/>
      <c r="I2405" s="609"/>
      <c r="J2405" s="1155"/>
      <c r="K2405" s="609"/>
      <c r="L2405" s="609"/>
      <c r="M2405" s="609"/>
      <c r="N2405" s="599"/>
      <c r="O2405" s="552" t="s">
        <v>1584</v>
      </c>
      <c r="P2405" s="603"/>
      <c r="Q2405" s="682"/>
      <c r="R2405" s="682"/>
      <c r="S2405" s="682"/>
      <c r="T2405" s="682"/>
      <c r="U2405" s="682"/>
      <c r="V2405" s="682"/>
      <c r="W2405" s="682"/>
    </row>
    <row r="2406" spans="1:23">
      <c r="A2406" s="1045">
        <f t="shared" si="38"/>
        <v>6</v>
      </c>
      <c r="B2406" s="134">
        <v>45460</v>
      </c>
      <c r="C2406" s="70">
        <v>1017</v>
      </c>
      <c r="D2406" s="70" t="s">
        <v>5118</v>
      </c>
      <c r="E2406" s="280" t="s">
        <v>4233</v>
      </c>
      <c r="F2406" s="1049"/>
      <c r="G2406" s="1049">
        <v>37</v>
      </c>
      <c r="H2406" s="564"/>
      <c r="I2406" s="609"/>
      <c r="J2406" s="1155"/>
      <c r="K2406" s="609"/>
      <c r="L2406" s="609"/>
      <c r="M2406" s="609"/>
      <c r="N2406" s="599"/>
      <c r="O2406" s="552" t="s">
        <v>1584</v>
      </c>
      <c r="P2406" s="603"/>
      <c r="Q2406" s="682"/>
      <c r="R2406" s="682"/>
      <c r="S2406" s="682"/>
      <c r="T2406" s="682"/>
      <c r="U2406" s="682"/>
      <c r="V2406" s="682"/>
      <c r="W2406" s="682"/>
    </row>
    <row r="2407" spans="1:23">
      <c r="A2407" s="1045">
        <f t="shared" si="38"/>
        <v>6</v>
      </c>
      <c r="B2407" s="134">
        <v>45461</v>
      </c>
      <c r="C2407" s="70">
        <v>1017</v>
      </c>
      <c r="D2407" s="70" t="s">
        <v>5118</v>
      </c>
      <c r="E2407" s="280" t="s">
        <v>4234</v>
      </c>
      <c r="F2407" s="1049"/>
      <c r="G2407" s="1049">
        <v>46.25</v>
      </c>
      <c r="H2407" s="564"/>
      <c r="I2407" s="609"/>
      <c r="J2407" s="1155"/>
      <c r="K2407" s="609"/>
      <c r="L2407" s="609"/>
      <c r="M2407" s="609"/>
      <c r="N2407" s="599"/>
      <c r="O2407" s="552" t="s">
        <v>1584</v>
      </c>
      <c r="P2407" s="603"/>
      <c r="Q2407" s="682"/>
      <c r="R2407" s="682"/>
      <c r="S2407" s="682"/>
      <c r="T2407" s="682"/>
      <c r="U2407" s="682"/>
      <c r="V2407" s="682"/>
      <c r="W2407" s="682"/>
    </row>
    <row r="2408" spans="1:23">
      <c r="A2408" s="1045">
        <f t="shared" si="38"/>
        <v>6</v>
      </c>
      <c r="B2408" s="134">
        <v>45461</v>
      </c>
      <c r="C2408" s="70">
        <v>1017</v>
      </c>
      <c r="D2408" s="70" t="s">
        <v>5118</v>
      </c>
      <c r="E2408" s="280" t="s">
        <v>4235</v>
      </c>
      <c r="F2408" s="1049"/>
      <c r="G2408" s="1049">
        <v>234.75</v>
      </c>
      <c r="H2408" s="564"/>
      <c r="I2408" s="609"/>
      <c r="J2408" s="1155"/>
      <c r="K2408" s="609"/>
      <c r="L2408" s="609"/>
      <c r="M2408" s="609"/>
      <c r="N2408" s="599"/>
      <c r="O2408" s="552" t="s">
        <v>1584</v>
      </c>
      <c r="P2408" s="603"/>
      <c r="Q2408" s="682"/>
      <c r="R2408" s="682"/>
      <c r="S2408" s="682"/>
      <c r="T2408" s="682"/>
      <c r="U2408" s="682"/>
      <c r="V2408" s="682"/>
      <c r="W2408" s="682"/>
    </row>
    <row r="2409" spans="1:23">
      <c r="A2409" s="1045">
        <f t="shared" si="38"/>
        <v>6</v>
      </c>
      <c r="B2409" s="134">
        <v>45461</v>
      </c>
      <c r="C2409" s="70">
        <v>1017</v>
      </c>
      <c r="D2409" s="70" t="s">
        <v>5118</v>
      </c>
      <c r="E2409" s="280" t="s">
        <v>4236</v>
      </c>
      <c r="F2409" s="1049"/>
      <c r="G2409" s="1049">
        <v>298.97000000000003</v>
      </c>
      <c r="H2409" s="564"/>
      <c r="I2409" s="609"/>
      <c r="J2409" s="1155"/>
      <c r="K2409" s="609"/>
      <c r="L2409" s="609"/>
      <c r="M2409" s="609"/>
      <c r="N2409" s="599"/>
      <c r="O2409" s="552" t="s">
        <v>1584</v>
      </c>
      <c r="P2409" s="603"/>
      <c r="Q2409" s="682"/>
      <c r="R2409" s="682"/>
      <c r="S2409" s="682"/>
      <c r="T2409" s="682"/>
      <c r="U2409" s="682"/>
      <c r="V2409" s="682"/>
      <c r="W2409" s="682"/>
    </row>
    <row r="2410" spans="1:23">
      <c r="A2410" s="1045">
        <f t="shared" si="38"/>
        <v>6</v>
      </c>
      <c r="B2410" s="134">
        <v>45461</v>
      </c>
      <c r="C2410" s="70">
        <v>1017</v>
      </c>
      <c r="D2410" s="70" t="s">
        <v>5118</v>
      </c>
      <c r="E2410" s="280" t="s">
        <v>4237</v>
      </c>
      <c r="F2410" s="1049"/>
      <c r="G2410" s="1049">
        <v>4.5</v>
      </c>
      <c r="H2410" s="564"/>
      <c r="I2410" s="609"/>
      <c r="J2410" s="1155"/>
      <c r="K2410" s="609"/>
      <c r="L2410" s="609"/>
      <c r="M2410" s="609"/>
      <c r="N2410" s="599"/>
      <c r="O2410" s="552" t="s">
        <v>1584</v>
      </c>
      <c r="P2410" s="603"/>
      <c r="Q2410" s="682"/>
      <c r="R2410" s="682"/>
      <c r="S2410" s="682"/>
      <c r="T2410" s="682"/>
      <c r="U2410" s="682"/>
      <c r="V2410" s="682"/>
      <c r="W2410" s="682"/>
    </row>
    <row r="2411" spans="1:23">
      <c r="A2411" s="1045">
        <f t="shared" si="38"/>
        <v>6</v>
      </c>
      <c r="B2411" s="134">
        <v>45462</v>
      </c>
      <c r="C2411" s="70">
        <v>1017</v>
      </c>
      <c r="D2411" s="70" t="s">
        <v>5118</v>
      </c>
      <c r="E2411" s="280" t="s">
        <v>4238</v>
      </c>
      <c r="F2411" s="1049"/>
      <c r="G2411" s="1049">
        <v>220.5</v>
      </c>
      <c r="H2411" s="564"/>
      <c r="I2411" s="609"/>
      <c r="J2411" s="1155"/>
      <c r="K2411" s="609"/>
      <c r="L2411" s="609"/>
      <c r="M2411" s="609"/>
      <c r="N2411" s="599"/>
      <c r="O2411" s="552" t="s">
        <v>1584</v>
      </c>
      <c r="P2411" s="603"/>
      <c r="Q2411" s="682"/>
      <c r="R2411" s="682"/>
      <c r="S2411" s="682"/>
      <c r="T2411" s="682"/>
      <c r="U2411" s="682"/>
      <c r="V2411" s="682"/>
      <c r="W2411" s="682"/>
    </row>
    <row r="2412" spans="1:23">
      <c r="A2412" s="1045">
        <f t="shared" si="38"/>
        <v>6</v>
      </c>
      <c r="B2412" s="134">
        <v>45462</v>
      </c>
      <c r="C2412" s="70">
        <v>1017</v>
      </c>
      <c r="D2412" s="70" t="s">
        <v>5118</v>
      </c>
      <c r="E2412" s="280" t="s">
        <v>4239</v>
      </c>
      <c r="F2412" s="1049"/>
      <c r="G2412" s="1049">
        <v>85.05</v>
      </c>
      <c r="H2412" s="564"/>
      <c r="I2412" s="609"/>
      <c r="J2412" s="1155"/>
      <c r="K2412" s="609"/>
      <c r="L2412" s="609"/>
      <c r="M2412" s="609"/>
      <c r="N2412" s="599"/>
      <c r="O2412" s="552" t="s">
        <v>1584</v>
      </c>
      <c r="P2412" s="603"/>
      <c r="Q2412" s="682"/>
      <c r="R2412" s="682"/>
      <c r="S2412" s="682"/>
      <c r="T2412" s="682"/>
      <c r="U2412" s="682"/>
      <c r="V2412" s="682"/>
      <c r="W2412" s="682"/>
    </row>
    <row r="2413" spans="1:23">
      <c r="A2413" s="1045">
        <f t="shared" si="38"/>
        <v>6</v>
      </c>
      <c r="B2413" s="134">
        <v>45462</v>
      </c>
      <c r="C2413" s="70">
        <v>1017</v>
      </c>
      <c r="D2413" s="70" t="s">
        <v>5118</v>
      </c>
      <c r="E2413" s="280" t="s">
        <v>4240</v>
      </c>
      <c r="F2413" s="1049"/>
      <c r="G2413" s="1049">
        <v>12.6</v>
      </c>
      <c r="H2413" s="564"/>
      <c r="I2413" s="609"/>
      <c r="J2413" s="1155"/>
      <c r="K2413" s="609"/>
      <c r="L2413" s="609"/>
      <c r="M2413" s="609"/>
      <c r="N2413" s="599"/>
      <c r="O2413" s="552" t="s">
        <v>1584</v>
      </c>
      <c r="P2413" s="603"/>
      <c r="Q2413" s="682"/>
      <c r="R2413" s="682"/>
      <c r="S2413" s="682"/>
      <c r="T2413" s="682"/>
      <c r="U2413" s="682"/>
      <c r="V2413" s="682"/>
      <c r="W2413" s="682"/>
    </row>
    <row r="2414" spans="1:23">
      <c r="A2414" s="1045">
        <f t="shared" si="38"/>
        <v>6</v>
      </c>
      <c r="B2414" s="134">
        <v>45463</v>
      </c>
      <c r="C2414" s="70">
        <v>1017</v>
      </c>
      <c r="D2414" s="70" t="s">
        <v>5118</v>
      </c>
      <c r="E2414" s="280" t="s">
        <v>4241</v>
      </c>
      <c r="F2414" s="1049"/>
      <c r="G2414" s="1049">
        <v>882</v>
      </c>
      <c r="H2414" s="564"/>
      <c r="I2414" s="609"/>
      <c r="J2414" s="1155"/>
      <c r="K2414" s="609"/>
      <c r="L2414" s="609"/>
      <c r="M2414" s="609"/>
      <c r="N2414" s="599"/>
      <c r="O2414" s="552" t="s">
        <v>1584</v>
      </c>
      <c r="P2414" s="603"/>
      <c r="Q2414" s="682"/>
      <c r="R2414" s="682"/>
      <c r="S2414" s="682"/>
      <c r="T2414" s="682"/>
      <c r="U2414" s="682"/>
      <c r="V2414" s="682"/>
      <c r="W2414" s="682"/>
    </row>
    <row r="2415" spans="1:23">
      <c r="A2415" s="1045">
        <f t="shared" si="38"/>
        <v>6</v>
      </c>
      <c r="B2415" s="134">
        <v>45463</v>
      </c>
      <c r="C2415" s="70">
        <v>1017</v>
      </c>
      <c r="D2415" s="70" t="s">
        <v>5118</v>
      </c>
      <c r="E2415" s="280" t="s">
        <v>4242</v>
      </c>
      <c r="F2415" s="1049"/>
      <c r="G2415" s="1049">
        <v>200</v>
      </c>
      <c r="H2415" s="564"/>
      <c r="I2415" s="609"/>
      <c r="J2415" s="1155"/>
      <c r="K2415" s="609"/>
      <c r="L2415" s="609"/>
      <c r="M2415" s="609"/>
      <c r="N2415" s="599"/>
      <c r="O2415" s="552" t="s">
        <v>1584</v>
      </c>
      <c r="P2415" s="603"/>
      <c r="Q2415" s="682"/>
      <c r="R2415" s="682"/>
      <c r="S2415" s="682"/>
      <c r="T2415" s="682"/>
      <c r="U2415" s="682"/>
      <c r="V2415" s="682"/>
      <c r="W2415" s="682"/>
    </row>
    <row r="2416" spans="1:23">
      <c r="A2416" s="1045">
        <f t="shared" si="38"/>
        <v>6</v>
      </c>
      <c r="B2416" s="134">
        <v>45464</v>
      </c>
      <c r="C2416" s="70">
        <v>1017</v>
      </c>
      <c r="D2416" s="70" t="s">
        <v>5118</v>
      </c>
      <c r="E2416" s="280" t="s">
        <v>4243</v>
      </c>
      <c r="F2416" s="1049"/>
      <c r="G2416" s="1049">
        <v>3207.44</v>
      </c>
      <c r="H2416" s="564"/>
      <c r="I2416" s="609"/>
      <c r="J2416" s="1155"/>
      <c r="K2416" s="609"/>
      <c r="L2416" s="609"/>
      <c r="M2416" s="609"/>
      <c r="N2416" s="599"/>
      <c r="O2416" s="552" t="s">
        <v>1584</v>
      </c>
      <c r="P2416" s="603"/>
      <c r="Q2416" s="682"/>
      <c r="R2416" s="682"/>
      <c r="S2416" s="682"/>
      <c r="T2416" s="682"/>
      <c r="U2416" s="682"/>
      <c r="V2416" s="682"/>
      <c r="W2416" s="682"/>
    </row>
    <row r="2417" spans="1:23">
      <c r="A2417" s="1045">
        <f t="shared" si="38"/>
        <v>6</v>
      </c>
      <c r="B2417" s="134">
        <v>45464</v>
      </c>
      <c r="C2417" s="70">
        <v>1017</v>
      </c>
      <c r="D2417" s="70" t="s">
        <v>5118</v>
      </c>
      <c r="E2417" s="280" t="s">
        <v>4244</v>
      </c>
      <c r="F2417" s="1049"/>
      <c r="G2417" s="1049">
        <v>702.45</v>
      </c>
      <c r="H2417" s="564"/>
      <c r="I2417" s="609"/>
      <c r="J2417" s="1155"/>
      <c r="K2417" s="609"/>
      <c r="L2417" s="609"/>
      <c r="M2417" s="609"/>
      <c r="N2417" s="599"/>
      <c r="O2417" s="552" t="s">
        <v>1584</v>
      </c>
      <c r="P2417" s="603"/>
      <c r="Q2417" s="682"/>
      <c r="R2417" s="682"/>
      <c r="S2417" s="682"/>
      <c r="T2417" s="682"/>
      <c r="U2417" s="682"/>
      <c r="V2417" s="682"/>
      <c r="W2417" s="682"/>
    </row>
    <row r="2418" spans="1:23">
      <c r="A2418" s="1045">
        <f t="shared" si="38"/>
        <v>6</v>
      </c>
      <c r="B2418" s="134">
        <v>45464</v>
      </c>
      <c r="C2418" s="70">
        <v>1017</v>
      </c>
      <c r="D2418" s="70" t="s">
        <v>5118</v>
      </c>
      <c r="E2418" s="280" t="s">
        <v>4245</v>
      </c>
      <c r="F2418" s="1049"/>
      <c r="G2418" s="1049">
        <v>1573.16</v>
      </c>
      <c r="H2418" s="564"/>
      <c r="I2418" s="609"/>
      <c r="J2418" s="1155"/>
      <c r="K2418" s="609"/>
      <c r="L2418" s="609"/>
      <c r="M2418" s="609"/>
      <c r="N2418" s="599"/>
      <c r="O2418" s="552" t="s">
        <v>1584</v>
      </c>
      <c r="P2418" s="603"/>
      <c r="Q2418" s="682"/>
      <c r="R2418" s="682"/>
      <c r="S2418" s="682"/>
      <c r="T2418" s="682"/>
      <c r="U2418" s="682"/>
      <c r="V2418" s="682"/>
      <c r="W2418" s="682"/>
    </row>
    <row r="2419" spans="1:23">
      <c r="A2419" s="1045">
        <f t="shared" si="38"/>
        <v>6</v>
      </c>
      <c r="B2419" s="134">
        <v>45465</v>
      </c>
      <c r="C2419" s="70">
        <v>1017</v>
      </c>
      <c r="D2419" s="70" t="s">
        <v>5118</v>
      </c>
      <c r="E2419" s="280" t="s">
        <v>4246</v>
      </c>
      <c r="F2419" s="1049"/>
      <c r="G2419" s="1049">
        <v>123.05</v>
      </c>
      <c r="H2419" s="564"/>
      <c r="I2419" s="609"/>
      <c r="J2419" s="1155"/>
      <c r="K2419" s="609"/>
      <c r="L2419" s="609"/>
      <c r="M2419" s="609"/>
      <c r="N2419" s="599"/>
      <c r="O2419" s="552" t="s">
        <v>1584</v>
      </c>
      <c r="P2419" s="603"/>
      <c r="Q2419" s="682"/>
      <c r="R2419" s="682"/>
      <c r="S2419" s="682"/>
      <c r="T2419" s="682"/>
      <c r="U2419" s="682"/>
      <c r="V2419" s="682"/>
      <c r="W2419" s="682"/>
    </row>
    <row r="2420" spans="1:23">
      <c r="A2420" s="1045">
        <f t="shared" si="38"/>
        <v>6</v>
      </c>
      <c r="B2420" s="134">
        <v>45465</v>
      </c>
      <c r="C2420" s="70">
        <v>1017</v>
      </c>
      <c r="D2420" s="70" t="s">
        <v>5118</v>
      </c>
      <c r="E2420" s="280" t="s">
        <v>4247</v>
      </c>
      <c r="F2420" s="1049"/>
      <c r="G2420" s="1049">
        <v>528.57000000000005</v>
      </c>
      <c r="H2420" s="564"/>
      <c r="I2420" s="609"/>
      <c r="J2420" s="1155"/>
      <c r="K2420" s="609"/>
      <c r="L2420" s="609"/>
      <c r="M2420" s="609"/>
      <c r="N2420" s="599"/>
      <c r="O2420" s="552" t="s">
        <v>1584</v>
      </c>
      <c r="P2420" s="603"/>
      <c r="Q2420" s="682"/>
      <c r="R2420" s="682"/>
      <c r="S2420" s="682"/>
      <c r="T2420" s="682"/>
      <c r="U2420" s="682"/>
      <c r="V2420" s="682"/>
      <c r="W2420" s="682"/>
    </row>
    <row r="2421" spans="1:23">
      <c r="A2421" s="1045">
        <f t="shared" si="38"/>
        <v>6</v>
      </c>
      <c r="B2421" s="134">
        <v>45465</v>
      </c>
      <c r="C2421" s="70">
        <v>1017</v>
      </c>
      <c r="D2421" s="70" t="s">
        <v>5118</v>
      </c>
      <c r="E2421" s="280" t="s">
        <v>4248</v>
      </c>
      <c r="F2421" s="1049"/>
      <c r="G2421" s="1049">
        <v>75.010000000000005</v>
      </c>
      <c r="H2421" s="564"/>
      <c r="I2421" s="609"/>
      <c r="J2421" s="1155"/>
      <c r="K2421" s="609"/>
      <c r="L2421" s="609"/>
      <c r="M2421" s="609"/>
      <c r="N2421" s="599"/>
      <c r="O2421" s="552" t="s">
        <v>1584</v>
      </c>
      <c r="P2421" s="603"/>
      <c r="Q2421" s="682"/>
      <c r="R2421" s="682"/>
      <c r="S2421" s="682"/>
      <c r="T2421" s="682"/>
      <c r="U2421" s="682"/>
      <c r="V2421" s="682"/>
      <c r="W2421" s="682"/>
    </row>
    <row r="2422" spans="1:23">
      <c r="A2422" s="1045">
        <f t="shared" si="38"/>
        <v>6</v>
      </c>
      <c r="B2422" s="134">
        <v>45465</v>
      </c>
      <c r="C2422" s="70">
        <v>1017</v>
      </c>
      <c r="D2422" s="70" t="s">
        <v>5118</v>
      </c>
      <c r="E2422" s="280" t="s">
        <v>4249</v>
      </c>
      <c r="F2422" s="1049"/>
      <c r="G2422" s="1049">
        <v>12.6</v>
      </c>
      <c r="H2422" s="564"/>
      <c r="I2422" s="609"/>
      <c r="J2422" s="1155"/>
      <c r="K2422" s="609"/>
      <c r="L2422" s="609"/>
      <c r="M2422" s="609"/>
      <c r="N2422" s="599"/>
      <c r="O2422" s="552" t="s">
        <v>1584</v>
      </c>
      <c r="P2422" s="603"/>
      <c r="Q2422" s="682"/>
      <c r="R2422" s="682"/>
      <c r="S2422" s="682"/>
      <c r="T2422" s="682"/>
      <c r="U2422" s="682"/>
      <c r="V2422" s="682"/>
      <c r="W2422" s="682"/>
    </row>
    <row r="2423" spans="1:23">
      <c r="A2423" s="1045">
        <f t="shared" si="38"/>
        <v>6</v>
      </c>
      <c r="B2423" s="134">
        <v>45465</v>
      </c>
      <c r="C2423" s="70">
        <v>1017</v>
      </c>
      <c r="D2423" s="70" t="s">
        <v>5118</v>
      </c>
      <c r="E2423" s="280" t="s">
        <v>4250</v>
      </c>
      <c r="F2423" s="1049"/>
      <c r="G2423" s="1049">
        <v>928.75</v>
      </c>
      <c r="H2423" s="564"/>
      <c r="I2423" s="609"/>
      <c r="J2423" s="1155"/>
      <c r="K2423" s="609"/>
      <c r="L2423" s="609"/>
      <c r="M2423" s="609"/>
      <c r="N2423" s="599"/>
      <c r="O2423" s="552" t="s">
        <v>1584</v>
      </c>
      <c r="P2423" s="603"/>
      <c r="Q2423" s="682"/>
      <c r="R2423" s="682"/>
      <c r="S2423" s="682"/>
      <c r="T2423" s="682"/>
      <c r="U2423" s="682"/>
      <c r="V2423" s="682"/>
      <c r="W2423" s="682"/>
    </row>
    <row r="2424" spans="1:23">
      <c r="A2424" s="1045">
        <f t="shared" si="38"/>
        <v>6</v>
      </c>
      <c r="B2424" s="134">
        <v>45465</v>
      </c>
      <c r="C2424" s="70">
        <v>1017</v>
      </c>
      <c r="D2424" s="70" t="s">
        <v>5118</v>
      </c>
      <c r="E2424" s="280" t="s">
        <v>4251</v>
      </c>
      <c r="F2424" s="1049"/>
      <c r="G2424" s="1049">
        <v>10.5</v>
      </c>
      <c r="H2424" s="564"/>
      <c r="I2424" s="609"/>
      <c r="J2424" s="1155"/>
      <c r="K2424" s="609"/>
      <c r="L2424" s="609"/>
      <c r="M2424" s="609"/>
      <c r="N2424" s="599"/>
      <c r="O2424" s="552" t="s">
        <v>1584</v>
      </c>
      <c r="P2424" s="603"/>
      <c r="Q2424" s="682"/>
      <c r="R2424" s="682"/>
      <c r="S2424" s="682"/>
      <c r="T2424" s="682"/>
      <c r="U2424" s="682"/>
      <c r="V2424" s="682"/>
      <c r="W2424" s="682"/>
    </row>
    <row r="2425" spans="1:23">
      <c r="A2425" s="1045">
        <f t="shared" si="38"/>
        <v>6</v>
      </c>
      <c r="B2425" s="134">
        <v>45466</v>
      </c>
      <c r="C2425" s="70">
        <v>1017</v>
      </c>
      <c r="D2425" s="70" t="s">
        <v>5118</v>
      </c>
      <c r="E2425" s="280" t="s">
        <v>4252</v>
      </c>
      <c r="F2425" s="1049"/>
      <c r="G2425" s="1049">
        <v>269.85000000000002</v>
      </c>
      <c r="H2425" s="564"/>
      <c r="I2425" s="609"/>
      <c r="J2425" s="1155"/>
      <c r="K2425" s="609"/>
      <c r="L2425" s="609"/>
      <c r="M2425" s="609"/>
      <c r="N2425" s="599"/>
      <c r="O2425" s="552" t="s">
        <v>1584</v>
      </c>
      <c r="P2425" s="603"/>
      <c r="Q2425" s="682"/>
      <c r="R2425" s="682"/>
      <c r="S2425" s="682"/>
      <c r="T2425" s="682"/>
      <c r="U2425" s="682"/>
      <c r="V2425" s="682"/>
      <c r="W2425" s="682"/>
    </row>
    <row r="2426" spans="1:23">
      <c r="A2426" s="1045">
        <f t="shared" si="38"/>
        <v>6</v>
      </c>
      <c r="B2426" s="134">
        <v>45466</v>
      </c>
      <c r="C2426" s="70">
        <v>1017</v>
      </c>
      <c r="D2426" s="70" t="s">
        <v>5118</v>
      </c>
      <c r="E2426" s="280" t="s">
        <v>4253</v>
      </c>
      <c r="F2426" s="1049"/>
      <c r="G2426" s="1049">
        <v>15.02</v>
      </c>
      <c r="H2426" s="564"/>
      <c r="I2426" s="609"/>
      <c r="J2426" s="1155"/>
      <c r="K2426" s="609"/>
      <c r="L2426" s="609"/>
      <c r="M2426" s="609"/>
      <c r="N2426" s="599"/>
      <c r="O2426" s="552" t="s">
        <v>1584</v>
      </c>
      <c r="P2426" s="603"/>
      <c r="Q2426" s="682"/>
      <c r="R2426" s="682"/>
      <c r="S2426" s="682"/>
      <c r="T2426" s="682"/>
      <c r="U2426" s="682"/>
      <c r="V2426" s="682"/>
      <c r="W2426" s="682"/>
    </row>
    <row r="2427" spans="1:23">
      <c r="A2427" s="1045">
        <f t="shared" si="38"/>
        <v>6</v>
      </c>
      <c r="B2427" s="134">
        <v>45467</v>
      </c>
      <c r="C2427" s="70">
        <v>1017</v>
      </c>
      <c r="D2427" s="70" t="s">
        <v>5118</v>
      </c>
      <c r="E2427" s="280" t="s">
        <v>4254</v>
      </c>
      <c r="F2427" s="1049"/>
      <c r="G2427" s="1049">
        <v>261.91000000000003</v>
      </c>
      <c r="H2427" s="564"/>
      <c r="I2427" s="609"/>
      <c r="J2427" s="1155"/>
      <c r="K2427" s="609"/>
      <c r="L2427" s="609"/>
      <c r="M2427" s="609"/>
      <c r="N2427" s="599"/>
      <c r="O2427" s="552" t="s">
        <v>1584</v>
      </c>
      <c r="P2427" s="603"/>
      <c r="Q2427" s="682"/>
      <c r="R2427" s="682"/>
      <c r="S2427" s="682"/>
      <c r="T2427" s="682"/>
      <c r="U2427" s="682"/>
      <c r="V2427" s="682"/>
      <c r="W2427" s="682"/>
    </row>
    <row r="2428" spans="1:23">
      <c r="A2428" s="1045">
        <f t="shared" si="38"/>
        <v>6</v>
      </c>
      <c r="B2428" s="134">
        <v>45467</v>
      </c>
      <c r="C2428" s="70">
        <v>1017</v>
      </c>
      <c r="D2428" s="70" t="s">
        <v>5118</v>
      </c>
      <c r="E2428" s="280" t="s">
        <v>4255</v>
      </c>
      <c r="F2428" s="1049"/>
      <c r="G2428" s="1049">
        <v>42</v>
      </c>
      <c r="H2428" s="564"/>
      <c r="I2428" s="609"/>
      <c r="J2428" s="1155"/>
      <c r="K2428" s="609"/>
      <c r="L2428" s="609"/>
      <c r="M2428" s="609"/>
      <c r="N2428" s="599"/>
      <c r="O2428" s="552" t="s">
        <v>1584</v>
      </c>
      <c r="P2428" s="603"/>
      <c r="Q2428" s="682"/>
      <c r="R2428" s="682"/>
      <c r="S2428" s="682"/>
      <c r="T2428" s="682"/>
      <c r="U2428" s="682"/>
      <c r="V2428" s="682"/>
      <c r="W2428" s="682"/>
    </row>
    <row r="2429" spans="1:23">
      <c r="A2429" s="1045">
        <f t="shared" si="38"/>
        <v>6</v>
      </c>
      <c r="B2429" s="134">
        <v>45467</v>
      </c>
      <c r="C2429" s="70">
        <v>1017</v>
      </c>
      <c r="D2429" s="70" t="s">
        <v>5118</v>
      </c>
      <c r="E2429" s="280" t="s">
        <v>4256</v>
      </c>
      <c r="F2429" s="1049"/>
      <c r="G2429" s="1049">
        <v>37.799999999999997</v>
      </c>
      <c r="H2429" s="564"/>
      <c r="I2429" s="609"/>
      <c r="J2429" s="1155"/>
      <c r="K2429" s="609"/>
      <c r="L2429" s="609"/>
      <c r="M2429" s="609"/>
      <c r="N2429" s="599"/>
      <c r="O2429" s="552" t="s">
        <v>1584</v>
      </c>
      <c r="P2429" s="603"/>
      <c r="Q2429" s="682"/>
      <c r="R2429" s="682"/>
      <c r="S2429" s="682"/>
      <c r="T2429" s="682"/>
      <c r="U2429" s="682"/>
      <c r="V2429" s="682"/>
      <c r="W2429" s="682"/>
    </row>
    <row r="2430" spans="1:23">
      <c r="A2430" s="1045">
        <f t="shared" si="38"/>
        <v>6</v>
      </c>
      <c r="B2430" s="134">
        <v>45467</v>
      </c>
      <c r="C2430" s="70">
        <v>1017</v>
      </c>
      <c r="D2430" s="70" t="s">
        <v>5118</v>
      </c>
      <c r="E2430" s="280" t="s">
        <v>4257</v>
      </c>
      <c r="F2430" s="1049"/>
      <c r="G2430" s="1049">
        <v>129</v>
      </c>
      <c r="H2430" s="564"/>
      <c r="I2430" s="609"/>
      <c r="J2430" s="1155"/>
      <c r="K2430" s="609"/>
      <c r="L2430" s="609"/>
      <c r="M2430" s="609"/>
      <c r="N2430" s="599"/>
      <c r="O2430" s="552" t="s">
        <v>1584</v>
      </c>
      <c r="P2430" s="603"/>
      <c r="Q2430" s="682"/>
      <c r="R2430" s="682"/>
      <c r="S2430" s="682"/>
      <c r="T2430" s="682"/>
      <c r="U2430" s="682"/>
      <c r="V2430" s="682"/>
      <c r="W2430" s="682"/>
    </row>
    <row r="2431" spans="1:23">
      <c r="A2431" s="1045">
        <f t="shared" si="38"/>
        <v>6</v>
      </c>
      <c r="B2431" s="134">
        <v>45467</v>
      </c>
      <c r="C2431" s="70">
        <v>1017</v>
      </c>
      <c r="D2431" s="70" t="s">
        <v>5118</v>
      </c>
      <c r="E2431" s="280" t="s">
        <v>4258</v>
      </c>
      <c r="F2431" s="1049"/>
      <c r="G2431" s="1049">
        <v>372</v>
      </c>
      <c r="H2431" s="564"/>
      <c r="I2431" s="609"/>
      <c r="J2431" s="1155"/>
      <c r="K2431" s="609"/>
      <c r="L2431" s="609"/>
      <c r="M2431" s="609"/>
      <c r="N2431" s="599"/>
      <c r="O2431" s="552" t="s">
        <v>1584</v>
      </c>
      <c r="P2431" s="603"/>
      <c r="Q2431" s="682"/>
      <c r="R2431" s="682"/>
      <c r="S2431" s="682"/>
      <c r="T2431" s="682"/>
      <c r="U2431" s="682"/>
      <c r="V2431" s="682"/>
      <c r="W2431" s="682"/>
    </row>
    <row r="2432" spans="1:23">
      <c r="A2432" s="1045">
        <f t="shared" si="38"/>
        <v>6</v>
      </c>
      <c r="B2432" s="134">
        <v>45468</v>
      </c>
      <c r="C2432" s="70">
        <v>1022</v>
      </c>
      <c r="D2432" s="70" t="s">
        <v>5119</v>
      </c>
      <c r="E2432" s="280" t="s">
        <v>4259</v>
      </c>
      <c r="F2432" s="1049"/>
      <c r="G2432" s="1049">
        <v>9200</v>
      </c>
      <c r="H2432" s="564"/>
      <c r="I2432" s="609"/>
      <c r="J2432" s="1155"/>
      <c r="K2432" s="609"/>
      <c r="L2432" s="609"/>
      <c r="M2432" s="609"/>
      <c r="N2432" s="599"/>
      <c r="O2432" s="552" t="s">
        <v>1584</v>
      </c>
      <c r="P2432" s="603"/>
      <c r="Q2432" s="682"/>
      <c r="R2432" s="682"/>
      <c r="S2432" s="682"/>
      <c r="T2432" s="682"/>
      <c r="U2432" s="682"/>
      <c r="V2432" s="682"/>
      <c r="W2432" s="682"/>
    </row>
    <row r="2433" spans="1:23">
      <c r="A2433" s="1045">
        <f t="shared" si="38"/>
        <v>6</v>
      </c>
      <c r="B2433" s="134">
        <v>45468</v>
      </c>
      <c r="C2433" s="70">
        <v>1022</v>
      </c>
      <c r="D2433" s="70" t="s">
        <v>5119</v>
      </c>
      <c r="E2433" s="280" t="s">
        <v>4260</v>
      </c>
      <c r="F2433" s="1049"/>
      <c r="G2433" s="1049">
        <v>5112.5</v>
      </c>
      <c r="H2433" s="564"/>
      <c r="I2433" s="609"/>
      <c r="J2433" s="1155"/>
      <c r="K2433" s="609"/>
      <c r="L2433" s="609"/>
      <c r="M2433" s="609"/>
      <c r="N2433" s="599"/>
      <c r="O2433" s="552" t="s">
        <v>1584</v>
      </c>
      <c r="P2433" s="603"/>
      <c r="Q2433" s="682"/>
      <c r="R2433" s="682"/>
      <c r="S2433" s="682"/>
      <c r="T2433" s="682"/>
      <c r="U2433" s="682"/>
      <c r="V2433" s="682"/>
      <c r="W2433" s="682"/>
    </row>
    <row r="2434" spans="1:23">
      <c r="A2434" s="1045">
        <f t="shared" si="38"/>
        <v>6</v>
      </c>
      <c r="B2434" s="134">
        <v>45468</v>
      </c>
      <c r="C2434" s="70">
        <v>1022</v>
      </c>
      <c r="D2434" s="70" t="s">
        <v>5119</v>
      </c>
      <c r="E2434" s="280" t="s">
        <v>4261</v>
      </c>
      <c r="F2434" s="1049"/>
      <c r="G2434" s="1049">
        <v>7657.71</v>
      </c>
      <c r="H2434" s="564"/>
      <c r="I2434" s="609"/>
      <c r="J2434" s="1155"/>
      <c r="K2434" s="609"/>
      <c r="L2434" s="609"/>
      <c r="M2434" s="609"/>
      <c r="N2434" s="599"/>
      <c r="O2434" s="552" t="s">
        <v>1584</v>
      </c>
      <c r="P2434" s="603"/>
      <c r="Q2434" s="682"/>
      <c r="R2434" s="682"/>
      <c r="S2434" s="682"/>
      <c r="T2434" s="682"/>
      <c r="U2434" s="682"/>
      <c r="V2434" s="682"/>
      <c r="W2434" s="682"/>
    </row>
    <row r="2435" spans="1:23">
      <c r="A2435" s="1045">
        <f t="shared" si="38"/>
        <v>6</v>
      </c>
      <c r="B2435" s="134">
        <v>45468</v>
      </c>
      <c r="C2435" s="70">
        <v>1022</v>
      </c>
      <c r="D2435" s="70" t="s">
        <v>5119</v>
      </c>
      <c r="E2435" s="280" t="s">
        <v>4262</v>
      </c>
      <c r="F2435" s="1049"/>
      <c r="G2435" s="1049">
        <v>6718.01</v>
      </c>
      <c r="H2435" s="564"/>
      <c r="I2435" s="609"/>
      <c r="J2435" s="1155"/>
      <c r="K2435" s="609"/>
      <c r="L2435" s="609"/>
      <c r="M2435" s="609"/>
      <c r="N2435" s="599"/>
      <c r="O2435" s="552" t="s">
        <v>1584</v>
      </c>
      <c r="P2435" s="603"/>
      <c r="Q2435" s="682"/>
      <c r="R2435" s="682"/>
      <c r="S2435" s="682"/>
      <c r="T2435" s="682"/>
      <c r="U2435" s="682"/>
      <c r="V2435" s="682"/>
      <c r="W2435" s="682"/>
    </row>
    <row r="2436" spans="1:23">
      <c r="A2436" s="1045">
        <f t="shared" si="38"/>
        <v>6</v>
      </c>
      <c r="B2436" s="134">
        <v>45468</v>
      </c>
      <c r="C2436" s="70">
        <v>1022</v>
      </c>
      <c r="D2436" s="70" t="s">
        <v>5119</v>
      </c>
      <c r="E2436" s="280" t="s">
        <v>4263</v>
      </c>
      <c r="F2436" s="1049"/>
      <c r="G2436" s="1049">
        <v>10589.46</v>
      </c>
      <c r="H2436" s="564"/>
      <c r="I2436" s="609"/>
      <c r="J2436" s="1155"/>
      <c r="K2436" s="609"/>
      <c r="L2436" s="609"/>
      <c r="M2436" s="609"/>
      <c r="N2436" s="599"/>
      <c r="O2436" s="552" t="s">
        <v>1584</v>
      </c>
      <c r="P2436" s="603"/>
      <c r="Q2436" s="682"/>
      <c r="R2436" s="682"/>
      <c r="S2436" s="682"/>
      <c r="T2436" s="682"/>
      <c r="U2436" s="682"/>
      <c r="V2436" s="682"/>
      <c r="W2436" s="682"/>
    </row>
    <row r="2437" spans="1:23">
      <c r="A2437" s="1045">
        <f t="shared" si="38"/>
        <v>6</v>
      </c>
      <c r="B2437" s="134">
        <v>45468</v>
      </c>
      <c r="C2437" s="70">
        <v>1022</v>
      </c>
      <c r="D2437" s="70" t="s">
        <v>5119</v>
      </c>
      <c r="E2437" s="280" t="s">
        <v>4264</v>
      </c>
      <c r="F2437" s="1049"/>
      <c r="G2437" s="1049">
        <v>41.35</v>
      </c>
      <c r="H2437" s="564"/>
      <c r="I2437" s="609"/>
      <c r="J2437" s="1155"/>
      <c r="K2437" s="609"/>
      <c r="L2437" s="609"/>
      <c r="M2437" s="609"/>
      <c r="N2437" s="599"/>
      <c r="O2437" s="552" t="s">
        <v>1584</v>
      </c>
      <c r="P2437" s="603"/>
      <c r="Q2437" s="682"/>
      <c r="R2437" s="682"/>
      <c r="S2437" s="682"/>
      <c r="T2437" s="682"/>
      <c r="U2437" s="682"/>
      <c r="V2437" s="682"/>
      <c r="W2437" s="682"/>
    </row>
    <row r="2438" spans="1:23">
      <c r="A2438" s="1045">
        <f t="shared" si="38"/>
        <v>6</v>
      </c>
      <c r="B2438" s="134">
        <v>45468</v>
      </c>
      <c r="C2438" s="70">
        <v>1022</v>
      </c>
      <c r="D2438" s="70" t="s">
        <v>5119</v>
      </c>
      <c r="E2438" s="280" t="s">
        <v>4265</v>
      </c>
      <c r="F2438" s="1049"/>
      <c r="G2438" s="1049">
        <v>1014.19</v>
      </c>
      <c r="H2438" s="564"/>
      <c r="I2438" s="609"/>
      <c r="J2438" s="1155"/>
      <c r="K2438" s="609"/>
      <c r="L2438" s="609"/>
      <c r="M2438" s="609"/>
      <c r="N2438" s="599"/>
      <c r="O2438" s="552" t="s">
        <v>1584</v>
      </c>
      <c r="P2438" s="603"/>
      <c r="Q2438" s="682"/>
      <c r="R2438" s="682"/>
      <c r="S2438" s="682"/>
      <c r="T2438" s="682"/>
      <c r="U2438" s="682"/>
      <c r="V2438" s="682"/>
      <c r="W2438" s="682"/>
    </row>
    <row r="2439" spans="1:23">
      <c r="A2439" s="1045">
        <f t="shared" si="38"/>
        <v>6</v>
      </c>
      <c r="B2439" s="134">
        <v>45468</v>
      </c>
      <c r="C2439" s="70">
        <v>1022</v>
      </c>
      <c r="D2439" s="70" t="s">
        <v>5119</v>
      </c>
      <c r="E2439" s="280" t="s">
        <v>4266</v>
      </c>
      <c r="F2439" s="1049"/>
      <c r="G2439" s="1049">
        <v>1442.91</v>
      </c>
      <c r="H2439" s="564"/>
      <c r="I2439" s="609"/>
      <c r="J2439" s="1155"/>
      <c r="K2439" s="609"/>
      <c r="L2439" s="609"/>
      <c r="M2439" s="609"/>
      <c r="N2439" s="599"/>
      <c r="O2439" s="552" t="s">
        <v>1584</v>
      </c>
      <c r="P2439" s="603"/>
      <c r="Q2439" s="682"/>
      <c r="R2439" s="682"/>
      <c r="S2439" s="682"/>
      <c r="T2439" s="682"/>
      <c r="U2439" s="682"/>
      <c r="V2439" s="682"/>
      <c r="W2439" s="682"/>
    </row>
    <row r="2440" spans="1:23">
      <c r="A2440" s="1045">
        <f t="shared" si="38"/>
        <v>6</v>
      </c>
      <c r="B2440" s="134">
        <v>45468</v>
      </c>
      <c r="C2440" s="70">
        <v>1022</v>
      </c>
      <c r="D2440" s="70" t="s">
        <v>5119</v>
      </c>
      <c r="E2440" s="280" t="s">
        <v>4267</v>
      </c>
      <c r="F2440" s="1049"/>
      <c r="G2440" s="1049">
        <v>164.66</v>
      </c>
      <c r="H2440" s="564"/>
      <c r="I2440" s="609"/>
      <c r="J2440" s="1155"/>
      <c r="K2440" s="609"/>
      <c r="L2440" s="609"/>
      <c r="M2440" s="609"/>
      <c r="N2440" s="599"/>
      <c r="O2440" s="552" t="s">
        <v>1584</v>
      </c>
      <c r="P2440" s="603"/>
      <c r="Q2440" s="682"/>
      <c r="R2440" s="682"/>
      <c r="S2440" s="682"/>
      <c r="T2440" s="682"/>
      <c r="U2440" s="682"/>
      <c r="V2440" s="682"/>
      <c r="W2440" s="682"/>
    </row>
    <row r="2441" spans="1:23">
      <c r="A2441" s="1045">
        <f t="shared" si="38"/>
        <v>6</v>
      </c>
      <c r="B2441" s="134">
        <v>45468</v>
      </c>
      <c r="C2441" s="70">
        <v>1022</v>
      </c>
      <c r="D2441" s="70" t="s">
        <v>5119</v>
      </c>
      <c r="E2441" s="280" t="s">
        <v>4268</v>
      </c>
      <c r="F2441" s="1049"/>
      <c r="G2441" s="1049">
        <v>115.36</v>
      </c>
      <c r="H2441" s="564"/>
      <c r="I2441" s="609"/>
      <c r="J2441" s="1155"/>
      <c r="K2441" s="609"/>
      <c r="L2441" s="609"/>
      <c r="M2441" s="609"/>
      <c r="N2441" s="599"/>
      <c r="O2441" s="552" t="s">
        <v>1584</v>
      </c>
      <c r="P2441" s="603"/>
      <c r="Q2441" s="682"/>
      <c r="R2441" s="682"/>
      <c r="S2441" s="682"/>
      <c r="T2441" s="682"/>
      <c r="U2441" s="682"/>
      <c r="V2441" s="682"/>
      <c r="W2441" s="682"/>
    </row>
    <row r="2442" spans="1:23">
      <c r="A2442" s="1045">
        <f t="shared" si="38"/>
        <v>6</v>
      </c>
      <c r="B2442" s="134">
        <v>45468</v>
      </c>
      <c r="C2442" s="70">
        <v>1022</v>
      </c>
      <c r="D2442" s="70" t="s">
        <v>5119</v>
      </c>
      <c r="E2442" s="280" t="s">
        <v>4269</v>
      </c>
      <c r="F2442" s="1049"/>
      <c r="G2442" s="1049">
        <v>283.17</v>
      </c>
      <c r="H2442" s="564"/>
      <c r="I2442" s="609"/>
      <c r="J2442" s="1155"/>
      <c r="K2442" s="609"/>
      <c r="L2442" s="609"/>
      <c r="M2442" s="609"/>
      <c r="N2442" s="599"/>
      <c r="O2442" s="552" t="s">
        <v>1584</v>
      </c>
      <c r="P2442" s="603"/>
      <c r="Q2442" s="682"/>
      <c r="R2442" s="682"/>
      <c r="S2442" s="682"/>
      <c r="T2442" s="682"/>
      <c r="U2442" s="682"/>
      <c r="V2442" s="682"/>
      <c r="W2442" s="682"/>
    </row>
    <row r="2443" spans="1:23">
      <c r="A2443" s="1045">
        <f t="shared" si="38"/>
        <v>6</v>
      </c>
      <c r="B2443" s="134">
        <v>45468</v>
      </c>
      <c r="C2443" s="70">
        <v>1022</v>
      </c>
      <c r="D2443" s="70" t="s">
        <v>5119</v>
      </c>
      <c r="E2443" s="280" t="s">
        <v>4270</v>
      </c>
      <c r="F2443" s="1049"/>
      <c r="G2443" s="1049">
        <v>1021.65</v>
      </c>
      <c r="H2443" s="564"/>
      <c r="I2443" s="609"/>
      <c r="J2443" s="1155"/>
      <c r="K2443" s="609"/>
      <c r="L2443" s="609"/>
      <c r="M2443" s="609"/>
      <c r="N2443" s="599"/>
      <c r="O2443" s="552" t="s">
        <v>1584</v>
      </c>
      <c r="P2443" s="603"/>
      <c r="Q2443" s="682"/>
      <c r="R2443" s="682"/>
      <c r="S2443" s="682"/>
      <c r="T2443" s="682"/>
      <c r="U2443" s="682"/>
      <c r="V2443" s="682"/>
      <c r="W2443" s="682"/>
    </row>
    <row r="2444" spans="1:23">
      <c r="A2444" s="1045">
        <f t="shared" si="38"/>
        <v>6</v>
      </c>
      <c r="B2444" s="134">
        <v>45468</v>
      </c>
      <c r="C2444" s="70">
        <v>1022</v>
      </c>
      <c r="D2444" s="70" t="s">
        <v>5119</v>
      </c>
      <c r="E2444" s="280" t="s">
        <v>4271</v>
      </c>
      <c r="F2444" s="1049"/>
      <c r="G2444" s="1049">
        <v>447.71</v>
      </c>
      <c r="H2444" s="564"/>
      <c r="I2444" s="609"/>
      <c r="J2444" s="1155"/>
      <c r="K2444" s="609"/>
      <c r="L2444" s="609"/>
      <c r="M2444" s="609"/>
      <c r="N2444" s="599"/>
      <c r="O2444" s="552" t="s">
        <v>1584</v>
      </c>
      <c r="P2444" s="603"/>
      <c r="Q2444" s="682"/>
      <c r="R2444" s="682"/>
      <c r="S2444" s="682"/>
      <c r="T2444" s="682"/>
      <c r="U2444" s="682"/>
      <c r="V2444" s="682"/>
      <c r="W2444" s="682"/>
    </row>
    <row r="2445" spans="1:23">
      <c r="A2445" s="1045">
        <f t="shared" si="38"/>
        <v>6</v>
      </c>
      <c r="B2445" s="134">
        <v>45468</v>
      </c>
      <c r="C2445" s="70">
        <v>1017</v>
      </c>
      <c r="D2445" s="70" t="s">
        <v>5118</v>
      </c>
      <c r="E2445" s="280" t="s">
        <v>4272</v>
      </c>
      <c r="F2445" s="1049"/>
      <c r="G2445" s="1049">
        <v>255.01</v>
      </c>
      <c r="H2445" s="564"/>
      <c r="I2445" s="609"/>
      <c r="J2445" s="1155"/>
      <c r="K2445" s="609"/>
      <c r="L2445" s="609"/>
      <c r="M2445" s="609"/>
      <c r="N2445" s="599"/>
      <c r="O2445" s="552" t="s">
        <v>1584</v>
      </c>
      <c r="P2445" s="603"/>
      <c r="Q2445" s="682"/>
      <c r="R2445" s="682"/>
      <c r="S2445" s="682"/>
      <c r="T2445" s="682"/>
      <c r="U2445" s="682"/>
      <c r="V2445" s="682"/>
      <c r="W2445" s="682"/>
    </row>
    <row r="2446" spans="1:23">
      <c r="A2446" s="1045">
        <f t="shared" si="38"/>
        <v>6</v>
      </c>
      <c r="B2446" s="134">
        <v>45468</v>
      </c>
      <c r="C2446" s="70">
        <v>1017</v>
      </c>
      <c r="D2446" s="70" t="s">
        <v>5118</v>
      </c>
      <c r="E2446" s="280" t="s">
        <v>4273</v>
      </c>
      <c r="F2446" s="1049"/>
      <c r="G2446" s="1049">
        <v>51.45</v>
      </c>
      <c r="H2446" s="564"/>
      <c r="I2446" s="609"/>
      <c r="J2446" s="1155"/>
      <c r="K2446" s="609"/>
      <c r="L2446" s="609"/>
      <c r="M2446" s="609"/>
      <c r="N2446" s="599"/>
      <c r="O2446" s="552" t="s">
        <v>1584</v>
      </c>
      <c r="P2446" s="603"/>
      <c r="Q2446" s="682"/>
      <c r="R2446" s="682"/>
      <c r="S2446" s="682"/>
      <c r="T2446" s="682"/>
      <c r="U2446" s="682"/>
      <c r="V2446" s="682"/>
      <c r="W2446" s="682"/>
    </row>
    <row r="2447" spans="1:23">
      <c r="A2447" s="1045">
        <f t="shared" si="38"/>
        <v>6</v>
      </c>
      <c r="B2447" s="134">
        <v>45469</v>
      </c>
      <c r="C2447" s="70">
        <v>1017</v>
      </c>
      <c r="D2447" s="70" t="s">
        <v>5118</v>
      </c>
      <c r="E2447" s="280" t="s">
        <v>4274</v>
      </c>
      <c r="F2447" s="1049"/>
      <c r="G2447" s="1049">
        <v>150.57</v>
      </c>
      <c r="H2447" s="564"/>
      <c r="I2447" s="609"/>
      <c r="J2447" s="1155"/>
      <c r="K2447" s="609"/>
      <c r="L2447" s="609"/>
      <c r="M2447" s="609"/>
      <c r="N2447" s="599"/>
      <c r="O2447" s="552" t="s">
        <v>1584</v>
      </c>
      <c r="P2447" s="603"/>
      <c r="Q2447" s="682"/>
      <c r="R2447" s="682"/>
      <c r="S2447" s="682"/>
      <c r="T2447" s="682"/>
      <c r="U2447" s="682"/>
      <c r="V2447" s="682"/>
      <c r="W2447" s="682"/>
    </row>
    <row r="2448" spans="1:23">
      <c r="A2448" s="1045">
        <f t="shared" si="38"/>
        <v>6</v>
      </c>
      <c r="B2448" s="134">
        <v>45469</v>
      </c>
      <c r="C2448" s="70">
        <v>1017</v>
      </c>
      <c r="D2448" s="70" t="s">
        <v>5118</v>
      </c>
      <c r="E2448" s="280" t="s">
        <v>4275</v>
      </c>
      <c r="F2448" s="1049"/>
      <c r="G2448" s="1049">
        <v>489.3</v>
      </c>
      <c r="H2448" s="564"/>
      <c r="I2448" s="609"/>
      <c r="J2448" s="1155"/>
      <c r="K2448" s="609"/>
      <c r="L2448" s="609"/>
      <c r="M2448" s="609"/>
      <c r="N2448" s="599"/>
      <c r="O2448" s="552" t="s">
        <v>1584</v>
      </c>
      <c r="P2448" s="603"/>
      <c r="Q2448" s="682"/>
      <c r="R2448" s="682"/>
      <c r="S2448" s="682"/>
      <c r="T2448" s="682"/>
      <c r="U2448" s="682"/>
      <c r="V2448" s="682"/>
      <c r="W2448" s="682"/>
    </row>
    <row r="2449" spans="1:23">
      <c r="A2449" s="1045">
        <f t="shared" si="38"/>
        <v>6</v>
      </c>
      <c r="B2449" s="134">
        <v>45469</v>
      </c>
      <c r="C2449" s="70">
        <v>1017</v>
      </c>
      <c r="D2449" s="70" t="s">
        <v>5118</v>
      </c>
      <c r="E2449" s="280" t="s">
        <v>4276</v>
      </c>
      <c r="F2449" s="1049"/>
      <c r="G2449" s="1049">
        <v>71.400000000000006</v>
      </c>
      <c r="H2449" s="564"/>
      <c r="I2449" s="609"/>
      <c r="J2449" s="1155"/>
      <c r="K2449" s="609"/>
      <c r="L2449" s="609"/>
      <c r="M2449" s="609"/>
      <c r="N2449" s="599"/>
      <c r="O2449" s="552" t="s">
        <v>1584</v>
      </c>
      <c r="P2449" s="603"/>
      <c r="Q2449" s="682"/>
      <c r="R2449" s="682"/>
      <c r="S2449" s="682"/>
      <c r="T2449" s="682"/>
      <c r="U2449" s="682"/>
      <c r="V2449" s="682"/>
      <c r="W2449" s="682"/>
    </row>
    <row r="2450" spans="1:23">
      <c r="A2450" s="1045">
        <f t="shared" si="38"/>
        <v>6</v>
      </c>
      <c r="B2450" s="134">
        <v>45469</v>
      </c>
      <c r="C2450" s="70">
        <v>1017</v>
      </c>
      <c r="D2450" s="70" t="s">
        <v>5118</v>
      </c>
      <c r="E2450" s="280" t="s">
        <v>4277</v>
      </c>
      <c r="F2450" s="1049"/>
      <c r="G2450" s="1049">
        <v>35.700000000000003</v>
      </c>
      <c r="H2450" s="564"/>
      <c r="I2450" s="609"/>
      <c r="J2450" s="1155"/>
      <c r="K2450" s="609"/>
      <c r="L2450" s="609"/>
      <c r="M2450" s="609"/>
      <c r="N2450" s="599"/>
      <c r="O2450" s="552" t="s">
        <v>1584</v>
      </c>
      <c r="P2450" s="603"/>
      <c r="Q2450" s="682"/>
      <c r="R2450" s="682"/>
      <c r="S2450" s="682"/>
      <c r="T2450" s="682"/>
      <c r="U2450" s="682"/>
      <c r="V2450" s="682"/>
      <c r="W2450" s="682"/>
    </row>
    <row r="2451" spans="1:23">
      <c r="A2451" s="1045">
        <f t="shared" si="38"/>
        <v>6</v>
      </c>
      <c r="B2451" s="134">
        <v>45469</v>
      </c>
      <c r="C2451" s="70">
        <v>1017</v>
      </c>
      <c r="D2451" s="70" t="s">
        <v>5118</v>
      </c>
      <c r="E2451" s="280" t="s">
        <v>4278</v>
      </c>
      <c r="F2451" s="1049"/>
      <c r="G2451" s="1049">
        <v>440</v>
      </c>
      <c r="H2451" s="564"/>
      <c r="I2451" s="609"/>
      <c r="J2451" s="1155"/>
      <c r="K2451" s="609"/>
      <c r="L2451" s="609"/>
      <c r="M2451" s="609"/>
      <c r="N2451" s="599"/>
      <c r="O2451" s="552" t="s">
        <v>1584</v>
      </c>
      <c r="P2451" s="603"/>
      <c r="Q2451" s="682"/>
      <c r="R2451" s="682"/>
      <c r="S2451" s="682"/>
      <c r="T2451" s="682"/>
      <c r="U2451" s="682"/>
      <c r="V2451" s="682"/>
      <c r="W2451" s="682"/>
    </row>
    <row r="2452" spans="1:23">
      <c r="A2452" s="1045">
        <f t="shared" si="38"/>
        <v>6</v>
      </c>
      <c r="B2452" s="134">
        <v>45470</v>
      </c>
      <c r="C2452" s="70">
        <v>1017</v>
      </c>
      <c r="D2452" s="70" t="s">
        <v>5118</v>
      </c>
      <c r="E2452" s="280" t="s">
        <v>4279</v>
      </c>
      <c r="F2452" s="1049"/>
      <c r="G2452" s="1049">
        <v>430.5</v>
      </c>
      <c r="H2452" s="564"/>
      <c r="I2452" s="609"/>
      <c r="J2452" s="1155"/>
      <c r="K2452" s="609"/>
      <c r="L2452" s="609"/>
      <c r="M2452" s="609"/>
      <c r="N2452" s="599"/>
      <c r="O2452" s="552" t="s">
        <v>1584</v>
      </c>
      <c r="P2452" s="603"/>
      <c r="Q2452" s="682"/>
      <c r="R2452" s="682"/>
      <c r="S2452" s="682"/>
      <c r="T2452" s="682"/>
      <c r="U2452" s="682"/>
      <c r="V2452" s="682"/>
      <c r="W2452" s="682"/>
    </row>
    <row r="2453" spans="1:23">
      <c r="A2453" s="1045">
        <f t="shared" ref="A2453:A2516" si="39">IF(B2453="","",MONTH(B2453))</f>
        <v>6</v>
      </c>
      <c r="B2453" s="134">
        <v>45470</v>
      </c>
      <c r="C2453" s="70">
        <v>1017</v>
      </c>
      <c r="D2453" s="70" t="s">
        <v>5118</v>
      </c>
      <c r="E2453" s="280" t="s">
        <v>4280</v>
      </c>
      <c r="F2453" s="1049"/>
      <c r="G2453" s="1049">
        <v>798</v>
      </c>
      <c r="H2453" s="564"/>
      <c r="I2453" s="609"/>
      <c r="J2453" s="1155"/>
      <c r="K2453" s="609"/>
      <c r="L2453" s="609"/>
      <c r="M2453" s="609"/>
      <c r="N2453" s="599"/>
      <c r="O2453" s="552" t="s">
        <v>1584</v>
      </c>
      <c r="P2453" s="603"/>
      <c r="Q2453" s="682"/>
      <c r="R2453" s="682"/>
      <c r="S2453" s="682"/>
      <c r="T2453" s="682"/>
      <c r="U2453" s="682"/>
      <c r="V2453" s="682"/>
      <c r="W2453" s="682"/>
    </row>
    <row r="2454" spans="1:23">
      <c r="A2454" s="1045">
        <f t="shared" si="39"/>
        <v>6</v>
      </c>
      <c r="B2454" s="134">
        <v>45471</v>
      </c>
      <c r="C2454" s="70">
        <v>1017</v>
      </c>
      <c r="D2454" s="70" t="s">
        <v>5118</v>
      </c>
      <c r="E2454" s="280" t="s">
        <v>4281</v>
      </c>
      <c r="F2454" s="1049"/>
      <c r="G2454" s="1049">
        <v>4775.45</v>
      </c>
      <c r="H2454" s="564"/>
      <c r="I2454" s="609"/>
      <c r="J2454" s="1155"/>
      <c r="K2454" s="609"/>
      <c r="L2454" s="609"/>
      <c r="M2454" s="609"/>
      <c r="N2454" s="599"/>
      <c r="O2454" s="552" t="s">
        <v>1584</v>
      </c>
      <c r="P2454" s="603"/>
      <c r="Q2454" s="682"/>
      <c r="R2454" s="682"/>
      <c r="S2454" s="682"/>
      <c r="T2454" s="682"/>
      <c r="U2454" s="682"/>
      <c r="V2454" s="682"/>
      <c r="W2454" s="682"/>
    </row>
    <row r="2455" spans="1:23">
      <c r="A2455" s="1045">
        <f t="shared" si="39"/>
        <v>6</v>
      </c>
      <c r="B2455" s="134">
        <v>45471</v>
      </c>
      <c r="C2455" s="70">
        <v>1017</v>
      </c>
      <c r="D2455" s="70" t="s">
        <v>5118</v>
      </c>
      <c r="E2455" s="280" t="s">
        <v>4282</v>
      </c>
      <c r="F2455" s="1049"/>
      <c r="G2455" s="1049">
        <v>79.48</v>
      </c>
      <c r="H2455" s="564"/>
      <c r="I2455" s="609"/>
      <c r="J2455" s="1155"/>
      <c r="K2455" s="609"/>
      <c r="L2455" s="609"/>
      <c r="M2455" s="609"/>
      <c r="N2455" s="599"/>
      <c r="O2455" s="552" t="s">
        <v>1584</v>
      </c>
      <c r="P2455" s="603"/>
      <c r="Q2455" s="682"/>
      <c r="R2455" s="682"/>
      <c r="S2455" s="682"/>
      <c r="T2455" s="682"/>
      <c r="U2455" s="682"/>
      <c r="V2455" s="682"/>
      <c r="W2455" s="682"/>
    </row>
    <row r="2456" spans="1:23">
      <c r="A2456" s="1045">
        <f t="shared" si="39"/>
        <v>6</v>
      </c>
      <c r="B2456" s="134">
        <v>45471</v>
      </c>
      <c r="C2456" s="70">
        <v>1017</v>
      </c>
      <c r="D2456" s="70" t="s">
        <v>5118</v>
      </c>
      <c r="E2456" s="280" t="s">
        <v>4283</v>
      </c>
      <c r="F2456" s="1049"/>
      <c r="G2456" s="1049">
        <v>1690.5</v>
      </c>
      <c r="H2456" s="564"/>
      <c r="I2456" s="609"/>
      <c r="J2456" s="1155"/>
      <c r="K2456" s="609"/>
      <c r="L2456" s="609"/>
      <c r="M2456" s="609"/>
      <c r="N2456" s="599"/>
      <c r="O2456" s="552" t="s">
        <v>1584</v>
      </c>
      <c r="P2456" s="603"/>
      <c r="Q2456" s="682"/>
      <c r="R2456" s="682"/>
      <c r="S2456" s="682"/>
      <c r="T2456" s="682"/>
      <c r="U2456" s="682"/>
      <c r="V2456" s="682"/>
      <c r="W2456" s="682"/>
    </row>
    <row r="2457" spans="1:23">
      <c r="A2457" s="1045">
        <f t="shared" si="39"/>
        <v>6</v>
      </c>
      <c r="B2457" s="134">
        <v>45471</v>
      </c>
      <c r="C2457" s="70">
        <v>1017</v>
      </c>
      <c r="D2457" s="70" t="s">
        <v>5118</v>
      </c>
      <c r="E2457" s="280" t="s">
        <v>4284</v>
      </c>
      <c r="F2457" s="1049"/>
      <c r="G2457" s="1049">
        <v>241.3</v>
      </c>
      <c r="H2457" s="564"/>
      <c r="I2457" s="609"/>
      <c r="J2457" s="1155"/>
      <c r="K2457" s="609"/>
      <c r="L2457" s="609"/>
      <c r="M2457" s="609"/>
      <c r="N2457" s="599"/>
      <c r="O2457" s="552" t="s">
        <v>1584</v>
      </c>
      <c r="P2457" s="603"/>
      <c r="Q2457" s="682"/>
      <c r="R2457" s="682"/>
      <c r="S2457" s="682"/>
      <c r="T2457" s="682"/>
      <c r="U2457" s="682"/>
      <c r="V2457" s="682"/>
      <c r="W2457" s="682"/>
    </row>
    <row r="2458" spans="1:23">
      <c r="A2458" s="1045">
        <f t="shared" si="39"/>
        <v>6</v>
      </c>
      <c r="B2458" s="134">
        <v>45471</v>
      </c>
      <c r="C2458" s="70">
        <v>1017</v>
      </c>
      <c r="D2458" s="70" t="s">
        <v>5118</v>
      </c>
      <c r="E2458" s="280" t="s">
        <v>4285</v>
      </c>
      <c r="F2458" s="1049"/>
      <c r="G2458" s="1049">
        <v>203</v>
      </c>
      <c r="H2458" s="564"/>
      <c r="I2458" s="609"/>
      <c r="J2458" s="1155"/>
      <c r="K2458" s="609"/>
      <c r="L2458" s="609"/>
      <c r="M2458" s="609"/>
      <c r="N2458" s="599"/>
      <c r="O2458" s="552" t="s">
        <v>1584</v>
      </c>
      <c r="P2458" s="603"/>
      <c r="Q2458" s="682"/>
      <c r="R2458" s="682"/>
      <c r="S2458" s="682"/>
      <c r="T2458" s="682"/>
      <c r="U2458" s="682"/>
      <c r="V2458" s="682"/>
      <c r="W2458" s="682"/>
    </row>
    <row r="2459" spans="1:23">
      <c r="A2459" s="1045">
        <f t="shared" si="39"/>
        <v>6</v>
      </c>
      <c r="B2459" s="134">
        <v>45471</v>
      </c>
      <c r="C2459" s="70">
        <v>1017</v>
      </c>
      <c r="D2459" s="70" t="s">
        <v>5118</v>
      </c>
      <c r="E2459" s="280" t="s">
        <v>4286</v>
      </c>
      <c r="F2459" s="1049"/>
      <c r="G2459" s="1049">
        <v>142.97999999999999</v>
      </c>
      <c r="H2459" s="564"/>
      <c r="I2459" s="609"/>
      <c r="J2459" s="1155"/>
      <c r="K2459" s="609"/>
      <c r="L2459" s="609"/>
      <c r="M2459" s="609"/>
      <c r="N2459" s="599"/>
      <c r="O2459" s="552" t="s">
        <v>1584</v>
      </c>
      <c r="P2459" s="603"/>
      <c r="Q2459" s="682"/>
      <c r="R2459" s="682"/>
      <c r="S2459" s="682"/>
      <c r="T2459" s="682"/>
      <c r="U2459" s="682"/>
      <c r="V2459" s="682"/>
      <c r="W2459" s="682"/>
    </row>
    <row r="2460" spans="1:23">
      <c r="A2460" s="1045">
        <f t="shared" si="39"/>
        <v>6</v>
      </c>
      <c r="B2460" s="134">
        <v>45472</v>
      </c>
      <c r="C2460" s="70">
        <v>1017</v>
      </c>
      <c r="D2460" s="70" t="s">
        <v>5118</v>
      </c>
      <c r="E2460" s="280" t="s">
        <v>4287</v>
      </c>
      <c r="F2460" s="1049"/>
      <c r="G2460" s="1049">
        <v>84</v>
      </c>
      <c r="H2460" s="564"/>
      <c r="I2460" s="609"/>
      <c r="J2460" s="1155"/>
      <c r="K2460" s="609"/>
      <c r="L2460" s="609"/>
      <c r="M2460" s="609"/>
      <c r="N2460" s="599"/>
      <c r="O2460" s="552" t="s">
        <v>1584</v>
      </c>
      <c r="P2460" s="603"/>
      <c r="Q2460" s="682"/>
      <c r="R2460" s="682"/>
      <c r="S2460" s="682"/>
      <c r="T2460" s="682"/>
      <c r="U2460" s="682"/>
      <c r="V2460" s="682"/>
      <c r="W2460" s="682"/>
    </row>
    <row r="2461" spans="1:23">
      <c r="A2461" s="1045">
        <f t="shared" si="39"/>
        <v>6</v>
      </c>
      <c r="B2461" s="134">
        <v>45472</v>
      </c>
      <c r="C2461" s="70">
        <v>1017</v>
      </c>
      <c r="D2461" s="70" t="s">
        <v>5118</v>
      </c>
      <c r="E2461" s="280" t="s">
        <v>4288</v>
      </c>
      <c r="F2461" s="1049"/>
      <c r="G2461" s="1049">
        <v>65.099999999999994</v>
      </c>
      <c r="H2461" s="564"/>
      <c r="I2461" s="609"/>
      <c r="J2461" s="1155"/>
      <c r="K2461" s="609"/>
      <c r="L2461" s="609"/>
      <c r="M2461" s="609"/>
      <c r="N2461" s="599"/>
      <c r="O2461" s="552" t="s">
        <v>1584</v>
      </c>
      <c r="P2461" s="603"/>
      <c r="Q2461" s="682"/>
      <c r="R2461" s="682"/>
      <c r="S2461" s="682"/>
      <c r="T2461" s="682"/>
      <c r="U2461" s="682"/>
      <c r="V2461" s="682"/>
      <c r="W2461" s="682"/>
    </row>
    <row r="2462" spans="1:23">
      <c r="A2462" s="1045">
        <f t="shared" si="39"/>
        <v>6</v>
      </c>
      <c r="B2462" s="134">
        <v>45472</v>
      </c>
      <c r="C2462" s="70">
        <v>1017</v>
      </c>
      <c r="D2462" s="70" t="s">
        <v>5118</v>
      </c>
      <c r="E2462" s="280" t="s">
        <v>4289</v>
      </c>
      <c r="F2462" s="1049"/>
      <c r="G2462" s="1049">
        <v>73.5</v>
      </c>
      <c r="H2462" s="564"/>
      <c r="I2462" s="609"/>
      <c r="J2462" s="1155"/>
      <c r="K2462" s="609"/>
      <c r="L2462" s="609"/>
      <c r="M2462" s="609"/>
      <c r="N2462" s="599"/>
      <c r="O2462" s="552" t="s">
        <v>1584</v>
      </c>
      <c r="P2462" s="603"/>
      <c r="Q2462" s="682"/>
      <c r="R2462" s="682"/>
      <c r="S2462" s="682"/>
      <c r="T2462" s="682"/>
      <c r="U2462" s="682"/>
      <c r="V2462" s="682"/>
      <c r="W2462" s="682"/>
    </row>
    <row r="2463" spans="1:23">
      <c r="A2463" s="1045">
        <f t="shared" si="39"/>
        <v>6</v>
      </c>
      <c r="B2463" s="134">
        <v>45472</v>
      </c>
      <c r="C2463" s="70">
        <v>1017</v>
      </c>
      <c r="D2463" s="70" t="s">
        <v>5118</v>
      </c>
      <c r="E2463" s="280" t="s">
        <v>4290</v>
      </c>
      <c r="F2463" s="1049"/>
      <c r="G2463" s="1049">
        <v>13.6</v>
      </c>
      <c r="H2463" s="564"/>
      <c r="I2463" s="609"/>
      <c r="J2463" s="1155"/>
      <c r="K2463" s="609"/>
      <c r="L2463" s="609"/>
      <c r="M2463" s="609"/>
      <c r="N2463" s="599"/>
      <c r="O2463" s="552" t="s">
        <v>1584</v>
      </c>
      <c r="P2463" s="603"/>
      <c r="Q2463" s="682"/>
      <c r="R2463" s="682"/>
      <c r="S2463" s="682"/>
      <c r="T2463" s="682"/>
      <c r="U2463" s="682"/>
      <c r="V2463" s="682"/>
      <c r="W2463" s="682"/>
    </row>
    <row r="2464" spans="1:23">
      <c r="A2464" s="1045">
        <f t="shared" si="39"/>
        <v>6</v>
      </c>
      <c r="B2464" s="134">
        <v>45472</v>
      </c>
      <c r="C2464" s="70">
        <v>1017</v>
      </c>
      <c r="D2464" s="70" t="s">
        <v>5118</v>
      </c>
      <c r="E2464" s="280" t="s">
        <v>4291</v>
      </c>
      <c r="F2464" s="1049"/>
      <c r="G2464" s="1049">
        <v>357</v>
      </c>
      <c r="H2464" s="564"/>
      <c r="I2464" s="609"/>
      <c r="J2464" s="1155"/>
      <c r="K2464" s="609"/>
      <c r="L2464" s="609"/>
      <c r="M2464" s="609"/>
      <c r="N2464" s="599"/>
      <c r="O2464" s="552" t="s">
        <v>1584</v>
      </c>
      <c r="P2464" s="603"/>
      <c r="Q2464" s="682"/>
      <c r="R2464" s="682"/>
      <c r="S2464" s="682"/>
      <c r="T2464" s="682"/>
      <c r="U2464" s="682"/>
      <c r="V2464" s="682"/>
      <c r="W2464" s="682"/>
    </row>
    <row r="2465" spans="1:23">
      <c r="A2465" s="1045">
        <f t="shared" si="39"/>
        <v>6</v>
      </c>
      <c r="B2465" s="134">
        <v>45472</v>
      </c>
      <c r="C2465" s="70">
        <v>1017</v>
      </c>
      <c r="D2465" s="70" t="s">
        <v>5118</v>
      </c>
      <c r="E2465" s="280" t="s">
        <v>4292</v>
      </c>
      <c r="F2465" s="1049"/>
      <c r="G2465" s="1049">
        <v>63</v>
      </c>
      <c r="H2465" s="564"/>
      <c r="I2465" s="609"/>
      <c r="J2465" s="1155"/>
      <c r="K2465" s="609"/>
      <c r="L2465" s="609"/>
      <c r="M2465" s="609"/>
      <c r="N2465" s="599"/>
      <c r="O2465" s="552" t="s">
        <v>1584</v>
      </c>
      <c r="P2465" s="603"/>
      <c r="Q2465" s="682"/>
      <c r="R2465" s="682"/>
      <c r="S2465" s="682"/>
      <c r="T2465" s="682"/>
      <c r="U2465" s="682"/>
      <c r="V2465" s="682"/>
      <c r="W2465" s="682"/>
    </row>
    <row r="2466" spans="1:23">
      <c r="A2466" s="1045">
        <f t="shared" si="39"/>
        <v>6</v>
      </c>
      <c r="B2466" s="134">
        <v>45472</v>
      </c>
      <c r="C2466" s="70">
        <v>1017</v>
      </c>
      <c r="D2466" s="70" t="s">
        <v>5118</v>
      </c>
      <c r="E2466" s="280" t="s">
        <v>4293</v>
      </c>
      <c r="F2466" s="1049"/>
      <c r="G2466" s="1049">
        <v>319.24</v>
      </c>
      <c r="H2466" s="564"/>
      <c r="I2466" s="609"/>
      <c r="J2466" s="1155"/>
      <c r="K2466" s="609"/>
      <c r="L2466" s="609"/>
      <c r="M2466" s="609"/>
      <c r="N2466" s="599"/>
      <c r="O2466" s="552" t="s">
        <v>1584</v>
      </c>
      <c r="P2466" s="603"/>
      <c r="Q2466" s="682"/>
      <c r="R2466" s="682"/>
      <c r="S2466" s="682"/>
      <c r="T2466" s="682"/>
      <c r="U2466" s="682"/>
      <c r="V2466" s="682"/>
      <c r="W2466" s="682"/>
    </row>
    <row r="2467" spans="1:23">
      <c r="A2467" s="1045">
        <f t="shared" si="39"/>
        <v>6</v>
      </c>
      <c r="B2467" s="134">
        <v>45472</v>
      </c>
      <c r="C2467" s="70">
        <v>1017</v>
      </c>
      <c r="D2467" s="70" t="s">
        <v>5118</v>
      </c>
      <c r="E2467" s="280" t="s">
        <v>4294</v>
      </c>
      <c r="F2467" s="1049"/>
      <c r="G2467" s="1049">
        <v>57.23</v>
      </c>
      <c r="H2467" s="564"/>
      <c r="I2467" s="609"/>
      <c r="J2467" s="1155"/>
      <c r="K2467" s="609"/>
      <c r="L2467" s="609"/>
      <c r="M2467" s="609"/>
      <c r="N2467" s="599"/>
      <c r="O2467" s="552" t="s">
        <v>1584</v>
      </c>
      <c r="P2467" s="603"/>
      <c r="Q2467" s="682"/>
      <c r="R2467" s="682"/>
      <c r="S2467" s="682"/>
      <c r="T2467" s="682"/>
      <c r="U2467" s="682"/>
      <c r="V2467" s="682"/>
      <c r="W2467" s="682"/>
    </row>
    <row r="2468" spans="1:23">
      <c r="A2468" s="1045">
        <f t="shared" si="39"/>
        <v>6</v>
      </c>
      <c r="B2468" s="134">
        <v>45473</v>
      </c>
      <c r="C2468" s="70">
        <v>1017</v>
      </c>
      <c r="D2468" s="70" t="s">
        <v>5118</v>
      </c>
      <c r="E2468" s="280" t="s">
        <v>4295</v>
      </c>
      <c r="F2468" s="1049"/>
      <c r="G2468" s="1049">
        <v>168.59</v>
      </c>
      <c r="H2468" s="564"/>
      <c r="I2468" s="609"/>
      <c r="J2468" s="1155"/>
      <c r="K2468" s="609"/>
      <c r="L2468" s="609"/>
      <c r="M2468" s="609"/>
      <c r="N2468" s="599"/>
      <c r="O2468" s="552" t="s">
        <v>1584</v>
      </c>
      <c r="P2468" s="603"/>
      <c r="Q2468" s="682"/>
      <c r="R2468" s="682"/>
      <c r="S2468" s="682"/>
      <c r="T2468" s="682"/>
      <c r="U2468" s="682"/>
      <c r="V2468" s="682"/>
      <c r="W2468" s="682"/>
    </row>
    <row r="2469" spans="1:23">
      <c r="A2469" s="1045">
        <f t="shared" si="39"/>
        <v>6</v>
      </c>
      <c r="B2469" s="134">
        <v>45473</v>
      </c>
      <c r="C2469" s="70">
        <v>1017</v>
      </c>
      <c r="D2469" s="70" t="s">
        <v>5118</v>
      </c>
      <c r="E2469" s="280" t="s">
        <v>4296</v>
      </c>
      <c r="F2469" s="1049"/>
      <c r="G2469" s="1049">
        <v>31.5</v>
      </c>
      <c r="H2469" s="564"/>
      <c r="I2469" s="609"/>
      <c r="J2469" s="1155"/>
      <c r="K2469" s="609"/>
      <c r="L2469" s="609"/>
      <c r="M2469" s="609"/>
      <c r="N2469" s="599"/>
      <c r="O2469" s="552" t="s">
        <v>1584</v>
      </c>
      <c r="P2469" s="603"/>
      <c r="Q2469" s="682"/>
      <c r="R2469" s="682"/>
      <c r="S2469" s="682"/>
      <c r="T2469" s="682"/>
      <c r="U2469" s="682"/>
      <c r="V2469" s="682"/>
      <c r="W2469" s="682"/>
    </row>
    <row r="2470" spans="1:23">
      <c r="A2470" s="1045">
        <f t="shared" si="39"/>
        <v>7</v>
      </c>
      <c r="B2470" s="134">
        <v>45474</v>
      </c>
      <c r="C2470" s="70">
        <v>1017</v>
      </c>
      <c r="D2470" s="70" t="s">
        <v>5118</v>
      </c>
      <c r="E2470" s="280" t="s">
        <v>4297</v>
      </c>
      <c r="F2470" s="1049"/>
      <c r="G2470" s="1049">
        <v>110.25</v>
      </c>
      <c r="H2470" s="564"/>
      <c r="I2470" s="609"/>
      <c r="J2470" s="1155"/>
      <c r="K2470" s="609"/>
      <c r="L2470" s="609"/>
      <c r="M2470" s="609"/>
      <c r="N2470" s="599"/>
      <c r="O2470" s="552" t="s">
        <v>1584</v>
      </c>
      <c r="P2470" s="603"/>
      <c r="Q2470" s="682"/>
      <c r="R2470" s="682"/>
      <c r="S2470" s="682"/>
      <c r="T2470" s="682"/>
      <c r="U2470" s="682"/>
      <c r="V2470" s="682"/>
      <c r="W2470" s="682"/>
    </row>
    <row r="2471" spans="1:23">
      <c r="A2471" s="1045">
        <f t="shared" si="39"/>
        <v>7</v>
      </c>
      <c r="B2471" s="134">
        <v>45474</v>
      </c>
      <c r="C2471" s="70">
        <v>1017</v>
      </c>
      <c r="D2471" s="70" t="s">
        <v>5118</v>
      </c>
      <c r="E2471" s="280" t="s">
        <v>4298</v>
      </c>
      <c r="F2471" s="1049"/>
      <c r="G2471" s="1049">
        <v>1050.5999999999999</v>
      </c>
      <c r="H2471" s="564"/>
      <c r="I2471" s="609"/>
      <c r="J2471" s="1155"/>
      <c r="K2471" s="609"/>
      <c r="L2471" s="609"/>
      <c r="M2471" s="609"/>
      <c r="N2471" s="599"/>
      <c r="O2471" s="552" t="s">
        <v>1584</v>
      </c>
      <c r="P2471" s="603"/>
      <c r="Q2471" s="682"/>
      <c r="R2471" s="682"/>
      <c r="S2471" s="682"/>
      <c r="T2471" s="682"/>
      <c r="U2471" s="682"/>
      <c r="V2471" s="682"/>
      <c r="W2471" s="682"/>
    </row>
    <row r="2472" spans="1:23">
      <c r="A2472" s="1045">
        <f t="shared" si="39"/>
        <v>7</v>
      </c>
      <c r="B2472" s="134">
        <v>45474</v>
      </c>
      <c r="C2472" s="70">
        <v>1017</v>
      </c>
      <c r="D2472" s="70" t="s">
        <v>5118</v>
      </c>
      <c r="E2472" s="280" t="s">
        <v>4299</v>
      </c>
      <c r="F2472" s="1049"/>
      <c r="G2472" s="1049">
        <v>124.59</v>
      </c>
      <c r="H2472" s="564"/>
      <c r="I2472" s="609"/>
      <c r="J2472" s="1155"/>
      <c r="K2472" s="609"/>
      <c r="L2472" s="609"/>
      <c r="M2472" s="609"/>
      <c r="N2472" s="599"/>
      <c r="O2472" s="552" t="s">
        <v>1584</v>
      </c>
      <c r="P2472" s="603"/>
      <c r="Q2472" s="682"/>
      <c r="R2472" s="682"/>
      <c r="S2472" s="682"/>
      <c r="T2472" s="682"/>
      <c r="U2472" s="682"/>
      <c r="V2472" s="682"/>
      <c r="W2472" s="682"/>
    </row>
    <row r="2473" spans="1:23">
      <c r="A2473" s="1045">
        <f t="shared" si="39"/>
        <v>7</v>
      </c>
      <c r="B2473" s="134">
        <v>45474</v>
      </c>
      <c r="C2473" s="70">
        <v>1017</v>
      </c>
      <c r="D2473" s="70" t="s">
        <v>5118</v>
      </c>
      <c r="E2473" s="280" t="s">
        <v>4300</v>
      </c>
      <c r="F2473" s="1049"/>
      <c r="G2473" s="1049">
        <v>2.63</v>
      </c>
      <c r="H2473" s="564"/>
      <c r="I2473" s="609"/>
      <c r="J2473" s="1155"/>
      <c r="K2473" s="609"/>
      <c r="L2473" s="609"/>
      <c r="M2473" s="609"/>
      <c r="N2473" s="599"/>
      <c r="O2473" s="552" t="s">
        <v>1584</v>
      </c>
      <c r="P2473" s="603"/>
      <c r="Q2473" s="682"/>
      <c r="R2473" s="682"/>
      <c r="S2473" s="682"/>
      <c r="T2473" s="682"/>
      <c r="U2473" s="682"/>
      <c r="V2473" s="682"/>
      <c r="W2473" s="682"/>
    </row>
    <row r="2474" spans="1:23">
      <c r="A2474" s="1045">
        <f t="shared" si="39"/>
        <v>7</v>
      </c>
      <c r="B2474" s="134">
        <v>45474</v>
      </c>
      <c r="C2474" s="70">
        <v>1017</v>
      </c>
      <c r="D2474" s="70" t="s">
        <v>5118</v>
      </c>
      <c r="E2474" s="280" t="s">
        <v>4301</v>
      </c>
      <c r="F2474" s="1049"/>
      <c r="G2474" s="1049">
        <v>299</v>
      </c>
      <c r="H2474" s="564"/>
      <c r="I2474" s="609"/>
      <c r="J2474" s="1155"/>
      <c r="K2474" s="609"/>
      <c r="L2474" s="609"/>
      <c r="M2474" s="609"/>
      <c r="N2474" s="599"/>
      <c r="O2474" s="552" t="s">
        <v>1584</v>
      </c>
      <c r="P2474" s="603"/>
      <c r="Q2474" s="682"/>
      <c r="R2474" s="682"/>
      <c r="S2474" s="682"/>
      <c r="T2474" s="682"/>
      <c r="U2474" s="682"/>
      <c r="V2474" s="682"/>
      <c r="W2474" s="682"/>
    </row>
    <row r="2475" spans="1:23">
      <c r="A2475" s="1045">
        <f t="shared" si="39"/>
        <v>7</v>
      </c>
      <c r="B2475" s="134">
        <v>45474</v>
      </c>
      <c r="C2475" s="70">
        <v>1017</v>
      </c>
      <c r="D2475" s="70" t="s">
        <v>5118</v>
      </c>
      <c r="E2475" s="280" t="s">
        <v>4302</v>
      </c>
      <c r="F2475" s="1049"/>
      <c r="G2475" s="1049">
        <v>2394</v>
      </c>
      <c r="H2475" s="564"/>
      <c r="I2475" s="609"/>
      <c r="J2475" s="1155"/>
      <c r="K2475" s="609"/>
      <c r="L2475" s="609"/>
      <c r="M2475" s="609"/>
      <c r="N2475" s="599"/>
      <c r="O2475" s="552" t="s">
        <v>1584</v>
      </c>
      <c r="P2475" s="603"/>
      <c r="Q2475" s="682"/>
      <c r="R2475" s="682"/>
      <c r="S2475" s="682"/>
      <c r="T2475" s="682"/>
      <c r="U2475" s="682"/>
      <c r="V2475" s="682"/>
      <c r="W2475" s="682"/>
    </row>
    <row r="2476" spans="1:23">
      <c r="A2476" s="1045">
        <f t="shared" si="39"/>
        <v>7</v>
      </c>
      <c r="B2476" s="134">
        <v>45475</v>
      </c>
      <c r="C2476" s="70">
        <v>1017</v>
      </c>
      <c r="D2476" s="70" t="s">
        <v>5118</v>
      </c>
      <c r="E2476" s="280" t="s">
        <v>4303</v>
      </c>
      <c r="F2476" s="1049"/>
      <c r="G2476" s="1049">
        <v>26.25</v>
      </c>
      <c r="H2476" s="564"/>
      <c r="I2476" s="609"/>
      <c r="J2476" s="1155"/>
      <c r="K2476" s="609"/>
      <c r="L2476" s="609"/>
      <c r="M2476" s="609"/>
      <c r="N2476" s="599"/>
      <c r="O2476" s="552" t="s">
        <v>1584</v>
      </c>
      <c r="P2476" s="603"/>
      <c r="Q2476" s="682"/>
      <c r="R2476" s="682"/>
      <c r="S2476" s="682"/>
      <c r="T2476" s="682"/>
      <c r="U2476" s="682"/>
      <c r="V2476" s="682"/>
      <c r="W2476" s="682"/>
    </row>
    <row r="2477" spans="1:23">
      <c r="A2477" s="1045">
        <f t="shared" si="39"/>
        <v>7</v>
      </c>
      <c r="B2477" s="134">
        <v>45475</v>
      </c>
      <c r="C2477" s="70">
        <v>1017</v>
      </c>
      <c r="D2477" s="70" t="s">
        <v>5118</v>
      </c>
      <c r="E2477" s="280" t="s">
        <v>4304</v>
      </c>
      <c r="F2477" s="1049"/>
      <c r="G2477" s="1049">
        <v>80.05</v>
      </c>
      <c r="H2477" s="564"/>
      <c r="I2477" s="609"/>
      <c r="J2477" s="1155"/>
      <c r="K2477" s="609"/>
      <c r="L2477" s="609"/>
      <c r="M2477" s="609"/>
      <c r="N2477" s="599"/>
      <c r="O2477" s="552" t="s">
        <v>1584</v>
      </c>
      <c r="P2477" s="603"/>
      <c r="Q2477" s="682"/>
      <c r="R2477" s="682"/>
      <c r="S2477" s="682"/>
      <c r="T2477" s="682"/>
      <c r="U2477" s="682"/>
      <c r="V2477" s="682"/>
      <c r="W2477" s="682"/>
    </row>
    <row r="2478" spans="1:23">
      <c r="A2478" s="1045">
        <f t="shared" si="39"/>
        <v>7</v>
      </c>
      <c r="B2478" s="134">
        <v>45475</v>
      </c>
      <c r="C2478" s="70">
        <v>1017</v>
      </c>
      <c r="D2478" s="70" t="s">
        <v>5118</v>
      </c>
      <c r="E2478" s="280" t="s">
        <v>4305</v>
      </c>
      <c r="F2478" s="1049"/>
      <c r="G2478" s="1049">
        <v>273</v>
      </c>
      <c r="H2478" s="564"/>
      <c r="I2478" s="609"/>
      <c r="J2478" s="1155"/>
      <c r="K2478" s="609"/>
      <c r="L2478" s="609"/>
      <c r="M2478" s="609"/>
      <c r="N2478" s="599"/>
      <c r="O2478" s="552" t="s">
        <v>1584</v>
      </c>
      <c r="P2478" s="603"/>
      <c r="Q2478" s="682"/>
      <c r="R2478" s="682"/>
      <c r="S2478" s="682"/>
      <c r="T2478" s="682"/>
      <c r="U2478" s="682"/>
      <c r="V2478" s="682"/>
      <c r="W2478" s="682"/>
    </row>
    <row r="2479" spans="1:23">
      <c r="A2479" s="1045">
        <f t="shared" si="39"/>
        <v>7</v>
      </c>
      <c r="B2479" s="134">
        <v>45475</v>
      </c>
      <c r="C2479" s="70">
        <v>1017</v>
      </c>
      <c r="D2479" s="70" t="s">
        <v>5118</v>
      </c>
      <c r="E2479" s="280" t="s">
        <v>4306</v>
      </c>
      <c r="F2479" s="1049"/>
      <c r="G2479" s="1049">
        <v>31.5</v>
      </c>
      <c r="H2479" s="564"/>
      <c r="I2479" s="609"/>
      <c r="J2479" s="1155"/>
      <c r="K2479" s="609"/>
      <c r="L2479" s="609"/>
      <c r="M2479" s="609"/>
      <c r="N2479" s="599"/>
      <c r="O2479" s="552" t="s">
        <v>1584</v>
      </c>
      <c r="P2479" s="603"/>
      <c r="Q2479" s="682"/>
      <c r="R2479" s="682"/>
      <c r="S2479" s="682"/>
      <c r="T2479" s="682"/>
      <c r="U2479" s="682"/>
      <c r="V2479" s="682"/>
      <c r="W2479" s="682"/>
    </row>
    <row r="2480" spans="1:23">
      <c r="A2480" s="1045">
        <f t="shared" si="39"/>
        <v>7</v>
      </c>
      <c r="B2480" s="134">
        <v>45476</v>
      </c>
      <c r="C2480" s="70">
        <v>1017</v>
      </c>
      <c r="D2480" s="70" t="s">
        <v>5118</v>
      </c>
      <c r="E2480" s="280" t="s">
        <v>4307</v>
      </c>
      <c r="F2480" s="1049"/>
      <c r="G2480" s="1049">
        <v>20</v>
      </c>
      <c r="H2480" s="564"/>
      <c r="I2480" s="609"/>
      <c r="J2480" s="1155"/>
      <c r="K2480" s="609"/>
      <c r="L2480" s="609"/>
      <c r="M2480" s="609"/>
      <c r="N2480" s="599"/>
      <c r="O2480" s="552" t="s">
        <v>1584</v>
      </c>
      <c r="P2480" s="603"/>
      <c r="Q2480" s="682"/>
      <c r="R2480" s="682"/>
      <c r="S2480" s="682"/>
      <c r="T2480" s="682"/>
      <c r="U2480" s="682"/>
      <c r="V2480" s="682"/>
      <c r="W2480" s="682"/>
    </row>
    <row r="2481" spans="1:23">
      <c r="A2481" s="1045">
        <f t="shared" si="39"/>
        <v>7</v>
      </c>
      <c r="B2481" s="134">
        <v>45476</v>
      </c>
      <c r="C2481" s="70">
        <v>1017</v>
      </c>
      <c r="D2481" s="70" t="s">
        <v>5118</v>
      </c>
      <c r="E2481" s="280" t="s">
        <v>4308</v>
      </c>
      <c r="F2481" s="1049"/>
      <c r="G2481" s="1049">
        <v>36.75</v>
      </c>
      <c r="H2481" s="564"/>
      <c r="I2481" s="609"/>
      <c r="J2481" s="1155"/>
      <c r="K2481" s="609"/>
      <c r="L2481" s="609"/>
      <c r="M2481" s="609"/>
      <c r="N2481" s="599"/>
      <c r="O2481" s="552" t="s">
        <v>1584</v>
      </c>
      <c r="P2481" s="603"/>
      <c r="Q2481" s="682"/>
      <c r="R2481" s="682"/>
      <c r="S2481" s="682"/>
      <c r="T2481" s="682"/>
      <c r="U2481" s="682"/>
      <c r="V2481" s="682"/>
      <c r="W2481" s="682"/>
    </row>
    <row r="2482" spans="1:23">
      <c r="A2482" s="1045">
        <f t="shared" si="39"/>
        <v>7</v>
      </c>
      <c r="B2482" s="134">
        <v>45476</v>
      </c>
      <c r="C2482" s="70">
        <v>1017</v>
      </c>
      <c r="D2482" s="70" t="s">
        <v>5118</v>
      </c>
      <c r="E2482" s="280" t="s">
        <v>4309</v>
      </c>
      <c r="F2482" s="1049"/>
      <c r="G2482" s="1049">
        <v>1092</v>
      </c>
      <c r="H2482" s="564"/>
      <c r="I2482" s="609"/>
      <c r="J2482" s="1155"/>
      <c r="K2482" s="609"/>
      <c r="L2482" s="609"/>
      <c r="M2482" s="609"/>
      <c r="N2482" s="599"/>
      <c r="O2482" s="552" t="s">
        <v>1584</v>
      </c>
      <c r="P2482" s="603"/>
      <c r="Q2482" s="682"/>
      <c r="R2482" s="682"/>
      <c r="S2482" s="682"/>
      <c r="T2482" s="682"/>
      <c r="U2482" s="682"/>
      <c r="V2482" s="682"/>
      <c r="W2482" s="682"/>
    </row>
    <row r="2483" spans="1:23">
      <c r="A2483" s="1045">
        <f t="shared" si="39"/>
        <v>7</v>
      </c>
      <c r="B2483" s="134">
        <v>45476</v>
      </c>
      <c r="C2483" s="70">
        <v>1017</v>
      </c>
      <c r="D2483" s="70" t="s">
        <v>5118</v>
      </c>
      <c r="E2483" s="280" t="s">
        <v>4310</v>
      </c>
      <c r="F2483" s="1049"/>
      <c r="G2483" s="1049">
        <v>110.25</v>
      </c>
      <c r="H2483" s="564"/>
      <c r="I2483" s="609"/>
      <c r="J2483" s="1155"/>
      <c r="K2483" s="609"/>
      <c r="L2483" s="609"/>
      <c r="M2483" s="609"/>
      <c r="N2483" s="599"/>
      <c r="O2483" s="552" t="s">
        <v>1584</v>
      </c>
      <c r="P2483" s="603"/>
      <c r="Q2483" s="682"/>
      <c r="R2483" s="682"/>
      <c r="S2483" s="682"/>
      <c r="T2483" s="682"/>
      <c r="U2483" s="682"/>
      <c r="V2483" s="682"/>
      <c r="W2483" s="682"/>
    </row>
    <row r="2484" spans="1:23">
      <c r="A2484" s="1045">
        <f t="shared" si="39"/>
        <v>7</v>
      </c>
      <c r="B2484" s="134">
        <v>45476</v>
      </c>
      <c r="C2484" s="70">
        <v>1017</v>
      </c>
      <c r="D2484" s="70" t="s">
        <v>5118</v>
      </c>
      <c r="E2484" s="280" t="s">
        <v>4311</v>
      </c>
      <c r="F2484" s="1049"/>
      <c r="G2484" s="1049">
        <v>24.15</v>
      </c>
      <c r="H2484" s="564"/>
      <c r="I2484" s="609"/>
      <c r="J2484" s="1155"/>
      <c r="K2484" s="609"/>
      <c r="L2484" s="609"/>
      <c r="M2484" s="609"/>
      <c r="N2484" s="599"/>
      <c r="O2484" s="552" t="s">
        <v>1584</v>
      </c>
      <c r="P2484" s="603"/>
      <c r="Q2484" s="682"/>
      <c r="R2484" s="682"/>
      <c r="S2484" s="682"/>
      <c r="T2484" s="682"/>
      <c r="U2484" s="682"/>
      <c r="V2484" s="682"/>
      <c r="W2484" s="682"/>
    </row>
    <row r="2485" spans="1:23">
      <c r="A2485" s="1045">
        <f t="shared" si="39"/>
        <v>7</v>
      </c>
      <c r="B2485" s="134">
        <v>45476</v>
      </c>
      <c r="C2485" s="70">
        <v>1017</v>
      </c>
      <c r="D2485" s="70" t="s">
        <v>5118</v>
      </c>
      <c r="E2485" s="280" t="s">
        <v>4312</v>
      </c>
      <c r="F2485" s="1049"/>
      <c r="G2485" s="1049">
        <v>163.80000000000001</v>
      </c>
      <c r="H2485" s="564"/>
      <c r="I2485" s="609"/>
      <c r="J2485" s="1155"/>
      <c r="K2485" s="609"/>
      <c r="L2485" s="609"/>
      <c r="M2485" s="609"/>
      <c r="N2485" s="599"/>
      <c r="O2485" s="552" t="s">
        <v>1584</v>
      </c>
      <c r="P2485" s="603"/>
      <c r="Q2485" s="682"/>
      <c r="R2485" s="682"/>
      <c r="S2485" s="682"/>
      <c r="T2485" s="682"/>
      <c r="U2485" s="682"/>
      <c r="V2485" s="682"/>
      <c r="W2485" s="682"/>
    </row>
    <row r="2486" spans="1:23">
      <c r="A2486" s="1045">
        <f t="shared" si="39"/>
        <v>7</v>
      </c>
      <c r="B2486" s="134">
        <v>45477</v>
      </c>
      <c r="C2486" s="70">
        <v>1017</v>
      </c>
      <c r="D2486" s="70" t="s">
        <v>5118</v>
      </c>
      <c r="E2486" s="280" t="s">
        <v>4313</v>
      </c>
      <c r="F2486" s="1049"/>
      <c r="G2486" s="1049">
        <v>78.75</v>
      </c>
      <c r="H2486" s="564"/>
      <c r="I2486" s="609"/>
      <c r="J2486" s="1155"/>
      <c r="K2486" s="609"/>
      <c r="L2486" s="609"/>
      <c r="M2486" s="609"/>
      <c r="N2486" s="599"/>
      <c r="O2486" s="552" t="s">
        <v>1584</v>
      </c>
      <c r="P2486" s="603"/>
      <c r="Q2486" s="682"/>
      <c r="R2486" s="682"/>
      <c r="S2486" s="682"/>
      <c r="T2486" s="682"/>
      <c r="U2486" s="682"/>
      <c r="V2486" s="682"/>
      <c r="W2486" s="682"/>
    </row>
    <row r="2487" spans="1:23">
      <c r="A2487" s="1045">
        <f t="shared" si="39"/>
        <v>7</v>
      </c>
      <c r="B2487" s="134">
        <v>45477</v>
      </c>
      <c r="C2487" s="70">
        <v>1017</v>
      </c>
      <c r="D2487" s="70" t="s">
        <v>5118</v>
      </c>
      <c r="E2487" s="280" t="s">
        <v>4314</v>
      </c>
      <c r="F2487" s="1049"/>
      <c r="G2487" s="1049">
        <v>1060.5</v>
      </c>
      <c r="H2487" s="564"/>
      <c r="I2487" s="609"/>
      <c r="J2487" s="1155"/>
      <c r="K2487" s="609"/>
      <c r="L2487" s="609"/>
      <c r="M2487" s="609"/>
      <c r="N2487" s="599"/>
      <c r="O2487" s="552" t="s">
        <v>1584</v>
      </c>
      <c r="P2487" s="603"/>
      <c r="Q2487" s="682"/>
      <c r="R2487" s="682"/>
      <c r="S2487" s="682"/>
      <c r="T2487" s="682"/>
      <c r="U2487" s="682"/>
      <c r="V2487" s="682"/>
      <c r="W2487" s="682"/>
    </row>
    <row r="2488" spans="1:23">
      <c r="A2488" s="1045">
        <f t="shared" si="39"/>
        <v>7</v>
      </c>
      <c r="B2488" s="134">
        <v>45477</v>
      </c>
      <c r="C2488" s="70">
        <v>1017</v>
      </c>
      <c r="D2488" s="70" t="s">
        <v>5118</v>
      </c>
      <c r="E2488" s="280" t="s">
        <v>4315</v>
      </c>
      <c r="F2488" s="1049"/>
      <c r="G2488" s="1049">
        <v>983.85</v>
      </c>
      <c r="H2488" s="564"/>
      <c r="I2488" s="609"/>
      <c r="J2488" s="1155"/>
      <c r="K2488" s="609"/>
      <c r="L2488" s="609"/>
      <c r="M2488" s="609"/>
      <c r="N2488" s="599"/>
      <c r="O2488" s="552" t="s">
        <v>1584</v>
      </c>
      <c r="P2488" s="603"/>
      <c r="Q2488" s="682"/>
      <c r="R2488" s="682"/>
      <c r="S2488" s="682"/>
      <c r="T2488" s="682"/>
      <c r="U2488" s="682"/>
      <c r="V2488" s="682"/>
      <c r="W2488" s="682"/>
    </row>
    <row r="2489" spans="1:23">
      <c r="A2489" s="1045">
        <f t="shared" si="39"/>
        <v>7</v>
      </c>
      <c r="B2489" s="134">
        <v>45477</v>
      </c>
      <c r="C2489" s="70">
        <v>1017</v>
      </c>
      <c r="D2489" s="70" t="s">
        <v>5118</v>
      </c>
      <c r="E2489" s="280" t="s">
        <v>4316</v>
      </c>
      <c r="F2489" s="1049"/>
      <c r="G2489" s="1049">
        <v>853.47</v>
      </c>
      <c r="H2489" s="564"/>
      <c r="I2489" s="609"/>
      <c r="J2489" s="1155"/>
      <c r="K2489" s="609"/>
      <c r="L2489" s="609"/>
      <c r="M2489" s="609"/>
      <c r="N2489" s="599"/>
      <c r="O2489" s="552" t="s">
        <v>1584</v>
      </c>
      <c r="P2489" s="603"/>
      <c r="Q2489" s="682"/>
      <c r="R2489" s="682"/>
      <c r="S2489" s="682"/>
      <c r="T2489" s="682"/>
      <c r="U2489" s="682"/>
      <c r="V2489" s="682"/>
      <c r="W2489" s="682"/>
    </row>
    <row r="2490" spans="1:23">
      <c r="A2490" s="1045">
        <f t="shared" si="39"/>
        <v>7</v>
      </c>
      <c r="B2490" s="134">
        <v>45477</v>
      </c>
      <c r="C2490" s="70">
        <v>1017</v>
      </c>
      <c r="D2490" s="70" t="s">
        <v>5118</v>
      </c>
      <c r="E2490" s="280" t="s">
        <v>4317</v>
      </c>
      <c r="F2490" s="1049"/>
      <c r="G2490" s="1049">
        <v>464</v>
      </c>
      <c r="H2490" s="564"/>
      <c r="I2490" s="609"/>
      <c r="J2490" s="1155"/>
      <c r="K2490" s="609"/>
      <c r="L2490" s="609"/>
      <c r="M2490" s="609"/>
      <c r="N2490" s="599"/>
      <c r="O2490" s="552" t="s">
        <v>1584</v>
      </c>
      <c r="P2490" s="603"/>
      <c r="Q2490" s="682"/>
      <c r="R2490" s="682"/>
      <c r="S2490" s="682"/>
      <c r="T2490" s="682"/>
      <c r="U2490" s="682"/>
      <c r="V2490" s="682"/>
      <c r="W2490" s="682"/>
    </row>
    <row r="2491" spans="1:23">
      <c r="A2491" s="1045">
        <f t="shared" si="39"/>
        <v>7</v>
      </c>
      <c r="B2491" s="134">
        <v>45478</v>
      </c>
      <c r="C2491" s="70">
        <v>1017</v>
      </c>
      <c r="D2491" s="70" t="s">
        <v>5118</v>
      </c>
      <c r="E2491" s="280" t="s">
        <v>4318</v>
      </c>
      <c r="F2491" s="1049"/>
      <c r="G2491" s="1049">
        <v>357</v>
      </c>
      <c r="H2491" s="564"/>
      <c r="I2491" s="609"/>
      <c r="J2491" s="1155"/>
      <c r="K2491" s="609"/>
      <c r="L2491" s="609"/>
      <c r="M2491" s="609"/>
      <c r="N2491" s="599"/>
      <c r="O2491" s="552" t="s">
        <v>1584</v>
      </c>
      <c r="P2491" s="603"/>
      <c r="Q2491" s="682"/>
      <c r="R2491" s="682"/>
      <c r="S2491" s="682"/>
      <c r="T2491" s="682"/>
      <c r="U2491" s="682"/>
      <c r="V2491" s="682"/>
      <c r="W2491" s="682"/>
    </row>
    <row r="2492" spans="1:23">
      <c r="A2492" s="1045">
        <f t="shared" si="39"/>
        <v>7</v>
      </c>
      <c r="B2492" s="134">
        <v>45478</v>
      </c>
      <c r="C2492" s="70">
        <v>1017</v>
      </c>
      <c r="D2492" s="70" t="s">
        <v>5118</v>
      </c>
      <c r="E2492" s="280" t="s">
        <v>4319</v>
      </c>
      <c r="F2492" s="1049"/>
      <c r="G2492" s="1049">
        <v>165.61</v>
      </c>
      <c r="H2492" s="564"/>
      <c r="I2492" s="609"/>
      <c r="J2492" s="1155"/>
      <c r="K2492" s="609"/>
      <c r="L2492" s="609"/>
      <c r="M2492" s="609"/>
      <c r="N2492" s="599"/>
      <c r="O2492" s="552" t="s">
        <v>1584</v>
      </c>
      <c r="P2492" s="603"/>
      <c r="Q2492" s="682"/>
      <c r="R2492" s="682"/>
      <c r="S2492" s="682"/>
      <c r="T2492" s="682"/>
      <c r="U2492" s="682"/>
      <c r="V2492" s="682"/>
      <c r="W2492" s="682"/>
    </row>
    <row r="2493" spans="1:23">
      <c r="A2493" s="1045">
        <f t="shared" si="39"/>
        <v>7</v>
      </c>
      <c r="B2493" s="134">
        <v>45478</v>
      </c>
      <c r="C2493" s="70">
        <v>1017</v>
      </c>
      <c r="D2493" s="70" t="s">
        <v>5118</v>
      </c>
      <c r="E2493" s="280" t="s">
        <v>4320</v>
      </c>
      <c r="F2493" s="1049"/>
      <c r="G2493" s="1049">
        <v>400</v>
      </c>
      <c r="H2493" s="564"/>
      <c r="I2493" s="609"/>
      <c r="J2493" s="1155"/>
      <c r="K2493" s="609"/>
      <c r="L2493" s="609"/>
      <c r="M2493" s="609"/>
      <c r="N2493" s="599"/>
      <c r="O2493" s="552" t="s">
        <v>1584</v>
      </c>
      <c r="P2493" s="603"/>
      <c r="Q2493" s="682"/>
      <c r="R2493" s="682"/>
      <c r="S2493" s="682"/>
      <c r="T2493" s="682"/>
      <c r="U2493" s="682"/>
      <c r="V2493" s="682"/>
      <c r="W2493" s="682"/>
    </row>
    <row r="2494" spans="1:23">
      <c r="A2494" s="1045">
        <f t="shared" si="39"/>
        <v>7</v>
      </c>
      <c r="B2494" s="134">
        <v>45478</v>
      </c>
      <c r="C2494" s="70">
        <v>1017</v>
      </c>
      <c r="D2494" s="70" t="s">
        <v>5118</v>
      </c>
      <c r="E2494" s="280" t="s">
        <v>4321</v>
      </c>
      <c r="F2494" s="1049"/>
      <c r="G2494" s="1049">
        <v>218</v>
      </c>
      <c r="H2494" s="564"/>
      <c r="I2494" s="609"/>
      <c r="J2494" s="1155"/>
      <c r="K2494" s="609"/>
      <c r="L2494" s="609"/>
      <c r="M2494" s="609"/>
      <c r="N2494" s="599"/>
      <c r="O2494" s="552" t="s">
        <v>1584</v>
      </c>
      <c r="P2494" s="603"/>
      <c r="Q2494" s="682"/>
      <c r="R2494" s="682"/>
      <c r="S2494" s="682"/>
      <c r="T2494" s="682"/>
      <c r="U2494" s="682"/>
      <c r="V2494" s="682"/>
      <c r="W2494" s="682"/>
    </row>
    <row r="2495" spans="1:23">
      <c r="A2495" s="1045">
        <f t="shared" si="39"/>
        <v>7</v>
      </c>
      <c r="B2495" s="134">
        <v>45479</v>
      </c>
      <c r="C2495" s="70">
        <v>1017</v>
      </c>
      <c r="D2495" s="70" t="s">
        <v>5118</v>
      </c>
      <c r="E2495" s="280" t="s">
        <v>4322</v>
      </c>
      <c r="F2495" s="1049"/>
      <c r="G2495" s="1049">
        <v>198.03</v>
      </c>
      <c r="H2495" s="564"/>
      <c r="I2495" s="609"/>
      <c r="J2495" s="1155"/>
      <c r="K2495" s="609"/>
      <c r="L2495" s="609"/>
      <c r="M2495" s="609"/>
      <c r="N2495" s="599"/>
      <c r="O2495" s="552" t="s">
        <v>1584</v>
      </c>
      <c r="P2495" s="603"/>
      <c r="Q2495" s="682"/>
      <c r="R2495" s="682"/>
      <c r="S2495" s="682"/>
      <c r="T2495" s="682"/>
      <c r="U2495" s="682"/>
      <c r="V2495" s="682"/>
      <c r="W2495" s="682"/>
    </row>
    <row r="2496" spans="1:23">
      <c r="A2496" s="1045">
        <f t="shared" si="39"/>
        <v>7</v>
      </c>
      <c r="B2496" s="134">
        <v>45479</v>
      </c>
      <c r="C2496" s="70">
        <v>1017</v>
      </c>
      <c r="D2496" s="70" t="s">
        <v>5118</v>
      </c>
      <c r="E2496" s="280" t="s">
        <v>4323</v>
      </c>
      <c r="F2496" s="1049"/>
      <c r="G2496" s="1049">
        <v>325</v>
      </c>
      <c r="H2496" s="564"/>
      <c r="I2496" s="609"/>
      <c r="J2496" s="1155"/>
      <c r="K2496" s="609"/>
      <c r="L2496" s="609"/>
      <c r="M2496" s="609"/>
      <c r="N2496" s="599"/>
      <c r="O2496" s="552" t="s">
        <v>1584</v>
      </c>
      <c r="P2496" s="603"/>
      <c r="Q2496" s="682"/>
      <c r="R2496" s="682"/>
      <c r="S2496" s="682"/>
      <c r="T2496" s="682"/>
      <c r="U2496" s="682"/>
      <c r="V2496" s="682"/>
      <c r="W2496" s="682"/>
    </row>
    <row r="2497" spans="1:23">
      <c r="A2497" s="1045">
        <f t="shared" si="39"/>
        <v>7</v>
      </c>
      <c r="B2497" s="134">
        <v>45479</v>
      </c>
      <c r="C2497" s="70">
        <v>1017</v>
      </c>
      <c r="D2497" s="70" t="s">
        <v>5118</v>
      </c>
      <c r="E2497" s="280" t="s">
        <v>4324</v>
      </c>
      <c r="F2497" s="1049"/>
      <c r="G2497" s="1049">
        <v>36.75</v>
      </c>
      <c r="H2497" s="564"/>
      <c r="I2497" s="609"/>
      <c r="J2497" s="1155"/>
      <c r="K2497" s="609"/>
      <c r="L2497" s="609"/>
      <c r="M2497" s="609"/>
      <c r="N2497" s="599"/>
      <c r="O2497" s="552" t="s">
        <v>1584</v>
      </c>
      <c r="P2497" s="603"/>
      <c r="Q2497" s="682"/>
      <c r="R2497" s="682"/>
      <c r="S2497" s="682"/>
      <c r="T2497" s="682"/>
      <c r="U2497" s="682"/>
      <c r="V2497" s="682"/>
      <c r="W2497" s="682"/>
    </row>
    <row r="2498" spans="1:23">
      <c r="A2498" s="1045">
        <f t="shared" si="39"/>
        <v>7</v>
      </c>
      <c r="B2498" s="134">
        <v>45479</v>
      </c>
      <c r="C2498" s="70">
        <v>1017</v>
      </c>
      <c r="D2498" s="70" t="s">
        <v>5118</v>
      </c>
      <c r="E2498" s="280" t="s">
        <v>4325</v>
      </c>
      <c r="F2498" s="1049"/>
      <c r="G2498" s="1049">
        <v>467.25</v>
      </c>
      <c r="H2498" s="564"/>
      <c r="I2498" s="609"/>
      <c r="J2498" s="1155"/>
      <c r="K2498" s="609"/>
      <c r="L2498" s="609"/>
      <c r="M2498" s="609"/>
      <c r="N2498" s="599"/>
      <c r="O2498" s="552" t="s">
        <v>1584</v>
      </c>
      <c r="P2498" s="603"/>
      <c r="Q2498" s="682"/>
      <c r="R2498" s="682"/>
      <c r="S2498" s="682"/>
      <c r="T2498" s="682"/>
      <c r="U2498" s="682"/>
      <c r="V2498" s="682"/>
      <c r="W2498" s="682"/>
    </row>
    <row r="2499" spans="1:23">
      <c r="A2499" s="1045">
        <f t="shared" si="39"/>
        <v>7</v>
      </c>
      <c r="B2499" s="134">
        <v>45479</v>
      </c>
      <c r="C2499" s="70">
        <v>1017</v>
      </c>
      <c r="D2499" s="70" t="s">
        <v>5118</v>
      </c>
      <c r="E2499" s="280" t="s">
        <v>4326</v>
      </c>
      <c r="F2499" s="1049"/>
      <c r="G2499" s="1049">
        <v>1414.98</v>
      </c>
      <c r="H2499" s="564"/>
      <c r="I2499" s="609"/>
      <c r="J2499" s="1155"/>
      <c r="K2499" s="609"/>
      <c r="L2499" s="609"/>
      <c r="M2499" s="609"/>
      <c r="N2499" s="599"/>
      <c r="O2499" s="552" t="s">
        <v>1584</v>
      </c>
      <c r="P2499" s="603"/>
      <c r="Q2499" s="682"/>
      <c r="R2499" s="682"/>
      <c r="S2499" s="682"/>
      <c r="T2499" s="682"/>
      <c r="U2499" s="682"/>
      <c r="V2499" s="682"/>
      <c r="W2499" s="682"/>
    </row>
    <row r="2500" spans="1:23">
      <c r="A2500" s="1045">
        <f t="shared" si="39"/>
        <v>7</v>
      </c>
      <c r="B2500" s="134">
        <v>45479</v>
      </c>
      <c r="C2500" s="70">
        <v>1017</v>
      </c>
      <c r="D2500" s="70" t="s">
        <v>5118</v>
      </c>
      <c r="E2500" s="280" t="s">
        <v>4327</v>
      </c>
      <c r="F2500" s="1049"/>
      <c r="G2500" s="1049">
        <v>68.25</v>
      </c>
      <c r="H2500" s="564"/>
      <c r="I2500" s="609"/>
      <c r="J2500" s="1155"/>
      <c r="K2500" s="609"/>
      <c r="L2500" s="609"/>
      <c r="M2500" s="609"/>
      <c r="N2500" s="599"/>
      <c r="O2500" s="552" t="s">
        <v>1584</v>
      </c>
      <c r="P2500" s="603"/>
      <c r="Q2500" s="682"/>
      <c r="R2500" s="682"/>
      <c r="S2500" s="682"/>
      <c r="T2500" s="682"/>
      <c r="U2500" s="682"/>
      <c r="V2500" s="682"/>
      <c r="W2500" s="682"/>
    </row>
    <row r="2501" spans="1:23">
      <c r="A2501" s="1045">
        <f t="shared" si="39"/>
        <v>7</v>
      </c>
      <c r="B2501" s="134">
        <v>45479</v>
      </c>
      <c r="C2501" s="70">
        <v>1017</v>
      </c>
      <c r="D2501" s="70" t="s">
        <v>5118</v>
      </c>
      <c r="E2501" s="280" t="s">
        <v>4328</v>
      </c>
      <c r="F2501" s="1049"/>
      <c r="G2501" s="1049">
        <v>78.75</v>
      </c>
      <c r="H2501" s="564"/>
      <c r="I2501" s="609"/>
      <c r="J2501" s="1155"/>
      <c r="K2501" s="609"/>
      <c r="L2501" s="609"/>
      <c r="M2501" s="609"/>
      <c r="N2501" s="599"/>
      <c r="O2501" s="552" t="s">
        <v>1584</v>
      </c>
      <c r="P2501" s="603"/>
      <c r="Q2501" s="682"/>
      <c r="R2501" s="682"/>
      <c r="S2501" s="682"/>
      <c r="T2501" s="682"/>
      <c r="U2501" s="682"/>
      <c r="V2501" s="682"/>
      <c r="W2501" s="682"/>
    </row>
    <row r="2502" spans="1:23">
      <c r="A2502" s="1045">
        <f t="shared" si="39"/>
        <v>7</v>
      </c>
      <c r="B2502" s="134">
        <v>45479</v>
      </c>
      <c r="C2502" s="70">
        <v>1017</v>
      </c>
      <c r="D2502" s="70" t="s">
        <v>5118</v>
      </c>
      <c r="E2502" s="280" t="s">
        <v>4329</v>
      </c>
      <c r="F2502" s="1049"/>
      <c r="G2502" s="1049">
        <v>150</v>
      </c>
      <c r="H2502" s="564"/>
      <c r="I2502" s="609"/>
      <c r="J2502" s="1155"/>
      <c r="K2502" s="609"/>
      <c r="L2502" s="609"/>
      <c r="M2502" s="609"/>
      <c r="N2502" s="599"/>
      <c r="O2502" s="552" t="s">
        <v>1584</v>
      </c>
      <c r="P2502" s="603"/>
      <c r="Q2502" s="682"/>
      <c r="R2502" s="682"/>
      <c r="S2502" s="682"/>
      <c r="T2502" s="682"/>
      <c r="U2502" s="682"/>
      <c r="V2502" s="682"/>
      <c r="W2502" s="682"/>
    </row>
    <row r="2503" spans="1:23">
      <c r="A2503" s="1045">
        <f t="shared" si="39"/>
        <v>7</v>
      </c>
      <c r="B2503" s="134">
        <v>45480</v>
      </c>
      <c r="C2503" s="70">
        <v>1017</v>
      </c>
      <c r="D2503" s="70" t="s">
        <v>5118</v>
      </c>
      <c r="E2503" s="280" t="s">
        <v>4330</v>
      </c>
      <c r="F2503" s="1049"/>
      <c r="G2503" s="1049">
        <v>36.75</v>
      </c>
      <c r="H2503" s="564"/>
      <c r="I2503" s="609"/>
      <c r="J2503" s="1155"/>
      <c r="K2503" s="609"/>
      <c r="L2503" s="609"/>
      <c r="M2503" s="609"/>
      <c r="N2503" s="599"/>
      <c r="O2503" s="552" t="s">
        <v>1584</v>
      </c>
      <c r="P2503" s="603"/>
      <c r="Q2503" s="682"/>
      <c r="R2503" s="682"/>
      <c r="S2503" s="682"/>
      <c r="T2503" s="682"/>
      <c r="U2503" s="682"/>
      <c r="V2503" s="682"/>
      <c r="W2503" s="682"/>
    </row>
    <row r="2504" spans="1:23">
      <c r="A2504" s="1045">
        <f t="shared" si="39"/>
        <v>7</v>
      </c>
      <c r="B2504" s="134">
        <v>45480</v>
      </c>
      <c r="C2504" s="70">
        <v>1017</v>
      </c>
      <c r="D2504" s="70" t="s">
        <v>5118</v>
      </c>
      <c r="E2504" s="280" t="s">
        <v>4331</v>
      </c>
      <c r="F2504" s="1049"/>
      <c r="G2504" s="1049">
        <v>206.12</v>
      </c>
      <c r="H2504" s="564"/>
      <c r="I2504" s="609"/>
      <c r="J2504" s="1155"/>
      <c r="K2504" s="609"/>
      <c r="L2504" s="609"/>
      <c r="M2504" s="609"/>
      <c r="N2504" s="599"/>
      <c r="O2504" s="552" t="s">
        <v>1584</v>
      </c>
      <c r="P2504" s="603"/>
      <c r="Q2504" s="682"/>
      <c r="R2504" s="682"/>
      <c r="S2504" s="682"/>
      <c r="T2504" s="682"/>
      <c r="U2504" s="682"/>
      <c r="V2504" s="682"/>
      <c r="W2504" s="682"/>
    </row>
    <row r="2505" spans="1:23">
      <c r="A2505" s="1045">
        <f t="shared" si="39"/>
        <v>7</v>
      </c>
      <c r="B2505" s="134">
        <v>45481</v>
      </c>
      <c r="C2505" s="70">
        <v>1017</v>
      </c>
      <c r="D2505" s="70" t="s">
        <v>5118</v>
      </c>
      <c r="E2505" s="280" t="s">
        <v>4332</v>
      </c>
      <c r="F2505" s="1049"/>
      <c r="G2505" s="1049">
        <v>5</v>
      </c>
      <c r="H2505" s="564"/>
      <c r="I2505" s="609"/>
      <c r="J2505" s="1155"/>
      <c r="K2505" s="609"/>
      <c r="L2505" s="609"/>
      <c r="M2505" s="609"/>
      <c r="N2505" s="599"/>
      <c r="O2505" s="552" t="s">
        <v>1584</v>
      </c>
      <c r="P2505" s="603"/>
      <c r="Q2505" s="682"/>
      <c r="R2505" s="682"/>
      <c r="S2505" s="682"/>
      <c r="T2505" s="682"/>
      <c r="U2505" s="682"/>
      <c r="V2505" s="682"/>
      <c r="W2505" s="682"/>
    </row>
    <row r="2506" spans="1:23">
      <c r="A2506" s="1045">
        <f t="shared" si="39"/>
        <v>7</v>
      </c>
      <c r="B2506" s="134">
        <v>45481</v>
      </c>
      <c r="C2506" s="70">
        <v>1017</v>
      </c>
      <c r="D2506" s="70" t="s">
        <v>5118</v>
      </c>
      <c r="E2506" s="280" t="s">
        <v>4333</v>
      </c>
      <c r="F2506" s="1049"/>
      <c r="G2506" s="1049">
        <v>2021.78</v>
      </c>
      <c r="H2506" s="564"/>
      <c r="I2506" s="609"/>
      <c r="J2506" s="1155"/>
      <c r="K2506" s="609"/>
      <c r="L2506" s="609"/>
      <c r="M2506" s="609"/>
      <c r="N2506" s="599"/>
      <c r="O2506" s="552" t="s">
        <v>1584</v>
      </c>
      <c r="P2506" s="603"/>
      <c r="Q2506" s="682"/>
      <c r="R2506" s="682"/>
      <c r="S2506" s="682"/>
      <c r="T2506" s="682"/>
      <c r="U2506" s="682"/>
      <c r="V2506" s="682"/>
      <c r="W2506" s="682"/>
    </row>
    <row r="2507" spans="1:23">
      <c r="A2507" s="1045">
        <f t="shared" si="39"/>
        <v>7</v>
      </c>
      <c r="B2507" s="134">
        <v>45481</v>
      </c>
      <c r="C2507" s="70">
        <v>1017</v>
      </c>
      <c r="D2507" s="70" t="s">
        <v>5118</v>
      </c>
      <c r="E2507" s="280" t="s">
        <v>4334</v>
      </c>
      <c r="F2507" s="1049"/>
      <c r="G2507" s="1049">
        <v>504</v>
      </c>
      <c r="H2507" s="564"/>
      <c r="I2507" s="609"/>
      <c r="J2507" s="1155"/>
      <c r="K2507" s="609"/>
      <c r="L2507" s="609"/>
      <c r="M2507" s="609"/>
      <c r="N2507" s="599"/>
      <c r="O2507" s="552" t="s">
        <v>1584</v>
      </c>
      <c r="P2507" s="603"/>
      <c r="Q2507" s="682"/>
      <c r="R2507" s="682"/>
      <c r="S2507" s="682"/>
      <c r="T2507" s="682"/>
      <c r="U2507" s="682"/>
      <c r="V2507" s="682"/>
      <c r="W2507" s="682"/>
    </row>
    <row r="2508" spans="1:23">
      <c r="A2508" s="1045">
        <f t="shared" si="39"/>
        <v>7</v>
      </c>
      <c r="B2508" s="134">
        <v>45481</v>
      </c>
      <c r="C2508" s="70">
        <v>1017</v>
      </c>
      <c r="D2508" s="70" t="s">
        <v>5118</v>
      </c>
      <c r="E2508" s="280" t="s">
        <v>4335</v>
      </c>
      <c r="F2508" s="1049"/>
      <c r="G2508" s="1049">
        <v>394.49</v>
      </c>
      <c r="H2508" s="564"/>
      <c r="I2508" s="609"/>
      <c r="J2508" s="1155"/>
      <c r="K2508" s="609"/>
      <c r="L2508" s="609"/>
      <c r="M2508" s="609"/>
      <c r="N2508" s="599"/>
      <c r="O2508" s="552" t="s">
        <v>1584</v>
      </c>
      <c r="P2508" s="603"/>
      <c r="Q2508" s="682"/>
      <c r="R2508" s="682"/>
      <c r="S2508" s="682"/>
      <c r="T2508" s="682"/>
      <c r="U2508" s="682"/>
      <c r="V2508" s="682"/>
      <c r="W2508" s="682"/>
    </row>
    <row r="2509" spans="1:23">
      <c r="A2509" s="1045">
        <f t="shared" si="39"/>
        <v>7</v>
      </c>
      <c r="B2509" s="134">
        <v>45482</v>
      </c>
      <c r="C2509" s="70">
        <v>1017</v>
      </c>
      <c r="D2509" s="70" t="s">
        <v>5118</v>
      </c>
      <c r="E2509" s="280" t="s">
        <v>4336</v>
      </c>
      <c r="F2509" s="1049"/>
      <c r="G2509" s="1049">
        <v>5.2</v>
      </c>
      <c r="H2509" s="564"/>
      <c r="I2509" s="609"/>
      <c r="J2509" s="1155"/>
      <c r="K2509" s="609"/>
      <c r="L2509" s="609"/>
      <c r="M2509" s="609"/>
      <c r="N2509" s="599"/>
      <c r="O2509" s="552" t="s">
        <v>1584</v>
      </c>
      <c r="P2509" s="603"/>
      <c r="Q2509" s="682"/>
      <c r="R2509" s="682"/>
      <c r="S2509" s="682"/>
      <c r="T2509" s="682"/>
      <c r="U2509" s="682"/>
      <c r="V2509" s="682"/>
      <c r="W2509" s="682"/>
    </row>
    <row r="2510" spans="1:23">
      <c r="A2510" s="1045">
        <f t="shared" si="39"/>
        <v>7</v>
      </c>
      <c r="B2510" s="134">
        <v>45482</v>
      </c>
      <c r="C2510" s="70">
        <v>1017</v>
      </c>
      <c r="D2510" s="70" t="s">
        <v>5118</v>
      </c>
      <c r="E2510" s="280" t="s">
        <v>4337</v>
      </c>
      <c r="F2510" s="1049"/>
      <c r="G2510" s="1049">
        <v>137.66</v>
      </c>
      <c r="H2510" s="564"/>
      <c r="I2510" s="609"/>
      <c r="J2510" s="1155"/>
      <c r="K2510" s="609"/>
      <c r="L2510" s="609"/>
      <c r="M2510" s="609"/>
      <c r="N2510" s="599"/>
      <c r="O2510" s="552" t="s">
        <v>1584</v>
      </c>
      <c r="P2510" s="603"/>
      <c r="Q2510" s="682"/>
      <c r="R2510" s="682"/>
      <c r="S2510" s="682"/>
      <c r="T2510" s="682"/>
      <c r="U2510" s="682"/>
      <c r="V2510" s="682"/>
      <c r="W2510" s="682"/>
    </row>
    <row r="2511" spans="1:23">
      <c r="A2511" s="1045">
        <f t="shared" si="39"/>
        <v>7</v>
      </c>
      <c r="B2511" s="134">
        <v>45482</v>
      </c>
      <c r="C2511" s="70">
        <v>1017</v>
      </c>
      <c r="D2511" s="70" t="s">
        <v>5118</v>
      </c>
      <c r="E2511" s="280" t="s">
        <v>4338</v>
      </c>
      <c r="F2511" s="1049"/>
      <c r="G2511" s="1049">
        <v>333.5</v>
      </c>
      <c r="H2511" s="564"/>
      <c r="I2511" s="609"/>
      <c r="J2511" s="1155"/>
      <c r="K2511" s="609"/>
      <c r="L2511" s="609"/>
      <c r="M2511" s="609"/>
      <c r="N2511" s="599"/>
      <c r="O2511" s="552" t="s">
        <v>1584</v>
      </c>
      <c r="P2511" s="603"/>
      <c r="Q2511" s="682"/>
      <c r="R2511" s="682"/>
      <c r="S2511" s="682"/>
      <c r="T2511" s="682"/>
      <c r="U2511" s="682"/>
      <c r="V2511" s="682"/>
      <c r="W2511" s="682"/>
    </row>
    <row r="2512" spans="1:23">
      <c r="A2512" s="1045">
        <f t="shared" si="39"/>
        <v>7</v>
      </c>
      <c r="B2512" s="134">
        <v>45483</v>
      </c>
      <c r="C2512" s="70">
        <v>1017</v>
      </c>
      <c r="D2512" s="70" t="s">
        <v>5118</v>
      </c>
      <c r="E2512" s="280" t="s">
        <v>4339</v>
      </c>
      <c r="F2512" s="1049"/>
      <c r="G2512" s="1049">
        <v>55.65</v>
      </c>
      <c r="H2512" s="564"/>
      <c r="I2512" s="609"/>
      <c r="J2512" s="1155"/>
      <c r="K2512" s="609"/>
      <c r="L2512" s="609"/>
      <c r="M2512" s="609"/>
      <c r="N2512" s="599"/>
      <c r="O2512" s="552" t="s">
        <v>1584</v>
      </c>
      <c r="P2512" s="603"/>
      <c r="Q2512" s="682"/>
      <c r="R2512" s="682"/>
      <c r="S2512" s="682"/>
      <c r="T2512" s="682"/>
      <c r="U2512" s="682"/>
      <c r="V2512" s="682"/>
      <c r="W2512" s="682"/>
    </row>
    <row r="2513" spans="1:23">
      <c r="A2513" s="1045">
        <f t="shared" si="39"/>
        <v>7</v>
      </c>
      <c r="B2513" s="134">
        <v>45483</v>
      </c>
      <c r="C2513" s="70">
        <v>1017</v>
      </c>
      <c r="D2513" s="70" t="s">
        <v>5118</v>
      </c>
      <c r="E2513" s="280" t="s">
        <v>4340</v>
      </c>
      <c r="F2513" s="1049"/>
      <c r="G2513" s="1049">
        <v>410.03</v>
      </c>
      <c r="H2513" s="564"/>
      <c r="I2513" s="609"/>
      <c r="J2513" s="1155"/>
      <c r="K2513" s="609"/>
      <c r="L2513" s="609"/>
      <c r="M2513" s="609"/>
      <c r="N2513" s="599"/>
      <c r="O2513" s="552" t="s">
        <v>1584</v>
      </c>
      <c r="P2513" s="603"/>
      <c r="Q2513" s="682"/>
      <c r="R2513" s="682"/>
      <c r="S2513" s="682"/>
      <c r="T2513" s="682"/>
      <c r="U2513" s="682"/>
      <c r="V2513" s="682"/>
      <c r="W2513" s="682"/>
    </row>
    <row r="2514" spans="1:23">
      <c r="A2514" s="1045">
        <f t="shared" si="39"/>
        <v>7</v>
      </c>
      <c r="B2514" s="134">
        <v>45483</v>
      </c>
      <c r="C2514" s="70">
        <v>1017</v>
      </c>
      <c r="D2514" s="70" t="s">
        <v>5118</v>
      </c>
      <c r="E2514" s="280" t="s">
        <v>4341</v>
      </c>
      <c r="F2514" s="1049"/>
      <c r="G2514" s="1049">
        <v>587.74</v>
      </c>
      <c r="H2514" s="564"/>
      <c r="I2514" s="609"/>
      <c r="J2514" s="1155"/>
      <c r="K2514" s="609"/>
      <c r="L2514" s="609"/>
      <c r="M2514" s="609"/>
      <c r="N2514" s="599"/>
      <c r="O2514" s="552" t="s">
        <v>1584</v>
      </c>
      <c r="P2514" s="603"/>
      <c r="Q2514" s="682"/>
      <c r="R2514" s="682"/>
      <c r="S2514" s="682"/>
      <c r="T2514" s="682"/>
      <c r="U2514" s="682"/>
      <c r="V2514" s="682"/>
      <c r="W2514" s="682"/>
    </row>
    <row r="2515" spans="1:23">
      <c r="A2515" s="1045">
        <f t="shared" si="39"/>
        <v>7</v>
      </c>
      <c r="B2515" s="134">
        <v>45483</v>
      </c>
      <c r="C2515" s="70">
        <v>1017</v>
      </c>
      <c r="D2515" s="70" t="s">
        <v>5118</v>
      </c>
      <c r="E2515" s="280" t="s">
        <v>4342</v>
      </c>
      <c r="F2515" s="1049"/>
      <c r="G2515" s="1049">
        <v>345.16</v>
      </c>
      <c r="H2515" s="564"/>
      <c r="I2515" s="609"/>
      <c r="J2515" s="1155"/>
      <c r="K2515" s="609"/>
      <c r="L2515" s="609"/>
      <c r="M2515" s="609"/>
      <c r="N2515" s="599"/>
      <c r="O2515" s="552" t="s">
        <v>1584</v>
      </c>
      <c r="P2515" s="603"/>
      <c r="Q2515" s="682"/>
      <c r="R2515" s="682"/>
      <c r="S2515" s="682"/>
      <c r="T2515" s="682"/>
      <c r="U2515" s="682"/>
      <c r="V2515" s="682"/>
      <c r="W2515" s="682"/>
    </row>
    <row r="2516" spans="1:23">
      <c r="A2516" s="1045">
        <f t="shared" si="39"/>
        <v>7</v>
      </c>
      <c r="B2516" s="134">
        <v>45483</v>
      </c>
      <c r="C2516" s="70">
        <v>1017</v>
      </c>
      <c r="D2516" s="70" t="s">
        <v>5118</v>
      </c>
      <c r="E2516" s="280" t="s">
        <v>4343</v>
      </c>
      <c r="F2516" s="1049"/>
      <c r="G2516" s="1049">
        <v>17.850000000000001</v>
      </c>
      <c r="H2516" s="564"/>
      <c r="I2516" s="609"/>
      <c r="J2516" s="1155"/>
      <c r="K2516" s="609"/>
      <c r="L2516" s="609"/>
      <c r="M2516" s="609"/>
      <c r="N2516" s="599"/>
      <c r="O2516" s="552" t="s">
        <v>1584</v>
      </c>
      <c r="P2516" s="603"/>
      <c r="Q2516" s="682"/>
      <c r="R2516" s="682"/>
      <c r="S2516" s="682"/>
      <c r="T2516" s="682"/>
      <c r="U2516" s="682"/>
      <c r="V2516" s="682"/>
      <c r="W2516" s="682"/>
    </row>
    <row r="2517" spans="1:23">
      <c r="A2517" s="1045">
        <f t="shared" ref="A2517:A2580" si="40">IF(B2517="","",MONTH(B2517))</f>
        <v>7</v>
      </c>
      <c r="B2517" s="134">
        <v>45483</v>
      </c>
      <c r="C2517" s="70">
        <v>1017</v>
      </c>
      <c r="D2517" s="70" t="s">
        <v>5118</v>
      </c>
      <c r="E2517" s="280" t="s">
        <v>4344</v>
      </c>
      <c r="F2517" s="1049"/>
      <c r="G2517" s="1049">
        <v>36.75</v>
      </c>
      <c r="H2517" s="564"/>
      <c r="I2517" s="609"/>
      <c r="J2517" s="1155"/>
      <c r="K2517" s="609"/>
      <c r="L2517" s="609"/>
      <c r="M2517" s="609"/>
      <c r="N2517" s="599"/>
      <c r="O2517" s="552" t="s">
        <v>1584</v>
      </c>
      <c r="P2517" s="603"/>
      <c r="Q2517" s="682"/>
      <c r="R2517" s="682"/>
      <c r="S2517" s="682"/>
      <c r="T2517" s="682"/>
      <c r="U2517" s="682"/>
      <c r="V2517" s="682"/>
      <c r="W2517" s="682"/>
    </row>
    <row r="2518" spans="1:23">
      <c r="A2518" s="1045">
        <f t="shared" si="40"/>
        <v>7</v>
      </c>
      <c r="B2518" s="134">
        <v>45483</v>
      </c>
      <c r="C2518" s="70">
        <v>1017</v>
      </c>
      <c r="D2518" s="70" t="s">
        <v>5118</v>
      </c>
      <c r="E2518" s="280" t="s">
        <v>4345</v>
      </c>
      <c r="F2518" s="1049"/>
      <c r="G2518" s="1049">
        <v>73.5</v>
      </c>
      <c r="H2518" s="564"/>
      <c r="I2518" s="609"/>
      <c r="J2518" s="1155"/>
      <c r="K2518" s="609"/>
      <c r="L2518" s="609"/>
      <c r="M2518" s="609"/>
      <c r="N2518" s="599"/>
      <c r="O2518" s="552" t="s">
        <v>1584</v>
      </c>
      <c r="P2518" s="603"/>
      <c r="Q2518" s="682"/>
      <c r="R2518" s="682"/>
      <c r="S2518" s="682"/>
      <c r="T2518" s="682"/>
      <c r="U2518" s="682"/>
      <c r="V2518" s="682"/>
      <c r="W2518" s="682"/>
    </row>
    <row r="2519" spans="1:23">
      <c r="A2519" s="1045">
        <f t="shared" si="40"/>
        <v>7</v>
      </c>
      <c r="B2519" s="134">
        <v>45484</v>
      </c>
      <c r="C2519" s="70">
        <v>1017</v>
      </c>
      <c r="D2519" s="70" t="s">
        <v>5118</v>
      </c>
      <c r="E2519" s="280" t="s">
        <v>4346</v>
      </c>
      <c r="F2519" s="1049"/>
      <c r="G2519" s="1049">
        <v>59.85</v>
      </c>
      <c r="H2519" s="564"/>
      <c r="I2519" s="609"/>
      <c r="J2519" s="1155"/>
      <c r="K2519" s="609"/>
      <c r="L2519" s="609"/>
      <c r="M2519" s="609"/>
      <c r="N2519" s="599"/>
      <c r="O2519" s="552" t="s">
        <v>1584</v>
      </c>
      <c r="P2519" s="603"/>
      <c r="Q2519" s="682"/>
      <c r="R2519" s="682"/>
      <c r="S2519" s="682"/>
      <c r="T2519" s="682"/>
      <c r="U2519" s="682"/>
      <c r="V2519" s="682"/>
      <c r="W2519" s="682"/>
    </row>
    <row r="2520" spans="1:23">
      <c r="A2520" s="1045">
        <f t="shared" si="40"/>
        <v>7</v>
      </c>
      <c r="B2520" s="134">
        <v>45484</v>
      </c>
      <c r="C2520" s="70">
        <v>1017</v>
      </c>
      <c r="D2520" s="70" t="s">
        <v>5118</v>
      </c>
      <c r="E2520" s="280" t="s">
        <v>4347</v>
      </c>
      <c r="F2520" s="1049"/>
      <c r="G2520" s="1049">
        <v>13.65</v>
      </c>
      <c r="H2520" s="564"/>
      <c r="I2520" s="609"/>
      <c r="J2520" s="1155"/>
      <c r="K2520" s="609"/>
      <c r="L2520" s="609"/>
      <c r="M2520" s="609"/>
      <c r="N2520" s="599"/>
      <c r="O2520" s="552" t="s">
        <v>1584</v>
      </c>
      <c r="P2520" s="603"/>
      <c r="Q2520" s="682"/>
      <c r="R2520" s="682"/>
      <c r="S2520" s="682"/>
      <c r="T2520" s="682"/>
      <c r="U2520" s="682"/>
      <c r="V2520" s="682"/>
      <c r="W2520" s="682"/>
    </row>
    <row r="2521" spans="1:23">
      <c r="A2521" s="1045">
        <f t="shared" si="40"/>
        <v>7</v>
      </c>
      <c r="B2521" s="134">
        <v>45484</v>
      </c>
      <c r="C2521" s="70">
        <v>1017</v>
      </c>
      <c r="D2521" s="70" t="s">
        <v>5118</v>
      </c>
      <c r="E2521" s="280" t="s">
        <v>4348</v>
      </c>
      <c r="F2521" s="1049"/>
      <c r="G2521" s="1049">
        <v>399</v>
      </c>
      <c r="H2521" s="564"/>
      <c r="I2521" s="609"/>
      <c r="J2521" s="1155"/>
      <c r="K2521" s="609"/>
      <c r="L2521" s="609"/>
      <c r="M2521" s="609"/>
      <c r="N2521" s="599"/>
      <c r="O2521" s="552" t="s">
        <v>1584</v>
      </c>
      <c r="P2521" s="603"/>
      <c r="Q2521" s="682"/>
      <c r="R2521" s="682"/>
      <c r="S2521" s="682"/>
      <c r="T2521" s="682"/>
      <c r="U2521" s="682"/>
      <c r="V2521" s="682"/>
      <c r="W2521" s="682"/>
    </row>
    <row r="2522" spans="1:23">
      <c r="A2522" s="1045">
        <f t="shared" si="40"/>
        <v>7</v>
      </c>
      <c r="B2522" s="134">
        <v>45485</v>
      </c>
      <c r="C2522" s="70">
        <v>1017</v>
      </c>
      <c r="D2522" s="70" t="s">
        <v>5118</v>
      </c>
      <c r="E2522" s="280" t="s">
        <v>4349</v>
      </c>
      <c r="F2522" s="1049"/>
      <c r="G2522" s="1049">
        <v>339.68</v>
      </c>
      <c r="H2522" s="564"/>
      <c r="I2522" s="609"/>
      <c r="J2522" s="1155"/>
      <c r="K2522" s="609"/>
      <c r="L2522" s="609"/>
      <c r="M2522" s="609"/>
      <c r="N2522" s="599"/>
      <c r="O2522" s="552" t="s">
        <v>1584</v>
      </c>
      <c r="P2522" s="603"/>
      <c r="Q2522" s="682"/>
      <c r="R2522" s="682"/>
      <c r="S2522" s="682"/>
      <c r="T2522" s="682"/>
      <c r="U2522" s="682"/>
      <c r="V2522" s="682"/>
      <c r="W2522" s="682"/>
    </row>
    <row r="2523" spans="1:23">
      <c r="A2523" s="1045">
        <f t="shared" si="40"/>
        <v>7</v>
      </c>
      <c r="B2523" s="134">
        <v>45485</v>
      </c>
      <c r="C2523" s="70">
        <v>1017</v>
      </c>
      <c r="D2523" s="70" t="s">
        <v>5118</v>
      </c>
      <c r="E2523" s="280" t="s">
        <v>4350</v>
      </c>
      <c r="F2523" s="1049"/>
      <c r="G2523" s="1049">
        <v>399.5</v>
      </c>
      <c r="H2523" s="564"/>
      <c r="I2523" s="609"/>
      <c r="J2523" s="1155"/>
      <c r="K2523" s="609"/>
      <c r="L2523" s="609"/>
      <c r="M2523" s="609"/>
      <c r="N2523" s="599"/>
      <c r="O2523" s="552" t="s">
        <v>1584</v>
      </c>
      <c r="P2523" s="603"/>
      <c r="Q2523" s="682"/>
      <c r="R2523" s="682"/>
      <c r="S2523" s="682"/>
      <c r="T2523" s="682"/>
      <c r="U2523" s="682"/>
      <c r="V2523" s="682"/>
      <c r="W2523" s="682"/>
    </row>
    <row r="2524" spans="1:23">
      <c r="A2524" s="1045">
        <f t="shared" si="40"/>
        <v>7</v>
      </c>
      <c r="B2524" s="134">
        <v>45485</v>
      </c>
      <c r="C2524" s="70">
        <v>1017</v>
      </c>
      <c r="D2524" s="70" t="s">
        <v>5118</v>
      </c>
      <c r="E2524" s="280" t="s">
        <v>4351</v>
      </c>
      <c r="F2524" s="1049"/>
      <c r="G2524" s="1049">
        <v>72.239999999999995</v>
      </c>
      <c r="H2524" s="564"/>
      <c r="I2524" s="609"/>
      <c r="J2524" s="1155"/>
      <c r="K2524" s="609"/>
      <c r="L2524" s="609"/>
      <c r="M2524" s="609"/>
      <c r="N2524" s="599"/>
      <c r="O2524" s="552" t="s">
        <v>1584</v>
      </c>
      <c r="P2524" s="603"/>
      <c r="Q2524" s="682"/>
      <c r="R2524" s="682"/>
      <c r="S2524" s="682"/>
      <c r="T2524" s="682"/>
      <c r="U2524" s="682"/>
      <c r="V2524" s="682"/>
      <c r="W2524" s="682"/>
    </row>
    <row r="2525" spans="1:23">
      <c r="A2525" s="1045">
        <f t="shared" si="40"/>
        <v>7</v>
      </c>
      <c r="B2525" s="134">
        <v>45486</v>
      </c>
      <c r="C2525" s="70">
        <v>1017</v>
      </c>
      <c r="D2525" s="70" t="s">
        <v>5118</v>
      </c>
      <c r="E2525" s="280" t="s">
        <v>4352</v>
      </c>
      <c r="F2525" s="1049"/>
      <c r="G2525" s="1049">
        <v>298.2</v>
      </c>
      <c r="H2525" s="564"/>
      <c r="I2525" s="609"/>
      <c r="J2525" s="1155"/>
      <c r="K2525" s="609"/>
      <c r="L2525" s="609"/>
      <c r="M2525" s="609"/>
      <c r="N2525" s="599"/>
      <c r="O2525" s="552" t="s">
        <v>1584</v>
      </c>
      <c r="P2525" s="603"/>
      <c r="Q2525" s="682"/>
      <c r="R2525" s="682"/>
      <c r="S2525" s="682"/>
      <c r="T2525" s="682"/>
      <c r="U2525" s="682"/>
      <c r="V2525" s="682"/>
      <c r="W2525" s="682"/>
    </row>
    <row r="2526" spans="1:23">
      <c r="A2526" s="1045">
        <f t="shared" si="40"/>
        <v>7</v>
      </c>
      <c r="B2526" s="134">
        <v>45486</v>
      </c>
      <c r="C2526" s="70">
        <v>1017</v>
      </c>
      <c r="D2526" s="70" t="s">
        <v>5118</v>
      </c>
      <c r="E2526" s="280" t="s">
        <v>4353</v>
      </c>
      <c r="F2526" s="1049"/>
      <c r="G2526" s="1049">
        <v>87.49</v>
      </c>
      <c r="H2526" s="564"/>
      <c r="I2526" s="609"/>
      <c r="J2526" s="1155"/>
      <c r="K2526" s="609"/>
      <c r="L2526" s="609"/>
      <c r="M2526" s="609"/>
      <c r="N2526" s="599"/>
      <c r="O2526" s="552" t="s">
        <v>1584</v>
      </c>
      <c r="P2526" s="603"/>
      <c r="Q2526" s="682"/>
      <c r="R2526" s="682"/>
      <c r="S2526" s="682"/>
      <c r="T2526" s="682"/>
      <c r="U2526" s="682"/>
      <c r="V2526" s="682"/>
      <c r="W2526" s="682"/>
    </row>
    <row r="2527" spans="1:23">
      <c r="A2527" s="1045">
        <f t="shared" si="40"/>
        <v>7</v>
      </c>
      <c r="B2527" s="134">
        <v>45486</v>
      </c>
      <c r="C2527" s="70">
        <v>1017</v>
      </c>
      <c r="D2527" s="70" t="s">
        <v>5118</v>
      </c>
      <c r="E2527" s="280" t="s">
        <v>4354</v>
      </c>
      <c r="F2527" s="1049"/>
      <c r="G2527" s="1049">
        <v>31.5</v>
      </c>
      <c r="H2527" s="564"/>
      <c r="I2527" s="609"/>
      <c r="J2527" s="1155"/>
      <c r="K2527" s="609"/>
      <c r="L2527" s="609"/>
      <c r="M2527" s="609"/>
      <c r="N2527" s="599"/>
      <c r="O2527" s="552" t="s">
        <v>1584</v>
      </c>
      <c r="P2527" s="603"/>
      <c r="Q2527" s="682"/>
      <c r="R2527" s="682"/>
      <c r="S2527" s="682"/>
      <c r="T2527" s="682"/>
      <c r="U2527" s="682"/>
      <c r="V2527" s="682"/>
      <c r="W2527" s="682"/>
    </row>
    <row r="2528" spans="1:23">
      <c r="A2528" s="1045">
        <f t="shared" si="40"/>
        <v>7</v>
      </c>
      <c r="B2528" s="134">
        <v>45487</v>
      </c>
      <c r="C2528" s="70">
        <v>1017</v>
      </c>
      <c r="D2528" s="70" t="s">
        <v>5118</v>
      </c>
      <c r="E2528" s="280" t="s">
        <v>4355</v>
      </c>
      <c r="F2528" s="1049"/>
      <c r="G2528" s="1049">
        <v>129.5</v>
      </c>
      <c r="H2528" s="564"/>
      <c r="I2528" s="609"/>
      <c r="J2528" s="1155"/>
      <c r="K2528" s="609"/>
      <c r="L2528" s="609"/>
      <c r="M2528" s="609"/>
      <c r="N2528" s="599"/>
      <c r="O2528" s="552" t="s">
        <v>1584</v>
      </c>
      <c r="P2528" s="603"/>
      <c r="Q2528" s="682"/>
      <c r="R2528" s="682"/>
      <c r="S2528" s="682"/>
      <c r="T2528" s="682"/>
      <c r="U2528" s="682"/>
      <c r="V2528" s="682"/>
      <c r="W2528" s="682"/>
    </row>
    <row r="2529" spans="1:23">
      <c r="A2529" s="1045">
        <f t="shared" si="40"/>
        <v>7</v>
      </c>
      <c r="B2529" s="134">
        <v>45487</v>
      </c>
      <c r="C2529" s="70">
        <v>1017</v>
      </c>
      <c r="D2529" s="70" t="s">
        <v>5118</v>
      </c>
      <c r="E2529" s="280" t="s">
        <v>4356</v>
      </c>
      <c r="F2529" s="1049"/>
      <c r="G2529" s="1049">
        <v>17.850000000000001</v>
      </c>
      <c r="H2529" s="564"/>
      <c r="I2529" s="609"/>
      <c r="J2529" s="1155"/>
      <c r="K2529" s="609"/>
      <c r="L2529" s="609"/>
      <c r="M2529" s="609"/>
      <c r="N2529" s="599"/>
      <c r="O2529" s="552" t="s">
        <v>1584</v>
      </c>
      <c r="P2529" s="603"/>
      <c r="Q2529" s="682"/>
      <c r="R2529" s="682"/>
      <c r="S2529" s="682"/>
      <c r="T2529" s="682"/>
      <c r="U2529" s="682"/>
      <c r="V2529" s="682"/>
      <c r="W2529" s="682"/>
    </row>
    <row r="2530" spans="1:23">
      <c r="A2530" s="1045">
        <f t="shared" si="40"/>
        <v>7</v>
      </c>
      <c r="B2530" s="134">
        <v>45488</v>
      </c>
      <c r="C2530" s="70">
        <v>1022</v>
      </c>
      <c r="D2530" s="70" t="s">
        <v>5119</v>
      </c>
      <c r="E2530" s="280" t="s">
        <v>4357</v>
      </c>
      <c r="F2530" s="1049"/>
      <c r="G2530" s="1049">
        <v>42.68</v>
      </c>
      <c r="H2530" s="564"/>
      <c r="I2530" s="609"/>
      <c r="J2530" s="1155"/>
      <c r="K2530" s="609"/>
      <c r="L2530" s="609"/>
      <c r="M2530" s="609"/>
      <c r="N2530" s="599"/>
      <c r="O2530" s="552" t="s">
        <v>1584</v>
      </c>
      <c r="P2530" s="603"/>
      <c r="Q2530" s="682"/>
      <c r="R2530" s="682"/>
      <c r="S2530" s="682"/>
      <c r="T2530" s="682"/>
      <c r="U2530" s="682"/>
      <c r="V2530" s="682"/>
      <c r="W2530" s="682"/>
    </row>
    <row r="2531" spans="1:23">
      <c r="A2531" s="1045">
        <f t="shared" si="40"/>
        <v>7</v>
      </c>
      <c r="B2531" s="134">
        <v>45488</v>
      </c>
      <c r="C2531" s="70">
        <v>1022</v>
      </c>
      <c r="D2531" s="70" t="s">
        <v>5119</v>
      </c>
      <c r="E2531" s="280" t="s">
        <v>4358</v>
      </c>
      <c r="F2531" s="1049"/>
      <c r="G2531" s="1049">
        <v>626.73</v>
      </c>
      <c r="H2531" s="564"/>
      <c r="I2531" s="609"/>
      <c r="J2531" s="1155"/>
      <c r="K2531" s="609"/>
      <c r="L2531" s="609"/>
      <c r="M2531" s="609"/>
      <c r="N2531" s="599"/>
      <c r="O2531" s="552" t="s">
        <v>1584</v>
      </c>
      <c r="P2531" s="603"/>
      <c r="Q2531" s="682"/>
      <c r="R2531" s="682"/>
      <c r="S2531" s="682"/>
      <c r="T2531" s="682"/>
      <c r="U2531" s="682"/>
      <c r="V2531" s="682"/>
      <c r="W2531" s="682"/>
    </row>
    <row r="2532" spans="1:23">
      <c r="A2532" s="1045">
        <f t="shared" si="40"/>
        <v>7</v>
      </c>
      <c r="B2532" s="134">
        <v>45488</v>
      </c>
      <c r="C2532" s="70">
        <v>1022</v>
      </c>
      <c r="D2532" s="70" t="s">
        <v>5119</v>
      </c>
      <c r="E2532" s="280" t="s">
        <v>4359</v>
      </c>
      <c r="F2532" s="1049"/>
      <c r="G2532" s="1049">
        <v>1039.29</v>
      </c>
      <c r="H2532" s="564"/>
      <c r="I2532" s="609"/>
      <c r="J2532" s="1155"/>
      <c r="K2532" s="609"/>
      <c r="L2532" s="609"/>
      <c r="M2532" s="609"/>
      <c r="N2532" s="599"/>
      <c r="O2532" s="552" t="s">
        <v>1584</v>
      </c>
      <c r="P2532" s="603"/>
      <c r="Q2532" s="682"/>
      <c r="R2532" s="682"/>
      <c r="S2532" s="682"/>
      <c r="T2532" s="682"/>
      <c r="U2532" s="682"/>
      <c r="V2532" s="682"/>
      <c r="W2532" s="682"/>
    </row>
    <row r="2533" spans="1:23">
      <c r="A2533" s="1045">
        <f t="shared" si="40"/>
        <v>7</v>
      </c>
      <c r="B2533" s="134">
        <v>45488</v>
      </c>
      <c r="C2533" s="70">
        <v>1022</v>
      </c>
      <c r="D2533" s="70" t="s">
        <v>5119</v>
      </c>
      <c r="E2533" s="280" t="s">
        <v>4360</v>
      </c>
      <c r="F2533" s="1049"/>
      <c r="G2533" s="1049">
        <v>485.75</v>
      </c>
      <c r="H2533" s="564"/>
      <c r="I2533" s="609"/>
      <c r="J2533" s="1155"/>
      <c r="K2533" s="609"/>
      <c r="L2533" s="609"/>
      <c r="M2533" s="609"/>
      <c r="N2533" s="599"/>
      <c r="O2533" s="552" t="s">
        <v>1584</v>
      </c>
      <c r="P2533" s="603"/>
      <c r="Q2533" s="682"/>
      <c r="R2533" s="682"/>
      <c r="S2533" s="682"/>
      <c r="T2533" s="682"/>
      <c r="U2533" s="682"/>
      <c r="V2533" s="682"/>
      <c r="W2533" s="682"/>
    </row>
    <row r="2534" spans="1:23">
      <c r="A2534" s="1045">
        <f t="shared" si="40"/>
        <v>7</v>
      </c>
      <c r="B2534" s="134">
        <v>45488</v>
      </c>
      <c r="C2534" s="70">
        <v>1022</v>
      </c>
      <c r="D2534" s="70" t="s">
        <v>5119</v>
      </c>
      <c r="E2534" s="280" t="s">
        <v>4361</v>
      </c>
      <c r="F2534" s="1049"/>
      <c r="G2534" s="1049">
        <v>557.09</v>
      </c>
      <c r="H2534" s="564"/>
      <c r="I2534" s="609"/>
      <c r="J2534" s="1155"/>
      <c r="K2534" s="609"/>
      <c r="L2534" s="609"/>
      <c r="M2534" s="609"/>
      <c r="N2534" s="599"/>
      <c r="O2534" s="552" t="s">
        <v>1584</v>
      </c>
      <c r="P2534" s="603"/>
      <c r="Q2534" s="682"/>
      <c r="R2534" s="682"/>
      <c r="S2534" s="682"/>
      <c r="T2534" s="682"/>
      <c r="U2534" s="682"/>
      <c r="V2534" s="682"/>
      <c r="W2534" s="682"/>
    </row>
    <row r="2535" spans="1:23">
      <c r="A2535" s="1045">
        <f t="shared" si="40"/>
        <v>7</v>
      </c>
      <c r="B2535" s="134">
        <v>45488</v>
      </c>
      <c r="C2535" s="70">
        <v>1022</v>
      </c>
      <c r="D2535" s="70" t="s">
        <v>5119</v>
      </c>
      <c r="E2535" s="280" t="s">
        <v>4362</v>
      </c>
      <c r="F2535" s="1049"/>
      <c r="G2535" s="1049">
        <v>89.04</v>
      </c>
      <c r="H2535" s="564"/>
      <c r="I2535" s="609"/>
      <c r="J2535" s="1155"/>
      <c r="K2535" s="609"/>
      <c r="L2535" s="609"/>
      <c r="M2535" s="609"/>
      <c r="N2535" s="599"/>
      <c r="O2535" s="552" t="s">
        <v>1584</v>
      </c>
      <c r="P2535" s="603"/>
      <c r="Q2535" s="682"/>
      <c r="R2535" s="682"/>
      <c r="S2535" s="682"/>
      <c r="T2535" s="682"/>
      <c r="U2535" s="682"/>
      <c r="V2535" s="682"/>
      <c r="W2535" s="682"/>
    </row>
    <row r="2536" spans="1:23">
      <c r="A2536" s="1045">
        <f t="shared" si="40"/>
        <v>7</v>
      </c>
      <c r="B2536" s="134">
        <v>45488</v>
      </c>
      <c r="C2536" s="70">
        <v>1022</v>
      </c>
      <c r="D2536" s="70" t="s">
        <v>5119</v>
      </c>
      <c r="E2536" s="280" t="s">
        <v>4363</v>
      </c>
      <c r="F2536" s="1049"/>
      <c r="G2536" s="1049">
        <v>1864.26</v>
      </c>
      <c r="H2536" s="564"/>
      <c r="I2536" s="609"/>
      <c r="J2536" s="1155"/>
      <c r="K2536" s="609"/>
      <c r="L2536" s="609"/>
      <c r="M2536" s="609"/>
      <c r="N2536" s="599"/>
      <c r="O2536" s="552" t="s">
        <v>1584</v>
      </c>
      <c r="P2536" s="603"/>
      <c r="Q2536" s="682"/>
      <c r="R2536" s="682"/>
      <c r="S2536" s="682"/>
      <c r="T2536" s="682"/>
      <c r="U2536" s="682"/>
      <c r="V2536" s="682"/>
      <c r="W2536" s="682"/>
    </row>
    <row r="2537" spans="1:23">
      <c r="A2537" s="1045">
        <f t="shared" si="40"/>
        <v>7</v>
      </c>
      <c r="B2537" s="134">
        <v>45488</v>
      </c>
      <c r="C2537" s="70">
        <v>1022</v>
      </c>
      <c r="D2537" s="70" t="s">
        <v>5119</v>
      </c>
      <c r="E2537" s="280" t="s">
        <v>4364</v>
      </c>
      <c r="F2537" s="1049"/>
      <c r="G2537" s="1049">
        <v>605.32000000000005</v>
      </c>
      <c r="H2537" s="564"/>
      <c r="I2537" s="609"/>
      <c r="J2537" s="1155"/>
      <c r="K2537" s="609"/>
      <c r="L2537" s="609"/>
      <c r="M2537" s="609"/>
      <c r="N2537" s="599"/>
      <c r="O2537" s="552" t="s">
        <v>1584</v>
      </c>
      <c r="P2537" s="603"/>
      <c r="Q2537" s="682"/>
      <c r="R2537" s="682"/>
      <c r="S2537" s="682"/>
      <c r="T2537" s="682"/>
      <c r="U2537" s="682"/>
      <c r="V2537" s="682"/>
      <c r="W2537" s="682"/>
    </row>
    <row r="2538" spans="1:23">
      <c r="A2538" s="1045">
        <f t="shared" si="40"/>
        <v>7</v>
      </c>
      <c r="B2538" s="134">
        <v>45488</v>
      </c>
      <c r="C2538" s="70">
        <v>1022</v>
      </c>
      <c r="D2538" s="70" t="s">
        <v>5119</v>
      </c>
      <c r="E2538" s="280" t="s">
        <v>4365</v>
      </c>
      <c r="F2538" s="1049"/>
      <c r="G2538" s="1049">
        <v>182.59</v>
      </c>
      <c r="H2538" s="564"/>
      <c r="I2538" s="609"/>
      <c r="J2538" s="1155"/>
      <c r="K2538" s="609"/>
      <c r="L2538" s="609"/>
      <c r="M2538" s="609"/>
      <c r="N2538" s="599"/>
      <c r="O2538" s="552" t="s">
        <v>1584</v>
      </c>
      <c r="P2538" s="603"/>
      <c r="Q2538" s="682"/>
      <c r="R2538" s="682"/>
      <c r="S2538" s="682"/>
      <c r="T2538" s="682"/>
      <c r="U2538" s="682"/>
      <c r="V2538" s="682"/>
      <c r="W2538" s="682"/>
    </row>
    <row r="2539" spans="1:23">
      <c r="A2539" s="1045">
        <f t="shared" si="40"/>
        <v>7</v>
      </c>
      <c r="B2539" s="134">
        <v>45488</v>
      </c>
      <c r="C2539" s="70">
        <v>1022</v>
      </c>
      <c r="D2539" s="70" t="s">
        <v>5119</v>
      </c>
      <c r="E2539" s="280" t="s">
        <v>4366</v>
      </c>
      <c r="F2539" s="1049"/>
      <c r="G2539" s="1049">
        <v>1349.24</v>
      </c>
      <c r="H2539" s="564"/>
      <c r="I2539" s="609"/>
      <c r="J2539" s="1155"/>
      <c r="K2539" s="609"/>
      <c r="L2539" s="609"/>
      <c r="M2539" s="609"/>
      <c r="N2539" s="599"/>
      <c r="O2539" s="552" t="s">
        <v>1584</v>
      </c>
      <c r="P2539" s="603"/>
      <c r="Q2539" s="682"/>
      <c r="R2539" s="682"/>
      <c r="S2539" s="682"/>
      <c r="T2539" s="682"/>
      <c r="U2539" s="682"/>
      <c r="V2539" s="682"/>
      <c r="W2539" s="682"/>
    </row>
    <row r="2540" spans="1:23">
      <c r="A2540" s="1045">
        <f t="shared" si="40"/>
        <v>7</v>
      </c>
      <c r="B2540" s="134">
        <v>45488</v>
      </c>
      <c r="C2540" s="70">
        <v>1022</v>
      </c>
      <c r="D2540" s="70" t="s">
        <v>5119</v>
      </c>
      <c r="E2540" s="280" t="s">
        <v>4367</v>
      </c>
      <c r="F2540" s="1049"/>
      <c r="G2540" s="1049">
        <v>142.75</v>
      </c>
      <c r="H2540" s="564"/>
      <c r="I2540" s="609"/>
      <c r="J2540" s="1155"/>
      <c r="K2540" s="609"/>
      <c r="L2540" s="609"/>
      <c r="M2540" s="609"/>
      <c r="N2540" s="599"/>
      <c r="O2540" s="552" t="s">
        <v>1584</v>
      </c>
      <c r="P2540" s="603"/>
      <c r="Q2540" s="682"/>
      <c r="R2540" s="682"/>
      <c r="S2540" s="682"/>
      <c r="T2540" s="682"/>
      <c r="U2540" s="682"/>
      <c r="V2540" s="682"/>
      <c r="W2540" s="682"/>
    </row>
    <row r="2541" spans="1:23">
      <c r="A2541" s="1045">
        <f t="shared" si="40"/>
        <v>7</v>
      </c>
      <c r="B2541" s="134">
        <v>45488</v>
      </c>
      <c r="C2541" s="70">
        <v>1022</v>
      </c>
      <c r="D2541" s="70" t="s">
        <v>5119</v>
      </c>
      <c r="E2541" s="280" t="s">
        <v>4368</v>
      </c>
      <c r="F2541" s="1049"/>
      <c r="G2541" s="1049">
        <v>6830.88</v>
      </c>
      <c r="H2541" s="564"/>
      <c r="I2541" s="609"/>
      <c r="J2541" s="1155"/>
      <c r="K2541" s="609"/>
      <c r="L2541" s="609"/>
      <c r="M2541" s="609"/>
      <c r="N2541" s="599"/>
      <c r="O2541" s="552" t="s">
        <v>1584</v>
      </c>
      <c r="P2541" s="603"/>
      <c r="Q2541" s="682"/>
      <c r="R2541" s="682"/>
      <c r="S2541" s="682"/>
      <c r="T2541" s="682"/>
      <c r="U2541" s="682"/>
      <c r="V2541" s="682"/>
      <c r="W2541" s="682"/>
    </row>
    <row r="2542" spans="1:23">
      <c r="A2542" s="1045">
        <f t="shared" si="40"/>
        <v>7</v>
      </c>
      <c r="B2542" s="134">
        <v>45488</v>
      </c>
      <c r="C2542" s="70">
        <v>1022</v>
      </c>
      <c r="D2542" s="70" t="s">
        <v>5119</v>
      </c>
      <c r="E2542" s="280" t="s">
        <v>4369</v>
      </c>
      <c r="F2542" s="1049"/>
      <c r="G2542" s="1049">
        <v>4234.24</v>
      </c>
      <c r="H2542" s="564"/>
      <c r="I2542" s="609"/>
      <c r="J2542" s="1155"/>
      <c r="K2542" s="609"/>
      <c r="L2542" s="609"/>
      <c r="M2542" s="609"/>
      <c r="N2542" s="599"/>
      <c r="O2542" s="552" t="s">
        <v>1584</v>
      </c>
      <c r="P2542" s="603"/>
      <c r="Q2542" s="682"/>
      <c r="R2542" s="682"/>
      <c r="S2542" s="682"/>
      <c r="T2542" s="682"/>
      <c r="U2542" s="682"/>
      <c r="V2542" s="682"/>
      <c r="W2542" s="682"/>
    </row>
    <row r="2543" spans="1:23">
      <c r="A2543" s="1045">
        <f t="shared" si="40"/>
        <v>7</v>
      </c>
      <c r="B2543" s="134">
        <v>45488</v>
      </c>
      <c r="C2543" s="70">
        <v>1022</v>
      </c>
      <c r="D2543" s="70" t="s">
        <v>5119</v>
      </c>
      <c r="E2543" s="280" t="s">
        <v>4370</v>
      </c>
      <c r="F2543" s="1049"/>
      <c r="G2543" s="1049">
        <v>6000</v>
      </c>
      <c r="H2543" s="564"/>
      <c r="I2543" s="609"/>
      <c r="J2543" s="1155"/>
      <c r="K2543" s="609"/>
      <c r="L2543" s="609"/>
      <c r="M2543" s="609"/>
      <c r="N2543" s="599"/>
      <c r="O2543" s="552" t="s">
        <v>1584</v>
      </c>
      <c r="P2543" s="603"/>
      <c r="Q2543" s="682"/>
      <c r="R2543" s="682"/>
      <c r="S2543" s="682"/>
      <c r="T2543" s="682"/>
      <c r="U2543" s="682"/>
      <c r="V2543" s="682"/>
      <c r="W2543" s="682"/>
    </row>
    <row r="2544" spans="1:23">
      <c r="A2544" s="1045">
        <f t="shared" si="40"/>
        <v>7</v>
      </c>
      <c r="B2544" s="134">
        <v>45488</v>
      </c>
      <c r="C2544" s="70">
        <v>1022</v>
      </c>
      <c r="D2544" s="70" t="s">
        <v>5119</v>
      </c>
      <c r="E2544" s="280" t="s">
        <v>4371</v>
      </c>
      <c r="F2544" s="1049"/>
      <c r="G2544" s="1049">
        <v>3200</v>
      </c>
      <c r="H2544" s="564"/>
      <c r="I2544" s="609"/>
      <c r="J2544" s="1155"/>
      <c r="K2544" s="609"/>
      <c r="L2544" s="609"/>
      <c r="M2544" s="609"/>
      <c r="N2544" s="599"/>
      <c r="O2544" s="552" t="s">
        <v>1584</v>
      </c>
      <c r="P2544" s="603"/>
      <c r="Q2544" s="682"/>
      <c r="R2544" s="682"/>
      <c r="S2544" s="682"/>
      <c r="T2544" s="682"/>
      <c r="U2544" s="682"/>
      <c r="V2544" s="682"/>
      <c r="W2544" s="682"/>
    </row>
    <row r="2545" spans="1:23">
      <c r="A2545" s="1045">
        <f t="shared" si="40"/>
        <v>7</v>
      </c>
      <c r="B2545" s="134">
        <v>45488</v>
      </c>
      <c r="C2545" s="70">
        <v>1022</v>
      </c>
      <c r="D2545" s="70" t="s">
        <v>5119</v>
      </c>
      <c r="E2545" s="280" t="s">
        <v>4372</v>
      </c>
      <c r="F2545" s="1049"/>
      <c r="G2545" s="1049">
        <v>7900</v>
      </c>
      <c r="H2545" s="564"/>
      <c r="I2545" s="609"/>
      <c r="J2545" s="1155"/>
      <c r="K2545" s="609"/>
      <c r="L2545" s="609"/>
      <c r="M2545" s="609"/>
      <c r="N2545" s="599"/>
      <c r="O2545" s="552" t="s">
        <v>1584</v>
      </c>
      <c r="P2545" s="603"/>
      <c r="Q2545" s="682"/>
      <c r="R2545" s="682"/>
      <c r="S2545" s="682"/>
      <c r="T2545" s="682"/>
      <c r="U2545" s="682"/>
      <c r="V2545" s="682"/>
      <c r="W2545" s="682"/>
    </row>
    <row r="2546" spans="1:23">
      <c r="A2546" s="1045">
        <f t="shared" si="40"/>
        <v>7</v>
      </c>
      <c r="B2546" s="134">
        <v>45488</v>
      </c>
      <c r="C2546" s="70">
        <v>1017</v>
      </c>
      <c r="D2546" s="70" t="s">
        <v>5118</v>
      </c>
      <c r="E2546" s="280" t="s">
        <v>4373</v>
      </c>
      <c r="F2546" s="1049"/>
      <c r="G2546" s="1049">
        <v>183.75</v>
      </c>
      <c r="H2546" s="564"/>
      <c r="I2546" s="609"/>
      <c r="J2546" s="1155"/>
      <c r="K2546" s="609"/>
      <c r="L2546" s="609"/>
      <c r="M2546" s="609"/>
      <c r="N2546" s="599"/>
      <c r="O2546" s="552" t="s">
        <v>1584</v>
      </c>
      <c r="P2546" s="603"/>
      <c r="Q2546" s="682"/>
      <c r="R2546" s="682"/>
      <c r="S2546" s="682"/>
      <c r="T2546" s="682"/>
      <c r="U2546" s="682"/>
      <c r="V2546" s="682"/>
      <c r="W2546" s="682"/>
    </row>
    <row r="2547" spans="1:23">
      <c r="A2547" s="1045">
        <f t="shared" si="40"/>
        <v>7</v>
      </c>
      <c r="B2547" s="134">
        <v>45488</v>
      </c>
      <c r="C2547" s="70">
        <v>1017</v>
      </c>
      <c r="D2547" s="70" t="s">
        <v>5118</v>
      </c>
      <c r="E2547" s="280" t="s">
        <v>4374</v>
      </c>
      <c r="F2547" s="1049"/>
      <c r="G2547" s="1049">
        <v>73.5</v>
      </c>
      <c r="H2547" s="564"/>
      <c r="I2547" s="609"/>
      <c r="J2547" s="1155"/>
      <c r="K2547" s="609"/>
      <c r="L2547" s="609"/>
      <c r="M2547" s="609"/>
      <c r="N2547" s="599"/>
      <c r="O2547" s="552" t="s">
        <v>1584</v>
      </c>
      <c r="P2547" s="603"/>
      <c r="Q2547" s="682"/>
      <c r="R2547" s="682"/>
      <c r="S2547" s="682"/>
      <c r="T2547" s="682"/>
      <c r="U2547" s="682"/>
      <c r="V2547" s="682"/>
      <c r="W2547" s="682"/>
    </row>
    <row r="2548" spans="1:23">
      <c r="A2548" s="1045">
        <f t="shared" si="40"/>
        <v>7</v>
      </c>
      <c r="B2548" s="134">
        <v>45488</v>
      </c>
      <c r="C2548" s="70">
        <v>1017</v>
      </c>
      <c r="D2548" s="70" t="s">
        <v>5118</v>
      </c>
      <c r="E2548" s="280" t="s">
        <v>4375</v>
      </c>
      <c r="F2548" s="1049"/>
      <c r="G2548" s="1049">
        <v>24.15</v>
      </c>
      <c r="H2548" s="564"/>
      <c r="I2548" s="609"/>
      <c r="J2548" s="1155"/>
      <c r="K2548" s="609"/>
      <c r="L2548" s="609"/>
      <c r="M2548" s="609"/>
      <c r="N2548" s="599"/>
      <c r="O2548" s="552" t="s">
        <v>1584</v>
      </c>
      <c r="P2548" s="603"/>
      <c r="Q2548" s="682"/>
      <c r="R2548" s="682"/>
      <c r="S2548" s="682"/>
      <c r="T2548" s="682"/>
      <c r="U2548" s="682"/>
      <c r="V2548" s="682"/>
      <c r="W2548" s="682"/>
    </row>
    <row r="2549" spans="1:23">
      <c r="A2549" s="1045">
        <f t="shared" si="40"/>
        <v>7</v>
      </c>
      <c r="B2549" s="134">
        <v>45488</v>
      </c>
      <c r="C2549" s="70">
        <v>1017</v>
      </c>
      <c r="D2549" s="70" t="s">
        <v>5118</v>
      </c>
      <c r="E2549" s="280" t="s">
        <v>4376</v>
      </c>
      <c r="F2549" s="1049"/>
      <c r="G2549" s="1049">
        <v>65.62</v>
      </c>
      <c r="H2549" s="564"/>
      <c r="I2549" s="609"/>
      <c r="J2549" s="1155"/>
      <c r="K2549" s="609"/>
      <c r="L2549" s="609"/>
      <c r="M2549" s="609"/>
      <c r="N2549" s="599"/>
      <c r="O2549" s="552" t="s">
        <v>1584</v>
      </c>
      <c r="P2549" s="603"/>
      <c r="Q2549" s="682"/>
      <c r="R2549" s="682"/>
      <c r="S2549" s="682"/>
      <c r="T2549" s="682"/>
      <c r="U2549" s="682"/>
      <c r="V2549" s="682"/>
      <c r="W2549" s="682"/>
    </row>
    <row r="2550" spans="1:23">
      <c r="A2550" s="1045">
        <f t="shared" si="40"/>
        <v>7</v>
      </c>
      <c r="B2550" s="134">
        <v>45488</v>
      </c>
      <c r="C2550" s="70">
        <v>1017</v>
      </c>
      <c r="D2550" s="70" t="s">
        <v>5118</v>
      </c>
      <c r="E2550" s="280" t="s">
        <v>4377</v>
      </c>
      <c r="F2550" s="1049"/>
      <c r="G2550" s="1049">
        <v>213.5</v>
      </c>
      <c r="H2550" s="564"/>
      <c r="I2550" s="609"/>
      <c r="J2550" s="1155"/>
      <c r="K2550" s="609"/>
      <c r="L2550" s="609"/>
      <c r="M2550" s="609"/>
      <c r="N2550" s="599"/>
      <c r="O2550" s="552" t="s">
        <v>1584</v>
      </c>
      <c r="P2550" s="603"/>
      <c r="Q2550" s="682"/>
      <c r="R2550" s="682"/>
      <c r="S2550" s="682"/>
      <c r="T2550" s="682"/>
      <c r="U2550" s="682"/>
      <c r="V2550" s="682"/>
      <c r="W2550" s="682"/>
    </row>
    <row r="2551" spans="1:23">
      <c r="A2551" s="1045">
        <f t="shared" si="40"/>
        <v>7</v>
      </c>
      <c r="B2551" s="134">
        <v>45488</v>
      </c>
      <c r="C2551" s="70">
        <v>1017</v>
      </c>
      <c r="D2551" s="70" t="s">
        <v>5118</v>
      </c>
      <c r="E2551" s="280" t="s">
        <v>4378</v>
      </c>
      <c r="F2551" s="1049"/>
      <c r="G2551" s="1049">
        <v>504</v>
      </c>
      <c r="H2551" s="564"/>
      <c r="I2551" s="609"/>
      <c r="J2551" s="1155"/>
      <c r="K2551" s="609"/>
      <c r="L2551" s="609"/>
      <c r="M2551" s="609"/>
      <c r="N2551" s="599"/>
      <c r="O2551" s="552" t="s">
        <v>1584</v>
      </c>
      <c r="P2551" s="603"/>
      <c r="Q2551" s="682"/>
      <c r="R2551" s="682"/>
      <c r="S2551" s="682"/>
      <c r="T2551" s="682"/>
      <c r="U2551" s="682"/>
      <c r="V2551" s="682"/>
      <c r="W2551" s="682"/>
    </row>
    <row r="2552" spans="1:23">
      <c r="A2552" s="1045">
        <f t="shared" si="40"/>
        <v>7</v>
      </c>
      <c r="B2552" s="134">
        <v>45488</v>
      </c>
      <c r="C2552" s="70">
        <v>1017</v>
      </c>
      <c r="D2552" s="70" t="s">
        <v>5118</v>
      </c>
      <c r="E2552" s="280" t="s">
        <v>4379</v>
      </c>
      <c r="F2552" s="1049"/>
      <c r="G2552" s="1049">
        <v>9.98</v>
      </c>
      <c r="H2552" s="564"/>
      <c r="I2552" s="609"/>
      <c r="J2552" s="1155"/>
      <c r="K2552" s="609"/>
      <c r="L2552" s="609"/>
      <c r="M2552" s="609"/>
      <c r="N2552" s="599"/>
      <c r="O2552" s="552" t="s">
        <v>1584</v>
      </c>
      <c r="P2552" s="603"/>
      <c r="Q2552" s="682"/>
      <c r="R2552" s="682"/>
      <c r="S2552" s="682"/>
      <c r="T2552" s="682"/>
      <c r="U2552" s="682"/>
      <c r="V2552" s="682"/>
      <c r="W2552" s="682"/>
    </row>
    <row r="2553" spans="1:23">
      <c r="A2553" s="1045">
        <f t="shared" si="40"/>
        <v>7</v>
      </c>
      <c r="B2553" s="134">
        <v>45488</v>
      </c>
      <c r="C2553" s="70">
        <v>1017</v>
      </c>
      <c r="D2553" s="70" t="s">
        <v>5118</v>
      </c>
      <c r="E2553" s="280" t="s">
        <v>4380</v>
      </c>
      <c r="F2553" s="1049"/>
      <c r="G2553" s="1049">
        <v>447.82</v>
      </c>
      <c r="H2553" s="564"/>
      <c r="I2553" s="609"/>
      <c r="J2553" s="1155"/>
      <c r="K2553" s="609"/>
      <c r="L2553" s="609"/>
      <c r="M2553" s="609"/>
      <c r="N2553" s="599"/>
      <c r="O2553" s="552" t="s">
        <v>1584</v>
      </c>
      <c r="P2553" s="603"/>
      <c r="Q2553" s="682"/>
      <c r="R2553" s="682"/>
      <c r="S2553" s="682"/>
      <c r="T2553" s="682"/>
      <c r="U2553" s="682"/>
      <c r="V2553" s="682"/>
      <c r="W2553" s="682"/>
    </row>
    <row r="2554" spans="1:23">
      <c r="A2554" s="1045">
        <f t="shared" si="40"/>
        <v>7</v>
      </c>
      <c r="B2554" s="134">
        <v>45488</v>
      </c>
      <c r="C2554" s="70">
        <v>1017</v>
      </c>
      <c r="D2554" s="70" t="s">
        <v>5118</v>
      </c>
      <c r="E2554" s="280" t="s">
        <v>4381</v>
      </c>
      <c r="F2554" s="1049"/>
      <c r="G2554" s="1049">
        <v>1711.5</v>
      </c>
      <c r="H2554" s="564"/>
      <c r="I2554" s="609"/>
      <c r="J2554" s="1155"/>
      <c r="K2554" s="609"/>
      <c r="L2554" s="609"/>
      <c r="M2554" s="609"/>
      <c r="N2554" s="599"/>
      <c r="O2554" s="552" t="s">
        <v>1584</v>
      </c>
      <c r="P2554" s="603"/>
      <c r="Q2554" s="682"/>
      <c r="R2554" s="682"/>
      <c r="S2554" s="682"/>
      <c r="T2554" s="682"/>
      <c r="U2554" s="682"/>
      <c r="V2554" s="682"/>
      <c r="W2554" s="682"/>
    </row>
    <row r="2555" spans="1:23">
      <c r="A2555" s="1045">
        <f t="shared" si="40"/>
        <v>7</v>
      </c>
      <c r="B2555" s="134">
        <v>45489</v>
      </c>
      <c r="C2555" s="70">
        <v>1017</v>
      </c>
      <c r="D2555" s="70" t="s">
        <v>5118</v>
      </c>
      <c r="E2555" s="280" t="s">
        <v>4382</v>
      </c>
      <c r="F2555" s="1049"/>
      <c r="G2555" s="1049">
        <v>138.6</v>
      </c>
      <c r="H2555" s="564"/>
      <c r="I2555" s="609"/>
      <c r="J2555" s="1155"/>
      <c r="K2555" s="609"/>
      <c r="L2555" s="609"/>
      <c r="M2555" s="609"/>
      <c r="N2555" s="599"/>
      <c r="O2555" s="552" t="s">
        <v>1584</v>
      </c>
      <c r="P2555" s="603"/>
      <c r="Q2555" s="682"/>
      <c r="R2555" s="682"/>
      <c r="S2555" s="682"/>
      <c r="T2555" s="682"/>
      <c r="U2555" s="682"/>
      <c r="V2555" s="682"/>
      <c r="W2555" s="682"/>
    </row>
    <row r="2556" spans="1:23">
      <c r="A2556" s="1045">
        <f t="shared" si="40"/>
        <v>7</v>
      </c>
      <c r="B2556" s="134">
        <v>45489</v>
      </c>
      <c r="C2556" s="70">
        <v>1017</v>
      </c>
      <c r="D2556" s="70" t="s">
        <v>5118</v>
      </c>
      <c r="E2556" s="280" t="s">
        <v>4383</v>
      </c>
      <c r="F2556" s="1049"/>
      <c r="G2556" s="1049">
        <v>60.36</v>
      </c>
      <c r="H2556" s="564"/>
      <c r="I2556" s="609"/>
      <c r="J2556" s="1155"/>
      <c r="K2556" s="609"/>
      <c r="L2556" s="609"/>
      <c r="M2556" s="609"/>
      <c r="N2556" s="599"/>
      <c r="O2556" s="552" t="s">
        <v>1584</v>
      </c>
      <c r="P2556" s="603"/>
      <c r="Q2556" s="682"/>
      <c r="R2556" s="682"/>
      <c r="S2556" s="682"/>
      <c r="T2556" s="682"/>
      <c r="U2556" s="682"/>
      <c r="V2556" s="682"/>
      <c r="W2556" s="682"/>
    </row>
    <row r="2557" spans="1:23">
      <c r="A2557" s="1045">
        <f t="shared" si="40"/>
        <v>7</v>
      </c>
      <c r="B2557" s="134">
        <v>45489</v>
      </c>
      <c r="C2557" s="70">
        <v>1017</v>
      </c>
      <c r="D2557" s="70" t="s">
        <v>5118</v>
      </c>
      <c r="E2557" s="280" t="s">
        <v>4384</v>
      </c>
      <c r="F2557" s="1049"/>
      <c r="G2557" s="1049">
        <v>69.83</v>
      </c>
      <c r="H2557" s="564"/>
      <c r="I2557" s="609"/>
      <c r="J2557" s="1155"/>
      <c r="K2557" s="609"/>
      <c r="L2557" s="609"/>
      <c r="M2557" s="609"/>
      <c r="N2557" s="599"/>
      <c r="O2557" s="552" t="s">
        <v>1584</v>
      </c>
      <c r="P2557" s="603"/>
      <c r="Q2557" s="682"/>
      <c r="R2557" s="682"/>
      <c r="S2557" s="682"/>
      <c r="T2557" s="682"/>
      <c r="U2557" s="682"/>
      <c r="V2557" s="682"/>
      <c r="W2557" s="682"/>
    </row>
    <row r="2558" spans="1:23">
      <c r="A2558" s="1045">
        <f t="shared" si="40"/>
        <v>7</v>
      </c>
      <c r="B2558" s="134">
        <v>45489</v>
      </c>
      <c r="C2558" s="70">
        <v>1017</v>
      </c>
      <c r="D2558" s="70" t="s">
        <v>5118</v>
      </c>
      <c r="E2558" s="280" t="s">
        <v>4385</v>
      </c>
      <c r="F2558" s="1049"/>
      <c r="G2558" s="1049">
        <v>1197</v>
      </c>
      <c r="H2558" s="564"/>
      <c r="I2558" s="609"/>
      <c r="J2558" s="1155"/>
      <c r="K2558" s="609"/>
      <c r="L2558" s="609"/>
      <c r="M2558" s="609"/>
      <c r="N2558" s="599"/>
      <c r="O2558" s="552" t="s">
        <v>1584</v>
      </c>
      <c r="P2558" s="603"/>
      <c r="Q2558" s="682"/>
      <c r="R2558" s="682"/>
      <c r="S2558" s="682"/>
      <c r="T2558" s="682"/>
      <c r="U2558" s="682"/>
      <c r="V2558" s="682"/>
      <c r="W2558" s="682"/>
    </row>
    <row r="2559" spans="1:23">
      <c r="A2559" s="1045">
        <f t="shared" si="40"/>
        <v>7</v>
      </c>
      <c r="B2559" s="134">
        <v>45489</v>
      </c>
      <c r="C2559" s="70">
        <v>1017</v>
      </c>
      <c r="D2559" s="70" t="s">
        <v>5118</v>
      </c>
      <c r="E2559" s="280" t="s">
        <v>4386</v>
      </c>
      <c r="F2559" s="1049"/>
      <c r="G2559" s="1049">
        <v>838.98</v>
      </c>
      <c r="H2559" s="564"/>
      <c r="I2559" s="609"/>
      <c r="J2559" s="1155"/>
      <c r="K2559" s="609"/>
      <c r="L2559" s="609"/>
      <c r="M2559" s="609"/>
      <c r="N2559" s="599"/>
      <c r="O2559" s="552" t="s">
        <v>1584</v>
      </c>
      <c r="P2559" s="603"/>
      <c r="Q2559" s="682"/>
      <c r="R2559" s="682"/>
      <c r="S2559" s="682"/>
      <c r="T2559" s="682"/>
      <c r="U2559" s="682"/>
      <c r="V2559" s="682"/>
      <c r="W2559" s="682"/>
    </row>
    <row r="2560" spans="1:23">
      <c r="A2560" s="1045">
        <f t="shared" si="40"/>
        <v>7</v>
      </c>
      <c r="B2560" s="134">
        <v>45489</v>
      </c>
      <c r="C2560" s="70">
        <v>1017</v>
      </c>
      <c r="D2560" s="70" t="s">
        <v>5118</v>
      </c>
      <c r="E2560" s="280" t="s">
        <v>4387</v>
      </c>
      <c r="F2560" s="1049"/>
      <c r="G2560" s="1049">
        <v>4</v>
      </c>
      <c r="H2560" s="564"/>
      <c r="I2560" s="609"/>
      <c r="J2560" s="1155"/>
      <c r="K2560" s="609"/>
      <c r="L2560" s="609"/>
      <c r="M2560" s="609"/>
      <c r="N2560" s="599"/>
      <c r="O2560" s="552" t="s">
        <v>1584</v>
      </c>
      <c r="P2560" s="603"/>
      <c r="Q2560" s="682"/>
      <c r="R2560" s="682"/>
      <c r="S2560" s="682"/>
      <c r="T2560" s="682"/>
      <c r="U2560" s="682"/>
      <c r="V2560" s="682"/>
      <c r="W2560" s="682"/>
    </row>
    <row r="2561" spans="1:23">
      <c r="A2561" s="1045">
        <f t="shared" si="40"/>
        <v>7</v>
      </c>
      <c r="B2561" s="134">
        <v>45489</v>
      </c>
      <c r="C2561" s="70">
        <v>1017</v>
      </c>
      <c r="D2561" s="70" t="s">
        <v>5118</v>
      </c>
      <c r="E2561" s="280" t="s">
        <v>4388</v>
      </c>
      <c r="F2561" s="1049"/>
      <c r="G2561" s="1049">
        <v>13.65</v>
      </c>
      <c r="H2561" s="564"/>
      <c r="I2561" s="609"/>
      <c r="J2561" s="1155"/>
      <c r="K2561" s="609"/>
      <c r="L2561" s="609"/>
      <c r="M2561" s="609"/>
      <c r="N2561" s="599"/>
      <c r="O2561" s="552" t="s">
        <v>1584</v>
      </c>
      <c r="P2561" s="603"/>
      <c r="Q2561" s="682"/>
      <c r="R2561" s="682"/>
      <c r="S2561" s="682"/>
      <c r="T2561" s="682"/>
      <c r="U2561" s="682"/>
      <c r="V2561" s="682"/>
      <c r="W2561" s="682"/>
    </row>
    <row r="2562" spans="1:23">
      <c r="A2562" s="1045">
        <f t="shared" si="40"/>
        <v>7</v>
      </c>
      <c r="B2562" s="134">
        <v>45489</v>
      </c>
      <c r="C2562" s="70">
        <v>1017</v>
      </c>
      <c r="D2562" s="70" t="s">
        <v>5118</v>
      </c>
      <c r="E2562" s="280" t="s">
        <v>4389</v>
      </c>
      <c r="F2562" s="1049"/>
      <c r="G2562" s="1049">
        <v>378</v>
      </c>
      <c r="H2562" s="564"/>
      <c r="I2562" s="609"/>
      <c r="J2562" s="1155"/>
      <c r="K2562" s="609"/>
      <c r="L2562" s="609"/>
      <c r="M2562" s="609"/>
      <c r="N2562" s="599"/>
      <c r="O2562" s="552" t="s">
        <v>1584</v>
      </c>
      <c r="P2562" s="603"/>
      <c r="Q2562" s="682"/>
      <c r="R2562" s="682"/>
      <c r="S2562" s="682"/>
      <c r="T2562" s="682"/>
      <c r="U2562" s="682"/>
      <c r="V2562" s="682"/>
      <c r="W2562" s="682"/>
    </row>
    <row r="2563" spans="1:23">
      <c r="A2563" s="1045">
        <f t="shared" si="40"/>
        <v>7</v>
      </c>
      <c r="B2563" s="134">
        <v>45489</v>
      </c>
      <c r="C2563" s="70">
        <v>1017</v>
      </c>
      <c r="D2563" s="70" t="s">
        <v>5118</v>
      </c>
      <c r="E2563" s="280" t="s">
        <v>4390</v>
      </c>
      <c r="F2563" s="1049"/>
      <c r="G2563" s="1049">
        <v>47.25</v>
      </c>
      <c r="H2563" s="564"/>
      <c r="I2563" s="609"/>
      <c r="J2563" s="1155"/>
      <c r="K2563" s="609"/>
      <c r="L2563" s="609"/>
      <c r="M2563" s="609"/>
      <c r="N2563" s="599"/>
      <c r="O2563" s="552" t="s">
        <v>1584</v>
      </c>
      <c r="P2563" s="603"/>
      <c r="Q2563" s="682"/>
      <c r="R2563" s="682"/>
      <c r="S2563" s="682"/>
      <c r="T2563" s="682"/>
      <c r="U2563" s="682"/>
      <c r="V2563" s="682"/>
      <c r="W2563" s="682"/>
    </row>
    <row r="2564" spans="1:23">
      <c r="A2564" s="1045">
        <f t="shared" si="40"/>
        <v>7</v>
      </c>
      <c r="B2564" s="134">
        <v>45490</v>
      </c>
      <c r="C2564" s="70">
        <v>1017</v>
      </c>
      <c r="D2564" s="70" t="s">
        <v>5118</v>
      </c>
      <c r="E2564" s="280" t="s">
        <v>4391</v>
      </c>
      <c r="F2564" s="1049"/>
      <c r="G2564" s="1049">
        <v>402.15</v>
      </c>
      <c r="H2564" s="564"/>
      <c r="I2564" s="609"/>
      <c r="J2564" s="1155"/>
      <c r="K2564" s="609"/>
      <c r="L2564" s="609"/>
      <c r="M2564" s="609"/>
      <c r="N2564" s="599"/>
      <c r="O2564" s="552" t="s">
        <v>1584</v>
      </c>
      <c r="P2564" s="603"/>
      <c r="Q2564" s="682"/>
      <c r="R2564" s="682"/>
      <c r="S2564" s="682"/>
      <c r="T2564" s="682"/>
      <c r="U2564" s="682"/>
      <c r="V2564" s="682"/>
      <c r="W2564" s="682"/>
    </row>
    <row r="2565" spans="1:23">
      <c r="A2565" s="1045">
        <f t="shared" si="40"/>
        <v>7</v>
      </c>
      <c r="B2565" s="134">
        <v>45490</v>
      </c>
      <c r="C2565" s="70">
        <v>1017</v>
      </c>
      <c r="D2565" s="70" t="s">
        <v>5118</v>
      </c>
      <c r="E2565" s="280" t="s">
        <v>4392</v>
      </c>
      <c r="F2565" s="1049"/>
      <c r="G2565" s="1049">
        <v>31.5</v>
      </c>
      <c r="H2565" s="564"/>
      <c r="I2565" s="609"/>
      <c r="J2565" s="1155"/>
      <c r="K2565" s="609"/>
      <c r="L2565" s="609"/>
      <c r="M2565" s="609"/>
      <c r="N2565" s="599"/>
      <c r="O2565" s="552" t="s">
        <v>1584</v>
      </c>
      <c r="P2565" s="603"/>
      <c r="Q2565" s="682"/>
      <c r="R2565" s="682"/>
      <c r="S2565" s="682"/>
      <c r="T2565" s="682"/>
      <c r="U2565" s="682"/>
      <c r="V2565" s="682"/>
      <c r="W2565" s="682"/>
    </row>
    <row r="2566" spans="1:23">
      <c r="A2566" s="1045">
        <f t="shared" si="40"/>
        <v>7</v>
      </c>
      <c r="B2566" s="134">
        <v>45490</v>
      </c>
      <c r="C2566" s="70">
        <v>1017</v>
      </c>
      <c r="D2566" s="70" t="s">
        <v>5118</v>
      </c>
      <c r="E2566" s="280" t="s">
        <v>4393</v>
      </c>
      <c r="F2566" s="1049"/>
      <c r="G2566" s="1049">
        <v>231</v>
      </c>
      <c r="H2566" s="564"/>
      <c r="I2566" s="609"/>
      <c r="J2566" s="1155"/>
      <c r="K2566" s="609"/>
      <c r="L2566" s="609"/>
      <c r="M2566" s="609"/>
      <c r="N2566" s="599"/>
      <c r="O2566" s="552" t="s">
        <v>1584</v>
      </c>
      <c r="P2566" s="603"/>
      <c r="Q2566" s="682"/>
      <c r="R2566" s="682"/>
      <c r="S2566" s="682"/>
      <c r="T2566" s="682"/>
      <c r="U2566" s="682"/>
      <c r="V2566" s="682"/>
      <c r="W2566" s="682"/>
    </row>
    <row r="2567" spans="1:23">
      <c r="A2567" s="1045">
        <f t="shared" si="40"/>
        <v>7</v>
      </c>
      <c r="B2567" s="134">
        <v>45490</v>
      </c>
      <c r="C2567" s="70">
        <v>1017</v>
      </c>
      <c r="D2567" s="70" t="s">
        <v>5118</v>
      </c>
      <c r="E2567" s="280" t="s">
        <v>4394</v>
      </c>
      <c r="F2567" s="1049"/>
      <c r="G2567" s="1049">
        <v>25.73</v>
      </c>
      <c r="H2567" s="564"/>
      <c r="I2567" s="609"/>
      <c r="J2567" s="1155"/>
      <c r="K2567" s="609"/>
      <c r="L2567" s="609"/>
      <c r="M2567" s="609"/>
      <c r="N2567" s="599"/>
      <c r="O2567" s="552" t="s">
        <v>1584</v>
      </c>
      <c r="P2567" s="603"/>
      <c r="Q2567" s="682"/>
      <c r="R2567" s="682"/>
      <c r="S2567" s="682"/>
      <c r="T2567" s="682"/>
      <c r="U2567" s="682"/>
      <c r="V2567" s="682"/>
      <c r="W2567" s="682"/>
    </row>
    <row r="2568" spans="1:23">
      <c r="A2568" s="1045">
        <f t="shared" si="40"/>
        <v>7</v>
      </c>
      <c r="B2568" s="134">
        <v>45490</v>
      </c>
      <c r="C2568" s="70">
        <v>1017</v>
      </c>
      <c r="D2568" s="70" t="s">
        <v>5118</v>
      </c>
      <c r="E2568" s="280" t="s">
        <v>4395</v>
      </c>
      <c r="F2568" s="1049"/>
      <c r="G2568" s="1049">
        <v>624.75</v>
      </c>
      <c r="H2568" s="564"/>
      <c r="I2568" s="609"/>
      <c r="J2568" s="1155"/>
      <c r="K2568" s="609"/>
      <c r="L2568" s="609"/>
      <c r="M2568" s="609"/>
      <c r="N2568" s="599"/>
      <c r="O2568" s="552" t="s">
        <v>1584</v>
      </c>
      <c r="P2568" s="603"/>
      <c r="Q2568" s="682"/>
      <c r="R2568" s="682"/>
      <c r="S2568" s="682"/>
      <c r="T2568" s="682"/>
      <c r="U2568" s="682"/>
      <c r="V2568" s="682"/>
      <c r="W2568" s="682"/>
    </row>
    <row r="2569" spans="1:23">
      <c r="A2569" s="1045">
        <f t="shared" si="40"/>
        <v>7</v>
      </c>
      <c r="B2569" s="134">
        <v>45490</v>
      </c>
      <c r="C2569" s="70">
        <v>1017</v>
      </c>
      <c r="D2569" s="70" t="s">
        <v>5118</v>
      </c>
      <c r="E2569" s="280" t="s">
        <v>4396</v>
      </c>
      <c r="F2569" s="1049"/>
      <c r="G2569" s="1049">
        <v>624.75</v>
      </c>
      <c r="H2569" s="564"/>
      <c r="I2569" s="609"/>
      <c r="J2569" s="1155"/>
      <c r="K2569" s="609"/>
      <c r="L2569" s="609"/>
      <c r="M2569" s="609"/>
      <c r="N2569" s="599"/>
      <c r="O2569" s="552" t="s">
        <v>1584</v>
      </c>
      <c r="P2569" s="603"/>
      <c r="Q2569" s="682"/>
      <c r="R2569" s="682"/>
      <c r="S2569" s="682"/>
      <c r="T2569" s="682"/>
      <c r="U2569" s="682"/>
      <c r="V2569" s="682"/>
      <c r="W2569" s="682"/>
    </row>
    <row r="2570" spans="1:23">
      <c r="A2570" s="1045">
        <f t="shared" si="40"/>
        <v>7</v>
      </c>
      <c r="B2570" s="134">
        <v>45490</v>
      </c>
      <c r="C2570" s="70">
        <v>1017</v>
      </c>
      <c r="D2570" s="70" t="s">
        <v>5118</v>
      </c>
      <c r="E2570" s="280" t="s">
        <v>4397</v>
      </c>
      <c r="F2570" s="1049"/>
      <c r="G2570" s="1049">
        <v>36.75</v>
      </c>
      <c r="H2570" s="564"/>
      <c r="I2570" s="609"/>
      <c r="J2570" s="1155"/>
      <c r="K2570" s="609"/>
      <c r="L2570" s="609"/>
      <c r="M2570" s="609"/>
      <c r="N2570" s="599"/>
      <c r="O2570" s="552" t="s">
        <v>1584</v>
      </c>
      <c r="P2570" s="603"/>
      <c r="Q2570" s="682"/>
      <c r="R2570" s="682"/>
      <c r="S2570" s="682"/>
      <c r="T2570" s="682"/>
      <c r="U2570" s="682"/>
      <c r="V2570" s="682"/>
      <c r="W2570" s="682"/>
    </row>
    <row r="2571" spans="1:23">
      <c r="A2571" s="1045">
        <f t="shared" si="40"/>
        <v>7</v>
      </c>
      <c r="B2571" s="134">
        <v>45491</v>
      </c>
      <c r="C2571" s="70">
        <v>1022</v>
      </c>
      <c r="D2571" s="70" t="s">
        <v>5119</v>
      </c>
      <c r="E2571" s="280" t="s">
        <v>4398</v>
      </c>
      <c r="F2571" s="1049"/>
      <c r="G2571" s="1049">
        <v>4568</v>
      </c>
      <c r="H2571" s="564"/>
      <c r="I2571" s="609"/>
      <c r="J2571" s="1155"/>
      <c r="K2571" s="609"/>
      <c r="L2571" s="609"/>
      <c r="M2571" s="609"/>
      <c r="N2571" s="599"/>
      <c r="O2571" s="552" t="s">
        <v>1584</v>
      </c>
      <c r="P2571" s="603"/>
      <c r="Q2571" s="682"/>
      <c r="R2571" s="682"/>
      <c r="S2571" s="682"/>
      <c r="T2571" s="682"/>
      <c r="U2571" s="682"/>
      <c r="V2571" s="682"/>
      <c r="W2571" s="682"/>
    </row>
    <row r="2572" spans="1:23">
      <c r="A2572" s="1045">
        <f t="shared" si="40"/>
        <v>7</v>
      </c>
      <c r="B2572" s="134">
        <v>45491</v>
      </c>
      <c r="C2572" s="70">
        <v>1017</v>
      </c>
      <c r="D2572" s="70" t="s">
        <v>5118</v>
      </c>
      <c r="E2572" s="280" t="s">
        <v>4399</v>
      </c>
      <c r="F2572" s="1049"/>
      <c r="G2572" s="1049">
        <v>874.99</v>
      </c>
      <c r="H2572" s="564"/>
      <c r="I2572" s="609"/>
      <c r="J2572" s="1155"/>
      <c r="K2572" s="609"/>
      <c r="L2572" s="609"/>
      <c r="M2572" s="609"/>
      <c r="N2572" s="599"/>
      <c r="O2572" s="552" t="s">
        <v>1584</v>
      </c>
      <c r="P2572" s="603"/>
      <c r="Q2572" s="682"/>
      <c r="R2572" s="682"/>
      <c r="S2572" s="682"/>
      <c r="T2572" s="682"/>
      <c r="U2572" s="682"/>
      <c r="V2572" s="682"/>
      <c r="W2572" s="682"/>
    </row>
    <row r="2573" spans="1:23">
      <c r="A2573" s="1045">
        <f t="shared" si="40"/>
        <v>7</v>
      </c>
      <c r="B2573" s="134">
        <v>45491</v>
      </c>
      <c r="C2573" s="70">
        <v>1017</v>
      </c>
      <c r="D2573" s="70" t="s">
        <v>5118</v>
      </c>
      <c r="E2573" s="280" t="s">
        <v>4400</v>
      </c>
      <c r="F2573" s="1049"/>
      <c r="G2573" s="1049">
        <v>18.11</v>
      </c>
      <c r="H2573" s="564"/>
      <c r="I2573" s="609"/>
      <c r="J2573" s="1155"/>
      <c r="K2573" s="609"/>
      <c r="L2573" s="609"/>
      <c r="M2573" s="609"/>
      <c r="N2573" s="599"/>
      <c r="O2573" s="552" t="s">
        <v>1584</v>
      </c>
      <c r="P2573" s="603"/>
      <c r="Q2573" s="682"/>
      <c r="R2573" s="682"/>
      <c r="S2573" s="682"/>
      <c r="T2573" s="682"/>
      <c r="U2573" s="682"/>
      <c r="V2573" s="682"/>
      <c r="W2573" s="682"/>
    </row>
    <row r="2574" spans="1:23">
      <c r="A2574" s="1045">
        <f t="shared" si="40"/>
        <v>7</v>
      </c>
      <c r="B2574" s="134">
        <v>45491</v>
      </c>
      <c r="C2574" s="70">
        <v>1017</v>
      </c>
      <c r="D2574" s="70" t="s">
        <v>5118</v>
      </c>
      <c r="E2574" s="280" t="s">
        <v>4401</v>
      </c>
      <c r="F2574" s="1049"/>
      <c r="G2574" s="1049">
        <v>52.5</v>
      </c>
      <c r="H2574" s="564"/>
      <c r="I2574" s="609"/>
      <c r="J2574" s="1155"/>
      <c r="K2574" s="609"/>
      <c r="L2574" s="609"/>
      <c r="M2574" s="609"/>
      <c r="N2574" s="599"/>
      <c r="O2574" s="552" t="s">
        <v>1584</v>
      </c>
      <c r="P2574" s="603"/>
      <c r="Q2574" s="682"/>
      <c r="R2574" s="682"/>
      <c r="S2574" s="682"/>
      <c r="T2574" s="682"/>
      <c r="U2574" s="682"/>
      <c r="V2574" s="682"/>
      <c r="W2574" s="682"/>
    </row>
    <row r="2575" spans="1:23">
      <c r="A2575" s="1045">
        <f t="shared" si="40"/>
        <v>7</v>
      </c>
      <c r="B2575" s="134">
        <v>45491</v>
      </c>
      <c r="C2575" s="70">
        <v>1017</v>
      </c>
      <c r="D2575" s="70" t="s">
        <v>5118</v>
      </c>
      <c r="E2575" s="280" t="s">
        <v>4402</v>
      </c>
      <c r="F2575" s="1049"/>
      <c r="G2575" s="1049">
        <v>202.65</v>
      </c>
      <c r="H2575" s="564"/>
      <c r="I2575" s="609"/>
      <c r="J2575" s="1155"/>
      <c r="K2575" s="609"/>
      <c r="L2575" s="609"/>
      <c r="M2575" s="609"/>
      <c r="N2575" s="599"/>
      <c r="O2575" s="552" t="s">
        <v>1584</v>
      </c>
      <c r="P2575" s="603"/>
      <c r="Q2575" s="682"/>
      <c r="R2575" s="682"/>
      <c r="S2575" s="682"/>
      <c r="T2575" s="682"/>
      <c r="U2575" s="682"/>
      <c r="V2575" s="682"/>
      <c r="W2575" s="682"/>
    </row>
    <row r="2576" spans="1:23">
      <c r="A2576" s="1045">
        <f t="shared" si="40"/>
        <v>7</v>
      </c>
      <c r="B2576" s="134">
        <v>45491</v>
      </c>
      <c r="C2576" s="70">
        <v>1017</v>
      </c>
      <c r="D2576" s="70" t="s">
        <v>5118</v>
      </c>
      <c r="E2576" s="280" t="s">
        <v>4403</v>
      </c>
      <c r="F2576" s="1049"/>
      <c r="G2576" s="1049">
        <v>15.75</v>
      </c>
      <c r="H2576" s="564"/>
      <c r="I2576" s="609"/>
      <c r="J2576" s="1155"/>
      <c r="K2576" s="609"/>
      <c r="L2576" s="609"/>
      <c r="M2576" s="609"/>
      <c r="N2576" s="599"/>
      <c r="O2576" s="552" t="s">
        <v>1584</v>
      </c>
      <c r="P2576" s="603"/>
      <c r="Q2576" s="682"/>
      <c r="R2576" s="682"/>
      <c r="S2576" s="682"/>
      <c r="T2576" s="682"/>
      <c r="U2576" s="682"/>
      <c r="V2576" s="682"/>
      <c r="W2576" s="682"/>
    </row>
    <row r="2577" spans="1:23">
      <c r="A2577" s="1045">
        <f t="shared" si="40"/>
        <v>7</v>
      </c>
      <c r="B2577" s="134">
        <v>45491</v>
      </c>
      <c r="C2577" s="70">
        <v>1017</v>
      </c>
      <c r="D2577" s="70" t="s">
        <v>5118</v>
      </c>
      <c r="E2577" s="280" t="s">
        <v>4404</v>
      </c>
      <c r="F2577" s="1049"/>
      <c r="G2577" s="1049">
        <v>1567.65</v>
      </c>
      <c r="H2577" s="564"/>
      <c r="I2577" s="609"/>
      <c r="J2577" s="1155"/>
      <c r="K2577" s="609"/>
      <c r="L2577" s="609"/>
      <c r="M2577" s="609"/>
      <c r="N2577" s="599"/>
      <c r="O2577" s="552" t="s">
        <v>1584</v>
      </c>
      <c r="P2577" s="603"/>
      <c r="Q2577" s="682"/>
      <c r="R2577" s="682"/>
      <c r="S2577" s="682"/>
      <c r="T2577" s="682"/>
      <c r="U2577" s="682"/>
      <c r="V2577" s="682"/>
      <c r="W2577" s="682"/>
    </row>
    <row r="2578" spans="1:23">
      <c r="A2578" s="1045">
        <f t="shared" si="40"/>
        <v>7</v>
      </c>
      <c r="B2578" s="134">
        <v>45492</v>
      </c>
      <c r="C2578" s="70">
        <v>1017</v>
      </c>
      <c r="D2578" s="70" t="s">
        <v>5118</v>
      </c>
      <c r="E2578" s="280" t="s">
        <v>4405</v>
      </c>
      <c r="F2578" s="1049"/>
      <c r="G2578" s="1049">
        <v>150.88</v>
      </c>
      <c r="H2578" s="564"/>
      <c r="I2578" s="609"/>
      <c r="J2578" s="1155"/>
      <c r="K2578" s="609"/>
      <c r="L2578" s="609"/>
      <c r="M2578" s="609"/>
      <c r="N2578" s="599"/>
      <c r="O2578" s="552" t="s">
        <v>1584</v>
      </c>
      <c r="P2578" s="603"/>
      <c r="Q2578" s="682"/>
      <c r="R2578" s="682"/>
      <c r="S2578" s="682"/>
      <c r="T2578" s="682"/>
      <c r="U2578" s="682"/>
      <c r="V2578" s="682"/>
      <c r="W2578" s="682"/>
    </row>
    <row r="2579" spans="1:23">
      <c r="A2579" s="1045">
        <f t="shared" si="40"/>
        <v>7</v>
      </c>
      <c r="B2579" s="134">
        <v>45492</v>
      </c>
      <c r="C2579" s="70">
        <v>1017</v>
      </c>
      <c r="D2579" s="70" t="s">
        <v>5118</v>
      </c>
      <c r="E2579" s="280" t="s">
        <v>4406</v>
      </c>
      <c r="F2579" s="1049"/>
      <c r="G2579" s="1049">
        <v>211.58</v>
      </c>
      <c r="H2579" s="564"/>
      <c r="I2579" s="609"/>
      <c r="J2579" s="1155"/>
      <c r="K2579" s="609"/>
      <c r="L2579" s="609"/>
      <c r="M2579" s="609"/>
      <c r="N2579" s="599"/>
      <c r="O2579" s="552" t="s">
        <v>1584</v>
      </c>
      <c r="P2579" s="603"/>
      <c r="Q2579" s="682"/>
      <c r="R2579" s="682"/>
      <c r="S2579" s="682"/>
      <c r="T2579" s="682"/>
      <c r="U2579" s="682"/>
      <c r="V2579" s="682"/>
      <c r="W2579" s="682"/>
    </row>
    <row r="2580" spans="1:23">
      <c r="A2580" s="1045">
        <f t="shared" si="40"/>
        <v>7</v>
      </c>
      <c r="B2580" s="134">
        <v>45492</v>
      </c>
      <c r="C2580" s="70">
        <v>1017</v>
      </c>
      <c r="D2580" s="70" t="s">
        <v>5118</v>
      </c>
      <c r="E2580" s="280" t="s">
        <v>4407</v>
      </c>
      <c r="F2580" s="1049"/>
      <c r="G2580" s="1049">
        <v>50.82</v>
      </c>
      <c r="H2580" s="564"/>
      <c r="I2580" s="609"/>
      <c r="J2580" s="1155"/>
      <c r="K2580" s="609"/>
      <c r="L2580" s="609"/>
      <c r="M2580" s="609"/>
      <c r="N2580" s="599"/>
      <c r="O2580" s="552" t="s">
        <v>1584</v>
      </c>
      <c r="P2580" s="603"/>
      <c r="Q2580" s="682"/>
      <c r="R2580" s="682"/>
      <c r="S2580" s="682"/>
      <c r="T2580" s="682"/>
      <c r="U2580" s="682"/>
      <c r="V2580" s="682"/>
      <c r="W2580" s="682"/>
    </row>
    <row r="2581" spans="1:23">
      <c r="A2581" s="1045">
        <f t="shared" ref="A2581:A2644" si="41">IF(B2581="","",MONTH(B2581))</f>
        <v>7</v>
      </c>
      <c r="B2581" s="134">
        <v>45492</v>
      </c>
      <c r="C2581" s="70">
        <v>1017</v>
      </c>
      <c r="D2581" s="70" t="s">
        <v>5118</v>
      </c>
      <c r="E2581" s="280" t="s">
        <v>4408</v>
      </c>
      <c r="F2581" s="1049"/>
      <c r="G2581" s="1049">
        <v>120.75</v>
      </c>
      <c r="H2581" s="564"/>
      <c r="I2581" s="609"/>
      <c r="J2581" s="1155"/>
      <c r="K2581" s="609"/>
      <c r="L2581" s="609"/>
      <c r="M2581" s="609"/>
      <c r="N2581" s="599"/>
      <c r="O2581" s="552" t="s">
        <v>1584</v>
      </c>
      <c r="P2581" s="603"/>
      <c r="Q2581" s="682"/>
      <c r="R2581" s="682"/>
      <c r="S2581" s="682"/>
      <c r="T2581" s="682"/>
      <c r="U2581" s="682"/>
      <c r="V2581" s="682"/>
      <c r="W2581" s="682"/>
    </row>
    <row r="2582" spans="1:23">
      <c r="A2582" s="1045">
        <f t="shared" si="41"/>
        <v>7</v>
      </c>
      <c r="B2582" s="134">
        <v>45492</v>
      </c>
      <c r="C2582" s="70">
        <v>1017</v>
      </c>
      <c r="D2582" s="70" t="s">
        <v>5118</v>
      </c>
      <c r="E2582" s="280" t="s">
        <v>4409</v>
      </c>
      <c r="F2582" s="1049"/>
      <c r="G2582" s="1049">
        <v>68.25</v>
      </c>
      <c r="H2582" s="564"/>
      <c r="I2582" s="609"/>
      <c r="J2582" s="1155"/>
      <c r="K2582" s="609"/>
      <c r="L2582" s="609"/>
      <c r="M2582" s="609"/>
      <c r="N2582" s="599"/>
      <c r="O2582" s="552" t="s">
        <v>1584</v>
      </c>
      <c r="P2582" s="603"/>
      <c r="Q2582" s="682"/>
      <c r="R2582" s="682"/>
      <c r="S2582" s="682"/>
      <c r="T2582" s="682"/>
      <c r="U2582" s="682"/>
      <c r="V2582" s="682"/>
      <c r="W2582" s="682"/>
    </row>
    <row r="2583" spans="1:23">
      <c r="A2583" s="1045">
        <f t="shared" si="41"/>
        <v>7</v>
      </c>
      <c r="B2583" s="134">
        <v>45492</v>
      </c>
      <c r="C2583" s="70">
        <v>1017</v>
      </c>
      <c r="D2583" s="70" t="s">
        <v>5118</v>
      </c>
      <c r="E2583" s="280" t="s">
        <v>4410</v>
      </c>
      <c r="F2583" s="1049"/>
      <c r="G2583" s="1049">
        <v>19.899999999999999</v>
      </c>
      <c r="H2583" s="564"/>
      <c r="I2583" s="609"/>
      <c r="J2583" s="1155"/>
      <c r="K2583" s="609"/>
      <c r="L2583" s="609"/>
      <c r="M2583" s="609"/>
      <c r="N2583" s="599"/>
      <c r="O2583" s="552" t="s">
        <v>1584</v>
      </c>
      <c r="P2583" s="603"/>
      <c r="Q2583" s="682"/>
      <c r="R2583" s="682"/>
      <c r="S2583" s="682"/>
      <c r="T2583" s="682"/>
      <c r="U2583" s="682"/>
      <c r="V2583" s="682"/>
      <c r="W2583" s="682"/>
    </row>
    <row r="2584" spans="1:23">
      <c r="A2584" s="1045">
        <f t="shared" si="41"/>
        <v>7</v>
      </c>
      <c r="B2584" s="134">
        <v>45493</v>
      </c>
      <c r="C2584" s="70">
        <v>1022</v>
      </c>
      <c r="D2584" s="70" t="s">
        <v>5119</v>
      </c>
      <c r="E2584" s="280" t="s">
        <v>4411</v>
      </c>
      <c r="F2584" s="1049"/>
      <c r="G2584" s="1049">
        <v>12060</v>
      </c>
      <c r="H2584" s="564"/>
      <c r="I2584" s="609"/>
      <c r="J2584" s="1155"/>
      <c r="K2584" s="609"/>
      <c r="L2584" s="609"/>
      <c r="M2584" s="609"/>
      <c r="N2584" s="599"/>
      <c r="O2584" s="552" t="s">
        <v>1584</v>
      </c>
      <c r="P2584" s="603"/>
      <c r="Q2584" s="682"/>
      <c r="R2584" s="682"/>
      <c r="S2584" s="682"/>
      <c r="T2584" s="682"/>
      <c r="U2584" s="682"/>
      <c r="V2584" s="682"/>
      <c r="W2584" s="682"/>
    </row>
    <row r="2585" spans="1:23">
      <c r="A2585" s="1045">
        <f t="shared" si="41"/>
        <v>7</v>
      </c>
      <c r="B2585" s="134">
        <v>45493</v>
      </c>
      <c r="C2585" s="70">
        <v>1017</v>
      </c>
      <c r="D2585" s="70" t="s">
        <v>5118</v>
      </c>
      <c r="E2585" s="280" t="s">
        <v>4412</v>
      </c>
      <c r="F2585" s="1049"/>
      <c r="G2585" s="1049">
        <v>99.75</v>
      </c>
      <c r="H2585" s="564"/>
      <c r="I2585" s="609"/>
      <c r="J2585" s="1155"/>
      <c r="K2585" s="609"/>
      <c r="L2585" s="609"/>
      <c r="M2585" s="609"/>
      <c r="N2585" s="599"/>
      <c r="O2585" s="552" t="s">
        <v>1584</v>
      </c>
      <c r="P2585" s="603"/>
      <c r="Q2585" s="682"/>
      <c r="R2585" s="682"/>
      <c r="S2585" s="682"/>
      <c r="T2585" s="682"/>
      <c r="U2585" s="682"/>
      <c r="V2585" s="682"/>
      <c r="W2585" s="682"/>
    </row>
    <row r="2586" spans="1:23">
      <c r="A2586" s="1045">
        <f t="shared" si="41"/>
        <v>7</v>
      </c>
      <c r="B2586" s="134">
        <v>45493</v>
      </c>
      <c r="C2586" s="70">
        <v>1017</v>
      </c>
      <c r="D2586" s="70" t="s">
        <v>5118</v>
      </c>
      <c r="E2586" s="280" t="s">
        <v>4413</v>
      </c>
      <c r="F2586" s="1049"/>
      <c r="G2586" s="1049">
        <v>471.44</v>
      </c>
      <c r="H2586" s="564"/>
      <c r="I2586" s="609"/>
      <c r="J2586" s="1155"/>
      <c r="K2586" s="609"/>
      <c r="L2586" s="609"/>
      <c r="M2586" s="609"/>
      <c r="N2586" s="599"/>
      <c r="O2586" s="552" t="s">
        <v>1584</v>
      </c>
      <c r="P2586" s="603"/>
      <c r="Q2586" s="682"/>
      <c r="R2586" s="682"/>
      <c r="S2586" s="682"/>
      <c r="T2586" s="682"/>
      <c r="U2586" s="682"/>
      <c r="V2586" s="682"/>
      <c r="W2586" s="682"/>
    </row>
    <row r="2587" spans="1:23">
      <c r="A2587" s="1045">
        <f t="shared" si="41"/>
        <v>7</v>
      </c>
      <c r="B2587" s="134">
        <v>45494</v>
      </c>
      <c r="C2587" s="70">
        <v>1022</v>
      </c>
      <c r="D2587" s="70" t="s">
        <v>5119</v>
      </c>
      <c r="E2587" s="280" t="s">
        <v>4414</v>
      </c>
      <c r="F2587" s="1049"/>
      <c r="G2587" s="1049">
        <v>14385</v>
      </c>
      <c r="H2587" s="564"/>
      <c r="I2587" s="609"/>
      <c r="J2587" s="1155"/>
      <c r="K2587" s="609"/>
      <c r="L2587" s="609"/>
      <c r="M2587" s="609"/>
      <c r="N2587" s="599"/>
      <c r="O2587" s="552" t="s">
        <v>1584</v>
      </c>
      <c r="P2587" s="603"/>
      <c r="Q2587" s="682"/>
      <c r="R2587" s="682"/>
      <c r="S2587" s="682"/>
      <c r="T2587" s="682"/>
      <c r="U2587" s="682"/>
      <c r="V2587" s="682"/>
      <c r="W2587" s="682"/>
    </row>
    <row r="2588" spans="1:23">
      <c r="A2588" s="1045">
        <f t="shared" si="41"/>
        <v>7</v>
      </c>
      <c r="B2588" s="134">
        <v>45494</v>
      </c>
      <c r="C2588" s="70">
        <v>1017</v>
      </c>
      <c r="D2588" s="70" t="s">
        <v>5118</v>
      </c>
      <c r="E2588" s="280" t="s">
        <v>4415</v>
      </c>
      <c r="F2588" s="1049"/>
      <c r="G2588" s="1049">
        <v>35.700000000000003</v>
      </c>
      <c r="H2588" s="564"/>
      <c r="I2588" s="609"/>
      <c r="J2588" s="1155"/>
      <c r="K2588" s="609"/>
      <c r="L2588" s="609"/>
      <c r="M2588" s="609"/>
      <c r="N2588" s="599"/>
      <c r="O2588" s="552" t="s">
        <v>1584</v>
      </c>
      <c r="P2588" s="603"/>
      <c r="Q2588" s="682"/>
      <c r="R2588" s="682"/>
      <c r="S2588" s="682"/>
      <c r="T2588" s="682"/>
      <c r="U2588" s="682"/>
      <c r="V2588" s="682"/>
      <c r="W2588" s="682"/>
    </row>
    <row r="2589" spans="1:23">
      <c r="A2589" s="1045">
        <f t="shared" si="41"/>
        <v>7</v>
      </c>
      <c r="B2589" s="134">
        <v>45494</v>
      </c>
      <c r="C2589" s="70">
        <v>1017</v>
      </c>
      <c r="D2589" s="70" t="s">
        <v>5118</v>
      </c>
      <c r="E2589" s="280" t="s">
        <v>4416</v>
      </c>
      <c r="F2589" s="1049"/>
      <c r="G2589" s="1049">
        <v>69.989999999999995</v>
      </c>
      <c r="H2589" s="564"/>
      <c r="I2589" s="609"/>
      <c r="J2589" s="1155"/>
      <c r="K2589" s="609"/>
      <c r="L2589" s="609"/>
      <c r="M2589" s="609"/>
      <c r="N2589" s="599"/>
      <c r="O2589" s="552" t="s">
        <v>1584</v>
      </c>
      <c r="P2589" s="603"/>
      <c r="Q2589" s="682"/>
      <c r="R2589" s="682"/>
      <c r="S2589" s="682"/>
      <c r="T2589" s="682"/>
      <c r="U2589" s="682"/>
      <c r="V2589" s="682"/>
      <c r="W2589" s="682"/>
    </row>
    <row r="2590" spans="1:23">
      <c r="A2590" s="1045">
        <f t="shared" si="41"/>
        <v>7</v>
      </c>
      <c r="B2590" s="134">
        <v>45494</v>
      </c>
      <c r="C2590" s="70">
        <v>1017</v>
      </c>
      <c r="D2590" s="70" t="s">
        <v>5118</v>
      </c>
      <c r="E2590" s="280" t="s">
        <v>4417</v>
      </c>
      <c r="F2590" s="1049"/>
      <c r="G2590" s="1049">
        <v>141.82</v>
      </c>
      <c r="H2590" s="564"/>
      <c r="I2590" s="609"/>
      <c r="J2590" s="1155"/>
      <c r="K2590" s="609"/>
      <c r="L2590" s="609"/>
      <c r="M2590" s="609"/>
      <c r="N2590" s="599"/>
      <c r="O2590" s="552" t="s">
        <v>1584</v>
      </c>
      <c r="P2590" s="603"/>
      <c r="Q2590" s="682"/>
      <c r="R2590" s="682"/>
      <c r="S2590" s="682"/>
      <c r="T2590" s="682"/>
      <c r="U2590" s="682"/>
      <c r="V2590" s="682"/>
      <c r="W2590" s="682"/>
    </row>
    <row r="2591" spans="1:23">
      <c r="A2591" s="1045">
        <f t="shared" si="41"/>
        <v>7</v>
      </c>
      <c r="B2591" s="134">
        <v>45494</v>
      </c>
      <c r="C2591" s="70">
        <v>1017</v>
      </c>
      <c r="D2591" s="70" t="s">
        <v>5118</v>
      </c>
      <c r="E2591" s="280" t="s">
        <v>4418</v>
      </c>
      <c r="F2591" s="1049"/>
      <c r="G2591" s="1049">
        <v>5.25</v>
      </c>
      <c r="H2591" s="564"/>
      <c r="I2591" s="609"/>
      <c r="J2591" s="1155"/>
      <c r="K2591" s="609"/>
      <c r="L2591" s="609"/>
      <c r="M2591" s="609"/>
      <c r="N2591" s="599"/>
      <c r="O2591" s="552" t="s">
        <v>1584</v>
      </c>
      <c r="P2591" s="603"/>
      <c r="Q2591" s="682"/>
      <c r="R2591" s="682"/>
      <c r="S2591" s="682"/>
      <c r="T2591" s="682"/>
      <c r="U2591" s="682"/>
      <c r="V2591" s="682"/>
      <c r="W2591" s="682"/>
    </row>
    <row r="2592" spans="1:23">
      <c r="A2592" s="1045">
        <f t="shared" si="41"/>
        <v>7</v>
      </c>
      <c r="B2592" s="134">
        <v>45494</v>
      </c>
      <c r="C2592" s="70">
        <v>1017</v>
      </c>
      <c r="D2592" s="70" t="s">
        <v>5118</v>
      </c>
      <c r="E2592" s="280" t="s">
        <v>4419</v>
      </c>
      <c r="F2592" s="1049"/>
      <c r="G2592" s="1049">
        <v>95.45</v>
      </c>
      <c r="H2592" s="564"/>
      <c r="I2592" s="609"/>
      <c r="J2592" s="1155"/>
      <c r="K2592" s="609"/>
      <c r="L2592" s="609"/>
      <c r="M2592" s="609"/>
      <c r="N2592" s="599"/>
      <c r="O2592" s="552" t="s">
        <v>1584</v>
      </c>
      <c r="P2592" s="603"/>
      <c r="Q2592" s="682"/>
      <c r="R2592" s="682"/>
      <c r="S2592" s="682"/>
      <c r="T2592" s="682"/>
      <c r="U2592" s="682"/>
      <c r="V2592" s="682"/>
      <c r="W2592" s="682"/>
    </row>
    <row r="2593" spans="1:23">
      <c r="A2593" s="1045">
        <f t="shared" si="41"/>
        <v>7</v>
      </c>
      <c r="B2593" s="134">
        <v>45495</v>
      </c>
      <c r="C2593" s="70">
        <v>1017</v>
      </c>
      <c r="D2593" s="70" t="s">
        <v>5118</v>
      </c>
      <c r="E2593" s="280" t="s">
        <v>4420</v>
      </c>
      <c r="F2593" s="1049"/>
      <c r="G2593" s="1049">
        <v>63</v>
      </c>
      <c r="H2593" s="564"/>
      <c r="I2593" s="609"/>
      <c r="J2593" s="1155"/>
      <c r="K2593" s="609"/>
      <c r="L2593" s="609"/>
      <c r="M2593" s="609"/>
      <c r="N2593" s="599"/>
      <c r="O2593" s="552" t="s">
        <v>1584</v>
      </c>
      <c r="P2593" s="603"/>
      <c r="Q2593" s="682"/>
      <c r="R2593" s="682"/>
      <c r="S2593" s="682"/>
      <c r="T2593" s="682"/>
      <c r="U2593" s="682"/>
      <c r="V2593" s="682"/>
      <c r="W2593" s="682"/>
    </row>
    <row r="2594" spans="1:23">
      <c r="A2594" s="1045">
        <f t="shared" si="41"/>
        <v>7</v>
      </c>
      <c r="B2594" s="134">
        <v>45495</v>
      </c>
      <c r="C2594" s="70">
        <v>1017</v>
      </c>
      <c r="D2594" s="70" t="s">
        <v>5118</v>
      </c>
      <c r="E2594" s="280" t="s">
        <v>4421</v>
      </c>
      <c r="F2594" s="1049"/>
      <c r="G2594" s="1049">
        <v>82.95</v>
      </c>
      <c r="H2594" s="564"/>
      <c r="I2594" s="609"/>
      <c r="J2594" s="1155"/>
      <c r="K2594" s="609"/>
      <c r="L2594" s="609"/>
      <c r="M2594" s="609"/>
      <c r="N2594" s="599"/>
      <c r="O2594" s="552" t="s">
        <v>1584</v>
      </c>
      <c r="P2594" s="603"/>
      <c r="Q2594" s="682"/>
      <c r="R2594" s="682"/>
      <c r="S2594" s="682"/>
      <c r="T2594" s="682"/>
      <c r="U2594" s="682"/>
      <c r="V2594" s="682"/>
      <c r="W2594" s="682"/>
    </row>
    <row r="2595" spans="1:23">
      <c r="A2595" s="1045">
        <f t="shared" si="41"/>
        <v>7</v>
      </c>
      <c r="B2595" s="134">
        <v>45495</v>
      </c>
      <c r="C2595" s="70">
        <v>1017</v>
      </c>
      <c r="D2595" s="70" t="s">
        <v>5118</v>
      </c>
      <c r="E2595" s="280" t="s">
        <v>4422</v>
      </c>
      <c r="F2595" s="1049"/>
      <c r="G2595" s="1049">
        <v>63</v>
      </c>
      <c r="H2595" s="564"/>
      <c r="I2595" s="609"/>
      <c r="J2595" s="1155"/>
      <c r="K2595" s="609"/>
      <c r="L2595" s="609"/>
      <c r="M2595" s="609"/>
      <c r="N2595" s="599"/>
      <c r="O2595" s="552" t="s">
        <v>1584</v>
      </c>
      <c r="P2595" s="603"/>
      <c r="Q2595" s="682"/>
      <c r="R2595" s="682"/>
      <c r="S2595" s="682"/>
      <c r="T2595" s="682"/>
      <c r="U2595" s="682"/>
      <c r="V2595" s="682"/>
      <c r="W2595" s="682"/>
    </row>
    <row r="2596" spans="1:23">
      <c r="A2596" s="1045">
        <f t="shared" si="41"/>
        <v>7</v>
      </c>
      <c r="B2596" s="134">
        <v>45495</v>
      </c>
      <c r="C2596" s="70">
        <v>1017</v>
      </c>
      <c r="D2596" s="70" t="s">
        <v>5118</v>
      </c>
      <c r="E2596" s="280" t="s">
        <v>4423</v>
      </c>
      <c r="F2596" s="1049"/>
      <c r="G2596" s="1049">
        <v>111.3</v>
      </c>
      <c r="H2596" s="564"/>
      <c r="I2596" s="609"/>
      <c r="J2596" s="1155"/>
      <c r="K2596" s="609"/>
      <c r="L2596" s="609"/>
      <c r="M2596" s="609"/>
      <c r="N2596" s="599"/>
      <c r="O2596" s="552" t="s">
        <v>1584</v>
      </c>
      <c r="P2596" s="603"/>
      <c r="Q2596" s="682"/>
      <c r="R2596" s="682"/>
      <c r="S2596" s="682"/>
      <c r="T2596" s="682"/>
      <c r="U2596" s="682"/>
      <c r="V2596" s="682"/>
      <c r="W2596" s="682"/>
    </row>
    <row r="2597" spans="1:23">
      <c r="A2597" s="1045">
        <f t="shared" si="41"/>
        <v>7</v>
      </c>
      <c r="B2597" s="134">
        <v>45495</v>
      </c>
      <c r="C2597" s="70">
        <v>1017</v>
      </c>
      <c r="D2597" s="70" t="s">
        <v>5118</v>
      </c>
      <c r="E2597" s="280" t="s">
        <v>4424</v>
      </c>
      <c r="F2597" s="1049"/>
      <c r="G2597" s="1049">
        <v>1234.28</v>
      </c>
      <c r="H2597" s="564"/>
      <c r="I2597" s="609"/>
      <c r="J2597" s="1155"/>
      <c r="K2597" s="609"/>
      <c r="L2597" s="609"/>
      <c r="M2597" s="609"/>
      <c r="N2597" s="599"/>
      <c r="O2597" s="552" t="s">
        <v>1584</v>
      </c>
      <c r="P2597" s="603"/>
      <c r="Q2597" s="682"/>
      <c r="R2597" s="682"/>
      <c r="S2597" s="682"/>
      <c r="T2597" s="682"/>
      <c r="U2597" s="682"/>
      <c r="V2597" s="682"/>
      <c r="W2597" s="682"/>
    </row>
    <row r="2598" spans="1:23">
      <c r="A2598" s="1045">
        <f t="shared" si="41"/>
        <v>7</v>
      </c>
      <c r="B2598" s="134">
        <v>45495</v>
      </c>
      <c r="C2598" s="70">
        <v>1017</v>
      </c>
      <c r="D2598" s="70" t="s">
        <v>5118</v>
      </c>
      <c r="E2598" s="280" t="s">
        <v>4425</v>
      </c>
      <c r="F2598" s="1049"/>
      <c r="G2598" s="1049">
        <v>1226.48</v>
      </c>
      <c r="H2598" s="564"/>
      <c r="I2598" s="609"/>
      <c r="J2598" s="1155"/>
      <c r="K2598" s="609"/>
      <c r="L2598" s="609"/>
      <c r="M2598" s="609"/>
      <c r="N2598" s="599"/>
      <c r="O2598" s="552" t="s">
        <v>1584</v>
      </c>
      <c r="P2598" s="603"/>
      <c r="Q2598" s="682"/>
      <c r="R2598" s="682"/>
      <c r="S2598" s="682"/>
      <c r="T2598" s="682"/>
      <c r="U2598" s="682"/>
      <c r="V2598" s="682"/>
      <c r="W2598" s="682"/>
    </row>
    <row r="2599" spans="1:23">
      <c r="A2599" s="1045">
        <f t="shared" si="41"/>
        <v>7</v>
      </c>
      <c r="B2599" s="134">
        <v>45495</v>
      </c>
      <c r="C2599" s="70">
        <v>1017</v>
      </c>
      <c r="D2599" s="70" t="s">
        <v>5118</v>
      </c>
      <c r="E2599" s="280" t="s">
        <v>4426</v>
      </c>
      <c r="F2599" s="1049"/>
      <c r="G2599" s="1049">
        <v>168</v>
      </c>
      <c r="H2599" s="564"/>
      <c r="I2599" s="609"/>
      <c r="J2599" s="1155"/>
      <c r="K2599" s="609"/>
      <c r="L2599" s="609"/>
      <c r="M2599" s="609"/>
      <c r="N2599" s="599"/>
      <c r="O2599" s="552" t="s">
        <v>1584</v>
      </c>
      <c r="P2599" s="603"/>
      <c r="Q2599" s="682"/>
      <c r="R2599" s="682"/>
      <c r="S2599" s="682"/>
      <c r="T2599" s="682"/>
      <c r="U2599" s="682"/>
      <c r="V2599" s="682"/>
      <c r="W2599" s="682"/>
    </row>
    <row r="2600" spans="1:23">
      <c r="A2600" s="1045">
        <f t="shared" si="41"/>
        <v>7</v>
      </c>
      <c r="B2600" s="134">
        <v>45495</v>
      </c>
      <c r="C2600" s="70">
        <v>1017</v>
      </c>
      <c r="D2600" s="70" t="s">
        <v>5118</v>
      </c>
      <c r="E2600" s="280" t="s">
        <v>4427</v>
      </c>
      <c r="F2600" s="1049"/>
      <c r="G2600" s="1049">
        <v>3990</v>
      </c>
      <c r="H2600" s="564"/>
      <c r="I2600" s="609"/>
      <c r="J2600" s="1155"/>
      <c r="K2600" s="609"/>
      <c r="L2600" s="609"/>
      <c r="M2600" s="609"/>
      <c r="N2600" s="599"/>
      <c r="O2600" s="552" t="s">
        <v>1584</v>
      </c>
      <c r="P2600" s="603"/>
      <c r="Q2600" s="682"/>
      <c r="R2600" s="682"/>
      <c r="S2600" s="682"/>
      <c r="T2600" s="682"/>
      <c r="U2600" s="682"/>
      <c r="V2600" s="682"/>
      <c r="W2600" s="682"/>
    </row>
    <row r="2601" spans="1:23">
      <c r="A2601" s="1045">
        <f t="shared" si="41"/>
        <v>7</v>
      </c>
      <c r="B2601" s="134">
        <v>45496</v>
      </c>
      <c r="C2601" s="70">
        <v>1017</v>
      </c>
      <c r="D2601" s="70" t="s">
        <v>5118</v>
      </c>
      <c r="E2601" s="280" t="s">
        <v>4428</v>
      </c>
      <c r="F2601" s="1049"/>
      <c r="G2601" s="1049">
        <v>40.01</v>
      </c>
      <c r="H2601" s="564"/>
      <c r="I2601" s="609"/>
      <c r="J2601" s="1155"/>
      <c r="K2601" s="609"/>
      <c r="L2601" s="609"/>
      <c r="M2601" s="609"/>
      <c r="N2601" s="599"/>
      <c r="O2601" s="552" t="s">
        <v>1584</v>
      </c>
      <c r="P2601" s="603"/>
      <c r="Q2601" s="682"/>
      <c r="R2601" s="682"/>
      <c r="S2601" s="682"/>
      <c r="T2601" s="682"/>
      <c r="U2601" s="682"/>
      <c r="V2601" s="682"/>
      <c r="W2601" s="682"/>
    </row>
    <row r="2602" spans="1:23">
      <c r="A2602" s="1045">
        <f t="shared" si="41"/>
        <v>7</v>
      </c>
      <c r="B2602" s="134">
        <v>45496</v>
      </c>
      <c r="C2602" s="70">
        <v>1017</v>
      </c>
      <c r="D2602" s="70" t="s">
        <v>5118</v>
      </c>
      <c r="E2602" s="280" t="s">
        <v>4429</v>
      </c>
      <c r="F2602" s="1049"/>
      <c r="G2602" s="1049">
        <v>252</v>
      </c>
      <c r="H2602" s="564"/>
      <c r="I2602" s="609"/>
      <c r="J2602" s="1155"/>
      <c r="K2602" s="609"/>
      <c r="L2602" s="609"/>
      <c r="M2602" s="609"/>
      <c r="N2602" s="599"/>
      <c r="O2602" s="552" t="s">
        <v>1584</v>
      </c>
      <c r="P2602" s="603"/>
      <c r="Q2602" s="682"/>
      <c r="R2602" s="682"/>
      <c r="S2602" s="682"/>
      <c r="T2602" s="682"/>
      <c r="U2602" s="682"/>
      <c r="V2602" s="682"/>
      <c r="W2602" s="682"/>
    </row>
    <row r="2603" spans="1:23">
      <c r="A2603" s="1045">
        <f t="shared" si="41"/>
        <v>7</v>
      </c>
      <c r="B2603" s="134">
        <v>45496</v>
      </c>
      <c r="C2603" s="70">
        <v>1017</v>
      </c>
      <c r="D2603" s="70" t="s">
        <v>5118</v>
      </c>
      <c r="E2603" s="280" t="s">
        <v>4430</v>
      </c>
      <c r="F2603" s="1049"/>
      <c r="G2603" s="1049">
        <v>1338.75</v>
      </c>
      <c r="H2603" s="564"/>
      <c r="I2603" s="609"/>
      <c r="J2603" s="1155"/>
      <c r="K2603" s="609"/>
      <c r="L2603" s="609"/>
      <c r="M2603" s="609"/>
      <c r="N2603" s="599"/>
      <c r="O2603" s="552" t="s">
        <v>1584</v>
      </c>
      <c r="P2603" s="603"/>
      <c r="Q2603" s="682"/>
      <c r="R2603" s="682"/>
      <c r="S2603" s="682"/>
      <c r="T2603" s="682"/>
      <c r="U2603" s="682"/>
      <c r="V2603" s="682"/>
      <c r="W2603" s="682"/>
    </row>
    <row r="2604" spans="1:23">
      <c r="A2604" s="1045">
        <f t="shared" si="41"/>
        <v>7</v>
      </c>
      <c r="B2604" s="134">
        <v>45496</v>
      </c>
      <c r="C2604" s="70">
        <v>1017</v>
      </c>
      <c r="D2604" s="70" t="s">
        <v>5118</v>
      </c>
      <c r="E2604" s="280" t="s">
        <v>4431</v>
      </c>
      <c r="F2604" s="1049"/>
      <c r="G2604" s="1049">
        <v>141.75</v>
      </c>
      <c r="H2604" s="564"/>
      <c r="I2604" s="609"/>
      <c r="J2604" s="1155"/>
      <c r="K2604" s="609"/>
      <c r="L2604" s="609"/>
      <c r="M2604" s="609"/>
      <c r="N2604" s="599"/>
      <c r="O2604" s="552" t="s">
        <v>1584</v>
      </c>
      <c r="P2604" s="603"/>
      <c r="Q2604" s="682"/>
      <c r="R2604" s="682"/>
      <c r="S2604" s="682"/>
      <c r="T2604" s="682"/>
      <c r="U2604" s="682"/>
      <c r="V2604" s="682"/>
      <c r="W2604" s="682"/>
    </row>
    <row r="2605" spans="1:23">
      <c r="A2605" s="1045">
        <f t="shared" si="41"/>
        <v>7</v>
      </c>
      <c r="B2605" s="134">
        <v>45497</v>
      </c>
      <c r="C2605" s="70">
        <v>1017</v>
      </c>
      <c r="D2605" s="70" t="s">
        <v>5118</v>
      </c>
      <c r="E2605" s="280" t="s">
        <v>4432</v>
      </c>
      <c r="F2605" s="1049"/>
      <c r="G2605" s="1049">
        <v>2394</v>
      </c>
      <c r="H2605" s="564"/>
      <c r="I2605" s="609"/>
      <c r="J2605" s="1155"/>
      <c r="K2605" s="609"/>
      <c r="L2605" s="609"/>
      <c r="M2605" s="609"/>
      <c r="N2605" s="599"/>
      <c r="O2605" s="552" t="s">
        <v>1584</v>
      </c>
      <c r="P2605" s="603"/>
      <c r="Q2605" s="682"/>
      <c r="R2605" s="682"/>
      <c r="S2605" s="682"/>
      <c r="T2605" s="682"/>
      <c r="U2605" s="682"/>
      <c r="V2605" s="682"/>
      <c r="W2605" s="682"/>
    </row>
    <row r="2606" spans="1:23">
      <c r="A2606" s="1045">
        <f t="shared" si="41"/>
        <v>7</v>
      </c>
      <c r="B2606" s="134">
        <v>45497</v>
      </c>
      <c r="C2606" s="70">
        <v>1017</v>
      </c>
      <c r="D2606" s="70" t="s">
        <v>5118</v>
      </c>
      <c r="E2606" s="280" t="s">
        <v>4433</v>
      </c>
      <c r="F2606" s="1049"/>
      <c r="G2606" s="1049">
        <v>10.5</v>
      </c>
      <c r="H2606" s="564"/>
      <c r="I2606" s="609"/>
      <c r="J2606" s="1155"/>
      <c r="K2606" s="609"/>
      <c r="L2606" s="609"/>
      <c r="M2606" s="609"/>
      <c r="N2606" s="599"/>
      <c r="O2606" s="552" t="s">
        <v>1584</v>
      </c>
      <c r="P2606" s="603"/>
      <c r="Q2606" s="682"/>
      <c r="R2606" s="682"/>
      <c r="S2606" s="682"/>
      <c r="T2606" s="682"/>
      <c r="U2606" s="682"/>
      <c r="V2606" s="682"/>
      <c r="W2606" s="682"/>
    </row>
    <row r="2607" spans="1:23">
      <c r="A2607" s="1045">
        <f t="shared" si="41"/>
        <v>7</v>
      </c>
      <c r="B2607" s="134">
        <v>45498</v>
      </c>
      <c r="C2607" s="70">
        <v>1017</v>
      </c>
      <c r="D2607" s="70" t="s">
        <v>5118</v>
      </c>
      <c r="E2607" s="280" t="s">
        <v>4434</v>
      </c>
      <c r="F2607" s="1049"/>
      <c r="G2607" s="1049">
        <v>2005.5</v>
      </c>
      <c r="H2607" s="564"/>
      <c r="I2607" s="609"/>
      <c r="J2607" s="1155"/>
      <c r="K2607" s="609"/>
      <c r="L2607" s="609"/>
      <c r="M2607" s="609"/>
      <c r="N2607" s="599"/>
      <c r="O2607" s="552" t="s">
        <v>1584</v>
      </c>
      <c r="P2607" s="603"/>
      <c r="Q2607" s="682"/>
      <c r="R2607" s="682"/>
      <c r="S2607" s="682"/>
      <c r="T2607" s="682"/>
      <c r="U2607" s="682"/>
      <c r="V2607" s="682"/>
      <c r="W2607" s="682"/>
    </row>
    <row r="2608" spans="1:23">
      <c r="A2608" s="1045">
        <f t="shared" si="41"/>
        <v>7</v>
      </c>
      <c r="B2608" s="134">
        <v>45498</v>
      </c>
      <c r="C2608" s="70">
        <v>1017</v>
      </c>
      <c r="D2608" s="70" t="s">
        <v>5118</v>
      </c>
      <c r="E2608" s="280" t="s">
        <v>4435</v>
      </c>
      <c r="F2608" s="1049"/>
      <c r="G2608" s="1049">
        <v>210.01</v>
      </c>
      <c r="H2608" s="564"/>
      <c r="I2608" s="609"/>
      <c r="J2608" s="1155"/>
      <c r="K2608" s="609"/>
      <c r="L2608" s="609"/>
      <c r="M2608" s="609"/>
      <c r="N2608" s="599"/>
      <c r="O2608" s="552" t="s">
        <v>1584</v>
      </c>
      <c r="P2608" s="603"/>
      <c r="Q2608" s="682"/>
      <c r="R2608" s="682"/>
      <c r="S2608" s="682"/>
      <c r="T2608" s="682"/>
      <c r="U2608" s="682"/>
      <c r="V2608" s="682"/>
      <c r="W2608" s="682"/>
    </row>
    <row r="2609" spans="1:23">
      <c r="A2609" s="1045">
        <f t="shared" si="41"/>
        <v>7</v>
      </c>
      <c r="B2609" s="134">
        <v>45498</v>
      </c>
      <c r="C2609" s="70">
        <v>1017</v>
      </c>
      <c r="D2609" s="70" t="s">
        <v>5118</v>
      </c>
      <c r="E2609" s="280" t="s">
        <v>4436</v>
      </c>
      <c r="F2609" s="1049"/>
      <c r="G2609" s="1049">
        <v>20</v>
      </c>
      <c r="H2609" s="564"/>
      <c r="I2609" s="609"/>
      <c r="J2609" s="1155"/>
      <c r="K2609" s="609"/>
      <c r="L2609" s="609"/>
      <c r="M2609" s="609"/>
      <c r="N2609" s="599"/>
      <c r="O2609" s="552" t="s">
        <v>1584</v>
      </c>
      <c r="P2609" s="603"/>
      <c r="Q2609" s="682"/>
      <c r="R2609" s="682"/>
      <c r="S2609" s="682"/>
      <c r="T2609" s="682"/>
      <c r="U2609" s="682"/>
      <c r="V2609" s="682"/>
      <c r="W2609" s="682"/>
    </row>
    <row r="2610" spans="1:23">
      <c r="A2610" s="1045">
        <f t="shared" si="41"/>
        <v>7</v>
      </c>
      <c r="B2610" s="134">
        <v>45498</v>
      </c>
      <c r="C2610" s="70">
        <v>1017</v>
      </c>
      <c r="D2610" s="70" t="s">
        <v>5118</v>
      </c>
      <c r="E2610" s="280" t="s">
        <v>4437</v>
      </c>
      <c r="F2610" s="1049"/>
      <c r="G2610" s="1049">
        <v>13</v>
      </c>
      <c r="H2610" s="564"/>
      <c r="I2610" s="609"/>
      <c r="J2610" s="1155"/>
      <c r="K2610" s="609"/>
      <c r="L2610" s="609"/>
      <c r="M2610" s="609"/>
      <c r="N2610" s="599"/>
      <c r="O2610" s="552" t="s">
        <v>1584</v>
      </c>
      <c r="P2610" s="603"/>
      <c r="Q2610" s="682"/>
      <c r="R2610" s="682"/>
      <c r="S2610" s="682"/>
      <c r="T2610" s="682"/>
      <c r="U2610" s="682"/>
      <c r="V2610" s="682"/>
      <c r="W2610" s="682"/>
    </row>
    <row r="2611" spans="1:23">
      <c r="A2611" s="1045">
        <f t="shared" si="41"/>
        <v>7</v>
      </c>
      <c r="B2611" s="134">
        <v>45498</v>
      </c>
      <c r="C2611" s="70">
        <v>1017</v>
      </c>
      <c r="D2611" s="70" t="s">
        <v>5118</v>
      </c>
      <c r="E2611" s="280" t="s">
        <v>4438</v>
      </c>
      <c r="F2611" s="1049"/>
      <c r="G2611" s="1049">
        <v>8.9</v>
      </c>
      <c r="H2611" s="564"/>
      <c r="I2611" s="609"/>
      <c r="J2611" s="1155"/>
      <c r="K2611" s="609"/>
      <c r="L2611" s="609"/>
      <c r="M2611" s="609"/>
      <c r="N2611" s="599"/>
      <c r="O2611" s="552" t="s">
        <v>1584</v>
      </c>
      <c r="P2611" s="603"/>
      <c r="Q2611" s="682"/>
      <c r="R2611" s="682"/>
      <c r="S2611" s="682"/>
      <c r="T2611" s="682"/>
      <c r="U2611" s="682"/>
      <c r="V2611" s="682"/>
      <c r="W2611" s="682"/>
    </row>
    <row r="2612" spans="1:23">
      <c r="A2612" s="1045">
        <f t="shared" si="41"/>
        <v>7</v>
      </c>
      <c r="B2612" s="134">
        <v>45498</v>
      </c>
      <c r="C2612" s="70">
        <v>1017</v>
      </c>
      <c r="D2612" s="70" t="s">
        <v>5118</v>
      </c>
      <c r="E2612" s="280" t="s">
        <v>4439</v>
      </c>
      <c r="F2612" s="1049"/>
      <c r="G2612" s="1049">
        <v>12.6</v>
      </c>
      <c r="H2612" s="564"/>
      <c r="I2612" s="609"/>
      <c r="J2612" s="1155"/>
      <c r="K2612" s="609"/>
      <c r="L2612" s="609"/>
      <c r="M2612" s="609"/>
      <c r="N2612" s="599"/>
      <c r="O2612" s="552" t="s">
        <v>1584</v>
      </c>
      <c r="P2612" s="603"/>
      <c r="Q2612" s="682"/>
      <c r="R2612" s="682"/>
      <c r="S2612" s="682"/>
      <c r="T2612" s="682"/>
      <c r="U2612" s="682"/>
      <c r="V2612" s="682"/>
      <c r="W2612" s="682"/>
    </row>
    <row r="2613" spans="1:23">
      <c r="A2613" s="1045">
        <f t="shared" si="41"/>
        <v>7</v>
      </c>
      <c r="B2613" s="134">
        <v>45499</v>
      </c>
      <c r="C2613" s="70">
        <v>1017</v>
      </c>
      <c r="D2613" s="70" t="s">
        <v>5118</v>
      </c>
      <c r="E2613" s="280" t="s">
        <v>4440</v>
      </c>
      <c r="F2613" s="1049"/>
      <c r="G2613" s="1049">
        <v>2394</v>
      </c>
      <c r="H2613" s="564"/>
      <c r="I2613" s="609"/>
      <c r="J2613" s="1155"/>
      <c r="K2613" s="609"/>
      <c r="L2613" s="609"/>
      <c r="M2613" s="609"/>
      <c r="N2613" s="599"/>
      <c r="O2613" s="552" t="s">
        <v>1584</v>
      </c>
      <c r="P2613" s="603"/>
      <c r="Q2613" s="682"/>
      <c r="R2613" s="682"/>
      <c r="S2613" s="682"/>
      <c r="T2613" s="682"/>
      <c r="U2613" s="682"/>
      <c r="V2613" s="682"/>
      <c r="W2613" s="682"/>
    </row>
    <row r="2614" spans="1:23">
      <c r="A2614" s="1045">
        <f t="shared" si="41"/>
        <v>7</v>
      </c>
      <c r="B2614" s="134">
        <v>45499</v>
      </c>
      <c r="C2614" s="70">
        <v>1025</v>
      </c>
      <c r="D2614" s="70" t="s">
        <v>5120</v>
      </c>
      <c r="E2614" s="280" t="s">
        <v>4441</v>
      </c>
      <c r="F2614" s="1049"/>
      <c r="G2614" s="1049">
        <v>14122.03</v>
      </c>
      <c r="H2614" s="564"/>
      <c r="I2614" s="609"/>
      <c r="J2614" s="1155"/>
      <c r="K2614" s="609"/>
      <c r="L2614" s="609"/>
      <c r="M2614" s="609"/>
      <c r="N2614" s="599"/>
      <c r="O2614" s="552" t="s">
        <v>1584</v>
      </c>
      <c r="P2614" s="603"/>
      <c r="Q2614" s="682"/>
      <c r="R2614" s="682"/>
      <c r="S2614" s="682"/>
      <c r="T2614" s="682"/>
      <c r="U2614" s="682"/>
      <c r="V2614" s="682"/>
      <c r="W2614" s="682"/>
    </row>
    <row r="2615" spans="1:23">
      <c r="A2615" s="1045">
        <f t="shared" si="41"/>
        <v>7</v>
      </c>
      <c r="B2615" s="134">
        <v>45500</v>
      </c>
      <c r="C2615" s="70">
        <v>1017</v>
      </c>
      <c r="D2615" s="70" t="s">
        <v>5118</v>
      </c>
      <c r="E2615" s="280" t="s">
        <v>4442</v>
      </c>
      <c r="F2615" s="1049"/>
      <c r="G2615" s="1049">
        <v>5.03</v>
      </c>
      <c r="H2615" s="564"/>
      <c r="I2615" s="609"/>
      <c r="J2615" s="1155"/>
      <c r="K2615" s="609"/>
      <c r="L2615" s="609"/>
      <c r="M2615" s="609"/>
      <c r="N2615" s="599"/>
      <c r="O2615" s="552" t="s">
        <v>1584</v>
      </c>
      <c r="P2615" s="603"/>
      <c r="Q2615" s="682"/>
      <c r="R2615" s="682"/>
      <c r="S2615" s="682"/>
      <c r="T2615" s="682"/>
      <c r="U2615" s="682"/>
      <c r="V2615" s="682"/>
      <c r="W2615" s="682"/>
    </row>
    <row r="2616" spans="1:23">
      <c r="A2616" s="1045">
        <f t="shared" si="41"/>
        <v>7</v>
      </c>
      <c r="B2616" s="134">
        <v>45500</v>
      </c>
      <c r="C2616" s="70">
        <v>1017</v>
      </c>
      <c r="D2616" s="70" t="s">
        <v>5118</v>
      </c>
      <c r="E2616" s="280" t="s">
        <v>4443</v>
      </c>
      <c r="F2616" s="1049"/>
      <c r="G2616" s="1049">
        <v>115</v>
      </c>
      <c r="H2616" s="564"/>
      <c r="I2616" s="609"/>
      <c r="J2616" s="1155"/>
      <c r="K2616" s="609"/>
      <c r="L2616" s="609"/>
      <c r="M2616" s="609"/>
      <c r="N2616" s="599"/>
      <c r="O2616" s="552" t="s">
        <v>1584</v>
      </c>
      <c r="P2616" s="603"/>
      <c r="Q2616" s="682"/>
      <c r="R2616" s="682"/>
      <c r="S2616" s="682"/>
      <c r="T2616" s="682"/>
      <c r="U2616" s="682"/>
      <c r="V2616" s="682"/>
      <c r="W2616" s="682"/>
    </row>
    <row r="2617" spans="1:23">
      <c r="A2617" s="1045">
        <f t="shared" si="41"/>
        <v>7</v>
      </c>
      <c r="B2617" s="134">
        <v>45500</v>
      </c>
      <c r="C2617" s="70">
        <v>1017</v>
      </c>
      <c r="D2617" s="70" t="s">
        <v>5118</v>
      </c>
      <c r="E2617" s="280" t="s">
        <v>4444</v>
      </c>
      <c r="F2617" s="1049"/>
      <c r="G2617" s="1049">
        <v>210.25</v>
      </c>
      <c r="H2617" s="564"/>
      <c r="I2617" s="609"/>
      <c r="J2617" s="1155"/>
      <c r="K2617" s="609"/>
      <c r="L2617" s="609"/>
      <c r="M2617" s="609"/>
      <c r="N2617" s="599"/>
      <c r="O2617" s="552" t="s">
        <v>1584</v>
      </c>
      <c r="P2617" s="603"/>
      <c r="Q2617" s="682"/>
      <c r="R2617" s="682"/>
      <c r="S2617" s="682"/>
      <c r="T2617" s="682"/>
      <c r="U2617" s="682"/>
      <c r="V2617" s="682"/>
      <c r="W2617" s="682"/>
    </row>
    <row r="2618" spans="1:23">
      <c r="A2618" s="1045">
        <f t="shared" si="41"/>
        <v>7</v>
      </c>
      <c r="B2618" s="134">
        <v>45500</v>
      </c>
      <c r="C2618" s="70">
        <v>1017</v>
      </c>
      <c r="D2618" s="70" t="s">
        <v>5118</v>
      </c>
      <c r="E2618" s="280" t="s">
        <v>4445</v>
      </c>
      <c r="F2618" s="1049"/>
      <c r="G2618" s="1049">
        <v>31.5</v>
      </c>
      <c r="H2618" s="564"/>
      <c r="I2618" s="609"/>
      <c r="J2618" s="1155"/>
      <c r="K2618" s="609"/>
      <c r="L2618" s="609"/>
      <c r="M2618" s="609"/>
      <c r="N2618" s="599"/>
      <c r="O2618" s="552" t="s">
        <v>1584</v>
      </c>
      <c r="P2618" s="603"/>
      <c r="Q2618" s="682"/>
      <c r="R2618" s="682"/>
      <c r="S2618" s="682"/>
      <c r="T2618" s="682"/>
      <c r="U2618" s="682"/>
      <c r="V2618" s="682"/>
      <c r="W2618" s="682"/>
    </row>
    <row r="2619" spans="1:23">
      <c r="A2619" s="1045">
        <f t="shared" si="41"/>
        <v>7</v>
      </c>
      <c r="B2619" s="134">
        <v>45501</v>
      </c>
      <c r="C2619" s="70">
        <v>1017</v>
      </c>
      <c r="D2619" s="70" t="s">
        <v>5118</v>
      </c>
      <c r="E2619" s="280" t="s">
        <v>4446</v>
      </c>
      <c r="F2619" s="1049"/>
      <c r="G2619" s="1049">
        <v>36.75</v>
      </c>
      <c r="H2619" s="564"/>
      <c r="I2619" s="609"/>
      <c r="J2619" s="1155"/>
      <c r="K2619" s="609"/>
      <c r="L2619" s="609"/>
      <c r="M2619" s="609"/>
      <c r="N2619" s="599"/>
      <c r="O2619" s="552" t="s">
        <v>1584</v>
      </c>
      <c r="P2619" s="603"/>
      <c r="Q2619" s="682"/>
      <c r="R2619" s="682"/>
      <c r="S2619" s="682"/>
      <c r="T2619" s="682"/>
      <c r="U2619" s="682"/>
      <c r="V2619" s="682"/>
      <c r="W2619" s="682"/>
    </row>
    <row r="2620" spans="1:23">
      <c r="A2620" s="1045">
        <f t="shared" si="41"/>
        <v>7</v>
      </c>
      <c r="B2620" s="134">
        <v>45501</v>
      </c>
      <c r="C2620" s="70">
        <v>1017</v>
      </c>
      <c r="D2620" s="70" t="s">
        <v>5118</v>
      </c>
      <c r="E2620" s="280" t="s">
        <v>4447</v>
      </c>
      <c r="F2620" s="1049"/>
      <c r="G2620" s="1049">
        <v>89.25</v>
      </c>
      <c r="H2620" s="564"/>
      <c r="I2620" s="609"/>
      <c r="J2620" s="1155"/>
      <c r="K2620" s="609"/>
      <c r="L2620" s="609"/>
      <c r="M2620" s="609"/>
      <c r="N2620" s="599"/>
      <c r="O2620" s="552" t="s">
        <v>1584</v>
      </c>
      <c r="P2620" s="603"/>
      <c r="Q2620" s="682"/>
      <c r="R2620" s="682"/>
      <c r="S2620" s="682"/>
      <c r="T2620" s="682"/>
      <c r="U2620" s="682"/>
      <c r="V2620" s="682"/>
      <c r="W2620" s="682"/>
    </row>
    <row r="2621" spans="1:23">
      <c r="A2621" s="1045">
        <f t="shared" si="41"/>
        <v>7</v>
      </c>
      <c r="B2621" s="134">
        <v>45501</v>
      </c>
      <c r="C2621" s="70">
        <v>1017</v>
      </c>
      <c r="D2621" s="70" t="s">
        <v>5118</v>
      </c>
      <c r="E2621" s="280" t="s">
        <v>4448</v>
      </c>
      <c r="F2621" s="1049"/>
      <c r="G2621" s="1049">
        <v>110.25</v>
      </c>
      <c r="H2621" s="564"/>
      <c r="I2621" s="609"/>
      <c r="J2621" s="1155"/>
      <c r="K2621" s="609"/>
      <c r="L2621" s="609"/>
      <c r="M2621" s="609"/>
      <c r="N2621" s="599"/>
      <c r="O2621" s="552" t="s">
        <v>1584</v>
      </c>
      <c r="P2621" s="603"/>
      <c r="Q2621" s="682"/>
      <c r="R2621" s="682"/>
      <c r="S2621" s="682"/>
      <c r="T2621" s="682"/>
      <c r="U2621" s="682"/>
      <c r="V2621" s="682"/>
      <c r="W2621" s="682"/>
    </row>
    <row r="2622" spans="1:23">
      <c r="A2622" s="1045">
        <f t="shared" si="41"/>
        <v>7</v>
      </c>
      <c r="B2622" s="134">
        <v>45501</v>
      </c>
      <c r="C2622" s="70">
        <v>1017</v>
      </c>
      <c r="D2622" s="70" t="s">
        <v>5118</v>
      </c>
      <c r="E2622" s="280" t="s">
        <v>4449</v>
      </c>
      <c r="F2622" s="1049"/>
      <c r="G2622" s="1049">
        <v>230.48</v>
      </c>
      <c r="H2622" s="564"/>
      <c r="I2622" s="609"/>
      <c r="J2622" s="1155"/>
      <c r="K2622" s="609"/>
      <c r="L2622" s="609"/>
      <c r="M2622" s="609"/>
      <c r="N2622" s="599"/>
      <c r="O2622" s="552" t="s">
        <v>1584</v>
      </c>
      <c r="P2622" s="603"/>
      <c r="Q2622" s="682"/>
      <c r="R2622" s="682"/>
      <c r="S2622" s="682"/>
      <c r="T2622" s="682"/>
      <c r="U2622" s="682"/>
      <c r="V2622" s="682"/>
      <c r="W2622" s="682"/>
    </row>
    <row r="2623" spans="1:23">
      <c r="A2623" s="1045">
        <f t="shared" si="41"/>
        <v>7</v>
      </c>
      <c r="B2623" s="134">
        <v>45501</v>
      </c>
      <c r="C2623" s="70">
        <v>1017</v>
      </c>
      <c r="D2623" s="70" t="s">
        <v>5118</v>
      </c>
      <c r="E2623" s="280" t="s">
        <v>4450</v>
      </c>
      <c r="F2623" s="1049"/>
      <c r="G2623" s="1049">
        <v>63</v>
      </c>
      <c r="H2623" s="564"/>
      <c r="I2623" s="609"/>
      <c r="J2623" s="1155"/>
      <c r="K2623" s="609"/>
      <c r="L2623" s="609"/>
      <c r="M2623" s="609"/>
      <c r="N2623" s="599"/>
      <c r="O2623" s="552" t="s">
        <v>1584</v>
      </c>
      <c r="P2623" s="603"/>
      <c r="Q2623" s="682"/>
      <c r="R2623" s="682"/>
      <c r="S2623" s="682"/>
      <c r="T2623" s="682"/>
      <c r="U2623" s="682"/>
      <c r="V2623" s="682"/>
      <c r="W2623" s="682"/>
    </row>
    <row r="2624" spans="1:23">
      <c r="A2624" s="1045">
        <f t="shared" si="41"/>
        <v>7</v>
      </c>
      <c r="B2624" s="134">
        <v>45501</v>
      </c>
      <c r="C2624" s="70">
        <v>1017</v>
      </c>
      <c r="D2624" s="70" t="s">
        <v>5118</v>
      </c>
      <c r="E2624" s="280" t="s">
        <v>4451</v>
      </c>
      <c r="F2624" s="1049"/>
      <c r="G2624" s="1049">
        <v>558.08000000000004</v>
      </c>
      <c r="H2624" s="564"/>
      <c r="I2624" s="609"/>
      <c r="J2624" s="1155"/>
      <c r="K2624" s="609"/>
      <c r="L2624" s="609"/>
      <c r="M2624" s="609"/>
      <c r="N2624" s="599"/>
      <c r="O2624" s="552" t="s">
        <v>1584</v>
      </c>
      <c r="P2624" s="603"/>
      <c r="Q2624" s="682"/>
      <c r="R2624" s="682"/>
      <c r="S2624" s="682"/>
      <c r="T2624" s="682"/>
      <c r="U2624" s="682"/>
      <c r="V2624" s="682"/>
      <c r="W2624" s="682"/>
    </row>
    <row r="2625" spans="1:23">
      <c r="A2625" s="1045">
        <f t="shared" si="41"/>
        <v>7</v>
      </c>
      <c r="B2625" s="134">
        <v>45502</v>
      </c>
      <c r="C2625" s="70">
        <v>1022</v>
      </c>
      <c r="D2625" s="70" t="s">
        <v>5119</v>
      </c>
      <c r="E2625" s="280" t="s">
        <v>4452</v>
      </c>
      <c r="F2625" s="1049"/>
      <c r="G2625" s="1049">
        <v>23678</v>
      </c>
      <c r="H2625" s="564"/>
      <c r="I2625" s="609"/>
      <c r="J2625" s="1155"/>
      <c r="K2625" s="609"/>
      <c r="L2625" s="609"/>
      <c r="M2625" s="609"/>
      <c r="N2625" s="599"/>
      <c r="O2625" s="552" t="s">
        <v>1584</v>
      </c>
      <c r="P2625" s="603"/>
      <c r="Q2625" s="682"/>
      <c r="R2625" s="682"/>
      <c r="S2625" s="682"/>
      <c r="T2625" s="682"/>
      <c r="U2625" s="682"/>
      <c r="V2625" s="682"/>
      <c r="W2625" s="682"/>
    </row>
    <row r="2626" spans="1:23">
      <c r="A2626" s="1045">
        <f t="shared" si="41"/>
        <v>7</v>
      </c>
      <c r="B2626" s="134">
        <v>45502</v>
      </c>
      <c r="C2626" s="70">
        <v>1017</v>
      </c>
      <c r="D2626" s="70" t="s">
        <v>5118</v>
      </c>
      <c r="E2626" s="280" t="s">
        <v>4453</v>
      </c>
      <c r="F2626" s="1049"/>
      <c r="G2626" s="1049">
        <v>22.31</v>
      </c>
      <c r="H2626" s="564"/>
      <c r="I2626" s="609"/>
      <c r="J2626" s="1155"/>
      <c r="K2626" s="609"/>
      <c r="L2626" s="609"/>
      <c r="M2626" s="609"/>
      <c r="N2626" s="599"/>
      <c r="O2626" s="552" t="s">
        <v>1584</v>
      </c>
      <c r="P2626" s="603"/>
      <c r="Q2626" s="682"/>
      <c r="R2626" s="682"/>
      <c r="S2626" s="682"/>
      <c r="T2626" s="682"/>
      <c r="U2626" s="682"/>
      <c r="V2626" s="682"/>
      <c r="W2626" s="682"/>
    </row>
    <row r="2627" spans="1:23">
      <c r="A2627" s="1045">
        <f t="shared" si="41"/>
        <v>7</v>
      </c>
      <c r="B2627" s="134">
        <v>45502</v>
      </c>
      <c r="C2627" s="70">
        <v>1017</v>
      </c>
      <c r="D2627" s="70" t="s">
        <v>5118</v>
      </c>
      <c r="E2627" s="280" t="s">
        <v>4454</v>
      </c>
      <c r="F2627" s="1049"/>
      <c r="G2627" s="1049">
        <v>901.2</v>
      </c>
      <c r="H2627" s="564"/>
      <c r="I2627" s="609"/>
      <c r="J2627" s="1155"/>
      <c r="K2627" s="609"/>
      <c r="L2627" s="609"/>
      <c r="M2627" s="609"/>
      <c r="N2627" s="599"/>
      <c r="O2627" s="552" t="s">
        <v>1584</v>
      </c>
      <c r="P2627" s="603"/>
      <c r="Q2627" s="682"/>
      <c r="R2627" s="682"/>
      <c r="S2627" s="682"/>
      <c r="T2627" s="682"/>
      <c r="U2627" s="682"/>
      <c r="V2627" s="682"/>
      <c r="W2627" s="682"/>
    </row>
    <row r="2628" spans="1:23">
      <c r="A2628" s="1045">
        <f t="shared" si="41"/>
        <v>7</v>
      </c>
      <c r="B2628" s="134">
        <v>45502</v>
      </c>
      <c r="C2628" s="70">
        <v>1017</v>
      </c>
      <c r="D2628" s="70" t="s">
        <v>5118</v>
      </c>
      <c r="E2628" s="280" t="s">
        <v>4455</v>
      </c>
      <c r="F2628" s="1049"/>
      <c r="G2628" s="1049">
        <v>31.5</v>
      </c>
      <c r="H2628" s="564"/>
      <c r="I2628" s="609"/>
      <c r="J2628" s="1155"/>
      <c r="K2628" s="609"/>
      <c r="L2628" s="609"/>
      <c r="M2628" s="609"/>
      <c r="N2628" s="599"/>
      <c r="O2628" s="552" t="s">
        <v>1584</v>
      </c>
      <c r="P2628" s="603"/>
      <c r="Q2628" s="682"/>
      <c r="R2628" s="682"/>
      <c r="S2628" s="682"/>
      <c r="T2628" s="682"/>
      <c r="U2628" s="682"/>
      <c r="V2628" s="682"/>
      <c r="W2628" s="682"/>
    </row>
    <row r="2629" spans="1:23">
      <c r="A2629" s="1045">
        <f t="shared" si="41"/>
        <v>7</v>
      </c>
      <c r="B2629" s="134">
        <v>45502</v>
      </c>
      <c r="C2629" s="70">
        <v>1017</v>
      </c>
      <c r="D2629" s="70" t="s">
        <v>5118</v>
      </c>
      <c r="E2629" s="280" t="s">
        <v>4456</v>
      </c>
      <c r="F2629" s="1049"/>
      <c r="G2629" s="1049">
        <v>1428.84</v>
      </c>
      <c r="H2629" s="564"/>
      <c r="I2629" s="609"/>
      <c r="J2629" s="1155"/>
      <c r="K2629" s="609"/>
      <c r="L2629" s="609"/>
      <c r="M2629" s="609"/>
      <c r="N2629" s="599"/>
      <c r="O2629" s="552" t="s">
        <v>1584</v>
      </c>
      <c r="P2629" s="603"/>
      <c r="Q2629" s="682"/>
      <c r="R2629" s="682"/>
      <c r="S2629" s="682"/>
      <c r="T2629" s="682"/>
      <c r="U2629" s="682"/>
      <c r="V2629" s="682"/>
      <c r="W2629" s="682"/>
    </row>
    <row r="2630" spans="1:23">
      <c r="A2630" s="1045">
        <f t="shared" si="41"/>
        <v>7</v>
      </c>
      <c r="B2630" s="134">
        <v>45502</v>
      </c>
      <c r="C2630" s="70">
        <v>1017</v>
      </c>
      <c r="D2630" s="70" t="s">
        <v>5118</v>
      </c>
      <c r="E2630" s="280" t="s">
        <v>4457</v>
      </c>
      <c r="F2630" s="1049"/>
      <c r="G2630" s="1049">
        <v>10.5</v>
      </c>
      <c r="H2630" s="564"/>
      <c r="I2630" s="609"/>
      <c r="J2630" s="1155"/>
      <c r="K2630" s="609"/>
      <c r="L2630" s="609"/>
      <c r="M2630" s="609"/>
      <c r="N2630" s="599"/>
      <c r="O2630" s="552" t="s">
        <v>1584</v>
      </c>
      <c r="P2630" s="603"/>
      <c r="Q2630" s="682"/>
      <c r="R2630" s="682"/>
      <c r="S2630" s="682"/>
      <c r="T2630" s="682"/>
      <c r="U2630" s="682"/>
      <c r="V2630" s="682"/>
      <c r="W2630" s="682"/>
    </row>
    <row r="2631" spans="1:23">
      <c r="A2631" s="1045">
        <f t="shared" si="41"/>
        <v>7</v>
      </c>
      <c r="B2631" s="134">
        <v>45502</v>
      </c>
      <c r="C2631" s="70">
        <v>1017</v>
      </c>
      <c r="D2631" s="70" t="s">
        <v>5118</v>
      </c>
      <c r="E2631" s="280" t="s">
        <v>4458</v>
      </c>
      <c r="F2631" s="1049"/>
      <c r="G2631" s="1049">
        <v>99.75</v>
      </c>
      <c r="H2631" s="564"/>
      <c r="I2631" s="609"/>
      <c r="J2631" s="1155"/>
      <c r="K2631" s="609"/>
      <c r="L2631" s="609"/>
      <c r="M2631" s="609"/>
      <c r="N2631" s="599"/>
      <c r="O2631" s="552" t="s">
        <v>1584</v>
      </c>
      <c r="P2631" s="603"/>
      <c r="Q2631" s="682"/>
      <c r="R2631" s="682"/>
      <c r="S2631" s="682"/>
      <c r="T2631" s="682"/>
      <c r="U2631" s="682"/>
      <c r="V2631" s="682"/>
      <c r="W2631" s="682"/>
    </row>
    <row r="2632" spans="1:23">
      <c r="A2632" s="1045">
        <f t="shared" si="41"/>
        <v>7</v>
      </c>
      <c r="B2632" s="134">
        <v>45502</v>
      </c>
      <c r="C2632" s="70">
        <v>1017</v>
      </c>
      <c r="D2632" s="70" t="s">
        <v>5118</v>
      </c>
      <c r="E2632" s="280" t="s">
        <v>4459</v>
      </c>
      <c r="F2632" s="1049"/>
      <c r="G2632" s="1049">
        <v>1947.75</v>
      </c>
      <c r="H2632" s="564"/>
      <c r="I2632" s="609"/>
      <c r="J2632" s="1155"/>
      <c r="K2632" s="609"/>
      <c r="L2632" s="609"/>
      <c r="M2632" s="609"/>
      <c r="N2632" s="599"/>
      <c r="O2632" s="552" t="s">
        <v>1584</v>
      </c>
      <c r="P2632" s="603"/>
      <c r="Q2632" s="682"/>
      <c r="R2632" s="682"/>
      <c r="S2632" s="682"/>
      <c r="T2632" s="682"/>
      <c r="U2632" s="682"/>
      <c r="V2632" s="682"/>
      <c r="W2632" s="682"/>
    </row>
    <row r="2633" spans="1:23">
      <c r="A2633" s="1045">
        <f t="shared" si="41"/>
        <v>7</v>
      </c>
      <c r="B2633" s="134">
        <v>45503</v>
      </c>
      <c r="C2633" s="70">
        <v>1022</v>
      </c>
      <c r="D2633" s="70" t="s">
        <v>5119</v>
      </c>
      <c r="E2633" s="280" t="s">
        <v>4460</v>
      </c>
      <c r="F2633" s="1049"/>
      <c r="G2633" s="1049">
        <v>30876</v>
      </c>
      <c r="H2633" s="564"/>
      <c r="I2633" s="609"/>
      <c r="J2633" s="1155"/>
      <c r="K2633" s="609"/>
      <c r="L2633" s="609"/>
      <c r="M2633" s="609"/>
      <c r="N2633" s="599"/>
      <c r="O2633" s="552" t="s">
        <v>1584</v>
      </c>
      <c r="P2633" s="603"/>
      <c r="Q2633" s="682"/>
      <c r="R2633" s="682"/>
      <c r="S2633" s="682"/>
      <c r="T2633" s="682"/>
      <c r="U2633" s="682"/>
      <c r="V2633" s="682"/>
      <c r="W2633" s="682"/>
    </row>
    <row r="2634" spans="1:23">
      <c r="A2634" s="1045">
        <f t="shared" si="41"/>
        <v>7</v>
      </c>
      <c r="B2634" s="134">
        <v>45503</v>
      </c>
      <c r="C2634" s="70">
        <v>1022</v>
      </c>
      <c r="D2634" s="70" t="s">
        <v>5119</v>
      </c>
      <c r="E2634" s="280" t="s">
        <v>4461</v>
      </c>
      <c r="F2634" s="1049"/>
      <c r="G2634" s="1049">
        <v>55115</v>
      </c>
      <c r="H2634" s="564"/>
      <c r="I2634" s="609"/>
      <c r="J2634" s="1155"/>
      <c r="K2634" s="609"/>
      <c r="L2634" s="609"/>
      <c r="M2634" s="609"/>
      <c r="N2634" s="599"/>
      <c r="O2634" s="552" t="s">
        <v>1584</v>
      </c>
      <c r="P2634" s="603"/>
      <c r="Q2634" s="682"/>
      <c r="R2634" s="682"/>
      <c r="S2634" s="682"/>
      <c r="T2634" s="682"/>
      <c r="U2634" s="682"/>
      <c r="V2634" s="682"/>
      <c r="W2634" s="682"/>
    </row>
    <row r="2635" spans="1:23">
      <c r="A2635" s="1045">
        <f t="shared" si="41"/>
        <v>7</v>
      </c>
      <c r="B2635" s="134">
        <v>45503</v>
      </c>
      <c r="C2635" s="70">
        <v>1017</v>
      </c>
      <c r="D2635" s="70" t="s">
        <v>5118</v>
      </c>
      <c r="E2635" s="280" t="s">
        <v>4462</v>
      </c>
      <c r="F2635" s="1049"/>
      <c r="G2635" s="1049">
        <v>20</v>
      </c>
      <c r="H2635" s="564"/>
      <c r="I2635" s="609"/>
      <c r="J2635" s="1155"/>
      <c r="K2635" s="609"/>
      <c r="L2635" s="609"/>
      <c r="M2635" s="609"/>
      <c r="N2635" s="599"/>
      <c r="O2635" s="552" t="s">
        <v>1584</v>
      </c>
      <c r="P2635" s="603"/>
      <c r="Q2635" s="682"/>
      <c r="R2635" s="682"/>
      <c r="S2635" s="682"/>
      <c r="T2635" s="682"/>
      <c r="U2635" s="682"/>
      <c r="V2635" s="682"/>
      <c r="W2635" s="682"/>
    </row>
    <row r="2636" spans="1:23">
      <c r="A2636" s="1045">
        <f t="shared" si="41"/>
        <v>7</v>
      </c>
      <c r="B2636" s="134">
        <v>45503</v>
      </c>
      <c r="C2636" s="70">
        <v>1017</v>
      </c>
      <c r="D2636" s="70" t="s">
        <v>5118</v>
      </c>
      <c r="E2636" s="280" t="s">
        <v>4463</v>
      </c>
      <c r="F2636" s="1049"/>
      <c r="G2636" s="1049">
        <v>78.75</v>
      </c>
      <c r="H2636" s="564"/>
      <c r="I2636" s="609"/>
      <c r="J2636" s="1155"/>
      <c r="K2636" s="609"/>
      <c r="L2636" s="609"/>
      <c r="M2636" s="609"/>
      <c r="N2636" s="599"/>
      <c r="O2636" s="552" t="s">
        <v>1584</v>
      </c>
      <c r="P2636" s="603"/>
      <c r="Q2636" s="682"/>
      <c r="R2636" s="682"/>
      <c r="S2636" s="682"/>
      <c r="T2636" s="682"/>
      <c r="U2636" s="682"/>
      <c r="V2636" s="682"/>
      <c r="W2636" s="682"/>
    </row>
    <row r="2637" spans="1:23">
      <c r="A2637" s="1045">
        <f t="shared" si="41"/>
        <v>7</v>
      </c>
      <c r="B2637" s="134">
        <v>45503</v>
      </c>
      <c r="C2637" s="70">
        <v>1017</v>
      </c>
      <c r="D2637" s="70" t="s">
        <v>5118</v>
      </c>
      <c r="E2637" s="280" t="s">
        <v>4464</v>
      </c>
      <c r="F2637" s="1049"/>
      <c r="G2637" s="1049">
        <v>1370.52</v>
      </c>
      <c r="H2637" s="564"/>
      <c r="I2637" s="609"/>
      <c r="J2637" s="1155"/>
      <c r="K2637" s="609"/>
      <c r="L2637" s="609"/>
      <c r="M2637" s="609"/>
      <c r="N2637" s="599"/>
      <c r="O2637" s="552" t="s">
        <v>1584</v>
      </c>
      <c r="P2637" s="603"/>
      <c r="Q2637" s="682"/>
      <c r="R2637" s="682"/>
      <c r="S2637" s="682"/>
      <c r="T2637" s="682"/>
      <c r="U2637" s="682"/>
      <c r="V2637" s="682"/>
      <c r="W2637" s="682"/>
    </row>
    <row r="2638" spans="1:23">
      <c r="A2638" s="1045">
        <f t="shared" si="41"/>
        <v>7</v>
      </c>
      <c r="B2638" s="134">
        <v>45503</v>
      </c>
      <c r="C2638" s="70">
        <v>1017</v>
      </c>
      <c r="D2638" s="70" t="s">
        <v>5118</v>
      </c>
      <c r="E2638" s="280" t="s">
        <v>4465</v>
      </c>
      <c r="F2638" s="1049"/>
      <c r="G2638" s="1049">
        <v>37.799999999999997</v>
      </c>
      <c r="H2638" s="564"/>
      <c r="I2638" s="609"/>
      <c r="J2638" s="1155"/>
      <c r="K2638" s="609"/>
      <c r="L2638" s="609"/>
      <c r="M2638" s="609"/>
      <c r="N2638" s="599"/>
      <c r="O2638" s="552" t="s">
        <v>1584</v>
      </c>
      <c r="P2638" s="603"/>
      <c r="Q2638" s="682"/>
      <c r="R2638" s="682"/>
      <c r="S2638" s="682"/>
      <c r="T2638" s="682"/>
      <c r="U2638" s="682"/>
      <c r="V2638" s="682"/>
      <c r="W2638" s="682"/>
    </row>
    <row r="2639" spans="1:23">
      <c r="A2639" s="1045">
        <f t="shared" si="41"/>
        <v>7</v>
      </c>
      <c r="B2639" s="134">
        <v>45503</v>
      </c>
      <c r="C2639" s="70">
        <v>1017</v>
      </c>
      <c r="D2639" s="70" t="s">
        <v>5118</v>
      </c>
      <c r="E2639" s="280" t="s">
        <v>4466</v>
      </c>
      <c r="F2639" s="1049"/>
      <c r="G2639" s="1049">
        <v>567</v>
      </c>
      <c r="H2639" s="564"/>
      <c r="I2639" s="609"/>
      <c r="J2639" s="1155"/>
      <c r="K2639" s="609"/>
      <c r="L2639" s="609"/>
      <c r="M2639" s="609"/>
      <c r="N2639" s="599"/>
      <c r="O2639" s="552" t="s">
        <v>1584</v>
      </c>
      <c r="P2639" s="603"/>
      <c r="Q2639" s="682"/>
      <c r="R2639" s="682"/>
      <c r="S2639" s="682"/>
      <c r="T2639" s="682"/>
      <c r="U2639" s="682"/>
      <c r="V2639" s="682"/>
      <c r="W2639" s="682"/>
    </row>
    <row r="2640" spans="1:23">
      <c r="A2640" s="1045">
        <f t="shared" si="41"/>
        <v>7</v>
      </c>
      <c r="B2640" s="134">
        <v>45503</v>
      </c>
      <c r="C2640" s="70">
        <v>1017</v>
      </c>
      <c r="D2640" s="70" t="s">
        <v>5118</v>
      </c>
      <c r="E2640" s="280" t="s">
        <v>4467</v>
      </c>
      <c r="F2640" s="1049"/>
      <c r="G2640" s="1049">
        <v>36.75</v>
      </c>
      <c r="H2640" s="564"/>
      <c r="I2640" s="609"/>
      <c r="J2640" s="1155"/>
      <c r="K2640" s="609"/>
      <c r="L2640" s="609"/>
      <c r="M2640" s="609"/>
      <c r="N2640" s="599"/>
      <c r="O2640" s="552" t="s">
        <v>1584</v>
      </c>
      <c r="P2640" s="603"/>
      <c r="Q2640" s="682"/>
      <c r="R2640" s="682"/>
      <c r="S2640" s="682"/>
      <c r="T2640" s="682"/>
      <c r="U2640" s="682"/>
      <c r="V2640" s="682"/>
      <c r="W2640" s="682"/>
    </row>
    <row r="2641" spans="1:23">
      <c r="A2641" s="1045">
        <f t="shared" si="41"/>
        <v>7</v>
      </c>
      <c r="B2641" s="134">
        <v>45503</v>
      </c>
      <c r="C2641" s="70">
        <v>1017</v>
      </c>
      <c r="D2641" s="70" t="s">
        <v>5118</v>
      </c>
      <c r="E2641" s="280" t="s">
        <v>4468</v>
      </c>
      <c r="F2641" s="1049"/>
      <c r="G2641" s="1049">
        <v>282.56</v>
      </c>
      <c r="H2641" s="564"/>
      <c r="I2641" s="609"/>
      <c r="J2641" s="1155"/>
      <c r="K2641" s="609"/>
      <c r="L2641" s="609"/>
      <c r="M2641" s="609"/>
      <c r="N2641" s="599"/>
      <c r="O2641" s="552" t="s">
        <v>1584</v>
      </c>
      <c r="P2641" s="603"/>
      <c r="Q2641" s="682"/>
      <c r="R2641" s="682"/>
      <c r="S2641" s="682"/>
      <c r="T2641" s="682"/>
      <c r="U2641" s="682"/>
      <c r="V2641" s="682"/>
      <c r="W2641" s="682"/>
    </row>
    <row r="2642" spans="1:23">
      <c r="A2642" s="1045">
        <f t="shared" si="41"/>
        <v>7</v>
      </c>
      <c r="B2642" s="134">
        <v>45503</v>
      </c>
      <c r="C2642" s="70">
        <v>1025</v>
      </c>
      <c r="D2642" s="70" t="s">
        <v>5120</v>
      </c>
      <c r="E2642" s="280" t="s">
        <v>4469</v>
      </c>
      <c r="F2642" s="1049"/>
      <c r="G2642" s="1049">
        <v>24884.69</v>
      </c>
      <c r="H2642" s="564"/>
      <c r="I2642" s="609"/>
      <c r="J2642" s="1155"/>
      <c r="K2642" s="609"/>
      <c r="L2642" s="609"/>
      <c r="M2642" s="609"/>
      <c r="N2642" s="599"/>
      <c r="O2642" s="552" t="s">
        <v>1584</v>
      </c>
      <c r="P2642" s="603"/>
      <c r="Q2642" s="682"/>
      <c r="R2642" s="682"/>
      <c r="S2642" s="682"/>
      <c r="T2642" s="682"/>
      <c r="U2642" s="682"/>
      <c r="V2642" s="682"/>
      <c r="W2642" s="682"/>
    </row>
    <row r="2643" spans="1:23">
      <c r="A2643" s="1045">
        <f t="shared" si="41"/>
        <v>7</v>
      </c>
      <c r="B2643" s="134">
        <v>45504</v>
      </c>
      <c r="C2643" s="70">
        <v>1017</v>
      </c>
      <c r="D2643" s="70" t="s">
        <v>5118</v>
      </c>
      <c r="E2643" s="280" t="s">
        <v>4470</v>
      </c>
      <c r="F2643" s="1049"/>
      <c r="G2643" s="1049">
        <v>210</v>
      </c>
      <c r="H2643" s="564"/>
      <c r="I2643" s="609"/>
      <c r="J2643" s="1155"/>
      <c r="K2643" s="609"/>
      <c r="L2643" s="609"/>
      <c r="M2643" s="609"/>
      <c r="N2643" s="599"/>
      <c r="O2643" s="552" t="s">
        <v>1584</v>
      </c>
      <c r="P2643" s="603"/>
      <c r="Q2643" s="682"/>
      <c r="R2643" s="682"/>
      <c r="S2643" s="682"/>
      <c r="T2643" s="682"/>
      <c r="U2643" s="682"/>
      <c r="V2643" s="682"/>
      <c r="W2643" s="682"/>
    </row>
    <row r="2644" spans="1:23">
      <c r="A2644" s="1045">
        <f t="shared" si="41"/>
        <v>7</v>
      </c>
      <c r="B2644" s="134">
        <v>45504</v>
      </c>
      <c r="C2644" s="70">
        <v>1017</v>
      </c>
      <c r="D2644" s="70" t="s">
        <v>5118</v>
      </c>
      <c r="E2644" s="280" t="s">
        <v>4471</v>
      </c>
      <c r="F2644" s="1049"/>
      <c r="G2644" s="1049">
        <v>115.5</v>
      </c>
      <c r="H2644" s="564"/>
      <c r="I2644" s="609"/>
      <c r="J2644" s="1155"/>
      <c r="K2644" s="609"/>
      <c r="L2644" s="609"/>
      <c r="M2644" s="609"/>
      <c r="N2644" s="599"/>
      <c r="O2644" s="552" t="s">
        <v>1584</v>
      </c>
      <c r="P2644" s="603"/>
      <c r="Q2644" s="682"/>
      <c r="R2644" s="682"/>
      <c r="S2644" s="682"/>
      <c r="T2644" s="682"/>
      <c r="U2644" s="682"/>
      <c r="V2644" s="682"/>
      <c r="W2644" s="682"/>
    </row>
    <row r="2645" spans="1:23">
      <c r="A2645" s="1045">
        <f t="shared" ref="A2645:A2708" si="42">IF(B2645="","",MONTH(B2645))</f>
        <v>7</v>
      </c>
      <c r="B2645" s="134">
        <v>45504</v>
      </c>
      <c r="C2645" s="70">
        <v>1017</v>
      </c>
      <c r="D2645" s="70" t="s">
        <v>5118</v>
      </c>
      <c r="E2645" s="280" t="s">
        <v>4472</v>
      </c>
      <c r="F2645" s="1049"/>
      <c r="G2645" s="1049">
        <v>467.25</v>
      </c>
      <c r="H2645" s="564"/>
      <c r="I2645" s="609"/>
      <c r="J2645" s="1155"/>
      <c r="K2645" s="609"/>
      <c r="L2645" s="609"/>
      <c r="M2645" s="609"/>
      <c r="N2645" s="599"/>
      <c r="O2645" s="552" t="s">
        <v>1584</v>
      </c>
      <c r="P2645" s="603"/>
      <c r="Q2645" s="682"/>
      <c r="R2645" s="682"/>
      <c r="S2645" s="682"/>
      <c r="T2645" s="682"/>
      <c r="U2645" s="682"/>
      <c r="V2645" s="682"/>
      <c r="W2645" s="682"/>
    </row>
    <row r="2646" spans="1:23">
      <c r="A2646" s="1045">
        <f t="shared" si="42"/>
        <v>7</v>
      </c>
      <c r="B2646" s="134">
        <v>45504</v>
      </c>
      <c r="C2646" s="70">
        <v>1017</v>
      </c>
      <c r="D2646" s="70" t="s">
        <v>5118</v>
      </c>
      <c r="E2646" s="280" t="s">
        <v>4473</v>
      </c>
      <c r="F2646" s="1049"/>
      <c r="G2646" s="1049">
        <v>3696</v>
      </c>
      <c r="H2646" s="564"/>
      <c r="I2646" s="609"/>
      <c r="J2646" s="1155"/>
      <c r="K2646" s="609"/>
      <c r="L2646" s="609"/>
      <c r="M2646" s="609"/>
      <c r="N2646" s="599"/>
      <c r="O2646" s="552" t="s">
        <v>1584</v>
      </c>
      <c r="P2646" s="603"/>
      <c r="Q2646" s="682"/>
      <c r="R2646" s="682"/>
      <c r="S2646" s="682"/>
      <c r="T2646" s="682"/>
      <c r="U2646" s="682"/>
      <c r="V2646" s="682"/>
      <c r="W2646" s="682"/>
    </row>
    <row r="2647" spans="1:23">
      <c r="A2647" s="1045">
        <f t="shared" si="42"/>
        <v>7</v>
      </c>
      <c r="B2647" s="134">
        <v>45504</v>
      </c>
      <c r="C2647" s="70">
        <v>1017</v>
      </c>
      <c r="D2647" s="70" t="s">
        <v>5118</v>
      </c>
      <c r="E2647" s="280" t="s">
        <v>4474</v>
      </c>
      <c r="F2647" s="1049"/>
      <c r="G2647" s="1049">
        <v>66.150000000000006</v>
      </c>
      <c r="H2647" s="564"/>
      <c r="I2647" s="609"/>
      <c r="J2647" s="1155"/>
      <c r="K2647" s="609"/>
      <c r="L2647" s="609"/>
      <c r="M2647" s="609"/>
      <c r="N2647" s="599"/>
      <c r="O2647" s="552" t="s">
        <v>1584</v>
      </c>
      <c r="P2647" s="603"/>
      <c r="Q2647" s="682"/>
      <c r="R2647" s="682"/>
      <c r="S2647" s="682"/>
      <c r="T2647" s="682"/>
      <c r="U2647" s="682"/>
      <c r="V2647" s="682"/>
      <c r="W2647" s="682"/>
    </row>
    <row r="2648" spans="1:23">
      <c r="A2648" s="1045">
        <f t="shared" si="42"/>
        <v>7</v>
      </c>
      <c r="B2648" s="134">
        <v>45504</v>
      </c>
      <c r="C2648" s="70">
        <v>1017</v>
      </c>
      <c r="D2648" s="70" t="s">
        <v>5118</v>
      </c>
      <c r="E2648" s="280" t="s">
        <v>4475</v>
      </c>
      <c r="F2648" s="1049"/>
      <c r="G2648" s="1049">
        <v>819</v>
      </c>
      <c r="H2648" s="564"/>
      <c r="I2648" s="609"/>
      <c r="J2648" s="1155"/>
      <c r="K2648" s="609"/>
      <c r="L2648" s="609"/>
      <c r="M2648" s="609"/>
      <c r="N2648" s="599"/>
      <c r="O2648" s="552" t="s">
        <v>1584</v>
      </c>
      <c r="P2648" s="603"/>
      <c r="Q2648" s="682"/>
      <c r="R2648" s="682"/>
      <c r="S2648" s="682"/>
      <c r="T2648" s="682"/>
      <c r="U2648" s="682"/>
      <c r="V2648" s="682"/>
      <c r="W2648" s="682"/>
    </row>
    <row r="2649" spans="1:23">
      <c r="A2649" s="1045">
        <f t="shared" si="42"/>
        <v>7</v>
      </c>
      <c r="B2649" s="134">
        <v>45504</v>
      </c>
      <c r="C2649" s="70">
        <v>1017</v>
      </c>
      <c r="D2649" s="70" t="s">
        <v>5118</v>
      </c>
      <c r="E2649" s="280" t="s">
        <v>4476</v>
      </c>
      <c r="F2649" s="1049"/>
      <c r="G2649" s="1049">
        <v>546</v>
      </c>
      <c r="H2649" s="564"/>
      <c r="I2649" s="609"/>
      <c r="J2649" s="1155"/>
      <c r="K2649" s="609"/>
      <c r="L2649" s="609"/>
      <c r="M2649" s="609"/>
      <c r="N2649" s="599"/>
      <c r="O2649" s="552" t="s">
        <v>1584</v>
      </c>
      <c r="P2649" s="603"/>
      <c r="Q2649" s="682"/>
      <c r="R2649" s="682"/>
      <c r="S2649" s="682"/>
      <c r="T2649" s="682"/>
      <c r="U2649" s="682"/>
      <c r="V2649" s="682"/>
      <c r="W2649" s="682"/>
    </row>
    <row r="2650" spans="1:23">
      <c r="A2650" s="1045">
        <f t="shared" si="42"/>
        <v>7</v>
      </c>
      <c r="B2650" s="134">
        <v>45504</v>
      </c>
      <c r="C2650" s="70">
        <v>1017</v>
      </c>
      <c r="D2650" s="70" t="s">
        <v>5118</v>
      </c>
      <c r="E2650" s="280" t="s">
        <v>4477</v>
      </c>
      <c r="F2650" s="1049"/>
      <c r="G2650" s="1049">
        <v>52.5</v>
      </c>
      <c r="H2650" s="564"/>
      <c r="I2650" s="609"/>
      <c r="J2650" s="1155"/>
      <c r="K2650" s="609"/>
      <c r="L2650" s="609"/>
      <c r="M2650" s="609"/>
      <c r="N2650" s="599"/>
      <c r="O2650" s="552" t="s">
        <v>1584</v>
      </c>
      <c r="P2650" s="603"/>
      <c r="Q2650" s="682"/>
      <c r="R2650" s="682"/>
      <c r="S2650" s="682"/>
      <c r="T2650" s="682"/>
      <c r="U2650" s="682"/>
      <c r="V2650" s="682"/>
      <c r="W2650" s="682"/>
    </row>
    <row r="2651" spans="1:23">
      <c r="A2651" s="1045">
        <f t="shared" si="42"/>
        <v>7</v>
      </c>
      <c r="B2651" s="134">
        <v>45504</v>
      </c>
      <c r="C2651" s="70">
        <v>1017</v>
      </c>
      <c r="D2651" s="70" t="s">
        <v>5118</v>
      </c>
      <c r="E2651" s="280" t="s">
        <v>4478</v>
      </c>
      <c r="F2651" s="1049"/>
      <c r="G2651" s="1049">
        <v>177.24</v>
      </c>
      <c r="H2651" s="564"/>
      <c r="I2651" s="609"/>
      <c r="J2651" s="1155"/>
      <c r="K2651" s="609"/>
      <c r="L2651" s="609"/>
      <c r="M2651" s="609"/>
      <c r="N2651" s="599"/>
      <c r="O2651" s="552" t="s">
        <v>1584</v>
      </c>
      <c r="P2651" s="603"/>
      <c r="Q2651" s="682"/>
      <c r="R2651" s="682"/>
      <c r="S2651" s="682"/>
      <c r="T2651" s="682"/>
      <c r="U2651" s="682"/>
      <c r="V2651" s="682"/>
      <c r="W2651" s="682"/>
    </row>
    <row r="2652" spans="1:23">
      <c r="A2652" s="1045">
        <f t="shared" si="42"/>
        <v>7</v>
      </c>
      <c r="B2652" s="134">
        <v>45504</v>
      </c>
      <c r="C2652" s="70">
        <v>1017</v>
      </c>
      <c r="D2652" s="70" t="s">
        <v>5118</v>
      </c>
      <c r="E2652" s="280" t="s">
        <v>4479</v>
      </c>
      <c r="F2652" s="1049"/>
      <c r="G2652" s="1049">
        <v>73.5</v>
      </c>
      <c r="H2652" s="564"/>
      <c r="I2652" s="609"/>
      <c r="J2652" s="1155"/>
      <c r="K2652" s="609"/>
      <c r="L2652" s="609"/>
      <c r="M2652" s="609"/>
      <c r="N2652" s="599"/>
      <c r="O2652" s="552" t="s">
        <v>1584</v>
      </c>
      <c r="P2652" s="603"/>
      <c r="Q2652" s="682"/>
      <c r="R2652" s="682"/>
      <c r="S2652" s="682"/>
      <c r="T2652" s="682"/>
      <c r="U2652" s="682"/>
      <c r="V2652" s="682"/>
      <c r="W2652" s="682"/>
    </row>
    <row r="2653" spans="1:23">
      <c r="A2653" s="1045">
        <f t="shared" si="42"/>
        <v>8</v>
      </c>
      <c r="B2653" s="134">
        <v>45506</v>
      </c>
      <c r="C2653" s="70">
        <v>1017</v>
      </c>
      <c r="D2653" s="70" t="s">
        <v>5118</v>
      </c>
      <c r="E2653" s="280" t="s">
        <v>4480</v>
      </c>
      <c r="F2653" s="1049"/>
      <c r="G2653" s="1049">
        <v>596.53</v>
      </c>
      <c r="H2653" s="564"/>
      <c r="I2653" s="609"/>
      <c r="J2653" s="1155"/>
      <c r="K2653" s="609"/>
      <c r="L2653" s="609"/>
      <c r="M2653" s="609"/>
      <c r="N2653" s="599"/>
      <c r="O2653" s="552" t="s">
        <v>1584</v>
      </c>
      <c r="P2653" s="603"/>
      <c r="Q2653" s="682"/>
      <c r="R2653" s="682"/>
      <c r="S2653" s="682"/>
      <c r="T2653" s="682"/>
      <c r="U2653" s="682"/>
      <c r="V2653" s="682"/>
      <c r="W2653" s="682"/>
    </row>
    <row r="2654" spans="1:23">
      <c r="A2654" s="1045">
        <f t="shared" si="42"/>
        <v>8</v>
      </c>
      <c r="B2654" s="134">
        <v>45506</v>
      </c>
      <c r="C2654" s="70">
        <v>1017</v>
      </c>
      <c r="D2654" s="70" t="s">
        <v>5118</v>
      </c>
      <c r="E2654" s="280" t="s">
        <v>4481</v>
      </c>
      <c r="F2654" s="1049"/>
      <c r="G2654" s="1049">
        <v>18.38</v>
      </c>
      <c r="H2654" s="564"/>
      <c r="I2654" s="609"/>
      <c r="J2654" s="1155"/>
      <c r="K2654" s="609"/>
      <c r="L2654" s="609"/>
      <c r="M2654" s="609"/>
      <c r="N2654" s="599"/>
      <c r="O2654" s="552" t="s">
        <v>1584</v>
      </c>
      <c r="P2654" s="603"/>
      <c r="Q2654" s="682"/>
      <c r="R2654" s="682"/>
      <c r="S2654" s="682"/>
      <c r="T2654" s="682"/>
      <c r="U2654" s="682"/>
      <c r="V2654" s="682"/>
      <c r="W2654" s="682"/>
    </row>
    <row r="2655" spans="1:23">
      <c r="A2655" s="1045">
        <f t="shared" si="42"/>
        <v>8</v>
      </c>
      <c r="B2655" s="134">
        <v>45506</v>
      </c>
      <c r="C2655" s="70">
        <v>1017</v>
      </c>
      <c r="D2655" s="70" t="s">
        <v>5118</v>
      </c>
      <c r="E2655" s="280" t="s">
        <v>4482</v>
      </c>
      <c r="F2655" s="1049"/>
      <c r="G2655" s="1049">
        <v>26.78</v>
      </c>
      <c r="H2655" s="564"/>
      <c r="I2655" s="609"/>
      <c r="J2655" s="1155"/>
      <c r="K2655" s="609"/>
      <c r="L2655" s="609"/>
      <c r="M2655" s="609"/>
      <c r="N2655" s="599"/>
      <c r="O2655" s="552" t="s">
        <v>1584</v>
      </c>
      <c r="P2655" s="603"/>
      <c r="Q2655" s="682"/>
      <c r="R2655" s="682"/>
      <c r="S2655" s="682"/>
      <c r="T2655" s="682"/>
      <c r="U2655" s="682"/>
      <c r="V2655" s="682"/>
      <c r="W2655" s="682"/>
    </row>
    <row r="2656" spans="1:23">
      <c r="A2656" s="1045">
        <f t="shared" si="42"/>
        <v>8</v>
      </c>
      <c r="B2656" s="134">
        <v>45506</v>
      </c>
      <c r="C2656" s="70">
        <v>1017</v>
      </c>
      <c r="D2656" s="70" t="s">
        <v>5118</v>
      </c>
      <c r="E2656" s="280" t="s">
        <v>4483</v>
      </c>
      <c r="F2656" s="1049"/>
      <c r="G2656" s="1049">
        <v>36.75</v>
      </c>
      <c r="H2656" s="564"/>
      <c r="I2656" s="609"/>
      <c r="J2656" s="1155"/>
      <c r="K2656" s="609"/>
      <c r="L2656" s="609"/>
      <c r="M2656" s="609"/>
      <c r="N2656" s="599"/>
      <c r="O2656" s="552" t="s">
        <v>1584</v>
      </c>
      <c r="P2656" s="603"/>
      <c r="Q2656" s="682"/>
      <c r="R2656" s="682"/>
      <c r="S2656" s="682"/>
      <c r="T2656" s="682"/>
      <c r="U2656" s="682"/>
      <c r="V2656" s="682"/>
      <c r="W2656" s="682"/>
    </row>
    <row r="2657" spans="1:23">
      <c r="A2657" s="1045">
        <f t="shared" si="42"/>
        <v>8</v>
      </c>
      <c r="B2657" s="134">
        <v>45507</v>
      </c>
      <c r="C2657" s="70">
        <v>1017</v>
      </c>
      <c r="D2657" s="70" t="s">
        <v>5118</v>
      </c>
      <c r="E2657" s="280" t="s">
        <v>4484</v>
      </c>
      <c r="F2657" s="1049"/>
      <c r="G2657" s="1049">
        <v>940.8</v>
      </c>
      <c r="H2657" s="564"/>
      <c r="I2657" s="609"/>
      <c r="J2657" s="1155"/>
      <c r="K2657" s="609"/>
      <c r="L2657" s="609"/>
      <c r="M2657" s="609"/>
      <c r="N2657" s="599"/>
      <c r="O2657" s="552" t="s">
        <v>1584</v>
      </c>
      <c r="P2657" s="603"/>
      <c r="Q2657" s="682"/>
      <c r="R2657" s="682"/>
      <c r="S2657" s="682"/>
      <c r="T2657" s="682"/>
      <c r="U2657" s="682"/>
      <c r="V2657" s="682"/>
      <c r="W2657" s="682"/>
    </row>
    <row r="2658" spans="1:23">
      <c r="A2658" s="1045">
        <f t="shared" si="42"/>
        <v>8</v>
      </c>
      <c r="B2658" s="134">
        <v>45507</v>
      </c>
      <c r="C2658" s="70">
        <v>1017</v>
      </c>
      <c r="D2658" s="70" t="s">
        <v>5118</v>
      </c>
      <c r="E2658" s="280" t="s">
        <v>4485</v>
      </c>
      <c r="F2658" s="1049"/>
      <c r="G2658" s="1049">
        <v>215.78</v>
      </c>
      <c r="H2658" s="564"/>
      <c r="I2658" s="609"/>
      <c r="J2658" s="1155"/>
      <c r="K2658" s="609"/>
      <c r="L2658" s="609"/>
      <c r="M2658" s="609"/>
      <c r="N2658" s="599"/>
      <c r="O2658" s="552" t="s">
        <v>1584</v>
      </c>
      <c r="P2658" s="603"/>
      <c r="Q2658" s="682"/>
      <c r="R2658" s="682"/>
      <c r="S2658" s="682"/>
      <c r="T2658" s="682"/>
      <c r="U2658" s="682"/>
      <c r="V2658" s="682"/>
      <c r="W2658" s="682"/>
    </row>
    <row r="2659" spans="1:23">
      <c r="A2659" s="1045">
        <f t="shared" si="42"/>
        <v>8</v>
      </c>
      <c r="B2659" s="134">
        <v>45507</v>
      </c>
      <c r="C2659" s="70">
        <v>1017</v>
      </c>
      <c r="D2659" s="70" t="s">
        <v>5118</v>
      </c>
      <c r="E2659" s="280" t="s">
        <v>4486</v>
      </c>
      <c r="F2659" s="1049"/>
      <c r="G2659" s="1049">
        <v>2005.5</v>
      </c>
      <c r="H2659" s="564"/>
      <c r="I2659" s="609"/>
      <c r="J2659" s="1155"/>
      <c r="K2659" s="609"/>
      <c r="L2659" s="609"/>
      <c r="M2659" s="609"/>
      <c r="N2659" s="599"/>
      <c r="O2659" s="552" t="s">
        <v>1584</v>
      </c>
      <c r="P2659" s="603"/>
      <c r="Q2659" s="682"/>
      <c r="R2659" s="682"/>
      <c r="S2659" s="682"/>
      <c r="T2659" s="682"/>
      <c r="U2659" s="682"/>
      <c r="V2659" s="682"/>
      <c r="W2659" s="682"/>
    </row>
    <row r="2660" spans="1:23">
      <c r="A2660" s="1045">
        <f t="shared" si="42"/>
        <v>8</v>
      </c>
      <c r="B2660" s="134">
        <v>45507</v>
      </c>
      <c r="C2660" s="70">
        <v>1017</v>
      </c>
      <c r="D2660" s="70" t="s">
        <v>5118</v>
      </c>
      <c r="E2660" s="280" t="s">
        <v>4487</v>
      </c>
      <c r="F2660" s="1049"/>
      <c r="G2660" s="1049">
        <v>254.36</v>
      </c>
      <c r="H2660" s="564"/>
      <c r="I2660" s="609"/>
      <c r="J2660" s="1155"/>
      <c r="K2660" s="609"/>
      <c r="L2660" s="609"/>
      <c r="M2660" s="609"/>
      <c r="N2660" s="599"/>
      <c r="O2660" s="552" t="s">
        <v>1584</v>
      </c>
      <c r="P2660" s="603"/>
      <c r="Q2660" s="682"/>
      <c r="R2660" s="682"/>
      <c r="S2660" s="682"/>
      <c r="T2660" s="682"/>
      <c r="U2660" s="682"/>
      <c r="V2660" s="682"/>
      <c r="W2660" s="682"/>
    </row>
    <row r="2661" spans="1:23">
      <c r="A2661" s="1045">
        <f t="shared" si="42"/>
        <v>8</v>
      </c>
      <c r="B2661" s="134">
        <v>45507</v>
      </c>
      <c r="C2661" s="70">
        <v>1017</v>
      </c>
      <c r="D2661" s="70" t="s">
        <v>5118</v>
      </c>
      <c r="E2661" s="280" t="s">
        <v>4488</v>
      </c>
      <c r="F2661" s="1049"/>
      <c r="G2661" s="1049">
        <v>4476.1499999999996</v>
      </c>
      <c r="H2661" s="564"/>
      <c r="I2661" s="609"/>
      <c r="J2661" s="1155"/>
      <c r="K2661" s="609"/>
      <c r="L2661" s="609"/>
      <c r="M2661" s="609"/>
      <c r="N2661" s="599"/>
      <c r="O2661" s="552" t="s">
        <v>1584</v>
      </c>
      <c r="P2661" s="603"/>
      <c r="Q2661" s="682"/>
      <c r="R2661" s="682"/>
      <c r="S2661" s="682"/>
      <c r="T2661" s="682"/>
      <c r="U2661" s="682"/>
      <c r="V2661" s="682"/>
      <c r="W2661" s="682"/>
    </row>
    <row r="2662" spans="1:23">
      <c r="A2662" s="1045">
        <f t="shared" si="42"/>
        <v>8</v>
      </c>
      <c r="B2662" s="134">
        <v>45507</v>
      </c>
      <c r="C2662" s="70">
        <v>1017</v>
      </c>
      <c r="D2662" s="70" t="s">
        <v>5118</v>
      </c>
      <c r="E2662" s="280" t="s">
        <v>4489</v>
      </c>
      <c r="F2662" s="1049"/>
      <c r="G2662" s="1049">
        <v>268</v>
      </c>
      <c r="H2662" s="564"/>
      <c r="I2662" s="609"/>
      <c r="J2662" s="1155"/>
      <c r="K2662" s="609"/>
      <c r="L2662" s="609"/>
      <c r="M2662" s="609"/>
      <c r="N2662" s="599"/>
      <c r="O2662" s="552" t="s">
        <v>1584</v>
      </c>
      <c r="P2662" s="603"/>
      <c r="Q2662" s="682"/>
      <c r="R2662" s="682"/>
      <c r="S2662" s="682"/>
      <c r="T2662" s="682"/>
      <c r="U2662" s="682"/>
      <c r="V2662" s="682"/>
      <c r="W2662" s="682"/>
    </row>
    <row r="2663" spans="1:23">
      <c r="A2663" s="1045">
        <f t="shared" si="42"/>
        <v>8</v>
      </c>
      <c r="B2663" s="134">
        <v>45507</v>
      </c>
      <c r="C2663" s="70">
        <v>1017</v>
      </c>
      <c r="D2663" s="70" t="s">
        <v>5118</v>
      </c>
      <c r="E2663" s="280" t="s">
        <v>4490</v>
      </c>
      <c r="F2663" s="1049"/>
      <c r="G2663" s="1049">
        <v>127.58</v>
      </c>
      <c r="H2663" s="564"/>
      <c r="I2663" s="609"/>
      <c r="J2663" s="1155"/>
      <c r="K2663" s="609"/>
      <c r="L2663" s="609"/>
      <c r="M2663" s="609"/>
      <c r="N2663" s="599"/>
      <c r="O2663" s="552" t="s">
        <v>1584</v>
      </c>
      <c r="P2663" s="603"/>
      <c r="Q2663" s="682"/>
      <c r="R2663" s="682"/>
      <c r="S2663" s="682"/>
      <c r="T2663" s="682"/>
      <c r="U2663" s="682"/>
      <c r="V2663" s="682"/>
      <c r="W2663" s="682"/>
    </row>
    <row r="2664" spans="1:23">
      <c r="A2664" s="1045">
        <f t="shared" si="42"/>
        <v>8</v>
      </c>
      <c r="B2664" s="134">
        <v>45508</v>
      </c>
      <c r="C2664" s="70">
        <v>1022</v>
      </c>
      <c r="D2664" s="70" t="s">
        <v>5119</v>
      </c>
      <c r="E2664" s="280" t="s">
        <v>4491</v>
      </c>
      <c r="F2664" s="1049"/>
      <c r="G2664" s="1049">
        <v>12050</v>
      </c>
      <c r="H2664" s="564"/>
      <c r="I2664" s="609"/>
      <c r="J2664" s="1155"/>
      <c r="K2664" s="609"/>
      <c r="L2664" s="609"/>
      <c r="M2664" s="609"/>
      <c r="N2664" s="599"/>
      <c r="O2664" s="552" t="s">
        <v>1584</v>
      </c>
      <c r="P2664" s="603"/>
      <c r="Q2664" s="682"/>
      <c r="R2664" s="682"/>
      <c r="S2664" s="682"/>
      <c r="T2664" s="682"/>
      <c r="U2664" s="682"/>
      <c r="V2664" s="682"/>
      <c r="W2664" s="682"/>
    </row>
    <row r="2665" spans="1:23">
      <c r="A2665" s="1045">
        <f t="shared" si="42"/>
        <v>8</v>
      </c>
      <c r="B2665" s="134">
        <v>45508</v>
      </c>
      <c r="C2665" s="70">
        <v>1017</v>
      </c>
      <c r="D2665" s="70" t="s">
        <v>5118</v>
      </c>
      <c r="E2665" s="280" t="s">
        <v>4492</v>
      </c>
      <c r="F2665" s="1049"/>
      <c r="G2665" s="1049">
        <v>126</v>
      </c>
      <c r="H2665" s="564"/>
      <c r="I2665" s="609"/>
      <c r="J2665" s="1155"/>
      <c r="K2665" s="609"/>
      <c r="L2665" s="609"/>
      <c r="M2665" s="609"/>
      <c r="N2665" s="599"/>
      <c r="O2665" s="552" t="s">
        <v>1584</v>
      </c>
      <c r="P2665" s="603"/>
      <c r="Q2665" s="682"/>
      <c r="R2665" s="682"/>
      <c r="S2665" s="682"/>
      <c r="T2665" s="682"/>
      <c r="U2665" s="682"/>
      <c r="V2665" s="682"/>
      <c r="W2665" s="682"/>
    </row>
    <row r="2666" spans="1:23">
      <c r="A2666" s="1045">
        <f t="shared" si="42"/>
        <v>8</v>
      </c>
      <c r="B2666" s="134">
        <v>45508</v>
      </c>
      <c r="C2666" s="70">
        <v>1017</v>
      </c>
      <c r="D2666" s="70" t="s">
        <v>5118</v>
      </c>
      <c r="E2666" s="280" t="s">
        <v>4493</v>
      </c>
      <c r="F2666" s="1049"/>
      <c r="G2666" s="1049">
        <v>138.19999999999999</v>
      </c>
      <c r="H2666" s="564"/>
      <c r="I2666" s="609"/>
      <c r="J2666" s="1155"/>
      <c r="K2666" s="609"/>
      <c r="L2666" s="609"/>
      <c r="M2666" s="609"/>
      <c r="N2666" s="599"/>
      <c r="O2666" s="552" t="s">
        <v>1584</v>
      </c>
      <c r="P2666" s="603"/>
      <c r="Q2666" s="682"/>
      <c r="R2666" s="682"/>
      <c r="S2666" s="682"/>
      <c r="T2666" s="682"/>
      <c r="U2666" s="682"/>
      <c r="V2666" s="682"/>
      <c r="W2666" s="682"/>
    </row>
    <row r="2667" spans="1:23">
      <c r="A2667" s="1045">
        <f t="shared" si="42"/>
        <v>8</v>
      </c>
      <c r="B2667" s="134">
        <v>45508</v>
      </c>
      <c r="C2667" s="70">
        <v>1017</v>
      </c>
      <c r="D2667" s="70" t="s">
        <v>5118</v>
      </c>
      <c r="E2667" s="280" t="s">
        <v>4494</v>
      </c>
      <c r="F2667" s="1049"/>
      <c r="G2667" s="1049">
        <v>68.510000000000005</v>
      </c>
      <c r="H2667" s="564"/>
      <c r="I2667" s="609"/>
      <c r="J2667" s="1155"/>
      <c r="K2667" s="609"/>
      <c r="L2667" s="609"/>
      <c r="M2667" s="609"/>
      <c r="N2667" s="599"/>
      <c r="O2667" s="552" t="s">
        <v>1584</v>
      </c>
      <c r="P2667" s="603"/>
      <c r="Q2667" s="682"/>
      <c r="R2667" s="682"/>
      <c r="S2667" s="682"/>
      <c r="T2667" s="682"/>
      <c r="U2667" s="682"/>
      <c r="V2667" s="682"/>
      <c r="W2667" s="682"/>
    </row>
    <row r="2668" spans="1:23">
      <c r="A2668" s="1045">
        <f t="shared" si="42"/>
        <v>8</v>
      </c>
      <c r="B2668" s="134">
        <v>45508</v>
      </c>
      <c r="C2668" s="70">
        <v>1017</v>
      </c>
      <c r="D2668" s="70" t="s">
        <v>5118</v>
      </c>
      <c r="E2668" s="280" t="s">
        <v>4495</v>
      </c>
      <c r="F2668" s="1049"/>
      <c r="G2668" s="1049">
        <v>9.98</v>
      </c>
      <c r="H2668" s="564"/>
      <c r="I2668" s="609"/>
      <c r="J2668" s="1155"/>
      <c r="K2668" s="609"/>
      <c r="L2668" s="609"/>
      <c r="M2668" s="609"/>
      <c r="N2668" s="599"/>
      <c r="O2668" s="552" t="s">
        <v>1584</v>
      </c>
      <c r="P2668" s="603"/>
      <c r="Q2668" s="682"/>
      <c r="R2668" s="682"/>
      <c r="S2668" s="682"/>
      <c r="T2668" s="682"/>
      <c r="U2668" s="682"/>
      <c r="V2668" s="682"/>
      <c r="W2668" s="682"/>
    </row>
    <row r="2669" spans="1:23">
      <c r="A2669" s="1045">
        <f t="shared" si="42"/>
        <v>8</v>
      </c>
      <c r="B2669" s="134">
        <v>45508</v>
      </c>
      <c r="C2669" s="70">
        <v>1022</v>
      </c>
      <c r="D2669" s="70" t="s">
        <v>5119</v>
      </c>
      <c r="E2669" s="280" t="s">
        <v>4496</v>
      </c>
      <c r="F2669" s="1049"/>
      <c r="G2669" s="1049">
        <v>11014.5</v>
      </c>
      <c r="H2669" s="564"/>
      <c r="I2669" s="609"/>
      <c r="J2669" s="1155"/>
      <c r="K2669" s="609"/>
      <c r="L2669" s="609"/>
      <c r="M2669" s="609"/>
      <c r="N2669" s="599"/>
      <c r="O2669" s="552" t="s">
        <v>1584</v>
      </c>
      <c r="P2669" s="603"/>
      <c r="Q2669" s="682"/>
      <c r="R2669" s="682"/>
      <c r="S2669" s="682"/>
      <c r="T2669" s="682"/>
      <c r="U2669" s="682"/>
      <c r="V2669" s="682"/>
      <c r="W2669" s="682"/>
    </row>
    <row r="2670" spans="1:23">
      <c r="A2670" s="1045">
        <f t="shared" si="42"/>
        <v>8</v>
      </c>
      <c r="B2670" s="134">
        <v>45508</v>
      </c>
      <c r="C2670" s="70">
        <v>1022</v>
      </c>
      <c r="D2670" s="70" t="s">
        <v>5119</v>
      </c>
      <c r="E2670" s="280" t="s">
        <v>4497</v>
      </c>
      <c r="F2670" s="1049"/>
      <c r="G2670" s="1049">
        <v>0.5</v>
      </c>
      <c r="H2670" s="564"/>
      <c r="I2670" s="609"/>
      <c r="J2670" s="1155"/>
      <c r="K2670" s="609"/>
      <c r="L2670" s="609"/>
      <c r="M2670" s="609"/>
      <c r="N2670" s="599"/>
      <c r="O2670" s="552" t="s">
        <v>1584</v>
      </c>
      <c r="P2670" s="603"/>
      <c r="Q2670" s="682"/>
      <c r="R2670" s="682"/>
      <c r="S2670" s="682"/>
      <c r="T2670" s="682"/>
      <c r="U2670" s="682"/>
      <c r="V2670" s="682"/>
      <c r="W2670" s="682"/>
    </row>
    <row r="2671" spans="1:23">
      <c r="A2671" s="1045">
        <f t="shared" si="42"/>
        <v>8</v>
      </c>
      <c r="B2671" s="134">
        <v>45508</v>
      </c>
      <c r="C2671" s="70">
        <v>1022</v>
      </c>
      <c r="D2671" s="70" t="s">
        <v>5119</v>
      </c>
      <c r="E2671" s="280" t="s">
        <v>4498</v>
      </c>
      <c r="F2671" s="1049"/>
      <c r="G2671" s="1049">
        <v>25615</v>
      </c>
      <c r="H2671" s="564"/>
      <c r="I2671" s="609"/>
      <c r="J2671" s="1155"/>
      <c r="K2671" s="609"/>
      <c r="L2671" s="609"/>
      <c r="M2671" s="609"/>
      <c r="N2671" s="599"/>
      <c r="O2671" s="552" t="s">
        <v>1584</v>
      </c>
      <c r="P2671" s="603"/>
      <c r="Q2671" s="682"/>
      <c r="R2671" s="682"/>
      <c r="S2671" s="682"/>
      <c r="T2671" s="682"/>
      <c r="U2671" s="682"/>
      <c r="V2671" s="682"/>
      <c r="W2671" s="682"/>
    </row>
    <row r="2672" spans="1:23">
      <c r="A2672" s="1045">
        <f t="shared" si="42"/>
        <v>8</v>
      </c>
      <c r="B2672" s="134">
        <v>45508</v>
      </c>
      <c r="C2672" s="70">
        <v>1022</v>
      </c>
      <c r="D2672" s="70" t="s">
        <v>5119</v>
      </c>
      <c r="E2672" s="280" t="s">
        <v>4499</v>
      </c>
      <c r="F2672" s="1049"/>
      <c r="G2672" s="1049">
        <v>11004</v>
      </c>
      <c r="H2672" s="564"/>
      <c r="I2672" s="609"/>
      <c r="J2672" s="1155"/>
      <c r="K2672" s="609"/>
      <c r="L2672" s="609"/>
      <c r="M2672" s="609"/>
      <c r="N2672" s="599"/>
      <c r="O2672" s="552" t="s">
        <v>1584</v>
      </c>
      <c r="P2672" s="603"/>
      <c r="Q2672" s="682"/>
      <c r="R2672" s="682"/>
      <c r="S2672" s="682"/>
      <c r="T2672" s="682"/>
      <c r="U2672" s="682"/>
      <c r="V2672" s="682"/>
      <c r="W2672" s="682"/>
    </row>
    <row r="2673" spans="1:23">
      <c r="A2673" s="1045">
        <f t="shared" si="42"/>
        <v>8</v>
      </c>
      <c r="B2673" s="134">
        <v>45508</v>
      </c>
      <c r="C2673" s="70">
        <v>1022</v>
      </c>
      <c r="D2673" s="70" t="s">
        <v>5119</v>
      </c>
      <c r="E2673" s="280" t="s">
        <v>4500</v>
      </c>
      <c r="F2673" s="1049"/>
      <c r="G2673" s="1049">
        <v>11078</v>
      </c>
      <c r="H2673" s="564"/>
      <c r="I2673" s="609"/>
      <c r="J2673" s="1155"/>
      <c r="K2673" s="609"/>
      <c r="L2673" s="609"/>
      <c r="M2673" s="609"/>
      <c r="N2673" s="599"/>
      <c r="O2673" s="552" t="s">
        <v>1584</v>
      </c>
      <c r="P2673" s="603"/>
      <c r="Q2673" s="682"/>
      <c r="R2673" s="682"/>
      <c r="S2673" s="682"/>
      <c r="T2673" s="682"/>
      <c r="U2673" s="682"/>
      <c r="V2673" s="682"/>
      <c r="W2673" s="682"/>
    </row>
    <row r="2674" spans="1:23">
      <c r="A2674" s="1045">
        <f t="shared" si="42"/>
        <v>8</v>
      </c>
      <c r="B2674" s="134">
        <v>45508</v>
      </c>
      <c r="C2674" s="70">
        <v>1022</v>
      </c>
      <c r="D2674" s="70" t="s">
        <v>5119</v>
      </c>
      <c r="E2674" s="280" t="s">
        <v>4501</v>
      </c>
      <c r="F2674" s="1049"/>
      <c r="G2674" s="1049">
        <v>13050</v>
      </c>
      <c r="H2674" s="564"/>
      <c r="I2674" s="609"/>
      <c r="J2674" s="1155"/>
      <c r="K2674" s="609"/>
      <c r="L2674" s="609"/>
      <c r="M2674" s="609"/>
      <c r="N2674" s="599"/>
      <c r="O2674" s="552" t="s">
        <v>1584</v>
      </c>
      <c r="P2674" s="603"/>
      <c r="Q2674" s="682"/>
      <c r="R2674" s="682"/>
      <c r="S2674" s="682"/>
      <c r="T2674" s="682"/>
      <c r="U2674" s="682"/>
      <c r="V2674" s="682"/>
      <c r="W2674" s="682"/>
    </row>
    <row r="2675" spans="1:23">
      <c r="A2675" s="1045">
        <f t="shared" si="42"/>
        <v>8</v>
      </c>
      <c r="B2675" s="134">
        <v>45508</v>
      </c>
      <c r="C2675" s="70">
        <v>1022</v>
      </c>
      <c r="D2675" s="70" t="s">
        <v>5119</v>
      </c>
      <c r="E2675" s="280" t="s">
        <v>4502</v>
      </c>
      <c r="F2675" s="1049"/>
      <c r="G2675" s="1049">
        <v>10982</v>
      </c>
      <c r="H2675" s="564"/>
      <c r="I2675" s="609"/>
      <c r="J2675" s="1155"/>
      <c r="K2675" s="609"/>
      <c r="L2675" s="609"/>
      <c r="M2675" s="609"/>
      <c r="N2675" s="599"/>
      <c r="O2675" s="552" t="s">
        <v>1584</v>
      </c>
      <c r="P2675" s="603"/>
      <c r="Q2675" s="682"/>
      <c r="R2675" s="682"/>
      <c r="S2675" s="682"/>
      <c r="T2675" s="682"/>
      <c r="U2675" s="682"/>
      <c r="V2675" s="682"/>
      <c r="W2675" s="682"/>
    </row>
    <row r="2676" spans="1:23">
      <c r="A2676" s="1045">
        <f t="shared" si="42"/>
        <v>8</v>
      </c>
      <c r="B2676" s="134">
        <v>45509</v>
      </c>
      <c r="C2676" s="70">
        <v>1017</v>
      </c>
      <c r="D2676" s="70" t="s">
        <v>5118</v>
      </c>
      <c r="E2676" s="280" t="s">
        <v>4503</v>
      </c>
      <c r="F2676" s="1049"/>
      <c r="G2676" s="1049">
        <v>27.3</v>
      </c>
      <c r="H2676" s="564"/>
      <c r="I2676" s="609"/>
      <c r="J2676" s="1155"/>
      <c r="K2676" s="609"/>
      <c r="L2676" s="609"/>
      <c r="M2676" s="609"/>
      <c r="N2676" s="599"/>
      <c r="O2676" s="552" t="s">
        <v>1584</v>
      </c>
      <c r="P2676" s="603"/>
      <c r="Q2676" s="682"/>
      <c r="R2676" s="682"/>
      <c r="S2676" s="682"/>
      <c r="T2676" s="682"/>
      <c r="U2676" s="682"/>
      <c r="V2676" s="682"/>
      <c r="W2676" s="682"/>
    </row>
    <row r="2677" spans="1:23">
      <c r="A2677" s="1045">
        <f t="shared" si="42"/>
        <v>8</v>
      </c>
      <c r="B2677" s="134">
        <v>45509</v>
      </c>
      <c r="C2677" s="70">
        <v>1017</v>
      </c>
      <c r="D2677" s="70" t="s">
        <v>5118</v>
      </c>
      <c r="E2677" s="280" t="s">
        <v>4504</v>
      </c>
      <c r="F2677" s="1049"/>
      <c r="G2677" s="1049">
        <v>49.95</v>
      </c>
      <c r="H2677" s="564"/>
      <c r="I2677" s="609"/>
      <c r="J2677" s="1155"/>
      <c r="K2677" s="609"/>
      <c r="L2677" s="609"/>
      <c r="M2677" s="609"/>
      <c r="N2677" s="599"/>
      <c r="O2677" s="552" t="s">
        <v>1584</v>
      </c>
      <c r="P2677" s="603"/>
      <c r="Q2677" s="682"/>
      <c r="R2677" s="682"/>
      <c r="S2677" s="682"/>
      <c r="T2677" s="682"/>
      <c r="U2677" s="682"/>
      <c r="V2677" s="682"/>
      <c r="W2677" s="682"/>
    </row>
    <row r="2678" spans="1:23">
      <c r="A2678" s="1045">
        <f t="shared" si="42"/>
        <v>8</v>
      </c>
      <c r="B2678" s="134">
        <v>45509</v>
      </c>
      <c r="C2678" s="70">
        <v>1017</v>
      </c>
      <c r="D2678" s="70" t="s">
        <v>5118</v>
      </c>
      <c r="E2678" s="280" t="s">
        <v>4505</v>
      </c>
      <c r="F2678" s="1049"/>
      <c r="G2678" s="1049">
        <v>30.45</v>
      </c>
      <c r="H2678" s="564"/>
      <c r="I2678" s="609"/>
      <c r="J2678" s="1155"/>
      <c r="K2678" s="609"/>
      <c r="L2678" s="609"/>
      <c r="M2678" s="609"/>
      <c r="N2678" s="599"/>
      <c r="O2678" s="552" t="s">
        <v>1584</v>
      </c>
      <c r="P2678" s="603"/>
      <c r="Q2678" s="682"/>
      <c r="R2678" s="682"/>
      <c r="S2678" s="682"/>
      <c r="T2678" s="682"/>
      <c r="U2678" s="682"/>
      <c r="V2678" s="682"/>
      <c r="W2678" s="682"/>
    </row>
    <row r="2679" spans="1:23">
      <c r="A2679" s="1045">
        <f t="shared" si="42"/>
        <v>8</v>
      </c>
      <c r="B2679" s="134">
        <v>45509</v>
      </c>
      <c r="C2679" s="70">
        <v>1017</v>
      </c>
      <c r="D2679" s="70" t="s">
        <v>5118</v>
      </c>
      <c r="E2679" s="280" t="s">
        <v>4506</v>
      </c>
      <c r="F2679" s="1049"/>
      <c r="G2679" s="1049">
        <v>84</v>
      </c>
      <c r="H2679" s="564"/>
      <c r="I2679" s="609"/>
      <c r="J2679" s="1155"/>
      <c r="K2679" s="609"/>
      <c r="L2679" s="609"/>
      <c r="M2679" s="609"/>
      <c r="N2679" s="599"/>
      <c r="O2679" s="552" t="s">
        <v>1584</v>
      </c>
      <c r="P2679" s="603"/>
      <c r="Q2679" s="682"/>
      <c r="R2679" s="682"/>
      <c r="S2679" s="682"/>
      <c r="T2679" s="682"/>
      <c r="U2679" s="682"/>
      <c r="V2679" s="682"/>
      <c r="W2679" s="682"/>
    </row>
    <row r="2680" spans="1:23">
      <c r="A2680" s="1045">
        <f t="shared" si="42"/>
        <v>8</v>
      </c>
      <c r="B2680" s="134">
        <v>45509</v>
      </c>
      <c r="C2680" s="70">
        <v>1017</v>
      </c>
      <c r="D2680" s="70" t="s">
        <v>5118</v>
      </c>
      <c r="E2680" s="280" t="s">
        <v>4507</v>
      </c>
      <c r="F2680" s="1049"/>
      <c r="G2680" s="1049">
        <v>3990</v>
      </c>
      <c r="H2680" s="564"/>
      <c r="I2680" s="609"/>
      <c r="J2680" s="1155"/>
      <c r="K2680" s="609"/>
      <c r="L2680" s="609"/>
      <c r="M2680" s="609"/>
      <c r="N2680" s="599"/>
      <c r="O2680" s="552" t="s">
        <v>1584</v>
      </c>
      <c r="P2680" s="603"/>
      <c r="Q2680" s="682"/>
      <c r="R2680" s="682"/>
      <c r="S2680" s="682"/>
      <c r="T2680" s="682"/>
      <c r="U2680" s="682"/>
      <c r="V2680" s="682"/>
      <c r="W2680" s="682"/>
    </row>
    <row r="2681" spans="1:23">
      <c r="A2681" s="1045">
        <f t="shared" si="42"/>
        <v>8</v>
      </c>
      <c r="B2681" s="134">
        <v>45509</v>
      </c>
      <c r="C2681" s="70">
        <v>1017</v>
      </c>
      <c r="D2681" s="70" t="s">
        <v>5118</v>
      </c>
      <c r="E2681" s="280" t="s">
        <v>4508</v>
      </c>
      <c r="F2681" s="1049"/>
      <c r="G2681" s="1049">
        <v>1197</v>
      </c>
      <c r="H2681" s="564"/>
      <c r="I2681" s="609"/>
      <c r="J2681" s="1155"/>
      <c r="K2681" s="609"/>
      <c r="L2681" s="609"/>
      <c r="M2681" s="609"/>
      <c r="N2681" s="599"/>
      <c r="O2681" s="552" t="s">
        <v>1584</v>
      </c>
      <c r="P2681" s="603"/>
      <c r="Q2681" s="682"/>
      <c r="R2681" s="682"/>
      <c r="S2681" s="682"/>
      <c r="T2681" s="682"/>
      <c r="U2681" s="682"/>
      <c r="V2681" s="682"/>
      <c r="W2681" s="682"/>
    </row>
    <row r="2682" spans="1:23">
      <c r="A2682" s="1045">
        <f t="shared" si="42"/>
        <v>8</v>
      </c>
      <c r="B2682" s="134">
        <v>45509</v>
      </c>
      <c r="C2682" s="70">
        <v>1017</v>
      </c>
      <c r="D2682" s="70" t="s">
        <v>5118</v>
      </c>
      <c r="E2682" s="280" t="s">
        <v>4509</v>
      </c>
      <c r="F2682" s="1049"/>
      <c r="G2682" s="1049">
        <v>798</v>
      </c>
      <c r="H2682" s="564"/>
      <c r="I2682" s="609"/>
      <c r="J2682" s="1155"/>
      <c r="K2682" s="609"/>
      <c r="L2682" s="609"/>
      <c r="M2682" s="609"/>
      <c r="N2682" s="599"/>
      <c r="O2682" s="552" t="s">
        <v>1584</v>
      </c>
      <c r="P2682" s="603"/>
      <c r="Q2682" s="682"/>
      <c r="R2682" s="682"/>
      <c r="S2682" s="682"/>
      <c r="T2682" s="682"/>
      <c r="U2682" s="682"/>
      <c r="V2682" s="682"/>
      <c r="W2682" s="682"/>
    </row>
    <row r="2683" spans="1:23">
      <c r="A2683" s="1045">
        <f t="shared" si="42"/>
        <v>8</v>
      </c>
      <c r="B2683" s="134">
        <v>45509</v>
      </c>
      <c r="C2683" s="70">
        <v>1017</v>
      </c>
      <c r="D2683" s="70" t="s">
        <v>5118</v>
      </c>
      <c r="E2683" s="280" t="s">
        <v>4510</v>
      </c>
      <c r="F2683" s="1049"/>
      <c r="G2683" s="1049">
        <v>11.42</v>
      </c>
      <c r="H2683" s="564"/>
      <c r="I2683" s="609"/>
      <c r="J2683" s="1155"/>
      <c r="K2683" s="609"/>
      <c r="L2683" s="609"/>
      <c r="M2683" s="609"/>
      <c r="N2683" s="599"/>
      <c r="O2683" s="552" t="s">
        <v>1584</v>
      </c>
      <c r="P2683" s="603"/>
      <c r="Q2683" s="682"/>
      <c r="R2683" s="682"/>
      <c r="S2683" s="682"/>
      <c r="T2683" s="682"/>
      <c r="U2683" s="682"/>
      <c r="V2683" s="682"/>
      <c r="W2683" s="682"/>
    </row>
    <row r="2684" spans="1:23">
      <c r="A2684" s="1045">
        <f t="shared" si="42"/>
        <v>8</v>
      </c>
      <c r="B2684" s="134">
        <v>45509</v>
      </c>
      <c r="C2684" s="70">
        <v>1017</v>
      </c>
      <c r="D2684" s="70" t="s">
        <v>5118</v>
      </c>
      <c r="E2684" s="280" t="s">
        <v>4511</v>
      </c>
      <c r="F2684" s="1049"/>
      <c r="G2684" s="1049">
        <v>65.75</v>
      </c>
      <c r="H2684" s="564"/>
      <c r="I2684" s="609"/>
      <c r="J2684" s="1155"/>
      <c r="K2684" s="609"/>
      <c r="L2684" s="609"/>
      <c r="M2684" s="609"/>
      <c r="N2684" s="599"/>
      <c r="O2684" s="552" t="s">
        <v>1584</v>
      </c>
      <c r="P2684" s="603"/>
      <c r="Q2684" s="682"/>
      <c r="R2684" s="682"/>
      <c r="S2684" s="682"/>
      <c r="T2684" s="682"/>
      <c r="U2684" s="682"/>
      <c r="V2684" s="682"/>
      <c r="W2684" s="682"/>
    </row>
    <row r="2685" spans="1:23">
      <c r="A2685" s="1045">
        <f t="shared" si="42"/>
        <v>8</v>
      </c>
      <c r="B2685" s="134">
        <v>45510</v>
      </c>
      <c r="C2685" s="70">
        <v>1017</v>
      </c>
      <c r="D2685" s="70" t="s">
        <v>5118</v>
      </c>
      <c r="E2685" s="280" t="s">
        <v>4512</v>
      </c>
      <c r="F2685" s="1049"/>
      <c r="G2685" s="1049">
        <v>100.8</v>
      </c>
      <c r="H2685" s="564"/>
      <c r="I2685" s="609"/>
      <c r="J2685" s="1155"/>
      <c r="K2685" s="609"/>
      <c r="L2685" s="609"/>
      <c r="M2685" s="609"/>
      <c r="N2685" s="599"/>
      <c r="O2685" s="552" t="s">
        <v>1584</v>
      </c>
      <c r="P2685" s="603"/>
      <c r="Q2685" s="682"/>
      <c r="R2685" s="682"/>
      <c r="S2685" s="682"/>
      <c r="T2685" s="682"/>
      <c r="U2685" s="682"/>
      <c r="V2685" s="682"/>
      <c r="W2685" s="682"/>
    </row>
    <row r="2686" spans="1:23">
      <c r="A2686" s="1045">
        <f t="shared" si="42"/>
        <v>8</v>
      </c>
      <c r="B2686" s="134">
        <v>45510</v>
      </c>
      <c r="C2686" s="70">
        <v>1017</v>
      </c>
      <c r="D2686" s="70" t="s">
        <v>5118</v>
      </c>
      <c r="E2686" s="280" t="s">
        <v>4513</v>
      </c>
      <c r="F2686" s="1049"/>
      <c r="G2686" s="1049">
        <v>12.6</v>
      </c>
      <c r="H2686" s="564"/>
      <c r="I2686" s="609"/>
      <c r="J2686" s="1155"/>
      <c r="K2686" s="609"/>
      <c r="L2686" s="609"/>
      <c r="M2686" s="609"/>
      <c r="N2686" s="599"/>
      <c r="O2686" s="552" t="s">
        <v>1584</v>
      </c>
      <c r="P2686" s="603"/>
      <c r="Q2686" s="682"/>
      <c r="R2686" s="682"/>
      <c r="S2686" s="682"/>
      <c r="T2686" s="682"/>
      <c r="U2686" s="682"/>
      <c r="V2686" s="682"/>
      <c r="W2686" s="682"/>
    </row>
    <row r="2687" spans="1:23">
      <c r="A2687" s="1045">
        <f t="shared" si="42"/>
        <v>8</v>
      </c>
      <c r="B2687" s="134">
        <v>45510</v>
      </c>
      <c r="C2687" s="70">
        <v>1017</v>
      </c>
      <c r="D2687" s="70" t="s">
        <v>5118</v>
      </c>
      <c r="E2687" s="280" t="s">
        <v>4514</v>
      </c>
      <c r="F2687" s="1049"/>
      <c r="G2687" s="1049">
        <v>813.49</v>
      </c>
      <c r="H2687" s="564"/>
      <c r="I2687" s="609"/>
      <c r="J2687" s="1155"/>
      <c r="K2687" s="609"/>
      <c r="L2687" s="609"/>
      <c r="M2687" s="609"/>
      <c r="N2687" s="599"/>
      <c r="O2687" s="552" t="s">
        <v>1584</v>
      </c>
      <c r="P2687" s="603"/>
      <c r="Q2687" s="682"/>
      <c r="R2687" s="682"/>
      <c r="S2687" s="682"/>
      <c r="T2687" s="682"/>
      <c r="U2687" s="682"/>
      <c r="V2687" s="682"/>
      <c r="W2687" s="682"/>
    </row>
    <row r="2688" spans="1:23">
      <c r="A2688" s="1045">
        <f t="shared" si="42"/>
        <v>8</v>
      </c>
      <c r="B2688" s="134">
        <v>45510</v>
      </c>
      <c r="C2688" s="70">
        <v>1017</v>
      </c>
      <c r="D2688" s="70" t="s">
        <v>5118</v>
      </c>
      <c r="E2688" s="280" t="s">
        <v>4515</v>
      </c>
      <c r="F2688" s="1049"/>
      <c r="G2688" s="1049">
        <v>105</v>
      </c>
      <c r="H2688" s="564"/>
      <c r="I2688" s="609"/>
      <c r="J2688" s="1155"/>
      <c r="K2688" s="609"/>
      <c r="L2688" s="609"/>
      <c r="M2688" s="609"/>
      <c r="N2688" s="599"/>
      <c r="O2688" s="552" t="s">
        <v>1584</v>
      </c>
      <c r="P2688" s="603"/>
      <c r="Q2688" s="682"/>
      <c r="R2688" s="682"/>
      <c r="S2688" s="682"/>
      <c r="T2688" s="682"/>
      <c r="U2688" s="682"/>
      <c r="V2688" s="682"/>
      <c r="W2688" s="682"/>
    </row>
    <row r="2689" spans="1:23">
      <c r="A2689" s="1045">
        <f t="shared" si="42"/>
        <v>8</v>
      </c>
      <c r="B2689" s="134">
        <v>45510</v>
      </c>
      <c r="C2689" s="70">
        <v>1017</v>
      </c>
      <c r="D2689" s="70" t="s">
        <v>5118</v>
      </c>
      <c r="E2689" s="280" t="s">
        <v>4516</v>
      </c>
      <c r="F2689" s="1049"/>
      <c r="G2689" s="1049">
        <v>311.05</v>
      </c>
      <c r="H2689" s="564"/>
      <c r="I2689" s="609"/>
      <c r="J2689" s="1155"/>
      <c r="K2689" s="609"/>
      <c r="L2689" s="609"/>
      <c r="M2689" s="609"/>
      <c r="N2689" s="599"/>
      <c r="O2689" s="552" t="s">
        <v>1584</v>
      </c>
      <c r="P2689" s="603"/>
      <c r="Q2689" s="682"/>
      <c r="R2689" s="682"/>
      <c r="S2689" s="682"/>
      <c r="T2689" s="682"/>
      <c r="U2689" s="682"/>
      <c r="V2689" s="682"/>
      <c r="W2689" s="682"/>
    </row>
    <row r="2690" spans="1:23">
      <c r="A2690" s="1045">
        <f t="shared" si="42"/>
        <v>8</v>
      </c>
      <c r="B2690" s="134">
        <v>45510</v>
      </c>
      <c r="C2690" s="70">
        <v>1017</v>
      </c>
      <c r="D2690" s="70" t="s">
        <v>5118</v>
      </c>
      <c r="E2690" s="280" t="s">
        <v>4517</v>
      </c>
      <c r="F2690" s="1049"/>
      <c r="G2690" s="1049">
        <v>228.38</v>
      </c>
      <c r="H2690" s="564"/>
      <c r="I2690" s="609"/>
      <c r="J2690" s="1155"/>
      <c r="K2690" s="609"/>
      <c r="L2690" s="609"/>
      <c r="M2690" s="609"/>
      <c r="N2690" s="599"/>
      <c r="O2690" s="552" t="s">
        <v>1584</v>
      </c>
      <c r="P2690" s="603"/>
      <c r="Q2690" s="682"/>
      <c r="R2690" s="682"/>
      <c r="S2690" s="682"/>
      <c r="T2690" s="682"/>
      <c r="U2690" s="682"/>
      <c r="V2690" s="682"/>
      <c r="W2690" s="682"/>
    </row>
    <row r="2691" spans="1:23">
      <c r="A2691" s="1045">
        <f t="shared" si="42"/>
        <v>8</v>
      </c>
      <c r="B2691" s="134">
        <v>45510</v>
      </c>
      <c r="C2691" s="70">
        <v>1017</v>
      </c>
      <c r="D2691" s="70" t="s">
        <v>5118</v>
      </c>
      <c r="E2691" s="280" t="s">
        <v>4518</v>
      </c>
      <c r="F2691" s="1049"/>
      <c r="G2691" s="1049">
        <v>37.590000000000003</v>
      </c>
      <c r="H2691" s="564"/>
      <c r="I2691" s="609"/>
      <c r="J2691" s="1155"/>
      <c r="K2691" s="609"/>
      <c r="L2691" s="609"/>
      <c r="M2691" s="609"/>
      <c r="N2691" s="599"/>
      <c r="O2691" s="552" t="s">
        <v>1584</v>
      </c>
      <c r="P2691" s="603"/>
      <c r="Q2691" s="682"/>
      <c r="R2691" s="682"/>
      <c r="S2691" s="682"/>
      <c r="T2691" s="682"/>
      <c r="U2691" s="682"/>
      <c r="V2691" s="682"/>
      <c r="W2691" s="682"/>
    </row>
    <row r="2692" spans="1:23">
      <c r="A2692" s="1045">
        <f t="shared" si="42"/>
        <v>8</v>
      </c>
      <c r="B2692" s="134">
        <v>45511</v>
      </c>
      <c r="C2692" s="70">
        <v>1017</v>
      </c>
      <c r="D2692" s="70" t="s">
        <v>5118</v>
      </c>
      <c r="E2692" s="280" t="s">
        <v>4519</v>
      </c>
      <c r="F2692" s="1049"/>
      <c r="G2692" s="1049">
        <v>8.8000000000000007</v>
      </c>
      <c r="H2692" s="564"/>
      <c r="I2692" s="609"/>
      <c r="J2692" s="1155"/>
      <c r="K2692" s="609"/>
      <c r="L2692" s="609"/>
      <c r="M2692" s="609"/>
      <c r="N2692" s="599"/>
      <c r="O2692" s="552" t="s">
        <v>1584</v>
      </c>
      <c r="P2692" s="603"/>
      <c r="Q2692" s="682"/>
      <c r="R2692" s="682"/>
      <c r="S2692" s="682"/>
      <c r="T2692" s="682"/>
      <c r="U2692" s="682"/>
      <c r="V2692" s="682"/>
      <c r="W2692" s="682"/>
    </row>
    <row r="2693" spans="1:23">
      <c r="A2693" s="1045">
        <f t="shared" si="42"/>
        <v>8</v>
      </c>
      <c r="B2693" s="134">
        <v>45511</v>
      </c>
      <c r="C2693" s="70">
        <v>1017</v>
      </c>
      <c r="D2693" s="70" t="s">
        <v>5118</v>
      </c>
      <c r="E2693" s="280" t="s">
        <v>4520</v>
      </c>
      <c r="F2693" s="1049"/>
      <c r="G2693" s="1049">
        <v>31.5</v>
      </c>
      <c r="H2693" s="564"/>
      <c r="I2693" s="609"/>
      <c r="J2693" s="1155"/>
      <c r="K2693" s="609"/>
      <c r="L2693" s="609"/>
      <c r="M2693" s="609"/>
      <c r="N2693" s="599"/>
      <c r="O2693" s="552" t="s">
        <v>1584</v>
      </c>
      <c r="P2693" s="603"/>
      <c r="Q2693" s="682"/>
      <c r="R2693" s="682"/>
      <c r="S2693" s="682"/>
      <c r="T2693" s="682"/>
      <c r="U2693" s="682"/>
      <c r="V2693" s="682"/>
      <c r="W2693" s="682"/>
    </row>
    <row r="2694" spans="1:23">
      <c r="A2694" s="1045">
        <f t="shared" si="42"/>
        <v>8</v>
      </c>
      <c r="B2694" s="134">
        <v>45511</v>
      </c>
      <c r="C2694" s="70">
        <v>1017</v>
      </c>
      <c r="D2694" s="70" t="s">
        <v>5118</v>
      </c>
      <c r="E2694" s="280" t="s">
        <v>4521</v>
      </c>
      <c r="F2694" s="1049"/>
      <c r="G2694" s="1049">
        <v>304.5</v>
      </c>
      <c r="H2694" s="564"/>
      <c r="I2694" s="609"/>
      <c r="J2694" s="1155"/>
      <c r="K2694" s="609"/>
      <c r="L2694" s="609"/>
      <c r="M2694" s="609"/>
      <c r="N2694" s="599"/>
      <c r="O2694" s="552" t="s">
        <v>1584</v>
      </c>
      <c r="P2694" s="603"/>
      <c r="Q2694" s="682"/>
      <c r="R2694" s="682"/>
      <c r="S2694" s="682"/>
      <c r="T2694" s="682"/>
      <c r="U2694" s="682"/>
      <c r="V2694" s="682"/>
      <c r="W2694" s="682"/>
    </row>
    <row r="2695" spans="1:23">
      <c r="A2695" s="1045">
        <f t="shared" si="42"/>
        <v>8</v>
      </c>
      <c r="B2695" s="134">
        <v>45511</v>
      </c>
      <c r="C2695" s="70">
        <v>1017</v>
      </c>
      <c r="D2695" s="70" t="s">
        <v>5118</v>
      </c>
      <c r="E2695" s="280" t="s">
        <v>4522</v>
      </c>
      <c r="F2695" s="1049"/>
      <c r="G2695" s="1049">
        <v>15.75</v>
      </c>
      <c r="H2695" s="564"/>
      <c r="I2695" s="609"/>
      <c r="J2695" s="1155"/>
      <c r="K2695" s="609"/>
      <c r="L2695" s="609"/>
      <c r="M2695" s="609"/>
      <c r="N2695" s="599"/>
      <c r="O2695" s="552" t="s">
        <v>1584</v>
      </c>
      <c r="P2695" s="603"/>
      <c r="Q2695" s="682"/>
      <c r="R2695" s="682"/>
      <c r="S2695" s="682"/>
      <c r="T2695" s="682"/>
      <c r="U2695" s="682"/>
      <c r="V2695" s="682"/>
      <c r="W2695" s="682"/>
    </row>
    <row r="2696" spans="1:23">
      <c r="A2696" s="1045">
        <f t="shared" si="42"/>
        <v>8</v>
      </c>
      <c r="B2696" s="134">
        <v>45511</v>
      </c>
      <c r="C2696" s="70">
        <v>1017</v>
      </c>
      <c r="D2696" s="70" t="s">
        <v>5118</v>
      </c>
      <c r="E2696" s="280" t="s">
        <v>4523</v>
      </c>
      <c r="F2696" s="1049"/>
      <c r="G2696" s="1049">
        <v>40.03</v>
      </c>
      <c r="H2696" s="564"/>
      <c r="I2696" s="609"/>
      <c r="J2696" s="1155"/>
      <c r="K2696" s="609"/>
      <c r="L2696" s="609"/>
      <c r="M2696" s="609"/>
      <c r="N2696" s="599"/>
      <c r="O2696" s="552" t="s">
        <v>1584</v>
      </c>
      <c r="P2696" s="603"/>
      <c r="Q2696" s="682"/>
      <c r="R2696" s="682"/>
      <c r="S2696" s="682"/>
      <c r="T2696" s="682"/>
      <c r="U2696" s="682"/>
      <c r="V2696" s="682"/>
      <c r="W2696" s="682"/>
    </row>
    <row r="2697" spans="1:23">
      <c r="A2697" s="1045">
        <f t="shared" si="42"/>
        <v>8</v>
      </c>
      <c r="B2697" s="134">
        <v>45511</v>
      </c>
      <c r="C2697" s="70">
        <v>1017</v>
      </c>
      <c r="D2697" s="70" t="s">
        <v>5118</v>
      </c>
      <c r="E2697" s="280" t="s">
        <v>4524</v>
      </c>
      <c r="F2697" s="1049"/>
      <c r="G2697" s="1049">
        <v>140.99</v>
      </c>
      <c r="H2697" s="564"/>
      <c r="I2697" s="609"/>
      <c r="J2697" s="1155"/>
      <c r="K2697" s="609"/>
      <c r="L2697" s="609"/>
      <c r="M2697" s="609"/>
      <c r="N2697" s="599"/>
      <c r="O2697" s="552" t="s">
        <v>1584</v>
      </c>
      <c r="P2697" s="603"/>
      <c r="Q2697" s="682"/>
      <c r="R2697" s="682"/>
      <c r="S2697" s="682"/>
      <c r="T2697" s="682"/>
      <c r="U2697" s="682"/>
      <c r="V2697" s="682"/>
      <c r="W2697" s="682"/>
    </row>
    <row r="2698" spans="1:23">
      <c r="A2698" s="1045">
        <f t="shared" si="42"/>
        <v>8</v>
      </c>
      <c r="B2698" s="134">
        <v>45511</v>
      </c>
      <c r="C2698" s="70">
        <v>1017</v>
      </c>
      <c r="D2698" s="70" t="s">
        <v>5118</v>
      </c>
      <c r="E2698" s="280" t="s">
        <v>4525</v>
      </c>
      <c r="F2698" s="1049"/>
      <c r="G2698" s="1049">
        <v>120</v>
      </c>
      <c r="H2698" s="564"/>
      <c r="I2698" s="609"/>
      <c r="J2698" s="1155"/>
      <c r="K2698" s="609"/>
      <c r="L2698" s="609"/>
      <c r="M2698" s="609"/>
      <c r="N2698" s="599"/>
      <c r="O2698" s="552" t="s">
        <v>1584</v>
      </c>
      <c r="P2698" s="603"/>
      <c r="Q2698" s="682"/>
      <c r="R2698" s="682"/>
      <c r="S2698" s="682"/>
      <c r="T2698" s="682"/>
      <c r="U2698" s="682"/>
      <c r="V2698" s="682"/>
      <c r="W2698" s="682"/>
    </row>
    <row r="2699" spans="1:23">
      <c r="A2699" s="1045">
        <f t="shared" si="42"/>
        <v>8</v>
      </c>
      <c r="B2699" s="134">
        <v>45511</v>
      </c>
      <c r="C2699" s="70">
        <v>1017</v>
      </c>
      <c r="D2699" s="70" t="s">
        <v>5118</v>
      </c>
      <c r="E2699" s="280" t="s">
        <v>4526</v>
      </c>
      <c r="F2699" s="1049"/>
      <c r="G2699" s="1049">
        <v>15</v>
      </c>
      <c r="H2699" s="564"/>
      <c r="I2699" s="609"/>
      <c r="J2699" s="1155"/>
      <c r="K2699" s="609"/>
      <c r="L2699" s="609"/>
      <c r="M2699" s="609"/>
      <c r="N2699" s="599"/>
      <c r="O2699" s="552" t="s">
        <v>1584</v>
      </c>
      <c r="P2699" s="603"/>
      <c r="Q2699" s="682"/>
      <c r="R2699" s="682"/>
      <c r="S2699" s="682"/>
      <c r="T2699" s="682"/>
      <c r="U2699" s="682"/>
      <c r="V2699" s="682"/>
      <c r="W2699" s="682"/>
    </row>
    <row r="2700" spans="1:23">
      <c r="A2700" s="1045">
        <f t="shared" si="42"/>
        <v>8</v>
      </c>
      <c r="B2700" s="134">
        <v>45511</v>
      </c>
      <c r="C2700" s="70">
        <v>1017</v>
      </c>
      <c r="D2700" s="70" t="s">
        <v>5118</v>
      </c>
      <c r="E2700" s="280" t="s">
        <v>4527</v>
      </c>
      <c r="F2700" s="1049"/>
      <c r="G2700" s="1049">
        <v>19.82</v>
      </c>
      <c r="H2700" s="564"/>
      <c r="I2700" s="609"/>
      <c r="J2700" s="1155"/>
      <c r="K2700" s="609"/>
      <c r="L2700" s="609"/>
      <c r="M2700" s="609"/>
      <c r="N2700" s="599"/>
      <c r="O2700" s="552" t="s">
        <v>1584</v>
      </c>
      <c r="P2700" s="603"/>
      <c r="Q2700" s="682"/>
      <c r="R2700" s="682"/>
      <c r="S2700" s="682"/>
      <c r="T2700" s="682"/>
      <c r="U2700" s="682"/>
      <c r="V2700" s="682"/>
      <c r="W2700" s="682"/>
    </row>
    <row r="2701" spans="1:23">
      <c r="A2701" s="1045">
        <f t="shared" si="42"/>
        <v>8</v>
      </c>
      <c r="B2701" s="134">
        <v>45512</v>
      </c>
      <c r="C2701" s="70">
        <v>1017</v>
      </c>
      <c r="D2701" s="70" t="s">
        <v>5118</v>
      </c>
      <c r="E2701" s="280" t="s">
        <v>4528</v>
      </c>
      <c r="F2701" s="1049"/>
      <c r="G2701" s="1049">
        <v>178</v>
      </c>
      <c r="H2701" s="564"/>
      <c r="I2701" s="609"/>
      <c r="J2701" s="1155"/>
      <c r="K2701" s="609"/>
      <c r="L2701" s="609"/>
      <c r="M2701" s="609"/>
      <c r="N2701" s="599"/>
      <c r="O2701" s="552" t="s">
        <v>1584</v>
      </c>
      <c r="P2701" s="603"/>
      <c r="Q2701" s="682"/>
      <c r="R2701" s="682"/>
      <c r="S2701" s="682"/>
      <c r="T2701" s="682"/>
      <c r="U2701" s="682"/>
      <c r="V2701" s="682"/>
      <c r="W2701" s="682"/>
    </row>
    <row r="2702" spans="1:23">
      <c r="A2702" s="1045">
        <f t="shared" si="42"/>
        <v>8</v>
      </c>
      <c r="B2702" s="134">
        <v>45512</v>
      </c>
      <c r="C2702" s="70">
        <v>1017</v>
      </c>
      <c r="D2702" s="70" t="s">
        <v>5118</v>
      </c>
      <c r="E2702" s="280" t="s">
        <v>4529</v>
      </c>
      <c r="F2702" s="1049"/>
      <c r="G2702" s="1049">
        <v>1092</v>
      </c>
      <c r="H2702" s="564"/>
      <c r="I2702" s="609"/>
      <c r="J2702" s="1155"/>
      <c r="K2702" s="609"/>
      <c r="L2702" s="609"/>
      <c r="M2702" s="609"/>
      <c r="N2702" s="599"/>
      <c r="O2702" s="552" t="s">
        <v>1584</v>
      </c>
      <c r="P2702" s="603"/>
      <c r="Q2702" s="682"/>
      <c r="R2702" s="682"/>
      <c r="S2702" s="682"/>
      <c r="T2702" s="682"/>
      <c r="U2702" s="682"/>
      <c r="V2702" s="682"/>
      <c r="W2702" s="682"/>
    </row>
    <row r="2703" spans="1:23">
      <c r="A2703" s="1045">
        <f t="shared" si="42"/>
        <v>8</v>
      </c>
      <c r="B2703" s="134">
        <v>45512</v>
      </c>
      <c r="C2703" s="70">
        <v>1017</v>
      </c>
      <c r="D2703" s="70" t="s">
        <v>5118</v>
      </c>
      <c r="E2703" s="280" t="s">
        <v>4530</v>
      </c>
      <c r="F2703" s="1049"/>
      <c r="G2703" s="1049">
        <v>36.75</v>
      </c>
      <c r="H2703" s="564"/>
      <c r="I2703" s="609"/>
      <c r="J2703" s="1155"/>
      <c r="K2703" s="609"/>
      <c r="L2703" s="609"/>
      <c r="M2703" s="609"/>
      <c r="N2703" s="599"/>
      <c r="O2703" s="552" t="s">
        <v>1584</v>
      </c>
      <c r="P2703" s="603"/>
      <c r="Q2703" s="682"/>
      <c r="R2703" s="682"/>
      <c r="S2703" s="682"/>
      <c r="T2703" s="682"/>
      <c r="U2703" s="682"/>
      <c r="V2703" s="682"/>
      <c r="W2703" s="682"/>
    </row>
    <row r="2704" spans="1:23">
      <c r="A2704" s="1045">
        <f t="shared" si="42"/>
        <v>8</v>
      </c>
      <c r="B2704" s="134">
        <v>45512</v>
      </c>
      <c r="C2704" s="70">
        <v>1017</v>
      </c>
      <c r="D2704" s="70" t="s">
        <v>5118</v>
      </c>
      <c r="E2704" s="280" t="s">
        <v>4531</v>
      </c>
      <c r="F2704" s="1049"/>
      <c r="G2704" s="1049">
        <v>35</v>
      </c>
      <c r="H2704" s="564"/>
      <c r="I2704" s="609"/>
      <c r="J2704" s="1155"/>
      <c r="K2704" s="609"/>
      <c r="L2704" s="609"/>
      <c r="M2704" s="609"/>
      <c r="N2704" s="599"/>
      <c r="O2704" s="552" t="s">
        <v>1584</v>
      </c>
      <c r="P2704" s="603"/>
      <c r="Q2704" s="682"/>
      <c r="R2704" s="682"/>
      <c r="S2704" s="682"/>
      <c r="T2704" s="682"/>
      <c r="U2704" s="682"/>
      <c r="V2704" s="682"/>
      <c r="W2704" s="682"/>
    </row>
    <row r="2705" spans="1:23">
      <c r="A2705" s="1045">
        <f t="shared" si="42"/>
        <v>8</v>
      </c>
      <c r="B2705" s="134">
        <v>45512</v>
      </c>
      <c r="C2705" s="70">
        <v>1017</v>
      </c>
      <c r="D2705" s="70" t="s">
        <v>5118</v>
      </c>
      <c r="E2705" s="280" t="s">
        <v>4532</v>
      </c>
      <c r="F2705" s="1049"/>
      <c r="G2705" s="1049">
        <v>20</v>
      </c>
      <c r="H2705" s="564"/>
      <c r="I2705" s="609"/>
      <c r="J2705" s="1155"/>
      <c r="K2705" s="609"/>
      <c r="L2705" s="609"/>
      <c r="M2705" s="609"/>
      <c r="N2705" s="599"/>
      <c r="O2705" s="552" t="s">
        <v>1584</v>
      </c>
      <c r="P2705" s="603"/>
      <c r="Q2705" s="682"/>
      <c r="R2705" s="682"/>
      <c r="S2705" s="682"/>
      <c r="T2705" s="682"/>
      <c r="U2705" s="682"/>
      <c r="V2705" s="682"/>
      <c r="W2705" s="682"/>
    </row>
    <row r="2706" spans="1:23">
      <c r="A2706" s="1045">
        <f t="shared" si="42"/>
        <v>8</v>
      </c>
      <c r="B2706" s="134">
        <v>45513</v>
      </c>
      <c r="C2706" s="70">
        <v>1017</v>
      </c>
      <c r="D2706" s="70" t="s">
        <v>5118</v>
      </c>
      <c r="E2706" s="280" t="s">
        <v>4533</v>
      </c>
      <c r="F2706" s="1049"/>
      <c r="G2706" s="1049">
        <v>42</v>
      </c>
      <c r="H2706" s="564"/>
      <c r="I2706" s="609"/>
      <c r="J2706" s="1155"/>
      <c r="K2706" s="609"/>
      <c r="L2706" s="609"/>
      <c r="M2706" s="609"/>
      <c r="N2706" s="599"/>
      <c r="O2706" s="552" t="s">
        <v>1584</v>
      </c>
      <c r="P2706" s="603"/>
      <c r="Q2706" s="682"/>
      <c r="R2706" s="682"/>
      <c r="S2706" s="682"/>
      <c r="T2706" s="682"/>
      <c r="U2706" s="682"/>
      <c r="V2706" s="682"/>
      <c r="W2706" s="682"/>
    </row>
    <row r="2707" spans="1:23">
      <c r="A2707" s="1045">
        <f t="shared" si="42"/>
        <v>8</v>
      </c>
      <c r="B2707" s="134">
        <v>45513</v>
      </c>
      <c r="C2707" s="70">
        <v>1017</v>
      </c>
      <c r="D2707" s="70" t="s">
        <v>5118</v>
      </c>
      <c r="E2707" s="280" t="s">
        <v>4534</v>
      </c>
      <c r="F2707" s="1049"/>
      <c r="G2707" s="1049">
        <v>357</v>
      </c>
      <c r="H2707" s="564"/>
      <c r="I2707" s="609"/>
      <c r="J2707" s="1155"/>
      <c r="K2707" s="609"/>
      <c r="L2707" s="609"/>
      <c r="M2707" s="609"/>
      <c r="N2707" s="599"/>
      <c r="O2707" s="552" t="s">
        <v>1584</v>
      </c>
      <c r="P2707" s="603"/>
      <c r="Q2707" s="682"/>
      <c r="R2707" s="682"/>
      <c r="S2707" s="682"/>
      <c r="T2707" s="682"/>
      <c r="U2707" s="682"/>
      <c r="V2707" s="682"/>
      <c r="W2707" s="682"/>
    </row>
    <row r="2708" spans="1:23">
      <c r="A2708" s="1045">
        <f t="shared" si="42"/>
        <v>8</v>
      </c>
      <c r="B2708" s="134">
        <v>45513</v>
      </c>
      <c r="C2708" s="70">
        <v>1017</v>
      </c>
      <c r="D2708" s="70" t="s">
        <v>5118</v>
      </c>
      <c r="E2708" s="280" t="s">
        <v>4535</v>
      </c>
      <c r="F2708" s="1049"/>
      <c r="G2708" s="1049">
        <v>113.4</v>
      </c>
      <c r="H2708" s="564"/>
      <c r="I2708" s="609"/>
      <c r="J2708" s="1155"/>
      <c r="K2708" s="609"/>
      <c r="L2708" s="609"/>
      <c r="M2708" s="609"/>
      <c r="N2708" s="599"/>
      <c r="O2708" s="552" t="s">
        <v>1584</v>
      </c>
      <c r="P2708" s="603"/>
      <c r="Q2708" s="682"/>
      <c r="R2708" s="682"/>
      <c r="S2708" s="682"/>
      <c r="T2708" s="682"/>
      <c r="U2708" s="682"/>
      <c r="V2708" s="682"/>
      <c r="W2708" s="682"/>
    </row>
    <row r="2709" spans="1:23">
      <c r="A2709" s="1045">
        <f t="shared" ref="A2709:A2772" si="43">IF(B2709="","",MONTH(B2709))</f>
        <v>8</v>
      </c>
      <c r="B2709" s="134">
        <v>45513</v>
      </c>
      <c r="C2709" s="70">
        <v>1017</v>
      </c>
      <c r="D2709" s="70" t="s">
        <v>5118</v>
      </c>
      <c r="E2709" s="280" t="s">
        <v>4536</v>
      </c>
      <c r="F2709" s="1049"/>
      <c r="G2709" s="1049">
        <v>60.98</v>
      </c>
      <c r="H2709" s="564"/>
      <c r="I2709" s="609"/>
      <c r="J2709" s="1155"/>
      <c r="K2709" s="609"/>
      <c r="L2709" s="609"/>
      <c r="M2709" s="609"/>
      <c r="N2709" s="599"/>
      <c r="O2709" s="552" t="s">
        <v>1584</v>
      </c>
      <c r="P2709" s="603"/>
      <c r="Q2709" s="682"/>
      <c r="R2709" s="682"/>
      <c r="S2709" s="682"/>
      <c r="T2709" s="682"/>
      <c r="U2709" s="682"/>
      <c r="V2709" s="682"/>
      <c r="W2709" s="682"/>
    </row>
    <row r="2710" spans="1:23">
      <c r="A2710" s="1045">
        <f t="shared" si="43"/>
        <v>8</v>
      </c>
      <c r="B2710" s="134">
        <v>45513</v>
      </c>
      <c r="C2710" s="70">
        <v>1017</v>
      </c>
      <c r="D2710" s="70" t="s">
        <v>5118</v>
      </c>
      <c r="E2710" s="280" t="s">
        <v>4537</v>
      </c>
      <c r="F2710" s="1049"/>
      <c r="G2710" s="1049">
        <v>1339</v>
      </c>
      <c r="H2710" s="564"/>
      <c r="I2710" s="609"/>
      <c r="J2710" s="1155"/>
      <c r="K2710" s="609"/>
      <c r="L2710" s="609"/>
      <c r="M2710" s="609"/>
      <c r="N2710" s="599"/>
      <c r="O2710" s="552" t="s">
        <v>1584</v>
      </c>
      <c r="P2710" s="603"/>
      <c r="Q2710" s="682"/>
      <c r="R2710" s="682"/>
      <c r="S2710" s="682"/>
      <c r="T2710" s="682"/>
      <c r="U2710" s="682"/>
      <c r="V2710" s="682"/>
      <c r="W2710" s="682"/>
    </row>
    <row r="2711" spans="1:23">
      <c r="A2711" s="1045">
        <f t="shared" si="43"/>
        <v>8</v>
      </c>
      <c r="B2711" s="134">
        <v>45514</v>
      </c>
      <c r="C2711" s="70">
        <v>1017</v>
      </c>
      <c r="D2711" s="70" t="s">
        <v>5118</v>
      </c>
      <c r="E2711" s="280" t="s">
        <v>4538</v>
      </c>
      <c r="F2711" s="1049"/>
      <c r="G2711" s="1049">
        <v>344.94</v>
      </c>
      <c r="H2711" s="564"/>
      <c r="I2711" s="609"/>
      <c r="J2711" s="1155"/>
      <c r="K2711" s="609"/>
      <c r="L2711" s="609"/>
      <c r="M2711" s="609"/>
      <c r="N2711" s="599"/>
      <c r="O2711" s="552" t="s">
        <v>1584</v>
      </c>
      <c r="P2711" s="603"/>
      <c r="Q2711" s="682"/>
      <c r="R2711" s="682"/>
      <c r="S2711" s="682"/>
      <c r="T2711" s="682"/>
      <c r="U2711" s="682"/>
      <c r="V2711" s="682"/>
      <c r="W2711" s="682"/>
    </row>
    <row r="2712" spans="1:23">
      <c r="A2712" s="1045">
        <f t="shared" si="43"/>
        <v>8</v>
      </c>
      <c r="B2712" s="134">
        <v>45514</v>
      </c>
      <c r="C2712" s="70">
        <v>1017</v>
      </c>
      <c r="D2712" s="70" t="s">
        <v>5118</v>
      </c>
      <c r="E2712" s="280" t="s">
        <v>4539</v>
      </c>
      <c r="F2712" s="1049"/>
      <c r="G2712" s="1049">
        <v>378</v>
      </c>
      <c r="H2712" s="564"/>
      <c r="I2712" s="609"/>
      <c r="J2712" s="1155"/>
      <c r="K2712" s="609"/>
      <c r="L2712" s="609"/>
      <c r="M2712" s="609"/>
      <c r="N2712" s="599"/>
      <c r="O2712" s="552" t="s">
        <v>1584</v>
      </c>
      <c r="P2712" s="603"/>
      <c r="Q2712" s="682"/>
      <c r="R2712" s="682"/>
      <c r="S2712" s="682"/>
      <c r="T2712" s="682"/>
      <c r="U2712" s="682"/>
      <c r="V2712" s="682"/>
      <c r="W2712" s="682"/>
    </row>
    <row r="2713" spans="1:23">
      <c r="A2713" s="1045">
        <f t="shared" si="43"/>
        <v>8</v>
      </c>
      <c r="B2713" s="134">
        <v>45514</v>
      </c>
      <c r="C2713" s="70">
        <v>1017</v>
      </c>
      <c r="D2713" s="70" t="s">
        <v>5118</v>
      </c>
      <c r="E2713" s="280" t="s">
        <v>4540</v>
      </c>
      <c r="F2713" s="1049"/>
      <c r="G2713" s="1049">
        <v>1842.75</v>
      </c>
      <c r="H2713" s="564"/>
      <c r="I2713" s="609"/>
      <c r="J2713" s="1155"/>
      <c r="K2713" s="609"/>
      <c r="L2713" s="609"/>
      <c r="M2713" s="609"/>
      <c r="N2713" s="599"/>
      <c r="O2713" s="552" t="s">
        <v>1584</v>
      </c>
      <c r="P2713" s="603"/>
      <c r="Q2713" s="682"/>
      <c r="R2713" s="682"/>
      <c r="S2713" s="682"/>
      <c r="T2713" s="682"/>
      <c r="U2713" s="682"/>
      <c r="V2713" s="682"/>
      <c r="W2713" s="682"/>
    </row>
    <row r="2714" spans="1:23">
      <c r="A2714" s="1045">
        <f t="shared" si="43"/>
        <v>8</v>
      </c>
      <c r="B2714" s="134">
        <v>45514</v>
      </c>
      <c r="C2714" s="70">
        <v>1017</v>
      </c>
      <c r="D2714" s="70" t="s">
        <v>5118</v>
      </c>
      <c r="E2714" s="280" t="s">
        <v>4541</v>
      </c>
      <c r="F2714" s="1049"/>
      <c r="G2714" s="1049">
        <v>357</v>
      </c>
      <c r="H2714" s="564"/>
      <c r="I2714" s="609"/>
      <c r="J2714" s="1155"/>
      <c r="K2714" s="609"/>
      <c r="L2714" s="609"/>
      <c r="M2714" s="609"/>
      <c r="N2714" s="599"/>
      <c r="O2714" s="552" t="s">
        <v>1584</v>
      </c>
      <c r="P2714" s="603"/>
      <c r="Q2714" s="682"/>
      <c r="R2714" s="682"/>
      <c r="S2714" s="682"/>
      <c r="T2714" s="682"/>
      <c r="U2714" s="682"/>
      <c r="V2714" s="682"/>
      <c r="W2714" s="682"/>
    </row>
    <row r="2715" spans="1:23">
      <c r="A2715" s="1045">
        <f t="shared" si="43"/>
        <v>8</v>
      </c>
      <c r="B2715" s="134">
        <v>45514</v>
      </c>
      <c r="C2715" s="70">
        <v>1017</v>
      </c>
      <c r="D2715" s="70" t="s">
        <v>5118</v>
      </c>
      <c r="E2715" s="280" t="s">
        <v>4542</v>
      </c>
      <c r="F2715" s="1049"/>
      <c r="G2715" s="1049">
        <v>99.76</v>
      </c>
      <c r="H2715" s="564"/>
      <c r="I2715" s="609"/>
      <c r="J2715" s="1155"/>
      <c r="K2715" s="609"/>
      <c r="L2715" s="609"/>
      <c r="M2715" s="609"/>
      <c r="N2715" s="599"/>
      <c r="O2715" s="552" t="s">
        <v>1584</v>
      </c>
      <c r="P2715" s="603"/>
      <c r="Q2715" s="682"/>
      <c r="R2715" s="682"/>
      <c r="S2715" s="682"/>
      <c r="T2715" s="682"/>
      <c r="U2715" s="682"/>
      <c r="V2715" s="682"/>
      <c r="W2715" s="682"/>
    </row>
    <row r="2716" spans="1:23">
      <c r="A2716" s="1045">
        <f t="shared" si="43"/>
        <v>8</v>
      </c>
      <c r="B2716" s="134">
        <v>45514</v>
      </c>
      <c r="C2716" s="70">
        <v>1017</v>
      </c>
      <c r="D2716" s="70" t="s">
        <v>5118</v>
      </c>
      <c r="E2716" s="280" t="s">
        <v>4543</v>
      </c>
      <c r="F2716" s="1049"/>
      <c r="G2716" s="1049">
        <v>36.75</v>
      </c>
      <c r="H2716" s="564"/>
      <c r="I2716" s="609"/>
      <c r="J2716" s="1155"/>
      <c r="K2716" s="609"/>
      <c r="L2716" s="609"/>
      <c r="M2716" s="609"/>
      <c r="N2716" s="599"/>
      <c r="O2716" s="552" t="s">
        <v>1584</v>
      </c>
      <c r="P2716" s="603"/>
      <c r="Q2716" s="682"/>
      <c r="R2716" s="682"/>
      <c r="S2716" s="682"/>
      <c r="T2716" s="682"/>
      <c r="U2716" s="682"/>
      <c r="V2716" s="682"/>
      <c r="W2716" s="682"/>
    </row>
    <row r="2717" spans="1:23">
      <c r="A2717" s="1045">
        <f t="shared" si="43"/>
        <v>8</v>
      </c>
      <c r="B2717" s="134">
        <v>45514</v>
      </c>
      <c r="C2717" s="70">
        <v>1017</v>
      </c>
      <c r="D2717" s="70" t="s">
        <v>5118</v>
      </c>
      <c r="E2717" s="280" t="s">
        <v>4544</v>
      </c>
      <c r="F2717" s="1049"/>
      <c r="G2717" s="1049">
        <v>120</v>
      </c>
      <c r="H2717" s="564"/>
      <c r="I2717" s="609"/>
      <c r="J2717" s="1155"/>
      <c r="K2717" s="609"/>
      <c r="L2717" s="609"/>
      <c r="M2717" s="609"/>
      <c r="N2717" s="599"/>
      <c r="O2717" s="552" t="s">
        <v>1584</v>
      </c>
      <c r="P2717" s="603"/>
      <c r="Q2717" s="682"/>
      <c r="R2717" s="682"/>
      <c r="S2717" s="682"/>
      <c r="T2717" s="682"/>
      <c r="U2717" s="682"/>
      <c r="V2717" s="682"/>
      <c r="W2717" s="682"/>
    </row>
    <row r="2718" spans="1:23">
      <c r="A2718" s="1045">
        <f t="shared" si="43"/>
        <v>8</v>
      </c>
      <c r="B2718" s="134">
        <v>45514</v>
      </c>
      <c r="C2718" s="70">
        <v>1022</v>
      </c>
      <c r="D2718" s="70" t="s">
        <v>5119</v>
      </c>
      <c r="E2718" s="280" t="s">
        <v>4545</v>
      </c>
      <c r="F2718" s="1049"/>
      <c r="G2718" s="1049">
        <v>26964</v>
      </c>
      <c r="H2718" s="564"/>
      <c r="I2718" s="609"/>
      <c r="J2718" s="1155"/>
      <c r="K2718" s="609"/>
      <c r="L2718" s="609"/>
      <c r="M2718" s="609"/>
      <c r="N2718" s="599"/>
      <c r="O2718" s="552" t="s">
        <v>1584</v>
      </c>
      <c r="P2718" s="603"/>
      <c r="Q2718" s="682"/>
      <c r="R2718" s="682"/>
      <c r="S2718" s="682"/>
      <c r="T2718" s="682"/>
      <c r="U2718" s="682"/>
      <c r="V2718" s="682"/>
      <c r="W2718" s="682"/>
    </row>
    <row r="2719" spans="1:23">
      <c r="A2719" s="1045">
        <f t="shared" si="43"/>
        <v>8</v>
      </c>
      <c r="B2719" s="134">
        <v>45514</v>
      </c>
      <c r="C2719" s="70">
        <v>1017</v>
      </c>
      <c r="D2719" s="70" t="s">
        <v>5118</v>
      </c>
      <c r="E2719" s="280" t="s">
        <v>4546</v>
      </c>
      <c r="F2719" s="1049"/>
      <c r="G2719" s="1049">
        <v>387.45</v>
      </c>
      <c r="H2719" s="564"/>
      <c r="I2719" s="609"/>
      <c r="J2719" s="1155"/>
      <c r="K2719" s="609"/>
      <c r="L2719" s="609"/>
      <c r="M2719" s="609"/>
      <c r="N2719" s="599"/>
      <c r="O2719" s="552" t="s">
        <v>1584</v>
      </c>
      <c r="P2719" s="603"/>
      <c r="Q2719" s="682"/>
      <c r="R2719" s="682"/>
      <c r="S2719" s="682"/>
      <c r="T2719" s="682"/>
      <c r="U2719" s="682"/>
      <c r="V2719" s="682"/>
      <c r="W2719" s="682"/>
    </row>
    <row r="2720" spans="1:23">
      <c r="A2720" s="1045">
        <f t="shared" si="43"/>
        <v>8</v>
      </c>
      <c r="B2720" s="134">
        <v>45515</v>
      </c>
      <c r="C2720" s="70">
        <v>1017</v>
      </c>
      <c r="D2720" s="70" t="s">
        <v>5118</v>
      </c>
      <c r="E2720" s="280" t="s">
        <v>4547</v>
      </c>
      <c r="F2720" s="1049"/>
      <c r="G2720" s="1049">
        <v>115</v>
      </c>
      <c r="H2720" s="564"/>
      <c r="I2720" s="609"/>
      <c r="J2720" s="1155"/>
      <c r="K2720" s="609"/>
      <c r="L2720" s="609"/>
      <c r="M2720" s="609"/>
      <c r="N2720" s="599"/>
      <c r="O2720" s="552" t="s">
        <v>1584</v>
      </c>
      <c r="P2720" s="603"/>
      <c r="Q2720" s="682"/>
      <c r="R2720" s="682"/>
      <c r="S2720" s="682"/>
      <c r="T2720" s="682"/>
      <c r="U2720" s="682"/>
      <c r="V2720" s="682"/>
      <c r="W2720" s="682"/>
    </row>
    <row r="2721" spans="1:23">
      <c r="A2721" s="1045">
        <f t="shared" si="43"/>
        <v>8</v>
      </c>
      <c r="B2721" s="134">
        <v>45515</v>
      </c>
      <c r="C2721" s="70">
        <v>1017</v>
      </c>
      <c r="D2721" s="70" t="s">
        <v>5118</v>
      </c>
      <c r="E2721" s="280" t="s">
        <v>4548</v>
      </c>
      <c r="F2721" s="1049"/>
      <c r="G2721" s="1049">
        <v>434.91</v>
      </c>
      <c r="H2721" s="564"/>
      <c r="I2721" s="609"/>
      <c r="J2721" s="1155"/>
      <c r="K2721" s="609"/>
      <c r="L2721" s="609"/>
      <c r="M2721" s="609"/>
      <c r="N2721" s="599"/>
      <c r="O2721" s="552" t="s">
        <v>1584</v>
      </c>
      <c r="P2721" s="603"/>
      <c r="Q2721" s="682"/>
      <c r="R2721" s="682"/>
      <c r="S2721" s="682"/>
      <c r="T2721" s="682"/>
      <c r="U2721" s="682"/>
      <c r="V2721" s="682"/>
      <c r="W2721" s="682"/>
    </row>
    <row r="2722" spans="1:23">
      <c r="A2722" s="1045">
        <f t="shared" si="43"/>
        <v>8</v>
      </c>
      <c r="B2722" s="134">
        <v>45515</v>
      </c>
      <c r="C2722" s="70">
        <v>1017</v>
      </c>
      <c r="D2722" s="70" t="s">
        <v>5118</v>
      </c>
      <c r="E2722" s="280" t="s">
        <v>4549</v>
      </c>
      <c r="F2722" s="1049"/>
      <c r="G2722" s="1049">
        <v>149.69999999999999</v>
      </c>
      <c r="H2722" s="564"/>
      <c r="I2722" s="609"/>
      <c r="J2722" s="1155"/>
      <c r="K2722" s="609"/>
      <c r="L2722" s="609"/>
      <c r="M2722" s="609"/>
      <c r="N2722" s="599"/>
      <c r="O2722" s="552" t="s">
        <v>1584</v>
      </c>
      <c r="P2722" s="603"/>
      <c r="Q2722" s="682"/>
      <c r="R2722" s="682"/>
      <c r="S2722" s="682"/>
      <c r="T2722" s="682"/>
      <c r="U2722" s="682"/>
      <c r="V2722" s="682"/>
      <c r="W2722" s="682"/>
    </row>
    <row r="2723" spans="1:23">
      <c r="A2723" s="1045">
        <f t="shared" si="43"/>
        <v>8</v>
      </c>
      <c r="B2723" s="134">
        <v>45515</v>
      </c>
      <c r="C2723" s="70">
        <v>1017</v>
      </c>
      <c r="D2723" s="70" t="s">
        <v>5118</v>
      </c>
      <c r="E2723" s="280" t="s">
        <v>4550</v>
      </c>
      <c r="F2723" s="1049"/>
      <c r="G2723" s="1049">
        <v>35.479999999999997</v>
      </c>
      <c r="H2723" s="564"/>
      <c r="I2723" s="609"/>
      <c r="J2723" s="1155"/>
      <c r="K2723" s="609"/>
      <c r="L2723" s="609"/>
      <c r="M2723" s="609"/>
      <c r="N2723" s="599"/>
      <c r="O2723" s="552" t="s">
        <v>1584</v>
      </c>
      <c r="P2723" s="603"/>
      <c r="Q2723" s="682"/>
      <c r="R2723" s="682"/>
      <c r="S2723" s="682"/>
      <c r="T2723" s="682"/>
      <c r="U2723" s="682"/>
      <c r="V2723" s="682"/>
      <c r="W2723" s="682"/>
    </row>
    <row r="2724" spans="1:23">
      <c r="A2724" s="1045">
        <f t="shared" si="43"/>
        <v>8</v>
      </c>
      <c r="B2724" s="134">
        <v>45515</v>
      </c>
      <c r="C2724" s="70">
        <v>1017</v>
      </c>
      <c r="D2724" s="70" t="s">
        <v>5118</v>
      </c>
      <c r="E2724" s="280" t="s">
        <v>4551</v>
      </c>
      <c r="F2724" s="1049"/>
      <c r="G2724" s="1049">
        <v>16.8</v>
      </c>
      <c r="H2724" s="564"/>
      <c r="I2724" s="609"/>
      <c r="J2724" s="1155"/>
      <c r="K2724" s="609"/>
      <c r="L2724" s="609"/>
      <c r="M2724" s="609"/>
      <c r="N2724" s="599"/>
      <c r="O2724" s="552" t="s">
        <v>1584</v>
      </c>
      <c r="P2724" s="603"/>
      <c r="Q2724" s="682"/>
      <c r="R2724" s="682"/>
      <c r="S2724" s="682"/>
      <c r="T2724" s="682"/>
      <c r="U2724" s="682"/>
      <c r="V2724" s="682"/>
      <c r="W2724" s="682"/>
    </row>
    <row r="2725" spans="1:23">
      <c r="A2725" s="1045">
        <f t="shared" si="43"/>
        <v>8</v>
      </c>
      <c r="B2725" s="134">
        <v>45515</v>
      </c>
      <c r="C2725" s="70">
        <v>1017</v>
      </c>
      <c r="D2725" s="70" t="s">
        <v>5118</v>
      </c>
      <c r="E2725" s="280" t="s">
        <v>4552</v>
      </c>
      <c r="F2725" s="1049"/>
      <c r="G2725" s="1049">
        <v>15.71</v>
      </c>
      <c r="H2725" s="564"/>
      <c r="I2725" s="609"/>
      <c r="J2725" s="1155"/>
      <c r="K2725" s="609"/>
      <c r="L2725" s="609"/>
      <c r="M2725" s="609"/>
      <c r="N2725" s="599"/>
      <c r="O2725" s="552" t="s">
        <v>1584</v>
      </c>
      <c r="P2725" s="603"/>
      <c r="Q2725" s="682"/>
      <c r="R2725" s="682"/>
      <c r="S2725" s="682"/>
      <c r="T2725" s="682"/>
      <c r="U2725" s="682"/>
      <c r="V2725" s="682"/>
      <c r="W2725" s="682"/>
    </row>
    <row r="2726" spans="1:23">
      <c r="A2726" s="1045">
        <f t="shared" si="43"/>
        <v>8</v>
      </c>
      <c r="B2726" s="134">
        <v>45515</v>
      </c>
      <c r="C2726" s="70">
        <v>1017</v>
      </c>
      <c r="D2726" s="70" t="s">
        <v>5118</v>
      </c>
      <c r="E2726" s="280" t="s">
        <v>4553</v>
      </c>
      <c r="F2726" s="1049"/>
      <c r="G2726" s="1049">
        <v>457.8</v>
      </c>
      <c r="H2726" s="564"/>
      <c r="I2726" s="609"/>
      <c r="J2726" s="1155"/>
      <c r="K2726" s="609"/>
      <c r="L2726" s="609"/>
      <c r="M2726" s="609"/>
      <c r="N2726" s="599"/>
      <c r="O2726" s="552" t="s">
        <v>1584</v>
      </c>
      <c r="P2726" s="603"/>
      <c r="Q2726" s="682"/>
      <c r="R2726" s="682"/>
      <c r="S2726" s="682"/>
      <c r="T2726" s="682"/>
      <c r="U2726" s="682"/>
      <c r="V2726" s="682"/>
      <c r="W2726" s="682"/>
    </row>
    <row r="2727" spans="1:23">
      <c r="A2727" s="1045">
        <f t="shared" si="43"/>
        <v>8</v>
      </c>
      <c r="B2727" s="134">
        <v>45516</v>
      </c>
      <c r="C2727" s="70">
        <v>1017</v>
      </c>
      <c r="D2727" s="70" t="s">
        <v>5118</v>
      </c>
      <c r="E2727" s="280" t="s">
        <v>4554</v>
      </c>
      <c r="F2727" s="1049"/>
      <c r="G2727" s="1049">
        <v>47.25</v>
      </c>
      <c r="H2727" s="564"/>
      <c r="I2727" s="609"/>
      <c r="J2727" s="1155"/>
      <c r="K2727" s="609"/>
      <c r="L2727" s="609"/>
      <c r="M2727" s="609"/>
      <c r="N2727" s="599"/>
      <c r="O2727" s="552" t="s">
        <v>1584</v>
      </c>
      <c r="P2727" s="603"/>
      <c r="Q2727" s="682"/>
      <c r="R2727" s="682"/>
      <c r="S2727" s="682"/>
      <c r="T2727" s="682"/>
      <c r="U2727" s="682"/>
      <c r="V2727" s="682"/>
      <c r="W2727" s="682"/>
    </row>
    <row r="2728" spans="1:23">
      <c r="A2728" s="1045">
        <f t="shared" si="43"/>
        <v>8</v>
      </c>
      <c r="B2728" s="134">
        <v>45516</v>
      </c>
      <c r="C2728" s="70">
        <v>1017</v>
      </c>
      <c r="D2728" s="70" t="s">
        <v>5118</v>
      </c>
      <c r="E2728" s="280" t="s">
        <v>4555</v>
      </c>
      <c r="F2728" s="1049"/>
      <c r="G2728" s="1049">
        <v>1134</v>
      </c>
      <c r="H2728" s="564"/>
      <c r="I2728" s="609"/>
      <c r="J2728" s="1155"/>
      <c r="K2728" s="609"/>
      <c r="L2728" s="609"/>
      <c r="M2728" s="609"/>
      <c r="N2728" s="599"/>
      <c r="O2728" s="552" t="s">
        <v>1584</v>
      </c>
      <c r="P2728" s="603"/>
      <c r="Q2728" s="682"/>
      <c r="R2728" s="682"/>
      <c r="S2728" s="682"/>
      <c r="T2728" s="682"/>
      <c r="U2728" s="682"/>
      <c r="V2728" s="682"/>
      <c r="W2728" s="682"/>
    </row>
    <row r="2729" spans="1:23">
      <c r="A2729" s="1045">
        <f t="shared" si="43"/>
        <v>8</v>
      </c>
      <c r="B2729" s="134">
        <v>45516</v>
      </c>
      <c r="C2729" s="70">
        <v>1017</v>
      </c>
      <c r="D2729" s="70" t="s">
        <v>5118</v>
      </c>
      <c r="E2729" s="280" t="s">
        <v>4556</v>
      </c>
      <c r="F2729" s="1049"/>
      <c r="G2729" s="1049">
        <v>189.45</v>
      </c>
      <c r="H2729" s="564"/>
      <c r="I2729" s="609"/>
      <c r="J2729" s="1155"/>
      <c r="K2729" s="609"/>
      <c r="L2729" s="609"/>
      <c r="M2729" s="609"/>
      <c r="N2729" s="599"/>
      <c r="O2729" s="552" t="s">
        <v>1584</v>
      </c>
      <c r="P2729" s="603"/>
      <c r="Q2729" s="682"/>
      <c r="R2729" s="682"/>
      <c r="S2729" s="682"/>
      <c r="T2729" s="682"/>
      <c r="U2729" s="682"/>
      <c r="V2729" s="682"/>
      <c r="W2729" s="682"/>
    </row>
    <row r="2730" spans="1:23">
      <c r="A2730" s="1045">
        <f t="shared" si="43"/>
        <v>8</v>
      </c>
      <c r="B2730" s="134">
        <v>45516</v>
      </c>
      <c r="C2730" s="70">
        <v>1017</v>
      </c>
      <c r="D2730" s="70" t="s">
        <v>5118</v>
      </c>
      <c r="E2730" s="280" t="s">
        <v>4557</v>
      </c>
      <c r="F2730" s="1049"/>
      <c r="G2730" s="1049">
        <v>20</v>
      </c>
      <c r="H2730" s="564"/>
      <c r="I2730" s="609"/>
      <c r="J2730" s="1155"/>
      <c r="K2730" s="609"/>
      <c r="L2730" s="609"/>
      <c r="M2730" s="609"/>
      <c r="N2730" s="599"/>
      <c r="O2730" s="552" t="s">
        <v>1584</v>
      </c>
      <c r="P2730" s="603"/>
      <c r="Q2730" s="682"/>
      <c r="R2730" s="682"/>
      <c r="S2730" s="682"/>
      <c r="T2730" s="682"/>
      <c r="U2730" s="682"/>
      <c r="V2730" s="682"/>
      <c r="W2730" s="682"/>
    </row>
    <row r="2731" spans="1:23">
      <c r="A2731" s="1045">
        <f t="shared" si="43"/>
        <v>8</v>
      </c>
      <c r="B2731" s="134">
        <v>45516</v>
      </c>
      <c r="C2731" s="70">
        <v>1022</v>
      </c>
      <c r="D2731" s="70" t="s">
        <v>5119</v>
      </c>
      <c r="E2731" s="280" t="s">
        <v>4558</v>
      </c>
      <c r="F2731" s="1049"/>
      <c r="G2731" s="1049">
        <v>30062</v>
      </c>
      <c r="H2731" s="564"/>
      <c r="I2731" s="609"/>
      <c r="J2731" s="1155"/>
      <c r="K2731" s="609"/>
      <c r="L2731" s="609"/>
      <c r="M2731" s="609"/>
      <c r="N2731" s="599"/>
      <c r="O2731" s="552" t="s">
        <v>1584</v>
      </c>
      <c r="P2731" s="603"/>
      <c r="Q2731" s="682"/>
      <c r="R2731" s="682"/>
      <c r="S2731" s="682"/>
      <c r="T2731" s="682"/>
      <c r="U2731" s="682"/>
      <c r="V2731" s="682"/>
      <c r="W2731" s="682"/>
    </row>
    <row r="2732" spans="1:23">
      <c r="A2732" s="1045">
        <f t="shared" si="43"/>
        <v>8</v>
      </c>
      <c r="B2732" s="134">
        <v>45516</v>
      </c>
      <c r="C2732" s="70">
        <v>1017</v>
      </c>
      <c r="D2732" s="70" t="s">
        <v>5118</v>
      </c>
      <c r="E2732" s="280" t="s">
        <v>4559</v>
      </c>
      <c r="F2732" s="1049"/>
      <c r="G2732" s="1049">
        <v>31.5</v>
      </c>
      <c r="H2732" s="564"/>
      <c r="I2732" s="609"/>
      <c r="J2732" s="1155"/>
      <c r="K2732" s="609"/>
      <c r="L2732" s="609"/>
      <c r="M2732" s="609"/>
      <c r="N2732" s="599"/>
      <c r="O2732" s="552" t="s">
        <v>1584</v>
      </c>
      <c r="P2732" s="603"/>
      <c r="Q2732" s="682"/>
      <c r="R2732" s="682"/>
      <c r="S2732" s="682"/>
      <c r="T2732" s="682"/>
      <c r="U2732" s="682"/>
      <c r="V2732" s="682"/>
      <c r="W2732" s="682"/>
    </row>
    <row r="2733" spans="1:23">
      <c r="A2733" s="1045">
        <f t="shared" si="43"/>
        <v>8</v>
      </c>
      <c r="B2733" s="134">
        <v>45516</v>
      </c>
      <c r="C2733" s="70">
        <v>1017</v>
      </c>
      <c r="D2733" s="70" t="s">
        <v>5118</v>
      </c>
      <c r="E2733" s="280" t="s">
        <v>4560</v>
      </c>
      <c r="F2733" s="1049"/>
      <c r="G2733" s="1049">
        <v>36.75</v>
      </c>
      <c r="H2733" s="564"/>
      <c r="I2733" s="609"/>
      <c r="J2733" s="1155"/>
      <c r="K2733" s="609"/>
      <c r="L2733" s="609"/>
      <c r="M2733" s="609"/>
      <c r="N2733" s="599"/>
      <c r="O2733" s="552" t="s">
        <v>1584</v>
      </c>
      <c r="P2733" s="603"/>
      <c r="Q2733" s="682"/>
      <c r="R2733" s="682"/>
      <c r="S2733" s="682"/>
      <c r="T2733" s="682"/>
      <c r="U2733" s="682"/>
      <c r="V2733" s="682"/>
      <c r="W2733" s="682"/>
    </row>
    <row r="2734" spans="1:23">
      <c r="A2734" s="1045">
        <f t="shared" si="43"/>
        <v>8</v>
      </c>
      <c r="B2734" s="134">
        <v>45517</v>
      </c>
      <c r="C2734" s="70">
        <v>1017</v>
      </c>
      <c r="D2734" s="70" t="s">
        <v>5118</v>
      </c>
      <c r="E2734" s="280" t="s">
        <v>4561</v>
      </c>
      <c r="F2734" s="1049"/>
      <c r="G2734" s="1049">
        <v>1614.9</v>
      </c>
      <c r="H2734" s="564"/>
      <c r="I2734" s="609"/>
      <c r="J2734" s="1155"/>
      <c r="K2734" s="609"/>
      <c r="L2734" s="609"/>
      <c r="M2734" s="609"/>
      <c r="N2734" s="599"/>
      <c r="O2734" s="552" t="s">
        <v>1584</v>
      </c>
      <c r="P2734" s="603"/>
      <c r="Q2734" s="682"/>
      <c r="R2734" s="682"/>
      <c r="S2734" s="682"/>
      <c r="T2734" s="682"/>
      <c r="U2734" s="682"/>
      <c r="V2734" s="682"/>
      <c r="W2734" s="682"/>
    </row>
    <row r="2735" spans="1:23">
      <c r="A2735" s="1045">
        <f t="shared" si="43"/>
        <v>8</v>
      </c>
      <c r="B2735" s="134">
        <v>45517</v>
      </c>
      <c r="C2735" s="70">
        <v>1017</v>
      </c>
      <c r="D2735" s="70" t="s">
        <v>5118</v>
      </c>
      <c r="E2735" s="280" t="s">
        <v>4562</v>
      </c>
      <c r="F2735" s="1049"/>
      <c r="G2735" s="1049">
        <v>2615.56</v>
      </c>
      <c r="H2735" s="564"/>
      <c r="I2735" s="609"/>
      <c r="J2735" s="1155"/>
      <c r="K2735" s="609"/>
      <c r="L2735" s="609"/>
      <c r="M2735" s="609"/>
      <c r="N2735" s="599"/>
      <c r="O2735" s="552" t="s">
        <v>1584</v>
      </c>
      <c r="P2735" s="603"/>
      <c r="Q2735" s="682"/>
      <c r="R2735" s="682"/>
      <c r="S2735" s="682"/>
      <c r="T2735" s="682"/>
      <c r="U2735" s="682"/>
      <c r="V2735" s="682"/>
      <c r="W2735" s="682"/>
    </row>
    <row r="2736" spans="1:23">
      <c r="A2736" s="1045">
        <f t="shared" si="43"/>
        <v>8</v>
      </c>
      <c r="B2736" s="134">
        <v>45517</v>
      </c>
      <c r="C2736" s="70">
        <v>1017</v>
      </c>
      <c r="D2736" s="70" t="s">
        <v>5118</v>
      </c>
      <c r="E2736" s="280" t="s">
        <v>4563</v>
      </c>
      <c r="F2736" s="1049"/>
      <c r="G2736" s="1049">
        <v>218.02</v>
      </c>
      <c r="H2736" s="564"/>
      <c r="I2736" s="609"/>
      <c r="J2736" s="1155"/>
      <c r="K2736" s="609"/>
      <c r="L2736" s="609"/>
      <c r="M2736" s="609"/>
      <c r="N2736" s="599"/>
      <c r="O2736" s="552" t="s">
        <v>1584</v>
      </c>
      <c r="P2736" s="603"/>
      <c r="Q2736" s="682"/>
      <c r="R2736" s="682"/>
      <c r="S2736" s="682"/>
      <c r="T2736" s="682"/>
      <c r="U2736" s="682"/>
      <c r="V2736" s="682"/>
      <c r="W2736" s="682"/>
    </row>
    <row r="2737" spans="1:23">
      <c r="A2737" s="1045">
        <f t="shared" si="43"/>
        <v>8</v>
      </c>
      <c r="B2737" s="134">
        <v>45517</v>
      </c>
      <c r="C2737" s="70">
        <v>1017</v>
      </c>
      <c r="D2737" s="70" t="s">
        <v>5118</v>
      </c>
      <c r="E2737" s="280" t="s">
        <v>4564</v>
      </c>
      <c r="F2737" s="1049"/>
      <c r="G2737" s="1049">
        <v>910.33</v>
      </c>
      <c r="H2737" s="564"/>
      <c r="I2737" s="609"/>
      <c r="J2737" s="1155"/>
      <c r="K2737" s="609"/>
      <c r="L2737" s="609"/>
      <c r="M2737" s="609"/>
      <c r="N2737" s="599"/>
      <c r="O2737" s="552" t="s">
        <v>1584</v>
      </c>
      <c r="P2737" s="603"/>
      <c r="Q2737" s="682"/>
      <c r="R2737" s="682"/>
      <c r="S2737" s="682"/>
      <c r="T2737" s="682"/>
      <c r="U2737" s="682"/>
      <c r="V2737" s="682"/>
      <c r="W2737" s="682"/>
    </row>
    <row r="2738" spans="1:23">
      <c r="A2738" s="1045">
        <f t="shared" si="43"/>
        <v>8</v>
      </c>
      <c r="B2738" s="134">
        <v>45517</v>
      </c>
      <c r="C2738" s="70">
        <v>1017</v>
      </c>
      <c r="D2738" s="70" t="s">
        <v>5118</v>
      </c>
      <c r="E2738" s="280" t="s">
        <v>4565</v>
      </c>
      <c r="F2738" s="1049"/>
      <c r="G2738" s="1049">
        <v>300</v>
      </c>
      <c r="H2738" s="564"/>
      <c r="I2738" s="609"/>
      <c r="J2738" s="1155"/>
      <c r="K2738" s="609"/>
      <c r="L2738" s="609"/>
      <c r="M2738" s="609"/>
      <c r="N2738" s="599"/>
      <c r="O2738" s="552" t="s">
        <v>1584</v>
      </c>
      <c r="P2738" s="603"/>
      <c r="Q2738" s="682"/>
      <c r="R2738" s="682"/>
      <c r="S2738" s="682"/>
      <c r="T2738" s="682"/>
      <c r="U2738" s="682"/>
      <c r="V2738" s="682"/>
      <c r="W2738" s="682"/>
    </row>
    <row r="2739" spans="1:23">
      <c r="A2739" s="1045">
        <f t="shared" si="43"/>
        <v>8</v>
      </c>
      <c r="B2739" s="134">
        <v>45517</v>
      </c>
      <c r="C2739" s="70">
        <v>1017</v>
      </c>
      <c r="D2739" s="70" t="s">
        <v>5118</v>
      </c>
      <c r="E2739" s="280" t="s">
        <v>4566</v>
      </c>
      <c r="F2739" s="1049"/>
      <c r="G2739" s="1049">
        <v>39.9</v>
      </c>
      <c r="H2739" s="564"/>
      <c r="I2739" s="609"/>
      <c r="J2739" s="1155"/>
      <c r="K2739" s="609"/>
      <c r="L2739" s="609"/>
      <c r="M2739" s="609"/>
      <c r="N2739" s="599"/>
      <c r="O2739" s="552" t="s">
        <v>1584</v>
      </c>
      <c r="P2739" s="603"/>
      <c r="Q2739" s="682"/>
      <c r="R2739" s="682"/>
      <c r="S2739" s="682"/>
      <c r="T2739" s="682"/>
      <c r="U2739" s="682"/>
      <c r="V2739" s="682"/>
      <c r="W2739" s="682"/>
    </row>
    <row r="2740" spans="1:23">
      <c r="A2740" s="1045">
        <f t="shared" si="43"/>
        <v>8</v>
      </c>
      <c r="B2740" s="134">
        <v>45517</v>
      </c>
      <c r="C2740" s="70">
        <v>1017</v>
      </c>
      <c r="D2740" s="70" t="s">
        <v>5118</v>
      </c>
      <c r="E2740" s="280" t="s">
        <v>4567</v>
      </c>
      <c r="F2740" s="1049"/>
      <c r="G2740" s="1049">
        <v>5.25</v>
      </c>
      <c r="H2740" s="564"/>
      <c r="I2740" s="609"/>
      <c r="J2740" s="1155"/>
      <c r="K2740" s="609"/>
      <c r="L2740" s="609"/>
      <c r="M2740" s="609"/>
      <c r="N2740" s="599"/>
      <c r="O2740" s="552" t="s">
        <v>1584</v>
      </c>
      <c r="P2740" s="603"/>
      <c r="Q2740" s="682"/>
      <c r="R2740" s="682"/>
      <c r="S2740" s="682"/>
      <c r="T2740" s="682"/>
      <c r="U2740" s="682"/>
      <c r="V2740" s="682"/>
      <c r="W2740" s="682"/>
    </row>
    <row r="2741" spans="1:23">
      <c r="A2741" s="1045">
        <f t="shared" si="43"/>
        <v>8</v>
      </c>
      <c r="B2741" s="134">
        <v>45517</v>
      </c>
      <c r="C2741" s="70">
        <v>1017</v>
      </c>
      <c r="D2741" s="70" t="s">
        <v>5118</v>
      </c>
      <c r="E2741" s="280" t="s">
        <v>4568</v>
      </c>
      <c r="F2741" s="1049"/>
      <c r="G2741" s="1049">
        <v>113.4</v>
      </c>
      <c r="H2741" s="564"/>
      <c r="I2741" s="609"/>
      <c r="J2741" s="1155"/>
      <c r="K2741" s="609"/>
      <c r="L2741" s="609"/>
      <c r="M2741" s="609"/>
      <c r="N2741" s="599"/>
      <c r="O2741" s="552" t="s">
        <v>1584</v>
      </c>
      <c r="P2741" s="603"/>
      <c r="Q2741" s="682"/>
      <c r="R2741" s="682"/>
      <c r="S2741" s="682"/>
      <c r="T2741" s="682"/>
      <c r="U2741" s="682"/>
      <c r="V2741" s="682"/>
      <c r="W2741" s="682"/>
    </row>
    <row r="2742" spans="1:23">
      <c r="A2742" s="1045">
        <f t="shared" si="43"/>
        <v>8</v>
      </c>
      <c r="B2742" s="134">
        <v>45518</v>
      </c>
      <c r="C2742" s="70">
        <v>1017</v>
      </c>
      <c r="D2742" s="70" t="s">
        <v>5118</v>
      </c>
      <c r="E2742" s="280" t="s">
        <v>4569</v>
      </c>
      <c r="F2742" s="1049"/>
      <c r="G2742" s="1049">
        <v>183.75</v>
      </c>
      <c r="H2742" s="564"/>
      <c r="I2742" s="609"/>
      <c r="J2742" s="1155"/>
      <c r="K2742" s="609"/>
      <c r="L2742" s="609"/>
      <c r="M2742" s="609"/>
      <c r="N2742" s="599"/>
      <c r="O2742" s="552" t="s">
        <v>1584</v>
      </c>
      <c r="P2742" s="603"/>
      <c r="Q2742" s="682"/>
      <c r="R2742" s="682"/>
      <c r="S2742" s="682"/>
      <c r="T2742" s="682"/>
      <c r="U2742" s="682"/>
      <c r="V2742" s="682"/>
      <c r="W2742" s="682"/>
    </row>
    <row r="2743" spans="1:23">
      <c r="A2743" s="1045">
        <f t="shared" si="43"/>
        <v>8</v>
      </c>
      <c r="B2743" s="134">
        <v>45518</v>
      </c>
      <c r="C2743" s="70">
        <v>1017</v>
      </c>
      <c r="D2743" s="70" t="s">
        <v>5118</v>
      </c>
      <c r="E2743" s="280" t="s">
        <v>4570</v>
      </c>
      <c r="F2743" s="1049"/>
      <c r="G2743" s="1049">
        <v>199.5</v>
      </c>
      <c r="H2743" s="564"/>
      <c r="I2743" s="609"/>
      <c r="J2743" s="1155"/>
      <c r="K2743" s="609"/>
      <c r="L2743" s="609"/>
      <c r="M2743" s="609"/>
      <c r="N2743" s="599"/>
      <c r="O2743" s="552" t="s">
        <v>1584</v>
      </c>
      <c r="P2743" s="603"/>
      <c r="Q2743" s="682"/>
      <c r="R2743" s="682"/>
      <c r="S2743" s="682"/>
      <c r="T2743" s="682"/>
      <c r="U2743" s="682"/>
      <c r="V2743" s="682"/>
      <c r="W2743" s="682"/>
    </row>
    <row r="2744" spans="1:23">
      <c r="A2744" s="1045">
        <f t="shared" si="43"/>
        <v>8</v>
      </c>
      <c r="B2744" s="134">
        <v>45518</v>
      </c>
      <c r="C2744" s="70">
        <v>1017</v>
      </c>
      <c r="D2744" s="70" t="s">
        <v>5118</v>
      </c>
      <c r="E2744" s="280" t="s">
        <v>4571</v>
      </c>
      <c r="F2744" s="1049"/>
      <c r="G2744" s="1049">
        <v>52.5</v>
      </c>
      <c r="H2744" s="564"/>
      <c r="I2744" s="609"/>
      <c r="J2744" s="1155"/>
      <c r="K2744" s="609"/>
      <c r="L2744" s="609"/>
      <c r="M2744" s="609"/>
      <c r="N2744" s="599"/>
      <c r="O2744" s="552" t="s">
        <v>1584</v>
      </c>
      <c r="P2744" s="603"/>
      <c r="Q2744" s="682"/>
      <c r="R2744" s="682"/>
      <c r="S2744" s="682"/>
      <c r="T2744" s="682"/>
      <c r="U2744" s="682"/>
      <c r="V2744" s="682"/>
      <c r="W2744" s="682"/>
    </row>
    <row r="2745" spans="1:23">
      <c r="A2745" s="1045">
        <f t="shared" si="43"/>
        <v>8</v>
      </c>
      <c r="B2745" s="134">
        <v>45518</v>
      </c>
      <c r="C2745" s="70">
        <v>1017</v>
      </c>
      <c r="D2745" s="70" t="s">
        <v>5118</v>
      </c>
      <c r="E2745" s="280" t="s">
        <v>4572</v>
      </c>
      <c r="F2745" s="1049"/>
      <c r="G2745" s="1049">
        <v>1919.7</v>
      </c>
      <c r="H2745" s="564"/>
      <c r="I2745" s="609"/>
      <c r="J2745" s="1155"/>
      <c r="K2745" s="609"/>
      <c r="L2745" s="609"/>
      <c r="M2745" s="609"/>
      <c r="N2745" s="599"/>
      <c r="O2745" s="552" t="s">
        <v>1584</v>
      </c>
      <c r="P2745" s="603"/>
      <c r="Q2745" s="682"/>
      <c r="R2745" s="682"/>
      <c r="S2745" s="682"/>
      <c r="T2745" s="682"/>
      <c r="U2745" s="682"/>
      <c r="V2745" s="682"/>
      <c r="W2745" s="682"/>
    </row>
    <row r="2746" spans="1:23">
      <c r="A2746" s="1045">
        <f t="shared" si="43"/>
        <v>8</v>
      </c>
      <c r="B2746" s="134">
        <v>45518</v>
      </c>
      <c r="C2746" s="70">
        <v>1017</v>
      </c>
      <c r="D2746" s="70" t="s">
        <v>5118</v>
      </c>
      <c r="E2746" s="280" t="s">
        <v>4573</v>
      </c>
      <c r="F2746" s="1049"/>
      <c r="G2746" s="1049">
        <v>24.99</v>
      </c>
      <c r="H2746" s="564"/>
      <c r="I2746" s="609"/>
      <c r="J2746" s="1155"/>
      <c r="K2746" s="609"/>
      <c r="L2746" s="609"/>
      <c r="M2746" s="609"/>
      <c r="N2746" s="599"/>
      <c r="O2746" s="552" t="s">
        <v>1584</v>
      </c>
      <c r="P2746" s="603"/>
      <c r="Q2746" s="682"/>
      <c r="R2746" s="682"/>
      <c r="S2746" s="682"/>
      <c r="T2746" s="682"/>
      <c r="U2746" s="682"/>
      <c r="V2746" s="682"/>
      <c r="W2746" s="682"/>
    </row>
    <row r="2747" spans="1:23">
      <c r="A2747" s="1045">
        <f t="shared" si="43"/>
        <v>8</v>
      </c>
      <c r="B2747" s="134">
        <v>45518</v>
      </c>
      <c r="C2747" s="70">
        <v>1017</v>
      </c>
      <c r="D2747" s="70" t="s">
        <v>5118</v>
      </c>
      <c r="E2747" s="280" t="s">
        <v>4574</v>
      </c>
      <c r="F2747" s="1049"/>
      <c r="G2747" s="1049">
        <v>10</v>
      </c>
      <c r="H2747" s="564"/>
      <c r="I2747" s="609"/>
      <c r="J2747" s="1155"/>
      <c r="K2747" s="609"/>
      <c r="L2747" s="609"/>
      <c r="M2747" s="609"/>
      <c r="N2747" s="599"/>
      <c r="O2747" s="552" t="s">
        <v>1584</v>
      </c>
      <c r="P2747" s="603"/>
      <c r="Q2747" s="682"/>
      <c r="R2747" s="682"/>
      <c r="S2747" s="682"/>
      <c r="T2747" s="682"/>
      <c r="U2747" s="682"/>
      <c r="V2747" s="682"/>
      <c r="W2747" s="682"/>
    </row>
    <row r="2748" spans="1:23">
      <c r="A2748" s="1045">
        <f t="shared" si="43"/>
        <v>8</v>
      </c>
      <c r="B2748" s="134">
        <v>45518</v>
      </c>
      <c r="C2748" s="70">
        <v>1017</v>
      </c>
      <c r="D2748" s="70" t="s">
        <v>5118</v>
      </c>
      <c r="E2748" s="280" t="s">
        <v>4575</v>
      </c>
      <c r="F2748" s="1049"/>
      <c r="G2748" s="1049">
        <v>187.95</v>
      </c>
      <c r="H2748" s="564"/>
      <c r="I2748" s="609"/>
      <c r="J2748" s="1155"/>
      <c r="K2748" s="609"/>
      <c r="L2748" s="609"/>
      <c r="M2748" s="609"/>
      <c r="N2748" s="599"/>
      <c r="O2748" s="552" t="s">
        <v>1584</v>
      </c>
      <c r="P2748" s="603"/>
      <c r="Q2748" s="682"/>
      <c r="R2748" s="682"/>
      <c r="S2748" s="682"/>
      <c r="T2748" s="682"/>
      <c r="U2748" s="682"/>
      <c r="V2748" s="682"/>
      <c r="W2748" s="682"/>
    </row>
    <row r="2749" spans="1:23">
      <c r="A2749" s="1045">
        <f t="shared" si="43"/>
        <v>8</v>
      </c>
      <c r="B2749" s="134">
        <v>45518</v>
      </c>
      <c r="C2749" s="70">
        <v>1017</v>
      </c>
      <c r="D2749" s="70" t="s">
        <v>5118</v>
      </c>
      <c r="E2749" s="280" t="s">
        <v>4576</v>
      </c>
      <c r="F2749" s="1049"/>
      <c r="G2749" s="1049">
        <v>36.75</v>
      </c>
      <c r="H2749" s="564"/>
      <c r="I2749" s="609"/>
      <c r="J2749" s="1155"/>
      <c r="K2749" s="609"/>
      <c r="L2749" s="609"/>
      <c r="M2749" s="609"/>
      <c r="N2749" s="599"/>
      <c r="O2749" s="552" t="s">
        <v>1584</v>
      </c>
      <c r="P2749" s="603"/>
      <c r="Q2749" s="682"/>
      <c r="R2749" s="682"/>
      <c r="S2749" s="682"/>
      <c r="T2749" s="682"/>
      <c r="U2749" s="682"/>
      <c r="V2749" s="682"/>
      <c r="W2749" s="682"/>
    </row>
    <row r="2750" spans="1:23">
      <c r="A2750" s="1045">
        <f t="shared" si="43"/>
        <v>8</v>
      </c>
      <c r="B2750" s="134">
        <v>45518</v>
      </c>
      <c r="C2750" s="70">
        <v>1017</v>
      </c>
      <c r="D2750" s="70" t="s">
        <v>5118</v>
      </c>
      <c r="E2750" s="280" t="s">
        <v>4577</v>
      </c>
      <c r="F2750" s="1049"/>
      <c r="G2750" s="1049">
        <v>14.64</v>
      </c>
      <c r="H2750" s="564"/>
      <c r="I2750" s="609"/>
      <c r="J2750" s="1155"/>
      <c r="K2750" s="609"/>
      <c r="L2750" s="609"/>
      <c r="M2750" s="609"/>
      <c r="N2750" s="599"/>
      <c r="O2750" s="552" t="s">
        <v>1584</v>
      </c>
      <c r="P2750" s="603"/>
      <c r="Q2750" s="682"/>
      <c r="R2750" s="682"/>
      <c r="S2750" s="682"/>
      <c r="T2750" s="682"/>
      <c r="U2750" s="682"/>
      <c r="V2750" s="682"/>
      <c r="W2750" s="682"/>
    </row>
    <row r="2751" spans="1:23">
      <c r="A2751" s="1045">
        <f t="shared" si="43"/>
        <v>8</v>
      </c>
      <c r="B2751" s="134">
        <v>45518</v>
      </c>
      <c r="C2751" s="70">
        <v>1017</v>
      </c>
      <c r="D2751" s="70" t="s">
        <v>5118</v>
      </c>
      <c r="E2751" s="280" t="s">
        <v>4578</v>
      </c>
      <c r="F2751" s="1049"/>
      <c r="G2751" s="1049">
        <v>9.5</v>
      </c>
      <c r="H2751" s="564"/>
      <c r="I2751" s="609"/>
      <c r="J2751" s="1155"/>
      <c r="K2751" s="609"/>
      <c r="L2751" s="609"/>
      <c r="M2751" s="609"/>
      <c r="N2751" s="599"/>
      <c r="O2751" s="552" t="s">
        <v>1584</v>
      </c>
      <c r="P2751" s="603"/>
      <c r="Q2751" s="682"/>
      <c r="R2751" s="682"/>
      <c r="S2751" s="682"/>
      <c r="T2751" s="682"/>
      <c r="U2751" s="682"/>
      <c r="V2751" s="682"/>
      <c r="W2751" s="682"/>
    </row>
    <row r="2752" spans="1:23">
      <c r="A2752" s="1045">
        <f t="shared" si="43"/>
        <v>8</v>
      </c>
      <c r="B2752" s="134">
        <v>45518</v>
      </c>
      <c r="C2752" s="70">
        <v>1017</v>
      </c>
      <c r="D2752" s="70" t="s">
        <v>5118</v>
      </c>
      <c r="E2752" s="280" t="s">
        <v>4579</v>
      </c>
      <c r="F2752" s="1049"/>
      <c r="G2752" s="1049">
        <v>250</v>
      </c>
      <c r="H2752" s="564"/>
      <c r="I2752" s="609"/>
      <c r="J2752" s="1155"/>
      <c r="K2752" s="609"/>
      <c r="L2752" s="609"/>
      <c r="M2752" s="609"/>
      <c r="N2752" s="599"/>
      <c r="O2752" s="552" t="s">
        <v>1584</v>
      </c>
      <c r="P2752" s="603"/>
      <c r="Q2752" s="682"/>
      <c r="R2752" s="682"/>
      <c r="S2752" s="682"/>
      <c r="T2752" s="682"/>
      <c r="U2752" s="682"/>
      <c r="V2752" s="682"/>
      <c r="W2752" s="682"/>
    </row>
    <row r="2753" spans="1:23">
      <c r="A2753" s="1045">
        <f t="shared" si="43"/>
        <v>8</v>
      </c>
      <c r="B2753" s="134">
        <v>45519</v>
      </c>
      <c r="C2753" s="70">
        <v>1017</v>
      </c>
      <c r="D2753" s="70" t="s">
        <v>5118</v>
      </c>
      <c r="E2753" s="280" t="s">
        <v>4580</v>
      </c>
      <c r="F2753" s="1049"/>
      <c r="G2753" s="1049">
        <v>175.35</v>
      </c>
      <c r="H2753" s="564"/>
      <c r="I2753" s="609"/>
      <c r="J2753" s="1155"/>
      <c r="K2753" s="609"/>
      <c r="L2753" s="609"/>
      <c r="M2753" s="609"/>
      <c r="N2753" s="599"/>
      <c r="O2753" s="552" t="s">
        <v>1584</v>
      </c>
      <c r="P2753" s="603"/>
      <c r="Q2753" s="682"/>
      <c r="R2753" s="682"/>
      <c r="S2753" s="682"/>
      <c r="T2753" s="682"/>
      <c r="U2753" s="682"/>
      <c r="V2753" s="682"/>
      <c r="W2753" s="682"/>
    </row>
    <row r="2754" spans="1:23">
      <c r="A2754" s="1045">
        <f t="shared" si="43"/>
        <v>8</v>
      </c>
      <c r="B2754" s="134">
        <v>45519</v>
      </c>
      <c r="C2754" s="70">
        <v>1017</v>
      </c>
      <c r="D2754" s="70" t="s">
        <v>5118</v>
      </c>
      <c r="E2754" s="280" t="s">
        <v>4581</v>
      </c>
      <c r="F2754" s="1049"/>
      <c r="G2754" s="1049">
        <v>376.43</v>
      </c>
      <c r="H2754" s="564"/>
      <c r="I2754" s="609"/>
      <c r="J2754" s="1155"/>
      <c r="K2754" s="609"/>
      <c r="L2754" s="609"/>
      <c r="M2754" s="609"/>
      <c r="N2754" s="599"/>
      <c r="O2754" s="552" t="s">
        <v>1584</v>
      </c>
      <c r="P2754" s="603"/>
      <c r="Q2754" s="682"/>
      <c r="R2754" s="682"/>
      <c r="S2754" s="682"/>
      <c r="T2754" s="682"/>
      <c r="U2754" s="682"/>
      <c r="V2754" s="682"/>
      <c r="W2754" s="682"/>
    </row>
    <row r="2755" spans="1:23">
      <c r="A2755" s="1045">
        <f t="shared" si="43"/>
        <v>8</v>
      </c>
      <c r="B2755" s="134">
        <v>45519</v>
      </c>
      <c r="C2755" s="70">
        <v>1017</v>
      </c>
      <c r="D2755" s="70" t="s">
        <v>5118</v>
      </c>
      <c r="E2755" s="280" t="s">
        <v>4582</v>
      </c>
      <c r="F2755" s="1049"/>
      <c r="G2755" s="1049">
        <v>1377.6</v>
      </c>
      <c r="H2755" s="564"/>
      <c r="I2755" s="609"/>
      <c r="J2755" s="1155"/>
      <c r="K2755" s="609"/>
      <c r="L2755" s="609"/>
      <c r="M2755" s="609"/>
      <c r="N2755" s="599"/>
      <c r="O2755" s="552" t="s">
        <v>1584</v>
      </c>
      <c r="P2755" s="603"/>
      <c r="Q2755" s="682"/>
      <c r="R2755" s="682"/>
      <c r="S2755" s="682"/>
      <c r="T2755" s="682"/>
      <c r="U2755" s="682"/>
      <c r="V2755" s="682"/>
      <c r="W2755" s="682"/>
    </row>
    <row r="2756" spans="1:23">
      <c r="A2756" s="1045">
        <f t="shared" si="43"/>
        <v>8</v>
      </c>
      <c r="B2756" s="134">
        <v>45519</v>
      </c>
      <c r="C2756" s="70">
        <v>1017</v>
      </c>
      <c r="D2756" s="70" t="s">
        <v>5118</v>
      </c>
      <c r="E2756" s="280" t="s">
        <v>4583</v>
      </c>
      <c r="F2756" s="1049"/>
      <c r="G2756" s="1049">
        <v>63</v>
      </c>
      <c r="H2756" s="564"/>
      <c r="I2756" s="609"/>
      <c r="J2756" s="1155"/>
      <c r="K2756" s="609"/>
      <c r="L2756" s="609"/>
      <c r="M2756" s="609"/>
      <c r="N2756" s="599"/>
      <c r="O2756" s="552" t="s">
        <v>1584</v>
      </c>
      <c r="P2756" s="603"/>
      <c r="Q2756" s="682"/>
      <c r="R2756" s="682"/>
      <c r="S2756" s="682"/>
      <c r="T2756" s="682"/>
      <c r="U2756" s="682"/>
      <c r="V2756" s="682"/>
      <c r="W2756" s="682"/>
    </row>
    <row r="2757" spans="1:23">
      <c r="A2757" s="1045">
        <f t="shared" si="43"/>
        <v>8</v>
      </c>
      <c r="B2757" s="134">
        <v>45519</v>
      </c>
      <c r="C2757" s="70">
        <v>1017</v>
      </c>
      <c r="D2757" s="70" t="s">
        <v>5118</v>
      </c>
      <c r="E2757" s="280" t="s">
        <v>4584</v>
      </c>
      <c r="F2757" s="1049"/>
      <c r="G2757" s="1049">
        <v>33.75</v>
      </c>
      <c r="H2757" s="564"/>
      <c r="I2757" s="609"/>
      <c r="J2757" s="1155"/>
      <c r="K2757" s="609"/>
      <c r="L2757" s="609"/>
      <c r="M2757" s="609"/>
      <c r="N2757" s="599"/>
      <c r="O2757" s="552" t="s">
        <v>1584</v>
      </c>
      <c r="P2757" s="603"/>
      <c r="Q2757" s="682"/>
      <c r="R2757" s="682"/>
      <c r="S2757" s="682"/>
      <c r="T2757" s="682"/>
      <c r="U2757" s="682"/>
      <c r="V2757" s="682"/>
      <c r="W2757" s="682"/>
    </row>
    <row r="2758" spans="1:23">
      <c r="A2758" s="1045">
        <f t="shared" si="43"/>
        <v>8</v>
      </c>
      <c r="B2758" s="134">
        <v>45519</v>
      </c>
      <c r="C2758" s="70">
        <v>1017</v>
      </c>
      <c r="D2758" s="70" t="s">
        <v>5118</v>
      </c>
      <c r="E2758" s="280" t="s">
        <v>4585</v>
      </c>
      <c r="F2758" s="1049"/>
      <c r="G2758" s="1049">
        <v>75.599999999999994</v>
      </c>
      <c r="H2758" s="564"/>
      <c r="I2758" s="609"/>
      <c r="J2758" s="1155"/>
      <c r="K2758" s="609"/>
      <c r="L2758" s="609"/>
      <c r="M2758" s="609"/>
      <c r="N2758" s="599"/>
      <c r="O2758" s="552" t="s">
        <v>1584</v>
      </c>
      <c r="P2758" s="603"/>
      <c r="Q2758" s="682"/>
      <c r="R2758" s="682"/>
      <c r="S2758" s="682"/>
      <c r="T2758" s="682"/>
      <c r="U2758" s="682"/>
      <c r="V2758" s="682"/>
      <c r="W2758" s="682"/>
    </row>
    <row r="2759" spans="1:23">
      <c r="A2759" s="1045">
        <f t="shared" si="43"/>
        <v>8</v>
      </c>
      <c r="B2759" s="134">
        <v>45519</v>
      </c>
      <c r="C2759" s="70">
        <v>1017</v>
      </c>
      <c r="D2759" s="70" t="s">
        <v>5118</v>
      </c>
      <c r="E2759" s="280" t="s">
        <v>4586</v>
      </c>
      <c r="F2759" s="1049"/>
      <c r="G2759" s="1049">
        <v>30</v>
      </c>
      <c r="H2759" s="564"/>
      <c r="I2759" s="609"/>
      <c r="J2759" s="1155"/>
      <c r="K2759" s="609"/>
      <c r="L2759" s="609"/>
      <c r="M2759" s="609"/>
      <c r="N2759" s="599"/>
      <c r="O2759" s="552" t="s">
        <v>1584</v>
      </c>
      <c r="P2759" s="603"/>
      <c r="Q2759" s="682"/>
      <c r="R2759" s="682"/>
      <c r="S2759" s="682"/>
      <c r="T2759" s="682"/>
      <c r="U2759" s="682"/>
      <c r="V2759" s="682"/>
      <c r="W2759" s="682"/>
    </row>
    <row r="2760" spans="1:23">
      <c r="A2760" s="1045">
        <f t="shared" si="43"/>
        <v>8</v>
      </c>
      <c r="B2760" s="134">
        <v>45519</v>
      </c>
      <c r="C2760" s="70">
        <v>1017</v>
      </c>
      <c r="D2760" s="70" t="s">
        <v>5118</v>
      </c>
      <c r="E2760" s="280" t="s">
        <v>4587</v>
      </c>
      <c r="F2760" s="1049"/>
      <c r="G2760" s="1049">
        <v>110.25</v>
      </c>
      <c r="H2760" s="564"/>
      <c r="I2760" s="609"/>
      <c r="J2760" s="1155"/>
      <c r="K2760" s="609"/>
      <c r="L2760" s="609"/>
      <c r="M2760" s="609"/>
      <c r="N2760" s="599"/>
      <c r="O2760" s="552" t="s">
        <v>1584</v>
      </c>
      <c r="P2760" s="603"/>
      <c r="Q2760" s="682"/>
      <c r="R2760" s="682"/>
      <c r="S2760" s="682"/>
      <c r="T2760" s="682"/>
      <c r="U2760" s="682"/>
      <c r="V2760" s="682"/>
      <c r="W2760" s="682"/>
    </row>
    <row r="2761" spans="1:23">
      <c r="A2761" s="1045">
        <f t="shared" si="43"/>
        <v>8</v>
      </c>
      <c r="B2761" s="134">
        <v>45519</v>
      </c>
      <c r="C2761" s="70">
        <v>1017</v>
      </c>
      <c r="D2761" s="70" t="s">
        <v>5118</v>
      </c>
      <c r="E2761" s="280" t="s">
        <v>4588</v>
      </c>
      <c r="F2761" s="1049"/>
      <c r="G2761" s="1049">
        <v>300</v>
      </c>
      <c r="H2761" s="564"/>
      <c r="I2761" s="609"/>
      <c r="J2761" s="1155"/>
      <c r="K2761" s="609"/>
      <c r="L2761" s="609"/>
      <c r="M2761" s="609"/>
      <c r="N2761" s="599"/>
      <c r="O2761" s="552" t="s">
        <v>1584</v>
      </c>
      <c r="P2761" s="603"/>
      <c r="Q2761" s="682"/>
      <c r="R2761" s="682"/>
      <c r="S2761" s="682"/>
      <c r="T2761" s="682"/>
      <c r="U2761" s="682"/>
      <c r="V2761" s="682"/>
      <c r="W2761" s="682"/>
    </row>
    <row r="2762" spans="1:23">
      <c r="A2762" s="1045">
        <f t="shared" si="43"/>
        <v>8</v>
      </c>
      <c r="B2762" s="134">
        <v>45519</v>
      </c>
      <c r="C2762" s="70">
        <v>1017</v>
      </c>
      <c r="D2762" s="70" t="s">
        <v>5118</v>
      </c>
      <c r="E2762" s="280" t="s">
        <v>4589</v>
      </c>
      <c r="F2762" s="1049"/>
      <c r="G2762" s="1049">
        <v>9</v>
      </c>
      <c r="H2762" s="564"/>
      <c r="I2762" s="609"/>
      <c r="J2762" s="1155"/>
      <c r="K2762" s="609"/>
      <c r="L2762" s="609"/>
      <c r="M2762" s="609"/>
      <c r="N2762" s="599"/>
      <c r="O2762" s="552" t="s">
        <v>1584</v>
      </c>
      <c r="P2762" s="603"/>
      <c r="Q2762" s="682"/>
      <c r="R2762" s="682"/>
      <c r="S2762" s="682"/>
      <c r="T2762" s="682"/>
      <c r="U2762" s="682"/>
      <c r="V2762" s="682"/>
      <c r="W2762" s="682"/>
    </row>
    <row r="2763" spans="1:23">
      <c r="A2763" s="1045">
        <f t="shared" si="43"/>
        <v>8</v>
      </c>
      <c r="B2763" s="134">
        <v>45521</v>
      </c>
      <c r="C2763" s="70">
        <v>1017</v>
      </c>
      <c r="D2763" s="70" t="s">
        <v>5118</v>
      </c>
      <c r="E2763" s="280" t="s">
        <v>4590</v>
      </c>
      <c r="F2763" s="1049"/>
      <c r="G2763" s="1049">
        <v>545.67999999999995</v>
      </c>
      <c r="H2763" s="564"/>
      <c r="I2763" s="609"/>
      <c r="J2763" s="1155"/>
      <c r="K2763" s="609"/>
      <c r="L2763" s="609"/>
      <c r="M2763" s="609"/>
      <c r="N2763" s="599"/>
      <c r="O2763" s="552" t="s">
        <v>1584</v>
      </c>
      <c r="P2763" s="603"/>
      <c r="Q2763" s="682"/>
      <c r="R2763" s="682"/>
      <c r="S2763" s="682"/>
      <c r="T2763" s="682"/>
      <c r="U2763" s="682"/>
      <c r="V2763" s="682"/>
      <c r="W2763" s="682"/>
    </row>
    <row r="2764" spans="1:23">
      <c r="A2764" s="1045">
        <f t="shared" si="43"/>
        <v>8</v>
      </c>
      <c r="B2764" s="134">
        <v>45521</v>
      </c>
      <c r="C2764" s="70">
        <v>1017</v>
      </c>
      <c r="D2764" s="70" t="s">
        <v>5118</v>
      </c>
      <c r="E2764" s="280" t="s">
        <v>4591</v>
      </c>
      <c r="F2764" s="1049"/>
      <c r="G2764" s="1049">
        <v>1586.63</v>
      </c>
      <c r="H2764" s="564"/>
      <c r="I2764" s="609"/>
      <c r="J2764" s="1155"/>
      <c r="K2764" s="609"/>
      <c r="L2764" s="609"/>
      <c r="M2764" s="609"/>
      <c r="N2764" s="599"/>
      <c r="O2764" s="552" t="s">
        <v>1584</v>
      </c>
      <c r="P2764" s="603"/>
      <c r="Q2764" s="682"/>
      <c r="R2764" s="682"/>
      <c r="S2764" s="682"/>
      <c r="T2764" s="682"/>
      <c r="U2764" s="682"/>
      <c r="V2764" s="682"/>
      <c r="W2764" s="682"/>
    </row>
    <row r="2765" spans="1:23">
      <c r="A2765" s="1045">
        <f t="shared" si="43"/>
        <v>8</v>
      </c>
      <c r="B2765" s="134">
        <v>45521</v>
      </c>
      <c r="C2765" s="70">
        <v>1017</v>
      </c>
      <c r="D2765" s="70" t="s">
        <v>5118</v>
      </c>
      <c r="E2765" s="280" t="s">
        <v>4592</v>
      </c>
      <c r="F2765" s="1049"/>
      <c r="G2765" s="1049">
        <v>536.79999999999995</v>
      </c>
      <c r="H2765" s="564"/>
      <c r="I2765" s="609"/>
      <c r="J2765" s="1155"/>
      <c r="K2765" s="609"/>
      <c r="L2765" s="609"/>
      <c r="M2765" s="609"/>
      <c r="N2765" s="599"/>
      <c r="O2765" s="552" t="s">
        <v>1584</v>
      </c>
      <c r="P2765" s="603"/>
      <c r="Q2765" s="682"/>
      <c r="R2765" s="682"/>
      <c r="S2765" s="682"/>
      <c r="T2765" s="682"/>
      <c r="U2765" s="682"/>
      <c r="V2765" s="682"/>
      <c r="W2765" s="682"/>
    </row>
    <row r="2766" spans="1:23">
      <c r="A2766" s="1045">
        <f t="shared" si="43"/>
        <v>8</v>
      </c>
      <c r="B2766" s="134">
        <v>45521</v>
      </c>
      <c r="C2766" s="70">
        <v>1017</v>
      </c>
      <c r="D2766" s="70" t="s">
        <v>5118</v>
      </c>
      <c r="E2766" s="280" t="s">
        <v>4593</v>
      </c>
      <c r="F2766" s="1049"/>
      <c r="G2766" s="1049">
        <v>33.15</v>
      </c>
      <c r="H2766" s="564"/>
      <c r="I2766" s="609"/>
      <c r="J2766" s="1155"/>
      <c r="K2766" s="609"/>
      <c r="L2766" s="609"/>
      <c r="M2766" s="609"/>
      <c r="N2766" s="599"/>
      <c r="O2766" s="552" t="s">
        <v>1584</v>
      </c>
      <c r="P2766" s="603"/>
      <c r="Q2766" s="682"/>
      <c r="R2766" s="682"/>
      <c r="S2766" s="682"/>
      <c r="T2766" s="682"/>
      <c r="U2766" s="682"/>
      <c r="V2766" s="682"/>
      <c r="W2766" s="682"/>
    </row>
    <row r="2767" spans="1:23">
      <c r="A2767" s="1045">
        <f t="shared" si="43"/>
        <v>8</v>
      </c>
      <c r="B2767" s="134">
        <v>45521</v>
      </c>
      <c r="C2767" s="70">
        <v>1017</v>
      </c>
      <c r="D2767" s="70" t="s">
        <v>5118</v>
      </c>
      <c r="E2767" s="280" t="s">
        <v>4594</v>
      </c>
      <c r="F2767" s="1049"/>
      <c r="G2767" s="1049">
        <v>9.4499999999999993</v>
      </c>
      <c r="H2767" s="564"/>
      <c r="I2767" s="609"/>
      <c r="J2767" s="1155"/>
      <c r="K2767" s="609"/>
      <c r="L2767" s="609"/>
      <c r="M2767" s="609"/>
      <c r="N2767" s="599"/>
      <c r="O2767" s="552" t="s">
        <v>1584</v>
      </c>
      <c r="P2767" s="603"/>
      <c r="Q2767" s="682"/>
      <c r="R2767" s="682"/>
      <c r="S2767" s="682"/>
      <c r="T2767" s="682"/>
      <c r="U2767" s="682"/>
      <c r="V2767" s="682"/>
      <c r="W2767" s="682"/>
    </row>
    <row r="2768" spans="1:23">
      <c r="A2768" s="1045">
        <f t="shared" si="43"/>
        <v>8</v>
      </c>
      <c r="B2768" s="134">
        <v>45521</v>
      </c>
      <c r="C2768" s="70">
        <v>1017</v>
      </c>
      <c r="D2768" s="70" t="s">
        <v>5118</v>
      </c>
      <c r="E2768" s="280" t="s">
        <v>4595</v>
      </c>
      <c r="F2768" s="1049"/>
      <c r="G2768" s="1049">
        <v>10.5</v>
      </c>
      <c r="H2768" s="564"/>
      <c r="I2768" s="609"/>
      <c r="J2768" s="1155"/>
      <c r="K2768" s="609"/>
      <c r="L2768" s="609"/>
      <c r="M2768" s="609"/>
      <c r="N2768" s="599"/>
      <c r="O2768" s="552" t="s">
        <v>1584</v>
      </c>
      <c r="P2768" s="603"/>
      <c r="Q2768" s="682"/>
      <c r="R2768" s="682"/>
      <c r="S2768" s="682"/>
      <c r="T2768" s="682"/>
      <c r="U2768" s="682"/>
      <c r="V2768" s="682"/>
      <c r="W2768" s="682"/>
    </row>
    <row r="2769" spans="1:23">
      <c r="A2769" s="1045">
        <f t="shared" si="43"/>
        <v>8</v>
      </c>
      <c r="B2769" s="134">
        <v>45521</v>
      </c>
      <c r="C2769" s="70">
        <v>1017</v>
      </c>
      <c r="D2769" s="70" t="s">
        <v>5118</v>
      </c>
      <c r="E2769" s="280" t="s">
        <v>4596</v>
      </c>
      <c r="F2769" s="1049"/>
      <c r="G2769" s="1049">
        <v>21</v>
      </c>
      <c r="H2769" s="564"/>
      <c r="I2769" s="609"/>
      <c r="J2769" s="1155"/>
      <c r="K2769" s="609"/>
      <c r="L2769" s="609"/>
      <c r="M2769" s="609"/>
      <c r="N2769" s="599"/>
      <c r="O2769" s="552" t="s">
        <v>1584</v>
      </c>
      <c r="P2769" s="603"/>
      <c r="Q2769" s="682"/>
      <c r="R2769" s="682"/>
      <c r="S2769" s="682"/>
      <c r="T2769" s="682"/>
      <c r="U2769" s="682"/>
      <c r="V2769" s="682"/>
      <c r="W2769" s="682"/>
    </row>
    <row r="2770" spans="1:23">
      <c r="A2770" s="1045">
        <f t="shared" si="43"/>
        <v>8</v>
      </c>
      <c r="B2770" s="134">
        <v>45521</v>
      </c>
      <c r="C2770" s="70">
        <v>1017</v>
      </c>
      <c r="D2770" s="70" t="s">
        <v>5118</v>
      </c>
      <c r="E2770" s="280" t="s">
        <v>4597</v>
      </c>
      <c r="F2770" s="1049"/>
      <c r="G2770" s="1049">
        <v>3</v>
      </c>
      <c r="H2770" s="564"/>
      <c r="I2770" s="609"/>
      <c r="J2770" s="1155"/>
      <c r="K2770" s="609"/>
      <c r="L2770" s="609"/>
      <c r="M2770" s="609"/>
      <c r="N2770" s="599"/>
      <c r="O2770" s="552" t="s">
        <v>1584</v>
      </c>
      <c r="P2770" s="603"/>
      <c r="Q2770" s="682"/>
      <c r="R2770" s="682"/>
      <c r="S2770" s="682"/>
      <c r="T2770" s="682"/>
      <c r="U2770" s="682"/>
      <c r="V2770" s="682"/>
      <c r="W2770" s="682"/>
    </row>
    <row r="2771" spans="1:23">
      <c r="A2771" s="1045">
        <f t="shared" si="43"/>
        <v>8</v>
      </c>
      <c r="B2771" s="134">
        <v>45522</v>
      </c>
      <c r="C2771" s="70">
        <v>1017</v>
      </c>
      <c r="D2771" s="70" t="s">
        <v>5118</v>
      </c>
      <c r="E2771" s="280" t="s">
        <v>4598</v>
      </c>
      <c r="F2771" s="1049"/>
      <c r="G2771" s="1049">
        <v>78.75</v>
      </c>
      <c r="H2771" s="564"/>
      <c r="I2771" s="609"/>
      <c r="J2771" s="1155"/>
      <c r="K2771" s="609"/>
      <c r="L2771" s="609"/>
      <c r="M2771" s="609"/>
      <c r="N2771" s="599"/>
      <c r="O2771" s="552" t="s">
        <v>1584</v>
      </c>
      <c r="P2771" s="603"/>
      <c r="Q2771" s="682"/>
      <c r="R2771" s="682"/>
      <c r="S2771" s="682"/>
      <c r="T2771" s="682"/>
      <c r="U2771" s="682"/>
      <c r="V2771" s="682"/>
      <c r="W2771" s="682"/>
    </row>
    <row r="2772" spans="1:23">
      <c r="A2772" s="1045">
        <f t="shared" si="43"/>
        <v>8</v>
      </c>
      <c r="B2772" s="134">
        <v>45522</v>
      </c>
      <c r="C2772" s="70">
        <v>1017</v>
      </c>
      <c r="D2772" s="70" t="s">
        <v>5118</v>
      </c>
      <c r="E2772" s="280" t="s">
        <v>4599</v>
      </c>
      <c r="F2772" s="1049"/>
      <c r="G2772" s="1049">
        <v>35.200000000000003</v>
      </c>
      <c r="H2772" s="564"/>
      <c r="I2772" s="609"/>
      <c r="J2772" s="1155"/>
      <c r="K2772" s="609"/>
      <c r="L2772" s="609"/>
      <c r="M2772" s="609"/>
      <c r="N2772" s="599"/>
      <c r="O2772" s="552" t="s">
        <v>1584</v>
      </c>
      <c r="P2772" s="603"/>
      <c r="Q2772" s="682"/>
      <c r="R2772" s="682"/>
      <c r="S2772" s="682"/>
      <c r="T2772" s="682"/>
      <c r="U2772" s="682"/>
      <c r="V2772" s="682"/>
      <c r="W2772" s="682"/>
    </row>
    <row r="2773" spans="1:23">
      <c r="A2773" s="1045">
        <f t="shared" ref="A2773:A2836" si="44">IF(B2773="","",MONTH(B2773))</f>
        <v>8</v>
      </c>
      <c r="B2773" s="134">
        <v>45522</v>
      </c>
      <c r="C2773" s="70">
        <v>1017</v>
      </c>
      <c r="D2773" s="70" t="s">
        <v>5118</v>
      </c>
      <c r="E2773" s="280" t="s">
        <v>4552</v>
      </c>
      <c r="F2773" s="1049"/>
      <c r="G2773" s="1049">
        <v>5</v>
      </c>
      <c r="H2773" s="564"/>
      <c r="I2773" s="609"/>
      <c r="J2773" s="1155"/>
      <c r="K2773" s="609"/>
      <c r="L2773" s="609"/>
      <c r="M2773" s="609"/>
      <c r="N2773" s="599"/>
      <c r="O2773" s="552" t="s">
        <v>1584</v>
      </c>
      <c r="P2773" s="603"/>
      <c r="Q2773" s="682"/>
      <c r="R2773" s="682"/>
      <c r="S2773" s="682"/>
      <c r="T2773" s="682"/>
      <c r="U2773" s="682"/>
      <c r="V2773" s="682"/>
      <c r="W2773" s="682"/>
    </row>
    <row r="2774" spans="1:23">
      <c r="A2774" s="1045">
        <f t="shared" si="44"/>
        <v>8</v>
      </c>
      <c r="B2774" s="134">
        <v>45522</v>
      </c>
      <c r="C2774" s="70">
        <v>1017</v>
      </c>
      <c r="D2774" s="70" t="s">
        <v>5118</v>
      </c>
      <c r="E2774" s="280" t="s">
        <v>4600</v>
      </c>
      <c r="F2774" s="1049"/>
      <c r="G2774" s="1049">
        <v>300</v>
      </c>
      <c r="H2774" s="564"/>
      <c r="I2774" s="609"/>
      <c r="J2774" s="1155"/>
      <c r="K2774" s="609"/>
      <c r="L2774" s="609"/>
      <c r="M2774" s="609"/>
      <c r="N2774" s="599"/>
      <c r="O2774" s="552" t="s">
        <v>1584</v>
      </c>
      <c r="P2774" s="603"/>
      <c r="Q2774" s="682"/>
      <c r="R2774" s="682"/>
      <c r="S2774" s="682"/>
      <c r="T2774" s="682"/>
      <c r="U2774" s="682"/>
      <c r="V2774" s="682"/>
      <c r="W2774" s="682"/>
    </row>
    <row r="2775" spans="1:23">
      <c r="A2775" s="1045">
        <f t="shared" si="44"/>
        <v>8</v>
      </c>
      <c r="B2775" s="134">
        <v>45523</v>
      </c>
      <c r="C2775" s="70">
        <v>1017</v>
      </c>
      <c r="D2775" s="70" t="s">
        <v>5118</v>
      </c>
      <c r="E2775" s="280" t="s">
        <v>4601</v>
      </c>
      <c r="F2775" s="1049"/>
      <c r="G2775" s="1049">
        <v>410.11</v>
      </c>
      <c r="H2775" s="564"/>
      <c r="I2775" s="609"/>
      <c r="J2775" s="1155"/>
      <c r="K2775" s="609"/>
      <c r="L2775" s="609"/>
      <c r="M2775" s="609"/>
      <c r="N2775" s="599"/>
      <c r="O2775" s="552" t="s">
        <v>1584</v>
      </c>
      <c r="P2775" s="603"/>
      <c r="Q2775" s="682"/>
      <c r="R2775" s="682"/>
      <c r="S2775" s="682"/>
      <c r="T2775" s="682"/>
      <c r="U2775" s="682"/>
      <c r="V2775" s="682"/>
      <c r="W2775" s="682"/>
    </row>
    <row r="2776" spans="1:23">
      <c r="A2776" s="1045">
        <f t="shared" si="44"/>
        <v>8</v>
      </c>
      <c r="B2776" s="134">
        <v>45523</v>
      </c>
      <c r="C2776" s="70">
        <v>1017</v>
      </c>
      <c r="D2776" s="70" t="s">
        <v>5118</v>
      </c>
      <c r="E2776" s="280" t="s">
        <v>4602</v>
      </c>
      <c r="F2776" s="1049"/>
      <c r="G2776" s="1049">
        <v>168.74</v>
      </c>
      <c r="H2776" s="564"/>
      <c r="I2776" s="609"/>
      <c r="J2776" s="1155"/>
      <c r="K2776" s="609"/>
      <c r="L2776" s="609"/>
      <c r="M2776" s="609"/>
      <c r="N2776" s="599"/>
      <c r="O2776" s="552" t="s">
        <v>1584</v>
      </c>
      <c r="P2776" s="603"/>
      <c r="Q2776" s="682"/>
      <c r="R2776" s="682"/>
      <c r="S2776" s="682"/>
      <c r="T2776" s="682"/>
      <c r="U2776" s="682"/>
      <c r="V2776" s="682"/>
      <c r="W2776" s="682"/>
    </row>
    <row r="2777" spans="1:23">
      <c r="A2777" s="1045">
        <f t="shared" si="44"/>
        <v>8</v>
      </c>
      <c r="B2777" s="134">
        <v>45523</v>
      </c>
      <c r="C2777" s="70">
        <v>1017</v>
      </c>
      <c r="D2777" s="70" t="s">
        <v>5118</v>
      </c>
      <c r="E2777" s="280" t="s">
        <v>4603</v>
      </c>
      <c r="F2777" s="1049"/>
      <c r="G2777" s="1049">
        <v>2394</v>
      </c>
      <c r="H2777" s="564"/>
      <c r="I2777" s="609"/>
      <c r="J2777" s="1155"/>
      <c r="K2777" s="609"/>
      <c r="L2777" s="609"/>
      <c r="M2777" s="609"/>
      <c r="N2777" s="599"/>
      <c r="O2777" s="552" t="s">
        <v>1584</v>
      </c>
      <c r="P2777" s="603"/>
      <c r="Q2777" s="682"/>
      <c r="R2777" s="682"/>
      <c r="S2777" s="682"/>
      <c r="T2777" s="682"/>
      <c r="U2777" s="682"/>
      <c r="V2777" s="682"/>
      <c r="W2777" s="682"/>
    </row>
    <row r="2778" spans="1:23">
      <c r="A2778" s="1045">
        <f t="shared" si="44"/>
        <v>8</v>
      </c>
      <c r="B2778" s="134">
        <v>45523</v>
      </c>
      <c r="C2778" s="70">
        <v>1017</v>
      </c>
      <c r="D2778" s="70" t="s">
        <v>5118</v>
      </c>
      <c r="E2778" s="280" t="s">
        <v>4604</v>
      </c>
      <c r="F2778" s="1049"/>
      <c r="G2778" s="1049">
        <v>5.25</v>
      </c>
      <c r="H2778" s="564"/>
      <c r="I2778" s="609"/>
      <c r="J2778" s="1155"/>
      <c r="K2778" s="609"/>
      <c r="L2778" s="609"/>
      <c r="M2778" s="609"/>
      <c r="N2778" s="599"/>
      <c r="O2778" s="552" t="s">
        <v>1584</v>
      </c>
      <c r="P2778" s="603"/>
      <c r="Q2778" s="682"/>
      <c r="R2778" s="682"/>
      <c r="S2778" s="682"/>
      <c r="T2778" s="682"/>
      <c r="U2778" s="682"/>
      <c r="V2778" s="682"/>
      <c r="W2778" s="682"/>
    </row>
    <row r="2779" spans="1:23">
      <c r="A2779" s="1045">
        <f t="shared" si="44"/>
        <v>8</v>
      </c>
      <c r="B2779" s="134">
        <v>45523</v>
      </c>
      <c r="C2779" s="70">
        <v>1017</v>
      </c>
      <c r="D2779" s="70" t="s">
        <v>5118</v>
      </c>
      <c r="E2779" s="280" t="s">
        <v>4605</v>
      </c>
      <c r="F2779" s="1049"/>
      <c r="G2779" s="1049">
        <v>12.95</v>
      </c>
      <c r="H2779" s="564"/>
      <c r="I2779" s="609"/>
      <c r="J2779" s="1155"/>
      <c r="K2779" s="609"/>
      <c r="L2779" s="609"/>
      <c r="M2779" s="609"/>
      <c r="N2779" s="599"/>
      <c r="O2779" s="552" t="s">
        <v>1584</v>
      </c>
      <c r="P2779" s="603"/>
      <c r="Q2779" s="682"/>
      <c r="R2779" s="682"/>
      <c r="S2779" s="682"/>
      <c r="T2779" s="682"/>
      <c r="U2779" s="682"/>
      <c r="V2779" s="682"/>
      <c r="W2779" s="682"/>
    </row>
    <row r="2780" spans="1:23">
      <c r="A2780" s="1045">
        <f t="shared" si="44"/>
        <v>8</v>
      </c>
      <c r="B2780" s="134">
        <v>45524</v>
      </c>
      <c r="C2780" s="70">
        <v>1017</v>
      </c>
      <c r="D2780" s="70" t="s">
        <v>5118</v>
      </c>
      <c r="E2780" s="280" t="s">
        <v>4606</v>
      </c>
      <c r="F2780" s="1049"/>
      <c r="G2780" s="1049">
        <v>1890</v>
      </c>
      <c r="H2780" s="564"/>
      <c r="I2780" s="609"/>
      <c r="J2780" s="1155"/>
      <c r="K2780" s="609"/>
      <c r="L2780" s="609"/>
      <c r="M2780" s="609"/>
      <c r="N2780" s="599"/>
      <c r="O2780" s="552" t="s">
        <v>1584</v>
      </c>
      <c r="P2780" s="603"/>
      <c r="Q2780" s="682"/>
      <c r="R2780" s="682"/>
      <c r="S2780" s="682"/>
      <c r="T2780" s="682"/>
      <c r="U2780" s="682"/>
      <c r="V2780" s="682"/>
      <c r="W2780" s="682"/>
    </row>
    <row r="2781" spans="1:23">
      <c r="A2781" s="1045">
        <f t="shared" si="44"/>
        <v>8</v>
      </c>
      <c r="B2781" s="134">
        <v>45525</v>
      </c>
      <c r="C2781" s="70">
        <v>1017</v>
      </c>
      <c r="D2781" s="70" t="s">
        <v>5118</v>
      </c>
      <c r="E2781" s="280" t="s">
        <v>4607</v>
      </c>
      <c r="F2781" s="1049"/>
      <c r="G2781" s="1049">
        <v>132.30000000000001</v>
      </c>
      <c r="H2781" s="564"/>
      <c r="I2781" s="609"/>
      <c r="J2781" s="1155"/>
      <c r="K2781" s="609"/>
      <c r="L2781" s="609"/>
      <c r="M2781" s="609"/>
      <c r="N2781" s="599"/>
      <c r="O2781" s="552" t="s">
        <v>1584</v>
      </c>
      <c r="P2781" s="603"/>
      <c r="Q2781" s="682"/>
      <c r="R2781" s="682"/>
      <c r="S2781" s="682"/>
      <c r="T2781" s="682"/>
      <c r="U2781" s="682"/>
      <c r="V2781" s="682"/>
      <c r="W2781" s="682"/>
    </row>
    <row r="2782" spans="1:23">
      <c r="A2782" s="1045">
        <f t="shared" si="44"/>
        <v>8</v>
      </c>
      <c r="B2782" s="134">
        <v>45525</v>
      </c>
      <c r="C2782" s="70">
        <v>1017</v>
      </c>
      <c r="D2782" s="70" t="s">
        <v>5118</v>
      </c>
      <c r="E2782" s="280" t="s">
        <v>4608</v>
      </c>
      <c r="F2782" s="1049"/>
      <c r="G2782" s="1049">
        <v>1158.1500000000001</v>
      </c>
      <c r="H2782" s="564"/>
      <c r="I2782" s="609"/>
      <c r="J2782" s="1155"/>
      <c r="K2782" s="609"/>
      <c r="L2782" s="609"/>
      <c r="M2782" s="609"/>
      <c r="N2782" s="599"/>
      <c r="O2782" s="552" t="s">
        <v>1584</v>
      </c>
      <c r="P2782" s="603"/>
      <c r="Q2782" s="682"/>
      <c r="R2782" s="682"/>
      <c r="S2782" s="682"/>
      <c r="T2782" s="682"/>
      <c r="U2782" s="682"/>
      <c r="V2782" s="682"/>
      <c r="W2782" s="682"/>
    </row>
    <row r="2783" spans="1:23">
      <c r="A2783" s="1045">
        <f t="shared" si="44"/>
        <v>8</v>
      </c>
      <c r="B2783" s="134">
        <v>45525</v>
      </c>
      <c r="C2783" s="70">
        <v>1017</v>
      </c>
      <c r="D2783" s="70" t="s">
        <v>5118</v>
      </c>
      <c r="E2783" s="280" t="s">
        <v>4609</v>
      </c>
      <c r="F2783" s="1049"/>
      <c r="G2783" s="1049">
        <v>3432.14</v>
      </c>
      <c r="H2783" s="564"/>
      <c r="I2783" s="609"/>
      <c r="J2783" s="1155"/>
      <c r="K2783" s="609"/>
      <c r="L2783" s="609"/>
      <c r="M2783" s="609"/>
      <c r="N2783" s="599"/>
      <c r="O2783" s="552" t="s">
        <v>1584</v>
      </c>
      <c r="P2783" s="603"/>
      <c r="Q2783" s="682"/>
      <c r="R2783" s="682"/>
      <c r="S2783" s="682"/>
      <c r="T2783" s="682"/>
      <c r="U2783" s="682"/>
      <c r="V2783" s="682"/>
      <c r="W2783" s="682"/>
    </row>
    <row r="2784" spans="1:23">
      <c r="A2784" s="1045">
        <f t="shared" si="44"/>
        <v>8</v>
      </c>
      <c r="B2784" s="134">
        <v>45525</v>
      </c>
      <c r="C2784" s="70">
        <v>1017</v>
      </c>
      <c r="D2784" s="70" t="s">
        <v>5118</v>
      </c>
      <c r="E2784" s="280" t="s">
        <v>4610</v>
      </c>
      <c r="F2784" s="1049"/>
      <c r="G2784" s="1049">
        <v>20</v>
      </c>
      <c r="H2784" s="564"/>
      <c r="I2784" s="609"/>
      <c r="J2784" s="1155"/>
      <c r="K2784" s="609"/>
      <c r="L2784" s="609"/>
      <c r="M2784" s="609"/>
      <c r="N2784" s="599"/>
      <c r="O2784" s="552" t="s">
        <v>1584</v>
      </c>
      <c r="P2784" s="603"/>
      <c r="Q2784" s="682"/>
      <c r="R2784" s="682"/>
      <c r="S2784" s="682"/>
      <c r="T2784" s="682"/>
      <c r="U2784" s="682"/>
      <c r="V2784" s="682"/>
      <c r="W2784" s="682"/>
    </row>
    <row r="2785" spans="1:23">
      <c r="A2785" s="1045">
        <f t="shared" si="44"/>
        <v>8</v>
      </c>
      <c r="B2785" s="134">
        <v>45525</v>
      </c>
      <c r="C2785" s="70">
        <v>1017</v>
      </c>
      <c r="D2785" s="70" t="s">
        <v>5118</v>
      </c>
      <c r="E2785" s="280" t="s">
        <v>4611</v>
      </c>
      <c r="F2785" s="1049"/>
      <c r="G2785" s="1049">
        <v>52.5</v>
      </c>
      <c r="H2785" s="564"/>
      <c r="I2785" s="609"/>
      <c r="J2785" s="1155"/>
      <c r="K2785" s="609"/>
      <c r="L2785" s="609"/>
      <c r="M2785" s="609"/>
      <c r="N2785" s="599"/>
      <c r="O2785" s="552" t="s">
        <v>1584</v>
      </c>
      <c r="P2785" s="603"/>
      <c r="Q2785" s="682"/>
      <c r="R2785" s="682"/>
      <c r="S2785" s="682"/>
      <c r="T2785" s="682"/>
      <c r="U2785" s="682"/>
      <c r="V2785" s="682"/>
      <c r="W2785" s="682"/>
    </row>
    <row r="2786" spans="1:23">
      <c r="A2786" s="1045">
        <f t="shared" si="44"/>
        <v>8</v>
      </c>
      <c r="B2786" s="134">
        <v>45526</v>
      </c>
      <c r="C2786" s="70">
        <v>1022</v>
      </c>
      <c r="D2786" s="70" t="s">
        <v>5119</v>
      </c>
      <c r="E2786" s="280" t="s">
        <v>4612</v>
      </c>
      <c r="F2786" s="1049"/>
      <c r="G2786" s="1049">
        <v>22329</v>
      </c>
      <c r="H2786" s="564"/>
      <c r="I2786" s="609"/>
      <c r="J2786" s="1155"/>
      <c r="K2786" s="609"/>
      <c r="L2786" s="609"/>
      <c r="M2786" s="609"/>
      <c r="N2786" s="599"/>
      <c r="O2786" s="552" t="s">
        <v>1584</v>
      </c>
      <c r="P2786" s="603"/>
      <c r="Q2786" s="682"/>
      <c r="R2786" s="682"/>
      <c r="S2786" s="682"/>
      <c r="T2786" s="682"/>
      <c r="U2786" s="682"/>
      <c r="V2786" s="682"/>
      <c r="W2786" s="682"/>
    </row>
    <row r="2787" spans="1:23">
      <c r="A2787" s="1045">
        <f t="shared" si="44"/>
        <v>8</v>
      </c>
      <c r="B2787" s="134">
        <v>45526</v>
      </c>
      <c r="C2787" s="70">
        <v>1017</v>
      </c>
      <c r="D2787" s="70" t="s">
        <v>5118</v>
      </c>
      <c r="E2787" s="280" t="s">
        <v>4613</v>
      </c>
      <c r="F2787" s="1049"/>
      <c r="G2787" s="1049">
        <v>135.44999999999999</v>
      </c>
      <c r="H2787" s="564"/>
      <c r="I2787" s="609"/>
      <c r="J2787" s="1155"/>
      <c r="K2787" s="609"/>
      <c r="L2787" s="609"/>
      <c r="M2787" s="609"/>
      <c r="N2787" s="599"/>
      <c r="O2787" s="552" t="s">
        <v>1584</v>
      </c>
      <c r="P2787" s="603"/>
      <c r="Q2787" s="682"/>
      <c r="R2787" s="682"/>
      <c r="S2787" s="682"/>
      <c r="T2787" s="682"/>
      <c r="U2787" s="682"/>
      <c r="V2787" s="682"/>
      <c r="W2787" s="682"/>
    </row>
    <row r="2788" spans="1:23">
      <c r="A2788" s="1045">
        <f t="shared" si="44"/>
        <v>8</v>
      </c>
      <c r="B2788" s="134">
        <v>45526</v>
      </c>
      <c r="C2788" s="70">
        <v>1017</v>
      </c>
      <c r="D2788" s="70" t="s">
        <v>5118</v>
      </c>
      <c r="E2788" s="280" t="s">
        <v>4614</v>
      </c>
      <c r="F2788" s="1049"/>
      <c r="G2788" s="1049">
        <v>169.89</v>
      </c>
      <c r="H2788" s="564"/>
      <c r="I2788" s="609"/>
      <c r="J2788" s="1155"/>
      <c r="K2788" s="609"/>
      <c r="L2788" s="609"/>
      <c r="M2788" s="609"/>
      <c r="N2788" s="599"/>
      <c r="O2788" s="552" t="s">
        <v>1584</v>
      </c>
      <c r="P2788" s="603"/>
      <c r="Q2788" s="682"/>
      <c r="R2788" s="682"/>
      <c r="S2788" s="682"/>
      <c r="T2788" s="682"/>
      <c r="U2788" s="682"/>
      <c r="V2788" s="682"/>
      <c r="W2788" s="682"/>
    </row>
    <row r="2789" spans="1:23">
      <c r="A2789" s="1045">
        <f t="shared" si="44"/>
        <v>8</v>
      </c>
      <c r="B2789" s="134">
        <v>45526</v>
      </c>
      <c r="C2789" s="70">
        <v>1017</v>
      </c>
      <c r="D2789" s="70" t="s">
        <v>5118</v>
      </c>
      <c r="E2789" s="280" t="s">
        <v>4615</v>
      </c>
      <c r="F2789" s="1049"/>
      <c r="G2789" s="1049">
        <v>42</v>
      </c>
      <c r="H2789" s="564"/>
      <c r="I2789" s="609"/>
      <c r="J2789" s="1155"/>
      <c r="K2789" s="609"/>
      <c r="L2789" s="609"/>
      <c r="M2789" s="609"/>
      <c r="N2789" s="599"/>
      <c r="O2789" s="552" t="s">
        <v>1584</v>
      </c>
      <c r="P2789" s="603"/>
      <c r="Q2789" s="682"/>
      <c r="R2789" s="682"/>
      <c r="S2789" s="682"/>
      <c r="T2789" s="682"/>
      <c r="U2789" s="682"/>
      <c r="V2789" s="682"/>
      <c r="W2789" s="682"/>
    </row>
    <row r="2790" spans="1:23">
      <c r="A2790" s="1045">
        <f t="shared" si="44"/>
        <v>8</v>
      </c>
      <c r="B2790" s="134">
        <v>45526</v>
      </c>
      <c r="C2790" s="70">
        <v>1017</v>
      </c>
      <c r="D2790" s="70" t="s">
        <v>5118</v>
      </c>
      <c r="E2790" s="280" t="s">
        <v>4616</v>
      </c>
      <c r="F2790" s="1049"/>
      <c r="G2790" s="1049">
        <v>814.8</v>
      </c>
      <c r="H2790" s="564"/>
      <c r="I2790" s="609"/>
      <c r="J2790" s="1155"/>
      <c r="K2790" s="609"/>
      <c r="L2790" s="609"/>
      <c r="M2790" s="609"/>
      <c r="N2790" s="599"/>
      <c r="O2790" s="552" t="s">
        <v>1584</v>
      </c>
      <c r="P2790" s="603"/>
      <c r="Q2790" s="682"/>
      <c r="R2790" s="682"/>
      <c r="S2790" s="682"/>
      <c r="T2790" s="682"/>
      <c r="U2790" s="682"/>
      <c r="V2790" s="682"/>
      <c r="W2790" s="682"/>
    </row>
    <row r="2791" spans="1:23">
      <c r="A2791" s="1045">
        <f t="shared" si="44"/>
        <v>8</v>
      </c>
      <c r="B2791" s="134">
        <v>45526</v>
      </c>
      <c r="C2791" s="70">
        <v>1017</v>
      </c>
      <c r="D2791" s="70" t="s">
        <v>5118</v>
      </c>
      <c r="E2791" s="280" t="s">
        <v>4617</v>
      </c>
      <c r="F2791" s="1049"/>
      <c r="G2791" s="1049">
        <v>25.2</v>
      </c>
      <c r="H2791" s="564"/>
      <c r="I2791" s="609"/>
      <c r="J2791" s="1155"/>
      <c r="K2791" s="609"/>
      <c r="L2791" s="609"/>
      <c r="M2791" s="609"/>
      <c r="N2791" s="599"/>
      <c r="O2791" s="552" t="s">
        <v>1584</v>
      </c>
      <c r="P2791" s="603"/>
      <c r="Q2791" s="682"/>
      <c r="R2791" s="682"/>
      <c r="S2791" s="682"/>
      <c r="T2791" s="682"/>
      <c r="U2791" s="682"/>
      <c r="V2791" s="682"/>
      <c r="W2791" s="682"/>
    </row>
    <row r="2792" spans="1:23">
      <c r="A2792" s="1045">
        <f t="shared" si="44"/>
        <v>8</v>
      </c>
      <c r="B2792" s="134">
        <v>45526</v>
      </c>
      <c r="C2792" s="70">
        <v>1017</v>
      </c>
      <c r="D2792" s="70" t="s">
        <v>5118</v>
      </c>
      <c r="E2792" s="280" t="s">
        <v>4618</v>
      </c>
      <c r="F2792" s="1049"/>
      <c r="G2792" s="1049">
        <v>33.6</v>
      </c>
      <c r="H2792" s="564"/>
      <c r="I2792" s="609"/>
      <c r="J2792" s="1155"/>
      <c r="K2792" s="609"/>
      <c r="L2792" s="609"/>
      <c r="M2792" s="609"/>
      <c r="N2792" s="599"/>
      <c r="O2792" s="552" t="s">
        <v>1584</v>
      </c>
      <c r="P2792" s="603"/>
      <c r="Q2792" s="682"/>
      <c r="R2792" s="682"/>
      <c r="S2792" s="682"/>
      <c r="T2792" s="682"/>
      <c r="U2792" s="682"/>
      <c r="V2792" s="682"/>
      <c r="W2792" s="682"/>
    </row>
    <row r="2793" spans="1:23">
      <c r="A2793" s="1045">
        <f t="shared" si="44"/>
        <v>8</v>
      </c>
      <c r="B2793" s="134">
        <v>45526</v>
      </c>
      <c r="C2793" s="70">
        <v>1017</v>
      </c>
      <c r="D2793" s="70" t="s">
        <v>5118</v>
      </c>
      <c r="E2793" s="280" t="s">
        <v>4619</v>
      </c>
      <c r="F2793" s="1049"/>
      <c r="G2793" s="1049">
        <v>25.2</v>
      </c>
      <c r="H2793" s="564"/>
      <c r="I2793" s="609"/>
      <c r="J2793" s="1155"/>
      <c r="K2793" s="609"/>
      <c r="L2793" s="609"/>
      <c r="M2793" s="609"/>
      <c r="N2793" s="599"/>
      <c r="O2793" s="552" t="s">
        <v>1584</v>
      </c>
      <c r="P2793" s="603"/>
      <c r="Q2793" s="682"/>
      <c r="R2793" s="682"/>
      <c r="S2793" s="682"/>
      <c r="T2793" s="682"/>
      <c r="U2793" s="682"/>
      <c r="V2793" s="682"/>
      <c r="W2793" s="682"/>
    </row>
    <row r="2794" spans="1:23">
      <c r="A2794" s="1045">
        <f t="shared" si="44"/>
        <v>8</v>
      </c>
      <c r="B2794" s="134">
        <v>45526</v>
      </c>
      <c r="C2794" s="70">
        <v>1017</v>
      </c>
      <c r="D2794" s="70" t="s">
        <v>5118</v>
      </c>
      <c r="E2794" s="280" t="s">
        <v>4620</v>
      </c>
      <c r="F2794" s="1049"/>
      <c r="G2794" s="1049">
        <v>12.6</v>
      </c>
      <c r="H2794" s="564"/>
      <c r="I2794" s="609"/>
      <c r="J2794" s="1155"/>
      <c r="K2794" s="609"/>
      <c r="L2794" s="609"/>
      <c r="M2794" s="609"/>
      <c r="N2794" s="599"/>
      <c r="O2794" s="552" t="s">
        <v>1584</v>
      </c>
      <c r="P2794" s="603"/>
      <c r="Q2794" s="682"/>
      <c r="R2794" s="682"/>
      <c r="S2794" s="682"/>
      <c r="T2794" s="682"/>
      <c r="U2794" s="682"/>
      <c r="V2794" s="682"/>
      <c r="W2794" s="682"/>
    </row>
    <row r="2795" spans="1:23">
      <c r="A2795" s="1045">
        <f t="shared" si="44"/>
        <v>8</v>
      </c>
      <c r="B2795" s="134">
        <v>45527</v>
      </c>
      <c r="C2795" s="70">
        <v>1017</v>
      </c>
      <c r="D2795" s="70" t="s">
        <v>5118</v>
      </c>
      <c r="E2795" s="280" t="s">
        <v>4621</v>
      </c>
      <c r="F2795" s="1049"/>
      <c r="G2795" s="1049">
        <v>65.75</v>
      </c>
      <c r="H2795" s="564"/>
      <c r="I2795" s="609"/>
      <c r="J2795" s="1155"/>
      <c r="K2795" s="609"/>
      <c r="L2795" s="609"/>
      <c r="M2795" s="609"/>
      <c r="N2795" s="599"/>
      <c r="O2795" s="552" t="s">
        <v>1584</v>
      </c>
      <c r="P2795" s="603"/>
      <c r="Q2795" s="682"/>
      <c r="R2795" s="682"/>
      <c r="S2795" s="682"/>
      <c r="T2795" s="682"/>
      <c r="U2795" s="682"/>
      <c r="V2795" s="682"/>
      <c r="W2795" s="682"/>
    </row>
    <row r="2796" spans="1:23">
      <c r="A2796" s="1045">
        <f t="shared" si="44"/>
        <v>8</v>
      </c>
      <c r="B2796" s="134">
        <v>45528</v>
      </c>
      <c r="C2796" s="70">
        <v>1017</v>
      </c>
      <c r="D2796" s="70" t="s">
        <v>5118</v>
      </c>
      <c r="E2796" s="280" t="s">
        <v>4622</v>
      </c>
      <c r="F2796" s="1049"/>
      <c r="G2796" s="1049">
        <v>355.16</v>
      </c>
      <c r="H2796" s="564"/>
      <c r="I2796" s="609"/>
      <c r="J2796" s="1155"/>
      <c r="K2796" s="609"/>
      <c r="L2796" s="609"/>
      <c r="M2796" s="609"/>
      <c r="N2796" s="599"/>
      <c r="O2796" s="552" t="s">
        <v>1584</v>
      </c>
      <c r="P2796" s="603"/>
      <c r="Q2796" s="682"/>
      <c r="R2796" s="682"/>
      <c r="S2796" s="682"/>
      <c r="T2796" s="682"/>
      <c r="U2796" s="682"/>
      <c r="V2796" s="682"/>
      <c r="W2796" s="682"/>
    </row>
    <row r="2797" spans="1:23">
      <c r="A2797" s="1045">
        <f t="shared" si="44"/>
        <v>8</v>
      </c>
      <c r="B2797" s="134">
        <v>45528</v>
      </c>
      <c r="C2797" s="70">
        <v>1017</v>
      </c>
      <c r="D2797" s="70" t="s">
        <v>5118</v>
      </c>
      <c r="E2797" s="280" t="s">
        <v>4623</v>
      </c>
      <c r="F2797" s="1049"/>
      <c r="G2797" s="1049">
        <v>481.95</v>
      </c>
      <c r="H2797" s="564"/>
      <c r="I2797" s="609"/>
      <c r="J2797" s="1155"/>
      <c r="K2797" s="609"/>
      <c r="L2797" s="609"/>
      <c r="M2797" s="609"/>
      <c r="N2797" s="599"/>
      <c r="O2797" s="552" t="s">
        <v>1584</v>
      </c>
      <c r="P2797" s="603"/>
      <c r="Q2797" s="682"/>
      <c r="R2797" s="682"/>
      <c r="S2797" s="682"/>
      <c r="T2797" s="682"/>
      <c r="U2797" s="682"/>
      <c r="V2797" s="682"/>
      <c r="W2797" s="682"/>
    </row>
    <row r="2798" spans="1:23">
      <c r="A2798" s="1045">
        <f t="shared" si="44"/>
        <v>8</v>
      </c>
      <c r="B2798" s="134">
        <v>45528</v>
      </c>
      <c r="C2798" s="70">
        <v>1017</v>
      </c>
      <c r="D2798" s="70" t="s">
        <v>5118</v>
      </c>
      <c r="E2798" s="280" t="s">
        <v>4624</v>
      </c>
      <c r="F2798" s="1049"/>
      <c r="G2798" s="1049">
        <v>10.5</v>
      </c>
      <c r="H2798" s="564"/>
      <c r="I2798" s="609"/>
      <c r="J2798" s="1155"/>
      <c r="K2798" s="609"/>
      <c r="L2798" s="609"/>
      <c r="M2798" s="609"/>
      <c r="N2798" s="599"/>
      <c r="O2798" s="552" t="s">
        <v>1584</v>
      </c>
      <c r="P2798" s="603"/>
      <c r="Q2798" s="682"/>
      <c r="R2798" s="682"/>
      <c r="S2798" s="682"/>
      <c r="T2798" s="682"/>
      <c r="U2798" s="682"/>
      <c r="V2798" s="682"/>
      <c r="W2798" s="682"/>
    </row>
    <row r="2799" spans="1:23">
      <c r="A2799" s="1045">
        <f t="shared" si="44"/>
        <v>8</v>
      </c>
      <c r="B2799" s="134">
        <v>45528</v>
      </c>
      <c r="C2799" s="70">
        <v>1017</v>
      </c>
      <c r="D2799" s="70" t="s">
        <v>5118</v>
      </c>
      <c r="E2799" s="280" t="s">
        <v>4625</v>
      </c>
      <c r="F2799" s="1049"/>
      <c r="G2799" s="1049">
        <v>99.7</v>
      </c>
      <c r="H2799" s="564"/>
      <c r="I2799" s="609"/>
      <c r="J2799" s="1155"/>
      <c r="K2799" s="609"/>
      <c r="L2799" s="609"/>
      <c r="M2799" s="609"/>
      <c r="N2799" s="599"/>
      <c r="O2799" s="552" t="s">
        <v>1584</v>
      </c>
      <c r="P2799" s="603"/>
      <c r="Q2799" s="682"/>
      <c r="R2799" s="682"/>
      <c r="S2799" s="682"/>
      <c r="T2799" s="682"/>
      <c r="U2799" s="682"/>
      <c r="V2799" s="682"/>
      <c r="W2799" s="682"/>
    </row>
    <row r="2800" spans="1:23">
      <c r="A2800" s="1045">
        <f t="shared" si="44"/>
        <v>8</v>
      </c>
      <c r="B2800" s="134">
        <v>45528</v>
      </c>
      <c r="C2800" s="70">
        <v>1017</v>
      </c>
      <c r="D2800" s="70" t="s">
        <v>5118</v>
      </c>
      <c r="E2800" s="280" t="s">
        <v>4626</v>
      </c>
      <c r="F2800" s="1049"/>
      <c r="G2800" s="1049">
        <v>15</v>
      </c>
      <c r="H2800" s="564"/>
      <c r="I2800" s="609"/>
      <c r="J2800" s="1155"/>
      <c r="K2800" s="609"/>
      <c r="L2800" s="609"/>
      <c r="M2800" s="609"/>
      <c r="N2800" s="599"/>
      <c r="O2800" s="552" t="s">
        <v>1584</v>
      </c>
      <c r="P2800" s="603"/>
      <c r="Q2800" s="682"/>
      <c r="R2800" s="682"/>
      <c r="S2800" s="682"/>
      <c r="T2800" s="682"/>
      <c r="U2800" s="682"/>
      <c r="V2800" s="682"/>
      <c r="W2800" s="682"/>
    </row>
    <row r="2801" spans="1:23">
      <c r="A2801" s="1045">
        <f t="shared" si="44"/>
        <v>8</v>
      </c>
      <c r="B2801" s="134">
        <v>45528</v>
      </c>
      <c r="C2801" s="70">
        <v>1017</v>
      </c>
      <c r="D2801" s="70" t="s">
        <v>5118</v>
      </c>
      <c r="E2801" s="280" t="s">
        <v>4627</v>
      </c>
      <c r="F2801" s="1049"/>
      <c r="G2801" s="1049">
        <v>6</v>
      </c>
      <c r="H2801" s="564"/>
      <c r="I2801" s="609"/>
      <c r="J2801" s="1155"/>
      <c r="K2801" s="609"/>
      <c r="L2801" s="609"/>
      <c r="M2801" s="609"/>
      <c r="N2801" s="599"/>
      <c r="O2801" s="552" t="s">
        <v>1584</v>
      </c>
      <c r="P2801" s="603"/>
      <c r="Q2801" s="682"/>
      <c r="R2801" s="682"/>
      <c r="S2801" s="682"/>
      <c r="T2801" s="682"/>
      <c r="U2801" s="682"/>
      <c r="V2801" s="682"/>
      <c r="W2801" s="682"/>
    </row>
    <row r="2802" spans="1:23">
      <c r="A2802" s="1045">
        <f t="shared" si="44"/>
        <v>8</v>
      </c>
      <c r="B2802" s="134">
        <v>45529</v>
      </c>
      <c r="C2802" s="70">
        <v>1017</v>
      </c>
      <c r="D2802" s="70" t="s">
        <v>5118</v>
      </c>
      <c r="E2802" s="280" t="s">
        <v>4628</v>
      </c>
      <c r="F2802" s="1049"/>
      <c r="G2802" s="1049">
        <v>781.2</v>
      </c>
      <c r="H2802" s="564"/>
      <c r="I2802" s="609"/>
      <c r="J2802" s="1155"/>
      <c r="K2802" s="609"/>
      <c r="L2802" s="609"/>
      <c r="M2802" s="609"/>
      <c r="N2802" s="599"/>
      <c r="O2802" s="552" t="s">
        <v>1584</v>
      </c>
      <c r="P2802" s="603"/>
      <c r="Q2802" s="682"/>
      <c r="R2802" s="682"/>
      <c r="S2802" s="682"/>
      <c r="T2802" s="682"/>
      <c r="U2802" s="682"/>
      <c r="V2802" s="682"/>
      <c r="W2802" s="682"/>
    </row>
    <row r="2803" spans="1:23">
      <c r="A2803" s="1045">
        <f t="shared" si="44"/>
        <v>8</v>
      </c>
      <c r="B2803" s="134">
        <v>45529</v>
      </c>
      <c r="C2803" s="70">
        <v>1017</v>
      </c>
      <c r="D2803" s="70" t="s">
        <v>5118</v>
      </c>
      <c r="E2803" s="280" t="s">
        <v>4629</v>
      </c>
      <c r="F2803" s="1049"/>
      <c r="G2803" s="1049">
        <v>168</v>
      </c>
      <c r="H2803" s="564"/>
      <c r="I2803" s="609"/>
      <c r="J2803" s="1155"/>
      <c r="K2803" s="609"/>
      <c r="L2803" s="609"/>
      <c r="M2803" s="609"/>
      <c r="N2803" s="599"/>
      <c r="O2803" s="552" t="s">
        <v>1584</v>
      </c>
      <c r="P2803" s="603"/>
      <c r="Q2803" s="682"/>
      <c r="R2803" s="682"/>
      <c r="S2803" s="682"/>
      <c r="T2803" s="682"/>
      <c r="U2803" s="682"/>
      <c r="V2803" s="682"/>
      <c r="W2803" s="682"/>
    </row>
    <row r="2804" spans="1:23">
      <c r="A2804" s="1045">
        <f t="shared" si="44"/>
        <v>8</v>
      </c>
      <c r="B2804" s="134">
        <v>45529</v>
      </c>
      <c r="C2804" s="70">
        <v>1017</v>
      </c>
      <c r="D2804" s="70" t="s">
        <v>5118</v>
      </c>
      <c r="E2804" s="280" t="s">
        <v>4630</v>
      </c>
      <c r="F2804" s="1049"/>
      <c r="G2804" s="1049">
        <v>94.5</v>
      </c>
      <c r="H2804" s="564"/>
      <c r="I2804" s="609"/>
      <c r="J2804" s="1155"/>
      <c r="K2804" s="609"/>
      <c r="L2804" s="609"/>
      <c r="M2804" s="609"/>
      <c r="N2804" s="599"/>
      <c r="O2804" s="552" t="s">
        <v>1584</v>
      </c>
      <c r="P2804" s="603"/>
      <c r="Q2804" s="682"/>
      <c r="R2804" s="682"/>
      <c r="S2804" s="682"/>
      <c r="T2804" s="682"/>
      <c r="U2804" s="682"/>
      <c r="V2804" s="682"/>
      <c r="W2804" s="682"/>
    </row>
    <row r="2805" spans="1:23">
      <c r="A2805" s="1045">
        <f t="shared" si="44"/>
        <v>8</v>
      </c>
      <c r="B2805" s="134">
        <v>45529</v>
      </c>
      <c r="C2805" s="70">
        <v>1017</v>
      </c>
      <c r="D2805" s="70" t="s">
        <v>5118</v>
      </c>
      <c r="E2805" s="280" t="s">
        <v>4631</v>
      </c>
      <c r="F2805" s="1049"/>
      <c r="G2805" s="1049">
        <v>14.9</v>
      </c>
      <c r="H2805" s="564"/>
      <c r="I2805" s="609"/>
      <c r="J2805" s="1155"/>
      <c r="K2805" s="609"/>
      <c r="L2805" s="609"/>
      <c r="M2805" s="609"/>
      <c r="N2805" s="599"/>
      <c r="O2805" s="552" t="s">
        <v>1584</v>
      </c>
      <c r="P2805" s="603"/>
      <c r="Q2805" s="682"/>
      <c r="R2805" s="682"/>
      <c r="S2805" s="682"/>
      <c r="T2805" s="682"/>
      <c r="U2805" s="682"/>
      <c r="V2805" s="682"/>
      <c r="W2805" s="682"/>
    </row>
    <row r="2806" spans="1:23">
      <c r="A2806" s="1045">
        <f t="shared" si="44"/>
        <v>8</v>
      </c>
      <c r="B2806" s="134">
        <v>45529</v>
      </c>
      <c r="C2806" s="70">
        <v>1017</v>
      </c>
      <c r="D2806" s="70" t="s">
        <v>5118</v>
      </c>
      <c r="E2806" s="280" t="s">
        <v>4632</v>
      </c>
      <c r="F2806" s="1049"/>
      <c r="G2806" s="1049">
        <v>15.75</v>
      </c>
      <c r="H2806" s="564"/>
      <c r="I2806" s="609"/>
      <c r="J2806" s="1155"/>
      <c r="K2806" s="609"/>
      <c r="L2806" s="609"/>
      <c r="M2806" s="609"/>
      <c r="N2806" s="599"/>
      <c r="O2806" s="552" t="s">
        <v>1584</v>
      </c>
      <c r="P2806" s="603"/>
      <c r="Q2806" s="682"/>
      <c r="R2806" s="682"/>
      <c r="S2806" s="682"/>
      <c r="T2806" s="682"/>
      <c r="U2806" s="682"/>
      <c r="V2806" s="682"/>
      <c r="W2806" s="682"/>
    </row>
    <row r="2807" spans="1:23">
      <c r="A2807" s="1045">
        <f t="shared" si="44"/>
        <v>8</v>
      </c>
      <c r="B2807" s="134">
        <v>45529</v>
      </c>
      <c r="C2807" s="70">
        <v>1017</v>
      </c>
      <c r="D2807" s="70" t="s">
        <v>5118</v>
      </c>
      <c r="E2807" s="280" t="s">
        <v>4633</v>
      </c>
      <c r="F2807" s="1049"/>
      <c r="G2807" s="1049">
        <v>588.01</v>
      </c>
      <c r="H2807" s="564"/>
      <c r="I2807" s="609"/>
      <c r="J2807" s="1155"/>
      <c r="K2807" s="609"/>
      <c r="L2807" s="609"/>
      <c r="M2807" s="609"/>
      <c r="N2807" s="599"/>
      <c r="O2807" s="552" t="s">
        <v>1584</v>
      </c>
      <c r="P2807" s="603"/>
      <c r="Q2807" s="682"/>
      <c r="R2807" s="682"/>
      <c r="S2807" s="682"/>
      <c r="T2807" s="682"/>
      <c r="U2807" s="682"/>
      <c r="V2807" s="682"/>
      <c r="W2807" s="682"/>
    </row>
    <row r="2808" spans="1:23">
      <c r="A2808" s="1045">
        <f t="shared" si="44"/>
        <v>8</v>
      </c>
      <c r="B2808" s="134">
        <v>45530</v>
      </c>
      <c r="C2808" s="70">
        <v>1017</v>
      </c>
      <c r="D2808" s="70" t="s">
        <v>5118</v>
      </c>
      <c r="E2808" s="280" t="s">
        <v>4634</v>
      </c>
      <c r="F2808" s="1049"/>
      <c r="G2808" s="1049">
        <v>29.4</v>
      </c>
      <c r="H2808" s="564"/>
      <c r="I2808" s="609"/>
      <c r="J2808" s="1155"/>
      <c r="K2808" s="609"/>
      <c r="L2808" s="609"/>
      <c r="M2808" s="609"/>
      <c r="N2808" s="599"/>
      <c r="O2808" s="552" t="s">
        <v>1584</v>
      </c>
      <c r="P2808" s="603"/>
      <c r="Q2808" s="682"/>
      <c r="R2808" s="682"/>
      <c r="S2808" s="682"/>
      <c r="T2808" s="682"/>
      <c r="U2808" s="682"/>
      <c r="V2808" s="682"/>
      <c r="W2808" s="682"/>
    </row>
    <row r="2809" spans="1:23">
      <c r="A2809" s="1045">
        <f t="shared" si="44"/>
        <v>8</v>
      </c>
      <c r="B2809" s="134">
        <v>45530</v>
      </c>
      <c r="C2809" s="70">
        <v>1017</v>
      </c>
      <c r="D2809" s="70" t="s">
        <v>5118</v>
      </c>
      <c r="E2809" s="280" t="s">
        <v>4635</v>
      </c>
      <c r="F2809" s="1049"/>
      <c r="G2809" s="1049">
        <v>279.29000000000002</v>
      </c>
      <c r="H2809" s="564"/>
      <c r="I2809" s="609"/>
      <c r="J2809" s="1155"/>
      <c r="K2809" s="609"/>
      <c r="L2809" s="609"/>
      <c r="M2809" s="609"/>
      <c r="N2809" s="599"/>
      <c r="O2809" s="552" t="s">
        <v>1584</v>
      </c>
      <c r="P2809" s="603"/>
      <c r="Q2809" s="682"/>
      <c r="R2809" s="682"/>
      <c r="S2809" s="682"/>
      <c r="T2809" s="682"/>
      <c r="U2809" s="682"/>
      <c r="V2809" s="682"/>
      <c r="W2809" s="682"/>
    </row>
    <row r="2810" spans="1:23">
      <c r="A2810" s="1045">
        <f t="shared" si="44"/>
        <v>8</v>
      </c>
      <c r="B2810" s="134">
        <v>45530</v>
      </c>
      <c r="C2810" s="70">
        <v>1017</v>
      </c>
      <c r="D2810" s="70" t="s">
        <v>5118</v>
      </c>
      <c r="E2810" s="280" t="s">
        <v>4636</v>
      </c>
      <c r="F2810" s="1049"/>
      <c r="G2810" s="1049">
        <v>384.3</v>
      </c>
      <c r="H2810" s="564"/>
      <c r="I2810" s="609"/>
      <c r="J2810" s="1155"/>
      <c r="K2810" s="609"/>
      <c r="L2810" s="609"/>
      <c r="M2810" s="609"/>
      <c r="N2810" s="599"/>
      <c r="O2810" s="552" t="s">
        <v>1584</v>
      </c>
      <c r="P2810" s="603"/>
      <c r="Q2810" s="682"/>
      <c r="R2810" s="682"/>
      <c r="S2810" s="682"/>
      <c r="T2810" s="682"/>
      <c r="U2810" s="682"/>
      <c r="V2810" s="682"/>
      <c r="W2810" s="682"/>
    </row>
    <row r="2811" spans="1:23">
      <c r="A2811" s="1045">
        <f t="shared" si="44"/>
        <v>8</v>
      </c>
      <c r="B2811" s="134">
        <v>45530</v>
      </c>
      <c r="C2811" s="70">
        <v>1017</v>
      </c>
      <c r="D2811" s="70" t="s">
        <v>5118</v>
      </c>
      <c r="E2811" s="280" t="s">
        <v>4637</v>
      </c>
      <c r="F2811" s="1049"/>
      <c r="G2811" s="1049">
        <v>31.5</v>
      </c>
      <c r="H2811" s="564"/>
      <c r="I2811" s="609"/>
      <c r="J2811" s="1155"/>
      <c r="K2811" s="609"/>
      <c r="L2811" s="609"/>
      <c r="M2811" s="609"/>
      <c r="N2811" s="599"/>
      <c r="O2811" s="552" t="s">
        <v>1584</v>
      </c>
      <c r="P2811" s="603"/>
      <c r="Q2811" s="682"/>
      <c r="R2811" s="682"/>
      <c r="S2811" s="682"/>
      <c r="T2811" s="682"/>
      <c r="U2811" s="682"/>
      <c r="V2811" s="682"/>
      <c r="W2811" s="682"/>
    </row>
    <row r="2812" spans="1:23">
      <c r="A2812" s="1045">
        <f t="shared" si="44"/>
        <v>8</v>
      </c>
      <c r="B2812" s="134">
        <v>45530</v>
      </c>
      <c r="C2812" s="70">
        <v>1017</v>
      </c>
      <c r="D2812" s="70" t="s">
        <v>5118</v>
      </c>
      <c r="E2812" s="280" t="s">
        <v>4638</v>
      </c>
      <c r="F2812" s="1049"/>
      <c r="G2812" s="1049">
        <v>10.5</v>
      </c>
      <c r="H2812" s="564"/>
      <c r="I2812" s="609"/>
      <c r="J2812" s="1155"/>
      <c r="K2812" s="609"/>
      <c r="L2812" s="609"/>
      <c r="M2812" s="609"/>
      <c r="N2812" s="599"/>
      <c r="O2812" s="552" t="s">
        <v>1584</v>
      </c>
      <c r="P2812" s="603"/>
      <c r="Q2812" s="682"/>
      <c r="R2812" s="682"/>
      <c r="S2812" s="682"/>
      <c r="T2812" s="682"/>
      <c r="U2812" s="682"/>
      <c r="V2812" s="682"/>
      <c r="W2812" s="682"/>
    </row>
    <row r="2813" spans="1:23">
      <c r="A2813" s="1045">
        <f t="shared" si="44"/>
        <v>8</v>
      </c>
      <c r="B2813" s="134">
        <v>45531</v>
      </c>
      <c r="C2813" s="70">
        <v>1017</v>
      </c>
      <c r="D2813" s="70" t="s">
        <v>5118</v>
      </c>
      <c r="E2813" s="280" t="s">
        <v>4639</v>
      </c>
      <c r="F2813" s="1049"/>
      <c r="G2813" s="1049">
        <v>193.45</v>
      </c>
      <c r="H2813" s="564"/>
      <c r="I2813" s="609"/>
      <c r="J2813" s="1155"/>
      <c r="K2813" s="609"/>
      <c r="L2813" s="609"/>
      <c r="M2813" s="609"/>
      <c r="N2813" s="599"/>
      <c r="O2813" s="552" t="s">
        <v>1584</v>
      </c>
      <c r="P2813" s="603"/>
      <c r="Q2813" s="682"/>
      <c r="R2813" s="682"/>
      <c r="S2813" s="682"/>
      <c r="T2813" s="682"/>
      <c r="U2813" s="682"/>
      <c r="V2813" s="682"/>
      <c r="W2813" s="682"/>
    </row>
    <row r="2814" spans="1:23">
      <c r="A2814" s="1045">
        <f t="shared" si="44"/>
        <v>8</v>
      </c>
      <c r="B2814" s="134">
        <v>45531</v>
      </c>
      <c r="C2814" s="70">
        <v>1017</v>
      </c>
      <c r="D2814" s="70" t="s">
        <v>5118</v>
      </c>
      <c r="E2814" s="280" t="s">
        <v>4640</v>
      </c>
      <c r="F2814" s="1049"/>
      <c r="G2814" s="1049">
        <v>15.02</v>
      </c>
      <c r="H2814" s="564"/>
      <c r="I2814" s="609"/>
      <c r="J2814" s="1155"/>
      <c r="K2814" s="609"/>
      <c r="L2814" s="609"/>
      <c r="M2814" s="609"/>
      <c r="N2814" s="599"/>
      <c r="O2814" s="552" t="s">
        <v>1584</v>
      </c>
      <c r="P2814" s="603"/>
      <c r="Q2814" s="682"/>
      <c r="R2814" s="682"/>
      <c r="S2814" s="682"/>
      <c r="T2814" s="682"/>
      <c r="U2814" s="682"/>
      <c r="V2814" s="682"/>
      <c r="W2814" s="682"/>
    </row>
    <row r="2815" spans="1:23">
      <c r="A2815" s="1045">
        <f t="shared" si="44"/>
        <v>8</v>
      </c>
      <c r="B2815" s="134">
        <v>45531</v>
      </c>
      <c r="C2815" s="70">
        <v>1017</v>
      </c>
      <c r="D2815" s="70" t="s">
        <v>5118</v>
      </c>
      <c r="E2815" s="280" t="s">
        <v>4641</v>
      </c>
      <c r="F2815" s="1049"/>
      <c r="G2815" s="1049">
        <v>31.5</v>
      </c>
      <c r="H2815" s="564"/>
      <c r="I2815" s="609"/>
      <c r="J2815" s="1155"/>
      <c r="K2815" s="609"/>
      <c r="L2815" s="609"/>
      <c r="M2815" s="609"/>
      <c r="N2815" s="599"/>
      <c r="O2815" s="552" t="s">
        <v>1584</v>
      </c>
      <c r="P2815" s="603"/>
      <c r="Q2815" s="682"/>
      <c r="R2815" s="682"/>
      <c r="S2815" s="682"/>
      <c r="T2815" s="682"/>
      <c r="U2815" s="682"/>
      <c r="V2815" s="682"/>
      <c r="W2815" s="682"/>
    </row>
    <row r="2816" spans="1:23">
      <c r="A2816" s="1045">
        <f t="shared" si="44"/>
        <v>8</v>
      </c>
      <c r="B2816" s="134">
        <v>45531</v>
      </c>
      <c r="C2816" s="70">
        <v>1017</v>
      </c>
      <c r="D2816" s="70" t="s">
        <v>5118</v>
      </c>
      <c r="E2816" s="280" t="s">
        <v>4642</v>
      </c>
      <c r="F2816" s="1049"/>
      <c r="G2816" s="1049">
        <v>399</v>
      </c>
      <c r="H2816" s="564"/>
      <c r="I2816" s="609"/>
      <c r="J2816" s="1155"/>
      <c r="K2816" s="609"/>
      <c r="L2816" s="609"/>
      <c r="M2816" s="609"/>
      <c r="N2816" s="599"/>
      <c r="O2816" s="552" t="s">
        <v>1584</v>
      </c>
      <c r="P2816" s="603"/>
      <c r="Q2816" s="682"/>
      <c r="R2816" s="682"/>
      <c r="S2816" s="682"/>
      <c r="T2816" s="682"/>
      <c r="U2816" s="682"/>
      <c r="V2816" s="682"/>
      <c r="W2816" s="682"/>
    </row>
    <row r="2817" spans="1:23">
      <c r="A2817" s="1045">
        <f t="shared" si="44"/>
        <v>8</v>
      </c>
      <c r="B2817" s="134">
        <v>45531</v>
      </c>
      <c r="C2817" s="70">
        <v>1017</v>
      </c>
      <c r="D2817" s="70" t="s">
        <v>5118</v>
      </c>
      <c r="E2817" s="280" t="s">
        <v>4643</v>
      </c>
      <c r="F2817" s="1049"/>
      <c r="G2817" s="1049">
        <v>14.5</v>
      </c>
      <c r="H2817" s="564"/>
      <c r="I2817" s="609"/>
      <c r="J2817" s="1155"/>
      <c r="K2817" s="609"/>
      <c r="L2817" s="609"/>
      <c r="M2817" s="609"/>
      <c r="N2817" s="599"/>
      <c r="O2817" s="552" t="s">
        <v>1584</v>
      </c>
      <c r="P2817" s="603"/>
      <c r="Q2817" s="682"/>
      <c r="R2817" s="682"/>
      <c r="S2817" s="682"/>
      <c r="T2817" s="682"/>
      <c r="U2817" s="682"/>
      <c r="V2817" s="682"/>
      <c r="W2817" s="682"/>
    </row>
    <row r="2818" spans="1:23">
      <c r="A2818" s="1045">
        <f t="shared" si="44"/>
        <v>8</v>
      </c>
      <c r="B2818" s="134">
        <v>45532</v>
      </c>
      <c r="C2818" s="70">
        <v>1017</v>
      </c>
      <c r="D2818" s="70" t="s">
        <v>5118</v>
      </c>
      <c r="E2818" s="280" t="s">
        <v>4644</v>
      </c>
      <c r="F2818" s="1049"/>
      <c r="G2818" s="1049">
        <v>110.25</v>
      </c>
      <c r="H2818" s="564"/>
      <c r="I2818" s="609"/>
      <c r="J2818" s="1155"/>
      <c r="K2818" s="609"/>
      <c r="L2818" s="609"/>
      <c r="M2818" s="609"/>
      <c r="N2818" s="599"/>
      <c r="O2818" s="552" t="s">
        <v>1584</v>
      </c>
      <c r="P2818" s="603"/>
      <c r="Q2818" s="682"/>
      <c r="R2818" s="682"/>
      <c r="S2818" s="682"/>
      <c r="T2818" s="682"/>
      <c r="U2818" s="682"/>
      <c r="V2818" s="682"/>
      <c r="W2818" s="682"/>
    </row>
    <row r="2819" spans="1:23">
      <c r="A2819" s="1045">
        <f t="shared" si="44"/>
        <v>8</v>
      </c>
      <c r="B2819" s="134">
        <v>45532</v>
      </c>
      <c r="C2819" s="70">
        <v>1017</v>
      </c>
      <c r="D2819" s="70" t="s">
        <v>5118</v>
      </c>
      <c r="E2819" s="280" t="s">
        <v>4645</v>
      </c>
      <c r="F2819" s="1049"/>
      <c r="G2819" s="1049">
        <v>31.5</v>
      </c>
      <c r="H2819" s="564"/>
      <c r="I2819" s="609"/>
      <c r="J2819" s="1155"/>
      <c r="K2819" s="609"/>
      <c r="L2819" s="609"/>
      <c r="M2819" s="609"/>
      <c r="N2819" s="599"/>
      <c r="O2819" s="552" t="s">
        <v>1584</v>
      </c>
      <c r="P2819" s="603"/>
      <c r="Q2819" s="682"/>
      <c r="R2819" s="682"/>
      <c r="S2819" s="682"/>
      <c r="T2819" s="682"/>
      <c r="U2819" s="682"/>
      <c r="V2819" s="682"/>
      <c r="W2819" s="682"/>
    </row>
    <row r="2820" spans="1:23">
      <c r="A2820" s="1045">
        <f t="shared" si="44"/>
        <v>8</v>
      </c>
      <c r="B2820" s="134">
        <v>45532</v>
      </c>
      <c r="C2820" s="70">
        <v>1017</v>
      </c>
      <c r="D2820" s="70" t="s">
        <v>5118</v>
      </c>
      <c r="E2820" s="280" t="s">
        <v>4646</v>
      </c>
      <c r="F2820" s="1049"/>
      <c r="G2820" s="1049">
        <v>210</v>
      </c>
      <c r="H2820" s="564"/>
      <c r="I2820" s="609"/>
      <c r="J2820" s="1155"/>
      <c r="K2820" s="609"/>
      <c r="L2820" s="609"/>
      <c r="M2820" s="609"/>
      <c r="N2820" s="599"/>
      <c r="O2820" s="552" t="s">
        <v>1584</v>
      </c>
      <c r="P2820" s="603"/>
      <c r="Q2820" s="682"/>
      <c r="R2820" s="682"/>
      <c r="S2820" s="682"/>
      <c r="T2820" s="682"/>
      <c r="U2820" s="682"/>
      <c r="V2820" s="682"/>
      <c r="W2820" s="682"/>
    </row>
    <row r="2821" spans="1:23">
      <c r="A2821" s="1045">
        <f t="shared" si="44"/>
        <v>8</v>
      </c>
      <c r="B2821" s="134">
        <v>45532</v>
      </c>
      <c r="C2821" s="70">
        <v>1017</v>
      </c>
      <c r="D2821" s="70" t="s">
        <v>5118</v>
      </c>
      <c r="E2821" s="280" t="s">
        <v>4647</v>
      </c>
      <c r="F2821" s="1049"/>
      <c r="G2821" s="1049">
        <v>798</v>
      </c>
      <c r="H2821" s="564"/>
      <c r="I2821" s="609"/>
      <c r="J2821" s="1155"/>
      <c r="K2821" s="609"/>
      <c r="L2821" s="609"/>
      <c r="M2821" s="609"/>
      <c r="N2821" s="599"/>
      <c r="O2821" s="552" t="s">
        <v>1584</v>
      </c>
      <c r="P2821" s="603"/>
      <c r="Q2821" s="682"/>
      <c r="R2821" s="682"/>
      <c r="S2821" s="682"/>
      <c r="T2821" s="682"/>
      <c r="U2821" s="682"/>
      <c r="V2821" s="682"/>
      <c r="W2821" s="682"/>
    </row>
    <row r="2822" spans="1:23">
      <c r="A2822" s="1045">
        <f t="shared" si="44"/>
        <v>8</v>
      </c>
      <c r="B2822" s="134">
        <v>45532</v>
      </c>
      <c r="C2822" s="70">
        <v>1017</v>
      </c>
      <c r="D2822" s="70" t="s">
        <v>5118</v>
      </c>
      <c r="E2822" s="280" t="s">
        <v>4648</v>
      </c>
      <c r="F2822" s="1049"/>
      <c r="G2822" s="1049">
        <v>1197</v>
      </c>
      <c r="H2822" s="564"/>
      <c r="I2822" s="609"/>
      <c r="J2822" s="1155"/>
      <c r="K2822" s="609"/>
      <c r="L2822" s="609"/>
      <c r="M2822" s="609"/>
      <c r="N2822" s="599"/>
      <c r="O2822" s="552" t="s">
        <v>1584</v>
      </c>
      <c r="P2822" s="603"/>
      <c r="Q2822" s="682"/>
      <c r="R2822" s="682"/>
      <c r="S2822" s="682"/>
      <c r="T2822" s="682"/>
      <c r="U2822" s="682"/>
      <c r="V2822" s="682"/>
      <c r="W2822" s="682"/>
    </row>
    <row r="2823" spans="1:23">
      <c r="A2823" s="1045">
        <f t="shared" si="44"/>
        <v>8</v>
      </c>
      <c r="B2823" s="134">
        <v>45533</v>
      </c>
      <c r="C2823" s="70">
        <v>1017</v>
      </c>
      <c r="D2823" s="70" t="s">
        <v>5118</v>
      </c>
      <c r="E2823" s="280" t="s">
        <v>4649</v>
      </c>
      <c r="F2823" s="1049"/>
      <c r="G2823" s="1049">
        <v>57.75</v>
      </c>
      <c r="H2823" s="564"/>
      <c r="I2823" s="609"/>
      <c r="J2823" s="1155"/>
      <c r="K2823" s="609"/>
      <c r="L2823" s="609"/>
      <c r="M2823" s="609"/>
      <c r="N2823" s="599"/>
      <c r="O2823" s="552" t="s">
        <v>1584</v>
      </c>
      <c r="P2823" s="603"/>
      <c r="Q2823" s="682"/>
      <c r="R2823" s="682"/>
      <c r="S2823" s="682"/>
      <c r="T2823" s="682"/>
      <c r="U2823" s="682"/>
      <c r="V2823" s="682"/>
      <c r="W2823" s="682"/>
    </row>
    <row r="2824" spans="1:23">
      <c r="A2824" s="1045">
        <f t="shared" si="44"/>
        <v>8</v>
      </c>
      <c r="B2824" s="134">
        <v>45533</v>
      </c>
      <c r="C2824" s="70">
        <v>1017</v>
      </c>
      <c r="D2824" s="70" t="s">
        <v>5118</v>
      </c>
      <c r="E2824" s="280" t="s">
        <v>4650</v>
      </c>
      <c r="F2824" s="1049"/>
      <c r="G2824" s="1049">
        <v>21.53</v>
      </c>
      <c r="H2824" s="564"/>
      <c r="I2824" s="609"/>
      <c r="J2824" s="1155"/>
      <c r="K2824" s="609"/>
      <c r="L2824" s="609"/>
      <c r="M2824" s="609"/>
      <c r="N2824" s="599"/>
      <c r="O2824" s="552" t="s">
        <v>1584</v>
      </c>
      <c r="P2824" s="603"/>
      <c r="Q2824" s="682"/>
      <c r="R2824" s="682"/>
      <c r="S2824" s="682"/>
      <c r="T2824" s="682"/>
      <c r="U2824" s="682"/>
      <c r="V2824" s="682"/>
      <c r="W2824" s="682"/>
    </row>
    <row r="2825" spans="1:23">
      <c r="A2825" s="1045">
        <f t="shared" si="44"/>
        <v>8</v>
      </c>
      <c r="B2825" s="134">
        <v>45533</v>
      </c>
      <c r="C2825" s="70">
        <v>1017</v>
      </c>
      <c r="D2825" s="70" t="s">
        <v>5118</v>
      </c>
      <c r="E2825" s="280" t="s">
        <v>4552</v>
      </c>
      <c r="F2825" s="1049"/>
      <c r="G2825" s="1049">
        <v>15.71</v>
      </c>
      <c r="H2825" s="564"/>
      <c r="I2825" s="609"/>
      <c r="J2825" s="1155"/>
      <c r="K2825" s="609"/>
      <c r="L2825" s="609"/>
      <c r="M2825" s="609"/>
      <c r="N2825" s="599"/>
      <c r="O2825" s="552" t="s">
        <v>1584</v>
      </c>
      <c r="P2825" s="603"/>
      <c r="Q2825" s="682"/>
      <c r="R2825" s="682"/>
      <c r="S2825" s="682"/>
      <c r="T2825" s="682"/>
      <c r="U2825" s="682"/>
      <c r="V2825" s="682"/>
      <c r="W2825" s="682"/>
    </row>
    <row r="2826" spans="1:23">
      <c r="A2826" s="1045">
        <f t="shared" si="44"/>
        <v>8</v>
      </c>
      <c r="B2826" s="134">
        <v>45534</v>
      </c>
      <c r="C2826" s="70">
        <v>1017</v>
      </c>
      <c r="D2826" s="70" t="s">
        <v>5118</v>
      </c>
      <c r="E2826" s="280" t="s">
        <v>4651</v>
      </c>
      <c r="F2826" s="1049"/>
      <c r="G2826" s="1049">
        <v>1995</v>
      </c>
      <c r="H2826" s="564"/>
      <c r="I2826" s="609"/>
      <c r="J2826" s="1155"/>
      <c r="K2826" s="609"/>
      <c r="L2826" s="609"/>
      <c r="M2826" s="609"/>
      <c r="N2826" s="599"/>
      <c r="O2826" s="552" t="s">
        <v>1584</v>
      </c>
      <c r="P2826" s="603"/>
      <c r="Q2826" s="682"/>
      <c r="R2826" s="682"/>
      <c r="S2826" s="682"/>
      <c r="T2826" s="682"/>
      <c r="U2826" s="682"/>
      <c r="V2826" s="682"/>
      <c r="W2826" s="682"/>
    </row>
    <row r="2827" spans="1:23">
      <c r="A2827" s="1045">
        <f t="shared" si="44"/>
        <v>8</v>
      </c>
      <c r="B2827" s="134">
        <v>45535</v>
      </c>
      <c r="C2827" s="70">
        <v>1017</v>
      </c>
      <c r="D2827" s="70" t="s">
        <v>5118</v>
      </c>
      <c r="E2827" s="280" t="s">
        <v>4652</v>
      </c>
      <c r="F2827" s="1049"/>
      <c r="G2827" s="1049">
        <v>202.14</v>
      </c>
      <c r="H2827" s="564"/>
      <c r="I2827" s="609"/>
      <c r="J2827" s="1155"/>
      <c r="K2827" s="609"/>
      <c r="L2827" s="609"/>
      <c r="M2827" s="609"/>
      <c r="N2827" s="599"/>
      <c r="O2827" s="552" t="s">
        <v>1584</v>
      </c>
      <c r="P2827" s="603"/>
      <c r="Q2827" s="682"/>
      <c r="R2827" s="682"/>
      <c r="S2827" s="682"/>
      <c r="T2827" s="682"/>
      <c r="U2827" s="682"/>
      <c r="V2827" s="682"/>
      <c r="W2827" s="682"/>
    </row>
    <row r="2828" spans="1:23">
      <c r="A2828" s="1045">
        <f t="shared" si="44"/>
        <v>8</v>
      </c>
      <c r="B2828" s="134">
        <v>45535</v>
      </c>
      <c r="C2828" s="70">
        <v>1017</v>
      </c>
      <c r="D2828" s="70" t="s">
        <v>5118</v>
      </c>
      <c r="E2828" s="280" t="s">
        <v>4653</v>
      </c>
      <c r="F2828" s="1049"/>
      <c r="G2828" s="1049">
        <v>446</v>
      </c>
      <c r="H2828" s="564"/>
      <c r="I2828" s="609"/>
      <c r="J2828" s="1155"/>
      <c r="K2828" s="609"/>
      <c r="L2828" s="609"/>
      <c r="M2828" s="609"/>
      <c r="N2828" s="599"/>
      <c r="O2828" s="552" t="s">
        <v>1584</v>
      </c>
      <c r="P2828" s="603"/>
      <c r="Q2828" s="682"/>
      <c r="R2828" s="682"/>
      <c r="S2828" s="682"/>
      <c r="T2828" s="682"/>
      <c r="U2828" s="682"/>
      <c r="V2828" s="682"/>
      <c r="W2828" s="682"/>
    </row>
    <row r="2829" spans="1:23">
      <c r="A2829" s="1045">
        <f t="shared" si="44"/>
        <v>8</v>
      </c>
      <c r="B2829" s="134">
        <v>45535</v>
      </c>
      <c r="C2829" s="70">
        <v>1017</v>
      </c>
      <c r="D2829" s="70" t="s">
        <v>5118</v>
      </c>
      <c r="E2829" s="280" t="s">
        <v>4654</v>
      </c>
      <c r="F2829" s="1049"/>
      <c r="G2829" s="1049">
        <v>2005.5</v>
      </c>
      <c r="H2829" s="564"/>
      <c r="I2829" s="609"/>
      <c r="J2829" s="1155"/>
      <c r="K2829" s="609"/>
      <c r="L2829" s="609"/>
      <c r="M2829" s="609"/>
      <c r="N2829" s="599"/>
      <c r="O2829" s="552" t="s">
        <v>1584</v>
      </c>
      <c r="P2829" s="603"/>
      <c r="Q2829" s="682"/>
      <c r="R2829" s="682"/>
      <c r="S2829" s="682"/>
      <c r="T2829" s="682"/>
      <c r="U2829" s="682"/>
      <c r="V2829" s="682"/>
      <c r="W2829" s="682"/>
    </row>
    <row r="2830" spans="1:23">
      <c r="A2830" s="1045">
        <f t="shared" si="44"/>
        <v>8</v>
      </c>
      <c r="B2830" s="134">
        <v>45535</v>
      </c>
      <c r="C2830" s="70">
        <v>1017</v>
      </c>
      <c r="D2830" s="70" t="s">
        <v>5118</v>
      </c>
      <c r="E2830" s="280" t="s">
        <v>4655</v>
      </c>
      <c r="F2830" s="1049"/>
      <c r="G2830" s="1049">
        <v>480</v>
      </c>
      <c r="H2830" s="564"/>
      <c r="I2830" s="609"/>
      <c r="J2830" s="1155"/>
      <c r="K2830" s="609"/>
      <c r="L2830" s="609"/>
      <c r="M2830" s="609"/>
      <c r="N2830" s="599"/>
      <c r="O2830" s="552" t="s">
        <v>1584</v>
      </c>
      <c r="P2830" s="603"/>
      <c r="Q2830" s="682"/>
      <c r="R2830" s="682"/>
      <c r="S2830" s="682"/>
      <c r="T2830" s="682"/>
      <c r="U2830" s="682"/>
      <c r="V2830" s="682"/>
      <c r="W2830" s="682"/>
    </row>
    <row r="2831" spans="1:23">
      <c r="A2831" s="1045">
        <f t="shared" si="44"/>
        <v>8</v>
      </c>
      <c r="B2831" s="134">
        <v>45535</v>
      </c>
      <c r="C2831" s="70">
        <v>1017</v>
      </c>
      <c r="D2831" s="70" t="s">
        <v>5118</v>
      </c>
      <c r="E2831" s="280" t="s">
        <v>4656</v>
      </c>
      <c r="F2831" s="1049"/>
      <c r="G2831" s="1049">
        <v>747.6</v>
      </c>
      <c r="H2831" s="564"/>
      <c r="I2831" s="609"/>
      <c r="J2831" s="1155"/>
      <c r="K2831" s="609"/>
      <c r="L2831" s="609"/>
      <c r="M2831" s="609"/>
      <c r="N2831" s="599"/>
      <c r="O2831" s="552" t="s">
        <v>1584</v>
      </c>
      <c r="P2831" s="603"/>
      <c r="Q2831" s="682"/>
      <c r="R2831" s="682"/>
      <c r="S2831" s="682"/>
      <c r="T2831" s="682"/>
      <c r="U2831" s="682"/>
      <c r="V2831" s="682"/>
      <c r="W2831" s="682"/>
    </row>
    <row r="2832" spans="1:23">
      <c r="A2832" s="1045">
        <f t="shared" si="44"/>
        <v>8</v>
      </c>
      <c r="B2832" s="134">
        <v>45535</v>
      </c>
      <c r="C2832" s="70">
        <v>1017</v>
      </c>
      <c r="D2832" s="70" t="s">
        <v>5118</v>
      </c>
      <c r="E2832" s="280" t="s">
        <v>4657</v>
      </c>
      <c r="F2832" s="1049"/>
      <c r="G2832" s="1049">
        <v>42</v>
      </c>
      <c r="H2832" s="564"/>
      <c r="I2832" s="609"/>
      <c r="J2832" s="1155"/>
      <c r="K2832" s="609"/>
      <c r="L2832" s="609"/>
      <c r="M2832" s="609"/>
      <c r="N2832" s="599"/>
      <c r="O2832" s="552" t="s">
        <v>1584</v>
      </c>
      <c r="P2832" s="603"/>
      <c r="Q2832" s="682"/>
      <c r="R2832" s="682"/>
      <c r="S2832" s="682"/>
      <c r="T2832" s="682"/>
      <c r="U2832" s="682"/>
      <c r="V2832" s="682"/>
      <c r="W2832" s="682"/>
    </row>
    <row r="2833" spans="1:23">
      <c r="A2833" s="1045">
        <f t="shared" si="44"/>
        <v>8</v>
      </c>
      <c r="B2833" s="134">
        <v>45535</v>
      </c>
      <c r="C2833" s="70">
        <v>1017</v>
      </c>
      <c r="D2833" s="70" t="s">
        <v>5118</v>
      </c>
      <c r="E2833" s="280" t="s">
        <v>4658</v>
      </c>
      <c r="F2833" s="1049"/>
      <c r="G2833" s="1049">
        <v>27.3</v>
      </c>
      <c r="H2833" s="564"/>
      <c r="I2833" s="609"/>
      <c r="J2833" s="1155"/>
      <c r="K2833" s="609"/>
      <c r="L2833" s="609"/>
      <c r="M2833" s="609"/>
      <c r="N2833" s="599"/>
      <c r="O2833" s="552" t="s">
        <v>1584</v>
      </c>
      <c r="P2833" s="603"/>
      <c r="Q2833" s="682"/>
      <c r="R2833" s="682"/>
      <c r="S2833" s="682"/>
      <c r="T2833" s="682"/>
      <c r="U2833" s="682"/>
      <c r="V2833" s="682"/>
      <c r="W2833" s="682"/>
    </row>
    <row r="2834" spans="1:23">
      <c r="A2834" s="1045">
        <f t="shared" si="44"/>
        <v>9</v>
      </c>
      <c r="B2834" s="134">
        <v>45536</v>
      </c>
      <c r="C2834" s="70">
        <v>1017</v>
      </c>
      <c r="D2834" s="70" t="s">
        <v>5118</v>
      </c>
      <c r="E2834" s="280" t="s">
        <v>4659</v>
      </c>
      <c r="F2834" s="1049"/>
      <c r="G2834" s="1049">
        <v>115.75</v>
      </c>
      <c r="H2834" s="564"/>
      <c r="I2834" s="609"/>
      <c r="J2834" s="1155"/>
      <c r="K2834" s="609"/>
      <c r="L2834" s="609"/>
      <c r="M2834" s="609"/>
      <c r="N2834" s="599"/>
      <c r="O2834" s="552" t="s">
        <v>1584</v>
      </c>
      <c r="P2834" s="603"/>
      <c r="Q2834" s="682"/>
      <c r="R2834" s="682"/>
      <c r="S2834" s="682"/>
      <c r="T2834" s="682"/>
      <c r="U2834" s="682"/>
      <c r="V2834" s="682"/>
      <c r="W2834" s="682"/>
    </row>
    <row r="2835" spans="1:23">
      <c r="A2835" s="1045">
        <f t="shared" si="44"/>
        <v>9</v>
      </c>
      <c r="B2835" s="134">
        <v>45536</v>
      </c>
      <c r="C2835" s="70">
        <v>1017</v>
      </c>
      <c r="D2835" s="70" t="s">
        <v>5118</v>
      </c>
      <c r="E2835" s="280" t="s">
        <v>4660</v>
      </c>
      <c r="F2835" s="1049"/>
      <c r="G2835" s="1049">
        <v>183.75</v>
      </c>
      <c r="H2835" s="564"/>
      <c r="I2835" s="609"/>
      <c r="J2835" s="1155"/>
      <c r="K2835" s="609"/>
      <c r="L2835" s="609"/>
      <c r="M2835" s="609"/>
      <c r="N2835" s="599"/>
      <c r="O2835" s="552" t="s">
        <v>1584</v>
      </c>
      <c r="P2835" s="603"/>
      <c r="Q2835" s="682"/>
      <c r="R2835" s="682"/>
      <c r="S2835" s="682"/>
      <c r="T2835" s="682"/>
      <c r="U2835" s="682"/>
      <c r="V2835" s="682"/>
      <c r="W2835" s="682"/>
    </row>
    <row r="2836" spans="1:23">
      <c r="A2836" s="1045">
        <f t="shared" si="44"/>
        <v>9</v>
      </c>
      <c r="B2836" s="134">
        <v>45536</v>
      </c>
      <c r="C2836" s="70">
        <v>1017</v>
      </c>
      <c r="D2836" s="70" t="s">
        <v>5118</v>
      </c>
      <c r="E2836" s="280" t="s">
        <v>4661</v>
      </c>
      <c r="F2836" s="1049"/>
      <c r="G2836" s="1049">
        <v>18.899999999999999</v>
      </c>
      <c r="H2836" s="564"/>
      <c r="I2836" s="609"/>
      <c r="J2836" s="1155"/>
      <c r="K2836" s="609"/>
      <c r="L2836" s="609"/>
      <c r="M2836" s="609"/>
      <c r="N2836" s="599"/>
      <c r="O2836" s="552" t="s">
        <v>1584</v>
      </c>
      <c r="P2836" s="603"/>
      <c r="Q2836" s="682"/>
      <c r="R2836" s="682"/>
      <c r="S2836" s="682"/>
      <c r="T2836" s="682"/>
      <c r="U2836" s="682"/>
      <c r="V2836" s="682"/>
      <c r="W2836" s="682"/>
    </row>
    <row r="2837" spans="1:23">
      <c r="A2837" s="1045">
        <f t="shared" ref="A2837:A2900" si="45">IF(B2837="","",MONTH(B2837))</f>
        <v>9</v>
      </c>
      <c r="B2837" s="134">
        <v>45536</v>
      </c>
      <c r="C2837" s="70">
        <v>1017</v>
      </c>
      <c r="D2837" s="70" t="s">
        <v>5118</v>
      </c>
      <c r="E2837" s="280" t="s">
        <v>4662</v>
      </c>
      <c r="F2837" s="1049"/>
      <c r="G2837" s="1049">
        <v>283.5</v>
      </c>
      <c r="H2837" s="564"/>
      <c r="I2837" s="609"/>
      <c r="J2837" s="1155"/>
      <c r="K2837" s="609"/>
      <c r="L2837" s="609"/>
      <c r="M2837" s="609"/>
      <c r="N2837" s="599"/>
      <c r="O2837" s="552" t="s">
        <v>1584</v>
      </c>
      <c r="P2837" s="603"/>
      <c r="Q2837" s="682"/>
      <c r="R2837" s="682"/>
      <c r="S2837" s="682"/>
      <c r="T2837" s="682"/>
      <c r="U2837" s="682"/>
      <c r="V2837" s="682"/>
      <c r="W2837" s="682"/>
    </row>
    <row r="2838" spans="1:23">
      <c r="A2838" s="1045">
        <f t="shared" si="45"/>
        <v>9</v>
      </c>
      <c r="B2838" s="134">
        <v>45537</v>
      </c>
      <c r="C2838" s="70">
        <v>1017</v>
      </c>
      <c r="D2838" s="70" t="s">
        <v>5118</v>
      </c>
      <c r="E2838" s="280" t="s">
        <v>4663</v>
      </c>
      <c r="F2838" s="1049"/>
      <c r="G2838" s="1049">
        <v>405.18</v>
      </c>
      <c r="H2838" s="564"/>
      <c r="I2838" s="609"/>
      <c r="J2838" s="1155"/>
      <c r="K2838" s="609"/>
      <c r="L2838" s="609"/>
      <c r="M2838" s="609"/>
      <c r="N2838" s="599"/>
      <c r="O2838" s="552" t="s">
        <v>1584</v>
      </c>
      <c r="P2838" s="603"/>
      <c r="Q2838" s="682"/>
      <c r="R2838" s="682"/>
      <c r="S2838" s="682"/>
      <c r="T2838" s="682"/>
      <c r="U2838" s="682"/>
      <c r="V2838" s="682"/>
      <c r="W2838" s="682"/>
    </row>
    <row r="2839" spans="1:23">
      <c r="A2839" s="1045">
        <f t="shared" si="45"/>
        <v>9</v>
      </c>
      <c r="B2839" s="134">
        <v>45537</v>
      </c>
      <c r="C2839" s="70">
        <v>1017</v>
      </c>
      <c r="D2839" s="70" t="s">
        <v>5118</v>
      </c>
      <c r="E2839" s="280" t="s">
        <v>4664</v>
      </c>
      <c r="F2839" s="1049"/>
      <c r="G2839" s="1049">
        <v>609</v>
      </c>
      <c r="H2839" s="564"/>
      <c r="I2839" s="609"/>
      <c r="J2839" s="1155"/>
      <c r="K2839" s="609"/>
      <c r="L2839" s="609"/>
      <c r="M2839" s="609"/>
      <c r="N2839" s="599"/>
      <c r="O2839" s="552" t="s">
        <v>1584</v>
      </c>
      <c r="P2839" s="603"/>
      <c r="Q2839" s="682"/>
      <c r="R2839" s="682"/>
      <c r="S2839" s="682"/>
      <c r="T2839" s="682"/>
      <c r="U2839" s="682"/>
      <c r="V2839" s="682"/>
      <c r="W2839" s="682"/>
    </row>
    <row r="2840" spans="1:23">
      <c r="A2840" s="1045">
        <f t="shared" si="45"/>
        <v>9</v>
      </c>
      <c r="B2840" s="134">
        <v>45537</v>
      </c>
      <c r="C2840" s="70">
        <v>1017</v>
      </c>
      <c r="D2840" s="70" t="s">
        <v>5118</v>
      </c>
      <c r="E2840" s="280" t="s">
        <v>4665</v>
      </c>
      <c r="F2840" s="1049"/>
      <c r="G2840" s="1049">
        <v>2142</v>
      </c>
      <c r="H2840" s="564"/>
      <c r="I2840" s="609"/>
      <c r="J2840" s="1155"/>
      <c r="K2840" s="609"/>
      <c r="L2840" s="609"/>
      <c r="M2840" s="609"/>
      <c r="N2840" s="599"/>
      <c r="O2840" s="552" t="s">
        <v>1584</v>
      </c>
      <c r="P2840" s="603"/>
      <c r="Q2840" s="682"/>
      <c r="R2840" s="682"/>
      <c r="S2840" s="682"/>
      <c r="T2840" s="682"/>
      <c r="U2840" s="682"/>
      <c r="V2840" s="682"/>
      <c r="W2840" s="682"/>
    </row>
    <row r="2841" spans="1:23">
      <c r="A2841" s="1045">
        <f t="shared" si="45"/>
        <v>9</v>
      </c>
      <c r="B2841" s="134">
        <v>45537</v>
      </c>
      <c r="C2841" s="70">
        <v>1017</v>
      </c>
      <c r="D2841" s="70" t="s">
        <v>5118</v>
      </c>
      <c r="E2841" s="280" t="s">
        <v>4666</v>
      </c>
      <c r="F2841" s="1049"/>
      <c r="G2841" s="1049">
        <v>242.55</v>
      </c>
      <c r="H2841" s="564"/>
      <c r="I2841" s="609"/>
      <c r="J2841" s="1155"/>
      <c r="K2841" s="609"/>
      <c r="L2841" s="609"/>
      <c r="M2841" s="609"/>
      <c r="N2841" s="599"/>
      <c r="O2841" s="552" t="s">
        <v>1584</v>
      </c>
      <c r="P2841" s="603"/>
      <c r="Q2841" s="682"/>
      <c r="R2841" s="682"/>
      <c r="S2841" s="682"/>
      <c r="T2841" s="682"/>
      <c r="U2841" s="682"/>
      <c r="V2841" s="682"/>
      <c r="W2841" s="682"/>
    </row>
    <row r="2842" spans="1:23">
      <c r="A2842" s="1045">
        <f t="shared" si="45"/>
        <v>9</v>
      </c>
      <c r="B2842" s="134">
        <v>45537</v>
      </c>
      <c r="C2842" s="70">
        <v>1017</v>
      </c>
      <c r="D2842" s="70" t="s">
        <v>5118</v>
      </c>
      <c r="E2842" s="280" t="s">
        <v>4667</v>
      </c>
      <c r="F2842" s="1049"/>
      <c r="G2842" s="1049">
        <v>33.6</v>
      </c>
      <c r="H2842" s="564"/>
      <c r="I2842" s="609"/>
      <c r="J2842" s="1155"/>
      <c r="K2842" s="609"/>
      <c r="L2842" s="609"/>
      <c r="M2842" s="609"/>
      <c r="N2842" s="599"/>
      <c r="O2842" s="552" t="s">
        <v>1584</v>
      </c>
      <c r="P2842" s="603"/>
      <c r="Q2842" s="682"/>
      <c r="R2842" s="682"/>
      <c r="S2842" s="682"/>
      <c r="T2842" s="682"/>
      <c r="U2842" s="682"/>
      <c r="V2842" s="682"/>
      <c r="W2842" s="682"/>
    </row>
    <row r="2843" spans="1:23">
      <c r="A2843" s="1045">
        <f t="shared" si="45"/>
        <v>9</v>
      </c>
      <c r="B2843" s="134">
        <v>45537</v>
      </c>
      <c r="C2843" s="70">
        <v>1017</v>
      </c>
      <c r="D2843" s="70" t="s">
        <v>5118</v>
      </c>
      <c r="E2843" s="280" t="s">
        <v>4668</v>
      </c>
      <c r="F2843" s="1049"/>
      <c r="G2843" s="1049">
        <v>94.5</v>
      </c>
      <c r="H2843" s="564"/>
      <c r="I2843" s="609"/>
      <c r="J2843" s="1155"/>
      <c r="K2843" s="609"/>
      <c r="L2843" s="609"/>
      <c r="M2843" s="609"/>
      <c r="N2843" s="599"/>
      <c r="O2843" s="552" t="s">
        <v>1584</v>
      </c>
      <c r="P2843" s="603"/>
      <c r="Q2843" s="682"/>
      <c r="R2843" s="682"/>
      <c r="S2843" s="682"/>
      <c r="T2843" s="682"/>
      <c r="U2843" s="682"/>
      <c r="V2843" s="682"/>
      <c r="W2843" s="682"/>
    </row>
    <row r="2844" spans="1:23">
      <c r="A2844" s="1045">
        <f t="shared" si="45"/>
        <v>9</v>
      </c>
      <c r="B2844" s="134">
        <v>45537</v>
      </c>
      <c r="C2844" s="70">
        <v>1017</v>
      </c>
      <c r="D2844" s="70" t="s">
        <v>5118</v>
      </c>
      <c r="E2844" s="280" t="s">
        <v>4669</v>
      </c>
      <c r="F2844" s="1049"/>
      <c r="G2844" s="1049">
        <v>90.3</v>
      </c>
      <c r="H2844" s="564"/>
      <c r="I2844" s="609"/>
      <c r="J2844" s="1155"/>
      <c r="K2844" s="609"/>
      <c r="L2844" s="609"/>
      <c r="M2844" s="609"/>
      <c r="N2844" s="599"/>
      <c r="O2844" s="552" t="s">
        <v>1584</v>
      </c>
      <c r="P2844" s="603"/>
      <c r="Q2844" s="682"/>
      <c r="R2844" s="682"/>
      <c r="S2844" s="682"/>
      <c r="T2844" s="682"/>
      <c r="U2844" s="682"/>
      <c r="V2844" s="682"/>
      <c r="W2844" s="682"/>
    </row>
    <row r="2845" spans="1:23">
      <c r="A2845" s="1045">
        <f t="shared" si="45"/>
        <v>9</v>
      </c>
      <c r="B2845" s="134">
        <v>45537</v>
      </c>
      <c r="C2845" s="70">
        <v>1017</v>
      </c>
      <c r="D2845" s="70" t="s">
        <v>5118</v>
      </c>
      <c r="E2845" s="280" t="s">
        <v>4670</v>
      </c>
      <c r="F2845" s="1049"/>
      <c r="G2845" s="1049">
        <v>89.25</v>
      </c>
      <c r="H2845" s="564"/>
      <c r="I2845" s="609"/>
      <c r="J2845" s="1155"/>
      <c r="K2845" s="609"/>
      <c r="L2845" s="609"/>
      <c r="M2845" s="609"/>
      <c r="N2845" s="599"/>
      <c r="O2845" s="552" t="s">
        <v>1584</v>
      </c>
      <c r="P2845" s="603"/>
      <c r="Q2845" s="682"/>
      <c r="R2845" s="682"/>
      <c r="S2845" s="682"/>
      <c r="T2845" s="682"/>
      <c r="U2845" s="682"/>
      <c r="V2845" s="682"/>
      <c r="W2845" s="682"/>
    </row>
    <row r="2846" spans="1:23">
      <c r="A2846" s="1045">
        <f t="shared" si="45"/>
        <v>9</v>
      </c>
      <c r="B2846" s="134">
        <v>45537</v>
      </c>
      <c r="C2846" s="70">
        <v>1017</v>
      </c>
      <c r="D2846" s="70" t="s">
        <v>5118</v>
      </c>
      <c r="E2846" s="280" t="s">
        <v>4671</v>
      </c>
      <c r="F2846" s="1049"/>
      <c r="G2846" s="1049">
        <v>300</v>
      </c>
      <c r="H2846" s="564"/>
      <c r="I2846" s="609"/>
      <c r="J2846" s="1155"/>
      <c r="K2846" s="609"/>
      <c r="L2846" s="609"/>
      <c r="M2846" s="609"/>
      <c r="N2846" s="599"/>
      <c r="O2846" s="552" t="s">
        <v>1584</v>
      </c>
      <c r="P2846" s="603"/>
      <c r="Q2846" s="682"/>
      <c r="R2846" s="682"/>
      <c r="S2846" s="682"/>
      <c r="T2846" s="682"/>
      <c r="U2846" s="682"/>
      <c r="V2846" s="682"/>
      <c r="W2846" s="682"/>
    </row>
    <row r="2847" spans="1:23">
      <c r="A2847" s="1045">
        <f t="shared" si="45"/>
        <v>9</v>
      </c>
      <c r="B2847" s="134">
        <v>45538</v>
      </c>
      <c r="C2847" s="70">
        <v>1017</v>
      </c>
      <c r="D2847" s="70" t="s">
        <v>5118</v>
      </c>
      <c r="E2847" s="280" t="s">
        <v>4672</v>
      </c>
      <c r="F2847" s="1049"/>
      <c r="G2847" s="1049">
        <v>30.03</v>
      </c>
      <c r="H2847" s="564"/>
      <c r="I2847" s="609"/>
      <c r="J2847" s="1155"/>
      <c r="K2847" s="609"/>
      <c r="L2847" s="609"/>
      <c r="M2847" s="609"/>
      <c r="N2847" s="599"/>
      <c r="O2847" s="552" t="s">
        <v>1584</v>
      </c>
      <c r="P2847" s="603"/>
      <c r="Q2847" s="682"/>
      <c r="R2847" s="682"/>
      <c r="S2847" s="682"/>
      <c r="T2847" s="682"/>
      <c r="U2847" s="682"/>
      <c r="V2847" s="682"/>
      <c r="W2847" s="682"/>
    </row>
    <row r="2848" spans="1:23">
      <c r="A2848" s="1045">
        <f t="shared" si="45"/>
        <v>9</v>
      </c>
      <c r="B2848" s="134">
        <v>45538</v>
      </c>
      <c r="C2848" s="70">
        <v>1017</v>
      </c>
      <c r="D2848" s="70" t="s">
        <v>5118</v>
      </c>
      <c r="E2848" s="280" t="s">
        <v>4673</v>
      </c>
      <c r="F2848" s="1049"/>
      <c r="G2848" s="1049">
        <v>52.5</v>
      </c>
      <c r="H2848" s="564"/>
      <c r="I2848" s="609"/>
      <c r="J2848" s="1155"/>
      <c r="K2848" s="609"/>
      <c r="L2848" s="609"/>
      <c r="M2848" s="609"/>
      <c r="N2848" s="599"/>
      <c r="O2848" s="552" t="s">
        <v>1584</v>
      </c>
      <c r="P2848" s="603"/>
      <c r="Q2848" s="682"/>
      <c r="R2848" s="682"/>
      <c r="S2848" s="682"/>
      <c r="T2848" s="682"/>
      <c r="U2848" s="682"/>
      <c r="V2848" s="682"/>
      <c r="W2848" s="682"/>
    </row>
    <row r="2849" spans="1:23">
      <c r="A2849" s="1045">
        <f t="shared" si="45"/>
        <v>9</v>
      </c>
      <c r="B2849" s="134">
        <v>45538</v>
      </c>
      <c r="C2849" s="70">
        <v>1017</v>
      </c>
      <c r="D2849" s="70" t="s">
        <v>5118</v>
      </c>
      <c r="E2849" s="280" t="s">
        <v>4674</v>
      </c>
      <c r="F2849" s="1049"/>
      <c r="G2849" s="1049">
        <v>137.55000000000001</v>
      </c>
      <c r="H2849" s="564"/>
      <c r="I2849" s="609"/>
      <c r="J2849" s="1155"/>
      <c r="K2849" s="609"/>
      <c r="L2849" s="609"/>
      <c r="M2849" s="609"/>
      <c r="N2849" s="599"/>
      <c r="O2849" s="552" t="s">
        <v>1584</v>
      </c>
      <c r="P2849" s="603"/>
      <c r="Q2849" s="682"/>
      <c r="R2849" s="682"/>
      <c r="S2849" s="682"/>
      <c r="T2849" s="682"/>
      <c r="U2849" s="682"/>
      <c r="V2849" s="682"/>
      <c r="W2849" s="682"/>
    </row>
    <row r="2850" spans="1:23">
      <c r="A2850" s="1045">
        <f t="shared" si="45"/>
        <v>9</v>
      </c>
      <c r="B2850" s="134">
        <v>45538</v>
      </c>
      <c r="C2850" s="70">
        <v>1017</v>
      </c>
      <c r="D2850" s="70" t="s">
        <v>5118</v>
      </c>
      <c r="E2850" s="280" t="s">
        <v>4675</v>
      </c>
      <c r="F2850" s="1049"/>
      <c r="G2850" s="1049">
        <v>36.75</v>
      </c>
      <c r="H2850" s="564"/>
      <c r="I2850" s="609"/>
      <c r="J2850" s="1155"/>
      <c r="K2850" s="609"/>
      <c r="L2850" s="609"/>
      <c r="M2850" s="609"/>
      <c r="N2850" s="599"/>
      <c r="O2850" s="552" t="s">
        <v>1584</v>
      </c>
      <c r="P2850" s="603"/>
      <c r="Q2850" s="682"/>
      <c r="R2850" s="682"/>
      <c r="S2850" s="682"/>
      <c r="T2850" s="682"/>
      <c r="U2850" s="682"/>
      <c r="V2850" s="682"/>
      <c r="W2850" s="682"/>
    </row>
    <row r="2851" spans="1:23">
      <c r="A2851" s="1045">
        <f t="shared" si="45"/>
        <v>9</v>
      </c>
      <c r="B2851" s="134">
        <v>45538</v>
      </c>
      <c r="C2851" s="70">
        <v>1017</v>
      </c>
      <c r="D2851" s="70" t="s">
        <v>5118</v>
      </c>
      <c r="E2851" s="280" t="s">
        <v>4676</v>
      </c>
      <c r="F2851" s="1049"/>
      <c r="G2851" s="1049">
        <v>300</v>
      </c>
      <c r="H2851" s="564"/>
      <c r="I2851" s="609"/>
      <c r="J2851" s="1155"/>
      <c r="K2851" s="609"/>
      <c r="L2851" s="609"/>
      <c r="M2851" s="609"/>
      <c r="N2851" s="599"/>
      <c r="O2851" s="552" t="s">
        <v>1584</v>
      </c>
      <c r="P2851" s="603"/>
      <c r="Q2851" s="682"/>
      <c r="R2851" s="682"/>
      <c r="S2851" s="682"/>
      <c r="T2851" s="682"/>
      <c r="U2851" s="682"/>
      <c r="V2851" s="682"/>
      <c r="W2851" s="682"/>
    </row>
    <row r="2852" spans="1:23">
      <c r="A2852" s="1045">
        <f t="shared" si="45"/>
        <v>9</v>
      </c>
      <c r="B2852" s="134">
        <v>45539</v>
      </c>
      <c r="C2852" s="70">
        <v>1017</v>
      </c>
      <c r="D2852" s="70" t="s">
        <v>5118</v>
      </c>
      <c r="E2852" s="280" t="s">
        <v>4677</v>
      </c>
      <c r="F2852" s="1049"/>
      <c r="G2852" s="1049">
        <v>110.25</v>
      </c>
      <c r="H2852" s="564"/>
      <c r="I2852" s="609"/>
      <c r="J2852" s="1155"/>
      <c r="K2852" s="609"/>
      <c r="L2852" s="609"/>
      <c r="M2852" s="609"/>
      <c r="N2852" s="599"/>
      <c r="O2852" s="552" t="s">
        <v>1584</v>
      </c>
      <c r="P2852" s="603"/>
      <c r="Q2852" s="682"/>
      <c r="R2852" s="682"/>
      <c r="S2852" s="682"/>
      <c r="T2852" s="682"/>
      <c r="U2852" s="682"/>
      <c r="V2852" s="682"/>
      <c r="W2852" s="682"/>
    </row>
    <row r="2853" spans="1:23">
      <c r="A2853" s="1045">
        <f t="shared" si="45"/>
        <v>9</v>
      </c>
      <c r="B2853" s="134">
        <v>45539</v>
      </c>
      <c r="C2853" s="70">
        <v>1017</v>
      </c>
      <c r="D2853" s="70" t="s">
        <v>5118</v>
      </c>
      <c r="E2853" s="280" t="s">
        <v>4678</v>
      </c>
      <c r="F2853" s="1049"/>
      <c r="G2853" s="1049">
        <v>312.89999999999998</v>
      </c>
      <c r="H2853" s="564"/>
      <c r="I2853" s="609"/>
      <c r="J2853" s="1155"/>
      <c r="K2853" s="609"/>
      <c r="L2853" s="609"/>
      <c r="M2853" s="609"/>
      <c r="N2853" s="599"/>
      <c r="O2853" s="552" t="s">
        <v>1584</v>
      </c>
      <c r="P2853" s="603"/>
      <c r="Q2853" s="682"/>
      <c r="R2853" s="682"/>
      <c r="S2853" s="682"/>
      <c r="T2853" s="682"/>
      <c r="U2853" s="682"/>
      <c r="V2853" s="682"/>
      <c r="W2853" s="682"/>
    </row>
    <row r="2854" spans="1:23">
      <c r="A2854" s="1045">
        <f t="shared" si="45"/>
        <v>9</v>
      </c>
      <c r="B2854" s="134">
        <v>45539</v>
      </c>
      <c r="C2854" s="70">
        <v>1017</v>
      </c>
      <c r="D2854" s="70" t="s">
        <v>5118</v>
      </c>
      <c r="E2854" s="280" t="s">
        <v>4679</v>
      </c>
      <c r="F2854" s="1049"/>
      <c r="G2854" s="1049">
        <v>309.12</v>
      </c>
      <c r="H2854" s="564"/>
      <c r="I2854" s="609"/>
      <c r="J2854" s="1155"/>
      <c r="K2854" s="609"/>
      <c r="L2854" s="609"/>
      <c r="M2854" s="609"/>
      <c r="N2854" s="599"/>
      <c r="O2854" s="552" t="s">
        <v>1584</v>
      </c>
      <c r="P2854" s="603"/>
      <c r="Q2854" s="682"/>
      <c r="R2854" s="682"/>
      <c r="S2854" s="682"/>
      <c r="T2854" s="682"/>
      <c r="U2854" s="682"/>
      <c r="V2854" s="682"/>
      <c r="W2854" s="682"/>
    </row>
    <row r="2855" spans="1:23">
      <c r="A2855" s="1045">
        <f t="shared" si="45"/>
        <v>9</v>
      </c>
      <c r="B2855" s="134">
        <v>45539</v>
      </c>
      <c r="C2855" s="70">
        <v>1017</v>
      </c>
      <c r="D2855" s="70" t="s">
        <v>5118</v>
      </c>
      <c r="E2855" s="280" t="s">
        <v>4680</v>
      </c>
      <c r="F2855" s="1049"/>
      <c r="G2855" s="1049">
        <v>362.51</v>
      </c>
      <c r="H2855" s="564"/>
      <c r="I2855" s="609"/>
      <c r="J2855" s="1155"/>
      <c r="K2855" s="609"/>
      <c r="L2855" s="609"/>
      <c r="M2855" s="609"/>
      <c r="N2855" s="599"/>
      <c r="O2855" s="552" t="s">
        <v>1584</v>
      </c>
      <c r="P2855" s="603"/>
      <c r="Q2855" s="682"/>
      <c r="R2855" s="682"/>
      <c r="S2855" s="682"/>
      <c r="T2855" s="682"/>
      <c r="U2855" s="682"/>
      <c r="V2855" s="682"/>
      <c r="W2855" s="682"/>
    </row>
    <row r="2856" spans="1:23">
      <c r="A2856" s="1045">
        <f t="shared" si="45"/>
        <v>9</v>
      </c>
      <c r="B2856" s="134">
        <v>45539</v>
      </c>
      <c r="C2856" s="70">
        <v>1017</v>
      </c>
      <c r="D2856" s="70" t="s">
        <v>5118</v>
      </c>
      <c r="E2856" s="280" t="s">
        <v>4681</v>
      </c>
      <c r="F2856" s="1049"/>
      <c r="G2856" s="1049">
        <v>756</v>
      </c>
      <c r="H2856" s="564"/>
      <c r="I2856" s="609"/>
      <c r="J2856" s="1155"/>
      <c r="K2856" s="609"/>
      <c r="L2856" s="609"/>
      <c r="M2856" s="609"/>
      <c r="N2856" s="599"/>
      <c r="O2856" s="552" t="s">
        <v>1584</v>
      </c>
      <c r="P2856" s="603"/>
      <c r="Q2856" s="682"/>
      <c r="R2856" s="682"/>
      <c r="S2856" s="682"/>
      <c r="T2856" s="682"/>
      <c r="U2856" s="682"/>
      <c r="V2856" s="682"/>
      <c r="W2856" s="682"/>
    </row>
    <row r="2857" spans="1:23">
      <c r="A2857" s="1045">
        <f t="shared" si="45"/>
        <v>9</v>
      </c>
      <c r="B2857" s="134">
        <v>45539</v>
      </c>
      <c r="C2857" s="70">
        <v>1017</v>
      </c>
      <c r="D2857" s="70" t="s">
        <v>5118</v>
      </c>
      <c r="E2857" s="280" t="s">
        <v>4682</v>
      </c>
      <c r="F2857" s="1049"/>
      <c r="G2857" s="1049">
        <v>1134</v>
      </c>
      <c r="H2857" s="564"/>
      <c r="I2857" s="609"/>
      <c r="J2857" s="1155"/>
      <c r="K2857" s="609"/>
      <c r="L2857" s="609"/>
      <c r="M2857" s="609"/>
      <c r="N2857" s="599"/>
      <c r="O2857" s="552" t="s">
        <v>1584</v>
      </c>
      <c r="P2857" s="603"/>
      <c r="Q2857" s="682"/>
      <c r="R2857" s="682"/>
      <c r="S2857" s="682"/>
      <c r="T2857" s="682"/>
      <c r="U2857" s="682"/>
      <c r="V2857" s="682"/>
      <c r="W2857" s="682"/>
    </row>
    <row r="2858" spans="1:23">
      <c r="A2858" s="1045">
        <f t="shared" si="45"/>
        <v>9</v>
      </c>
      <c r="B2858" s="134">
        <v>45539</v>
      </c>
      <c r="C2858" s="70">
        <v>1017</v>
      </c>
      <c r="D2858" s="70" t="s">
        <v>5118</v>
      </c>
      <c r="E2858" s="280" t="s">
        <v>4683</v>
      </c>
      <c r="F2858" s="1049"/>
      <c r="G2858" s="1049">
        <v>89.25</v>
      </c>
      <c r="H2858" s="564"/>
      <c r="I2858" s="609"/>
      <c r="J2858" s="1155"/>
      <c r="K2858" s="609"/>
      <c r="L2858" s="609"/>
      <c r="M2858" s="609"/>
      <c r="N2858" s="599"/>
      <c r="O2858" s="552" t="s">
        <v>1584</v>
      </c>
      <c r="P2858" s="603"/>
      <c r="Q2858" s="682"/>
      <c r="R2858" s="682"/>
      <c r="S2858" s="682"/>
      <c r="T2858" s="682"/>
      <c r="U2858" s="682"/>
      <c r="V2858" s="682"/>
      <c r="W2858" s="682"/>
    </row>
    <row r="2859" spans="1:23">
      <c r="A2859" s="1045">
        <f t="shared" si="45"/>
        <v>9</v>
      </c>
      <c r="B2859" s="134">
        <v>45539</v>
      </c>
      <c r="C2859" s="70">
        <v>1017</v>
      </c>
      <c r="D2859" s="70" t="s">
        <v>5118</v>
      </c>
      <c r="E2859" s="280" t="s">
        <v>4684</v>
      </c>
      <c r="F2859" s="1049"/>
      <c r="G2859" s="1049">
        <v>10.5</v>
      </c>
      <c r="H2859" s="564"/>
      <c r="I2859" s="609"/>
      <c r="J2859" s="1155"/>
      <c r="K2859" s="609"/>
      <c r="L2859" s="609"/>
      <c r="M2859" s="609"/>
      <c r="N2859" s="599"/>
      <c r="O2859" s="552" t="s">
        <v>1584</v>
      </c>
      <c r="P2859" s="603"/>
      <c r="Q2859" s="682"/>
      <c r="R2859" s="682"/>
      <c r="S2859" s="682"/>
      <c r="T2859" s="682"/>
      <c r="U2859" s="682"/>
      <c r="V2859" s="682"/>
      <c r="W2859" s="682"/>
    </row>
    <row r="2860" spans="1:23">
      <c r="A2860" s="1045">
        <f t="shared" si="45"/>
        <v>9</v>
      </c>
      <c r="B2860" s="134">
        <v>45539</v>
      </c>
      <c r="C2860" s="70">
        <v>1017</v>
      </c>
      <c r="D2860" s="70" t="s">
        <v>5118</v>
      </c>
      <c r="E2860" s="280" t="s">
        <v>4685</v>
      </c>
      <c r="F2860" s="1049"/>
      <c r="G2860" s="1049">
        <v>15.71</v>
      </c>
      <c r="H2860" s="564"/>
      <c r="I2860" s="609"/>
      <c r="J2860" s="1155"/>
      <c r="K2860" s="609"/>
      <c r="L2860" s="609"/>
      <c r="M2860" s="609"/>
      <c r="N2860" s="599"/>
      <c r="O2860" s="552" t="s">
        <v>1584</v>
      </c>
      <c r="P2860" s="603"/>
      <c r="Q2860" s="682"/>
      <c r="R2860" s="682"/>
      <c r="S2860" s="682"/>
      <c r="T2860" s="682"/>
      <c r="U2860" s="682"/>
      <c r="V2860" s="682"/>
      <c r="W2860" s="682"/>
    </row>
    <row r="2861" spans="1:23">
      <c r="A2861" s="1045">
        <f t="shared" si="45"/>
        <v>9</v>
      </c>
      <c r="B2861" s="134">
        <v>45539</v>
      </c>
      <c r="C2861" s="70">
        <v>1017</v>
      </c>
      <c r="D2861" s="70" t="s">
        <v>5118</v>
      </c>
      <c r="E2861" s="280" t="s">
        <v>4686</v>
      </c>
      <c r="F2861" s="1049"/>
      <c r="G2861" s="1049">
        <v>5.25</v>
      </c>
      <c r="H2861" s="564"/>
      <c r="I2861" s="609"/>
      <c r="J2861" s="1155"/>
      <c r="K2861" s="609"/>
      <c r="L2861" s="609"/>
      <c r="M2861" s="609"/>
      <c r="N2861" s="599"/>
      <c r="O2861" s="552" t="s">
        <v>1584</v>
      </c>
      <c r="P2861" s="603"/>
      <c r="Q2861" s="682"/>
      <c r="R2861" s="682"/>
      <c r="S2861" s="682"/>
      <c r="T2861" s="682"/>
      <c r="U2861" s="682"/>
      <c r="V2861" s="682"/>
      <c r="W2861" s="682"/>
    </row>
    <row r="2862" spans="1:23">
      <c r="A2862" s="1045">
        <f t="shared" si="45"/>
        <v>9</v>
      </c>
      <c r="B2862" s="134">
        <v>45540</v>
      </c>
      <c r="C2862" s="70">
        <v>1017</v>
      </c>
      <c r="D2862" s="70" t="s">
        <v>5118</v>
      </c>
      <c r="E2862" s="280" t="s">
        <v>4687</v>
      </c>
      <c r="F2862" s="1049"/>
      <c r="G2862" s="1049">
        <v>257.25</v>
      </c>
      <c r="H2862" s="564"/>
      <c r="I2862" s="609"/>
      <c r="J2862" s="1155"/>
      <c r="K2862" s="609"/>
      <c r="L2862" s="609"/>
      <c r="M2862" s="609"/>
      <c r="N2862" s="599"/>
      <c r="O2862" s="552" t="s">
        <v>1584</v>
      </c>
      <c r="P2862" s="603"/>
      <c r="Q2862" s="682"/>
      <c r="R2862" s="682"/>
      <c r="S2862" s="682"/>
      <c r="T2862" s="682"/>
      <c r="U2862" s="682"/>
      <c r="V2862" s="682"/>
      <c r="W2862" s="682"/>
    </row>
    <row r="2863" spans="1:23">
      <c r="A2863" s="1045">
        <f t="shared" si="45"/>
        <v>9</v>
      </c>
      <c r="B2863" s="134">
        <v>45540</v>
      </c>
      <c r="C2863" s="70">
        <v>1017</v>
      </c>
      <c r="D2863" s="70" t="s">
        <v>5118</v>
      </c>
      <c r="E2863" s="280" t="s">
        <v>4688</v>
      </c>
      <c r="F2863" s="1049"/>
      <c r="G2863" s="1049">
        <v>38.06</v>
      </c>
      <c r="H2863" s="564"/>
      <c r="I2863" s="609"/>
      <c r="J2863" s="1155"/>
      <c r="K2863" s="609"/>
      <c r="L2863" s="609"/>
      <c r="M2863" s="609"/>
      <c r="N2863" s="599"/>
      <c r="O2863" s="552" t="s">
        <v>1584</v>
      </c>
      <c r="P2863" s="603"/>
      <c r="Q2863" s="682"/>
      <c r="R2863" s="682"/>
      <c r="S2863" s="682"/>
      <c r="T2863" s="682"/>
      <c r="U2863" s="682"/>
      <c r="V2863" s="682"/>
      <c r="W2863" s="682"/>
    </row>
    <row r="2864" spans="1:23">
      <c r="A2864" s="1045">
        <f t="shared" si="45"/>
        <v>9</v>
      </c>
      <c r="B2864" s="134">
        <v>45541</v>
      </c>
      <c r="C2864" s="70">
        <v>1017</v>
      </c>
      <c r="D2864" s="70" t="s">
        <v>5118</v>
      </c>
      <c r="E2864" s="280" t="s">
        <v>4689</v>
      </c>
      <c r="F2864" s="1049"/>
      <c r="G2864" s="1049">
        <v>475.48</v>
      </c>
      <c r="H2864" s="564"/>
      <c r="I2864" s="609"/>
      <c r="J2864" s="1155"/>
      <c r="K2864" s="609"/>
      <c r="L2864" s="609"/>
      <c r="M2864" s="609"/>
      <c r="N2864" s="599"/>
      <c r="O2864" s="552" t="s">
        <v>1584</v>
      </c>
      <c r="P2864" s="603"/>
      <c r="Q2864" s="682"/>
      <c r="R2864" s="682"/>
      <c r="S2864" s="682"/>
      <c r="T2864" s="682"/>
      <c r="U2864" s="682"/>
      <c r="V2864" s="682"/>
      <c r="W2864" s="682"/>
    </row>
    <row r="2865" spans="1:23">
      <c r="A2865" s="1045">
        <f t="shared" si="45"/>
        <v>9</v>
      </c>
      <c r="B2865" s="134">
        <v>45541</v>
      </c>
      <c r="C2865" s="70">
        <v>1017</v>
      </c>
      <c r="D2865" s="70" t="s">
        <v>5118</v>
      </c>
      <c r="E2865" s="280" t="s">
        <v>4690</v>
      </c>
      <c r="F2865" s="1049"/>
      <c r="G2865" s="1049">
        <v>105</v>
      </c>
      <c r="H2865" s="564"/>
      <c r="I2865" s="609"/>
      <c r="J2865" s="1155"/>
      <c r="K2865" s="609"/>
      <c r="L2865" s="609"/>
      <c r="M2865" s="609"/>
      <c r="N2865" s="599"/>
      <c r="O2865" s="552" t="s">
        <v>1584</v>
      </c>
      <c r="P2865" s="603"/>
      <c r="Q2865" s="682"/>
      <c r="R2865" s="682"/>
      <c r="S2865" s="682"/>
      <c r="T2865" s="682"/>
      <c r="U2865" s="682"/>
      <c r="V2865" s="682"/>
      <c r="W2865" s="682"/>
    </row>
    <row r="2866" spans="1:23">
      <c r="A2866" s="1045">
        <f t="shared" si="45"/>
        <v>9</v>
      </c>
      <c r="B2866" s="134">
        <v>45542</v>
      </c>
      <c r="C2866" s="70">
        <v>1017</v>
      </c>
      <c r="D2866" s="70" t="s">
        <v>5118</v>
      </c>
      <c r="E2866" s="280" t="s">
        <v>4691</v>
      </c>
      <c r="F2866" s="1049"/>
      <c r="G2866" s="1049">
        <v>128.1</v>
      </c>
      <c r="H2866" s="564"/>
      <c r="I2866" s="609"/>
      <c r="J2866" s="1155"/>
      <c r="K2866" s="609"/>
      <c r="L2866" s="609"/>
      <c r="M2866" s="609"/>
      <c r="N2866" s="599"/>
      <c r="O2866" s="552" t="s">
        <v>1584</v>
      </c>
      <c r="P2866" s="603"/>
      <c r="Q2866" s="682"/>
      <c r="R2866" s="682"/>
      <c r="S2866" s="682"/>
      <c r="T2866" s="682"/>
      <c r="U2866" s="682"/>
      <c r="V2866" s="682"/>
      <c r="W2866" s="682"/>
    </row>
    <row r="2867" spans="1:23">
      <c r="A2867" s="1045">
        <f t="shared" si="45"/>
        <v>9</v>
      </c>
      <c r="B2867" s="134">
        <v>45542</v>
      </c>
      <c r="C2867" s="70">
        <v>1017</v>
      </c>
      <c r="D2867" s="70" t="s">
        <v>5118</v>
      </c>
      <c r="E2867" s="280" t="s">
        <v>4692</v>
      </c>
      <c r="F2867" s="1049"/>
      <c r="G2867" s="1049">
        <v>66.09</v>
      </c>
      <c r="H2867" s="564"/>
      <c r="I2867" s="609"/>
      <c r="J2867" s="1155"/>
      <c r="K2867" s="609"/>
      <c r="L2867" s="609"/>
      <c r="M2867" s="609"/>
      <c r="N2867" s="599"/>
      <c r="O2867" s="552" t="s">
        <v>1584</v>
      </c>
      <c r="P2867" s="603"/>
      <c r="Q2867" s="682"/>
      <c r="R2867" s="682"/>
      <c r="S2867" s="682"/>
      <c r="T2867" s="682"/>
      <c r="U2867" s="682"/>
      <c r="V2867" s="682"/>
      <c r="W2867" s="682"/>
    </row>
    <row r="2868" spans="1:23">
      <c r="A2868" s="1045">
        <f t="shared" si="45"/>
        <v>9</v>
      </c>
      <c r="B2868" s="134">
        <v>45542</v>
      </c>
      <c r="C2868" s="70">
        <v>1017</v>
      </c>
      <c r="D2868" s="70" t="s">
        <v>5118</v>
      </c>
      <c r="E2868" s="280" t="s">
        <v>4693</v>
      </c>
      <c r="F2868" s="1049"/>
      <c r="G2868" s="1049">
        <v>105</v>
      </c>
      <c r="H2868" s="564"/>
      <c r="I2868" s="609"/>
      <c r="J2868" s="1155"/>
      <c r="K2868" s="609"/>
      <c r="L2868" s="609"/>
      <c r="M2868" s="609"/>
      <c r="N2868" s="599"/>
      <c r="O2868" s="552" t="s">
        <v>1584</v>
      </c>
      <c r="P2868" s="603"/>
      <c r="Q2868" s="682"/>
      <c r="R2868" s="682"/>
      <c r="S2868" s="682"/>
      <c r="T2868" s="682"/>
      <c r="U2868" s="682"/>
      <c r="V2868" s="682"/>
      <c r="W2868" s="682"/>
    </row>
    <row r="2869" spans="1:23">
      <c r="A2869" s="1045">
        <f t="shared" si="45"/>
        <v>9</v>
      </c>
      <c r="B2869" s="134">
        <v>45542</v>
      </c>
      <c r="C2869" s="70">
        <v>1017</v>
      </c>
      <c r="D2869" s="70" t="s">
        <v>5118</v>
      </c>
      <c r="E2869" s="280" t="s">
        <v>4694</v>
      </c>
      <c r="F2869" s="1049"/>
      <c r="G2869" s="1049">
        <v>192.14</v>
      </c>
      <c r="H2869" s="564"/>
      <c r="I2869" s="609"/>
      <c r="J2869" s="1155"/>
      <c r="K2869" s="609"/>
      <c r="L2869" s="609"/>
      <c r="M2869" s="609"/>
      <c r="N2869" s="599"/>
      <c r="O2869" s="552" t="s">
        <v>1584</v>
      </c>
      <c r="P2869" s="603"/>
      <c r="Q2869" s="682"/>
      <c r="R2869" s="682"/>
      <c r="S2869" s="682"/>
      <c r="T2869" s="682"/>
      <c r="U2869" s="682"/>
      <c r="V2869" s="682"/>
      <c r="W2869" s="682"/>
    </row>
    <row r="2870" spans="1:23">
      <c r="A2870" s="1045">
        <f t="shared" si="45"/>
        <v>9</v>
      </c>
      <c r="B2870" s="134">
        <v>45542</v>
      </c>
      <c r="C2870" s="70">
        <v>1017</v>
      </c>
      <c r="D2870" s="70" t="s">
        <v>5118</v>
      </c>
      <c r="E2870" s="280" t="s">
        <v>4695</v>
      </c>
      <c r="F2870" s="1049"/>
      <c r="G2870" s="1049">
        <v>99.88</v>
      </c>
      <c r="H2870" s="564"/>
      <c r="I2870" s="609"/>
      <c r="J2870" s="1155"/>
      <c r="K2870" s="609"/>
      <c r="L2870" s="609"/>
      <c r="M2870" s="609"/>
      <c r="N2870" s="599"/>
      <c r="O2870" s="552" t="s">
        <v>1584</v>
      </c>
      <c r="P2870" s="603"/>
      <c r="Q2870" s="682"/>
      <c r="R2870" s="682"/>
      <c r="S2870" s="682"/>
      <c r="T2870" s="682"/>
      <c r="U2870" s="682"/>
      <c r="V2870" s="682"/>
      <c r="W2870" s="682"/>
    </row>
    <row r="2871" spans="1:23">
      <c r="A2871" s="1045">
        <f t="shared" si="45"/>
        <v>9</v>
      </c>
      <c r="B2871" s="134">
        <v>45542</v>
      </c>
      <c r="C2871" s="70">
        <v>1017</v>
      </c>
      <c r="D2871" s="70" t="s">
        <v>5118</v>
      </c>
      <c r="E2871" s="280" t="s">
        <v>4696</v>
      </c>
      <c r="F2871" s="1049"/>
      <c r="G2871" s="1049">
        <v>265.64999999999998</v>
      </c>
      <c r="H2871" s="564"/>
      <c r="I2871" s="609"/>
      <c r="J2871" s="1155"/>
      <c r="K2871" s="609"/>
      <c r="L2871" s="609"/>
      <c r="M2871" s="609"/>
      <c r="N2871" s="599"/>
      <c r="O2871" s="552" t="s">
        <v>1584</v>
      </c>
      <c r="P2871" s="603"/>
      <c r="Q2871" s="682"/>
      <c r="R2871" s="682"/>
      <c r="S2871" s="682"/>
      <c r="T2871" s="682"/>
      <c r="U2871" s="682"/>
      <c r="V2871" s="682"/>
      <c r="W2871" s="682"/>
    </row>
    <row r="2872" spans="1:23">
      <c r="A2872" s="1045">
        <f t="shared" si="45"/>
        <v>9</v>
      </c>
      <c r="B2872" s="134">
        <v>45542</v>
      </c>
      <c r="C2872" s="70">
        <v>1017</v>
      </c>
      <c r="D2872" s="70" t="s">
        <v>5118</v>
      </c>
      <c r="E2872" s="280" t="s">
        <v>4697</v>
      </c>
      <c r="F2872" s="1049"/>
      <c r="G2872" s="1049">
        <v>152.25</v>
      </c>
      <c r="H2872" s="564"/>
      <c r="I2872" s="609"/>
      <c r="J2872" s="1155"/>
      <c r="K2872" s="609"/>
      <c r="L2872" s="609"/>
      <c r="M2872" s="609"/>
      <c r="N2872" s="599"/>
      <c r="O2872" s="552" t="s">
        <v>1584</v>
      </c>
      <c r="P2872" s="603"/>
      <c r="Q2872" s="682"/>
      <c r="R2872" s="682"/>
      <c r="S2872" s="682"/>
      <c r="T2872" s="682"/>
      <c r="U2872" s="682"/>
      <c r="V2872" s="682"/>
      <c r="W2872" s="682"/>
    </row>
    <row r="2873" spans="1:23">
      <c r="A2873" s="1045">
        <f t="shared" si="45"/>
        <v>9</v>
      </c>
      <c r="B2873" s="134">
        <v>45542</v>
      </c>
      <c r="C2873" s="70">
        <v>1017</v>
      </c>
      <c r="D2873" s="70" t="s">
        <v>5118</v>
      </c>
      <c r="E2873" s="280" t="s">
        <v>4698</v>
      </c>
      <c r="F2873" s="1049"/>
      <c r="G2873" s="1049">
        <v>39.9</v>
      </c>
      <c r="H2873" s="564"/>
      <c r="I2873" s="609"/>
      <c r="J2873" s="1155"/>
      <c r="K2873" s="609"/>
      <c r="L2873" s="609"/>
      <c r="M2873" s="609"/>
      <c r="N2873" s="599"/>
      <c r="O2873" s="552" t="s">
        <v>1584</v>
      </c>
      <c r="P2873" s="603"/>
      <c r="Q2873" s="682"/>
      <c r="R2873" s="682"/>
      <c r="S2873" s="682"/>
      <c r="T2873" s="682"/>
      <c r="U2873" s="682"/>
      <c r="V2873" s="682"/>
      <c r="W2873" s="682"/>
    </row>
    <row r="2874" spans="1:23">
      <c r="A2874" s="1045">
        <f t="shared" si="45"/>
        <v>9</v>
      </c>
      <c r="B2874" s="134">
        <v>45542</v>
      </c>
      <c r="C2874" s="70">
        <v>1017</v>
      </c>
      <c r="D2874" s="70" t="s">
        <v>5118</v>
      </c>
      <c r="E2874" s="280" t="s">
        <v>4699</v>
      </c>
      <c r="F2874" s="1049"/>
      <c r="G2874" s="1049">
        <v>81.900000000000006</v>
      </c>
      <c r="H2874" s="564"/>
      <c r="I2874" s="609"/>
      <c r="J2874" s="1155"/>
      <c r="K2874" s="609"/>
      <c r="L2874" s="609"/>
      <c r="M2874" s="609"/>
      <c r="N2874" s="599"/>
      <c r="O2874" s="552" t="s">
        <v>1584</v>
      </c>
      <c r="P2874" s="603"/>
      <c r="Q2874" s="682"/>
      <c r="R2874" s="682"/>
      <c r="S2874" s="682"/>
      <c r="T2874" s="682"/>
      <c r="U2874" s="682"/>
      <c r="V2874" s="682"/>
      <c r="W2874" s="682"/>
    </row>
    <row r="2875" spans="1:23">
      <c r="A2875" s="1045">
        <f t="shared" si="45"/>
        <v>9</v>
      </c>
      <c r="B2875" s="134">
        <v>45542</v>
      </c>
      <c r="C2875" s="70">
        <v>1017</v>
      </c>
      <c r="D2875" s="70" t="s">
        <v>5118</v>
      </c>
      <c r="E2875" s="280" t="s">
        <v>4700</v>
      </c>
      <c r="F2875" s="1049"/>
      <c r="G2875" s="1049">
        <v>23.1</v>
      </c>
      <c r="H2875" s="564"/>
      <c r="I2875" s="609"/>
      <c r="J2875" s="1155"/>
      <c r="K2875" s="609"/>
      <c r="L2875" s="609"/>
      <c r="M2875" s="609"/>
      <c r="N2875" s="599"/>
      <c r="O2875" s="552" t="s">
        <v>1584</v>
      </c>
      <c r="P2875" s="603"/>
      <c r="Q2875" s="682"/>
      <c r="R2875" s="682"/>
      <c r="S2875" s="682"/>
      <c r="T2875" s="682"/>
      <c r="U2875" s="682"/>
      <c r="V2875" s="682"/>
      <c r="W2875" s="682"/>
    </row>
    <row r="2876" spans="1:23">
      <c r="A2876" s="1045">
        <f t="shared" si="45"/>
        <v>9</v>
      </c>
      <c r="B2876" s="134">
        <v>45543</v>
      </c>
      <c r="C2876" s="70">
        <v>1017</v>
      </c>
      <c r="D2876" s="70" t="s">
        <v>5118</v>
      </c>
      <c r="E2876" s="280" t="s">
        <v>4701</v>
      </c>
      <c r="F2876" s="1049"/>
      <c r="G2876" s="1049">
        <v>92.93</v>
      </c>
      <c r="H2876" s="564"/>
      <c r="I2876" s="609"/>
      <c r="J2876" s="1155"/>
      <c r="K2876" s="609"/>
      <c r="L2876" s="609"/>
      <c r="M2876" s="609"/>
      <c r="N2876" s="599"/>
      <c r="O2876" s="552" t="s">
        <v>1584</v>
      </c>
      <c r="P2876" s="603"/>
      <c r="Q2876" s="682"/>
      <c r="R2876" s="682"/>
      <c r="S2876" s="682"/>
      <c r="T2876" s="682"/>
      <c r="U2876" s="682"/>
      <c r="V2876" s="682"/>
      <c r="W2876" s="682"/>
    </row>
    <row r="2877" spans="1:23">
      <c r="A2877" s="1045">
        <f t="shared" si="45"/>
        <v>9</v>
      </c>
      <c r="B2877" s="134">
        <v>45543</v>
      </c>
      <c r="C2877" s="70">
        <v>1017</v>
      </c>
      <c r="D2877" s="70" t="s">
        <v>5118</v>
      </c>
      <c r="E2877" s="280" t="s">
        <v>4702</v>
      </c>
      <c r="F2877" s="1049"/>
      <c r="G2877" s="1049">
        <v>52.5</v>
      </c>
      <c r="H2877" s="564"/>
      <c r="I2877" s="609"/>
      <c r="J2877" s="1155"/>
      <c r="K2877" s="609"/>
      <c r="L2877" s="609"/>
      <c r="M2877" s="609"/>
      <c r="N2877" s="599"/>
      <c r="O2877" s="552" t="s">
        <v>1584</v>
      </c>
      <c r="P2877" s="603"/>
      <c r="Q2877" s="682"/>
      <c r="R2877" s="682"/>
      <c r="S2877" s="682"/>
      <c r="T2877" s="682"/>
      <c r="U2877" s="682"/>
      <c r="V2877" s="682"/>
      <c r="W2877" s="682"/>
    </row>
    <row r="2878" spans="1:23">
      <c r="A2878" s="1045">
        <f t="shared" si="45"/>
        <v>9</v>
      </c>
      <c r="B2878" s="134">
        <v>45543</v>
      </c>
      <c r="C2878" s="70">
        <v>1017</v>
      </c>
      <c r="D2878" s="70" t="s">
        <v>5118</v>
      </c>
      <c r="E2878" s="280" t="s">
        <v>4703</v>
      </c>
      <c r="F2878" s="1049"/>
      <c r="G2878" s="1049">
        <v>76.13</v>
      </c>
      <c r="H2878" s="564"/>
      <c r="I2878" s="609"/>
      <c r="J2878" s="1155"/>
      <c r="K2878" s="609"/>
      <c r="L2878" s="609"/>
      <c r="M2878" s="609"/>
      <c r="N2878" s="599"/>
      <c r="O2878" s="552" t="s">
        <v>1584</v>
      </c>
      <c r="P2878" s="603"/>
      <c r="Q2878" s="682"/>
      <c r="R2878" s="682"/>
      <c r="S2878" s="682"/>
      <c r="T2878" s="682"/>
      <c r="U2878" s="682"/>
      <c r="V2878" s="682"/>
      <c r="W2878" s="682"/>
    </row>
    <row r="2879" spans="1:23">
      <c r="A2879" s="1045">
        <f t="shared" si="45"/>
        <v>9</v>
      </c>
      <c r="B2879" s="134">
        <v>45543</v>
      </c>
      <c r="C2879" s="70">
        <v>1017</v>
      </c>
      <c r="D2879" s="70" t="s">
        <v>5118</v>
      </c>
      <c r="E2879" s="280" t="s">
        <v>4704</v>
      </c>
      <c r="F2879" s="1049"/>
      <c r="G2879" s="1049">
        <v>12.93</v>
      </c>
      <c r="H2879" s="564"/>
      <c r="I2879" s="609"/>
      <c r="J2879" s="1155"/>
      <c r="K2879" s="609"/>
      <c r="L2879" s="609"/>
      <c r="M2879" s="609"/>
      <c r="N2879" s="599"/>
      <c r="O2879" s="552" t="s">
        <v>1584</v>
      </c>
      <c r="P2879" s="603"/>
      <c r="Q2879" s="682"/>
      <c r="R2879" s="682"/>
      <c r="S2879" s="682"/>
      <c r="T2879" s="682"/>
      <c r="U2879" s="682"/>
      <c r="V2879" s="682"/>
      <c r="W2879" s="682"/>
    </row>
    <row r="2880" spans="1:23">
      <c r="A2880" s="1045">
        <f t="shared" si="45"/>
        <v>9</v>
      </c>
      <c r="B2880" s="134">
        <v>45544</v>
      </c>
      <c r="C2880" s="70">
        <v>1017</v>
      </c>
      <c r="D2880" s="70" t="s">
        <v>5118</v>
      </c>
      <c r="E2880" s="280" t="s">
        <v>4705</v>
      </c>
      <c r="F2880" s="1049"/>
      <c r="G2880" s="1049">
        <v>70.150000000000006</v>
      </c>
      <c r="H2880" s="564"/>
      <c r="I2880" s="609"/>
      <c r="J2880" s="1155"/>
      <c r="K2880" s="609"/>
      <c r="L2880" s="609"/>
      <c r="M2880" s="609"/>
      <c r="N2880" s="599"/>
      <c r="O2880" s="552" t="s">
        <v>1584</v>
      </c>
      <c r="P2880" s="603"/>
      <c r="Q2880" s="682"/>
      <c r="R2880" s="682"/>
      <c r="S2880" s="682"/>
      <c r="T2880" s="682"/>
      <c r="U2880" s="682"/>
      <c r="V2880" s="682"/>
      <c r="W2880" s="682"/>
    </row>
    <row r="2881" spans="1:23">
      <c r="A2881" s="1045">
        <f t="shared" si="45"/>
        <v>9</v>
      </c>
      <c r="B2881" s="134">
        <v>45545</v>
      </c>
      <c r="C2881" s="70">
        <v>1017</v>
      </c>
      <c r="D2881" s="70" t="s">
        <v>5118</v>
      </c>
      <c r="E2881" s="280" t="s">
        <v>4706</v>
      </c>
      <c r="F2881" s="1049"/>
      <c r="G2881" s="1049">
        <v>52.5</v>
      </c>
      <c r="H2881" s="564"/>
      <c r="I2881" s="609"/>
      <c r="J2881" s="1155"/>
      <c r="K2881" s="609"/>
      <c r="L2881" s="609"/>
      <c r="M2881" s="609"/>
      <c r="N2881" s="599"/>
      <c r="O2881" s="552" t="s">
        <v>1584</v>
      </c>
      <c r="P2881" s="603"/>
      <c r="Q2881" s="682"/>
      <c r="R2881" s="682"/>
      <c r="S2881" s="682"/>
      <c r="T2881" s="682"/>
      <c r="U2881" s="682"/>
      <c r="V2881" s="682"/>
      <c r="W2881" s="682"/>
    </row>
    <row r="2882" spans="1:23">
      <c r="A2882" s="1045">
        <f t="shared" si="45"/>
        <v>9</v>
      </c>
      <c r="B2882" s="134">
        <v>45545</v>
      </c>
      <c r="C2882" s="70">
        <v>1017</v>
      </c>
      <c r="D2882" s="70" t="s">
        <v>5118</v>
      </c>
      <c r="E2882" s="280" t="s">
        <v>4707</v>
      </c>
      <c r="F2882" s="1049"/>
      <c r="G2882" s="1049">
        <v>76.650000000000006</v>
      </c>
      <c r="H2882" s="564"/>
      <c r="I2882" s="609"/>
      <c r="J2882" s="1155"/>
      <c r="K2882" s="609"/>
      <c r="L2882" s="609"/>
      <c r="M2882" s="609"/>
      <c r="N2882" s="599"/>
      <c r="O2882" s="552" t="s">
        <v>1584</v>
      </c>
      <c r="P2882" s="603"/>
      <c r="Q2882" s="682"/>
      <c r="R2882" s="682"/>
      <c r="S2882" s="682"/>
      <c r="T2882" s="682"/>
      <c r="U2882" s="682"/>
      <c r="V2882" s="682"/>
      <c r="W2882" s="682"/>
    </row>
    <row r="2883" spans="1:23">
      <c r="A2883" s="1045">
        <f t="shared" si="45"/>
        <v>9</v>
      </c>
      <c r="B2883" s="134">
        <v>45545</v>
      </c>
      <c r="C2883" s="70">
        <v>1017</v>
      </c>
      <c r="D2883" s="70" t="s">
        <v>5118</v>
      </c>
      <c r="E2883" s="280" t="s">
        <v>4708</v>
      </c>
      <c r="F2883" s="1049"/>
      <c r="G2883" s="1049">
        <v>52.5</v>
      </c>
      <c r="H2883" s="564"/>
      <c r="I2883" s="609"/>
      <c r="J2883" s="1155"/>
      <c r="K2883" s="609"/>
      <c r="L2883" s="609"/>
      <c r="M2883" s="609"/>
      <c r="N2883" s="599"/>
      <c r="O2883" s="552" t="s">
        <v>1584</v>
      </c>
      <c r="P2883" s="603"/>
      <c r="Q2883" s="682"/>
      <c r="R2883" s="682"/>
      <c r="S2883" s="682"/>
      <c r="T2883" s="682"/>
      <c r="U2883" s="682"/>
      <c r="V2883" s="682"/>
      <c r="W2883" s="682"/>
    </row>
    <row r="2884" spans="1:23">
      <c r="A2884" s="1045">
        <f t="shared" si="45"/>
        <v>9</v>
      </c>
      <c r="B2884" s="134">
        <v>45545</v>
      </c>
      <c r="C2884" s="70">
        <v>1017</v>
      </c>
      <c r="D2884" s="70" t="s">
        <v>5118</v>
      </c>
      <c r="E2884" s="280" t="s">
        <v>4709</v>
      </c>
      <c r="F2884" s="1049"/>
      <c r="G2884" s="1049">
        <v>10.5</v>
      </c>
      <c r="H2884" s="564"/>
      <c r="I2884" s="609"/>
      <c r="J2884" s="1155"/>
      <c r="K2884" s="609"/>
      <c r="L2884" s="609"/>
      <c r="M2884" s="609"/>
      <c r="N2884" s="599"/>
      <c r="O2884" s="552" t="s">
        <v>1584</v>
      </c>
      <c r="P2884" s="603"/>
      <c r="Q2884" s="682"/>
      <c r="R2884" s="682"/>
      <c r="S2884" s="682"/>
      <c r="T2884" s="682"/>
      <c r="U2884" s="682"/>
      <c r="V2884" s="682"/>
      <c r="W2884" s="682"/>
    </row>
    <row r="2885" spans="1:23">
      <c r="A2885" s="1045">
        <f t="shared" si="45"/>
        <v>9</v>
      </c>
      <c r="B2885" s="134">
        <v>45545</v>
      </c>
      <c r="C2885" s="70">
        <v>1017</v>
      </c>
      <c r="D2885" s="70" t="s">
        <v>5118</v>
      </c>
      <c r="E2885" s="280" t="s">
        <v>4710</v>
      </c>
      <c r="F2885" s="1049"/>
      <c r="G2885" s="1049">
        <v>544.41999999999996</v>
      </c>
      <c r="H2885" s="564"/>
      <c r="I2885" s="609"/>
      <c r="J2885" s="1155"/>
      <c r="K2885" s="609"/>
      <c r="L2885" s="609"/>
      <c r="M2885" s="609"/>
      <c r="N2885" s="599"/>
      <c r="O2885" s="552" t="s">
        <v>1584</v>
      </c>
      <c r="P2885" s="603"/>
      <c r="Q2885" s="682"/>
      <c r="R2885" s="682"/>
      <c r="S2885" s="682"/>
      <c r="T2885" s="682"/>
      <c r="U2885" s="682"/>
      <c r="V2885" s="682"/>
      <c r="W2885" s="682"/>
    </row>
    <row r="2886" spans="1:23">
      <c r="A2886" s="1045">
        <f t="shared" si="45"/>
        <v>9</v>
      </c>
      <c r="B2886" s="134">
        <v>45545</v>
      </c>
      <c r="C2886" s="70">
        <v>1017</v>
      </c>
      <c r="D2886" s="70" t="s">
        <v>5118</v>
      </c>
      <c r="E2886" s="280" t="s">
        <v>4711</v>
      </c>
      <c r="F2886" s="1049"/>
      <c r="G2886" s="1049">
        <v>96.61</v>
      </c>
      <c r="H2886" s="564"/>
      <c r="I2886" s="609"/>
      <c r="J2886" s="1155"/>
      <c r="K2886" s="609"/>
      <c r="L2886" s="609"/>
      <c r="M2886" s="609"/>
      <c r="N2886" s="599"/>
      <c r="O2886" s="552" t="s">
        <v>1584</v>
      </c>
      <c r="P2886" s="603"/>
      <c r="Q2886" s="682"/>
      <c r="R2886" s="682"/>
      <c r="S2886" s="682"/>
      <c r="T2886" s="682"/>
      <c r="U2886" s="682"/>
      <c r="V2886" s="682"/>
      <c r="W2886" s="682"/>
    </row>
    <row r="2887" spans="1:23">
      <c r="A2887" s="1045">
        <f t="shared" si="45"/>
        <v>9</v>
      </c>
      <c r="B2887" s="134">
        <v>45545</v>
      </c>
      <c r="C2887" s="70">
        <v>1017</v>
      </c>
      <c r="D2887" s="70" t="s">
        <v>5118</v>
      </c>
      <c r="E2887" s="280" t="s">
        <v>4712</v>
      </c>
      <c r="F2887" s="1049"/>
      <c r="G2887" s="1049">
        <v>18.899999999999999</v>
      </c>
      <c r="H2887" s="564"/>
      <c r="I2887" s="609"/>
      <c r="J2887" s="1155"/>
      <c r="K2887" s="609"/>
      <c r="L2887" s="609"/>
      <c r="M2887" s="609"/>
      <c r="N2887" s="599"/>
      <c r="O2887" s="552" t="s">
        <v>1584</v>
      </c>
      <c r="P2887" s="603"/>
      <c r="Q2887" s="682"/>
      <c r="R2887" s="682"/>
      <c r="S2887" s="682"/>
      <c r="T2887" s="682"/>
      <c r="U2887" s="682"/>
      <c r="V2887" s="682"/>
      <c r="W2887" s="682"/>
    </row>
    <row r="2888" spans="1:23">
      <c r="A2888" s="1045">
        <f t="shared" si="45"/>
        <v>9</v>
      </c>
      <c r="B2888" s="134">
        <v>45545</v>
      </c>
      <c r="C2888" s="70">
        <v>1017</v>
      </c>
      <c r="D2888" s="70" t="s">
        <v>5118</v>
      </c>
      <c r="E2888" s="280" t="s">
        <v>4713</v>
      </c>
      <c r="F2888" s="1049"/>
      <c r="G2888" s="1049">
        <v>15.75</v>
      </c>
      <c r="H2888" s="564"/>
      <c r="I2888" s="609"/>
      <c r="J2888" s="1155"/>
      <c r="K2888" s="609"/>
      <c r="L2888" s="609"/>
      <c r="M2888" s="609"/>
      <c r="N2888" s="599"/>
      <c r="O2888" s="552" t="s">
        <v>1584</v>
      </c>
      <c r="P2888" s="603"/>
      <c r="Q2888" s="682"/>
      <c r="R2888" s="682"/>
      <c r="S2888" s="682"/>
      <c r="T2888" s="682"/>
      <c r="U2888" s="682"/>
      <c r="V2888" s="682"/>
      <c r="W2888" s="682"/>
    </row>
    <row r="2889" spans="1:23">
      <c r="A2889" s="1045">
        <f t="shared" si="45"/>
        <v>9</v>
      </c>
      <c r="B2889" s="134">
        <v>45546</v>
      </c>
      <c r="C2889" s="70">
        <v>1017</v>
      </c>
      <c r="D2889" s="70" t="s">
        <v>5118</v>
      </c>
      <c r="E2889" s="280" t="s">
        <v>4714</v>
      </c>
      <c r="F2889" s="1049"/>
      <c r="G2889" s="1049">
        <v>16.8</v>
      </c>
      <c r="H2889" s="564"/>
      <c r="I2889" s="609"/>
      <c r="J2889" s="1155"/>
      <c r="K2889" s="609"/>
      <c r="L2889" s="609"/>
      <c r="M2889" s="609"/>
      <c r="N2889" s="599"/>
      <c r="O2889" s="552" t="s">
        <v>1584</v>
      </c>
      <c r="P2889" s="603"/>
      <c r="Q2889" s="682"/>
      <c r="R2889" s="682"/>
      <c r="S2889" s="682"/>
      <c r="T2889" s="682"/>
      <c r="U2889" s="682"/>
      <c r="V2889" s="682"/>
      <c r="W2889" s="682"/>
    </row>
    <row r="2890" spans="1:23">
      <c r="A2890" s="1045">
        <f t="shared" si="45"/>
        <v>9</v>
      </c>
      <c r="B2890" s="134">
        <v>45546</v>
      </c>
      <c r="C2890" s="70">
        <v>1017</v>
      </c>
      <c r="D2890" s="70" t="s">
        <v>5118</v>
      </c>
      <c r="E2890" s="280" t="s">
        <v>4715</v>
      </c>
      <c r="F2890" s="1049"/>
      <c r="G2890" s="1049">
        <v>1268.3900000000001</v>
      </c>
      <c r="H2890" s="564"/>
      <c r="I2890" s="609"/>
      <c r="J2890" s="1155"/>
      <c r="K2890" s="609"/>
      <c r="L2890" s="609"/>
      <c r="M2890" s="609"/>
      <c r="N2890" s="599"/>
      <c r="O2890" s="552" t="s">
        <v>1584</v>
      </c>
      <c r="P2890" s="603"/>
      <c r="Q2890" s="682"/>
      <c r="R2890" s="682"/>
      <c r="S2890" s="682"/>
      <c r="T2890" s="682"/>
      <c r="U2890" s="682"/>
      <c r="V2890" s="682"/>
      <c r="W2890" s="682"/>
    </row>
    <row r="2891" spans="1:23">
      <c r="A2891" s="1045">
        <f t="shared" si="45"/>
        <v>9</v>
      </c>
      <c r="B2891" s="134">
        <v>45546</v>
      </c>
      <c r="C2891" s="70">
        <v>1017</v>
      </c>
      <c r="D2891" s="70" t="s">
        <v>5118</v>
      </c>
      <c r="E2891" s="280" t="s">
        <v>4716</v>
      </c>
      <c r="F2891" s="1049"/>
      <c r="G2891" s="1049">
        <v>399.53</v>
      </c>
      <c r="H2891" s="564"/>
      <c r="I2891" s="609"/>
      <c r="J2891" s="1155"/>
      <c r="K2891" s="609"/>
      <c r="L2891" s="609"/>
      <c r="M2891" s="609"/>
      <c r="N2891" s="599"/>
      <c r="O2891" s="552" t="s">
        <v>1584</v>
      </c>
      <c r="P2891" s="603"/>
      <c r="Q2891" s="682"/>
      <c r="R2891" s="682"/>
      <c r="S2891" s="682"/>
      <c r="T2891" s="682"/>
      <c r="U2891" s="682"/>
      <c r="V2891" s="682"/>
      <c r="W2891" s="682"/>
    </row>
    <row r="2892" spans="1:23">
      <c r="A2892" s="1045">
        <f t="shared" si="45"/>
        <v>9</v>
      </c>
      <c r="B2892" s="134">
        <v>45546</v>
      </c>
      <c r="C2892" s="70">
        <v>1017</v>
      </c>
      <c r="D2892" s="70" t="s">
        <v>5118</v>
      </c>
      <c r="E2892" s="280" t="s">
        <v>4717</v>
      </c>
      <c r="F2892" s="1049"/>
      <c r="G2892" s="1049">
        <v>36.75</v>
      </c>
      <c r="H2892" s="564"/>
      <c r="I2892" s="609"/>
      <c r="J2892" s="1155"/>
      <c r="K2892" s="609"/>
      <c r="L2892" s="609"/>
      <c r="M2892" s="609"/>
      <c r="N2892" s="599"/>
      <c r="O2892" s="552" t="s">
        <v>1584</v>
      </c>
      <c r="P2892" s="603"/>
      <c r="Q2892" s="682"/>
      <c r="R2892" s="682"/>
      <c r="S2892" s="682"/>
      <c r="T2892" s="682"/>
      <c r="U2892" s="682"/>
      <c r="V2892" s="682"/>
      <c r="W2892" s="682"/>
    </row>
    <row r="2893" spans="1:23">
      <c r="A2893" s="1045">
        <f t="shared" si="45"/>
        <v>9</v>
      </c>
      <c r="B2893" s="134">
        <v>45546</v>
      </c>
      <c r="C2893" s="70">
        <v>1017</v>
      </c>
      <c r="D2893" s="70" t="s">
        <v>5118</v>
      </c>
      <c r="E2893" s="280" t="s">
        <v>4718</v>
      </c>
      <c r="F2893" s="1049"/>
      <c r="G2893" s="1049">
        <v>20</v>
      </c>
      <c r="H2893" s="564"/>
      <c r="I2893" s="609"/>
      <c r="J2893" s="1155"/>
      <c r="K2893" s="609"/>
      <c r="L2893" s="609"/>
      <c r="M2893" s="609"/>
      <c r="N2893" s="599"/>
      <c r="O2893" s="552" t="s">
        <v>1584</v>
      </c>
      <c r="P2893" s="603"/>
      <c r="Q2893" s="682"/>
      <c r="R2893" s="682"/>
      <c r="S2893" s="682"/>
      <c r="T2893" s="682"/>
      <c r="U2893" s="682"/>
      <c r="V2893" s="682"/>
      <c r="W2893" s="682"/>
    </row>
    <row r="2894" spans="1:23">
      <c r="A2894" s="1045">
        <f t="shared" si="45"/>
        <v>9</v>
      </c>
      <c r="B2894" s="134">
        <v>45546</v>
      </c>
      <c r="C2894" s="70">
        <v>1017</v>
      </c>
      <c r="D2894" s="70" t="s">
        <v>5118</v>
      </c>
      <c r="E2894" s="280" t="s">
        <v>4719</v>
      </c>
      <c r="F2894" s="1049"/>
      <c r="G2894" s="1049">
        <v>8.4</v>
      </c>
      <c r="H2894" s="564"/>
      <c r="I2894" s="609"/>
      <c r="J2894" s="1155"/>
      <c r="K2894" s="609"/>
      <c r="L2894" s="609"/>
      <c r="M2894" s="609"/>
      <c r="N2894" s="599"/>
      <c r="O2894" s="552" t="s">
        <v>1584</v>
      </c>
      <c r="P2894" s="603"/>
      <c r="Q2894" s="682"/>
      <c r="R2894" s="682"/>
      <c r="S2894" s="682"/>
      <c r="T2894" s="682"/>
      <c r="U2894" s="682"/>
      <c r="V2894" s="682"/>
      <c r="W2894" s="682"/>
    </row>
    <row r="2895" spans="1:23">
      <c r="A2895" s="1045">
        <f t="shared" si="45"/>
        <v>9</v>
      </c>
      <c r="B2895" s="134">
        <v>45547</v>
      </c>
      <c r="C2895" s="70">
        <v>1017</v>
      </c>
      <c r="D2895" s="70" t="s">
        <v>5118</v>
      </c>
      <c r="E2895" s="280" t="s">
        <v>4720</v>
      </c>
      <c r="F2895" s="1049"/>
      <c r="G2895" s="1049">
        <v>84</v>
      </c>
      <c r="H2895" s="564"/>
      <c r="I2895" s="609"/>
      <c r="J2895" s="1155"/>
      <c r="K2895" s="609"/>
      <c r="L2895" s="609"/>
      <c r="M2895" s="609"/>
      <c r="N2895" s="599"/>
      <c r="O2895" s="552" t="s">
        <v>1584</v>
      </c>
      <c r="P2895" s="603"/>
      <c r="Q2895" s="682"/>
      <c r="R2895" s="682"/>
      <c r="S2895" s="682"/>
      <c r="T2895" s="682"/>
      <c r="U2895" s="682"/>
      <c r="V2895" s="682"/>
      <c r="W2895" s="682"/>
    </row>
    <row r="2896" spans="1:23">
      <c r="A2896" s="1045">
        <f t="shared" si="45"/>
        <v>9</v>
      </c>
      <c r="B2896" s="134">
        <v>45547</v>
      </c>
      <c r="C2896" s="70">
        <v>1017</v>
      </c>
      <c r="D2896" s="70" t="s">
        <v>5118</v>
      </c>
      <c r="E2896" s="280" t="s">
        <v>4721</v>
      </c>
      <c r="F2896" s="1049"/>
      <c r="G2896" s="1049">
        <v>49.88</v>
      </c>
      <c r="H2896" s="564"/>
      <c r="I2896" s="609"/>
      <c r="J2896" s="1155"/>
      <c r="K2896" s="609"/>
      <c r="L2896" s="609"/>
      <c r="M2896" s="609"/>
      <c r="N2896" s="599"/>
      <c r="O2896" s="552" t="s">
        <v>1584</v>
      </c>
      <c r="P2896" s="603"/>
      <c r="Q2896" s="682"/>
      <c r="R2896" s="682"/>
      <c r="S2896" s="682"/>
      <c r="T2896" s="682"/>
      <c r="U2896" s="682"/>
      <c r="V2896" s="682"/>
      <c r="W2896" s="682"/>
    </row>
    <row r="2897" spans="1:23">
      <c r="A2897" s="1045">
        <f t="shared" si="45"/>
        <v>9</v>
      </c>
      <c r="B2897" s="134">
        <v>45548</v>
      </c>
      <c r="C2897" s="70">
        <v>1017</v>
      </c>
      <c r="D2897" s="70" t="s">
        <v>5118</v>
      </c>
      <c r="E2897" s="280" t="s">
        <v>4722</v>
      </c>
      <c r="F2897" s="1049"/>
      <c r="G2897" s="1049">
        <v>864.14</v>
      </c>
      <c r="H2897" s="564"/>
      <c r="I2897" s="609"/>
      <c r="J2897" s="1155"/>
      <c r="K2897" s="609"/>
      <c r="L2897" s="609"/>
      <c r="M2897" s="609"/>
      <c r="N2897" s="599"/>
      <c r="O2897" s="552" t="s">
        <v>1584</v>
      </c>
      <c r="P2897" s="603"/>
      <c r="Q2897" s="682"/>
      <c r="R2897" s="682"/>
      <c r="S2897" s="682"/>
      <c r="T2897" s="682"/>
      <c r="U2897" s="682"/>
      <c r="V2897" s="682"/>
      <c r="W2897" s="682"/>
    </row>
    <row r="2898" spans="1:23">
      <c r="A2898" s="1045">
        <f t="shared" si="45"/>
        <v>9</v>
      </c>
      <c r="B2898" s="134">
        <v>45548</v>
      </c>
      <c r="C2898" s="70">
        <v>1017</v>
      </c>
      <c r="D2898" s="70" t="s">
        <v>5118</v>
      </c>
      <c r="E2898" s="280" t="s">
        <v>4723</v>
      </c>
      <c r="F2898" s="1049"/>
      <c r="G2898" s="1049">
        <v>1572.4</v>
      </c>
      <c r="H2898" s="564"/>
      <c r="I2898" s="609"/>
      <c r="J2898" s="1155"/>
      <c r="K2898" s="609"/>
      <c r="L2898" s="609"/>
      <c r="M2898" s="609"/>
      <c r="N2898" s="599"/>
      <c r="O2898" s="552" t="s">
        <v>1584</v>
      </c>
      <c r="P2898" s="603"/>
      <c r="Q2898" s="682"/>
      <c r="R2898" s="682"/>
      <c r="S2898" s="682"/>
      <c r="T2898" s="682"/>
      <c r="U2898" s="682"/>
      <c r="V2898" s="682"/>
      <c r="W2898" s="682"/>
    </row>
    <row r="2899" spans="1:23">
      <c r="A2899" s="1045">
        <f t="shared" si="45"/>
        <v>9</v>
      </c>
      <c r="B2899" s="134">
        <v>45548</v>
      </c>
      <c r="C2899" s="70">
        <v>1017</v>
      </c>
      <c r="D2899" s="70" t="s">
        <v>5118</v>
      </c>
      <c r="E2899" s="280" t="s">
        <v>4724</v>
      </c>
      <c r="F2899" s="1049"/>
      <c r="G2899" s="1049">
        <v>588</v>
      </c>
      <c r="H2899" s="564"/>
      <c r="I2899" s="609"/>
      <c r="J2899" s="1155"/>
      <c r="K2899" s="609"/>
      <c r="L2899" s="609"/>
      <c r="M2899" s="609"/>
      <c r="N2899" s="599"/>
      <c r="O2899" s="552" t="s">
        <v>1584</v>
      </c>
      <c r="P2899" s="603"/>
      <c r="Q2899" s="682"/>
      <c r="R2899" s="682"/>
      <c r="S2899" s="682"/>
      <c r="T2899" s="682"/>
      <c r="U2899" s="682"/>
      <c r="V2899" s="682"/>
      <c r="W2899" s="682"/>
    </row>
    <row r="2900" spans="1:23">
      <c r="A2900" s="1045">
        <f t="shared" si="45"/>
        <v>9</v>
      </c>
      <c r="B2900" s="134">
        <v>45548</v>
      </c>
      <c r="C2900" s="70">
        <v>1017</v>
      </c>
      <c r="D2900" s="70" t="s">
        <v>5118</v>
      </c>
      <c r="E2900" s="280" t="s">
        <v>4725</v>
      </c>
      <c r="F2900" s="1049"/>
      <c r="G2900" s="1049">
        <v>2793</v>
      </c>
      <c r="H2900" s="564"/>
      <c r="I2900" s="609"/>
      <c r="J2900" s="1155"/>
      <c r="K2900" s="609"/>
      <c r="L2900" s="609"/>
      <c r="M2900" s="609"/>
      <c r="N2900" s="599"/>
      <c r="O2900" s="552" t="s">
        <v>1584</v>
      </c>
      <c r="P2900" s="603"/>
      <c r="Q2900" s="682"/>
      <c r="R2900" s="682"/>
      <c r="S2900" s="682"/>
      <c r="T2900" s="682"/>
      <c r="U2900" s="682"/>
      <c r="V2900" s="682"/>
      <c r="W2900" s="682"/>
    </row>
    <row r="2901" spans="1:23">
      <c r="A2901" s="1045">
        <f t="shared" ref="A2901:A2964" si="46">IF(B2901="","",MONTH(B2901))</f>
        <v>9</v>
      </c>
      <c r="B2901" s="134">
        <v>45548</v>
      </c>
      <c r="C2901" s="70">
        <v>1017</v>
      </c>
      <c r="D2901" s="70" t="s">
        <v>5118</v>
      </c>
      <c r="E2901" s="280" t="s">
        <v>4726</v>
      </c>
      <c r="F2901" s="1049"/>
      <c r="G2901" s="1049">
        <v>65.64</v>
      </c>
      <c r="H2901" s="564"/>
      <c r="I2901" s="609"/>
      <c r="J2901" s="1155"/>
      <c r="K2901" s="609"/>
      <c r="L2901" s="609"/>
      <c r="M2901" s="609"/>
      <c r="N2901" s="599"/>
      <c r="O2901" s="552" t="s">
        <v>1584</v>
      </c>
      <c r="P2901" s="603"/>
      <c r="Q2901" s="682"/>
      <c r="R2901" s="682"/>
      <c r="S2901" s="682"/>
      <c r="T2901" s="682"/>
      <c r="U2901" s="682"/>
      <c r="V2901" s="682"/>
      <c r="W2901" s="682"/>
    </row>
    <row r="2902" spans="1:23">
      <c r="A2902" s="1045">
        <f t="shared" si="46"/>
        <v>9</v>
      </c>
      <c r="B2902" s="134">
        <v>45549</v>
      </c>
      <c r="C2902" s="70">
        <v>1022</v>
      </c>
      <c r="D2902" s="1140" t="s">
        <v>5119</v>
      </c>
      <c r="E2902" s="280" t="s">
        <v>4727</v>
      </c>
      <c r="F2902" s="1049"/>
      <c r="G2902" s="1142">
        <v>24707</v>
      </c>
      <c r="H2902" s="564"/>
      <c r="I2902" s="609"/>
      <c r="J2902" s="1155"/>
      <c r="K2902" s="609"/>
      <c r="L2902" s="609"/>
      <c r="M2902" s="609"/>
      <c r="N2902" s="599"/>
      <c r="O2902" s="552" t="s">
        <v>1584</v>
      </c>
      <c r="P2902" s="603"/>
      <c r="Q2902" s="682"/>
      <c r="R2902" s="682"/>
      <c r="S2902" s="682"/>
      <c r="T2902" s="682"/>
      <c r="U2902" s="682"/>
      <c r="V2902" s="682"/>
      <c r="W2902" s="682"/>
    </row>
    <row r="2903" spans="1:23">
      <c r="A2903" s="1045">
        <f t="shared" si="46"/>
        <v>9</v>
      </c>
      <c r="B2903" s="134">
        <v>45550</v>
      </c>
      <c r="C2903" s="70">
        <v>1017</v>
      </c>
      <c r="D2903" s="70" t="s">
        <v>5118</v>
      </c>
      <c r="E2903" s="280" t="s">
        <v>4728</v>
      </c>
      <c r="F2903" s="1049"/>
      <c r="G2903" s="1049">
        <v>708.75</v>
      </c>
      <c r="H2903" s="564"/>
      <c r="I2903" s="609"/>
      <c r="J2903" s="1155"/>
      <c r="K2903" s="609"/>
      <c r="L2903" s="609"/>
      <c r="M2903" s="609"/>
      <c r="N2903" s="599"/>
      <c r="O2903" s="552" t="s">
        <v>1584</v>
      </c>
      <c r="P2903" s="603"/>
      <c r="Q2903" s="682"/>
      <c r="R2903" s="682"/>
      <c r="S2903" s="682"/>
      <c r="T2903" s="682"/>
      <c r="U2903" s="682"/>
      <c r="V2903" s="682"/>
      <c r="W2903" s="682"/>
    </row>
    <row r="2904" spans="1:23">
      <c r="A2904" s="1045">
        <f t="shared" si="46"/>
        <v>9</v>
      </c>
      <c r="B2904" s="134">
        <v>45551</v>
      </c>
      <c r="C2904" s="70">
        <v>1017</v>
      </c>
      <c r="D2904" s="70" t="s">
        <v>5118</v>
      </c>
      <c r="E2904" s="280" t="s">
        <v>4729</v>
      </c>
      <c r="F2904" s="1049"/>
      <c r="G2904" s="1049">
        <v>1050</v>
      </c>
      <c r="H2904" s="564"/>
      <c r="I2904" s="609"/>
      <c r="J2904" s="1155"/>
      <c r="K2904" s="609"/>
      <c r="L2904" s="609"/>
      <c r="M2904" s="609"/>
      <c r="N2904" s="599"/>
      <c r="O2904" s="552" t="s">
        <v>1584</v>
      </c>
      <c r="P2904" s="603"/>
      <c r="Q2904" s="682"/>
      <c r="R2904" s="682"/>
      <c r="S2904" s="682"/>
      <c r="T2904" s="682"/>
      <c r="U2904" s="682"/>
      <c r="V2904" s="682"/>
      <c r="W2904" s="682"/>
    </row>
    <row r="2905" spans="1:23">
      <c r="A2905" s="1045">
        <f t="shared" si="46"/>
        <v>9</v>
      </c>
      <c r="B2905" s="134">
        <v>45551</v>
      </c>
      <c r="C2905" s="70">
        <v>1022</v>
      </c>
      <c r="D2905" s="70" t="s">
        <v>5119</v>
      </c>
      <c r="E2905" s="280" t="s">
        <v>4730</v>
      </c>
      <c r="F2905" s="1049"/>
      <c r="G2905" s="1049">
        <v>2005</v>
      </c>
      <c r="H2905" s="564"/>
      <c r="I2905" s="609"/>
      <c r="J2905" s="1155"/>
      <c r="K2905" s="609"/>
      <c r="L2905" s="609"/>
      <c r="M2905" s="609"/>
      <c r="N2905" s="599"/>
      <c r="O2905" s="552" t="s">
        <v>1584</v>
      </c>
      <c r="P2905" s="603"/>
      <c r="Q2905" s="682"/>
      <c r="R2905" s="682"/>
      <c r="S2905" s="682"/>
      <c r="T2905" s="682"/>
      <c r="U2905" s="682"/>
      <c r="V2905" s="682"/>
      <c r="W2905" s="682"/>
    </row>
    <row r="2906" spans="1:23">
      <c r="A2906" s="1045">
        <f t="shared" si="46"/>
        <v>9</v>
      </c>
      <c r="B2906" s="134">
        <v>45551</v>
      </c>
      <c r="C2906" s="70">
        <v>1017</v>
      </c>
      <c r="D2906" s="70" t="s">
        <v>5118</v>
      </c>
      <c r="E2906" s="280" t="s">
        <v>4731</v>
      </c>
      <c r="F2906" s="1049"/>
      <c r="G2906" s="1049">
        <v>955.5</v>
      </c>
      <c r="H2906" s="564"/>
      <c r="I2906" s="609"/>
      <c r="J2906" s="1155"/>
      <c r="K2906" s="609"/>
      <c r="L2906" s="609"/>
      <c r="M2906" s="609"/>
      <c r="N2906" s="599"/>
      <c r="O2906" s="552" t="s">
        <v>1584</v>
      </c>
      <c r="P2906" s="603"/>
      <c r="Q2906" s="682"/>
      <c r="R2906" s="682"/>
      <c r="S2906" s="682"/>
      <c r="T2906" s="682"/>
      <c r="U2906" s="682"/>
      <c r="V2906" s="682"/>
      <c r="W2906" s="682"/>
    </row>
    <row r="2907" spans="1:23">
      <c r="A2907" s="1045">
        <f t="shared" si="46"/>
        <v>9</v>
      </c>
      <c r="B2907" s="134">
        <v>45551</v>
      </c>
      <c r="C2907" s="70">
        <v>1017</v>
      </c>
      <c r="D2907" s="70" t="s">
        <v>5118</v>
      </c>
      <c r="E2907" s="280" t="s">
        <v>4732</v>
      </c>
      <c r="F2907" s="1049"/>
      <c r="G2907" s="1049">
        <v>111.73</v>
      </c>
      <c r="H2907" s="564"/>
      <c r="I2907" s="609"/>
      <c r="J2907" s="1155"/>
      <c r="K2907" s="609"/>
      <c r="L2907" s="609"/>
      <c r="M2907" s="609"/>
      <c r="N2907" s="599"/>
      <c r="O2907" s="552" t="s">
        <v>1584</v>
      </c>
      <c r="P2907" s="603"/>
      <c r="Q2907" s="682"/>
      <c r="R2907" s="682"/>
      <c r="S2907" s="682"/>
      <c r="T2907" s="682"/>
      <c r="U2907" s="682"/>
      <c r="V2907" s="682"/>
      <c r="W2907" s="682"/>
    </row>
    <row r="2908" spans="1:23">
      <c r="A2908" s="1045">
        <f t="shared" si="46"/>
        <v>9</v>
      </c>
      <c r="B2908" s="134">
        <v>45551</v>
      </c>
      <c r="C2908" s="70">
        <v>1017</v>
      </c>
      <c r="D2908" s="70" t="s">
        <v>5118</v>
      </c>
      <c r="E2908" s="280" t="s">
        <v>4733</v>
      </c>
      <c r="F2908" s="1049"/>
      <c r="G2908" s="1049">
        <v>23.1</v>
      </c>
      <c r="H2908" s="564"/>
      <c r="I2908" s="609"/>
      <c r="J2908" s="1155"/>
      <c r="K2908" s="609"/>
      <c r="L2908" s="609"/>
      <c r="M2908" s="609"/>
      <c r="N2908" s="599"/>
      <c r="O2908" s="552" t="s">
        <v>1584</v>
      </c>
      <c r="P2908" s="603"/>
      <c r="Q2908" s="682"/>
      <c r="R2908" s="682"/>
      <c r="S2908" s="682"/>
      <c r="T2908" s="682"/>
      <c r="U2908" s="682"/>
      <c r="V2908" s="682"/>
      <c r="W2908" s="682"/>
    </row>
    <row r="2909" spans="1:23">
      <c r="A2909" s="1045">
        <f t="shared" si="46"/>
        <v>9</v>
      </c>
      <c r="B2909" s="134">
        <v>45551</v>
      </c>
      <c r="C2909" s="70">
        <v>1017</v>
      </c>
      <c r="D2909" s="70" t="s">
        <v>5118</v>
      </c>
      <c r="E2909" s="280" t="s">
        <v>4734</v>
      </c>
      <c r="F2909" s="1049"/>
      <c r="G2909" s="1049">
        <v>339.57</v>
      </c>
      <c r="H2909" s="564"/>
      <c r="I2909" s="609"/>
      <c r="J2909" s="1155"/>
      <c r="K2909" s="609"/>
      <c r="L2909" s="609"/>
      <c r="M2909" s="609"/>
      <c r="N2909" s="599"/>
      <c r="O2909" s="552" t="s">
        <v>1584</v>
      </c>
      <c r="P2909" s="603"/>
      <c r="Q2909" s="682"/>
      <c r="R2909" s="682"/>
      <c r="S2909" s="682"/>
      <c r="T2909" s="682"/>
      <c r="U2909" s="682"/>
      <c r="V2909" s="682"/>
      <c r="W2909" s="682"/>
    </row>
    <row r="2910" spans="1:23">
      <c r="A2910" s="1045">
        <f t="shared" si="46"/>
        <v>9</v>
      </c>
      <c r="B2910" s="134">
        <v>45551</v>
      </c>
      <c r="C2910" s="70">
        <v>1017</v>
      </c>
      <c r="D2910" s="70" t="s">
        <v>5118</v>
      </c>
      <c r="E2910" s="280" t="s">
        <v>4735</v>
      </c>
      <c r="F2910" s="1049"/>
      <c r="G2910" s="1049">
        <v>36.75</v>
      </c>
      <c r="H2910" s="564"/>
      <c r="I2910" s="609"/>
      <c r="J2910" s="1155"/>
      <c r="K2910" s="609"/>
      <c r="L2910" s="609"/>
      <c r="M2910" s="609"/>
      <c r="N2910" s="599"/>
      <c r="O2910" s="552" t="s">
        <v>1584</v>
      </c>
      <c r="P2910" s="603"/>
      <c r="Q2910" s="682"/>
      <c r="R2910" s="682"/>
      <c r="S2910" s="682"/>
      <c r="T2910" s="682"/>
      <c r="U2910" s="682"/>
      <c r="V2910" s="682"/>
      <c r="W2910" s="682"/>
    </row>
    <row r="2911" spans="1:23">
      <c r="A2911" s="1045">
        <f t="shared" si="46"/>
        <v>9</v>
      </c>
      <c r="B2911" s="134">
        <v>45552</v>
      </c>
      <c r="C2911" s="70">
        <v>1017</v>
      </c>
      <c r="D2911" s="70" t="s">
        <v>5118</v>
      </c>
      <c r="E2911" s="280" t="s">
        <v>4736</v>
      </c>
      <c r="F2911" s="1049"/>
      <c r="G2911" s="1049">
        <v>1438.5</v>
      </c>
      <c r="H2911" s="564"/>
      <c r="I2911" s="609"/>
      <c r="J2911" s="1155"/>
      <c r="K2911" s="609"/>
      <c r="L2911" s="609"/>
      <c r="M2911" s="609"/>
      <c r="N2911" s="599"/>
      <c r="O2911" s="552" t="s">
        <v>1584</v>
      </c>
      <c r="P2911" s="603"/>
      <c r="Q2911" s="682"/>
      <c r="R2911" s="682"/>
      <c r="S2911" s="682"/>
      <c r="T2911" s="682"/>
      <c r="U2911" s="682"/>
      <c r="V2911" s="682"/>
      <c r="W2911" s="682"/>
    </row>
    <row r="2912" spans="1:23">
      <c r="A2912" s="1045">
        <f t="shared" si="46"/>
        <v>9</v>
      </c>
      <c r="B2912" s="134">
        <v>45552</v>
      </c>
      <c r="C2912" s="70">
        <v>1017</v>
      </c>
      <c r="D2912" s="70" t="s">
        <v>5118</v>
      </c>
      <c r="E2912" s="280" t="s">
        <v>4737</v>
      </c>
      <c r="F2912" s="1049"/>
      <c r="G2912" s="1049">
        <v>36.75</v>
      </c>
      <c r="H2912" s="564"/>
      <c r="I2912" s="609"/>
      <c r="J2912" s="1155"/>
      <c r="K2912" s="609"/>
      <c r="L2912" s="609"/>
      <c r="M2912" s="609"/>
      <c r="N2912" s="599"/>
      <c r="O2912" s="552" t="s">
        <v>1584</v>
      </c>
      <c r="P2912" s="603"/>
      <c r="Q2912" s="682"/>
      <c r="R2912" s="682"/>
      <c r="S2912" s="682"/>
      <c r="T2912" s="682"/>
      <c r="U2912" s="682"/>
      <c r="V2912" s="682"/>
      <c r="W2912" s="682"/>
    </row>
    <row r="2913" spans="1:23">
      <c r="A2913" s="1045">
        <f t="shared" si="46"/>
        <v>9</v>
      </c>
      <c r="B2913" s="134">
        <v>45552</v>
      </c>
      <c r="C2913" s="70">
        <v>1017</v>
      </c>
      <c r="D2913" s="70" t="s">
        <v>5118</v>
      </c>
      <c r="E2913" s="280" t="s">
        <v>4738</v>
      </c>
      <c r="F2913" s="1049"/>
      <c r="G2913" s="1049">
        <v>15</v>
      </c>
      <c r="H2913" s="564"/>
      <c r="I2913" s="609"/>
      <c r="J2913" s="1155"/>
      <c r="K2913" s="609"/>
      <c r="L2913" s="609"/>
      <c r="M2913" s="609"/>
      <c r="N2913" s="599"/>
      <c r="O2913" s="552" t="s">
        <v>1584</v>
      </c>
      <c r="P2913" s="603"/>
      <c r="Q2913" s="682"/>
      <c r="R2913" s="682"/>
      <c r="S2913" s="682"/>
      <c r="T2913" s="682"/>
      <c r="U2913" s="682"/>
      <c r="V2913" s="682"/>
      <c r="W2913" s="682"/>
    </row>
    <row r="2914" spans="1:23">
      <c r="A2914" s="1045">
        <f t="shared" si="46"/>
        <v>9</v>
      </c>
      <c r="B2914" s="134">
        <v>45553</v>
      </c>
      <c r="C2914" s="70">
        <v>1022</v>
      </c>
      <c r="D2914" s="70" t="s">
        <v>5119</v>
      </c>
      <c r="E2914" s="280" t="s">
        <v>4739</v>
      </c>
      <c r="F2914" s="1049"/>
      <c r="G2914" s="1049">
        <v>8690</v>
      </c>
      <c r="H2914" s="564"/>
      <c r="I2914" s="609"/>
      <c r="J2914" s="1155"/>
      <c r="K2914" s="609"/>
      <c r="L2914" s="609"/>
      <c r="M2914" s="609"/>
      <c r="N2914" s="599"/>
      <c r="O2914" s="552" t="s">
        <v>1584</v>
      </c>
      <c r="P2914" s="603"/>
      <c r="Q2914" s="682"/>
      <c r="R2914" s="682"/>
      <c r="S2914" s="682"/>
      <c r="T2914" s="682"/>
      <c r="U2914" s="682"/>
      <c r="V2914" s="682"/>
      <c r="W2914" s="682"/>
    </row>
    <row r="2915" spans="1:23">
      <c r="A2915" s="1045">
        <f t="shared" si="46"/>
        <v>9</v>
      </c>
      <c r="B2915" s="134">
        <v>45553</v>
      </c>
      <c r="C2915" s="70">
        <v>1022</v>
      </c>
      <c r="D2915" s="70" t="s">
        <v>5119</v>
      </c>
      <c r="E2915" s="280" t="s">
        <v>4740</v>
      </c>
      <c r="F2915" s="1049"/>
      <c r="G2915" s="1049">
        <v>13751</v>
      </c>
      <c r="H2915" s="564"/>
      <c r="I2915" s="609"/>
      <c r="J2915" s="1155"/>
      <c r="K2915" s="609"/>
      <c r="L2915" s="609"/>
      <c r="M2915" s="609"/>
      <c r="N2915" s="599"/>
      <c r="O2915" s="552" t="s">
        <v>1584</v>
      </c>
      <c r="P2915" s="603"/>
      <c r="Q2915" s="682"/>
      <c r="R2915" s="682"/>
      <c r="S2915" s="682"/>
      <c r="T2915" s="682"/>
      <c r="U2915" s="682"/>
      <c r="V2915" s="682"/>
      <c r="W2915" s="682"/>
    </row>
    <row r="2916" spans="1:23">
      <c r="A2916" s="1045">
        <f t="shared" si="46"/>
        <v>9</v>
      </c>
      <c r="B2916" s="134">
        <v>45553</v>
      </c>
      <c r="C2916" s="70">
        <v>1022</v>
      </c>
      <c r="D2916" s="70" t="s">
        <v>5119</v>
      </c>
      <c r="E2916" s="280" t="s">
        <v>4741</v>
      </c>
      <c r="F2916" s="1049"/>
      <c r="G2916" s="1049">
        <v>15648</v>
      </c>
      <c r="H2916" s="564"/>
      <c r="I2916" s="609"/>
      <c r="J2916" s="1155"/>
      <c r="K2916" s="609"/>
      <c r="L2916" s="609"/>
      <c r="M2916" s="609"/>
      <c r="N2916" s="599"/>
      <c r="O2916" s="552" t="s">
        <v>1584</v>
      </c>
      <c r="P2916" s="603"/>
      <c r="Q2916" s="682"/>
      <c r="R2916" s="682"/>
      <c r="S2916" s="682"/>
      <c r="T2916" s="682"/>
      <c r="U2916" s="682"/>
      <c r="V2916" s="682"/>
      <c r="W2916" s="682"/>
    </row>
    <row r="2917" spans="1:23">
      <c r="A2917" s="1045">
        <f t="shared" si="46"/>
        <v>9</v>
      </c>
      <c r="B2917" s="134">
        <v>45553</v>
      </c>
      <c r="C2917" s="70">
        <v>1017</v>
      </c>
      <c r="D2917" s="70" t="s">
        <v>5118</v>
      </c>
      <c r="E2917" s="280" t="s">
        <v>4742</v>
      </c>
      <c r="F2917" s="1049"/>
      <c r="G2917" s="1049">
        <v>183.75</v>
      </c>
      <c r="H2917" s="564"/>
      <c r="I2917" s="609"/>
      <c r="J2917" s="1155"/>
      <c r="K2917" s="609"/>
      <c r="L2917" s="609"/>
      <c r="M2917" s="609"/>
      <c r="N2917" s="599"/>
      <c r="O2917" s="552" t="s">
        <v>1584</v>
      </c>
      <c r="P2917" s="603"/>
      <c r="Q2917" s="682"/>
      <c r="R2917" s="682"/>
      <c r="S2917" s="682"/>
      <c r="T2917" s="682"/>
      <c r="U2917" s="682"/>
      <c r="V2917" s="682"/>
      <c r="W2917" s="682"/>
    </row>
    <row r="2918" spans="1:23">
      <c r="A2918" s="1045">
        <f t="shared" si="46"/>
        <v>9</v>
      </c>
      <c r="B2918" s="134">
        <v>45553</v>
      </c>
      <c r="C2918" s="70">
        <v>1017</v>
      </c>
      <c r="D2918" s="70" t="s">
        <v>5118</v>
      </c>
      <c r="E2918" s="280" t="s">
        <v>4743</v>
      </c>
      <c r="F2918" s="1049"/>
      <c r="G2918" s="1049">
        <v>34.65</v>
      </c>
      <c r="H2918" s="564"/>
      <c r="I2918" s="609"/>
      <c r="J2918" s="1155"/>
      <c r="K2918" s="609"/>
      <c r="L2918" s="609"/>
      <c r="M2918" s="609"/>
      <c r="N2918" s="599"/>
      <c r="O2918" s="552" t="s">
        <v>1584</v>
      </c>
      <c r="P2918" s="603"/>
      <c r="Q2918" s="682"/>
      <c r="R2918" s="682"/>
      <c r="S2918" s="682"/>
      <c r="T2918" s="682"/>
      <c r="U2918" s="682"/>
      <c r="V2918" s="682"/>
      <c r="W2918" s="682"/>
    </row>
    <row r="2919" spans="1:23">
      <c r="A2919" s="1045">
        <f t="shared" si="46"/>
        <v>9</v>
      </c>
      <c r="B2919" s="134">
        <v>45553</v>
      </c>
      <c r="C2919" s="70">
        <v>1017</v>
      </c>
      <c r="D2919" s="70" t="s">
        <v>5118</v>
      </c>
      <c r="E2919" s="280" t="s">
        <v>4744</v>
      </c>
      <c r="F2919" s="1049"/>
      <c r="G2919" s="1049">
        <v>245</v>
      </c>
      <c r="H2919" s="564"/>
      <c r="I2919" s="609"/>
      <c r="J2919" s="1155"/>
      <c r="K2919" s="609"/>
      <c r="L2919" s="609"/>
      <c r="M2919" s="609"/>
      <c r="N2919" s="599"/>
      <c r="O2919" s="552" t="s">
        <v>1584</v>
      </c>
      <c r="P2919" s="603"/>
      <c r="Q2919" s="682"/>
      <c r="R2919" s="682"/>
      <c r="S2919" s="682"/>
      <c r="T2919" s="682"/>
      <c r="U2919" s="682"/>
      <c r="V2919" s="682"/>
      <c r="W2919" s="682"/>
    </row>
    <row r="2920" spans="1:23">
      <c r="A2920" s="1045">
        <f t="shared" si="46"/>
        <v>9</v>
      </c>
      <c r="B2920" s="134">
        <v>45553</v>
      </c>
      <c r="C2920" s="70">
        <v>1017</v>
      </c>
      <c r="D2920" s="70" t="s">
        <v>5118</v>
      </c>
      <c r="E2920" s="280" t="s">
        <v>4745</v>
      </c>
      <c r="F2920" s="1049"/>
      <c r="G2920" s="1049">
        <v>23.63</v>
      </c>
      <c r="H2920" s="564"/>
      <c r="I2920" s="609"/>
      <c r="J2920" s="1155"/>
      <c r="K2920" s="609"/>
      <c r="L2920" s="609"/>
      <c r="M2920" s="609"/>
      <c r="N2920" s="599"/>
      <c r="O2920" s="552" t="s">
        <v>1584</v>
      </c>
      <c r="P2920" s="603"/>
      <c r="Q2920" s="682"/>
      <c r="R2920" s="682"/>
      <c r="S2920" s="682"/>
      <c r="T2920" s="682"/>
      <c r="U2920" s="682"/>
      <c r="V2920" s="682"/>
      <c r="W2920" s="682"/>
    </row>
    <row r="2921" spans="1:23">
      <c r="A2921" s="1045">
        <f t="shared" si="46"/>
        <v>9</v>
      </c>
      <c r="B2921" s="134">
        <v>45553</v>
      </c>
      <c r="C2921" s="70">
        <v>1017</v>
      </c>
      <c r="D2921" s="70" t="s">
        <v>5118</v>
      </c>
      <c r="E2921" s="280" t="s">
        <v>4746</v>
      </c>
      <c r="F2921" s="1049"/>
      <c r="G2921" s="1049">
        <v>135.44999999999999</v>
      </c>
      <c r="H2921" s="564"/>
      <c r="I2921" s="609"/>
      <c r="J2921" s="1155"/>
      <c r="K2921" s="609"/>
      <c r="L2921" s="609"/>
      <c r="M2921" s="609"/>
      <c r="N2921" s="599"/>
      <c r="O2921" s="552" t="s">
        <v>1584</v>
      </c>
      <c r="P2921" s="603"/>
      <c r="Q2921" s="682"/>
      <c r="R2921" s="682"/>
      <c r="S2921" s="682"/>
      <c r="T2921" s="682"/>
      <c r="U2921" s="682"/>
      <c r="V2921" s="682"/>
      <c r="W2921" s="682"/>
    </row>
    <row r="2922" spans="1:23">
      <c r="A2922" s="1045">
        <f t="shared" si="46"/>
        <v>9</v>
      </c>
      <c r="B2922" s="134">
        <v>45553</v>
      </c>
      <c r="C2922" s="70">
        <v>1017</v>
      </c>
      <c r="D2922" s="70" t="s">
        <v>5118</v>
      </c>
      <c r="E2922" s="280" t="s">
        <v>4747</v>
      </c>
      <c r="F2922" s="1049"/>
      <c r="G2922" s="1049">
        <v>36.75</v>
      </c>
      <c r="H2922" s="564"/>
      <c r="I2922" s="609"/>
      <c r="J2922" s="1155"/>
      <c r="K2922" s="609"/>
      <c r="L2922" s="609"/>
      <c r="M2922" s="609"/>
      <c r="N2922" s="599"/>
      <c r="O2922" s="552" t="s">
        <v>1584</v>
      </c>
      <c r="P2922" s="603"/>
      <c r="Q2922" s="682"/>
      <c r="R2922" s="682"/>
      <c r="S2922" s="682"/>
      <c r="T2922" s="682"/>
      <c r="U2922" s="682"/>
      <c r="V2922" s="682"/>
      <c r="W2922" s="682"/>
    </row>
    <row r="2923" spans="1:23">
      <c r="A2923" s="1045">
        <f t="shared" si="46"/>
        <v>9</v>
      </c>
      <c r="B2923" s="134">
        <v>45554</v>
      </c>
      <c r="C2923" s="70">
        <v>1022</v>
      </c>
      <c r="D2923" s="70" t="s">
        <v>5119</v>
      </c>
      <c r="E2923" s="280" t="s">
        <v>4748</v>
      </c>
      <c r="F2923" s="1049"/>
      <c r="G2923" s="1049">
        <v>41448</v>
      </c>
      <c r="H2923" s="564"/>
      <c r="I2923" s="609"/>
      <c r="J2923" s="1155"/>
      <c r="K2923" s="609"/>
      <c r="L2923" s="609"/>
      <c r="M2923" s="609"/>
      <c r="N2923" s="599"/>
      <c r="O2923" s="552" t="s">
        <v>1584</v>
      </c>
      <c r="P2923" s="603"/>
      <c r="Q2923" s="682"/>
      <c r="R2923" s="682"/>
      <c r="S2923" s="682"/>
      <c r="T2923" s="682"/>
      <c r="U2923" s="682"/>
      <c r="V2923" s="682"/>
      <c r="W2923" s="682"/>
    </row>
    <row r="2924" spans="1:23">
      <c r="A2924" s="1045">
        <f t="shared" si="46"/>
        <v>9</v>
      </c>
      <c r="B2924" s="134">
        <v>45554</v>
      </c>
      <c r="C2924" s="70">
        <v>1022</v>
      </c>
      <c r="D2924" s="70" t="s">
        <v>5119</v>
      </c>
      <c r="E2924" s="280" t="s">
        <v>4749</v>
      </c>
      <c r="F2924" s="1049"/>
      <c r="G2924" s="1049">
        <v>20244</v>
      </c>
      <c r="H2924" s="564"/>
      <c r="I2924" s="609"/>
      <c r="J2924" s="1155"/>
      <c r="K2924" s="609"/>
      <c r="L2924" s="609"/>
      <c r="M2924" s="609"/>
      <c r="N2924" s="599"/>
      <c r="O2924" s="552" t="s">
        <v>1584</v>
      </c>
      <c r="P2924" s="603"/>
      <c r="Q2924" s="682"/>
      <c r="R2924" s="682"/>
      <c r="S2924" s="682"/>
      <c r="T2924" s="682"/>
      <c r="U2924" s="682"/>
      <c r="V2924" s="682"/>
      <c r="W2924" s="682"/>
    </row>
    <row r="2925" spans="1:23">
      <c r="A2925" s="1045">
        <f t="shared" si="46"/>
        <v>9</v>
      </c>
      <c r="B2925" s="134">
        <v>45554</v>
      </c>
      <c r="C2925" s="70">
        <v>1017</v>
      </c>
      <c r="D2925" s="70" t="s">
        <v>5118</v>
      </c>
      <c r="E2925" s="280" t="s">
        <v>4750</v>
      </c>
      <c r="F2925" s="1049"/>
      <c r="G2925" s="1049">
        <v>378</v>
      </c>
      <c r="H2925" s="564"/>
      <c r="I2925" s="609"/>
      <c r="J2925" s="1155"/>
      <c r="K2925" s="609"/>
      <c r="L2925" s="609"/>
      <c r="M2925" s="609"/>
      <c r="N2925" s="599"/>
      <c r="O2925" s="552" t="s">
        <v>1584</v>
      </c>
      <c r="P2925" s="603"/>
      <c r="Q2925" s="682"/>
      <c r="R2925" s="682"/>
      <c r="S2925" s="682"/>
      <c r="T2925" s="682"/>
      <c r="U2925" s="682"/>
      <c r="V2925" s="682"/>
      <c r="W2925" s="682"/>
    </row>
    <row r="2926" spans="1:23">
      <c r="A2926" s="1045">
        <f t="shared" si="46"/>
        <v>9</v>
      </c>
      <c r="B2926" s="134">
        <v>45554</v>
      </c>
      <c r="C2926" s="70">
        <v>1017</v>
      </c>
      <c r="D2926" s="70" t="s">
        <v>5118</v>
      </c>
      <c r="E2926" s="280" t="s">
        <v>4751</v>
      </c>
      <c r="F2926" s="1049"/>
      <c r="G2926" s="1049">
        <v>12.6</v>
      </c>
      <c r="H2926" s="564"/>
      <c r="I2926" s="609"/>
      <c r="J2926" s="1155"/>
      <c r="K2926" s="609"/>
      <c r="L2926" s="609"/>
      <c r="M2926" s="609"/>
      <c r="N2926" s="599"/>
      <c r="O2926" s="552" t="s">
        <v>1584</v>
      </c>
      <c r="P2926" s="603"/>
      <c r="Q2926" s="682"/>
      <c r="R2926" s="682"/>
      <c r="S2926" s="682"/>
      <c r="T2926" s="682"/>
      <c r="U2926" s="682"/>
      <c r="V2926" s="682"/>
      <c r="W2926" s="682"/>
    </row>
    <row r="2927" spans="1:23">
      <c r="A2927" s="1045">
        <f t="shared" si="46"/>
        <v>9</v>
      </c>
      <c r="B2927" s="134">
        <v>45554</v>
      </c>
      <c r="C2927" s="70">
        <v>1017</v>
      </c>
      <c r="D2927" s="70" t="s">
        <v>5118</v>
      </c>
      <c r="E2927" s="280" t="s">
        <v>4752</v>
      </c>
      <c r="F2927" s="1049"/>
      <c r="G2927" s="1049">
        <v>19.95</v>
      </c>
      <c r="H2927" s="564"/>
      <c r="I2927" s="609"/>
      <c r="J2927" s="1155"/>
      <c r="K2927" s="609"/>
      <c r="L2927" s="609"/>
      <c r="M2927" s="609"/>
      <c r="N2927" s="599"/>
      <c r="O2927" s="552" t="s">
        <v>1584</v>
      </c>
      <c r="P2927" s="603"/>
      <c r="Q2927" s="682"/>
      <c r="R2927" s="682"/>
      <c r="S2927" s="682"/>
      <c r="T2927" s="682"/>
      <c r="U2927" s="682"/>
      <c r="V2927" s="682"/>
      <c r="W2927" s="682"/>
    </row>
    <row r="2928" spans="1:23">
      <c r="A2928" s="1045">
        <f t="shared" si="46"/>
        <v>9</v>
      </c>
      <c r="B2928" s="134">
        <v>45554</v>
      </c>
      <c r="C2928" s="70">
        <v>1017</v>
      </c>
      <c r="D2928" s="70" t="s">
        <v>5118</v>
      </c>
      <c r="E2928" s="280" t="s">
        <v>4753</v>
      </c>
      <c r="F2928" s="1049"/>
      <c r="G2928" s="1049">
        <v>4.2</v>
      </c>
      <c r="H2928" s="564"/>
      <c r="I2928" s="609"/>
      <c r="J2928" s="1155"/>
      <c r="K2928" s="609"/>
      <c r="L2928" s="609"/>
      <c r="M2928" s="609"/>
      <c r="N2928" s="599"/>
      <c r="O2928" s="552" t="s">
        <v>1584</v>
      </c>
      <c r="P2928" s="603"/>
      <c r="Q2928" s="682"/>
      <c r="R2928" s="682"/>
      <c r="S2928" s="682"/>
      <c r="T2928" s="682"/>
      <c r="U2928" s="682"/>
      <c r="V2928" s="682"/>
      <c r="W2928" s="682"/>
    </row>
    <row r="2929" spans="1:23">
      <c r="A2929" s="1045">
        <f t="shared" si="46"/>
        <v>9</v>
      </c>
      <c r="B2929" s="134">
        <v>45554</v>
      </c>
      <c r="C2929" s="70">
        <v>1017</v>
      </c>
      <c r="D2929" s="70" t="s">
        <v>5118</v>
      </c>
      <c r="E2929" s="280" t="s">
        <v>4754</v>
      </c>
      <c r="F2929" s="1049"/>
      <c r="G2929" s="1049">
        <v>25</v>
      </c>
      <c r="H2929" s="564"/>
      <c r="I2929" s="609"/>
      <c r="J2929" s="1155"/>
      <c r="K2929" s="609"/>
      <c r="L2929" s="609"/>
      <c r="M2929" s="609"/>
      <c r="N2929" s="599"/>
      <c r="O2929" s="552" t="s">
        <v>1584</v>
      </c>
      <c r="P2929" s="603"/>
      <c r="Q2929" s="682"/>
      <c r="R2929" s="682"/>
      <c r="S2929" s="682"/>
      <c r="T2929" s="682"/>
      <c r="U2929" s="682"/>
      <c r="V2929" s="682"/>
      <c r="W2929" s="682"/>
    </row>
    <row r="2930" spans="1:23">
      <c r="A2930" s="1045">
        <f t="shared" si="46"/>
        <v>9</v>
      </c>
      <c r="B2930" s="134">
        <v>45554</v>
      </c>
      <c r="C2930" s="70">
        <v>1017</v>
      </c>
      <c r="D2930" s="70" t="s">
        <v>5118</v>
      </c>
      <c r="E2930" s="280" t="s">
        <v>4755</v>
      </c>
      <c r="F2930" s="1049"/>
      <c r="G2930" s="1049">
        <v>1197</v>
      </c>
      <c r="H2930" s="564"/>
      <c r="I2930" s="609"/>
      <c r="J2930" s="1155"/>
      <c r="K2930" s="609"/>
      <c r="L2930" s="609"/>
      <c r="M2930" s="609"/>
      <c r="N2930" s="599"/>
      <c r="O2930" s="552" t="s">
        <v>1584</v>
      </c>
      <c r="P2930" s="603"/>
      <c r="Q2930" s="682"/>
      <c r="R2930" s="682"/>
      <c r="S2930" s="682"/>
      <c r="T2930" s="682"/>
      <c r="U2930" s="682"/>
      <c r="V2930" s="682"/>
      <c r="W2930" s="682"/>
    </row>
    <row r="2931" spans="1:23">
      <c r="A2931" s="1045">
        <f t="shared" si="46"/>
        <v>9</v>
      </c>
      <c r="B2931" s="134">
        <v>45555</v>
      </c>
      <c r="C2931" s="70">
        <v>1017</v>
      </c>
      <c r="D2931" s="70" t="s">
        <v>5118</v>
      </c>
      <c r="E2931" s="280" t="s">
        <v>4756</v>
      </c>
      <c r="F2931" s="1049"/>
      <c r="G2931" s="1049">
        <v>171.26</v>
      </c>
      <c r="H2931" s="564"/>
      <c r="I2931" s="609"/>
      <c r="J2931" s="1155"/>
      <c r="K2931" s="609"/>
      <c r="L2931" s="609"/>
      <c r="M2931" s="609"/>
      <c r="N2931" s="599"/>
      <c r="O2931" s="552" t="s">
        <v>1584</v>
      </c>
      <c r="P2931" s="603"/>
      <c r="Q2931" s="682"/>
      <c r="R2931" s="682"/>
      <c r="S2931" s="682"/>
      <c r="T2931" s="682"/>
      <c r="U2931" s="682"/>
      <c r="V2931" s="682"/>
      <c r="W2931" s="682"/>
    </row>
    <row r="2932" spans="1:23">
      <c r="A2932" s="1045">
        <f t="shared" si="46"/>
        <v>9</v>
      </c>
      <c r="B2932" s="134">
        <v>45555</v>
      </c>
      <c r="C2932" s="70">
        <v>1017</v>
      </c>
      <c r="D2932" s="70" t="s">
        <v>5118</v>
      </c>
      <c r="E2932" s="280" t="s">
        <v>4757</v>
      </c>
      <c r="F2932" s="1049"/>
      <c r="G2932" s="1049">
        <v>239</v>
      </c>
      <c r="H2932" s="564"/>
      <c r="I2932" s="609"/>
      <c r="J2932" s="1155"/>
      <c r="K2932" s="609"/>
      <c r="L2932" s="609"/>
      <c r="M2932" s="609"/>
      <c r="N2932" s="599"/>
      <c r="O2932" s="552" t="s">
        <v>1584</v>
      </c>
      <c r="P2932" s="603"/>
      <c r="Q2932" s="682"/>
      <c r="R2932" s="682"/>
      <c r="S2932" s="682"/>
      <c r="T2932" s="682"/>
      <c r="U2932" s="682"/>
      <c r="V2932" s="682"/>
      <c r="W2932" s="682"/>
    </row>
    <row r="2933" spans="1:23">
      <c r="A2933" s="1045">
        <f t="shared" si="46"/>
        <v>9</v>
      </c>
      <c r="B2933" s="134">
        <v>45555</v>
      </c>
      <c r="C2933" s="70">
        <v>1017</v>
      </c>
      <c r="D2933" s="70" t="s">
        <v>5118</v>
      </c>
      <c r="E2933" s="280" t="s">
        <v>4758</v>
      </c>
      <c r="F2933" s="1049"/>
      <c r="G2933" s="1049">
        <v>36.75</v>
      </c>
      <c r="H2933" s="564"/>
      <c r="I2933" s="609"/>
      <c r="J2933" s="1155"/>
      <c r="K2933" s="609"/>
      <c r="L2933" s="609"/>
      <c r="M2933" s="609"/>
      <c r="N2933" s="599"/>
      <c r="O2933" s="552" t="s">
        <v>1584</v>
      </c>
      <c r="P2933" s="603"/>
      <c r="Q2933" s="682"/>
      <c r="R2933" s="682"/>
      <c r="S2933" s="682"/>
      <c r="T2933" s="682"/>
      <c r="U2933" s="682"/>
      <c r="V2933" s="682"/>
      <c r="W2933" s="682"/>
    </row>
    <row r="2934" spans="1:23">
      <c r="A2934" s="1045">
        <f t="shared" si="46"/>
        <v>9</v>
      </c>
      <c r="B2934" s="134">
        <v>45556</v>
      </c>
      <c r="C2934" s="70">
        <v>1017</v>
      </c>
      <c r="D2934" s="70" t="s">
        <v>5118</v>
      </c>
      <c r="E2934" s="280" t="s">
        <v>4759</v>
      </c>
      <c r="F2934" s="1049"/>
      <c r="G2934" s="1049">
        <v>98.18</v>
      </c>
      <c r="H2934" s="564"/>
      <c r="I2934" s="609"/>
      <c r="J2934" s="1155"/>
      <c r="K2934" s="609"/>
      <c r="L2934" s="609"/>
      <c r="M2934" s="609"/>
      <c r="N2934" s="599"/>
      <c r="O2934" s="552" t="s">
        <v>1584</v>
      </c>
      <c r="P2934" s="603"/>
      <c r="Q2934" s="682"/>
      <c r="R2934" s="682"/>
      <c r="S2934" s="682"/>
      <c r="T2934" s="682"/>
      <c r="U2934" s="682"/>
      <c r="V2934" s="682"/>
      <c r="W2934" s="682"/>
    </row>
    <row r="2935" spans="1:23">
      <c r="A2935" s="1045">
        <f t="shared" si="46"/>
        <v>9</v>
      </c>
      <c r="B2935" s="134">
        <v>45556</v>
      </c>
      <c r="C2935" s="70">
        <v>1017</v>
      </c>
      <c r="D2935" s="70" t="s">
        <v>5118</v>
      </c>
      <c r="E2935" s="280" t="s">
        <v>4760</v>
      </c>
      <c r="F2935" s="1049"/>
      <c r="G2935" s="1049">
        <v>77.180000000000007</v>
      </c>
      <c r="H2935" s="564"/>
      <c r="I2935" s="609"/>
      <c r="J2935" s="1155"/>
      <c r="K2935" s="609"/>
      <c r="L2935" s="609"/>
      <c r="M2935" s="609"/>
      <c r="N2935" s="599"/>
      <c r="O2935" s="552" t="s">
        <v>1584</v>
      </c>
      <c r="P2935" s="603"/>
      <c r="Q2935" s="682"/>
      <c r="R2935" s="682"/>
      <c r="S2935" s="682"/>
      <c r="T2935" s="682"/>
      <c r="U2935" s="682"/>
      <c r="V2935" s="682"/>
      <c r="W2935" s="682"/>
    </row>
    <row r="2936" spans="1:23">
      <c r="A2936" s="1045">
        <f t="shared" si="46"/>
        <v>9</v>
      </c>
      <c r="B2936" s="134">
        <v>45556</v>
      </c>
      <c r="C2936" s="70">
        <v>1017</v>
      </c>
      <c r="D2936" s="70" t="s">
        <v>5118</v>
      </c>
      <c r="E2936" s="280" t="s">
        <v>4761</v>
      </c>
      <c r="F2936" s="1049"/>
      <c r="G2936" s="1049">
        <v>159.51</v>
      </c>
      <c r="H2936" s="564"/>
      <c r="I2936" s="609"/>
      <c r="J2936" s="1155"/>
      <c r="K2936" s="609"/>
      <c r="L2936" s="609"/>
      <c r="M2936" s="609"/>
      <c r="N2936" s="599"/>
      <c r="O2936" s="552" t="s">
        <v>1584</v>
      </c>
      <c r="P2936" s="603"/>
      <c r="Q2936" s="682"/>
      <c r="R2936" s="682"/>
      <c r="S2936" s="682"/>
      <c r="T2936" s="682"/>
      <c r="U2936" s="682"/>
      <c r="V2936" s="682"/>
      <c r="W2936" s="682"/>
    </row>
    <row r="2937" spans="1:23">
      <c r="A2937" s="1045">
        <f t="shared" si="46"/>
        <v>9</v>
      </c>
      <c r="B2937" s="134">
        <v>45557</v>
      </c>
      <c r="C2937" s="70">
        <v>1017</v>
      </c>
      <c r="D2937" s="70" t="s">
        <v>5118</v>
      </c>
      <c r="E2937" s="280" t="s">
        <v>4762</v>
      </c>
      <c r="F2937" s="1049"/>
      <c r="G2937" s="1049">
        <v>447.43</v>
      </c>
      <c r="H2937" s="564"/>
      <c r="I2937" s="609"/>
      <c r="J2937" s="1155"/>
      <c r="K2937" s="609"/>
      <c r="L2937" s="609"/>
      <c r="M2937" s="609"/>
      <c r="N2937" s="599"/>
      <c r="O2937" s="552" t="s">
        <v>1584</v>
      </c>
      <c r="P2937" s="603"/>
      <c r="Q2937" s="682"/>
      <c r="R2937" s="682"/>
      <c r="S2937" s="682"/>
      <c r="T2937" s="682"/>
      <c r="U2937" s="682"/>
      <c r="V2937" s="682"/>
      <c r="W2937" s="682"/>
    </row>
    <row r="2938" spans="1:23">
      <c r="A2938" s="1045">
        <f t="shared" si="46"/>
        <v>9</v>
      </c>
      <c r="B2938" s="134">
        <v>45557</v>
      </c>
      <c r="C2938" s="70">
        <v>1017</v>
      </c>
      <c r="D2938" s="70" t="s">
        <v>5118</v>
      </c>
      <c r="E2938" s="280" t="s">
        <v>4763</v>
      </c>
      <c r="F2938" s="1049"/>
      <c r="G2938" s="1049">
        <v>56.3</v>
      </c>
      <c r="H2938" s="564"/>
      <c r="I2938" s="609"/>
      <c r="J2938" s="1155"/>
      <c r="K2938" s="609"/>
      <c r="L2938" s="609"/>
      <c r="M2938" s="609"/>
      <c r="N2938" s="599"/>
      <c r="O2938" s="552" t="s">
        <v>1584</v>
      </c>
      <c r="P2938" s="603"/>
      <c r="Q2938" s="682"/>
      <c r="R2938" s="682"/>
      <c r="S2938" s="682"/>
      <c r="T2938" s="682"/>
      <c r="U2938" s="682"/>
      <c r="V2938" s="682"/>
      <c r="W2938" s="682"/>
    </row>
    <row r="2939" spans="1:23">
      <c r="A2939" s="1045">
        <f t="shared" si="46"/>
        <v>9</v>
      </c>
      <c r="B2939" s="134">
        <v>45558</v>
      </c>
      <c r="C2939" s="70">
        <v>1017</v>
      </c>
      <c r="D2939" s="70" t="s">
        <v>5118</v>
      </c>
      <c r="E2939" s="280" t="s">
        <v>4764</v>
      </c>
      <c r="F2939" s="1049"/>
      <c r="G2939" s="1049">
        <v>696.3</v>
      </c>
      <c r="H2939" s="564"/>
      <c r="I2939" s="609"/>
      <c r="J2939" s="1155"/>
      <c r="K2939" s="609"/>
      <c r="L2939" s="609"/>
      <c r="M2939" s="609"/>
      <c r="N2939" s="599"/>
      <c r="O2939" s="552" t="s">
        <v>1584</v>
      </c>
      <c r="P2939" s="603"/>
      <c r="Q2939" s="682"/>
      <c r="R2939" s="682"/>
      <c r="S2939" s="682"/>
      <c r="T2939" s="682"/>
      <c r="U2939" s="682"/>
      <c r="V2939" s="682"/>
      <c r="W2939" s="682"/>
    </row>
    <row r="2940" spans="1:23">
      <c r="A2940" s="1045">
        <f t="shared" si="46"/>
        <v>9</v>
      </c>
      <c r="B2940" s="134">
        <v>45558</v>
      </c>
      <c r="C2940" s="70">
        <v>1017</v>
      </c>
      <c r="D2940" s="70" t="s">
        <v>5118</v>
      </c>
      <c r="E2940" s="280" t="s">
        <v>4765</v>
      </c>
      <c r="F2940" s="1049"/>
      <c r="G2940" s="1049">
        <v>23.1</v>
      </c>
      <c r="H2940" s="564"/>
      <c r="I2940" s="609"/>
      <c r="J2940" s="1155"/>
      <c r="K2940" s="609"/>
      <c r="L2940" s="609"/>
      <c r="M2940" s="609"/>
      <c r="N2940" s="599"/>
      <c r="O2940" s="552" t="s">
        <v>1584</v>
      </c>
      <c r="P2940" s="603"/>
      <c r="Q2940" s="682"/>
      <c r="R2940" s="682"/>
      <c r="S2940" s="682"/>
      <c r="T2940" s="682"/>
      <c r="U2940" s="682"/>
      <c r="V2940" s="682"/>
      <c r="W2940" s="682"/>
    </row>
    <row r="2941" spans="1:23">
      <c r="A2941" s="1045">
        <f t="shared" si="46"/>
        <v>9</v>
      </c>
      <c r="B2941" s="134">
        <v>45558</v>
      </c>
      <c r="C2941" s="70">
        <v>1017</v>
      </c>
      <c r="D2941" s="70" t="s">
        <v>5118</v>
      </c>
      <c r="E2941" s="280" t="s">
        <v>4766</v>
      </c>
      <c r="F2941" s="1049"/>
      <c r="G2941" s="1049">
        <v>3444</v>
      </c>
      <c r="H2941" s="564"/>
      <c r="I2941" s="609"/>
      <c r="J2941" s="1155"/>
      <c r="K2941" s="609"/>
      <c r="L2941" s="609"/>
      <c r="M2941" s="609"/>
      <c r="N2941" s="599"/>
      <c r="O2941" s="552" t="s">
        <v>1584</v>
      </c>
      <c r="P2941" s="603"/>
      <c r="Q2941" s="682"/>
      <c r="R2941" s="682"/>
      <c r="S2941" s="682"/>
      <c r="T2941" s="682"/>
      <c r="U2941" s="682"/>
      <c r="V2941" s="682"/>
      <c r="W2941" s="682"/>
    </row>
    <row r="2942" spans="1:23">
      <c r="A2942" s="1045">
        <f t="shared" si="46"/>
        <v>9</v>
      </c>
      <c r="B2942" s="134">
        <v>45558</v>
      </c>
      <c r="C2942" s="70">
        <v>1017</v>
      </c>
      <c r="D2942" s="70" t="s">
        <v>5118</v>
      </c>
      <c r="E2942" s="280" t="s">
        <v>4767</v>
      </c>
      <c r="F2942" s="1049"/>
      <c r="G2942" s="1049">
        <v>345</v>
      </c>
      <c r="H2942" s="564"/>
      <c r="I2942" s="609"/>
      <c r="J2942" s="1155"/>
      <c r="K2942" s="609"/>
      <c r="L2942" s="609"/>
      <c r="M2942" s="609"/>
      <c r="N2942" s="599"/>
      <c r="O2942" s="552" t="s">
        <v>1584</v>
      </c>
      <c r="P2942" s="603"/>
      <c r="Q2942" s="682"/>
      <c r="R2942" s="682"/>
      <c r="S2942" s="682"/>
      <c r="T2942" s="682"/>
      <c r="U2942" s="682"/>
      <c r="V2942" s="682"/>
      <c r="W2942" s="682"/>
    </row>
    <row r="2943" spans="1:23">
      <c r="A2943" s="1045">
        <f t="shared" si="46"/>
        <v>9</v>
      </c>
      <c r="B2943" s="134">
        <v>45558</v>
      </c>
      <c r="C2943" s="70">
        <v>1017</v>
      </c>
      <c r="D2943" s="70" t="s">
        <v>5118</v>
      </c>
      <c r="E2943" s="280" t="s">
        <v>4768</v>
      </c>
      <c r="F2943" s="1049"/>
      <c r="G2943" s="1049">
        <v>714</v>
      </c>
      <c r="H2943" s="564"/>
      <c r="I2943" s="609"/>
      <c r="J2943" s="1155"/>
      <c r="K2943" s="609"/>
      <c r="L2943" s="609"/>
      <c r="M2943" s="609"/>
      <c r="N2943" s="599"/>
      <c r="O2943" s="552" t="s">
        <v>1584</v>
      </c>
      <c r="P2943" s="603"/>
      <c r="Q2943" s="682"/>
      <c r="R2943" s="682"/>
      <c r="S2943" s="682"/>
      <c r="T2943" s="682"/>
      <c r="U2943" s="682"/>
      <c r="V2943" s="682"/>
      <c r="W2943" s="682"/>
    </row>
    <row r="2944" spans="1:23">
      <c r="A2944" s="1045">
        <f t="shared" si="46"/>
        <v>9</v>
      </c>
      <c r="B2944" s="134">
        <v>45558</v>
      </c>
      <c r="C2944" s="70">
        <v>1017</v>
      </c>
      <c r="D2944" s="70" t="s">
        <v>5118</v>
      </c>
      <c r="E2944" s="280" t="s">
        <v>4769</v>
      </c>
      <c r="F2944" s="1049"/>
      <c r="G2944" s="1049">
        <v>79.28</v>
      </c>
      <c r="H2944" s="564"/>
      <c r="I2944" s="609"/>
      <c r="J2944" s="1155"/>
      <c r="K2944" s="609"/>
      <c r="L2944" s="609"/>
      <c r="M2944" s="609"/>
      <c r="N2944" s="599"/>
      <c r="O2944" s="552" t="s">
        <v>1584</v>
      </c>
      <c r="P2944" s="603"/>
      <c r="Q2944" s="682"/>
      <c r="R2944" s="682"/>
      <c r="S2944" s="682"/>
      <c r="T2944" s="682"/>
      <c r="U2944" s="682"/>
      <c r="V2944" s="682"/>
      <c r="W2944" s="682"/>
    </row>
    <row r="2945" spans="1:23">
      <c r="A2945" s="1045">
        <f t="shared" si="46"/>
        <v>9</v>
      </c>
      <c r="B2945" s="134">
        <v>45558</v>
      </c>
      <c r="C2945" s="70">
        <v>1017</v>
      </c>
      <c r="D2945" s="70" t="s">
        <v>5118</v>
      </c>
      <c r="E2945" s="280" t="s">
        <v>4770</v>
      </c>
      <c r="F2945" s="1049"/>
      <c r="G2945" s="1049">
        <v>30</v>
      </c>
      <c r="H2945" s="564"/>
      <c r="I2945" s="609"/>
      <c r="J2945" s="1155"/>
      <c r="K2945" s="609"/>
      <c r="L2945" s="609"/>
      <c r="M2945" s="609"/>
      <c r="N2945" s="599"/>
      <c r="O2945" s="552" t="s">
        <v>1584</v>
      </c>
      <c r="P2945" s="603"/>
      <c r="Q2945" s="682"/>
      <c r="R2945" s="682"/>
      <c r="S2945" s="682"/>
      <c r="T2945" s="682"/>
      <c r="U2945" s="682"/>
      <c r="V2945" s="682"/>
      <c r="W2945" s="682"/>
    </row>
    <row r="2946" spans="1:23">
      <c r="A2946" s="1045">
        <f t="shared" si="46"/>
        <v>9</v>
      </c>
      <c r="B2946" s="134">
        <v>45559</v>
      </c>
      <c r="C2946" s="70">
        <v>1022</v>
      </c>
      <c r="D2946" s="70" t="s">
        <v>5119</v>
      </c>
      <c r="E2946" s="280" t="s">
        <v>4771</v>
      </c>
      <c r="F2946" s="1049"/>
      <c r="G2946" s="1049">
        <v>60369</v>
      </c>
      <c r="H2946" s="564"/>
      <c r="I2946" s="609"/>
      <c r="J2946" s="1155"/>
      <c r="K2946" s="609"/>
      <c r="L2946" s="609"/>
      <c r="M2946" s="609"/>
      <c r="N2946" s="599"/>
      <c r="O2946" s="552" t="s">
        <v>1584</v>
      </c>
      <c r="P2946" s="603"/>
      <c r="Q2946" s="682"/>
      <c r="R2946" s="682"/>
      <c r="S2946" s="682"/>
      <c r="T2946" s="682"/>
      <c r="U2946" s="682"/>
      <c r="V2946" s="682"/>
      <c r="W2946" s="682"/>
    </row>
    <row r="2947" spans="1:23">
      <c r="A2947" s="1045">
        <f t="shared" si="46"/>
        <v>9</v>
      </c>
      <c r="B2947" s="134">
        <v>45559</v>
      </c>
      <c r="C2947" s="70">
        <v>1017</v>
      </c>
      <c r="D2947" s="70" t="s">
        <v>5118</v>
      </c>
      <c r="E2947" s="280" t="s">
        <v>4772</v>
      </c>
      <c r="F2947" s="1049"/>
      <c r="G2947" s="1049">
        <v>65.63</v>
      </c>
      <c r="H2947" s="564"/>
      <c r="I2947" s="609"/>
      <c r="J2947" s="1155"/>
      <c r="K2947" s="609"/>
      <c r="L2947" s="609"/>
      <c r="M2947" s="609"/>
      <c r="N2947" s="599"/>
      <c r="O2947" s="552" t="s">
        <v>1584</v>
      </c>
      <c r="P2947" s="603"/>
      <c r="Q2947" s="682"/>
      <c r="R2947" s="682"/>
      <c r="S2947" s="682"/>
      <c r="T2947" s="682"/>
      <c r="U2947" s="682"/>
      <c r="V2947" s="682"/>
      <c r="W2947" s="682"/>
    </row>
    <row r="2948" spans="1:23">
      <c r="A2948" s="1045">
        <f t="shared" si="46"/>
        <v>9</v>
      </c>
      <c r="B2948" s="134">
        <v>45559</v>
      </c>
      <c r="C2948" s="70">
        <v>1017</v>
      </c>
      <c r="D2948" s="70" t="s">
        <v>5118</v>
      </c>
      <c r="E2948" s="280" t="s">
        <v>4773</v>
      </c>
      <c r="F2948" s="1049"/>
      <c r="G2948" s="1049">
        <v>28</v>
      </c>
      <c r="H2948" s="564"/>
      <c r="I2948" s="609"/>
      <c r="J2948" s="1155"/>
      <c r="K2948" s="609"/>
      <c r="L2948" s="609"/>
      <c r="M2948" s="609"/>
      <c r="N2948" s="599"/>
      <c r="O2948" s="552" t="s">
        <v>1584</v>
      </c>
      <c r="P2948" s="603"/>
      <c r="Q2948" s="682"/>
      <c r="R2948" s="682"/>
      <c r="S2948" s="682"/>
      <c r="T2948" s="682"/>
      <c r="U2948" s="682"/>
      <c r="V2948" s="682"/>
      <c r="W2948" s="682"/>
    </row>
    <row r="2949" spans="1:23">
      <c r="A2949" s="1045">
        <f t="shared" si="46"/>
        <v>9</v>
      </c>
      <c r="B2949" s="134">
        <v>45560</v>
      </c>
      <c r="C2949" s="70">
        <v>1022</v>
      </c>
      <c r="D2949" s="70" t="s">
        <v>5119</v>
      </c>
      <c r="E2949" s="280" t="s">
        <v>4774</v>
      </c>
      <c r="F2949" s="1049"/>
      <c r="G2949" s="1049">
        <v>15293</v>
      </c>
      <c r="H2949" s="564"/>
      <c r="I2949" s="609"/>
      <c r="J2949" s="1155"/>
      <c r="K2949" s="609"/>
      <c r="L2949" s="609"/>
      <c r="M2949" s="609"/>
      <c r="N2949" s="599"/>
      <c r="O2949" s="552" t="s">
        <v>1584</v>
      </c>
      <c r="P2949" s="603"/>
      <c r="Q2949" s="682"/>
      <c r="R2949" s="682"/>
      <c r="S2949" s="682"/>
      <c r="T2949" s="682"/>
      <c r="U2949" s="682"/>
      <c r="V2949" s="682"/>
      <c r="W2949" s="682"/>
    </row>
    <row r="2950" spans="1:23">
      <c r="A2950" s="1045">
        <f t="shared" si="46"/>
        <v>9</v>
      </c>
      <c r="B2950" s="134">
        <v>45560</v>
      </c>
      <c r="C2950" s="70">
        <v>1017</v>
      </c>
      <c r="D2950" s="70" t="s">
        <v>5118</v>
      </c>
      <c r="E2950" s="280" t="s">
        <v>4775</v>
      </c>
      <c r="F2950" s="1049"/>
      <c r="G2950" s="1049">
        <v>196.35</v>
      </c>
      <c r="H2950" s="564"/>
      <c r="I2950" s="609"/>
      <c r="J2950" s="1155"/>
      <c r="K2950" s="609"/>
      <c r="L2950" s="609"/>
      <c r="M2950" s="609"/>
      <c r="N2950" s="599"/>
      <c r="O2950" s="552" t="s">
        <v>1584</v>
      </c>
      <c r="P2950" s="603"/>
      <c r="Q2950" s="682"/>
      <c r="R2950" s="682"/>
      <c r="S2950" s="682"/>
      <c r="T2950" s="682"/>
      <c r="U2950" s="682"/>
      <c r="V2950" s="682"/>
      <c r="W2950" s="682"/>
    </row>
    <row r="2951" spans="1:23">
      <c r="A2951" s="1045">
        <f t="shared" si="46"/>
        <v>9</v>
      </c>
      <c r="B2951" s="134">
        <v>45560</v>
      </c>
      <c r="C2951" s="70">
        <v>1017</v>
      </c>
      <c r="D2951" s="70" t="s">
        <v>5118</v>
      </c>
      <c r="E2951" s="280" t="s">
        <v>4776</v>
      </c>
      <c r="F2951" s="1049"/>
      <c r="G2951" s="1049">
        <v>29.4</v>
      </c>
      <c r="H2951" s="564"/>
      <c r="I2951" s="609"/>
      <c r="J2951" s="1155"/>
      <c r="K2951" s="609"/>
      <c r="L2951" s="609"/>
      <c r="M2951" s="609"/>
      <c r="N2951" s="599"/>
      <c r="O2951" s="552" t="s">
        <v>1584</v>
      </c>
      <c r="P2951" s="603"/>
      <c r="Q2951" s="682"/>
      <c r="R2951" s="682"/>
      <c r="S2951" s="682"/>
      <c r="T2951" s="682"/>
      <c r="U2951" s="682"/>
      <c r="V2951" s="682"/>
      <c r="W2951" s="682"/>
    </row>
    <row r="2952" spans="1:23">
      <c r="A2952" s="1045">
        <f t="shared" si="46"/>
        <v>9</v>
      </c>
      <c r="B2952" s="134">
        <v>45560</v>
      </c>
      <c r="C2952" s="70">
        <v>1017</v>
      </c>
      <c r="D2952" s="70" t="s">
        <v>5118</v>
      </c>
      <c r="E2952" s="280" t="s">
        <v>4777</v>
      </c>
      <c r="F2952" s="1049"/>
      <c r="G2952" s="1049">
        <v>110.25</v>
      </c>
      <c r="H2952" s="564"/>
      <c r="I2952" s="609"/>
      <c r="J2952" s="1155"/>
      <c r="K2952" s="609"/>
      <c r="L2952" s="609"/>
      <c r="M2952" s="609"/>
      <c r="N2952" s="599"/>
      <c r="O2952" s="552" t="s">
        <v>1584</v>
      </c>
      <c r="P2952" s="603"/>
      <c r="Q2952" s="682"/>
      <c r="R2952" s="682"/>
      <c r="S2952" s="682"/>
      <c r="T2952" s="682"/>
      <c r="U2952" s="682"/>
      <c r="V2952" s="682"/>
      <c r="W2952" s="682"/>
    </row>
    <row r="2953" spans="1:23">
      <c r="A2953" s="1045">
        <f t="shared" si="46"/>
        <v>9</v>
      </c>
      <c r="B2953" s="134">
        <v>45560</v>
      </c>
      <c r="C2953" s="70">
        <v>1017</v>
      </c>
      <c r="D2953" s="70" t="s">
        <v>5118</v>
      </c>
      <c r="E2953" s="280" t="s">
        <v>4778</v>
      </c>
      <c r="F2953" s="1049"/>
      <c r="G2953" s="1049">
        <v>30</v>
      </c>
      <c r="H2953" s="564"/>
      <c r="I2953" s="609"/>
      <c r="J2953" s="1155"/>
      <c r="K2953" s="609"/>
      <c r="L2953" s="609"/>
      <c r="M2953" s="609"/>
      <c r="N2953" s="599"/>
      <c r="O2953" s="552" t="s">
        <v>1584</v>
      </c>
      <c r="P2953" s="603"/>
      <c r="Q2953" s="682"/>
      <c r="R2953" s="682"/>
      <c r="S2953" s="682"/>
      <c r="T2953" s="682"/>
      <c r="U2953" s="682"/>
      <c r="V2953" s="682"/>
      <c r="W2953" s="682"/>
    </row>
    <row r="2954" spans="1:23">
      <c r="A2954" s="1045">
        <f t="shared" si="46"/>
        <v>9</v>
      </c>
      <c r="B2954" s="134">
        <v>45560</v>
      </c>
      <c r="C2954" s="70">
        <v>1017</v>
      </c>
      <c r="D2954" s="70" t="s">
        <v>5118</v>
      </c>
      <c r="E2954" s="280" t="s">
        <v>4779</v>
      </c>
      <c r="F2954" s="1049"/>
      <c r="G2954" s="1049">
        <v>10</v>
      </c>
      <c r="H2954" s="564"/>
      <c r="I2954" s="609"/>
      <c r="J2954" s="1155"/>
      <c r="K2954" s="609"/>
      <c r="L2954" s="609"/>
      <c r="M2954" s="609"/>
      <c r="N2954" s="599"/>
      <c r="O2954" s="552" t="s">
        <v>1584</v>
      </c>
      <c r="P2954" s="603"/>
      <c r="Q2954" s="682"/>
      <c r="R2954" s="682"/>
      <c r="S2954" s="682"/>
      <c r="T2954" s="682"/>
      <c r="U2954" s="682"/>
      <c r="V2954" s="682"/>
      <c r="W2954" s="682"/>
    </row>
    <row r="2955" spans="1:23">
      <c r="A2955" s="1045">
        <f t="shared" si="46"/>
        <v>9</v>
      </c>
      <c r="B2955" s="134">
        <v>45561</v>
      </c>
      <c r="C2955" s="70">
        <v>1017</v>
      </c>
      <c r="D2955" s="70" t="s">
        <v>5118</v>
      </c>
      <c r="E2955" s="280" t="s">
        <v>4780</v>
      </c>
      <c r="F2955" s="1049"/>
      <c r="G2955" s="1049">
        <v>5.5</v>
      </c>
      <c r="H2955" s="564"/>
      <c r="I2955" s="609"/>
      <c r="J2955" s="1155"/>
      <c r="K2955" s="609"/>
      <c r="L2955" s="609"/>
      <c r="M2955" s="609"/>
      <c r="N2955" s="599"/>
      <c r="O2955" s="552" t="s">
        <v>1584</v>
      </c>
      <c r="P2955" s="603"/>
      <c r="Q2955" s="682"/>
      <c r="R2955" s="682"/>
      <c r="S2955" s="682"/>
      <c r="T2955" s="682"/>
      <c r="U2955" s="682"/>
      <c r="V2955" s="682"/>
      <c r="W2955" s="682"/>
    </row>
    <row r="2956" spans="1:23">
      <c r="A2956" s="1045">
        <f t="shared" si="46"/>
        <v>9</v>
      </c>
      <c r="B2956" s="134">
        <v>45561</v>
      </c>
      <c r="C2956" s="70">
        <v>1017</v>
      </c>
      <c r="D2956" s="70" t="s">
        <v>5118</v>
      </c>
      <c r="E2956" s="280" t="s">
        <v>4781</v>
      </c>
      <c r="F2956" s="1049"/>
      <c r="G2956" s="1049">
        <v>40.950000000000003</v>
      </c>
      <c r="H2956" s="564"/>
      <c r="I2956" s="609"/>
      <c r="J2956" s="1155"/>
      <c r="K2956" s="609"/>
      <c r="L2956" s="609"/>
      <c r="M2956" s="609"/>
      <c r="N2956" s="599"/>
      <c r="O2956" s="552" t="s">
        <v>1584</v>
      </c>
      <c r="P2956" s="603"/>
      <c r="Q2956" s="682"/>
      <c r="R2956" s="682"/>
      <c r="S2956" s="682"/>
      <c r="T2956" s="682"/>
      <c r="U2956" s="682"/>
      <c r="V2956" s="682"/>
      <c r="W2956" s="682"/>
    </row>
    <row r="2957" spans="1:23">
      <c r="A2957" s="1045">
        <f t="shared" si="46"/>
        <v>9</v>
      </c>
      <c r="B2957" s="134">
        <v>45561</v>
      </c>
      <c r="C2957" s="70">
        <v>1017</v>
      </c>
      <c r="D2957" s="70" t="s">
        <v>5118</v>
      </c>
      <c r="E2957" s="280" t="s">
        <v>4782</v>
      </c>
      <c r="F2957" s="1049"/>
      <c r="G2957" s="1049">
        <v>10.5</v>
      </c>
      <c r="H2957" s="564"/>
      <c r="I2957" s="609"/>
      <c r="J2957" s="1155"/>
      <c r="K2957" s="609"/>
      <c r="L2957" s="609"/>
      <c r="M2957" s="609"/>
      <c r="N2957" s="599"/>
      <c r="O2957" s="552" t="s">
        <v>1584</v>
      </c>
      <c r="P2957" s="603"/>
      <c r="Q2957" s="682"/>
      <c r="R2957" s="682"/>
      <c r="S2957" s="682"/>
      <c r="T2957" s="682"/>
      <c r="U2957" s="682"/>
      <c r="V2957" s="682"/>
      <c r="W2957" s="682"/>
    </row>
    <row r="2958" spans="1:23">
      <c r="A2958" s="1045">
        <f t="shared" si="46"/>
        <v>9</v>
      </c>
      <c r="B2958" s="134">
        <v>45562</v>
      </c>
      <c r="C2958" s="70">
        <v>1017</v>
      </c>
      <c r="D2958" s="70" t="s">
        <v>5118</v>
      </c>
      <c r="E2958" s="280" t="s">
        <v>4783</v>
      </c>
      <c r="F2958" s="1049"/>
      <c r="G2958" s="1049">
        <v>228.38</v>
      </c>
      <c r="H2958" s="564"/>
      <c r="I2958" s="609"/>
      <c r="J2958" s="1155"/>
      <c r="K2958" s="609"/>
      <c r="L2958" s="609"/>
      <c r="M2958" s="609"/>
      <c r="N2958" s="599"/>
      <c r="O2958" s="552" t="s">
        <v>1584</v>
      </c>
      <c r="P2958" s="603"/>
      <c r="Q2958" s="682"/>
      <c r="R2958" s="682"/>
      <c r="S2958" s="682"/>
      <c r="T2958" s="682"/>
      <c r="U2958" s="682"/>
      <c r="V2958" s="682"/>
      <c r="W2958" s="682"/>
    </row>
    <row r="2959" spans="1:23">
      <c r="A2959" s="1045">
        <f t="shared" si="46"/>
        <v>9</v>
      </c>
      <c r="B2959" s="134">
        <v>45562</v>
      </c>
      <c r="C2959" s="70">
        <v>1017</v>
      </c>
      <c r="D2959" s="70" t="s">
        <v>5118</v>
      </c>
      <c r="E2959" s="280" t="s">
        <v>4784</v>
      </c>
      <c r="F2959" s="1049"/>
      <c r="G2959" s="1049">
        <v>451.48</v>
      </c>
      <c r="H2959" s="564"/>
      <c r="I2959" s="609"/>
      <c r="J2959" s="1155"/>
      <c r="K2959" s="609"/>
      <c r="L2959" s="609"/>
      <c r="M2959" s="609"/>
      <c r="N2959" s="599"/>
      <c r="O2959" s="552" t="s">
        <v>1584</v>
      </c>
      <c r="P2959" s="603"/>
      <c r="Q2959" s="682"/>
      <c r="R2959" s="682"/>
      <c r="S2959" s="682"/>
      <c r="T2959" s="682"/>
      <c r="U2959" s="682"/>
      <c r="V2959" s="682"/>
      <c r="W2959" s="682"/>
    </row>
    <row r="2960" spans="1:23">
      <c r="A2960" s="1045">
        <f t="shared" si="46"/>
        <v>9</v>
      </c>
      <c r="B2960" s="134">
        <v>45562</v>
      </c>
      <c r="C2960" s="70">
        <v>1017</v>
      </c>
      <c r="D2960" s="70" t="s">
        <v>5118</v>
      </c>
      <c r="E2960" s="280" t="s">
        <v>4785</v>
      </c>
      <c r="F2960" s="1049"/>
      <c r="G2960" s="1049">
        <v>8022</v>
      </c>
      <c r="H2960" s="564"/>
      <c r="I2960" s="609"/>
      <c r="J2960" s="1155"/>
      <c r="K2960" s="609"/>
      <c r="L2960" s="609"/>
      <c r="M2960" s="609"/>
      <c r="N2960" s="599"/>
      <c r="O2960" s="552" t="s">
        <v>1584</v>
      </c>
      <c r="P2960" s="603"/>
      <c r="Q2960" s="682"/>
      <c r="R2960" s="682"/>
      <c r="S2960" s="682"/>
      <c r="T2960" s="682"/>
      <c r="U2960" s="682"/>
      <c r="V2960" s="682"/>
      <c r="W2960" s="682"/>
    </row>
    <row r="2961" spans="1:23">
      <c r="A2961" s="1045">
        <f t="shared" si="46"/>
        <v>9</v>
      </c>
      <c r="B2961" s="134">
        <v>45563</v>
      </c>
      <c r="C2961" s="70">
        <v>1017</v>
      </c>
      <c r="D2961" s="70" t="s">
        <v>5118</v>
      </c>
      <c r="E2961" s="280" t="s">
        <v>4786</v>
      </c>
      <c r="F2961" s="1049"/>
      <c r="G2961" s="1049">
        <v>203</v>
      </c>
      <c r="H2961" s="564"/>
      <c r="I2961" s="609"/>
      <c r="J2961" s="1155"/>
      <c r="K2961" s="609"/>
      <c r="L2961" s="609"/>
      <c r="M2961" s="609"/>
      <c r="N2961" s="599"/>
      <c r="O2961" s="552" t="s">
        <v>1584</v>
      </c>
      <c r="P2961" s="603"/>
      <c r="Q2961" s="682"/>
      <c r="R2961" s="682"/>
      <c r="S2961" s="682"/>
      <c r="T2961" s="682"/>
      <c r="U2961" s="682"/>
      <c r="V2961" s="682"/>
      <c r="W2961" s="682"/>
    </row>
    <row r="2962" spans="1:23">
      <c r="A2962" s="1045">
        <f t="shared" si="46"/>
        <v>9</v>
      </c>
      <c r="B2962" s="134">
        <v>45563</v>
      </c>
      <c r="C2962" s="70">
        <v>1017</v>
      </c>
      <c r="D2962" s="70" t="s">
        <v>5118</v>
      </c>
      <c r="E2962" s="280" t="s">
        <v>4787</v>
      </c>
      <c r="F2962" s="1049"/>
      <c r="G2962" s="1049">
        <v>130</v>
      </c>
      <c r="H2962" s="564"/>
      <c r="I2962" s="609"/>
      <c r="J2962" s="1155"/>
      <c r="K2962" s="609"/>
      <c r="L2962" s="609"/>
      <c r="M2962" s="609"/>
      <c r="N2962" s="599"/>
      <c r="O2962" s="552" t="s">
        <v>1584</v>
      </c>
      <c r="P2962" s="603"/>
      <c r="Q2962" s="682"/>
      <c r="R2962" s="682"/>
      <c r="S2962" s="682"/>
      <c r="T2962" s="682"/>
      <c r="U2962" s="682"/>
      <c r="V2962" s="682"/>
      <c r="W2962" s="682"/>
    </row>
    <row r="2963" spans="1:23">
      <c r="A2963" s="1045">
        <f t="shared" si="46"/>
        <v>9</v>
      </c>
      <c r="B2963" s="134">
        <v>45563</v>
      </c>
      <c r="C2963" s="70">
        <v>1017</v>
      </c>
      <c r="D2963" s="70" t="s">
        <v>5118</v>
      </c>
      <c r="E2963" s="280" t="s">
        <v>4788</v>
      </c>
      <c r="F2963" s="1049"/>
      <c r="G2963" s="1049">
        <v>37.799999999999997</v>
      </c>
      <c r="H2963" s="564"/>
      <c r="I2963" s="609"/>
      <c r="J2963" s="1155"/>
      <c r="K2963" s="609"/>
      <c r="L2963" s="609"/>
      <c r="M2963" s="609"/>
      <c r="N2963" s="599"/>
      <c r="O2963" s="552" t="s">
        <v>1584</v>
      </c>
      <c r="P2963" s="603"/>
      <c r="Q2963" s="682"/>
      <c r="R2963" s="682"/>
      <c r="S2963" s="682"/>
      <c r="T2963" s="682"/>
      <c r="U2963" s="682"/>
      <c r="V2963" s="682"/>
      <c r="W2963" s="682"/>
    </row>
    <row r="2964" spans="1:23">
      <c r="A2964" s="1045">
        <f t="shared" si="46"/>
        <v>9</v>
      </c>
      <c r="B2964" s="134">
        <v>45563</v>
      </c>
      <c r="C2964" s="70">
        <v>1017</v>
      </c>
      <c r="D2964" s="70" t="s">
        <v>5118</v>
      </c>
      <c r="E2964" s="280" t="s">
        <v>4789</v>
      </c>
      <c r="F2964" s="1049"/>
      <c r="G2964" s="1049">
        <v>1470</v>
      </c>
      <c r="H2964" s="564"/>
      <c r="I2964" s="609"/>
      <c r="J2964" s="1155"/>
      <c r="K2964" s="609"/>
      <c r="L2964" s="609"/>
      <c r="M2964" s="609"/>
      <c r="N2964" s="599"/>
      <c r="O2964" s="552" t="s">
        <v>1584</v>
      </c>
      <c r="P2964" s="603"/>
      <c r="Q2964" s="682"/>
      <c r="R2964" s="682"/>
      <c r="S2964" s="682"/>
      <c r="T2964" s="682"/>
      <c r="U2964" s="682"/>
      <c r="V2964" s="682"/>
      <c r="W2964" s="682"/>
    </row>
    <row r="2965" spans="1:23">
      <c r="A2965" s="1045">
        <f t="shared" ref="A2965:A3028" si="47">IF(B2965="","",MONTH(B2965))</f>
        <v>9</v>
      </c>
      <c r="B2965" s="134">
        <v>45564</v>
      </c>
      <c r="C2965" s="70">
        <v>1022</v>
      </c>
      <c r="D2965" s="70" t="s">
        <v>5119</v>
      </c>
      <c r="E2965" s="280" t="s">
        <v>4790</v>
      </c>
      <c r="F2965" s="1049"/>
      <c r="G2965" s="1049">
        <v>26418</v>
      </c>
      <c r="H2965" s="564"/>
      <c r="I2965" s="609"/>
      <c r="J2965" s="1155"/>
      <c r="K2965" s="609"/>
      <c r="L2965" s="609"/>
      <c r="M2965" s="609"/>
      <c r="N2965" s="599"/>
      <c r="O2965" s="552" t="s">
        <v>1584</v>
      </c>
      <c r="P2965" s="603"/>
      <c r="Q2965" s="682"/>
      <c r="R2965" s="682"/>
      <c r="S2965" s="682"/>
      <c r="T2965" s="682"/>
      <c r="U2965" s="682"/>
      <c r="V2965" s="682"/>
      <c r="W2965" s="682"/>
    </row>
    <row r="2966" spans="1:23">
      <c r="A2966" s="1045">
        <f t="shared" si="47"/>
        <v>9</v>
      </c>
      <c r="B2966" s="134">
        <v>45564</v>
      </c>
      <c r="C2966" s="70">
        <v>1017</v>
      </c>
      <c r="D2966" s="70" t="s">
        <v>5118</v>
      </c>
      <c r="E2966" s="280" t="s">
        <v>4791</v>
      </c>
      <c r="F2966" s="1049"/>
      <c r="G2966" s="1049">
        <v>30.98</v>
      </c>
      <c r="H2966" s="564"/>
      <c r="I2966" s="609"/>
      <c r="J2966" s="1155"/>
      <c r="K2966" s="609"/>
      <c r="L2966" s="609"/>
      <c r="M2966" s="609"/>
      <c r="N2966" s="599"/>
      <c r="O2966" s="552" t="s">
        <v>1584</v>
      </c>
      <c r="P2966" s="603"/>
      <c r="Q2966" s="682"/>
      <c r="R2966" s="682"/>
      <c r="S2966" s="682"/>
      <c r="T2966" s="682"/>
      <c r="U2966" s="682"/>
      <c r="V2966" s="682"/>
      <c r="W2966" s="682"/>
    </row>
    <row r="2967" spans="1:23">
      <c r="A2967" s="1045">
        <f t="shared" si="47"/>
        <v>9</v>
      </c>
      <c r="B2967" s="134">
        <v>45565</v>
      </c>
      <c r="C2967" s="70">
        <v>1017</v>
      </c>
      <c r="D2967" s="70" t="s">
        <v>5118</v>
      </c>
      <c r="E2967" s="280" t="s">
        <v>4792</v>
      </c>
      <c r="F2967" s="1049"/>
      <c r="G2967" s="1049">
        <v>882</v>
      </c>
      <c r="H2967" s="564"/>
      <c r="I2967" s="609"/>
      <c r="J2967" s="1155"/>
      <c r="K2967" s="609"/>
      <c r="L2967" s="609"/>
      <c r="M2967" s="609"/>
      <c r="N2967" s="599"/>
      <c r="O2967" s="552" t="s">
        <v>1584</v>
      </c>
      <c r="P2967" s="603"/>
      <c r="Q2967" s="682"/>
      <c r="R2967" s="682"/>
      <c r="S2967" s="682"/>
      <c r="T2967" s="682"/>
      <c r="U2967" s="682"/>
      <c r="V2967" s="682"/>
      <c r="W2967" s="682"/>
    </row>
    <row r="2968" spans="1:23">
      <c r="A2968" s="1045">
        <f t="shared" si="47"/>
        <v>9</v>
      </c>
      <c r="B2968" s="134">
        <v>45565</v>
      </c>
      <c r="C2968" s="70">
        <v>1017</v>
      </c>
      <c r="D2968" s="70" t="s">
        <v>5118</v>
      </c>
      <c r="E2968" s="280" t="s">
        <v>4793</v>
      </c>
      <c r="F2968" s="1049"/>
      <c r="G2968" s="1049">
        <v>42</v>
      </c>
      <c r="H2968" s="564"/>
      <c r="I2968" s="609"/>
      <c r="J2968" s="1155"/>
      <c r="K2968" s="609"/>
      <c r="L2968" s="609"/>
      <c r="M2968" s="609"/>
      <c r="N2968" s="599"/>
      <c r="O2968" s="552" t="s">
        <v>1584</v>
      </c>
      <c r="P2968" s="603"/>
      <c r="Q2968" s="682"/>
      <c r="R2968" s="682"/>
      <c r="S2968" s="682"/>
      <c r="T2968" s="682"/>
      <c r="U2968" s="682"/>
      <c r="V2968" s="682"/>
      <c r="W2968" s="682"/>
    </row>
    <row r="2969" spans="1:23">
      <c r="A2969" s="1045">
        <f t="shared" si="47"/>
        <v>9</v>
      </c>
      <c r="B2969" s="134">
        <v>45565</v>
      </c>
      <c r="C2969" s="70">
        <v>1017</v>
      </c>
      <c r="D2969" s="70" t="s">
        <v>5118</v>
      </c>
      <c r="E2969" s="280" t="s">
        <v>4794</v>
      </c>
      <c r="F2969" s="1049"/>
      <c r="G2969" s="1049">
        <v>357</v>
      </c>
      <c r="H2969" s="564"/>
      <c r="I2969" s="609"/>
      <c r="J2969" s="1155"/>
      <c r="K2969" s="609"/>
      <c r="L2969" s="609"/>
      <c r="M2969" s="609"/>
      <c r="N2969" s="599"/>
      <c r="O2969" s="552" t="s">
        <v>1584</v>
      </c>
      <c r="P2969" s="603"/>
      <c r="Q2969" s="682"/>
      <c r="R2969" s="682"/>
      <c r="S2969" s="682"/>
      <c r="T2969" s="682"/>
      <c r="U2969" s="682"/>
      <c r="V2969" s="682"/>
      <c r="W2969" s="682"/>
    </row>
    <row r="2970" spans="1:23">
      <c r="A2970" s="1045">
        <f t="shared" si="47"/>
        <v>9</v>
      </c>
      <c r="B2970" s="134">
        <v>45565</v>
      </c>
      <c r="C2970" s="70">
        <v>1017</v>
      </c>
      <c r="D2970" s="70" t="s">
        <v>5118</v>
      </c>
      <c r="E2970" s="280" t="s">
        <v>4795</v>
      </c>
      <c r="F2970" s="1049"/>
      <c r="G2970" s="1049">
        <v>206.65</v>
      </c>
      <c r="H2970" s="564"/>
      <c r="I2970" s="609"/>
      <c r="J2970" s="1155"/>
      <c r="K2970" s="609"/>
      <c r="L2970" s="609"/>
      <c r="M2970" s="609"/>
      <c r="N2970" s="599"/>
      <c r="O2970" s="552" t="s">
        <v>1584</v>
      </c>
      <c r="P2970" s="603"/>
      <c r="Q2970" s="682"/>
      <c r="R2970" s="682"/>
      <c r="S2970" s="682"/>
      <c r="T2970" s="682"/>
      <c r="U2970" s="682"/>
      <c r="V2970" s="682"/>
      <c r="W2970" s="682"/>
    </row>
    <row r="2971" spans="1:23">
      <c r="A2971" s="1045">
        <f t="shared" si="47"/>
        <v>9</v>
      </c>
      <c r="B2971" s="134">
        <v>45565</v>
      </c>
      <c r="C2971" s="70">
        <v>1017</v>
      </c>
      <c r="D2971" s="70" t="s">
        <v>5118</v>
      </c>
      <c r="E2971" s="280" t="s">
        <v>4796</v>
      </c>
      <c r="F2971" s="1049"/>
      <c r="G2971" s="1049">
        <v>34.130000000000003</v>
      </c>
      <c r="H2971" s="564"/>
      <c r="I2971" s="609"/>
      <c r="J2971" s="1155"/>
      <c r="K2971" s="609"/>
      <c r="L2971" s="609"/>
      <c r="M2971" s="609"/>
      <c r="N2971" s="599"/>
      <c r="O2971" s="552" t="s">
        <v>1584</v>
      </c>
      <c r="P2971" s="603"/>
      <c r="Q2971" s="682"/>
      <c r="R2971" s="682"/>
      <c r="S2971" s="682"/>
      <c r="T2971" s="682"/>
      <c r="U2971" s="682"/>
      <c r="V2971" s="682"/>
      <c r="W2971" s="682"/>
    </row>
    <row r="2972" spans="1:23">
      <c r="A2972" s="1045">
        <f t="shared" si="47"/>
        <v>10</v>
      </c>
      <c r="B2972" s="134">
        <v>45566</v>
      </c>
      <c r="C2972" s="70">
        <v>1017</v>
      </c>
      <c r="D2972" s="70" t="s">
        <v>5118</v>
      </c>
      <c r="E2972" s="280" t="s">
        <v>4797</v>
      </c>
      <c r="F2972" s="1049"/>
      <c r="G2972" s="1049">
        <v>89.25</v>
      </c>
      <c r="H2972" s="564"/>
      <c r="I2972" s="609"/>
      <c r="J2972" s="1155"/>
      <c r="K2972" s="609"/>
      <c r="L2972" s="609"/>
      <c r="M2972" s="609"/>
      <c r="N2972" s="599"/>
      <c r="O2972" s="552" t="s">
        <v>1584</v>
      </c>
      <c r="P2972" s="603"/>
      <c r="Q2972" s="682"/>
      <c r="R2972" s="682"/>
      <c r="S2972" s="682"/>
      <c r="T2972" s="682"/>
      <c r="U2972" s="682"/>
      <c r="V2972" s="682"/>
      <c r="W2972" s="682"/>
    </row>
    <row r="2973" spans="1:23">
      <c r="A2973" s="1045">
        <f t="shared" si="47"/>
        <v>10</v>
      </c>
      <c r="B2973" s="134">
        <v>45566</v>
      </c>
      <c r="C2973" s="70">
        <v>1017</v>
      </c>
      <c r="D2973" s="70" t="s">
        <v>5118</v>
      </c>
      <c r="E2973" s="280" t="s">
        <v>4798</v>
      </c>
      <c r="F2973" s="1049"/>
      <c r="G2973" s="1049">
        <v>11220.51</v>
      </c>
      <c r="H2973" s="564"/>
      <c r="I2973" s="609"/>
      <c r="J2973" s="1155"/>
      <c r="K2973" s="609"/>
      <c r="L2973" s="609"/>
      <c r="M2973" s="609"/>
      <c r="N2973" s="599"/>
      <c r="O2973" s="552" t="s">
        <v>1584</v>
      </c>
      <c r="P2973" s="603"/>
      <c r="Q2973" s="682"/>
      <c r="R2973" s="682"/>
      <c r="S2973" s="682"/>
      <c r="T2973" s="682"/>
      <c r="U2973" s="682"/>
      <c r="V2973" s="682"/>
      <c r="W2973" s="682"/>
    </row>
    <row r="2974" spans="1:23">
      <c r="A2974" s="1045">
        <f t="shared" si="47"/>
        <v>10</v>
      </c>
      <c r="B2974" s="134">
        <v>45566</v>
      </c>
      <c r="C2974" s="70">
        <v>1017</v>
      </c>
      <c r="D2974" s="70" t="s">
        <v>5118</v>
      </c>
      <c r="E2974" s="280" t="s">
        <v>4799</v>
      </c>
      <c r="F2974" s="1049"/>
      <c r="G2974" s="1049">
        <v>173.25</v>
      </c>
      <c r="H2974" s="564"/>
      <c r="I2974" s="609"/>
      <c r="J2974" s="1155"/>
      <c r="K2974" s="609"/>
      <c r="L2974" s="609"/>
      <c r="M2974" s="609"/>
      <c r="N2974" s="599"/>
      <c r="O2974" s="552" t="s">
        <v>1584</v>
      </c>
      <c r="P2974" s="603"/>
      <c r="Q2974" s="682"/>
      <c r="R2974" s="682"/>
      <c r="S2974" s="682"/>
      <c r="T2974" s="682"/>
      <c r="U2974" s="682"/>
      <c r="V2974" s="682"/>
      <c r="W2974" s="682"/>
    </row>
    <row r="2975" spans="1:23">
      <c r="A2975" s="1045">
        <f t="shared" si="47"/>
        <v>10</v>
      </c>
      <c r="B2975" s="134">
        <v>45566</v>
      </c>
      <c r="C2975" s="70">
        <v>1017</v>
      </c>
      <c r="D2975" s="70" t="s">
        <v>5118</v>
      </c>
      <c r="E2975" s="280" t="s">
        <v>4800</v>
      </c>
      <c r="F2975" s="1049"/>
      <c r="G2975" s="1049">
        <v>1470</v>
      </c>
      <c r="H2975" s="564"/>
      <c r="I2975" s="609"/>
      <c r="J2975" s="1155"/>
      <c r="K2975" s="609"/>
      <c r="L2975" s="609"/>
      <c r="M2975" s="609"/>
      <c r="N2975" s="599"/>
      <c r="O2975" s="552" t="s">
        <v>1584</v>
      </c>
      <c r="P2975" s="603"/>
      <c r="Q2975" s="682"/>
      <c r="R2975" s="682"/>
      <c r="S2975" s="682"/>
      <c r="T2975" s="682"/>
      <c r="U2975" s="682"/>
      <c r="V2975" s="682"/>
      <c r="W2975" s="682"/>
    </row>
    <row r="2976" spans="1:23">
      <c r="A2976" s="1045">
        <f t="shared" si="47"/>
        <v>10</v>
      </c>
      <c r="B2976" s="134">
        <v>45567</v>
      </c>
      <c r="C2976" s="70">
        <v>1017</v>
      </c>
      <c r="D2976" s="70" t="s">
        <v>5118</v>
      </c>
      <c r="E2976" s="280" t="s">
        <v>4801</v>
      </c>
      <c r="F2976" s="1049"/>
      <c r="G2976" s="1049">
        <v>252.42</v>
      </c>
      <c r="H2976" s="564"/>
      <c r="I2976" s="609"/>
      <c r="J2976" s="1155"/>
      <c r="K2976" s="609"/>
      <c r="L2976" s="609"/>
      <c r="M2976" s="609"/>
      <c r="N2976" s="599"/>
      <c r="O2976" s="552" t="s">
        <v>1584</v>
      </c>
      <c r="P2976" s="603"/>
      <c r="Q2976" s="682"/>
      <c r="R2976" s="682"/>
      <c r="S2976" s="682"/>
      <c r="T2976" s="682"/>
      <c r="U2976" s="682"/>
      <c r="V2976" s="682"/>
      <c r="W2976" s="682"/>
    </row>
    <row r="2977" spans="1:23">
      <c r="A2977" s="1045">
        <f t="shared" si="47"/>
        <v>10</v>
      </c>
      <c r="B2977" s="134">
        <v>45567</v>
      </c>
      <c r="C2977" s="70">
        <v>1017</v>
      </c>
      <c r="D2977" s="70" t="s">
        <v>5118</v>
      </c>
      <c r="E2977" s="280" t="s">
        <v>4802</v>
      </c>
      <c r="F2977" s="1049"/>
      <c r="G2977" s="1049">
        <v>582.02</v>
      </c>
      <c r="H2977" s="564"/>
      <c r="I2977" s="609"/>
      <c r="J2977" s="1155"/>
      <c r="K2977" s="609"/>
      <c r="L2977" s="609"/>
      <c r="M2977" s="609"/>
      <c r="N2977" s="599"/>
      <c r="O2977" s="552" t="s">
        <v>1584</v>
      </c>
      <c r="P2977" s="603"/>
      <c r="Q2977" s="682"/>
      <c r="R2977" s="682"/>
      <c r="S2977" s="682"/>
      <c r="T2977" s="682"/>
      <c r="U2977" s="682"/>
      <c r="V2977" s="682"/>
      <c r="W2977" s="682"/>
    </row>
    <row r="2978" spans="1:23">
      <c r="A2978" s="1045">
        <f t="shared" si="47"/>
        <v>10</v>
      </c>
      <c r="B2978" s="134">
        <v>45567</v>
      </c>
      <c r="C2978" s="70">
        <v>1017</v>
      </c>
      <c r="D2978" s="70" t="s">
        <v>5118</v>
      </c>
      <c r="E2978" s="280" t="s">
        <v>4803</v>
      </c>
      <c r="F2978" s="1049"/>
      <c r="G2978" s="1049">
        <v>92.4</v>
      </c>
      <c r="H2978" s="564"/>
      <c r="I2978" s="609"/>
      <c r="J2978" s="1155"/>
      <c r="K2978" s="609"/>
      <c r="L2978" s="609"/>
      <c r="M2978" s="609"/>
      <c r="N2978" s="599"/>
      <c r="O2978" s="552" t="s">
        <v>1584</v>
      </c>
      <c r="P2978" s="603"/>
      <c r="Q2978" s="682"/>
      <c r="R2978" s="682"/>
      <c r="S2978" s="682"/>
      <c r="T2978" s="682"/>
      <c r="U2978" s="682"/>
      <c r="V2978" s="682"/>
      <c r="W2978" s="682"/>
    </row>
    <row r="2979" spans="1:23">
      <c r="A2979" s="1045">
        <f t="shared" si="47"/>
        <v>10</v>
      </c>
      <c r="B2979" s="134">
        <v>45567</v>
      </c>
      <c r="C2979" s="70">
        <v>1017</v>
      </c>
      <c r="D2979" s="70" t="s">
        <v>5118</v>
      </c>
      <c r="E2979" s="280" t="s">
        <v>4804</v>
      </c>
      <c r="F2979" s="1049"/>
      <c r="G2979" s="1049">
        <v>622.73</v>
      </c>
      <c r="H2979" s="564"/>
      <c r="I2979" s="609"/>
      <c r="J2979" s="1155"/>
      <c r="K2979" s="609"/>
      <c r="L2979" s="609"/>
      <c r="M2979" s="609"/>
      <c r="N2979" s="599"/>
      <c r="O2979" s="552" t="s">
        <v>1584</v>
      </c>
      <c r="P2979" s="603"/>
      <c r="Q2979" s="682"/>
      <c r="R2979" s="682"/>
      <c r="S2979" s="682"/>
      <c r="T2979" s="682"/>
      <c r="U2979" s="682"/>
      <c r="V2979" s="682"/>
      <c r="W2979" s="682"/>
    </row>
    <row r="2980" spans="1:23">
      <c r="A2980" s="1045">
        <f t="shared" si="47"/>
        <v>10</v>
      </c>
      <c r="B2980" s="134">
        <v>45568</v>
      </c>
      <c r="C2980" s="70">
        <v>1017</v>
      </c>
      <c r="D2980" s="70" t="s">
        <v>5118</v>
      </c>
      <c r="E2980" s="280" t="s">
        <v>4805</v>
      </c>
      <c r="F2980" s="1049"/>
      <c r="G2980" s="1049">
        <v>21</v>
      </c>
      <c r="H2980" s="564"/>
      <c r="I2980" s="609"/>
      <c r="J2980" s="1155"/>
      <c r="K2980" s="609"/>
      <c r="L2980" s="609"/>
      <c r="M2980" s="609"/>
      <c r="N2980" s="599"/>
      <c r="O2980" s="552" t="s">
        <v>1584</v>
      </c>
      <c r="P2980" s="603"/>
      <c r="Q2980" s="682"/>
      <c r="R2980" s="682"/>
      <c r="S2980" s="682"/>
      <c r="T2980" s="682"/>
      <c r="U2980" s="682"/>
      <c r="V2980" s="682"/>
      <c r="W2980" s="682"/>
    </row>
    <row r="2981" spans="1:23">
      <c r="A2981" s="1045">
        <f t="shared" si="47"/>
        <v>10</v>
      </c>
      <c r="B2981" s="134">
        <v>45568</v>
      </c>
      <c r="C2981" s="70">
        <v>2000</v>
      </c>
      <c r="D2981" s="70" t="s">
        <v>57</v>
      </c>
      <c r="E2981" s="280" t="s">
        <v>4806</v>
      </c>
      <c r="F2981" s="1049">
        <v>1057383.92</v>
      </c>
      <c r="G2981" s="1049"/>
      <c r="H2981" s="564"/>
      <c r="I2981" s="609"/>
      <c r="J2981" s="1155"/>
      <c r="K2981" s="609"/>
      <c r="L2981" s="609"/>
      <c r="M2981" s="609"/>
      <c r="N2981" s="599"/>
      <c r="O2981" s="552" t="s">
        <v>1584</v>
      </c>
      <c r="P2981" s="603"/>
      <c r="Q2981" s="682"/>
      <c r="R2981" s="682"/>
      <c r="S2981" s="682"/>
      <c r="T2981" s="682"/>
      <c r="U2981" s="682"/>
      <c r="V2981" s="682"/>
      <c r="W2981" s="682"/>
    </row>
    <row r="2982" spans="1:23">
      <c r="A2982" s="1045" t="str">
        <f t="shared" si="47"/>
        <v/>
      </c>
      <c r="B2982" s="1058"/>
      <c r="C2982" s="1057" t="s">
        <v>4809</v>
      </c>
      <c r="D2982" s="1057"/>
      <c r="E2982" s="1059"/>
      <c r="F2982" s="1060"/>
      <c r="G2982" s="1060"/>
      <c r="H2982" s="1061"/>
      <c r="I2982" s="1156"/>
      <c r="J2982" s="1157"/>
      <c r="K2982" s="1156"/>
      <c r="L2982" s="1156"/>
      <c r="M2982" s="1156"/>
      <c r="N2982" s="1063"/>
      <c r="O2982" s="552" t="s">
        <v>1584</v>
      </c>
      <c r="P2982" s="1062"/>
      <c r="Q2982" s="682"/>
      <c r="R2982" s="682"/>
      <c r="S2982" s="682"/>
      <c r="T2982" s="682"/>
      <c r="U2982" s="682"/>
      <c r="V2982" s="682"/>
      <c r="W2982" s="682"/>
    </row>
    <row r="2983" spans="1:23">
      <c r="A2983" s="1045">
        <f t="shared" si="47"/>
        <v>10</v>
      </c>
      <c r="B2983" s="134">
        <v>45574</v>
      </c>
      <c r="C2983" s="70">
        <v>6013</v>
      </c>
      <c r="D2983" s="70" t="s">
        <v>104</v>
      </c>
      <c r="E2983" s="280" t="s">
        <v>4820</v>
      </c>
      <c r="F2983" s="1049">
        <v>266.89</v>
      </c>
      <c r="G2983" s="1049"/>
      <c r="H2983" s="564"/>
      <c r="I2983" s="609"/>
      <c r="J2983" s="1155"/>
      <c r="K2983" s="609"/>
      <c r="L2983" s="609"/>
      <c r="M2983" s="609"/>
      <c r="N2983" s="599"/>
      <c r="O2983" s="552" t="s">
        <v>1584</v>
      </c>
      <c r="P2983" s="603"/>
      <c r="Q2983" s="682"/>
      <c r="R2983" s="682"/>
      <c r="S2983" s="682"/>
      <c r="T2983" s="682"/>
      <c r="U2983" s="682"/>
      <c r="V2983" s="682"/>
      <c r="W2983" s="682"/>
    </row>
    <row r="2984" spans="1:23">
      <c r="A2984" s="1045">
        <f t="shared" si="47"/>
        <v>10</v>
      </c>
      <c r="B2984" s="134">
        <v>45574</v>
      </c>
      <c r="C2984" s="70">
        <v>1025</v>
      </c>
      <c r="D2984" s="70" t="s">
        <v>5120</v>
      </c>
      <c r="E2984" s="280" t="s">
        <v>4820</v>
      </c>
      <c r="F2984" s="1049"/>
      <c r="G2984" s="1049">
        <v>267</v>
      </c>
      <c r="H2984" s="564"/>
      <c r="I2984" s="609"/>
      <c r="J2984" s="1155"/>
      <c r="K2984" s="609"/>
      <c r="L2984" s="609"/>
      <c r="M2984" s="609"/>
      <c r="N2984" s="599"/>
      <c r="O2984" s="552" t="s">
        <v>1584</v>
      </c>
      <c r="P2984" s="603"/>
      <c r="Q2984" s="682"/>
      <c r="R2984" s="682"/>
      <c r="S2984" s="682"/>
      <c r="T2984" s="682"/>
      <c r="U2984" s="682"/>
      <c r="V2984" s="682"/>
      <c r="W2984" s="682"/>
    </row>
    <row r="2985" spans="1:23">
      <c r="A2985" s="1045">
        <f t="shared" si="47"/>
        <v>10</v>
      </c>
      <c r="B2985" s="134">
        <v>45575</v>
      </c>
      <c r="C2985" s="70">
        <v>6009</v>
      </c>
      <c r="D2985" s="70" t="s">
        <v>100</v>
      </c>
      <c r="E2985" s="280" t="s">
        <v>4821</v>
      </c>
      <c r="F2985" s="1049">
        <v>425.9</v>
      </c>
      <c r="G2985" s="1049"/>
      <c r="H2985" s="564"/>
      <c r="I2985" s="609"/>
      <c r="J2985" s="1155"/>
      <c r="K2985" s="609"/>
      <c r="L2985" s="609"/>
      <c r="M2985" s="609"/>
      <c r="N2985" s="599"/>
      <c r="O2985" s="552" t="s">
        <v>1584</v>
      </c>
      <c r="P2985" s="603"/>
      <c r="Q2985" s="682"/>
      <c r="R2985" s="682"/>
      <c r="S2985" s="682"/>
      <c r="T2985" s="682"/>
      <c r="U2985" s="682"/>
      <c r="V2985" s="682"/>
      <c r="W2985" s="682"/>
    </row>
    <row r="2986" spans="1:23">
      <c r="A2986" s="1045">
        <f t="shared" si="47"/>
        <v>10</v>
      </c>
      <c r="B2986" s="134">
        <v>45575</v>
      </c>
      <c r="C2986" s="70">
        <v>2018</v>
      </c>
      <c r="D2986" s="70" t="s">
        <v>58</v>
      </c>
      <c r="E2986" s="280" t="s">
        <v>4821</v>
      </c>
      <c r="F2986" s="1049">
        <v>21.3</v>
      </c>
      <c r="G2986" s="1049"/>
      <c r="H2986" s="564"/>
      <c r="I2986" s="609"/>
      <c r="J2986" s="1155"/>
      <c r="K2986" s="609"/>
      <c r="L2986" s="609"/>
      <c r="M2986" s="609"/>
      <c r="N2986" s="599"/>
      <c r="O2986" s="552" t="s">
        <v>1584</v>
      </c>
      <c r="P2986" s="603"/>
      <c r="Q2986" s="682"/>
      <c r="R2986" s="682"/>
      <c r="S2986" s="682"/>
      <c r="T2986" s="682"/>
      <c r="U2986" s="682"/>
      <c r="V2986" s="682"/>
      <c r="W2986" s="682"/>
    </row>
    <row r="2987" spans="1:23">
      <c r="A2987" s="1045">
        <f t="shared" si="47"/>
        <v>10</v>
      </c>
      <c r="B2987" s="134">
        <v>45575</v>
      </c>
      <c r="C2987" s="70">
        <v>1025</v>
      </c>
      <c r="D2987" s="70" t="s">
        <v>5120</v>
      </c>
      <c r="E2987" s="280" t="s">
        <v>4821</v>
      </c>
      <c r="F2987" s="1049"/>
      <c r="G2987" s="1049">
        <v>477.2</v>
      </c>
      <c r="H2987" s="564"/>
      <c r="I2987" s="609"/>
      <c r="J2987" s="1155"/>
      <c r="K2987" s="609"/>
      <c r="L2987" s="609"/>
      <c r="M2987" s="609"/>
      <c r="N2987" s="599"/>
      <c r="O2987" s="552" t="s">
        <v>1584</v>
      </c>
      <c r="P2987" s="603"/>
      <c r="Q2987" s="682"/>
      <c r="R2987" s="682"/>
      <c r="S2987" s="682"/>
      <c r="T2987" s="682"/>
      <c r="U2987" s="682"/>
      <c r="V2987" s="682"/>
      <c r="W2987" s="682"/>
    </row>
    <row r="2988" spans="1:23">
      <c r="A2988" s="1045">
        <f t="shared" si="47"/>
        <v>10</v>
      </c>
      <c r="B2988" s="134">
        <v>45575</v>
      </c>
      <c r="C2988" s="70">
        <v>6007</v>
      </c>
      <c r="D2988" s="70" t="s">
        <v>98</v>
      </c>
      <c r="E2988" s="280" t="s">
        <v>4822</v>
      </c>
      <c r="F2988" s="1049">
        <v>850</v>
      </c>
      <c r="G2988" s="1049"/>
      <c r="H2988" s="564"/>
      <c r="I2988" s="609"/>
      <c r="J2988" s="1155"/>
      <c r="K2988" s="609"/>
      <c r="L2988" s="609"/>
      <c r="M2988" s="609"/>
      <c r="N2988" s="599"/>
      <c r="O2988" s="552" t="s">
        <v>1584</v>
      </c>
      <c r="P2988" s="603"/>
      <c r="Q2988" s="682"/>
      <c r="R2988" s="682"/>
      <c r="S2988" s="682"/>
      <c r="T2988" s="682"/>
      <c r="U2988" s="682"/>
      <c r="V2988" s="682"/>
      <c r="W2988" s="682"/>
    </row>
    <row r="2989" spans="1:23">
      <c r="A2989" s="1045">
        <f t="shared" si="47"/>
        <v>10</v>
      </c>
      <c r="B2989" s="134">
        <v>45575</v>
      </c>
      <c r="C2989" s="70">
        <v>2018</v>
      </c>
      <c r="D2989" s="70" t="s">
        <v>58</v>
      </c>
      <c r="E2989" s="280" t="s">
        <v>4822</v>
      </c>
      <c r="F2989" s="1049">
        <v>30.04</v>
      </c>
      <c r="G2989" s="1049"/>
      <c r="H2989" s="564"/>
      <c r="I2989" s="609"/>
      <c r="J2989" s="1155"/>
      <c r="K2989" s="609"/>
      <c r="L2989" s="609"/>
      <c r="M2989" s="609"/>
      <c r="N2989" s="599"/>
      <c r="O2989" s="552" t="s">
        <v>1584</v>
      </c>
      <c r="P2989" s="603"/>
      <c r="Q2989" s="682"/>
      <c r="R2989" s="682"/>
      <c r="S2989" s="682"/>
      <c r="T2989" s="682"/>
      <c r="U2989" s="682"/>
      <c r="V2989" s="682"/>
      <c r="W2989" s="682"/>
    </row>
    <row r="2990" spans="1:23">
      <c r="A2990" s="1045">
        <f t="shared" si="47"/>
        <v>10</v>
      </c>
      <c r="B2990" s="134">
        <v>45575</v>
      </c>
      <c r="C2990" s="70">
        <v>1025</v>
      </c>
      <c r="D2990" s="70" t="s">
        <v>5120</v>
      </c>
      <c r="E2990" s="280" t="s">
        <v>4822</v>
      </c>
      <c r="F2990" s="1049"/>
      <c r="G2990" s="1049">
        <v>880.82</v>
      </c>
      <c r="H2990" s="564"/>
      <c r="I2990" s="609"/>
      <c r="J2990" s="1155"/>
      <c r="K2990" s="609"/>
      <c r="L2990" s="609"/>
      <c r="M2990" s="609"/>
      <c r="N2990" s="599"/>
      <c r="O2990" s="552" t="s">
        <v>1584</v>
      </c>
      <c r="P2990" s="603"/>
      <c r="Q2990" s="682"/>
      <c r="R2990" s="682"/>
      <c r="S2990" s="682"/>
      <c r="T2990" s="682"/>
      <c r="U2990" s="682"/>
      <c r="V2990" s="682"/>
      <c r="W2990" s="682"/>
    </row>
    <row r="2991" spans="1:23">
      <c r="A2991" s="1045">
        <f t="shared" si="47"/>
        <v>10</v>
      </c>
      <c r="B2991" s="134">
        <v>45574</v>
      </c>
      <c r="C2991" s="70">
        <v>1100</v>
      </c>
      <c r="D2991" s="70" t="s">
        <v>46</v>
      </c>
      <c r="E2991" s="280" t="s">
        <v>4823</v>
      </c>
      <c r="F2991" s="1049">
        <v>28350</v>
      </c>
      <c r="G2991" s="1049"/>
      <c r="H2991" s="564" t="s">
        <v>4824</v>
      </c>
      <c r="I2991" s="609"/>
      <c r="J2991" s="1155"/>
      <c r="K2991" s="609"/>
      <c r="L2991" s="609"/>
      <c r="M2991" s="609"/>
      <c r="N2991" s="599"/>
      <c r="O2991" s="552" t="s">
        <v>1584</v>
      </c>
      <c r="P2991" s="603"/>
      <c r="Q2991" s="682"/>
      <c r="R2991" s="682"/>
      <c r="S2991" s="682"/>
      <c r="T2991" s="682"/>
      <c r="U2991" s="682"/>
      <c r="V2991" s="682"/>
      <c r="W2991" s="682"/>
    </row>
    <row r="2992" spans="1:23">
      <c r="A2992" s="1045">
        <f t="shared" si="47"/>
        <v>10</v>
      </c>
      <c r="B2992" s="134">
        <v>45574</v>
      </c>
      <c r="C2992" s="70">
        <v>2018</v>
      </c>
      <c r="D2992" s="70" t="s">
        <v>58</v>
      </c>
      <c r="E2992" s="280" t="s">
        <v>4823</v>
      </c>
      <c r="F2992" s="1049"/>
      <c r="G2992" s="1049">
        <v>1350</v>
      </c>
      <c r="H2992" s="564" t="s">
        <v>4824</v>
      </c>
      <c r="I2992" s="609"/>
      <c r="J2992" s="1155"/>
      <c r="K2992" s="609"/>
      <c r="L2992" s="609"/>
      <c r="M2992" s="609"/>
      <c r="N2992" s="599"/>
      <c r="O2992" s="552" t="s">
        <v>1584</v>
      </c>
      <c r="P2992" s="603"/>
      <c r="Q2992" s="682"/>
      <c r="R2992" s="682"/>
      <c r="S2992" s="682"/>
      <c r="T2992" s="682"/>
      <c r="U2992" s="682"/>
      <c r="V2992" s="682"/>
      <c r="W2992" s="682"/>
    </row>
    <row r="2993" spans="1:23">
      <c r="A2993" s="1045">
        <f t="shared" si="47"/>
        <v>10</v>
      </c>
      <c r="B2993" s="134">
        <v>45574</v>
      </c>
      <c r="C2993" s="70">
        <v>4000</v>
      </c>
      <c r="D2993" s="70" t="s">
        <v>74</v>
      </c>
      <c r="E2993" s="280" t="s">
        <v>4823</v>
      </c>
      <c r="F2993" s="1049"/>
      <c r="G2993" s="1049">
        <v>27000</v>
      </c>
      <c r="H2993" s="564" t="s">
        <v>4824</v>
      </c>
      <c r="I2993" s="609"/>
      <c r="J2993" s="1155"/>
      <c r="K2993" s="609"/>
      <c r="L2993" s="609"/>
      <c r="M2993" s="609"/>
      <c r="N2993" s="599"/>
      <c r="O2993" s="552" t="s">
        <v>1584</v>
      </c>
      <c r="P2993" s="603"/>
      <c r="Q2993" s="682"/>
      <c r="R2993" s="682"/>
      <c r="S2993" s="682"/>
      <c r="T2993" s="682"/>
      <c r="U2993" s="682"/>
      <c r="V2993" s="682"/>
      <c r="W2993" s="682"/>
    </row>
    <row r="2994" spans="1:23">
      <c r="A2994" s="1045">
        <f t="shared" si="47"/>
        <v>10</v>
      </c>
      <c r="B2994" s="134">
        <v>45575</v>
      </c>
      <c r="C2994" s="70">
        <v>1025</v>
      </c>
      <c r="D2994" s="70" t="s">
        <v>5120</v>
      </c>
      <c r="E2994" s="280" t="s">
        <v>2993</v>
      </c>
      <c r="F2994" s="1049">
        <v>28350</v>
      </c>
      <c r="G2994" s="1049"/>
      <c r="H2994" s="564" t="s">
        <v>4825</v>
      </c>
      <c r="I2994" s="609"/>
      <c r="J2994" s="1155"/>
      <c r="K2994" s="609"/>
      <c r="L2994" s="609"/>
      <c r="M2994" s="609"/>
      <c r="N2994" s="599"/>
      <c r="O2994" s="552" t="s">
        <v>1584</v>
      </c>
      <c r="P2994" s="603"/>
      <c r="Q2994" s="682"/>
      <c r="R2994" s="682"/>
      <c r="S2994" s="682"/>
      <c r="T2994" s="682"/>
      <c r="U2994" s="682"/>
      <c r="V2994" s="682"/>
      <c r="W2994" s="682"/>
    </row>
    <row r="2995" spans="1:23">
      <c r="A2995" s="1045">
        <f t="shared" si="47"/>
        <v>10</v>
      </c>
      <c r="B2995" s="134">
        <v>45575</v>
      </c>
      <c r="C2995" s="70">
        <v>1100</v>
      </c>
      <c r="D2995" s="70" t="s">
        <v>46</v>
      </c>
      <c r="E2995" s="280" t="s">
        <v>2993</v>
      </c>
      <c r="F2995" s="1049"/>
      <c r="G2995" s="1049">
        <v>28350</v>
      </c>
      <c r="H2995" s="564" t="s">
        <v>4825</v>
      </c>
      <c r="I2995" s="609" t="s">
        <v>4826</v>
      </c>
      <c r="J2995" s="1155"/>
      <c r="K2995" s="609">
        <v>277</v>
      </c>
      <c r="L2995" s="609">
        <v>116</v>
      </c>
      <c r="M2995" s="609"/>
      <c r="N2995" s="599"/>
      <c r="O2995" s="552" t="s">
        <v>1584</v>
      </c>
      <c r="P2995" s="603"/>
      <c r="Q2995" s="682"/>
      <c r="R2995" s="682"/>
      <c r="S2995" s="682"/>
      <c r="T2995" s="682"/>
      <c r="U2995" s="682"/>
      <c r="V2995" s="682"/>
      <c r="W2995" s="682"/>
    </row>
    <row r="2996" spans="1:23">
      <c r="A2996" s="1045">
        <f t="shared" si="47"/>
        <v>10</v>
      </c>
      <c r="B2996" s="134">
        <v>45572</v>
      </c>
      <c r="C2996" s="70">
        <v>6004</v>
      </c>
      <c r="D2996" s="70" t="s">
        <v>95</v>
      </c>
      <c r="E2996" s="280" t="s">
        <v>4827</v>
      </c>
      <c r="F2996" s="1049">
        <v>634.32000000000005</v>
      </c>
      <c r="G2996" s="1049"/>
      <c r="H2996" s="564"/>
      <c r="I2996" s="609"/>
      <c r="J2996" s="1155"/>
      <c r="K2996" s="609"/>
      <c r="L2996" s="609"/>
      <c r="M2996" s="609"/>
      <c r="N2996" s="599"/>
      <c r="O2996" s="552" t="s">
        <v>1584</v>
      </c>
      <c r="P2996" s="603"/>
      <c r="Q2996" s="682"/>
      <c r="R2996" s="682"/>
      <c r="S2996" s="682"/>
      <c r="T2996" s="682"/>
      <c r="U2996" s="682"/>
      <c r="V2996" s="682"/>
      <c r="W2996" s="682"/>
    </row>
    <row r="2997" spans="1:23">
      <c r="A2997" s="1045">
        <f t="shared" si="47"/>
        <v>10</v>
      </c>
      <c r="B2997" s="134">
        <v>45572</v>
      </c>
      <c r="C2997" s="70">
        <v>2018</v>
      </c>
      <c r="D2997" s="70" t="s">
        <v>58</v>
      </c>
      <c r="E2997" s="280" t="s">
        <v>4827</v>
      </c>
      <c r="F2997" s="1049">
        <v>30.68</v>
      </c>
      <c r="G2997" s="1049"/>
      <c r="H2997" s="564"/>
      <c r="I2997" s="609"/>
      <c r="J2997" s="1155"/>
      <c r="K2997" s="609"/>
      <c r="L2997" s="609"/>
      <c r="M2997" s="609"/>
      <c r="N2997" s="599"/>
      <c r="O2997" s="552" t="s">
        <v>1584</v>
      </c>
      <c r="P2997" s="603"/>
      <c r="Q2997" s="682"/>
      <c r="R2997" s="682"/>
      <c r="S2997" s="682"/>
      <c r="T2997" s="682"/>
      <c r="U2997" s="682"/>
      <c r="V2997" s="682"/>
      <c r="W2997" s="682"/>
    </row>
    <row r="2998" spans="1:23">
      <c r="A2998" s="1045">
        <f t="shared" si="47"/>
        <v>10</v>
      </c>
      <c r="B2998" s="134">
        <v>45572</v>
      </c>
      <c r="C2998" s="70">
        <v>1025</v>
      </c>
      <c r="D2998" s="70" t="s">
        <v>5120</v>
      </c>
      <c r="E2998" s="280" t="s">
        <v>4827</v>
      </c>
      <c r="F2998" s="1049"/>
      <c r="G2998" s="1049">
        <v>665</v>
      </c>
      <c r="H2998" s="564"/>
      <c r="I2998" s="609"/>
      <c r="J2998" s="1155"/>
      <c r="K2998" s="609"/>
      <c r="L2998" s="609"/>
      <c r="M2998" s="609"/>
      <c r="N2998" s="599"/>
      <c r="O2998" s="552" t="s">
        <v>1584</v>
      </c>
      <c r="P2998" s="603"/>
      <c r="Q2998" s="682"/>
      <c r="R2998" s="682"/>
      <c r="S2998" s="682"/>
      <c r="T2998" s="682"/>
      <c r="U2998" s="682"/>
      <c r="V2998" s="682"/>
      <c r="W2998" s="682"/>
    </row>
    <row r="2999" spans="1:23">
      <c r="A2999" s="1045">
        <f t="shared" si="47"/>
        <v>10</v>
      </c>
      <c r="B2999" s="134">
        <v>45572</v>
      </c>
      <c r="C2999" s="70">
        <v>6004</v>
      </c>
      <c r="D2999" s="70" t="s">
        <v>95</v>
      </c>
      <c r="E2999" s="280" t="s">
        <v>4828</v>
      </c>
      <c r="F2999" s="1049">
        <v>979.08</v>
      </c>
      <c r="G2999" s="1049"/>
      <c r="H2999" s="564"/>
      <c r="I2999" s="609"/>
      <c r="J2999" s="1155"/>
      <c r="K2999" s="609"/>
      <c r="L2999" s="609"/>
      <c r="M2999" s="609"/>
      <c r="N2999" s="599"/>
      <c r="O2999" s="552" t="s">
        <v>1584</v>
      </c>
      <c r="P2999" s="603"/>
      <c r="Q2999" s="682"/>
      <c r="R2999" s="682"/>
      <c r="S2999" s="682"/>
      <c r="T2999" s="682"/>
      <c r="U2999" s="682"/>
      <c r="V2999" s="682"/>
      <c r="W2999" s="682"/>
    </row>
    <row r="3000" spans="1:23">
      <c r="A3000" s="1045">
        <f t="shared" si="47"/>
        <v>10</v>
      </c>
      <c r="B3000" s="134">
        <v>45572</v>
      </c>
      <c r="C3000" s="70">
        <v>2018</v>
      </c>
      <c r="D3000" s="70" t="s">
        <v>58</v>
      </c>
      <c r="E3000" s="280" t="s">
        <v>4828</v>
      </c>
      <c r="F3000" s="1049">
        <v>46.92</v>
      </c>
      <c r="G3000" s="1049"/>
      <c r="H3000" s="564"/>
      <c r="I3000" s="609"/>
      <c r="J3000" s="1155"/>
      <c r="K3000" s="609"/>
      <c r="L3000" s="609"/>
      <c r="M3000" s="609"/>
      <c r="N3000" s="599"/>
      <c r="O3000" s="552" t="s">
        <v>1584</v>
      </c>
      <c r="P3000" s="603"/>
      <c r="Q3000" s="682"/>
      <c r="R3000" s="682"/>
      <c r="S3000" s="682"/>
      <c r="T3000" s="682"/>
      <c r="U3000" s="682"/>
      <c r="V3000" s="682"/>
      <c r="W3000" s="682"/>
    </row>
    <row r="3001" spans="1:23">
      <c r="A3001" s="1045">
        <f t="shared" si="47"/>
        <v>10</v>
      </c>
      <c r="B3001" s="134">
        <v>45572</v>
      </c>
      <c r="C3001" s="70">
        <v>1025</v>
      </c>
      <c r="D3001" s="70" t="s">
        <v>5120</v>
      </c>
      <c r="E3001" s="280" t="s">
        <v>4828</v>
      </c>
      <c r="F3001" s="1049"/>
      <c r="G3001" s="1049">
        <v>1026</v>
      </c>
      <c r="H3001" s="564"/>
      <c r="I3001" s="609"/>
      <c r="J3001" s="1155"/>
      <c r="K3001" s="609"/>
      <c r="L3001" s="609"/>
      <c r="M3001" s="609"/>
      <c r="N3001" s="599"/>
      <c r="O3001" s="552" t="s">
        <v>1584</v>
      </c>
      <c r="P3001" s="603"/>
      <c r="Q3001" s="682"/>
      <c r="R3001" s="682"/>
      <c r="S3001" s="682"/>
      <c r="T3001" s="682"/>
      <c r="U3001" s="682"/>
      <c r="V3001" s="682"/>
      <c r="W3001" s="682"/>
    </row>
    <row r="3002" spans="1:23">
      <c r="A3002" s="1045">
        <f t="shared" si="47"/>
        <v>10</v>
      </c>
      <c r="B3002" s="134">
        <v>45575</v>
      </c>
      <c r="C3002" s="70">
        <v>6007</v>
      </c>
      <c r="D3002" s="70" t="s">
        <v>98</v>
      </c>
      <c r="E3002" s="280" t="s">
        <v>4829</v>
      </c>
      <c r="F3002" s="1049">
        <v>377.98</v>
      </c>
      <c r="G3002" s="1049"/>
      <c r="H3002" s="564"/>
      <c r="I3002" s="609"/>
      <c r="J3002" s="1155"/>
      <c r="K3002" s="609"/>
      <c r="L3002" s="609"/>
      <c r="M3002" s="609"/>
      <c r="N3002" s="599"/>
      <c r="O3002" s="552" t="s">
        <v>1584</v>
      </c>
      <c r="P3002" s="603"/>
      <c r="Q3002" s="682"/>
      <c r="R3002" s="682"/>
      <c r="S3002" s="682"/>
      <c r="T3002" s="682"/>
      <c r="U3002" s="682"/>
      <c r="V3002" s="682"/>
      <c r="W3002" s="682"/>
    </row>
    <row r="3003" spans="1:23">
      <c r="A3003" s="1045">
        <f t="shared" si="47"/>
        <v>10</v>
      </c>
      <c r="B3003" s="134">
        <v>45575</v>
      </c>
      <c r="C3003" s="70">
        <v>2018</v>
      </c>
      <c r="D3003" s="70" t="s">
        <v>58</v>
      </c>
      <c r="E3003" s="280" t="s">
        <v>4829</v>
      </c>
      <c r="F3003" s="1049">
        <v>18</v>
      </c>
      <c r="G3003" s="1049"/>
      <c r="H3003" s="564"/>
      <c r="I3003" s="609"/>
      <c r="J3003" s="1155"/>
      <c r="K3003" s="609"/>
      <c r="L3003" s="609"/>
      <c r="M3003" s="609"/>
      <c r="N3003" s="599"/>
      <c r="O3003" s="552" t="s">
        <v>1584</v>
      </c>
      <c r="P3003" s="603"/>
      <c r="Q3003" s="682"/>
      <c r="R3003" s="682"/>
      <c r="S3003" s="682"/>
      <c r="T3003" s="682"/>
      <c r="U3003" s="682"/>
      <c r="V3003" s="682"/>
      <c r="W3003" s="682"/>
    </row>
    <row r="3004" spans="1:23">
      <c r="A3004" s="1045">
        <f t="shared" si="47"/>
        <v>10</v>
      </c>
      <c r="B3004" s="134">
        <v>45575</v>
      </c>
      <c r="C3004" s="70">
        <v>1025</v>
      </c>
      <c r="D3004" s="70" t="s">
        <v>5120</v>
      </c>
      <c r="E3004" s="280" t="s">
        <v>4829</v>
      </c>
      <c r="F3004" s="1049"/>
      <c r="G3004" s="1049">
        <v>395.98</v>
      </c>
      <c r="H3004" s="564"/>
      <c r="I3004" s="609"/>
      <c r="J3004" s="1155"/>
      <c r="K3004" s="609"/>
      <c r="L3004" s="609"/>
      <c r="M3004" s="609"/>
      <c r="N3004" s="599"/>
      <c r="O3004" s="552" t="s">
        <v>1584</v>
      </c>
      <c r="P3004" s="603"/>
      <c r="Q3004" s="682"/>
      <c r="R3004" s="682"/>
      <c r="S3004" s="682"/>
      <c r="T3004" s="682"/>
      <c r="U3004" s="682"/>
      <c r="V3004" s="682"/>
      <c r="W3004" s="682"/>
    </row>
    <row r="3005" spans="1:23">
      <c r="A3005" s="1045">
        <f t="shared" si="47"/>
        <v>10</v>
      </c>
      <c r="B3005" s="134">
        <v>45575</v>
      </c>
      <c r="C3005" s="70">
        <v>6009</v>
      </c>
      <c r="D3005" s="70" t="s">
        <v>100</v>
      </c>
      <c r="E3005" s="280" t="s">
        <v>4830</v>
      </c>
      <c r="F3005" s="1049">
        <v>249</v>
      </c>
      <c r="G3005" s="1049"/>
      <c r="H3005" s="564"/>
      <c r="I3005" s="609"/>
      <c r="J3005" s="1155"/>
      <c r="K3005" s="609"/>
      <c r="L3005" s="609"/>
      <c r="M3005" s="609"/>
      <c r="N3005" s="599"/>
      <c r="O3005" s="552" t="s">
        <v>1584</v>
      </c>
      <c r="P3005" s="603"/>
      <c r="Q3005" s="682"/>
      <c r="R3005" s="682"/>
      <c r="S3005" s="682"/>
      <c r="T3005" s="682"/>
      <c r="U3005" s="682"/>
      <c r="V3005" s="682"/>
      <c r="W3005" s="682"/>
    </row>
    <row r="3006" spans="1:23">
      <c r="A3006" s="1045">
        <f t="shared" si="47"/>
        <v>10</v>
      </c>
      <c r="B3006" s="134">
        <v>45575</v>
      </c>
      <c r="C3006" s="70">
        <v>2018</v>
      </c>
      <c r="D3006" s="70" t="s">
        <v>58</v>
      </c>
      <c r="E3006" s="280" t="s">
        <v>4830</v>
      </c>
      <c r="F3006" s="1049">
        <v>12.45</v>
      </c>
      <c r="G3006" s="1049"/>
      <c r="H3006" s="564"/>
      <c r="I3006" s="609"/>
      <c r="J3006" s="1155"/>
      <c r="K3006" s="609"/>
      <c r="L3006" s="609"/>
      <c r="M3006" s="609"/>
      <c r="N3006" s="599"/>
      <c r="O3006" s="552" t="s">
        <v>1584</v>
      </c>
      <c r="P3006" s="603"/>
      <c r="Q3006" s="682"/>
      <c r="R3006" s="682"/>
      <c r="S3006" s="682"/>
      <c r="T3006" s="682"/>
      <c r="U3006" s="682"/>
      <c r="V3006" s="682"/>
      <c r="W3006" s="682"/>
    </row>
    <row r="3007" spans="1:23">
      <c r="A3007" s="1045">
        <f t="shared" si="47"/>
        <v>10</v>
      </c>
      <c r="B3007" s="134">
        <v>45575</v>
      </c>
      <c r="C3007" s="70">
        <v>1025</v>
      </c>
      <c r="D3007" s="70" t="s">
        <v>5120</v>
      </c>
      <c r="E3007" s="280" t="s">
        <v>4830</v>
      </c>
      <c r="F3007" s="1049"/>
      <c r="G3007" s="1049">
        <v>261.45</v>
      </c>
      <c r="H3007" s="564"/>
      <c r="I3007" s="609"/>
      <c r="J3007" s="1155"/>
      <c r="K3007" s="609"/>
      <c r="L3007" s="609"/>
      <c r="M3007" s="609"/>
      <c r="N3007" s="599"/>
      <c r="O3007" s="552" t="s">
        <v>1584</v>
      </c>
      <c r="P3007" s="603"/>
      <c r="Q3007" s="682"/>
      <c r="R3007" s="682"/>
      <c r="S3007" s="682"/>
      <c r="T3007" s="682"/>
      <c r="U3007" s="682"/>
      <c r="V3007" s="682"/>
      <c r="W3007" s="682"/>
    </row>
    <row r="3008" spans="1:23">
      <c r="A3008" s="1045">
        <f t="shared" si="47"/>
        <v>10</v>
      </c>
      <c r="B3008" s="134">
        <v>45575</v>
      </c>
      <c r="C3008" s="70">
        <v>6023</v>
      </c>
      <c r="D3008" s="70" t="s">
        <v>114</v>
      </c>
      <c r="E3008" s="280" t="s">
        <v>4831</v>
      </c>
      <c r="F3008" s="1049">
        <v>1090</v>
      </c>
      <c r="G3008" s="1049"/>
      <c r="H3008" s="564"/>
      <c r="I3008" s="609"/>
      <c r="J3008" s="1155"/>
      <c r="K3008" s="609"/>
      <c r="L3008" s="609"/>
      <c r="M3008" s="609"/>
      <c r="N3008" s="599"/>
      <c r="O3008" s="552" t="s">
        <v>1584</v>
      </c>
      <c r="P3008" s="603"/>
      <c r="Q3008" s="682"/>
      <c r="R3008" s="682"/>
      <c r="S3008" s="682"/>
      <c r="T3008" s="682"/>
      <c r="U3008" s="682"/>
      <c r="V3008" s="682"/>
      <c r="W3008" s="682"/>
    </row>
    <row r="3009" spans="1:23">
      <c r="A3009" s="1045">
        <f t="shared" si="47"/>
        <v>10</v>
      </c>
      <c r="B3009" s="134">
        <v>45575</v>
      </c>
      <c r="C3009" s="70">
        <v>6023</v>
      </c>
      <c r="D3009" s="70" t="s">
        <v>114</v>
      </c>
      <c r="E3009" s="280" t="s">
        <v>4832</v>
      </c>
      <c r="F3009" s="1049">
        <v>375</v>
      </c>
      <c r="G3009" s="1049"/>
      <c r="H3009" s="564"/>
      <c r="I3009" s="609"/>
      <c r="J3009" s="1155"/>
      <c r="K3009" s="609"/>
      <c r="L3009" s="609"/>
      <c r="M3009" s="609"/>
      <c r="N3009" s="599"/>
      <c r="O3009" s="552" t="s">
        <v>1584</v>
      </c>
      <c r="P3009" s="603"/>
      <c r="Q3009" s="682"/>
      <c r="R3009" s="682"/>
      <c r="S3009" s="682"/>
      <c r="T3009" s="682"/>
      <c r="U3009" s="682"/>
      <c r="V3009" s="682"/>
      <c r="W3009" s="682"/>
    </row>
    <row r="3010" spans="1:23">
      <c r="A3010" s="1045">
        <f t="shared" si="47"/>
        <v>10</v>
      </c>
      <c r="B3010" s="134">
        <v>45575</v>
      </c>
      <c r="C3010" s="70">
        <v>1025</v>
      </c>
      <c r="D3010" s="70" t="s">
        <v>5120</v>
      </c>
      <c r="E3010" s="280" t="s">
        <v>4831</v>
      </c>
      <c r="F3010" s="1049"/>
      <c r="G3010" s="1049">
        <v>1090</v>
      </c>
      <c r="H3010" s="564"/>
      <c r="I3010" s="609"/>
      <c r="J3010" s="1155"/>
      <c r="K3010" s="609"/>
      <c r="L3010" s="609"/>
      <c r="M3010" s="609"/>
      <c r="N3010" s="599"/>
      <c r="O3010" s="552" t="s">
        <v>1584</v>
      </c>
      <c r="P3010" s="603"/>
      <c r="Q3010" s="682"/>
      <c r="R3010" s="682"/>
      <c r="S3010" s="682"/>
      <c r="T3010" s="682"/>
      <c r="U3010" s="682"/>
      <c r="V3010" s="682"/>
      <c r="W3010" s="682"/>
    </row>
    <row r="3011" spans="1:23">
      <c r="A3011" s="1045">
        <f t="shared" si="47"/>
        <v>10</v>
      </c>
      <c r="B3011" s="134">
        <v>45575</v>
      </c>
      <c r="C3011" s="70">
        <v>1025</v>
      </c>
      <c r="D3011" s="70" t="s">
        <v>5120</v>
      </c>
      <c r="E3011" s="280" t="s">
        <v>4832</v>
      </c>
      <c r="F3011" s="1049"/>
      <c r="G3011" s="1049">
        <v>375</v>
      </c>
      <c r="H3011" s="564"/>
      <c r="I3011" s="609"/>
      <c r="J3011" s="1155"/>
      <c r="K3011" s="609"/>
      <c r="L3011" s="609"/>
      <c r="M3011" s="609"/>
      <c r="N3011" s="599"/>
      <c r="O3011" s="552" t="s">
        <v>1584</v>
      </c>
      <c r="P3011" s="603"/>
      <c r="Q3011" s="682"/>
      <c r="R3011" s="682"/>
      <c r="S3011" s="682"/>
      <c r="T3011" s="682"/>
      <c r="U3011" s="682"/>
      <c r="V3011" s="682"/>
      <c r="W3011" s="682"/>
    </row>
    <row r="3012" spans="1:23">
      <c r="A3012" s="1045">
        <f t="shared" si="47"/>
        <v>10</v>
      </c>
      <c r="B3012" s="134">
        <v>45579</v>
      </c>
      <c r="C3012" s="70">
        <v>4900</v>
      </c>
      <c r="D3012" s="70" t="s">
        <v>78</v>
      </c>
      <c r="E3012" s="280" t="s">
        <v>3037</v>
      </c>
      <c r="F3012" s="1049">
        <v>3000</v>
      </c>
      <c r="G3012" s="1049"/>
      <c r="H3012" s="564"/>
      <c r="I3012" s="609"/>
      <c r="J3012" s="1155"/>
      <c r="K3012" s="609"/>
      <c r="L3012" s="609"/>
      <c r="M3012" s="609"/>
      <c r="N3012" s="599"/>
      <c r="O3012" s="552" t="s">
        <v>1584</v>
      </c>
      <c r="P3012" s="603"/>
      <c r="Q3012" s="682"/>
      <c r="R3012" s="682"/>
      <c r="S3012" s="682"/>
      <c r="T3012" s="682"/>
      <c r="U3012" s="682"/>
      <c r="V3012" s="682"/>
      <c r="W3012" s="682"/>
    </row>
    <row r="3013" spans="1:23">
      <c r="A3013" s="1045">
        <f t="shared" si="47"/>
        <v>10</v>
      </c>
      <c r="B3013" s="134">
        <v>45579</v>
      </c>
      <c r="C3013" s="70">
        <v>1100</v>
      </c>
      <c r="D3013" s="70" t="s">
        <v>46</v>
      </c>
      <c r="E3013" s="280" t="s">
        <v>3037</v>
      </c>
      <c r="F3013" s="1049"/>
      <c r="G3013" s="1049">
        <v>3000</v>
      </c>
      <c r="H3013" s="564"/>
      <c r="I3013" s="609"/>
      <c r="J3013" s="1155"/>
      <c r="K3013" s="609">
        <v>275</v>
      </c>
      <c r="L3013" s="609"/>
      <c r="M3013" s="609"/>
      <c r="N3013" s="599"/>
      <c r="O3013" s="552" t="s">
        <v>1584</v>
      </c>
      <c r="P3013" s="603"/>
      <c r="Q3013" s="682"/>
      <c r="R3013" s="682"/>
      <c r="S3013" s="682"/>
      <c r="T3013" s="682"/>
      <c r="U3013" s="682"/>
      <c r="V3013" s="682"/>
      <c r="W3013" s="682"/>
    </row>
    <row r="3014" spans="1:23">
      <c r="A3014" s="1045">
        <f t="shared" si="47"/>
        <v>10</v>
      </c>
      <c r="B3014" s="134">
        <v>45579</v>
      </c>
      <c r="C3014" s="70">
        <v>1100</v>
      </c>
      <c r="D3014" s="70" t="s">
        <v>46</v>
      </c>
      <c r="E3014" s="280" t="s">
        <v>3038</v>
      </c>
      <c r="F3014" s="1049">
        <v>23482</v>
      </c>
      <c r="G3014" s="1049"/>
      <c r="H3014" s="564"/>
      <c r="I3014" s="609"/>
      <c r="J3014" s="1155"/>
      <c r="K3014" s="609"/>
      <c r="L3014" s="609">
        <v>90</v>
      </c>
      <c r="M3014" s="609"/>
      <c r="N3014" s="599"/>
      <c r="O3014" s="552" t="s">
        <v>1584</v>
      </c>
      <c r="P3014" s="603"/>
      <c r="Q3014" s="682"/>
      <c r="R3014" s="682"/>
      <c r="S3014" s="682"/>
      <c r="T3014" s="682"/>
      <c r="U3014" s="682"/>
      <c r="V3014" s="682"/>
      <c r="W3014" s="682"/>
    </row>
    <row r="3015" spans="1:23">
      <c r="A3015" s="1045">
        <f t="shared" si="47"/>
        <v>10</v>
      </c>
      <c r="B3015" s="134">
        <v>45579</v>
      </c>
      <c r="C3015" s="70">
        <v>2018</v>
      </c>
      <c r="D3015" s="70" t="s">
        <v>58</v>
      </c>
      <c r="E3015" s="280" t="s">
        <v>3038</v>
      </c>
      <c r="F3015" s="1049"/>
      <c r="G3015" s="1049">
        <v>1118</v>
      </c>
      <c r="H3015" s="564"/>
      <c r="I3015" s="609"/>
      <c r="J3015" s="1155"/>
      <c r="K3015" s="609"/>
      <c r="L3015" s="609"/>
      <c r="M3015" s="609"/>
      <c r="N3015" s="599"/>
      <c r="O3015" s="552" t="s">
        <v>1584</v>
      </c>
      <c r="P3015" s="603"/>
      <c r="Q3015" s="682"/>
      <c r="R3015" s="682"/>
      <c r="S3015" s="682"/>
      <c r="T3015" s="682"/>
      <c r="U3015" s="682"/>
      <c r="V3015" s="682"/>
      <c r="W3015" s="682"/>
    </row>
    <row r="3016" spans="1:23">
      <c r="A3016" s="1045">
        <f t="shared" si="47"/>
        <v>10</v>
      </c>
      <c r="B3016" s="134">
        <v>45579</v>
      </c>
      <c r="C3016" s="70">
        <v>4000</v>
      </c>
      <c r="D3016" s="70" t="s">
        <v>74</v>
      </c>
      <c r="E3016" s="280" t="s">
        <v>3038</v>
      </c>
      <c r="F3016" s="1049"/>
      <c r="G3016" s="1049">
        <v>22634</v>
      </c>
      <c r="H3016" s="564"/>
      <c r="I3016" s="609"/>
      <c r="J3016" s="1155"/>
      <c r="K3016" s="609">
        <v>221</v>
      </c>
      <c r="L3016" s="609"/>
      <c r="M3016" s="609"/>
      <c r="N3016" s="599">
        <v>1118.2</v>
      </c>
      <c r="O3016" s="552" t="s">
        <v>1584</v>
      </c>
      <c r="P3016" s="603"/>
      <c r="Q3016" s="682"/>
      <c r="R3016" s="682"/>
      <c r="S3016" s="682"/>
      <c r="T3016" s="682"/>
      <c r="U3016" s="682"/>
      <c r="V3016" s="682"/>
      <c r="W3016" s="682"/>
    </row>
    <row r="3017" spans="1:23">
      <c r="A3017" s="1045">
        <f t="shared" si="47"/>
        <v>10</v>
      </c>
      <c r="B3017" s="134">
        <v>45579</v>
      </c>
      <c r="C3017" s="70">
        <v>1022</v>
      </c>
      <c r="D3017" s="70" t="s">
        <v>5119</v>
      </c>
      <c r="E3017" s="280" t="s">
        <v>4833</v>
      </c>
      <c r="F3017" s="1049">
        <v>23482</v>
      </c>
      <c r="G3017" s="1049"/>
      <c r="H3017" s="564" t="s">
        <v>4834</v>
      </c>
      <c r="I3017" s="609"/>
      <c r="J3017" s="1155"/>
      <c r="K3017" s="609"/>
      <c r="L3017" s="609"/>
      <c r="M3017" s="609"/>
      <c r="N3017" s="599"/>
      <c r="O3017" s="552" t="s">
        <v>1584</v>
      </c>
      <c r="P3017" s="603"/>
      <c r="Q3017" s="682"/>
      <c r="R3017" s="682"/>
      <c r="S3017" s="682"/>
      <c r="T3017" s="682"/>
      <c r="U3017" s="682"/>
      <c r="V3017" s="682"/>
      <c r="W3017" s="682"/>
    </row>
    <row r="3018" spans="1:23">
      <c r="A3018" s="1045">
        <f t="shared" si="47"/>
        <v>10</v>
      </c>
      <c r="B3018" s="134">
        <v>45579</v>
      </c>
      <c r="C3018" s="70">
        <v>1100</v>
      </c>
      <c r="D3018" s="70" t="s">
        <v>46</v>
      </c>
      <c r="E3018" s="280" t="s">
        <v>4833</v>
      </c>
      <c r="F3018" s="1049"/>
      <c r="G3018" s="1049">
        <v>23482</v>
      </c>
      <c r="H3018" s="564" t="s">
        <v>4834</v>
      </c>
      <c r="I3018" s="609"/>
      <c r="J3018" s="1155"/>
      <c r="K3018" s="609"/>
      <c r="L3018" s="609"/>
      <c r="M3018" s="609"/>
      <c r="N3018" s="599"/>
      <c r="O3018" s="552" t="s">
        <v>1584</v>
      </c>
      <c r="P3018" s="603"/>
      <c r="Q3018" s="682"/>
      <c r="R3018" s="682"/>
      <c r="S3018" s="682"/>
      <c r="T3018" s="682"/>
      <c r="U3018" s="682"/>
      <c r="V3018" s="682"/>
      <c r="W3018" s="682"/>
    </row>
    <row r="3019" spans="1:23">
      <c r="A3019" s="1045">
        <f t="shared" si="47"/>
        <v>10</v>
      </c>
      <c r="B3019" s="134">
        <v>45577</v>
      </c>
      <c r="C3019" s="70">
        <v>1100</v>
      </c>
      <c r="D3019" s="70" t="s">
        <v>46</v>
      </c>
      <c r="E3019" s="280" t="s">
        <v>4835</v>
      </c>
      <c r="F3019" s="1049">
        <v>86184</v>
      </c>
      <c r="G3019" s="1049"/>
      <c r="H3019" s="564"/>
      <c r="I3019" s="609"/>
      <c r="J3019" s="1155"/>
      <c r="K3019" s="609"/>
      <c r="L3019" s="609"/>
      <c r="M3019" s="609"/>
      <c r="N3019" s="599"/>
      <c r="O3019" s="552" t="s">
        <v>1584</v>
      </c>
      <c r="P3019" s="603"/>
      <c r="Q3019" s="682"/>
      <c r="R3019" s="682"/>
      <c r="S3019" s="682"/>
      <c r="T3019" s="682"/>
      <c r="U3019" s="682"/>
      <c r="V3019" s="682"/>
      <c r="W3019" s="682"/>
    </row>
    <row r="3020" spans="1:23">
      <c r="A3020" s="1045">
        <f t="shared" si="47"/>
        <v>10</v>
      </c>
      <c r="B3020" s="134">
        <v>45577</v>
      </c>
      <c r="C3020" s="70">
        <v>2018</v>
      </c>
      <c r="D3020" s="70" t="s">
        <v>58</v>
      </c>
      <c r="E3020" s="280" t="s">
        <v>4835</v>
      </c>
      <c r="F3020" s="1049"/>
      <c r="G3020" s="1049">
        <v>4104</v>
      </c>
      <c r="H3020" s="564"/>
      <c r="I3020" s="609"/>
      <c r="J3020" s="1155"/>
      <c r="K3020" s="609"/>
      <c r="L3020" s="609"/>
      <c r="M3020" s="609"/>
      <c r="N3020" s="599"/>
      <c r="O3020" s="552" t="s">
        <v>1584</v>
      </c>
      <c r="P3020" s="603"/>
      <c r="Q3020" s="682"/>
      <c r="R3020" s="682"/>
      <c r="S3020" s="682"/>
      <c r="T3020" s="682"/>
      <c r="U3020" s="682"/>
      <c r="V3020" s="682"/>
      <c r="W3020" s="682"/>
    </row>
    <row r="3021" spans="1:23">
      <c r="A3021" s="1045">
        <f t="shared" si="47"/>
        <v>10</v>
      </c>
      <c r="B3021" s="134">
        <v>45577</v>
      </c>
      <c r="C3021" s="70">
        <v>4000</v>
      </c>
      <c r="D3021" s="70" t="s">
        <v>74</v>
      </c>
      <c r="E3021" s="280" t="s">
        <v>4835</v>
      </c>
      <c r="F3021" s="1049"/>
      <c r="G3021" s="1049">
        <v>82080</v>
      </c>
      <c r="H3021" s="564"/>
      <c r="I3021" s="609"/>
      <c r="J3021" s="1155"/>
      <c r="K3021" s="609"/>
      <c r="L3021" s="609"/>
      <c r="M3021" s="609"/>
      <c r="N3021" s="599"/>
      <c r="O3021" s="552" t="s">
        <v>1584</v>
      </c>
      <c r="P3021" s="603"/>
      <c r="Q3021" s="682"/>
      <c r="R3021" s="682"/>
      <c r="S3021" s="682"/>
      <c r="T3021" s="682"/>
      <c r="U3021" s="682"/>
      <c r="V3021" s="682"/>
      <c r="W3021" s="682"/>
    </row>
    <row r="3022" spans="1:23">
      <c r="A3022" s="1045">
        <f t="shared" si="47"/>
        <v>10</v>
      </c>
      <c r="B3022" s="134">
        <v>45577</v>
      </c>
      <c r="C3022" s="70">
        <v>1022</v>
      </c>
      <c r="D3022" s="70" t="s">
        <v>5119</v>
      </c>
      <c r="E3022" s="280" t="s">
        <v>4836</v>
      </c>
      <c r="F3022" s="1049">
        <v>86184</v>
      </c>
      <c r="G3022" s="1049"/>
      <c r="H3022" s="564" t="s">
        <v>4837</v>
      </c>
      <c r="I3022" s="609">
        <v>22</v>
      </c>
      <c r="J3022" s="1155">
        <v>45579</v>
      </c>
      <c r="K3022" s="609"/>
      <c r="L3022" s="609"/>
      <c r="M3022" s="609"/>
      <c r="N3022" s="599"/>
      <c r="O3022" s="552" t="s">
        <v>1584</v>
      </c>
      <c r="P3022" s="603" t="s">
        <v>1779</v>
      </c>
      <c r="Q3022" s="682"/>
      <c r="R3022" s="682"/>
      <c r="S3022" s="682"/>
      <c r="T3022" s="682"/>
      <c r="U3022" s="682"/>
      <c r="V3022" s="682"/>
      <c r="W3022" s="682"/>
    </row>
    <row r="3023" spans="1:23">
      <c r="A3023" s="1045">
        <f t="shared" si="47"/>
        <v>10</v>
      </c>
      <c r="B3023" s="134">
        <v>45577</v>
      </c>
      <c r="C3023" s="70">
        <v>1100</v>
      </c>
      <c r="D3023" s="70" t="s">
        <v>46</v>
      </c>
      <c r="E3023" s="280" t="s">
        <v>4836</v>
      </c>
      <c r="F3023" s="1049"/>
      <c r="G3023" s="1049">
        <v>86184</v>
      </c>
      <c r="H3023" s="564" t="s">
        <v>4837</v>
      </c>
      <c r="I3023" s="609"/>
      <c r="J3023" s="1155"/>
      <c r="K3023" s="609">
        <v>249</v>
      </c>
      <c r="L3023" s="609">
        <v>118</v>
      </c>
      <c r="M3023" s="609"/>
      <c r="N3023" s="599">
        <v>4104</v>
      </c>
      <c r="O3023" s="552" t="s">
        <v>1584</v>
      </c>
      <c r="P3023" s="603"/>
      <c r="Q3023" s="682"/>
      <c r="R3023" s="682"/>
      <c r="S3023" s="682"/>
      <c r="T3023" s="682"/>
      <c r="U3023" s="682"/>
      <c r="V3023" s="682"/>
      <c r="W3023" s="682"/>
    </row>
    <row r="3024" spans="1:23">
      <c r="A3024" s="1045">
        <f t="shared" si="47"/>
        <v>10</v>
      </c>
      <c r="B3024" s="134">
        <v>45579</v>
      </c>
      <c r="C3024" s="70">
        <v>1100</v>
      </c>
      <c r="D3024" s="70" t="s">
        <v>46</v>
      </c>
      <c r="E3024" s="280" t="s">
        <v>4838</v>
      </c>
      <c r="F3024" s="1049">
        <v>16054.5</v>
      </c>
      <c r="G3024" s="1049"/>
      <c r="H3024" s="564"/>
      <c r="I3024" s="609"/>
      <c r="J3024" s="1155"/>
      <c r="K3024" s="609"/>
      <c r="L3024" s="609"/>
      <c r="M3024" s="609"/>
      <c r="N3024" s="599"/>
      <c r="O3024" s="552" t="s">
        <v>1584</v>
      </c>
      <c r="P3024" s="603"/>
      <c r="Q3024" s="682"/>
      <c r="R3024" s="682"/>
      <c r="S3024" s="682"/>
      <c r="T3024" s="682"/>
      <c r="U3024" s="682"/>
      <c r="V3024" s="682"/>
      <c r="W3024" s="682"/>
    </row>
    <row r="3025" spans="1:23">
      <c r="A3025" s="1045">
        <f t="shared" si="47"/>
        <v>10</v>
      </c>
      <c r="B3025" s="134">
        <v>45579</v>
      </c>
      <c r="C3025" s="70">
        <v>2018</v>
      </c>
      <c r="D3025" s="70" t="s">
        <v>58</v>
      </c>
      <c r="E3025" s="280" t="s">
        <v>4838</v>
      </c>
      <c r="F3025" s="1049"/>
      <c r="G3025" s="1049">
        <v>764.5</v>
      </c>
      <c r="H3025" s="564"/>
      <c r="I3025" s="609"/>
      <c r="J3025" s="1155"/>
      <c r="K3025" s="609"/>
      <c r="L3025" s="609"/>
      <c r="M3025" s="609"/>
      <c r="N3025" s="599"/>
      <c r="O3025" s="552" t="s">
        <v>1584</v>
      </c>
      <c r="P3025" s="603"/>
      <c r="Q3025" s="682"/>
      <c r="R3025" s="682"/>
      <c r="S3025" s="682"/>
      <c r="T3025" s="682"/>
      <c r="U3025" s="682"/>
      <c r="V3025" s="682"/>
      <c r="W3025" s="682"/>
    </row>
    <row r="3026" spans="1:23">
      <c r="A3026" s="1045">
        <f t="shared" si="47"/>
        <v>10</v>
      </c>
      <c r="B3026" s="134">
        <v>45579</v>
      </c>
      <c r="C3026" s="70">
        <v>4000</v>
      </c>
      <c r="D3026" s="70" t="s">
        <v>74</v>
      </c>
      <c r="E3026" s="280" t="s">
        <v>4838</v>
      </c>
      <c r="F3026" s="1049"/>
      <c r="G3026" s="1049">
        <v>15290</v>
      </c>
      <c r="H3026" s="564"/>
      <c r="I3026" s="609"/>
      <c r="J3026" s="1155"/>
      <c r="K3026" s="609"/>
      <c r="L3026" s="609"/>
      <c r="M3026" s="609"/>
      <c r="N3026" s="599"/>
      <c r="O3026" s="552" t="s">
        <v>1584</v>
      </c>
      <c r="P3026" s="603"/>
      <c r="Q3026" s="682"/>
      <c r="R3026" s="682"/>
      <c r="S3026" s="682"/>
      <c r="T3026" s="682"/>
      <c r="U3026" s="682"/>
      <c r="V3026" s="682"/>
      <c r="W3026" s="682"/>
    </row>
    <row r="3027" spans="1:23">
      <c r="A3027" s="1045">
        <f t="shared" si="47"/>
        <v>10</v>
      </c>
      <c r="B3027" s="134">
        <v>45579</v>
      </c>
      <c r="C3027" s="70">
        <v>1022</v>
      </c>
      <c r="D3027" s="70" t="s">
        <v>5119</v>
      </c>
      <c r="E3027" s="280" t="s">
        <v>3043</v>
      </c>
      <c r="F3027" s="1049">
        <v>16054.5</v>
      </c>
      <c r="G3027" s="1049"/>
      <c r="H3027" s="564" t="s">
        <v>4839</v>
      </c>
      <c r="I3027" s="609"/>
      <c r="J3027" s="1155"/>
      <c r="K3027" s="609"/>
      <c r="L3027" s="609"/>
      <c r="M3027" s="609"/>
      <c r="N3027" s="599"/>
      <c r="O3027" s="552" t="s">
        <v>1584</v>
      </c>
      <c r="P3027" s="603"/>
      <c r="Q3027" s="682"/>
      <c r="R3027" s="682"/>
      <c r="S3027" s="682"/>
      <c r="T3027" s="682"/>
      <c r="U3027" s="682"/>
      <c r="V3027" s="682"/>
      <c r="W3027" s="682"/>
    </row>
    <row r="3028" spans="1:23">
      <c r="A3028" s="1045">
        <f t="shared" si="47"/>
        <v>10</v>
      </c>
      <c r="B3028" s="134">
        <v>45579</v>
      </c>
      <c r="C3028" s="70">
        <v>1100</v>
      </c>
      <c r="D3028" s="70" t="s">
        <v>46</v>
      </c>
      <c r="E3028" s="280" t="s">
        <v>3043</v>
      </c>
      <c r="F3028" s="1049"/>
      <c r="G3028" s="1049">
        <v>16054.5</v>
      </c>
      <c r="H3028" s="564" t="s">
        <v>4839</v>
      </c>
      <c r="I3028" s="609"/>
      <c r="J3028" s="1155"/>
      <c r="K3028" s="609">
        <v>234</v>
      </c>
      <c r="L3028" s="609">
        <v>120</v>
      </c>
      <c r="M3028" s="609"/>
      <c r="N3028" s="599">
        <v>764.5</v>
      </c>
      <c r="O3028" s="552" t="s">
        <v>1584</v>
      </c>
      <c r="P3028" s="603"/>
      <c r="Q3028" s="682"/>
      <c r="R3028" s="682"/>
      <c r="S3028" s="682"/>
      <c r="T3028" s="682"/>
      <c r="U3028" s="682"/>
      <c r="V3028" s="682"/>
      <c r="W3028" s="682"/>
    </row>
    <row r="3029" spans="1:23">
      <c r="A3029" s="1045">
        <f t="shared" ref="A3029:A3092" si="48">IF(B3029="","",MONTH(B3029))</f>
        <v>10</v>
      </c>
      <c r="B3029" s="134">
        <v>45579</v>
      </c>
      <c r="C3029" s="70">
        <v>2000</v>
      </c>
      <c r="D3029" s="70" t="s">
        <v>57</v>
      </c>
      <c r="E3029" s="280" t="s">
        <v>4840</v>
      </c>
      <c r="F3029" s="1049">
        <v>86446</v>
      </c>
      <c r="G3029" s="1049"/>
      <c r="H3029" s="564" t="s">
        <v>4841</v>
      </c>
      <c r="I3029" s="609"/>
      <c r="J3029" s="1155"/>
      <c r="K3029" s="609"/>
      <c r="L3029" s="609"/>
      <c r="M3029" s="609" t="s">
        <v>3021</v>
      </c>
      <c r="N3029" s="599"/>
      <c r="O3029" s="552" t="s">
        <v>1584</v>
      </c>
      <c r="P3029" s="603"/>
      <c r="Q3029" s="682"/>
      <c r="R3029" s="682"/>
      <c r="S3029" s="682"/>
      <c r="T3029" s="682"/>
      <c r="U3029" s="682"/>
      <c r="V3029" s="682"/>
      <c r="W3029" s="682"/>
    </row>
    <row r="3030" spans="1:23">
      <c r="A3030" s="1045">
        <f t="shared" si="48"/>
        <v>10</v>
      </c>
      <c r="B3030" s="134">
        <v>45579</v>
      </c>
      <c r="C3030" s="70">
        <v>1022</v>
      </c>
      <c r="D3030" s="70" t="s">
        <v>5119</v>
      </c>
      <c r="E3030" s="280" t="s">
        <v>4840</v>
      </c>
      <c r="F3030" s="1049"/>
      <c r="G3030" s="1049">
        <v>86446</v>
      </c>
      <c r="H3030" s="564" t="s">
        <v>4841</v>
      </c>
      <c r="I3030" s="609">
        <v>952</v>
      </c>
      <c r="J3030" s="1155">
        <v>45641</v>
      </c>
      <c r="K3030" s="609"/>
      <c r="L3030" s="609"/>
      <c r="M3030" s="609"/>
      <c r="N3030" s="599"/>
      <c r="O3030" s="552" t="s">
        <v>1584</v>
      </c>
      <c r="P3030" s="603"/>
      <c r="Q3030" s="682"/>
      <c r="R3030" s="682"/>
      <c r="S3030" s="682"/>
      <c r="T3030" s="682"/>
      <c r="U3030" s="682"/>
      <c r="V3030" s="682"/>
      <c r="W3030" s="682"/>
    </row>
    <row r="3031" spans="1:23">
      <c r="A3031" s="1045">
        <f t="shared" si="48"/>
        <v>10</v>
      </c>
      <c r="B3031" s="134">
        <v>45577</v>
      </c>
      <c r="C3031" s="70">
        <v>6013</v>
      </c>
      <c r="D3031" s="70" t="s">
        <v>104</v>
      </c>
      <c r="E3031" s="280" t="s">
        <v>4842</v>
      </c>
      <c r="F3031" s="1049">
        <v>1838.44</v>
      </c>
      <c r="G3031" s="1049"/>
      <c r="H3031" s="564"/>
      <c r="I3031" s="609"/>
      <c r="J3031" s="1155"/>
      <c r="K3031" s="609"/>
      <c r="L3031" s="609"/>
      <c r="M3031" s="609"/>
      <c r="N3031" s="599"/>
      <c r="O3031" s="552" t="s">
        <v>1584</v>
      </c>
      <c r="P3031" s="603"/>
      <c r="Q3031" s="682"/>
      <c r="R3031" s="682"/>
      <c r="S3031" s="682"/>
      <c r="T3031" s="682"/>
      <c r="U3031" s="682"/>
      <c r="V3031" s="682"/>
      <c r="W3031" s="682"/>
    </row>
    <row r="3032" spans="1:23">
      <c r="A3032" s="1045">
        <f t="shared" si="48"/>
        <v>10</v>
      </c>
      <c r="B3032" s="134">
        <v>45577</v>
      </c>
      <c r="C3032" s="70">
        <v>2018</v>
      </c>
      <c r="D3032" s="70" t="s">
        <v>58</v>
      </c>
      <c r="E3032" s="280" t="s">
        <v>4842</v>
      </c>
      <c r="F3032" s="1049"/>
      <c r="G3032" s="1049">
        <v>11.51</v>
      </c>
      <c r="H3032" s="564"/>
      <c r="I3032" s="609"/>
      <c r="J3032" s="1155"/>
      <c r="K3032" s="609"/>
      <c r="L3032" s="609"/>
      <c r="M3032" s="609"/>
      <c r="N3032" s="599"/>
      <c r="O3032" s="552" t="s">
        <v>1584</v>
      </c>
      <c r="P3032" s="603"/>
      <c r="Q3032" s="682"/>
      <c r="R3032" s="682"/>
      <c r="S3032" s="682"/>
      <c r="T3032" s="682"/>
      <c r="U3032" s="682"/>
      <c r="V3032" s="682"/>
      <c r="W3032" s="682"/>
    </row>
    <row r="3033" spans="1:23">
      <c r="A3033" s="1045">
        <f t="shared" si="48"/>
        <v>10</v>
      </c>
      <c r="B3033" s="134">
        <v>45577</v>
      </c>
      <c r="C3033" s="70">
        <v>1025</v>
      </c>
      <c r="D3033" s="70" t="s">
        <v>5120</v>
      </c>
      <c r="E3033" s="280" t="s">
        <v>4842</v>
      </c>
      <c r="F3033" s="1049"/>
      <c r="G3033" s="1049">
        <v>1849.9499999999998</v>
      </c>
      <c r="H3033" s="564"/>
      <c r="I3033" s="609"/>
      <c r="J3033" s="1155"/>
      <c r="K3033" s="609"/>
      <c r="L3033" s="609"/>
      <c r="M3033" s="609"/>
      <c r="N3033" s="599"/>
      <c r="O3033" s="552" t="s">
        <v>1584</v>
      </c>
      <c r="P3033" s="603"/>
      <c r="Q3033" s="682"/>
      <c r="R3033" s="682"/>
      <c r="S3033" s="682"/>
      <c r="T3033" s="682"/>
      <c r="U3033" s="682"/>
      <c r="V3033" s="682"/>
      <c r="W3033" s="682"/>
    </row>
    <row r="3034" spans="1:23">
      <c r="A3034" s="1045">
        <f t="shared" si="48"/>
        <v>9</v>
      </c>
      <c r="B3034" s="134">
        <v>45546</v>
      </c>
      <c r="C3034" s="70">
        <v>6013</v>
      </c>
      <c r="D3034" s="70" t="s">
        <v>104</v>
      </c>
      <c r="E3034" s="280" t="s">
        <v>4843</v>
      </c>
      <c r="F3034" s="1049">
        <v>76.14</v>
      </c>
      <c r="G3034" s="1049"/>
      <c r="H3034" s="564"/>
      <c r="I3034" s="609"/>
      <c r="J3034" s="1155"/>
      <c r="K3034" s="609"/>
      <c r="L3034" s="609"/>
      <c r="M3034" s="609"/>
      <c r="N3034" s="599"/>
      <c r="O3034" s="552" t="s">
        <v>1584</v>
      </c>
      <c r="P3034" s="603"/>
      <c r="Q3034" s="682"/>
      <c r="R3034" s="682"/>
      <c r="S3034" s="682"/>
      <c r="T3034" s="682"/>
      <c r="U3034" s="682"/>
      <c r="V3034" s="682"/>
      <c r="W3034" s="682"/>
    </row>
    <row r="3035" spans="1:23">
      <c r="A3035" s="1045">
        <f t="shared" si="48"/>
        <v>9</v>
      </c>
      <c r="B3035" s="134">
        <v>45546</v>
      </c>
      <c r="C3035" s="70">
        <v>1025</v>
      </c>
      <c r="D3035" s="70" t="s">
        <v>5120</v>
      </c>
      <c r="E3035" s="280" t="s">
        <v>4843</v>
      </c>
      <c r="F3035" s="1049"/>
      <c r="G3035" s="1049">
        <v>76.14</v>
      </c>
      <c r="H3035" s="564"/>
      <c r="I3035" s="609"/>
      <c r="J3035" s="1155"/>
      <c r="K3035" s="609"/>
      <c r="L3035" s="609"/>
      <c r="M3035" s="609"/>
      <c r="N3035" s="599"/>
      <c r="O3035" s="552" t="s">
        <v>1584</v>
      </c>
      <c r="P3035" s="603"/>
      <c r="Q3035" s="682"/>
      <c r="R3035" s="682"/>
      <c r="S3035" s="682"/>
      <c r="T3035" s="682"/>
      <c r="U3035" s="682"/>
      <c r="V3035" s="682"/>
      <c r="W3035" s="682"/>
    </row>
    <row r="3036" spans="1:23">
      <c r="A3036" s="1045">
        <f t="shared" si="48"/>
        <v>10</v>
      </c>
      <c r="B3036" s="134">
        <v>45570</v>
      </c>
      <c r="C3036" s="70">
        <v>6013</v>
      </c>
      <c r="D3036" s="70" t="s">
        <v>104</v>
      </c>
      <c r="E3036" s="280" t="s">
        <v>4844</v>
      </c>
      <c r="F3036" s="1049">
        <v>180</v>
      </c>
      <c r="G3036" s="1049"/>
      <c r="H3036" s="564"/>
      <c r="I3036" s="609"/>
      <c r="J3036" s="1155"/>
      <c r="K3036" s="609"/>
      <c r="L3036" s="609"/>
      <c r="M3036" s="609"/>
      <c r="N3036" s="599"/>
      <c r="O3036" s="552" t="s">
        <v>1584</v>
      </c>
      <c r="P3036" s="603"/>
      <c r="Q3036" s="682"/>
      <c r="R3036" s="682"/>
      <c r="S3036" s="682"/>
      <c r="T3036" s="682"/>
      <c r="U3036" s="682"/>
      <c r="V3036" s="682"/>
      <c r="W3036" s="682"/>
    </row>
    <row r="3037" spans="1:23">
      <c r="A3037" s="1045">
        <f t="shared" si="48"/>
        <v>10</v>
      </c>
      <c r="B3037" s="134">
        <v>45570</v>
      </c>
      <c r="C3037" s="70">
        <v>2018</v>
      </c>
      <c r="D3037" s="70" t="s">
        <v>58</v>
      </c>
      <c r="E3037" s="280" t="s">
        <v>4844</v>
      </c>
      <c r="F3037" s="1049">
        <v>9</v>
      </c>
      <c r="G3037" s="1049"/>
      <c r="H3037" s="564"/>
      <c r="I3037" s="609"/>
      <c r="J3037" s="1155"/>
      <c r="K3037" s="609"/>
      <c r="L3037" s="609"/>
      <c r="M3037" s="609"/>
      <c r="N3037" s="599"/>
      <c r="O3037" s="552" t="s">
        <v>1584</v>
      </c>
      <c r="P3037" s="603"/>
      <c r="Q3037" s="682"/>
      <c r="R3037" s="682"/>
      <c r="S3037" s="682"/>
      <c r="T3037" s="682"/>
      <c r="U3037" s="682"/>
      <c r="V3037" s="682"/>
      <c r="W3037" s="682"/>
    </row>
    <row r="3038" spans="1:23">
      <c r="A3038" s="1045">
        <f t="shared" si="48"/>
        <v>10</v>
      </c>
      <c r="B3038" s="134">
        <v>45570</v>
      </c>
      <c r="C3038" s="70">
        <v>1025</v>
      </c>
      <c r="D3038" s="70" t="s">
        <v>5120</v>
      </c>
      <c r="E3038" s="280" t="s">
        <v>4844</v>
      </c>
      <c r="F3038" s="1049"/>
      <c r="G3038" s="1049">
        <v>189</v>
      </c>
      <c r="H3038" s="564"/>
      <c r="I3038" s="609"/>
      <c r="J3038" s="1155"/>
      <c r="K3038" s="609"/>
      <c r="L3038" s="609"/>
      <c r="M3038" s="609"/>
      <c r="N3038" s="599"/>
      <c r="O3038" s="552" t="s">
        <v>1584</v>
      </c>
      <c r="P3038" s="603"/>
      <c r="Q3038" s="682"/>
      <c r="R3038" s="682"/>
      <c r="S3038" s="682"/>
      <c r="T3038" s="682"/>
      <c r="U3038" s="682"/>
      <c r="V3038" s="682"/>
      <c r="W3038" s="682"/>
    </row>
    <row r="3039" spans="1:23">
      <c r="A3039" s="1045">
        <f t="shared" si="48"/>
        <v>10</v>
      </c>
      <c r="B3039" s="134">
        <v>45570</v>
      </c>
      <c r="C3039" s="70">
        <v>6013</v>
      </c>
      <c r="D3039" s="70" t="s">
        <v>104</v>
      </c>
      <c r="E3039" s="280" t="s">
        <v>4845</v>
      </c>
      <c r="F3039" s="1049">
        <v>3550.77</v>
      </c>
      <c r="G3039" s="1049"/>
      <c r="H3039" s="564"/>
      <c r="I3039" s="609"/>
      <c r="J3039" s="1155"/>
      <c r="K3039" s="609"/>
      <c r="L3039" s="609"/>
      <c r="M3039" s="609"/>
      <c r="N3039" s="599"/>
      <c r="O3039" s="552" t="s">
        <v>1584</v>
      </c>
      <c r="P3039" s="603"/>
      <c r="Q3039" s="682"/>
      <c r="R3039" s="682"/>
      <c r="S3039" s="682"/>
      <c r="T3039" s="682"/>
      <c r="U3039" s="682"/>
      <c r="V3039" s="682"/>
      <c r="W3039" s="682"/>
    </row>
    <row r="3040" spans="1:23">
      <c r="A3040" s="1045">
        <f t="shared" si="48"/>
        <v>10</v>
      </c>
      <c r="B3040" s="134">
        <v>45570</v>
      </c>
      <c r="C3040" s="70">
        <v>1025</v>
      </c>
      <c r="D3040" s="70" t="s">
        <v>5120</v>
      </c>
      <c r="E3040" s="280" t="s">
        <v>4845</v>
      </c>
      <c r="F3040" s="1049"/>
      <c r="G3040" s="1049">
        <v>3550.77</v>
      </c>
      <c r="H3040" s="564"/>
      <c r="I3040" s="609"/>
      <c r="J3040" s="1155"/>
      <c r="K3040" s="609"/>
      <c r="L3040" s="609"/>
      <c r="M3040" s="609"/>
      <c r="N3040" s="599"/>
      <c r="O3040" s="552" t="s">
        <v>1584</v>
      </c>
      <c r="P3040" s="603"/>
      <c r="Q3040" s="682"/>
      <c r="R3040" s="682"/>
      <c r="S3040" s="682"/>
      <c r="T3040" s="682"/>
      <c r="U3040" s="682"/>
      <c r="V3040" s="682"/>
      <c r="W3040" s="682"/>
    </row>
    <row r="3041" spans="1:23">
      <c r="A3041" s="1045">
        <f t="shared" si="48"/>
        <v>10</v>
      </c>
      <c r="B3041" s="134">
        <v>45579</v>
      </c>
      <c r="C3041" s="70">
        <v>6024</v>
      </c>
      <c r="D3041" s="70" t="s">
        <v>115</v>
      </c>
      <c r="E3041" s="280" t="s">
        <v>4846</v>
      </c>
      <c r="F3041" s="1049">
        <v>170</v>
      </c>
      <c r="G3041" s="1049"/>
      <c r="H3041" s="564"/>
      <c r="I3041" s="609"/>
      <c r="J3041" s="1155"/>
      <c r="K3041" s="609"/>
      <c r="L3041" s="609"/>
      <c r="M3041" s="609"/>
      <c r="N3041" s="599"/>
      <c r="O3041" s="552" t="s">
        <v>1584</v>
      </c>
      <c r="P3041" s="603"/>
      <c r="Q3041" s="682"/>
      <c r="R3041" s="682"/>
      <c r="S3041" s="682"/>
      <c r="T3041" s="682"/>
      <c r="U3041" s="682"/>
      <c r="V3041" s="682"/>
      <c r="W3041" s="682"/>
    </row>
    <row r="3042" spans="1:23">
      <c r="A3042" s="1045">
        <f t="shared" si="48"/>
        <v>10</v>
      </c>
      <c r="B3042" s="134">
        <v>45579</v>
      </c>
      <c r="C3042" s="70">
        <v>1025</v>
      </c>
      <c r="D3042" s="70" t="s">
        <v>5120</v>
      </c>
      <c r="E3042" s="280" t="s">
        <v>4846</v>
      </c>
      <c r="F3042" s="1049"/>
      <c r="G3042" s="1049">
        <v>170</v>
      </c>
      <c r="H3042" s="564"/>
      <c r="I3042" s="609"/>
      <c r="J3042" s="1155"/>
      <c r="K3042" s="609"/>
      <c r="L3042" s="609"/>
      <c r="M3042" s="609"/>
      <c r="N3042" s="599"/>
      <c r="O3042" s="552" t="s">
        <v>1584</v>
      </c>
      <c r="P3042" s="603"/>
      <c r="Q3042" s="682"/>
      <c r="R3042" s="682"/>
      <c r="S3042" s="682"/>
      <c r="T3042" s="682"/>
      <c r="U3042" s="682"/>
      <c r="V3042" s="682"/>
      <c r="W3042" s="682"/>
    </row>
    <row r="3043" spans="1:23">
      <c r="A3043" s="1045">
        <f t="shared" si="48"/>
        <v>10</v>
      </c>
      <c r="B3043" s="134">
        <v>45579</v>
      </c>
      <c r="C3043" s="70">
        <v>6024</v>
      </c>
      <c r="D3043" s="70" t="s">
        <v>115</v>
      </c>
      <c r="E3043" s="280" t="s">
        <v>4847</v>
      </c>
      <c r="F3043" s="1049">
        <v>375</v>
      </c>
      <c r="G3043" s="1049"/>
      <c r="H3043" s="564"/>
      <c r="I3043" s="609"/>
      <c r="J3043" s="1155"/>
      <c r="K3043" s="609"/>
      <c r="L3043" s="609"/>
      <c r="M3043" s="609"/>
      <c r="N3043" s="599"/>
      <c r="O3043" s="552" t="s">
        <v>1584</v>
      </c>
      <c r="P3043" s="603"/>
      <c r="Q3043" s="682"/>
      <c r="R3043" s="682"/>
      <c r="S3043" s="682"/>
      <c r="T3043" s="682"/>
      <c r="U3043" s="682"/>
      <c r="V3043" s="682"/>
      <c r="W3043" s="682"/>
    </row>
    <row r="3044" spans="1:23">
      <c r="A3044" s="1045">
        <f t="shared" si="48"/>
        <v>10</v>
      </c>
      <c r="B3044" s="134">
        <v>45579</v>
      </c>
      <c r="C3044" s="70">
        <v>1025</v>
      </c>
      <c r="D3044" s="70" t="s">
        <v>5120</v>
      </c>
      <c r="E3044" s="280" t="s">
        <v>4847</v>
      </c>
      <c r="F3044" s="1049"/>
      <c r="G3044" s="1049">
        <v>375</v>
      </c>
      <c r="H3044" s="564"/>
      <c r="I3044" s="609"/>
      <c r="J3044" s="1155"/>
      <c r="K3044" s="609"/>
      <c r="L3044" s="609"/>
      <c r="M3044" s="609"/>
      <c r="N3044" s="599"/>
      <c r="O3044" s="552" t="s">
        <v>1584</v>
      </c>
      <c r="P3044" s="603"/>
      <c r="Q3044" s="682"/>
      <c r="R3044" s="682"/>
      <c r="S3044" s="682"/>
      <c r="T3044" s="682"/>
      <c r="U3044" s="682"/>
      <c r="V3044" s="682"/>
      <c r="W3044" s="682"/>
    </row>
    <row r="3045" spans="1:23">
      <c r="A3045" s="1045">
        <f t="shared" si="48"/>
        <v>10</v>
      </c>
      <c r="B3045" s="134">
        <v>45579</v>
      </c>
      <c r="C3045" s="70">
        <v>6024</v>
      </c>
      <c r="D3045" s="70" t="s">
        <v>115</v>
      </c>
      <c r="E3045" s="280" t="s">
        <v>4848</v>
      </c>
      <c r="F3045" s="1049">
        <v>410</v>
      </c>
      <c r="G3045" s="1049"/>
      <c r="H3045" s="564"/>
      <c r="I3045" s="609"/>
      <c r="J3045" s="1155"/>
      <c r="K3045" s="609"/>
      <c r="L3045" s="609"/>
      <c r="M3045" s="609"/>
      <c r="N3045" s="599"/>
      <c r="O3045" s="552" t="s">
        <v>1584</v>
      </c>
      <c r="P3045" s="603"/>
      <c r="Q3045" s="682"/>
      <c r="R3045" s="682"/>
      <c r="S3045" s="682"/>
      <c r="T3045" s="682"/>
      <c r="U3045" s="682"/>
      <c r="V3045" s="682"/>
      <c r="W3045" s="682"/>
    </row>
    <row r="3046" spans="1:23">
      <c r="A3046" s="1045">
        <f t="shared" si="48"/>
        <v>10</v>
      </c>
      <c r="B3046" s="134">
        <v>45579</v>
      </c>
      <c r="C3046" s="70">
        <v>1025</v>
      </c>
      <c r="D3046" s="70" t="s">
        <v>5120</v>
      </c>
      <c r="E3046" s="280" t="s">
        <v>4848</v>
      </c>
      <c r="F3046" s="1049"/>
      <c r="G3046" s="1049">
        <v>410</v>
      </c>
      <c r="H3046" s="564"/>
      <c r="I3046" s="609"/>
      <c r="J3046" s="1155"/>
      <c r="K3046" s="609"/>
      <c r="L3046" s="609"/>
      <c r="M3046" s="609"/>
      <c r="N3046" s="599"/>
      <c r="O3046" s="552" t="s">
        <v>1584</v>
      </c>
      <c r="P3046" s="603"/>
      <c r="Q3046" s="682"/>
      <c r="R3046" s="682"/>
      <c r="S3046" s="682"/>
      <c r="T3046" s="682"/>
      <c r="U3046" s="682"/>
      <c r="V3046" s="682"/>
      <c r="W3046" s="682"/>
    </row>
    <row r="3047" spans="1:23">
      <c r="A3047" s="1045">
        <f t="shared" si="48"/>
        <v>10</v>
      </c>
      <c r="B3047" s="134">
        <v>45579</v>
      </c>
      <c r="C3047" s="70">
        <v>1011</v>
      </c>
      <c r="D3047" s="70" t="s">
        <v>34</v>
      </c>
      <c r="E3047" s="280" t="s">
        <v>4849</v>
      </c>
      <c r="F3047" s="1049">
        <v>5000</v>
      </c>
      <c r="G3047" s="1049"/>
      <c r="H3047" s="564"/>
      <c r="I3047" s="609"/>
      <c r="J3047" s="1155"/>
      <c r="K3047" s="609"/>
      <c r="L3047" s="609"/>
      <c r="M3047" s="609"/>
      <c r="N3047" s="599"/>
      <c r="O3047" s="552" t="s">
        <v>1584</v>
      </c>
      <c r="P3047" s="603"/>
      <c r="Q3047" s="682"/>
      <c r="R3047" s="682"/>
      <c r="S3047" s="682"/>
      <c r="T3047" s="682"/>
      <c r="U3047" s="682"/>
      <c r="V3047" s="682"/>
      <c r="W3047" s="682"/>
    </row>
    <row r="3048" spans="1:23">
      <c r="A3048" s="1045">
        <f t="shared" si="48"/>
        <v>10</v>
      </c>
      <c r="B3048" s="134">
        <v>45579</v>
      </c>
      <c r="C3048" s="70">
        <v>1025</v>
      </c>
      <c r="D3048" s="70" t="s">
        <v>5120</v>
      </c>
      <c r="E3048" s="280" t="s">
        <v>4849</v>
      </c>
      <c r="F3048" s="1049"/>
      <c r="G3048" s="1049">
        <v>5000</v>
      </c>
      <c r="H3048" s="564"/>
      <c r="I3048" s="609"/>
      <c r="J3048" s="1155"/>
      <c r="K3048" s="609"/>
      <c r="L3048" s="609"/>
      <c r="M3048" s="609"/>
      <c r="N3048" s="599"/>
      <c r="O3048" s="552" t="s">
        <v>1584</v>
      </c>
      <c r="P3048" s="603"/>
      <c r="Q3048" s="682"/>
      <c r="R3048" s="682"/>
      <c r="S3048" s="682"/>
      <c r="T3048" s="682"/>
      <c r="U3048" s="682"/>
      <c r="V3048" s="682"/>
      <c r="W3048" s="682"/>
    </row>
    <row r="3049" spans="1:23">
      <c r="A3049" s="1045">
        <f t="shared" si="48"/>
        <v>10</v>
      </c>
      <c r="B3049" s="134">
        <v>45579</v>
      </c>
      <c r="C3049" s="70">
        <v>2000</v>
      </c>
      <c r="D3049" s="70" t="s">
        <v>57</v>
      </c>
      <c r="E3049" s="280" t="s">
        <v>4850</v>
      </c>
      <c r="F3049" s="1049">
        <v>18609.52</v>
      </c>
      <c r="G3049" s="1049"/>
      <c r="H3049" s="564" t="s">
        <v>4851</v>
      </c>
      <c r="I3049" s="609" t="s">
        <v>4852</v>
      </c>
      <c r="J3049" s="1155"/>
      <c r="K3049" s="609"/>
      <c r="L3049" s="609"/>
      <c r="M3049" s="609" t="s">
        <v>1570</v>
      </c>
      <c r="N3049" s="599"/>
      <c r="O3049" s="552" t="s">
        <v>1584</v>
      </c>
      <c r="P3049" s="603"/>
      <c r="Q3049" s="682"/>
      <c r="R3049" s="682"/>
      <c r="S3049" s="682"/>
      <c r="T3049" s="682"/>
      <c r="U3049" s="682"/>
      <c r="V3049" s="682"/>
      <c r="W3049" s="682"/>
    </row>
    <row r="3050" spans="1:23">
      <c r="A3050" s="1045">
        <f t="shared" si="48"/>
        <v>10</v>
      </c>
      <c r="B3050" s="134">
        <v>45579</v>
      </c>
      <c r="C3050" s="70">
        <v>1025</v>
      </c>
      <c r="D3050" s="70" t="s">
        <v>5120</v>
      </c>
      <c r="E3050" s="280" t="s">
        <v>4850</v>
      </c>
      <c r="F3050" s="1049"/>
      <c r="G3050" s="1049">
        <v>18609.52</v>
      </c>
      <c r="H3050" s="564"/>
      <c r="I3050" s="609"/>
      <c r="J3050" s="1155"/>
      <c r="K3050" s="609"/>
      <c r="L3050" s="609"/>
      <c r="M3050" s="609"/>
      <c r="N3050" s="599"/>
      <c r="O3050" s="552" t="s">
        <v>1584</v>
      </c>
      <c r="P3050" s="603"/>
      <c r="Q3050" s="682"/>
      <c r="R3050" s="682"/>
      <c r="S3050" s="682"/>
      <c r="T3050" s="682"/>
      <c r="U3050" s="682"/>
      <c r="V3050" s="682"/>
      <c r="W3050" s="682"/>
    </row>
    <row r="3051" spans="1:23">
      <c r="A3051" s="1045">
        <f t="shared" si="48"/>
        <v>10</v>
      </c>
      <c r="B3051" s="134">
        <v>45579</v>
      </c>
      <c r="C3051" s="70">
        <v>1018</v>
      </c>
      <c r="D3051" s="70" t="s">
        <v>5113</v>
      </c>
      <c r="E3051" s="280" t="s">
        <v>4853</v>
      </c>
      <c r="F3051" s="1049">
        <v>500</v>
      </c>
      <c r="G3051" s="1049"/>
      <c r="H3051" s="564"/>
      <c r="I3051" s="609"/>
      <c r="J3051" s="1155"/>
      <c r="K3051" s="609"/>
      <c r="L3051" s="609"/>
      <c r="M3051" s="609"/>
      <c r="N3051" s="599"/>
      <c r="O3051" s="552" t="s">
        <v>1584</v>
      </c>
      <c r="P3051" s="603"/>
      <c r="Q3051" s="682"/>
      <c r="R3051" s="682"/>
      <c r="S3051" s="682"/>
      <c r="T3051" s="682"/>
      <c r="U3051" s="682"/>
      <c r="V3051" s="682"/>
      <c r="W3051" s="682"/>
    </row>
    <row r="3052" spans="1:23">
      <c r="A3052" s="1045">
        <f t="shared" si="48"/>
        <v>10</v>
      </c>
      <c r="B3052" s="134">
        <v>45579</v>
      </c>
      <c r="C3052" s="70">
        <v>7200</v>
      </c>
      <c r="D3052" s="70" t="s">
        <v>140</v>
      </c>
      <c r="E3052" s="280" t="s">
        <v>4853</v>
      </c>
      <c r="F3052" s="1049">
        <v>5.25</v>
      </c>
      <c r="G3052" s="1049"/>
      <c r="H3052" s="564"/>
      <c r="I3052" s="609"/>
      <c r="J3052" s="1155"/>
      <c r="K3052" s="609"/>
      <c r="L3052" s="609"/>
      <c r="M3052" s="609"/>
      <c r="N3052" s="599"/>
      <c r="O3052" s="552" t="s">
        <v>1584</v>
      </c>
      <c r="P3052" s="603"/>
      <c r="Q3052" s="682"/>
      <c r="R3052" s="682"/>
      <c r="S3052" s="682"/>
      <c r="T3052" s="682"/>
      <c r="U3052" s="682"/>
      <c r="V3052" s="682"/>
      <c r="W3052" s="682"/>
    </row>
    <row r="3053" spans="1:23">
      <c r="A3053" s="1045">
        <f t="shared" si="48"/>
        <v>10</v>
      </c>
      <c r="B3053" s="134">
        <v>45579</v>
      </c>
      <c r="C3053" s="70">
        <v>1025</v>
      </c>
      <c r="D3053" s="70" t="s">
        <v>5120</v>
      </c>
      <c r="E3053" s="280" t="s">
        <v>4853</v>
      </c>
      <c r="F3053" s="1049"/>
      <c r="G3053" s="1049">
        <v>505.25</v>
      </c>
      <c r="H3053" s="564"/>
      <c r="I3053" s="609"/>
      <c r="J3053" s="1155"/>
      <c r="K3053" s="609"/>
      <c r="L3053" s="609"/>
      <c r="M3053" s="609"/>
      <c r="N3053" s="599"/>
      <c r="O3053" s="552" t="s">
        <v>1584</v>
      </c>
      <c r="P3053" s="603"/>
      <c r="Q3053" s="682"/>
      <c r="R3053" s="682"/>
      <c r="S3053" s="682"/>
      <c r="T3053" s="682"/>
      <c r="U3053" s="682"/>
      <c r="V3053" s="682"/>
      <c r="W3053" s="682"/>
    </row>
    <row r="3054" spans="1:23">
      <c r="A3054" s="1045">
        <f t="shared" si="48"/>
        <v>10</v>
      </c>
      <c r="B3054" s="134">
        <v>45577</v>
      </c>
      <c r="C3054" s="70">
        <v>6013</v>
      </c>
      <c r="D3054" s="70" t="s">
        <v>104</v>
      </c>
      <c r="E3054" s="280" t="s">
        <v>4854</v>
      </c>
      <c r="F3054" s="1049">
        <v>570</v>
      </c>
      <c r="G3054" s="1049"/>
      <c r="H3054" s="564"/>
      <c r="I3054" s="609"/>
      <c r="J3054" s="1155"/>
      <c r="K3054" s="609"/>
      <c r="L3054" s="609"/>
      <c r="M3054" s="609"/>
      <c r="N3054" s="599"/>
      <c r="O3054" s="552" t="s">
        <v>1584</v>
      </c>
      <c r="P3054" s="603"/>
      <c r="Q3054" s="682"/>
      <c r="R3054" s="682"/>
      <c r="S3054" s="682"/>
      <c r="T3054" s="682"/>
      <c r="U3054" s="682"/>
      <c r="V3054" s="682"/>
      <c r="W3054" s="682"/>
    </row>
    <row r="3055" spans="1:23">
      <c r="A3055" s="1045">
        <f t="shared" si="48"/>
        <v>10</v>
      </c>
      <c r="B3055" s="134">
        <v>45577</v>
      </c>
      <c r="C3055" s="70">
        <v>6013</v>
      </c>
      <c r="D3055" s="70" t="s">
        <v>104</v>
      </c>
      <c r="E3055" s="280" t="s">
        <v>4855</v>
      </c>
      <c r="F3055" s="1049">
        <v>570</v>
      </c>
      <c r="G3055" s="1049"/>
      <c r="H3055" s="564"/>
      <c r="I3055" s="609"/>
      <c r="J3055" s="1155"/>
      <c r="K3055" s="609"/>
      <c r="L3055" s="609"/>
      <c r="M3055" s="609"/>
      <c r="N3055" s="599"/>
      <c r="O3055" s="552" t="s">
        <v>1584</v>
      </c>
      <c r="P3055" s="603"/>
      <c r="Q3055" s="682"/>
      <c r="R3055" s="682"/>
      <c r="S3055" s="682"/>
      <c r="T3055" s="682"/>
      <c r="U3055" s="682"/>
      <c r="V3055" s="682"/>
      <c r="W3055" s="682"/>
    </row>
    <row r="3056" spans="1:23">
      <c r="A3056" s="1045">
        <f t="shared" si="48"/>
        <v>10</v>
      </c>
      <c r="B3056" s="134">
        <v>45577</v>
      </c>
      <c r="C3056" s="70">
        <v>2018</v>
      </c>
      <c r="D3056" s="70" t="s">
        <v>58</v>
      </c>
      <c r="E3056" s="280" t="s">
        <v>4854</v>
      </c>
      <c r="F3056" s="1049">
        <v>2.5</v>
      </c>
      <c r="G3056" s="1049"/>
      <c r="H3056" s="564"/>
      <c r="I3056" s="609"/>
      <c r="J3056" s="1155"/>
      <c r="K3056" s="609"/>
      <c r="L3056" s="609"/>
      <c r="M3056" s="609"/>
      <c r="N3056" s="599"/>
      <c r="O3056" s="552" t="s">
        <v>1584</v>
      </c>
      <c r="P3056" s="603"/>
      <c r="Q3056" s="682"/>
      <c r="R3056" s="682"/>
      <c r="S3056" s="682"/>
      <c r="T3056" s="682"/>
      <c r="U3056" s="682"/>
      <c r="V3056" s="682"/>
      <c r="W3056" s="682"/>
    </row>
    <row r="3057" spans="1:31">
      <c r="A3057" s="1045">
        <f t="shared" si="48"/>
        <v>10</v>
      </c>
      <c r="B3057" s="134">
        <v>45577</v>
      </c>
      <c r="C3057" s="70">
        <v>2018</v>
      </c>
      <c r="D3057" s="70" t="s">
        <v>58</v>
      </c>
      <c r="E3057" s="280" t="s">
        <v>4855</v>
      </c>
      <c r="F3057" s="1049">
        <v>2.5</v>
      </c>
      <c r="G3057" s="1049"/>
      <c r="H3057" s="564"/>
      <c r="I3057" s="609"/>
      <c r="J3057" s="1155"/>
      <c r="K3057" s="609"/>
      <c r="L3057" s="609"/>
      <c r="M3057" s="609"/>
      <c r="N3057" s="599"/>
      <c r="O3057" s="552" t="s">
        <v>1584</v>
      </c>
      <c r="P3057" s="603"/>
      <c r="Q3057" s="682"/>
      <c r="R3057" s="682"/>
      <c r="S3057" s="682"/>
      <c r="T3057" s="682"/>
      <c r="U3057" s="682"/>
      <c r="V3057" s="682"/>
      <c r="W3057" s="682"/>
    </row>
    <row r="3058" spans="1:31">
      <c r="A3058" s="1045">
        <f t="shared" si="48"/>
        <v>10</v>
      </c>
      <c r="B3058" s="134">
        <v>45577</v>
      </c>
      <c r="C3058" s="70">
        <v>1018</v>
      </c>
      <c r="D3058" s="70" t="s">
        <v>5113</v>
      </c>
      <c r="E3058" s="280" t="s">
        <v>4854</v>
      </c>
      <c r="F3058" s="1049"/>
      <c r="G3058" s="1049">
        <v>572.5</v>
      </c>
      <c r="H3058" s="564"/>
      <c r="I3058" s="609"/>
      <c r="J3058" s="1155"/>
      <c r="K3058" s="609"/>
      <c r="L3058" s="609"/>
      <c r="M3058" s="609"/>
      <c r="N3058" s="599"/>
      <c r="O3058" s="552" t="s">
        <v>1584</v>
      </c>
      <c r="P3058" s="603"/>
      <c r="Q3058" s="682"/>
      <c r="R3058" s="682"/>
      <c r="S3058" s="682"/>
      <c r="T3058" s="682"/>
      <c r="U3058" s="682"/>
      <c r="V3058" s="682"/>
      <c r="W3058" s="682"/>
    </row>
    <row r="3059" spans="1:31">
      <c r="A3059" s="1045">
        <f t="shared" si="48"/>
        <v>10</v>
      </c>
      <c r="B3059" s="134">
        <v>45577</v>
      </c>
      <c r="C3059" s="70">
        <v>1018</v>
      </c>
      <c r="D3059" s="70" t="s">
        <v>5113</v>
      </c>
      <c r="E3059" s="280" t="s">
        <v>4855</v>
      </c>
      <c r="F3059" s="1049"/>
      <c r="G3059" s="1049">
        <v>572.5</v>
      </c>
      <c r="H3059" s="564"/>
      <c r="I3059" s="609"/>
      <c r="J3059" s="1155"/>
      <c r="K3059" s="609"/>
      <c r="L3059" s="609"/>
      <c r="M3059" s="609"/>
      <c r="N3059" s="599"/>
      <c r="O3059" s="552" t="s">
        <v>1584</v>
      </c>
      <c r="P3059" s="603"/>
      <c r="Q3059" s="682"/>
      <c r="R3059" s="682"/>
      <c r="S3059" s="682"/>
      <c r="T3059" s="682"/>
      <c r="U3059" s="682"/>
      <c r="V3059" s="682"/>
      <c r="W3059" s="682"/>
    </row>
    <row r="3060" spans="1:31">
      <c r="A3060" s="1045">
        <f t="shared" si="48"/>
        <v>10</v>
      </c>
      <c r="B3060" s="134">
        <v>45579</v>
      </c>
      <c r="C3060" s="70">
        <v>6013</v>
      </c>
      <c r="D3060" s="70" t="s">
        <v>104</v>
      </c>
      <c r="E3060" s="280" t="s">
        <v>4856</v>
      </c>
      <c r="F3060" s="1049">
        <v>440</v>
      </c>
      <c r="G3060" s="1049"/>
      <c r="H3060" s="564"/>
      <c r="I3060" s="609"/>
      <c r="J3060" s="1155"/>
      <c r="K3060" s="609"/>
      <c r="L3060" s="609"/>
      <c r="M3060" s="609"/>
      <c r="N3060" s="599"/>
      <c r="O3060" s="552" t="s">
        <v>1584</v>
      </c>
      <c r="P3060" s="603"/>
      <c r="Q3060" s="682"/>
      <c r="R3060" s="682"/>
      <c r="S3060" s="682"/>
      <c r="T3060" s="682"/>
      <c r="U3060" s="682"/>
      <c r="V3060" s="682"/>
      <c r="W3060" s="682"/>
    </row>
    <row r="3061" spans="1:31">
      <c r="A3061" s="1045">
        <f t="shared" si="48"/>
        <v>10</v>
      </c>
      <c r="B3061" s="134">
        <v>45579</v>
      </c>
      <c r="C3061" s="70">
        <v>2018</v>
      </c>
      <c r="D3061" s="70" t="s">
        <v>58</v>
      </c>
      <c r="E3061" s="280" t="s">
        <v>4856</v>
      </c>
      <c r="F3061" s="1049">
        <v>3.5</v>
      </c>
      <c r="G3061" s="1049"/>
      <c r="H3061" s="564"/>
      <c r="I3061" s="609"/>
      <c r="J3061" s="1155"/>
      <c r="K3061" s="609"/>
      <c r="L3061" s="609"/>
      <c r="M3061" s="609"/>
      <c r="N3061" s="599"/>
      <c r="O3061" s="552" t="s">
        <v>1584</v>
      </c>
      <c r="P3061" s="603"/>
      <c r="Q3061" s="682"/>
      <c r="R3061" s="682"/>
      <c r="S3061" s="682"/>
      <c r="T3061" s="682"/>
      <c r="U3061" s="682"/>
      <c r="V3061" s="682"/>
      <c r="W3061" s="682"/>
    </row>
    <row r="3062" spans="1:31">
      <c r="A3062" s="1045">
        <f t="shared" si="48"/>
        <v>10</v>
      </c>
      <c r="B3062" s="134">
        <v>45579</v>
      </c>
      <c r="C3062" s="70">
        <v>1018</v>
      </c>
      <c r="D3062" s="70" t="s">
        <v>5113</v>
      </c>
      <c r="E3062" s="280" t="s">
        <v>4856</v>
      </c>
      <c r="F3062" s="1049"/>
      <c r="G3062" s="1049">
        <v>443.5</v>
      </c>
      <c r="H3062" s="564"/>
      <c r="I3062" s="609"/>
      <c r="J3062" s="1155"/>
      <c r="K3062" s="609"/>
      <c r="L3062" s="609"/>
      <c r="M3062" s="609"/>
      <c r="N3062" s="599"/>
      <c r="O3062" s="552" t="s">
        <v>1584</v>
      </c>
      <c r="P3062" s="603"/>
      <c r="Q3062" s="682"/>
      <c r="R3062" s="682"/>
      <c r="S3062" s="682"/>
      <c r="T3062" s="682"/>
      <c r="U3062" s="682"/>
      <c r="V3062" s="682"/>
      <c r="W3062" s="682"/>
    </row>
    <row r="3063" spans="1:31">
      <c r="A3063" s="1045">
        <f t="shared" si="48"/>
        <v>10</v>
      </c>
      <c r="B3063" s="134">
        <v>45579</v>
      </c>
      <c r="C3063" s="70">
        <v>6013</v>
      </c>
      <c r="D3063" s="70" t="s">
        <v>104</v>
      </c>
      <c r="E3063" s="280" t="s">
        <v>4857</v>
      </c>
      <c r="F3063" s="1049">
        <v>54.29</v>
      </c>
      <c r="G3063" s="1049"/>
      <c r="H3063" s="564"/>
      <c r="I3063" s="609"/>
      <c r="J3063" s="1155"/>
      <c r="K3063" s="609"/>
      <c r="L3063" s="609"/>
      <c r="M3063" s="609"/>
      <c r="N3063" s="599"/>
      <c r="O3063" s="552" t="s">
        <v>1584</v>
      </c>
      <c r="P3063" s="603"/>
      <c r="Q3063" s="682"/>
      <c r="R3063" s="682"/>
      <c r="S3063" s="682"/>
      <c r="T3063" s="682"/>
      <c r="U3063" s="682"/>
      <c r="V3063" s="682"/>
      <c r="W3063" s="682"/>
    </row>
    <row r="3064" spans="1:31">
      <c r="A3064" s="1045">
        <f t="shared" si="48"/>
        <v>10</v>
      </c>
      <c r="B3064" s="134">
        <v>45579</v>
      </c>
      <c r="C3064" s="70">
        <v>2018</v>
      </c>
      <c r="D3064" s="70" t="s">
        <v>58</v>
      </c>
      <c r="E3064" s="280" t="s">
        <v>4857</v>
      </c>
      <c r="F3064" s="1049">
        <v>2.71</v>
      </c>
      <c r="G3064" s="1049"/>
      <c r="H3064" s="564"/>
      <c r="I3064" s="609"/>
      <c r="J3064" s="1155"/>
      <c r="K3064" s="609"/>
      <c r="L3064" s="609"/>
      <c r="M3064" s="609"/>
      <c r="N3064" s="599"/>
      <c r="O3064" s="552" t="s">
        <v>1584</v>
      </c>
      <c r="P3064" s="603"/>
      <c r="Q3064" s="682"/>
      <c r="R3064" s="682"/>
      <c r="S3064" s="682"/>
      <c r="T3064" s="682"/>
      <c r="U3064" s="682"/>
      <c r="V3064" s="682"/>
      <c r="W3064" s="682"/>
    </row>
    <row r="3065" spans="1:31">
      <c r="A3065" s="1045">
        <f t="shared" si="48"/>
        <v>10</v>
      </c>
      <c r="B3065" s="134">
        <v>45579</v>
      </c>
      <c r="C3065" s="70">
        <v>1025</v>
      </c>
      <c r="D3065" s="70" t="s">
        <v>5120</v>
      </c>
      <c r="E3065" s="280" t="s">
        <v>4857</v>
      </c>
      <c r="F3065" s="1049"/>
      <c r="G3065" s="1049">
        <v>57</v>
      </c>
      <c r="H3065" s="564"/>
      <c r="I3065" s="609"/>
      <c r="J3065" s="1155"/>
      <c r="K3065" s="609"/>
      <c r="L3065" s="609"/>
      <c r="M3065" s="609"/>
      <c r="N3065" s="599"/>
      <c r="O3065" s="552" t="s">
        <v>1584</v>
      </c>
      <c r="P3065" s="603"/>
      <c r="Q3065" s="682"/>
      <c r="R3065" s="682"/>
      <c r="S3065" s="682"/>
      <c r="T3065" s="682"/>
      <c r="U3065" s="682"/>
      <c r="V3065" s="682"/>
      <c r="W3065" s="682"/>
    </row>
    <row r="3066" spans="1:31">
      <c r="A3066" s="1045">
        <f t="shared" si="48"/>
        <v>10</v>
      </c>
      <c r="B3066" s="134">
        <v>45579</v>
      </c>
      <c r="C3066" s="70">
        <v>1018</v>
      </c>
      <c r="D3066" s="70" t="s">
        <v>5113</v>
      </c>
      <c r="E3066" s="280" t="s">
        <v>4858</v>
      </c>
      <c r="F3066" s="1049">
        <v>1968.5</v>
      </c>
      <c r="G3066" s="1049"/>
      <c r="H3066" s="564"/>
      <c r="I3066" s="609"/>
      <c r="J3066" s="1155"/>
      <c r="K3066" s="609"/>
      <c r="L3066" s="609"/>
      <c r="M3066" s="609"/>
      <c r="N3066" s="599"/>
      <c r="O3066" s="552" t="s">
        <v>1584</v>
      </c>
      <c r="P3066" s="603"/>
      <c r="Q3066" s="682"/>
      <c r="R3066" s="682"/>
      <c r="S3066" s="682"/>
      <c r="T3066" s="682"/>
      <c r="U3066" s="682"/>
      <c r="V3066" s="682"/>
      <c r="W3066" s="682"/>
    </row>
    <row r="3067" spans="1:31">
      <c r="A3067" s="1045">
        <f t="shared" si="48"/>
        <v>10</v>
      </c>
      <c r="B3067" s="134">
        <v>45579</v>
      </c>
      <c r="C3067" s="70">
        <v>7200</v>
      </c>
      <c r="D3067" s="70" t="s">
        <v>140</v>
      </c>
      <c r="E3067" s="280" t="s">
        <v>4858</v>
      </c>
      <c r="F3067" s="1049">
        <v>30</v>
      </c>
      <c r="G3067" s="1049"/>
      <c r="H3067" s="564"/>
      <c r="I3067" s="609"/>
      <c r="J3067" s="1155"/>
      <c r="K3067" s="609"/>
      <c r="L3067" s="609"/>
      <c r="M3067" s="609"/>
      <c r="N3067" s="599"/>
      <c r="O3067" s="552" t="s">
        <v>1584</v>
      </c>
      <c r="P3067" s="603"/>
      <c r="Q3067" s="682"/>
      <c r="R3067" s="682"/>
      <c r="S3067" s="682"/>
      <c r="T3067" s="682"/>
      <c r="U3067" s="682"/>
      <c r="V3067" s="682"/>
      <c r="W3067" s="682"/>
    </row>
    <row r="3068" spans="1:31">
      <c r="A3068" s="1045">
        <f t="shared" si="48"/>
        <v>10</v>
      </c>
      <c r="B3068" s="134">
        <v>45579</v>
      </c>
      <c r="C3068" s="70">
        <v>2018</v>
      </c>
      <c r="D3068" s="70" t="s">
        <v>58</v>
      </c>
      <c r="E3068" s="280" t="s">
        <v>4858</v>
      </c>
      <c r="F3068" s="1049">
        <v>1.5</v>
      </c>
      <c r="G3068" s="1049"/>
      <c r="H3068" s="564"/>
      <c r="I3068" s="609"/>
      <c r="J3068" s="1155"/>
      <c r="K3068" s="609"/>
      <c r="L3068" s="609"/>
      <c r="M3068" s="609"/>
      <c r="N3068" s="599"/>
      <c r="O3068" s="552" t="s">
        <v>1584</v>
      </c>
      <c r="P3068" s="603"/>
      <c r="Q3068" s="682"/>
      <c r="R3068" s="682"/>
      <c r="S3068" s="682"/>
      <c r="T3068" s="682"/>
      <c r="U3068" s="682"/>
      <c r="V3068" s="682"/>
      <c r="W3068" s="682"/>
    </row>
    <row r="3069" spans="1:31">
      <c r="A3069" s="1045">
        <f t="shared" si="48"/>
        <v>10</v>
      </c>
      <c r="B3069" s="134">
        <v>45579</v>
      </c>
      <c r="C3069" s="70">
        <v>1025</v>
      </c>
      <c r="D3069" s="70" t="s">
        <v>5120</v>
      </c>
      <c r="E3069" s="280" t="s">
        <v>4858</v>
      </c>
      <c r="F3069" s="1049"/>
      <c r="G3069" s="1049">
        <v>2000</v>
      </c>
      <c r="H3069" s="564"/>
      <c r="I3069" s="609"/>
      <c r="J3069" s="1155"/>
      <c r="K3069" s="609"/>
      <c r="L3069" s="609"/>
      <c r="M3069" s="609"/>
      <c r="N3069" s="599"/>
      <c r="O3069" s="552" t="s">
        <v>1584</v>
      </c>
      <c r="P3069" s="603"/>
      <c r="Q3069" s="682"/>
      <c r="R3069" s="682"/>
      <c r="S3069" s="682"/>
      <c r="T3069" s="682"/>
      <c r="U3069" s="682"/>
      <c r="V3069" s="682"/>
      <c r="W3069" s="682"/>
    </row>
    <row r="3070" spans="1:31">
      <c r="A3070" s="1045" t="str">
        <f t="shared" si="48"/>
        <v/>
      </c>
      <c r="B3070" s="1058"/>
      <c r="C3070" s="1057" t="s">
        <v>4809</v>
      </c>
      <c r="D3070" s="1057"/>
      <c r="E3070" s="1059"/>
      <c r="F3070" s="1060"/>
      <c r="G3070" s="1060"/>
      <c r="H3070" s="1061"/>
      <c r="I3070" s="1156"/>
      <c r="J3070" s="1157"/>
      <c r="K3070" s="1156"/>
      <c r="L3070" s="1156"/>
      <c r="M3070" s="1156"/>
      <c r="N3070" s="1063"/>
      <c r="O3070" s="552" t="s">
        <v>1584</v>
      </c>
      <c r="P3070" s="1062"/>
      <c r="Q3070" s="682"/>
      <c r="R3070" s="682"/>
      <c r="S3070" s="682"/>
      <c r="T3070" s="682"/>
      <c r="U3070" s="682"/>
      <c r="V3070" s="682"/>
      <c r="W3070" s="682"/>
    </row>
    <row r="3071" spans="1:31">
      <c r="A3071" s="1045">
        <f t="shared" si="48"/>
        <v>10</v>
      </c>
      <c r="B3071" s="134">
        <v>45579</v>
      </c>
      <c r="C3071" s="70">
        <v>5150</v>
      </c>
      <c r="D3071" s="70" t="s">
        <v>82</v>
      </c>
      <c r="E3071" s="280" t="s">
        <v>4861</v>
      </c>
      <c r="F3071" s="1049">
        <v>9100</v>
      </c>
      <c r="G3071" s="1049"/>
      <c r="H3071" s="564" t="s">
        <v>4862</v>
      </c>
      <c r="I3071" s="609"/>
      <c r="J3071" s="1155"/>
      <c r="K3071" s="609">
        <v>257</v>
      </c>
      <c r="L3071" s="609"/>
      <c r="M3071" s="609"/>
      <c r="N3071" s="599">
        <v>455</v>
      </c>
      <c r="O3071" s="552" t="s">
        <v>1584</v>
      </c>
      <c r="P3071" s="603"/>
      <c r="Q3071" s="682"/>
      <c r="R3071" s="682"/>
      <c r="S3071" s="682"/>
      <c r="T3071" s="682"/>
      <c r="U3071" s="682"/>
      <c r="V3071" s="682"/>
      <c r="W3071" s="682"/>
      <c r="AE3071" s="2" t="s">
        <v>4863</v>
      </c>
    </row>
    <row r="3072" spans="1:31">
      <c r="A3072" s="1045">
        <f t="shared" si="48"/>
        <v>10</v>
      </c>
      <c r="B3072" s="134">
        <v>45579</v>
      </c>
      <c r="C3072" s="70">
        <v>2018</v>
      </c>
      <c r="D3072" s="70" t="s">
        <v>58</v>
      </c>
      <c r="E3072" s="280" t="s">
        <v>4861</v>
      </c>
      <c r="F3072" s="1049">
        <v>455</v>
      </c>
      <c r="G3072" s="1049"/>
      <c r="H3072" s="564" t="s">
        <v>4862</v>
      </c>
      <c r="I3072" s="609"/>
      <c r="J3072" s="1155"/>
      <c r="K3072" s="609"/>
      <c r="L3072" s="609"/>
      <c r="M3072" s="609"/>
      <c r="N3072" s="599"/>
      <c r="O3072" s="552" t="s">
        <v>1584</v>
      </c>
      <c r="P3072" s="603"/>
      <c r="Q3072" s="682"/>
      <c r="R3072" s="682"/>
      <c r="S3072" s="682"/>
      <c r="T3072" s="682"/>
      <c r="U3072" s="682"/>
      <c r="V3072" s="682"/>
      <c r="W3072" s="682"/>
      <c r="AE3072" s="2" t="s">
        <v>3045</v>
      </c>
    </row>
    <row r="3073" spans="1:31">
      <c r="A3073" s="1045">
        <f t="shared" si="48"/>
        <v>10</v>
      </c>
      <c r="B3073" s="134">
        <v>45579</v>
      </c>
      <c r="C3073" s="70">
        <v>2000</v>
      </c>
      <c r="D3073" s="70" t="s">
        <v>57</v>
      </c>
      <c r="E3073" s="280" t="s">
        <v>4861</v>
      </c>
      <c r="F3073" s="1049"/>
      <c r="G3073" s="1049">
        <v>9555</v>
      </c>
      <c r="H3073" s="564" t="s">
        <v>4862</v>
      </c>
      <c r="I3073" s="609"/>
      <c r="J3073" s="1155"/>
      <c r="K3073" s="609"/>
      <c r="L3073" s="609"/>
      <c r="M3073" s="609" t="s">
        <v>1259</v>
      </c>
      <c r="N3073" s="599"/>
      <c r="O3073" s="552" t="s">
        <v>1584</v>
      </c>
      <c r="P3073" s="603"/>
      <c r="Q3073" s="682"/>
      <c r="R3073" s="682"/>
      <c r="S3073" s="682"/>
      <c r="T3073" s="682"/>
      <c r="U3073" s="682"/>
      <c r="V3073" s="682"/>
      <c r="W3073" s="682"/>
      <c r="AE3073" s="2" t="s">
        <v>2960</v>
      </c>
    </row>
    <row r="3074" spans="1:31">
      <c r="A3074" s="1045">
        <f t="shared" si="48"/>
        <v>10</v>
      </c>
      <c r="B3074" s="134">
        <v>45582</v>
      </c>
      <c r="C3074" s="70">
        <v>5150</v>
      </c>
      <c r="D3074" s="70" t="s">
        <v>82</v>
      </c>
      <c r="E3074" s="280" t="s">
        <v>4861</v>
      </c>
      <c r="F3074" s="1049">
        <v>16370</v>
      </c>
      <c r="G3074" s="1049"/>
      <c r="H3074" s="564" t="s">
        <v>4864</v>
      </c>
      <c r="I3074" s="609"/>
      <c r="J3074" s="1155"/>
      <c r="K3074" s="609">
        <v>257</v>
      </c>
      <c r="L3074" s="609"/>
      <c r="M3074" s="609"/>
      <c r="N3074" s="599">
        <v>818.5</v>
      </c>
      <c r="O3074" s="552" t="s">
        <v>1584</v>
      </c>
      <c r="P3074" s="603"/>
      <c r="Q3074" s="682"/>
      <c r="R3074" s="682"/>
      <c r="S3074" s="682"/>
      <c r="T3074" s="682"/>
      <c r="U3074" s="682"/>
      <c r="V3074" s="682"/>
      <c r="W3074" s="682"/>
      <c r="AE3074" s="2" t="s">
        <v>4865</v>
      </c>
    </row>
    <row r="3075" spans="1:31">
      <c r="A3075" s="1045">
        <f t="shared" si="48"/>
        <v>10</v>
      </c>
      <c r="B3075" s="134">
        <v>45582</v>
      </c>
      <c r="C3075" s="70">
        <v>2018</v>
      </c>
      <c r="D3075" s="70" t="s">
        <v>58</v>
      </c>
      <c r="E3075" s="280" t="s">
        <v>4861</v>
      </c>
      <c r="F3075" s="1049">
        <v>818.5</v>
      </c>
      <c r="G3075" s="1049"/>
      <c r="H3075" s="564" t="s">
        <v>4864</v>
      </c>
      <c r="I3075" s="609"/>
      <c r="J3075" s="1155"/>
      <c r="K3075" s="609"/>
      <c r="L3075" s="609"/>
      <c r="M3075" s="609"/>
      <c r="N3075" s="599"/>
      <c r="O3075" s="552" t="s">
        <v>1584</v>
      </c>
      <c r="P3075" s="603"/>
      <c r="Q3075" s="682"/>
      <c r="R3075" s="682"/>
      <c r="S3075" s="682"/>
      <c r="T3075" s="682"/>
      <c r="U3075" s="682"/>
      <c r="V3075" s="682"/>
      <c r="W3075" s="682"/>
    </row>
    <row r="3076" spans="1:31">
      <c r="A3076" s="1045">
        <f t="shared" si="48"/>
        <v>10</v>
      </c>
      <c r="B3076" s="134">
        <v>45582</v>
      </c>
      <c r="C3076" s="70">
        <v>2000</v>
      </c>
      <c r="D3076" s="70" t="s">
        <v>57</v>
      </c>
      <c r="E3076" s="280" t="s">
        <v>4861</v>
      </c>
      <c r="F3076" s="1049"/>
      <c r="G3076" s="1049">
        <v>17188.5</v>
      </c>
      <c r="H3076" s="564" t="s">
        <v>4864</v>
      </c>
      <c r="I3076" s="609"/>
      <c r="J3076" s="1155"/>
      <c r="K3076" s="609"/>
      <c r="L3076" s="609"/>
      <c r="M3076" s="609" t="s">
        <v>1259</v>
      </c>
      <c r="N3076" s="599"/>
      <c r="O3076" s="552" t="s">
        <v>1584</v>
      </c>
      <c r="P3076" s="603"/>
      <c r="Q3076" s="682"/>
      <c r="R3076" s="682"/>
      <c r="S3076" s="682"/>
      <c r="T3076" s="682"/>
      <c r="U3076" s="682"/>
      <c r="V3076" s="682"/>
      <c r="W3076" s="682"/>
      <c r="AE3076" s="2" t="s">
        <v>2960</v>
      </c>
    </row>
    <row r="3077" spans="1:31">
      <c r="A3077" s="1045">
        <f t="shared" si="48"/>
        <v>10</v>
      </c>
      <c r="B3077" s="134">
        <v>45583</v>
      </c>
      <c r="C3077" s="70">
        <v>5950</v>
      </c>
      <c r="D3077" s="70" t="s">
        <v>90</v>
      </c>
      <c r="E3077" s="280" t="s">
        <v>4885</v>
      </c>
      <c r="F3077" s="1049">
        <v>4810</v>
      </c>
      <c r="G3077" s="1049"/>
      <c r="H3077" s="564"/>
      <c r="I3077" s="609"/>
      <c r="J3077" s="1155"/>
      <c r="K3077" s="609"/>
      <c r="L3077" s="609"/>
      <c r="M3077" s="609"/>
      <c r="N3077" s="599"/>
      <c r="O3077" s="552" t="s">
        <v>1584</v>
      </c>
      <c r="P3077" s="603"/>
      <c r="Q3077" s="682"/>
      <c r="R3077" s="682"/>
      <c r="S3077" s="682"/>
      <c r="T3077" s="682"/>
      <c r="U3077" s="682"/>
      <c r="V3077" s="682"/>
      <c r="W3077" s="682"/>
    </row>
    <row r="3078" spans="1:31">
      <c r="A3078" s="1045">
        <f t="shared" si="48"/>
        <v>10</v>
      </c>
      <c r="B3078" s="134">
        <v>45583</v>
      </c>
      <c r="C3078" s="70">
        <v>1025</v>
      </c>
      <c r="D3078" s="70" t="s">
        <v>5120</v>
      </c>
      <c r="E3078" s="280" t="s">
        <v>4885</v>
      </c>
      <c r="F3078" s="1049"/>
      <c r="G3078" s="1049">
        <v>4810</v>
      </c>
      <c r="H3078" s="564"/>
      <c r="I3078" s="609"/>
      <c r="J3078" s="1155"/>
      <c r="K3078" s="609"/>
      <c r="L3078" s="609"/>
      <c r="M3078" s="609"/>
      <c r="N3078" s="599"/>
      <c r="O3078" s="552" t="s">
        <v>1584</v>
      </c>
      <c r="P3078" s="603"/>
      <c r="Q3078" s="682"/>
      <c r="R3078" s="682"/>
      <c r="S3078" s="682"/>
      <c r="T3078" s="682"/>
      <c r="U3078" s="682"/>
      <c r="V3078" s="682"/>
      <c r="W3078" s="682"/>
    </row>
    <row r="3079" spans="1:31">
      <c r="A3079" s="1045">
        <f t="shared" si="48"/>
        <v>10</v>
      </c>
      <c r="B3079" s="134">
        <v>45579</v>
      </c>
      <c r="C3079" s="70">
        <v>6003</v>
      </c>
      <c r="D3079" s="70" t="s">
        <v>94</v>
      </c>
      <c r="E3079" s="280" t="s">
        <v>4886</v>
      </c>
      <c r="F3079" s="1049">
        <v>184</v>
      </c>
      <c r="G3079" s="1049"/>
      <c r="H3079" s="564"/>
      <c r="I3079" s="609"/>
      <c r="J3079" s="1155"/>
      <c r="K3079" s="609"/>
      <c r="L3079" s="609"/>
      <c r="M3079" s="609"/>
      <c r="N3079" s="599"/>
      <c r="O3079" s="552" t="s">
        <v>1584</v>
      </c>
      <c r="P3079" s="603"/>
      <c r="Q3079" s="682"/>
      <c r="R3079" s="682"/>
      <c r="S3079" s="682"/>
      <c r="T3079" s="682"/>
      <c r="U3079" s="682"/>
      <c r="V3079" s="682"/>
      <c r="W3079" s="682"/>
    </row>
    <row r="3080" spans="1:31">
      <c r="A3080" s="1045">
        <f t="shared" si="48"/>
        <v>10</v>
      </c>
      <c r="B3080" s="134">
        <v>45579</v>
      </c>
      <c r="C3080" s="70">
        <v>2018</v>
      </c>
      <c r="D3080" s="70" t="s">
        <v>58</v>
      </c>
      <c r="E3080" s="280" t="s">
        <v>4886</v>
      </c>
      <c r="F3080" s="1049">
        <v>9.01</v>
      </c>
      <c r="G3080" s="1049"/>
      <c r="H3080" s="564"/>
      <c r="I3080" s="609"/>
      <c r="J3080" s="1155"/>
      <c r="K3080" s="609"/>
      <c r="L3080" s="609"/>
      <c r="M3080" s="609"/>
      <c r="N3080" s="599"/>
      <c r="O3080" s="552" t="s">
        <v>1584</v>
      </c>
      <c r="P3080" s="603"/>
      <c r="Q3080" s="682"/>
      <c r="R3080" s="682"/>
      <c r="S3080" s="682"/>
      <c r="T3080" s="682"/>
      <c r="U3080" s="682"/>
      <c r="V3080" s="682"/>
      <c r="W3080" s="682"/>
    </row>
    <row r="3081" spans="1:31">
      <c r="A3081" s="1045">
        <f t="shared" si="48"/>
        <v>10</v>
      </c>
      <c r="B3081" s="134">
        <v>45579</v>
      </c>
      <c r="C3081" s="70">
        <v>1025</v>
      </c>
      <c r="D3081" s="70" t="s">
        <v>5120</v>
      </c>
      <c r="E3081" s="280" t="s">
        <v>4886</v>
      </c>
      <c r="F3081" s="1049"/>
      <c r="G3081" s="1049">
        <v>193.46</v>
      </c>
      <c r="H3081" s="564"/>
      <c r="I3081" s="609"/>
      <c r="J3081" s="1155"/>
      <c r="K3081" s="609"/>
      <c r="L3081" s="609"/>
      <c r="M3081" s="609"/>
      <c r="N3081" s="599"/>
      <c r="O3081" s="552" t="s">
        <v>1584</v>
      </c>
      <c r="P3081" s="603"/>
      <c r="Q3081" s="682"/>
      <c r="R3081" s="682"/>
      <c r="S3081" s="682"/>
      <c r="T3081" s="682"/>
      <c r="U3081" s="682"/>
      <c r="V3081" s="682"/>
      <c r="W3081" s="682"/>
    </row>
    <row r="3082" spans="1:31">
      <c r="A3082" s="1045">
        <f t="shared" si="48"/>
        <v>10</v>
      </c>
      <c r="B3082" s="134">
        <v>45584</v>
      </c>
      <c r="C3082" s="70">
        <v>6013</v>
      </c>
      <c r="D3082" s="70" t="s">
        <v>104</v>
      </c>
      <c r="E3082" s="280" t="s">
        <v>4887</v>
      </c>
      <c r="F3082" s="1049">
        <v>440</v>
      </c>
      <c r="G3082" s="1049"/>
      <c r="H3082" s="564"/>
      <c r="I3082" s="609"/>
      <c r="J3082" s="1155"/>
      <c r="K3082" s="609"/>
      <c r="L3082" s="609"/>
      <c r="M3082" s="609"/>
      <c r="N3082" s="599"/>
      <c r="O3082" s="552" t="s">
        <v>1584</v>
      </c>
      <c r="P3082" s="603"/>
      <c r="Q3082" s="682"/>
      <c r="R3082" s="682"/>
      <c r="S3082" s="682"/>
      <c r="T3082" s="682"/>
      <c r="U3082" s="682"/>
      <c r="V3082" s="682"/>
      <c r="W3082" s="682"/>
    </row>
    <row r="3083" spans="1:31">
      <c r="A3083" s="1045">
        <f t="shared" si="48"/>
        <v>10</v>
      </c>
      <c r="B3083" s="134">
        <v>45584</v>
      </c>
      <c r="C3083" s="70">
        <v>2018</v>
      </c>
      <c r="D3083" s="70" t="s">
        <v>58</v>
      </c>
      <c r="E3083" s="280" t="s">
        <v>4887</v>
      </c>
      <c r="F3083" s="1049">
        <v>3.5</v>
      </c>
      <c r="G3083" s="1049"/>
      <c r="H3083" s="564"/>
      <c r="I3083" s="609"/>
      <c r="J3083" s="1155"/>
      <c r="K3083" s="609"/>
      <c r="L3083" s="609"/>
      <c r="M3083" s="609"/>
      <c r="N3083" s="599"/>
      <c r="O3083" s="552" t="s">
        <v>1584</v>
      </c>
      <c r="P3083" s="603"/>
      <c r="Q3083" s="682"/>
      <c r="R3083" s="682"/>
      <c r="S3083" s="682"/>
      <c r="T3083" s="682"/>
      <c r="U3083" s="682"/>
      <c r="V3083" s="682"/>
      <c r="W3083" s="682"/>
    </row>
    <row r="3084" spans="1:31">
      <c r="A3084" s="1045">
        <f t="shared" si="48"/>
        <v>10</v>
      </c>
      <c r="B3084" s="134">
        <v>45584</v>
      </c>
      <c r="C3084" s="70">
        <v>6013</v>
      </c>
      <c r="D3084" s="70" t="s">
        <v>104</v>
      </c>
      <c r="E3084" s="280" t="s">
        <v>4888</v>
      </c>
      <c r="F3084" s="1049">
        <v>440</v>
      </c>
      <c r="G3084" s="1049"/>
      <c r="H3084" s="564"/>
      <c r="I3084" s="609"/>
      <c r="J3084" s="1155"/>
      <c r="K3084" s="609"/>
      <c r="L3084" s="609"/>
      <c r="M3084" s="609"/>
      <c r="N3084" s="599"/>
      <c r="O3084" s="552" t="s">
        <v>1584</v>
      </c>
      <c r="P3084" s="603"/>
      <c r="Q3084" s="682"/>
      <c r="R3084" s="682"/>
      <c r="S3084" s="682"/>
      <c r="T3084" s="682"/>
      <c r="U3084" s="682"/>
      <c r="V3084" s="682"/>
      <c r="W3084" s="682"/>
    </row>
    <row r="3085" spans="1:31">
      <c r="A3085" s="1045">
        <f t="shared" si="48"/>
        <v>10</v>
      </c>
      <c r="B3085" s="134">
        <v>45584</v>
      </c>
      <c r="C3085" s="70">
        <v>2018</v>
      </c>
      <c r="D3085" s="70" t="s">
        <v>58</v>
      </c>
      <c r="E3085" s="280" t="s">
        <v>4888</v>
      </c>
      <c r="F3085" s="1049">
        <v>3.5</v>
      </c>
      <c r="G3085" s="1049"/>
      <c r="H3085" s="564"/>
      <c r="I3085" s="609"/>
      <c r="J3085" s="1155"/>
      <c r="K3085" s="609"/>
      <c r="L3085" s="609"/>
      <c r="M3085" s="609"/>
      <c r="N3085" s="599"/>
      <c r="O3085" s="552" t="s">
        <v>1584</v>
      </c>
      <c r="P3085" s="603"/>
      <c r="Q3085" s="682"/>
      <c r="R3085" s="682"/>
      <c r="S3085" s="682"/>
      <c r="T3085" s="682"/>
      <c r="U3085" s="682"/>
      <c r="V3085" s="682"/>
      <c r="W3085" s="682"/>
    </row>
    <row r="3086" spans="1:31">
      <c r="A3086" s="1045">
        <f t="shared" si="48"/>
        <v>10</v>
      </c>
      <c r="B3086" s="134">
        <v>45584</v>
      </c>
      <c r="C3086" s="70">
        <v>1018</v>
      </c>
      <c r="D3086" s="70" t="s">
        <v>5113</v>
      </c>
      <c r="E3086" s="280" t="s">
        <v>4887</v>
      </c>
      <c r="F3086" s="1049"/>
      <c r="G3086" s="1049">
        <v>446.65</v>
      </c>
      <c r="H3086" s="564"/>
      <c r="I3086" s="609"/>
      <c r="J3086" s="1155"/>
      <c r="K3086" s="609"/>
      <c r="L3086" s="609"/>
      <c r="M3086" s="609"/>
      <c r="N3086" s="599"/>
      <c r="O3086" s="552" t="s">
        <v>1584</v>
      </c>
      <c r="P3086" s="603"/>
      <c r="Q3086" s="682"/>
      <c r="R3086" s="682"/>
      <c r="S3086" s="682"/>
      <c r="T3086" s="682"/>
      <c r="U3086" s="682"/>
      <c r="V3086" s="682"/>
      <c r="W3086" s="682"/>
    </row>
    <row r="3087" spans="1:31">
      <c r="A3087" s="1045">
        <f t="shared" si="48"/>
        <v>10</v>
      </c>
      <c r="B3087" s="134">
        <v>45584</v>
      </c>
      <c r="C3087" s="70">
        <v>1018</v>
      </c>
      <c r="D3087" s="70" t="s">
        <v>5113</v>
      </c>
      <c r="E3087" s="280" t="s">
        <v>4888</v>
      </c>
      <c r="F3087" s="1049"/>
      <c r="G3087" s="1049">
        <v>446.65</v>
      </c>
      <c r="H3087" s="564"/>
      <c r="I3087" s="609"/>
      <c r="J3087" s="1155"/>
      <c r="K3087" s="609"/>
      <c r="L3087" s="609"/>
      <c r="M3087" s="609"/>
      <c r="N3087" s="599"/>
      <c r="O3087" s="552" t="s">
        <v>1584</v>
      </c>
      <c r="P3087" s="603"/>
      <c r="Q3087" s="682"/>
      <c r="R3087" s="682"/>
      <c r="S3087" s="682"/>
      <c r="T3087" s="682"/>
      <c r="U3087" s="682"/>
      <c r="V3087" s="682"/>
      <c r="W3087" s="682"/>
    </row>
    <row r="3088" spans="1:31">
      <c r="A3088" s="1045">
        <f t="shared" si="48"/>
        <v>10</v>
      </c>
      <c r="B3088" s="134">
        <v>45584</v>
      </c>
      <c r="C3088" s="70">
        <v>7200</v>
      </c>
      <c r="D3088" s="70" t="s">
        <v>140</v>
      </c>
      <c r="E3088" s="280" t="s">
        <v>4887</v>
      </c>
      <c r="F3088" s="1049">
        <v>3.5</v>
      </c>
      <c r="G3088" s="1049"/>
      <c r="H3088" s="564"/>
      <c r="I3088" s="609"/>
      <c r="J3088" s="1155"/>
      <c r="K3088" s="609"/>
      <c r="L3088" s="609"/>
      <c r="M3088" s="609"/>
      <c r="N3088" s="599"/>
      <c r="O3088" s="552" t="s">
        <v>1584</v>
      </c>
      <c r="P3088" s="603"/>
      <c r="Q3088" s="682"/>
      <c r="R3088" s="682"/>
      <c r="S3088" s="682"/>
      <c r="T3088" s="682"/>
      <c r="U3088" s="682"/>
      <c r="V3088" s="682"/>
      <c r="W3088" s="682"/>
    </row>
    <row r="3089" spans="1:31">
      <c r="A3089" s="1045">
        <f t="shared" si="48"/>
        <v>10</v>
      </c>
      <c r="B3089" s="134">
        <v>45584</v>
      </c>
      <c r="C3089" s="70">
        <v>7200</v>
      </c>
      <c r="D3089" s="70" t="s">
        <v>140</v>
      </c>
      <c r="E3089" s="280" t="s">
        <v>4888</v>
      </c>
      <c r="F3089" s="1049">
        <v>3.5</v>
      </c>
      <c r="G3089" s="1049"/>
      <c r="H3089" s="564"/>
      <c r="I3089" s="609"/>
      <c r="J3089" s="1155"/>
      <c r="K3089" s="609"/>
      <c r="L3089" s="609"/>
      <c r="M3089" s="609"/>
      <c r="N3089" s="599"/>
      <c r="O3089" s="552" t="s">
        <v>1584</v>
      </c>
      <c r="P3089" s="603"/>
      <c r="Q3089" s="682"/>
      <c r="R3089" s="682"/>
      <c r="S3089" s="682"/>
      <c r="T3089" s="682"/>
      <c r="U3089" s="682"/>
      <c r="V3089" s="682"/>
      <c r="W3089" s="682"/>
    </row>
    <row r="3090" spans="1:31">
      <c r="A3090" s="1045">
        <f t="shared" si="48"/>
        <v>10</v>
      </c>
      <c r="B3090" s="134">
        <v>45581</v>
      </c>
      <c r="C3090" s="70">
        <v>6013</v>
      </c>
      <c r="D3090" s="70" t="s">
        <v>104</v>
      </c>
      <c r="E3090" s="280" t="s">
        <v>4889</v>
      </c>
      <c r="F3090" s="1049">
        <v>120</v>
      </c>
      <c r="G3090" s="1049"/>
      <c r="H3090" s="564"/>
      <c r="I3090" s="609"/>
      <c r="J3090" s="1155"/>
      <c r="K3090" s="609"/>
      <c r="L3090" s="609"/>
      <c r="M3090" s="609"/>
      <c r="N3090" s="599"/>
      <c r="O3090" s="552" t="s">
        <v>1584</v>
      </c>
      <c r="P3090" s="603"/>
      <c r="Q3090" s="682"/>
      <c r="R3090" s="682"/>
      <c r="S3090" s="682"/>
      <c r="T3090" s="682"/>
      <c r="U3090" s="682"/>
      <c r="V3090" s="682"/>
      <c r="W3090" s="682"/>
    </row>
    <row r="3091" spans="1:31">
      <c r="A3091" s="1045">
        <f t="shared" si="48"/>
        <v>10</v>
      </c>
      <c r="B3091" s="134">
        <v>45581</v>
      </c>
      <c r="C3091" s="70">
        <v>2018</v>
      </c>
      <c r="D3091" s="70" t="s">
        <v>58</v>
      </c>
      <c r="E3091" s="280" t="s">
        <v>4889</v>
      </c>
      <c r="F3091" s="1049">
        <v>2.5</v>
      </c>
      <c r="G3091" s="1049"/>
      <c r="H3091" s="564"/>
      <c r="I3091" s="609"/>
      <c r="J3091" s="1155"/>
      <c r="K3091" s="609"/>
      <c r="L3091" s="609"/>
      <c r="M3091" s="609"/>
      <c r="N3091" s="599"/>
      <c r="O3091" s="552" t="s">
        <v>1584</v>
      </c>
      <c r="P3091" s="603"/>
      <c r="Q3091" s="682"/>
      <c r="R3091" s="682"/>
      <c r="S3091" s="682"/>
      <c r="T3091" s="682"/>
      <c r="U3091" s="682"/>
      <c r="V3091" s="682"/>
      <c r="W3091" s="682"/>
    </row>
    <row r="3092" spans="1:31">
      <c r="A3092" s="1045">
        <f t="shared" si="48"/>
        <v>10</v>
      </c>
      <c r="B3092" s="134">
        <v>45581</v>
      </c>
      <c r="C3092" s="70">
        <v>7200</v>
      </c>
      <c r="D3092" s="70" t="s">
        <v>140</v>
      </c>
      <c r="E3092" s="280" t="s">
        <v>4889</v>
      </c>
      <c r="F3092" s="1049">
        <v>3.15</v>
      </c>
      <c r="G3092" s="1049"/>
      <c r="H3092" s="564"/>
      <c r="I3092" s="609"/>
      <c r="J3092" s="1155"/>
      <c r="K3092" s="609"/>
      <c r="L3092" s="609"/>
      <c r="M3092" s="609"/>
      <c r="N3092" s="599"/>
      <c r="O3092" s="552" t="s">
        <v>1584</v>
      </c>
      <c r="P3092" s="603"/>
      <c r="Q3092" s="682"/>
      <c r="R3092" s="682"/>
      <c r="S3092" s="682"/>
      <c r="T3092" s="682"/>
      <c r="U3092" s="682"/>
      <c r="V3092" s="682"/>
      <c r="W3092" s="682"/>
    </row>
    <row r="3093" spans="1:31">
      <c r="A3093" s="1045">
        <f t="shared" ref="A3093:A3156" si="49">IF(B3093="","",MONTH(B3093))</f>
        <v>10</v>
      </c>
      <c r="B3093" s="134">
        <v>45581</v>
      </c>
      <c r="C3093" s="70">
        <v>1018</v>
      </c>
      <c r="D3093" s="70" t="s">
        <v>5113</v>
      </c>
      <c r="E3093" s="280" t="s">
        <v>4889</v>
      </c>
      <c r="F3093" s="1049"/>
      <c r="G3093" s="1049">
        <v>125.65</v>
      </c>
      <c r="H3093" s="564"/>
      <c r="I3093" s="609"/>
      <c r="J3093" s="1155"/>
      <c r="K3093" s="609"/>
      <c r="L3093" s="609"/>
      <c r="M3093" s="609"/>
      <c r="N3093" s="599"/>
      <c r="O3093" s="552" t="s">
        <v>1584</v>
      </c>
      <c r="P3093" s="603"/>
      <c r="Q3093" s="682"/>
      <c r="R3093" s="682"/>
      <c r="S3093" s="682"/>
      <c r="T3093" s="682"/>
      <c r="U3093" s="682"/>
      <c r="V3093" s="682"/>
      <c r="W3093" s="682"/>
    </row>
    <row r="3094" spans="1:31">
      <c r="A3094" s="1045">
        <f t="shared" si="49"/>
        <v>10</v>
      </c>
      <c r="B3094" s="134">
        <v>45585</v>
      </c>
      <c r="C3094" s="70">
        <v>1017</v>
      </c>
      <c r="D3094" s="70" t="s">
        <v>5118</v>
      </c>
      <c r="E3094" s="280" t="s">
        <v>4890</v>
      </c>
      <c r="F3094" s="1049">
        <v>15000</v>
      </c>
      <c r="G3094" s="1049"/>
      <c r="H3094" s="564" t="s">
        <v>4891</v>
      </c>
      <c r="I3094" s="609"/>
      <c r="J3094" s="1155"/>
      <c r="K3094" s="609"/>
      <c r="L3094" s="609"/>
      <c r="M3094" s="609"/>
      <c r="N3094" s="599"/>
      <c r="O3094" s="552" t="s">
        <v>1584</v>
      </c>
      <c r="P3094" s="603"/>
      <c r="Q3094" s="682"/>
      <c r="R3094" s="682"/>
      <c r="S3094" s="682"/>
      <c r="T3094" s="682"/>
      <c r="U3094" s="682"/>
      <c r="V3094" s="682"/>
      <c r="W3094" s="682"/>
    </row>
    <row r="3095" spans="1:31">
      <c r="A3095" s="1045">
        <f t="shared" si="49"/>
        <v>10</v>
      </c>
      <c r="B3095" s="134">
        <v>45585</v>
      </c>
      <c r="C3095" s="70">
        <v>1022</v>
      </c>
      <c r="D3095" s="70" t="s">
        <v>5119</v>
      </c>
      <c r="E3095" s="280" t="s">
        <v>4890</v>
      </c>
      <c r="F3095" s="1049"/>
      <c r="G3095" s="1049">
        <v>15000</v>
      </c>
      <c r="H3095" s="564" t="s">
        <v>4891</v>
      </c>
      <c r="I3095" s="609">
        <v>953</v>
      </c>
      <c r="J3095" s="1155">
        <v>45585</v>
      </c>
      <c r="K3095" s="609"/>
      <c r="L3095" s="609"/>
      <c r="M3095" s="609"/>
      <c r="N3095" s="599"/>
      <c r="O3095" s="552" t="s">
        <v>1584</v>
      </c>
      <c r="P3095" s="603" t="s">
        <v>1779</v>
      </c>
      <c r="Q3095" s="682"/>
      <c r="R3095" s="682"/>
      <c r="S3095" s="682"/>
      <c r="T3095" s="682"/>
      <c r="U3095" s="682"/>
      <c r="V3095" s="682"/>
      <c r="W3095" s="682"/>
    </row>
    <row r="3096" spans="1:31">
      <c r="A3096" s="1045">
        <f t="shared" si="49"/>
        <v>10</v>
      </c>
      <c r="B3096" s="134">
        <v>45583</v>
      </c>
      <c r="C3096" s="70">
        <v>5150</v>
      </c>
      <c r="D3096" s="70" t="s">
        <v>82</v>
      </c>
      <c r="E3096" s="280" t="s">
        <v>4922</v>
      </c>
      <c r="F3096" s="1049">
        <v>78180</v>
      </c>
      <c r="G3096" s="1049"/>
      <c r="H3096" s="564" t="s">
        <v>4923</v>
      </c>
      <c r="I3096" s="609"/>
      <c r="J3096" s="1155"/>
      <c r="K3096" s="609">
        <v>249</v>
      </c>
      <c r="L3096" s="609"/>
      <c r="M3096" s="609"/>
      <c r="N3096" s="599">
        <v>3909</v>
      </c>
      <c r="O3096" s="552" t="s">
        <v>1584</v>
      </c>
      <c r="P3096" s="603"/>
      <c r="Q3096" s="682"/>
      <c r="R3096" s="682"/>
      <c r="S3096" s="682"/>
      <c r="T3096" s="682"/>
      <c r="U3096" s="682"/>
      <c r="V3096" s="682"/>
      <c r="W3096" s="682"/>
      <c r="AE3096" s="2" t="s">
        <v>4924</v>
      </c>
    </row>
    <row r="3097" spans="1:31">
      <c r="A3097" s="1045">
        <f t="shared" si="49"/>
        <v>10</v>
      </c>
      <c r="B3097" s="134">
        <v>45583</v>
      </c>
      <c r="C3097" s="70">
        <v>2018</v>
      </c>
      <c r="D3097" s="70" t="s">
        <v>58</v>
      </c>
      <c r="E3097" s="280" t="s">
        <v>4922</v>
      </c>
      <c r="F3097" s="1049">
        <v>3909</v>
      </c>
      <c r="G3097" s="1049"/>
      <c r="H3097" s="564" t="s">
        <v>4923</v>
      </c>
      <c r="I3097" s="609"/>
      <c r="J3097" s="1155"/>
      <c r="K3097" s="609"/>
      <c r="L3097" s="609"/>
      <c r="M3097" s="609"/>
      <c r="N3097" s="599"/>
      <c r="O3097" s="552" t="s">
        <v>1584</v>
      </c>
      <c r="P3097" s="603"/>
      <c r="Q3097" s="682"/>
      <c r="R3097" s="682"/>
      <c r="S3097" s="682"/>
      <c r="T3097" s="682"/>
      <c r="U3097" s="682"/>
      <c r="V3097" s="682"/>
      <c r="W3097" s="682"/>
    </row>
    <row r="3098" spans="1:31">
      <c r="A3098" s="1045">
        <f t="shared" si="49"/>
        <v>10</v>
      </c>
      <c r="B3098" s="134">
        <v>45583</v>
      </c>
      <c r="C3098" s="70">
        <v>2000</v>
      </c>
      <c r="D3098" s="70" t="s">
        <v>57</v>
      </c>
      <c r="E3098" s="280" t="s">
        <v>4922</v>
      </c>
      <c r="F3098" s="1049"/>
      <c r="G3098" s="1049">
        <v>82089</v>
      </c>
      <c r="H3098" s="564" t="s">
        <v>4923</v>
      </c>
      <c r="I3098" s="609"/>
      <c r="J3098" s="1155"/>
      <c r="K3098" s="609"/>
      <c r="L3098" s="609"/>
      <c r="M3098" s="609" t="s">
        <v>3021</v>
      </c>
      <c r="N3098" s="599"/>
      <c r="O3098" s="552" t="s">
        <v>1584</v>
      </c>
      <c r="P3098" s="603"/>
      <c r="Q3098" s="682"/>
      <c r="R3098" s="682"/>
      <c r="S3098" s="682"/>
      <c r="T3098" s="682"/>
      <c r="U3098" s="682"/>
      <c r="V3098" s="682"/>
      <c r="W3098" s="682"/>
      <c r="AE3098" s="2" t="s">
        <v>2960</v>
      </c>
    </row>
    <row r="3099" spans="1:31">
      <c r="A3099" s="1045">
        <f t="shared" si="49"/>
        <v>10</v>
      </c>
      <c r="B3099" s="134">
        <v>45587</v>
      </c>
      <c r="C3099" s="70">
        <v>2000</v>
      </c>
      <c r="D3099" s="70" t="s">
        <v>57</v>
      </c>
      <c r="E3099" s="280" t="s">
        <v>4926</v>
      </c>
      <c r="F3099" s="1049">
        <v>2953</v>
      </c>
      <c r="G3099" s="1049"/>
      <c r="H3099" s="564" t="s">
        <v>4928</v>
      </c>
      <c r="I3099" s="609">
        <v>955</v>
      </c>
      <c r="J3099" s="1155">
        <v>45616</v>
      </c>
      <c r="K3099" s="609"/>
      <c r="L3099" s="609"/>
      <c r="M3099" s="609" t="s">
        <v>1551</v>
      </c>
      <c r="N3099" s="599">
        <v>147.69999999999999</v>
      </c>
      <c r="O3099" s="552" t="s">
        <v>1584</v>
      </c>
      <c r="P3099" s="603"/>
      <c r="Q3099" s="682"/>
      <c r="R3099" s="682"/>
      <c r="S3099" s="682"/>
      <c r="T3099" s="682"/>
      <c r="U3099" s="682"/>
      <c r="V3099" s="682"/>
      <c r="W3099" s="682"/>
      <c r="AE3099" s="2" t="s">
        <v>4932</v>
      </c>
    </row>
    <row r="3100" spans="1:31">
      <c r="A3100" s="1045">
        <f t="shared" si="49"/>
        <v>10</v>
      </c>
      <c r="B3100" s="134">
        <v>45587</v>
      </c>
      <c r="C3100" s="70">
        <v>2000</v>
      </c>
      <c r="D3100" s="70" t="s">
        <v>57</v>
      </c>
      <c r="E3100" s="280" t="s">
        <v>4927</v>
      </c>
      <c r="F3100" s="1049">
        <v>1905</v>
      </c>
      <c r="G3100" s="1049"/>
      <c r="H3100" s="564" t="s">
        <v>4928</v>
      </c>
      <c r="I3100" s="609">
        <v>955</v>
      </c>
      <c r="J3100" s="1155">
        <v>45616</v>
      </c>
      <c r="K3100" s="609"/>
      <c r="L3100" s="609"/>
      <c r="M3100" s="609" t="s">
        <v>1562</v>
      </c>
      <c r="N3100" s="599">
        <v>95.3</v>
      </c>
      <c r="O3100" s="552" t="s">
        <v>1584</v>
      </c>
      <c r="P3100" s="603"/>
      <c r="Q3100" s="682"/>
      <c r="R3100" s="682"/>
      <c r="S3100" s="682"/>
      <c r="T3100" s="682"/>
      <c r="U3100" s="682"/>
      <c r="V3100" s="682"/>
      <c r="W3100" s="682"/>
      <c r="AE3100" s="2" t="s">
        <v>4934</v>
      </c>
    </row>
    <row r="3101" spans="1:31">
      <c r="A3101" s="1045">
        <f t="shared" si="49"/>
        <v>10</v>
      </c>
      <c r="B3101" s="134">
        <v>45587</v>
      </c>
      <c r="C3101" s="70">
        <v>2000</v>
      </c>
      <c r="D3101" s="70" t="s">
        <v>57</v>
      </c>
      <c r="E3101" s="280" t="s">
        <v>4929</v>
      </c>
      <c r="F3101" s="1049">
        <v>3715</v>
      </c>
      <c r="G3101" s="1049"/>
      <c r="H3101" s="564" t="s">
        <v>4928</v>
      </c>
      <c r="I3101" s="609">
        <v>955</v>
      </c>
      <c r="J3101" s="1155">
        <v>45616</v>
      </c>
      <c r="K3101" s="609"/>
      <c r="L3101" s="609"/>
      <c r="M3101" s="609" t="s">
        <v>1810</v>
      </c>
      <c r="N3101" s="599">
        <v>185.8</v>
      </c>
      <c r="O3101" s="552" t="s">
        <v>1584</v>
      </c>
      <c r="P3101" s="603"/>
      <c r="Q3101" s="682"/>
      <c r="R3101" s="682"/>
      <c r="S3101" s="682"/>
      <c r="T3101" s="682"/>
      <c r="U3101" s="682"/>
      <c r="V3101" s="682"/>
      <c r="W3101" s="682"/>
      <c r="AE3101" s="2" t="s">
        <v>4936</v>
      </c>
    </row>
    <row r="3102" spans="1:31">
      <c r="A3102" s="1045">
        <f t="shared" si="49"/>
        <v>10</v>
      </c>
      <c r="B3102" s="134">
        <v>45587</v>
      </c>
      <c r="C3102" s="70">
        <v>2018</v>
      </c>
      <c r="D3102" s="70" t="s">
        <v>58</v>
      </c>
      <c r="E3102" s="280" t="s">
        <v>4926</v>
      </c>
      <c r="F3102" s="1049">
        <v>147.69999999999999</v>
      </c>
      <c r="G3102" s="1049"/>
      <c r="H3102" s="564" t="s">
        <v>4928</v>
      </c>
      <c r="I3102" s="609">
        <v>955</v>
      </c>
      <c r="J3102" s="1155">
        <v>45616</v>
      </c>
      <c r="K3102" s="609"/>
      <c r="L3102" s="609"/>
      <c r="M3102" s="609"/>
      <c r="N3102" s="599"/>
      <c r="O3102" s="552" t="s">
        <v>1584</v>
      </c>
      <c r="P3102" s="603"/>
      <c r="Q3102" s="682"/>
      <c r="R3102" s="682"/>
      <c r="S3102" s="682"/>
      <c r="T3102" s="682"/>
      <c r="U3102" s="682"/>
      <c r="V3102" s="682"/>
      <c r="W3102" s="682"/>
    </row>
    <row r="3103" spans="1:31">
      <c r="A3103" s="1045">
        <f t="shared" si="49"/>
        <v>10</v>
      </c>
      <c r="B3103" s="134">
        <v>45587</v>
      </c>
      <c r="C3103" s="70">
        <v>2018</v>
      </c>
      <c r="D3103" s="70" t="s">
        <v>58</v>
      </c>
      <c r="E3103" s="280" t="s">
        <v>4927</v>
      </c>
      <c r="F3103" s="1049">
        <v>95.3</v>
      </c>
      <c r="G3103" s="1049"/>
      <c r="H3103" s="564" t="s">
        <v>4928</v>
      </c>
      <c r="I3103" s="609">
        <v>955</v>
      </c>
      <c r="J3103" s="1155">
        <v>45616</v>
      </c>
      <c r="K3103" s="609"/>
      <c r="L3103" s="609"/>
      <c r="M3103" s="609"/>
      <c r="N3103" s="599"/>
      <c r="O3103" s="552" t="s">
        <v>1584</v>
      </c>
      <c r="P3103" s="603"/>
      <c r="Q3103" s="682"/>
      <c r="R3103" s="682"/>
      <c r="S3103" s="682"/>
      <c r="T3103" s="682"/>
      <c r="U3103" s="682"/>
      <c r="V3103" s="682"/>
      <c r="W3103" s="682"/>
    </row>
    <row r="3104" spans="1:31">
      <c r="A3104" s="1045">
        <f t="shared" si="49"/>
        <v>10</v>
      </c>
      <c r="B3104" s="134">
        <v>45587</v>
      </c>
      <c r="C3104" s="70">
        <v>2018</v>
      </c>
      <c r="D3104" s="70" t="s">
        <v>58</v>
      </c>
      <c r="E3104" s="280" t="s">
        <v>4929</v>
      </c>
      <c r="F3104" s="1049">
        <v>185.8</v>
      </c>
      <c r="G3104" s="1049"/>
      <c r="H3104" s="564" t="s">
        <v>4928</v>
      </c>
      <c r="I3104" s="609">
        <v>955</v>
      </c>
      <c r="J3104" s="1155">
        <v>45616</v>
      </c>
      <c r="K3104" s="609"/>
      <c r="L3104" s="609"/>
      <c r="M3104" s="609"/>
      <c r="N3104" s="599"/>
      <c r="O3104" s="552" t="s">
        <v>1584</v>
      </c>
      <c r="P3104" s="603"/>
      <c r="Q3104" s="682"/>
      <c r="R3104" s="682"/>
      <c r="S3104" s="682"/>
      <c r="T3104" s="682"/>
      <c r="U3104" s="682"/>
      <c r="V3104" s="682"/>
      <c r="W3104" s="682"/>
    </row>
    <row r="3105" spans="1:23">
      <c r="A3105" s="1045">
        <f t="shared" si="49"/>
        <v>10</v>
      </c>
      <c r="B3105" s="134">
        <v>45587</v>
      </c>
      <c r="C3105" s="70">
        <v>1022</v>
      </c>
      <c r="D3105" s="70" t="s">
        <v>5119</v>
      </c>
      <c r="E3105" s="280" t="s">
        <v>4930</v>
      </c>
      <c r="F3105" s="1049"/>
      <c r="G3105" s="1049">
        <v>9000</v>
      </c>
      <c r="H3105" s="564" t="s">
        <v>4928</v>
      </c>
      <c r="I3105" s="609">
        <v>955</v>
      </c>
      <c r="J3105" s="1155">
        <v>45616</v>
      </c>
      <c r="K3105" s="609"/>
      <c r="L3105" s="609"/>
      <c r="M3105" s="609"/>
      <c r="N3105" s="599"/>
      <c r="O3105" s="552" t="s">
        <v>1584</v>
      </c>
      <c r="P3105" s="603"/>
      <c r="Q3105" s="682"/>
      <c r="R3105" s="682"/>
      <c r="S3105" s="682"/>
      <c r="T3105" s="682"/>
      <c r="U3105" s="682"/>
      <c r="V3105" s="682"/>
      <c r="W3105" s="682"/>
    </row>
    <row r="3106" spans="1:23">
      <c r="A3106" s="1045" t="str">
        <f t="shared" si="49"/>
        <v/>
      </c>
      <c r="B3106" s="1046"/>
      <c r="C3106" s="1045"/>
      <c r="D3106" s="1045" t="s">
        <v>5728</v>
      </c>
      <c r="E3106" s="1047"/>
      <c r="F3106" s="1437"/>
      <c r="G3106" s="1437"/>
      <c r="H3106" s="1438"/>
      <c r="I3106" s="1439"/>
      <c r="J3106" s="1440"/>
      <c r="K3106" s="1439"/>
      <c r="L3106" s="1439"/>
      <c r="M3106" s="1439"/>
      <c r="N3106" s="1441"/>
      <c r="O3106" s="552" t="s">
        <v>1584</v>
      </c>
      <c r="P3106" s="603"/>
      <c r="Q3106" s="682"/>
      <c r="R3106" s="682"/>
      <c r="S3106" s="682"/>
      <c r="T3106" s="682"/>
      <c r="U3106" s="682"/>
      <c r="V3106" s="682"/>
      <c r="W3106" s="682"/>
    </row>
    <row r="3107" spans="1:23">
      <c r="A3107" s="1045">
        <f t="shared" si="49"/>
        <v>9</v>
      </c>
      <c r="B3107" s="134">
        <v>45539</v>
      </c>
      <c r="C3107" s="70">
        <v>5200</v>
      </c>
      <c r="D3107" s="70" t="s">
        <v>83</v>
      </c>
      <c r="E3107" s="280" t="s">
        <v>1884</v>
      </c>
      <c r="F3107" s="1049">
        <v>301.77</v>
      </c>
      <c r="G3107" s="1049"/>
      <c r="H3107" s="564">
        <v>15165</v>
      </c>
      <c r="I3107" s="609"/>
      <c r="J3107" s="1155"/>
      <c r="K3107" s="609">
        <v>256</v>
      </c>
      <c r="L3107" s="609"/>
      <c r="M3107" s="609"/>
      <c r="N3107" s="599"/>
      <c r="O3107" s="552" t="s">
        <v>1584</v>
      </c>
      <c r="P3107" s="603"/>
      <c r="Q3107" s="682"/>
      <c r="R3107" s="682"/>
      <c r="S3107" s="682"/>
      <c r="T3107" s="682"/>
      <c r="U3107" s="682"/>
      <c r="V3107" s="682"/>
      <c r="W3107" s="682"/>
    </row>
    <row r="3108" spans="1:23">
      <c r="A3108" s="1045">
        <f t="shared" si="49"/>
        <v>9</v>
      </c>
      <c r="B3108" s="134">
        <v>45542</v>
      </c>
      <c r="C3108" s="70">
        <v>5200</v>
      </c>
      <c r="D3108" s="70" t="s">
        <v>83</v>
      </c>
      <c r="E3108" s="280" t="s">
        <v>1885</v>
      </c>
      <c r="F3108" s="1049">
        <v>280.07</v>
      </c>
      <c r="G3108" s="1049"/>
      <c r="H3108" s="564">
        <v>15228</v>
      </c>
      <c r="I3108" s="609"/>
      <c r="J3108" s="1155"/>
      <c r="K3108" s="609">
        <v>256</v>
      </c>
      <c r="L3108" s="609"/>
      <c r="M3108" s="609"/>
      <c r="N3108" s="599"/>
      <c r="O3108" s="552" t="s">
        <v>1584</v>
      </c>
      <c r="P3108" s="603"/>
      <c r="Q3108" s="682"/>
      <c r="R3108" s="682"/>
      <c r="S3108" s="682"/>
      <c r="T3108" s="682"/>
      <c r="U3108" s="682"/>
      <c r="V3108" s="682"/>
      <c r="W3108" s="682"/>
    </row>
    <row r="3109" spans="1:23">
      <c r="A3109" s="1045">
        <f t="shared" si="49"/>
        <v>9</v>
      </c>
      <c r="B3109" s="134">
        <v>45545</v>
      </c>
      <c r="C3109" s="70">
        <v>5200</v>
      </c>
      <c r="D3109" s="70" t="s">
        <v>83</v>
      </c>
      <c r="E3109" s="280" t="s">
        <v>1886</v>
      </c>
      <c r="F3109" s="1049">
        <v>140.28</v>
      </c>
      <c r="G3109" s="1049"/>
      <c r="H3109" s="564">
        <v>15278</v>
      </c>
      <c r="I3109" s="609"/>
      <c r="J3109" s="1155"/>
      <c r="K3109" s="609">
        <v>255</v>
      </c>
      <c r="L3109" s="609"/>
      <c r="M3109" s="609"/>
      <c r="N3109" s="599"/>
      <c r="O3109" s="552" t="s">
        <v>1584</v>
      </c>
      <c r="P3109" s="603"/>
      <c r="Q3109" s="682"/>
      <c r="R3109" s="682"/>
      <c r="S3109" s="682"/>
      <c r="T3109" s="682"/>
      <c r="U3109" s="682"/>
      <c r="V3109" s="682"/>
      <c r="W3109" s="682"/>
    </row>
    <row r="3110" spans="1:23">
      <c r="A3110" s="1045">
        <f t="shared" si="49"/>
        <v>9</v>
      </c>
      <c r="B3110" s="134">
        <v>45554</v>
      </c>
      <c r="C3110" s="70">
        <v>5200</v>
      </c>
      <c r="D3110" s="70" t="s">
        <v>83</v>
      </c>
      <c r="E3110" s="280" t="s">
        <v>1887</v>
      </c>
      <c r="F3110" s="1049">
        <v>1497.38</v>
      </c>
      <c r="G3110" s="1049"/>
      <c r="H3110" s="564">
        <v>15458</v>
      </c>
      <c r="I3110" s="609"/>
      <c r="J3110" s="1155"/>
      <c r="K3110" s="609">
        <v>246</v>
      </c>
      <c r="L3110" s="609"/>
      <c r="M3110" s="609"/>
      <c r="N3110" s="599"/>
      <c r="O3110" s="552" t="s">
        <v>1584</v>
      </c>
      <c r="P3110" s="603"/>
      <c r="Q3110" s="682"/>
      <c r="R3110" s="682"/>
      <c r="S3110" s="682"/>
      <c r="T3110" s="682"/>
      <c r="U3110" s="682"/>
      <c r="V3110" s="682"/>
      <c r="W3110" s="682"/>
    </row>
    <row r="3111" spans="1:23">
      <c r="A3111" s="1045">
        <f t="shared" si="49"/>
        <v>9</v>
      </c>
      <c r="B3111" s="134">
        <v>45558</v>
      </c>
      <c r="C3111" s="70">
        <v>5200</v>
      </c>
      <c r="D3111" s="70" t="s">
        <v>83</v>
      </c>
      <c r="E3111" s="280" t="s">
        <v>1888</v>
      </c>
      <c r="F3111" s="1049">
        <v>324.57</v>
      </c>
      <c r="G3111" s="1049"/>
      <c r="H3111" s="564">
        <v>15530</v>
      </c>
      <c r="I3111" s="609"/>
      <c r="J3111" s="1155"/>
      <c r="K3111" s="609">
        <v>249</v>
      </c>
      <c r="L3111" s="609"/>
      <c r="M3111" s="609"/>
      <c r="N3111" s="599"/>
      <c r="O3111" s="552" t="s">
        <v>1584</v>
      </c>
      <c r="P3111" s="603"/>
      <c r="Q3111" s="682"/>
      <c r="R3111" s="682"/>
      <c r="S3111" s="682"/>
      <c r="T3111" s="682"/>
      <c r="U3111" s="682"/>
      <c r="V3111" s="682"/>
      <c r="W3111" s="682"/>
    </row>
    <row r="3112" spans="1:23">
      <c r="A3112" s="1045">
        <f t="shared" si="49"/>
        <v>9</v>
      </c>
      <c r="B3112" s="134">
        <v>45559</v>
      </c>
      <c r="C3112" s="70">
        <v>5200</v>
      </c>
      <c r="D3112" s="70" t="s">
        <v>83</v>
      </c>
      <c r="E3112" s="280" t="s">
        <v>1889</v>
      </c>
      <c r="F3112" s="1049">
        <v>1441.04</v>
      </c>
      <c r="G3112" s="1049"/>
      <c r="H3112" s="564">
        <v>15703</v>
      </c>
      <c r="I3112" s="609"/>
      <c r="J3112" s="1155"/>
      <c r="K3112" s="609">
        <v>256</v>
      </c>
      <c r="L3112" s="609"/>
      <c r="M3112" s="609"/>
      <c r="N3112" s="599"/>
      <c r="O3112" s="552" t="s">
        <v>1584</v>
      </c>
      <c r="P3112" s="603"/>
      <c r="Q3112" s="682"/>
      <c r="R3112" s="682"/>
      <c r="S3112" s="682"/>
      <c r="T3112" s="682"/>
      <c r="U3112" s="682"/>
      <c r="V3112" s="682"/>
      <c r="W3112" s="682"/>
    </row>
    <row r="3113" spans="1:23">
      <c r="A3113" s="1045">
        <f t="shared" si="49"/>
        <v>9</v>
      </c>
      <c r="B3113" s="134">
        <v>45540</v>
      </c>
      <c r="C3113" s="70">
        <v>5200</v>
      </c>
      <c r="D3113" s="70" t="s">
        <v>83</v>
      </c>
      <c r="E3113" s="280" t="s">
        <v>5200</v>
      </c>
      <c r="F3113" s="1049">
        <v>183.46</v>
      </c>
      <c r="G3113" s="1049"/>
      <c r="H3113" s="564">
        <v>14638</v>
      </c>
      <c r="I3113" s="609"/>
      <c r="J3113" s="1155"/>
      <c r="K3113" s="609"/>
      <c r="L3113" s="609"/>
      <c r="M3113" s="609"/>
      <c r="N3113" s="599"/>
      <c r="O3113" s="552" t="s">
        <v>1584</v>
      </c>
      <c r="P3113" s="603"/>
      <c r="Q3113" s="682"/>
      <c r="R3113" s="682"/>
      <c r="S3113" s="682"/>
      <c r="T3113" s="682"/>
      <c r="U3113" s="682"/>
      <c r="V3113" s="682"/>
      <c r="W3113" s="682"/>
    </row>
    <row r="3114" spans="1:23">
      <c r="A3114" s="1045">
        <f t="shared" si="49"/>
        <v>9</v>
      </c>
      <c r="B3114" s="134">
        <v>45540</v>
      </c>
      <c r="C3114" s="70">
        <v>5200</v>
      </c>
      <c r="D3114" s="70" t="s">
        <v>83</v>
      </c>
      <c r="E3114" s="280" t="s">
        <v>5201</v>
      </c>
      <c r="F3114" s="1049">
        <v>256.2</v>
      </c>
      <c r="G3114" s="1049"/>
      <c r="H3114" s="564">
        <v>14643</v>
      </c>
      <c r="I3114" s="609"/>
      <c r="J3114" s="1155"/>
      <c r="K3114" s="609"/>
      <c r="L3114" s="609"/>
      <c r="M3114" s="609"/>
      <c r="N3114" s="599"/>
      <c r="O3114" s="552" t="s">
        <v>1584</v>
      </c>
      <c r="P3114" s="603"/>
      <c r="Q3114" s="682"/>
      <c r="R3114" s="682"/>
      <c r="S3114" s="682"/>
      <c r="T3114" s="682"/>
      <c r="U3114" s="682"/>
      <c r="V3114" s="682"/>
      <c r="W3114" s="682"/>
    </row>
    <row r="3115" spans="1:23">
      <c r="A3115" s="1045">
        <f t="shared" si="49"/>
        <v>8</v>
      </c>
      <c r="B3115" s="134">
        <v>45506</v>
      </c>
      <c r="C3115" s="70">
        <v>5200</v>
      </c>
      <c r="D3115" s="70" t="s">
        <v>83</v>
      </c>
      <c r="E3115" s="280" t="s">
        <v>5202</v>
      </c>
      <c r="F3115" s="1049">
        <v>42</v>
      </c>
      <c r="G3115" s="1049"/>
      <c r="H3115" s="564">
        <v>14545</v>
      </c>
      <c r="I3115" s="609"/>
      <c r="J3115" s="1155"/>
      <c r="K3115" s="609"/>
      <c r="L3115" s="609"/>
      <c r="M3115" s="609"/>
      <c r="N3115" s="599"/>
      <c r="O3115" s="552" t="s">
        <v>1584</v>
      </c>
      <c r="P3115" s="603"/>
      <c r="Q3115" s="682"/>
      <c r="R3115" s="682"/>
      <c r="S3115" s="682"/>
      <c r="T3115" s="682"/>
      <c r="U3115" s="682"/>
      <c r="V3115" s="682"/>
      <c r="W3115" s="682"/>
    </row>
    <row r="3116" spans="1:23">
      <c r="A3116" s="1045">
        <f t="shared" si="49"/>
        <v>8</v>
      </c>
      <c r="B3116" s="134">
        <v>45524</v>
      </c>
      <c r="C3116" s="70">
        <v>5200</v>
      </c>
      <c r="D3116" s="70" t="s">
        <v>83</v>
      </c>
      <c r="E3116" s="280" t="s">
        <v>5203</v>
      </c>
      <c r="F3116" s="1049">
        <v>404.04</v>
      </c>
      <c r="G3116" s="1049"/>
      <c r="H3116" s="564">
        <v>14859</v>
      </c>
      <c r="I3116" s="609"/>
      <c r="J3116" s="1155"/>
      <c r="K3116" s="609"/>
      <c r="L3116" s="609"/>
      <c r="M3116" s="609"/>
      <c r="N3116" s="599"/>
      <c r="O3116" s="552" t="s">
        <v>1584</v>
      </c>
      <c r="P3116" s="603"/>
      <c r="Q3116" s="682"/>
      <c r="R3116" s="682"/>
      <c r="S3116" s="682"/>
      <c r="T3116" s="682"/>
      <c r="U3116" s="682"/>
      <c r="V3116" s="682"/>
      <c r="W3116" s="682"/>
    </row>
    <row r="3117" spans="1:23">
      <c r="A3117" s="1045">
        <f t="shared" si="49"/>
        <v>9</v>
      </c>
      <c r="B3117" s="134">
        <v>45539</v>
      </c>
      <c r="C3117" s="70">
        <v>2000</v>
      </c>
      <c r="D3117" s="70" t="s">
        <v>57</v>
      </c>
      <c r="E3117" s="280" t="s">
        <v>1884</v>
      </c>
      <c r="F3117" s="1049"/>
      <c r="G3117" s="1049">
        <v>301.77</v>
      </c>
      <c r="H3117" s="564">
        <v>15165</v>
      </c>
      <c r="I3117" s="609"/>
      <c r="J3117" s="1155"/>
      <c r="K3117" s="609"/>
      <c r="L3117" s="609"/>
      <c r="M3117" s="609" t="s">
        <v>1578</v>
      </c>
      <c r="N3117" s="599"/>
      <c r="O3117" s="552" t="s">
        <v>1584</v>
      </c>
      <c r="P3117" s="603"/>
      <c r="Q3117" s="682"/>
      <c r="R3117" s="682"/>
      <c r="S3117" s="682"/>
      <c r="T3117" s="682"/>
      <c r="U3117" s="682"/>
      <c r="V3117" s="682"/>
      <c r="W3117" s="682"/>
    </row>
    <row r="3118" spans="1:23">
      <c r="A3118" s="1045">
        <f t="shared" si="49"/>
        <v>9</v>
      </c>
      <c r="B3118" s="134">
        <v>45542</v>
      </c>
      <c r="C3118" s="70">
        <v>2000</v>
      </c>
      <c r="D3118" s="70" t="s">
        <v>57</v>
      </c>
      <c r="E3118" s="280" t="s">
        <v>1885</v>
      </c>
      <c r="F3118" s="1049"/>
      <c r="G3118" s="1049">
        <v>280.07</v>
      </c>
      <c r="H3118" s="564">
        <v>15228</v>
      </c>
      <c r="I3118" s="609"/>
      <c r="J3118" s="1155"/>
      <c r="K3118" s="609"/>
      <c r="L3118" s="609"/>
      <c r="M3118" s="609" t="s">
        <v>1853</v>
      </c>
      <c r="N3118" s="599"/>
      <c r="O3118" s="552" t="s">
        <v>1584</v>
      </c>
      <c r="P3118" s="603"/>
      <c r="Q3118" s="682"/>
      <c r="R3118" s="682"/>
      <c r="S3118" s="682"/>
      <c r="T3118" s="682"/>
      <c r="U3118" s="682"/>
      <c r="V3118" s="682"/>
      <c r="W3118" s="682"/>
    </row>
    <row r="3119" spans="1:23">
      <c r="A3119" s="1045">
        <f t="shared" si="49"/>
        <v>9</v>
      </c>
      <c r="B3119" s="134">
        <v>45545</v>
      </c>
      <c r="C3119" s="70">
        <v>2000</v>
      </c>
      <c r="D3119" s="70" t="s">
        <v>57</v>
      </c>
      <c r="E3119" s="280" t="s">
        <v>1886</v>
      </c>
      <c r="F3119" s="1049"/>
      <c r="G3119" s="1049">
        <v>140.28</v>
      </c>
      <c r="H3119" s="564">
        <v>15278</v>
      </c>
      <c r="I3119" s="609"/>
      <c r="J3119" s="1155"/>
      <c r="K3119" s="609"/>
      <c r="L3119" s="609"/>
      <c r="M3119" s="609" t="s">
        <v>1729</v>
      </c>
      <c r="N3119" s="599"/>
      <c r="O3119" s="552" t="s">
        <v>1584</v>
      </c>
      <c r="P3119" s="603"/>
      <c r="Q3119" s="682"/>
      <c r="R3119" s="682"/>
      <c r="S3119" s="682"/>
      <c r="T3119" s="682"/>
      <c r="U3119" s="682"/>
      <c r="V3119" s="682"/>
      <c r="W3119" s="682"/>
    </row>
    <row r="3120" spans="1:23">
      <c r="A3120" s="1045">
        <f t="shared" si="49"/>
        <v>9</v>
      </c>
      <c r="B3120" s="134">
        <v>45554</v>
      </c>
      <c r="C3120" s="70">
        <v>2000</v>
      </c>
      <c r="D3120" s="70" t="s">
        <v>57</v>
      </c>
      <c r="E3120" s="280" t="s">
        <v>1887</v>
      </c>
      <c r="F3120" s="1049"/>
      <c r="G3120" s="1049">
        <v>1497.38</v>
      </c>
      <c r="H3120" s="564">
        <v>15458</v>
      </c>
      <c r="I3120" s="609"/>
      <c r="J3120" s="1155"/>
      <c r="K3120" s="609"/>
      <c r="L3120" s="609"/>
      <c r="M3120" s="609" t="s">
        <v>1808</v>
      </c>
      <c r="N3120" s="599"/>
      <c r="O3120" s="552" t="s">
        <v>1584</v>
      </c>
      <c r="P3120" s="603"/>
      <c r="Q3120" s="682"/>
      <c r="R3120" s="682"/>
      <c r="S3120" s="682"/>
      <c r="T3120" s="682"/>
      <c r="U3120" s="682"/>
      <c r="V3120" s="682"/>
      <c r="W3120" s="682"/>
    </row>
    <row r="3121" spans="1:31">
      <c r="A3121" s="1045">
        <f t="shared" si="49"/>
        <v>9</v>
      </c>
      <c r="B3121" s="134">
        <v>45558</v>
      </c>
      <c r="C3121" s="70">
        <v>2000</v>
      </c>
      <c r="D3121" s="70" t="s">
        <v>57</v>
      </c>
      <c r="E3121" s="280" t="s">
        <v>1888</v>
      </c>
      <c r="F3121" s="1049"/>
      <c r="G3121" s="1049">
        <v>324.57</v>
      </c>
      <c r="H3121" s="564">
        <v>15530</v>
      </c>
      <c r="I3121" s="609"/>
      <c r="J3121" s="1155"/>
      <c r="K3121" s="609"/>
      <c r="L3121" s="609"/>
      <c r="M3121" s="609" t="s">
        <v>1832</v>
      </c>
      <c r="N3121" s="599"/>
      <c r="O3121" s="552" t="s">
        <v>1584</v>
      </c>
      <c r="P3121" s="603"/>
      <c r="Q3121" s="682"/>
      <c r="R3121" s="682"/>
      <c r="S3121" s="682"/>
      <c r="T3121" s="682"/>
      <c r="U3121" s="682"/>
      <c r="V3121" s="682"/>
      <c r="W3121" s="682"/>
    </row>
    <row r="3122" spans="1:31">
      <c r="A3122" s="1045">
        <f t="shared" si="49"/>
        <v>9</v>
      </c>
      <c r="B3122" s="134">
        <v>45559</v>
      </c>
      <c r="C3122" s="70">
        <v>2000</v>
      </c>
      <c r="D3122" s="70" t="s">
        <v>57</v>
      </c>
      <c r="E3122" s="280" t="s">
        <v>1889</v>
      </c>
      <c r="F3122" s="1049"/>
      <c r="G3122" s="1049">
        <v>1441.04</v>
      </c>
      <c r="H3122" s="564">
        <v>15703</v>
      </c>
      <c r="I3122" s="609"/>
      <c r="J3122" s="1155"/>
      <c r="K3122" s="609"/>
      <c r="L3122" s="609"/>
      <c r="M3122" s="609" t="s">
        <v>1890</v>
      </c>
      <c r="N3122" s="599"/>
      <c r="O3122" s="552" t="s">
        <v>1584</v>
      </c>
      <c r="P3122" s="603"/>
      <c r="Q3122" s="682"/>
      <c r="R3122" s="682"/>
      <c r="S3122" s="682"/>
      <c r="T3122" s="682"/>
      <c r="U3122" s="682"/>
      <c r="V3122" s="682"/>
      <c r="W3122" s="682"/>
    </row>
    <row r="3123" spans="1:31">
      <c r="A3123" s="1045">
        <f t="shared" si="49"/>
        <v>9</v>
      </c>
      <c r="B3123" s="134">
        <v>45540</v>
      </c>
      <c r="C3123" s="70">
        <v>2000</v>
      </c>
      <c r="D3123" s="70" t="s">
        <v>57</v>
      </c>
      <c r="E3123" s="280" t="s">
        <v>5200</v>
      </c>
      <c r="F3123" s="1049"/>
      <c r="G3123" s="1049">
        <v>183.46</v>
      </c>
      <c r="H3123" s="564">
        <v>14638</v>
      </c>
      <c r="I3123" s="609"/>
      <c r="J3123" s="1155"/>
      <c r="K3123" s="609">
        <v>262</v>
      </c>
      <c r="L3123" s="609"/>
      <c r="M3123" s="609" t="s">
        <v>1579</v>
      </c>
      <c r="N3123" s="599"/>
      <c r="O3123" s="552" t="s">
        <v>1584</v>
      </c>
      <c r="P3123" s="603"/>
      <c r="Q3123" s="682"/>
      <c r="R3123" s="682"/>
      <c r="S3123" s="682"/>
      <c r="T3123" s="682"/>
      <c r="U3123" s="682"/>
      <c r="V3123" s="682"/>
      <c r="W3123" s="682"/>
    </row>
    <row r="3124" spans="1:31">
      <c r="A3124" s="1045">
        <f t="shared" si="49"/>
        <v>9</v>
      </c>
      <c r="B3124" s="134">
        <v>45540</v>
      </c>
      <c r="C3124" s="70">
        <v>2000</v>
      </c>
      <c r="D3124" s="70" t="s">
        <v>57</v>
      </c>
      <c r="E3124" s="280" t="s">
        <v>5201</v>
      </c>
      <c r="F3124" s="1049"/>
      <c r="G3124" s="1049">
        <v>256.2</v>
      </c>
      <c r="H3124" s="564">
        <v>14643</v>
      </c>
      <c r="I3124" s="609"/>
      <c r="J3124" s="1155"/>
      <c r="K3124" s="609">
        <v>246</v>
      </c>
      <c r="L3124" s="609"/>
      <c r="M3124" s="609" t="s">
        <v>1593</v>
      </c>
      <c r="N3124" s="599"/>
      <c r="O3124" s="552" t="s">
        <v>1584</v>
      </c>
      <c r="P3124" s="603"/>
      <c r="Q3124" s="682"/>
      <c r="R3124" s="682"/>
      <c r="S3124" s="682"/>
      <c r="T3124" s="682"/>
      <c r="U3124" s="682"/>
      <c r="V3124" s="682"/>
      <c r="W3124" s="682"/>
    </row>
    <row r="3125" spans="1:31">
      <c r="A3125" s="1045">
        <f t="shared" si="49"/>
        <v>8</v>
      </c>
      <c r="B3125" s="134">
        <v>45506</v>
      </c>
      <c r="C3125" s="70">
        <v>2000</v>
      </c>
      <c r="D3125" s="70" t="s">
        <v>57</v>
      </c>
      <c r="E3125" s="280" t="s">
        <v>5202</v>
      </c>
      <c r="F3125" s="1049"/>
      <c r="G3125" s="1049">
        <v>42</v>
      </c>
      <c r="H3125" s="564">
        <v>14545</v>
      </c>
      <c r="I3125" s="609"/>
      <c r="J3125" s="1155"/>
      <c r="K3125" s="609">
        <v>242</v>
      </c>
      <c r="L3125" s="609"/>
      <c r="M3125" s="609" t="s">
        <v>1802</v>
      </c>
      <c r="N3125" s="599"/>
      <c r="O3125" s="552" t="s">
        <v>1584</v>
      </c>
      <c r="P3125" s="603"/>
      <c r="Q3125" s="682"/>
      <c r="R3125" s="682"/>
      <c r="S3125" s="682"/>
      <c r="T3125" s="682"/>
      <c r="U3125" s="682"/>
      <c r="V3125" s="682"/>
      <c r="W3125" s="682"/>
    </row>
    <row r="3126" spans="1:31">
      <c r="A3126" s="1045">
        <f t="shared" si="49"/>
        <v>8</v>
      </c>
      <c r="B3126" s="134">
        <v>45524</v>
      </c>
      <c r="C3126" s="70">
        <v>2000</v>
      </c>
      <c r="D3126" s="70" t="s">
        <v>57</v>
      </c>
      <c r="E3126" s="280" t="s">
        <v>5203</v>
      </c>
      <c r="F3126" s="1049"/>
      <c r="G3126" s="1049">
        <v>404.04</v>
      </c>
      <c r="H3126" s="564">
        <v>14859</v>
      </c>
      <c r="I3126" s="609"/>
      <c r="J3126" s="1155"/>
      <c r="K3126" s="609">
        <v>243</v>
      </c>
      <c r="L3126" s="609"/>
      <c r="M3126" s="609" t="s">
        <v>1804</v>
      </c>
      <c r="N3126" s="599"/>
      <c r="O3126" s="552" t="s">
        <v>1584</v>
      </c>
      <c r="P3126" s="603"/>
      <c r="Q3126" s="682"/>
      <c r="R3126" s="682"/>
      <c r="S3126" s="682"/>
      <c r="T3126" s="682"/>
      <c r="U3126" s="682"/>
      <c r="V3126" s="682"/>
      <c r="W3126" s="682"/>
    </row>
    <row r="3127" spans="1:31">
      <c r="A3127" s="1045" t="str">
        <f t="shared" si="49"/>
        <v/>
      </c>
      <c r="B3127" s="1046"/>
      <c r="C3127" s="1045"/>
      <c r="D3127" s="1045" t="s">
        <v>5728</v>
      </c>
      <c r="E3127" s="1047"/>
      <c r="F3127" s="1437"/>
      <c r="G3127" s="1437"/>
      <c r="H3127" s="1438"/>
      <c r="I3127" s="1439"/>
      <c r="J3127" s="1440"/>
      <c r="K3127" s="1439"/>
      <c r="L3127" s="1439"/>
      <c r="M3127" s="1439"/>
      <c r="N3127" s="1441"/>
      <c r="O3127" s="1442" t="s">
        <v>1584</v>
      </c>
      <c r="P3127" s="603"/>
      <c r="Q3127" s="682"/>
      <c r="R3127" s="682"/>
      <c r="S3127" s="682"/>
      <c r="T3127" s="682"/>
      <c r="U3127" s="682"/>
      <c r="V3127" s="682"/>
      <c r="W3127" s="682"/>
    </row>
    <row r="3128" spans="1:31">
      <c r="A3128" s="1045">
        <f t="shared" si="49"/>
        <v>10</v>
      </c>
      <c r="B3128" s="134">
        <v>45593</v>
      </c>
      <c r="C3128" s="70">
        <v>2000</v>
      </c>
      <c r="D3128" s="70" t="s">
        <v>57</v>
      </c>
      <c r="E3128" s="280" t="s">
        <v>5193</v>
      </c>
      <c r="F3128" s="1049">
        <v>301.77</v>
      </c>
      <c r="G3128" s="1049"/>
      <c r="H3128" s="564" t="s">
        <v>5199</v>
      </c>
      <c r="I3128" s="609"/>
      <c r="J3128" s="1155"/>
      <c r="K3128" s="609"/>
      <c r="L3128" s="609"/>
      <c r="M3128" s="609" t="s">
        <v>1578</v>
      </c>
      <c r="N3128" s="599"/>
      <c r="O3128" s="552" t="s">
        <v>1584</v>
      </c>
      <c r="P3128" s="603"/>
      <c r="Q3128" s="682"/>
      <c r="R3128" s="682"/>
      <c r="S3128" s="682"/>
      <c r="T3128" s="682"/>
      <c r="U3128" s="682"/>
      <c r="V3128" s="682"/>
      <c r="W3128" s="682"/>
      <c r="AE3128" s="2" t="s">
        <v>3045</v>
      </c>
    </row>
    <row r="3129" spans="1:31">
      <c r="A3129" s="1045">
        <f t="shared" si="49"/>
        <v>10</v>
      </c>
      <c r="B3129" s="134">
        <v>45593</v>
      </c>
      <c r="C3129" s="70">
        <v>2000</v>
      </c>
      <c r="D3129" s="70" t="s">
        <v>57</v>
      </c>
      <c r="E3129" s="280" t="s">
        <v>5194</v>
      </c>
      <c r="F3129" s="1049">
        <v>280.07</v>
      </c>
      <c r="G3129" s="1049"/>
      <c r="H3129" s="564" t="s">
        <v>5199</v>
      </c>
      <c r="I3129" s="609"/>
      <c r="J3129" s="1155"/>
      <c r="K3129" s="609"/>
      <c r="L3129" s="609"/>
      <c r="M3129" s="609" t="s">
        <v>1853</v>
      </c>
      <c r="N3129" s="599"/>
      <c r="O3129" s="552" t="s">
        <v>1584</v>
      </c>
      <c r="P3129" s="603"/>
      <c r="Q3129" s="682"/>
      <c r="R3129" s="682"/>
      <c r="S3129" s="682"/>
      <c r="T3129" s="682"/>
      <c r="U3129" s="682"/>
      <c r="V3129" s="682"/>
      <c r="W3129" s="682"/>
      <c r="AE3129" s="2" t="s">
        <v>3045</v>
      </c>
    </row>
    <row r="3130" spans="1:31">
      <c r="A3130" s="1045">
        <f t="shared" si="49"/>
        <v>10</v>
      </c>
      <c r="B3130" s="134">
        <v>45593</v>
      </c>
      <c r="C3130" s="70">
        <v>2000</v>
      </c>
      <c r="D3130" s="70" t="s">
        <v>57</v>
      </c>
      <c r="E3130" s="280" t="s">
        <v>5195</v>
      </c>
      <c r="F3130" s="1049">
        <v>140.28</v>
      </c>
      <c r="G3130" s="1049"/>
      <c r="H3130" s="564" t="s">
        <v>5199</v>
      </c>
      <c r="I3130" s="609"/>
      <c r="J3130" s="1155"/>
      <c r="K3130" s="609"/>
      <c r="L3130" s="609"/>
      <c r="M3130" s="609" t="s">
        <v>1729</v>
      </c>
      <c r="N3130" s="599"/>
      <c r="O3130" s="552" t="s">
        <v>1584</v>
      </c>
      <c r="P3130" s="603"/>
      <c r="Q3130" s="682"/>
      <c r="R3130" s="682"/>
      <c r="S3130" s="682"/>
      <c r="T3130" s="682"/>
      <c r="U3130" s="682"/>
      <c r="V3130" s="682"/>
      <c r="W3130" s="682"/>
      <c r="AE3130" s="2" t="s">
        <v>3045</v>
      </c>
    </row>
    <row r="3131" spans="1:31">
      <c r="A3131" s="1045">
        <f t="shared" si="49"/>
        <v>10</v>
      </c>
      <c r="B3131" s="134">
        <v>45593</v>
      </c>
      <c r="C3131" s="70">
        <v>2000</v>
      </c>
      <c r="D3131" s="70" t="s">
        <v>57</v>
      </c>
      <c r="E3131" s="280" t="s">
        <v>5196</v>
      </c>
      <c r="F3131" s="1049">
        <v>1497.38</v>
      </c>
      <c r="G3131" s="1049"/>
      <c r="H3131" s="564" t="s">
        <v>5199</v>
      </c>
      <c r="I3131" s="609"/>
      <c r="J3131" s="1155"/>
      <c r="K3131" s="609"/>
      <c r="L3131" s="609"/>
      <c r="M3131" s="609" t="s">
        <v>1808</v>
      </c>
      <c r="N3131" s="599"/>
      <c r="O3131" s="552" t="s">
        <v>1584</v>
      </c>
      <c r="P3131" s="603"/>
      <c r="Q3131" s="682"/>
      <c r="R3131" s="682"/>
      <c r="S3131" s="682"/>
      <c r="T3131" s="682"/>
      <c r="U3131" s="682"/>
      <c r="V3131" s="682"/>
      <c r="W3131" s="682"/>
      <c r="AE3131" s="2" t="s">
        <v>3045</v>
      </c>
    </row>
    <row r="3132" spans="1:31">
      <c r="A3132" s="1045">
        <f t="shared" si="49"/>
        <v>10</v>
      </c>
      <c r="B3132" s="134">
        <v>45593</v>
      </c>
      <c r="C3132" s="70">
        <v>2000</v>
      </c>
      <c r="D3132" s="70" t="s">
        <v>57</v>
      </c>
      <c r="E3132" s="280" t="s">
        <v>5197</v>
      </c>
      <c r="F3132" s="1049">
        <v>324.57</v>
      </c>
      <c r="G3132" s="1049"/>
      <c r="H3132" s="564" t="s">
        <v>5199</v>
      </c>
      <c r="I3132" s="609"/>
      <c r="J3132" s="1155"/>
      <c r="K3132" s="609"/>
      <c r="L3132" s="609"/>
      <c r="M3132" s="609" t="s">
        <v>1832</v>
      </c>
      <c r="N3132" s="599"/>
      <c r="O3132" s="552" t="s">
        <v>1584</v>
      </c>
      <c r="P3132" s="603"/>
      <c r="Q3132" s="682"/>
      <c r="R3132" s="682"/>
      <c r="S3132" s="682"/>
      <c r="T3132" s="682"/>
      <c r="U3132" s="682"/>
      <c r="V3132" s="682"/>
      <c r="W3132" s="682"/>
      <c r="AE3132" s="2" t="s">
        <v>3045</v>
      </c>
    </row>
    <row r="3133" spans="1:31">
      <c r="A3133" s="1045">
        <f t="shared" si="49"/>
        <v>10</v>
      </c>
      <c r="B3133" s="134">
        <v>45593</v>
      </c>
      <c r="C3133" s="70">
        <v>2000</v>
      </c>
      <c r="D3133" s="70" t="s">
        <v>57</v>
      </c>
      <c r="E3133" s="280" t="s">
        <v>5198</v>
      </c>
      <c r="F3133" s="1049">
        <v>1441.04</v>
      </c>
      <c r="G3133" s="1049"/>
      <c r="H3133" s="564" t="s">
        <v>5199</v>
      </c>
      <c r="I3133" s="609"/>
      <c r="J3133" s="1155"/>
      <c r="K3133" s="609"/>
      <c r="L3133" s="609"/>
      <c r="M3133" s="609" t="s">
        <v>1890</v>
      </c>
      <c r="N3133" s="599"/>
      <c r="O3133" s="552" t="s">
        <v>1584</v>
      </c>
      <c r="P3133" s="603"/>
      <c r="Q3133" s="682"/>
      <c r="R3133" s="682"/>
      <c r="S3133" s="682"/>
      <c r="T3133" s="682"/>
      <c r="U3133" s="682"/>
      <c r="V3133" s="682"/>
      <c r="W3133" s="682"/>
      <c r="AE3133" s="2" t="s">
        <v>3045</v>
      </c>
    </row>
    <row r="3134" spans="1:31">
      <c r="A3134" s="1045">
        <f t="shared" si="49"/>
        <v>10</v>
      </c>
      <c r="B3134" s="134">
        <v>45593</v>
      </c>
      <c r="C3134" s="70">
        <v>2000</v>
      </c>
      <c r="D3134" s="70" t="s">
        <v>57</v>
      </c>
      <c r="E3134" s="280" t="s">
        <v>5204</v>
      </c>
      <c r="F3134" s="1049">
        <v>183.46</v>
      </c>
      <c r="G3134" s="1049"/>
      <c r="H3134" s="564" t="s">
        <v>5199</v>
      </c>
      <c r="I3134" s="609"/>
      <c r="J3134" s="1155"/>
      <c r="K3134" s="609"/>
      <c r="L3134" s="609"/>
      <c r="M3134" s="609" t="s">
        <v>1579</v>
      </c>
      <c r="N3134" s="599"/>
      <c r="O3134" s="552" t="s">
        <v>1584</v>
      </c>
      <c r="P3134" s="603"/>
      <c r="Q3134" s="682"/>
      <c r="R3134" s="682"/>
      <c r="S3134" s="682"/>
      <c r="T3134" s="682"/>
      <c r="U3134" s="682"/>
      <c r="V3134" s="682"/>
      <c r="W3134" s="682"/>
      <c r="AE3134" s="2" t="s">
        <v>3045</v>
      </c>
    </row>
    <row r="3135" spans="1:31">
      <c r="A3135" s="1045">
        <f t="shared" si="49"/>
        <v>10</v>
      </c>
      <c r="B3135" s="134">
        <v>45593</v>
      </c>
      <c r="C3135" s="70">
        <v>2000</v>
      </c>
      <c r="D3135" s="70" t="s">
        <v>57</v>
      </c>
      <c r="E3135" s="280" t="s">
        <v>5205</v>
      </c>
      <c r="F3135" s="1049">
        <v>256.2</v>
      </c>
      <c r="G3135" s="1049"/>
      <c r="H3135" s="564" t="s">
        <v>5199</v>
      </c>
      <c r="I3135" s="609"/>
      <c r="J3135" s="1155"/>
      <c r="K3135" s="609"/>
      <c r="L3135" s="609"/>
      <c r="M3135" s="609" t="s">
        <v>1593</v>
      </c>
      <c r="N3135" s="599"/>
      <c r="O3135" s="552" t="s">
        <v>1584</v>
      </c>
      <c r="P3135" s="603"/>
      <c r="Q3135" s="682"/>
      <c r="R3135" s="682"/>
      <c r="S3135" s="682"/>
      <c r="T3135" s="682"/>
      <c r="U3135" s="682"/>
      <c r="V3135" s="682"/>
      <c r="W3135" s="682"/>
      <c r="AE3135" s="2" t="s">
        <v>3045</v>
      </c>
    </row>
    <row r="3136" spans="1:31">
      <c r="A3136" s="1045">
        <f t="shared" si="49"/>
        <v>10</v>
      </c>
      <c r="B3136" s="134">
        <v>45593</v>
      </c>
      <c r="C3136" s="70">
        <v>2000</v>
      </c>
      <c r="D3136" s="70" t="s">
        <v>57</v>
      </c>
      <c r="E3136" s="280" t="s">
        <v>5206</v>
      </c>
      <c r="F3136" s="1049">
        <v>42</v>
      </c>
      <c r="G3136" s="1049"/>
      <c r="H3136" s="564" t="s">
        <v>5199</v>
      </c>
      <c r="I3136" s="609"/>
      <c r="J3136" s="1155"/>
      <c r="K3136" s="609"/>
      <c r="L3136" s="609"/>
      <c r="M3136" s="609" t="s">
        <v>1802</v>
      </c>
      <c r="N3136" s="599"/>
      <c r="O3136" s="552" t="s">
        <v>1584</v>
      </c>
      <c r="P3136" s="603"/>
      <c r="Q3136" s="682"/>
      <c r="R3136" s="682"/>
      <c r="S3136" s="682"/>
      <c r="T3136" s="682"/>
      <c r="U3136" s="682"/>
      <c r="V3136" s="682"/>
      <c r="W3136" s="682"/>
      <c r="AE3136" s="2" t="s">
        <v>3045</v>
      </c>
    </row>
    <row r="3137" spans="1:31">
      <c r="A3137" s="1045">
        <f t="shared" si="49"/>
        <v>10</v>
      </c>
      <c r="B3137" s="134">
        <v>45593</v>
      </c>
      <c r="C3137" s="70">
        <v>2000</v>
      </c>
      <c r="D3137" s="70" t="s">
        <v>57</v>
      </c>
      <c r="E3137" s="280" t="s">
        <v>5207</v>
      </c>
      <c r="F3137" s="1049">
        <v>404.04</v>
      </c>
      <c r="G3137" s="1049"/>
      <c r="H3137" s="564" t="s">
        <v>5199</v>
      </c>
      <c r="I3137" s="609"/>
      <c r="J3137" s="1155"/>
      <c r="K3137" s="609"/>
      <c r="L3137" s="609"/>
      <c r="M3137" s="609" t="s">
        <v>1804</v>
      </c>
      <c r="N3137" s="599"/>
      <c r="O3137" s="552" t="s">
        <v>1584</v>
      </c>
      <c r="P3137" s="603"/>
      <c r="Q3137" s="682"/>
      <c r="R3137" s="682"/>
      <c r="S3137" s="682"/>
      <c r="T3137" s="682"/>
      <c r="U3137" s="682"/>
      <c r="V3137" s="682"/>
      <c r="W3137" s="682"/>
      <c r="AE3137" s="2" t="s">
        <v>3045</v>
      </c>
    </row>
    <row r="3138" spans="1:31">
      <c r="A3138" s="1045">
        <f t="shared" si="49"/>
        <v>10</v>
      </c>
      <c r="B3138" s="134">
        <v>45593</v>
      </c>
      <c r="C3138" s="70">
        <v>1022</v>
      </c>
      <c r="D3138" s="70" t="s">
        <v>5119</v>
      </c>
      <c r="E3138" s="280" t="s">
        <v>5208</v>
      </c>
      <c r="F3138" s="1049"/>
      <c r="G3138" s="1049">
        <v>4871</v>
      </c>
      <c r="H3138" s="564" t="s">
        <v>5199</v>
      </c>
      <c r="I3138" s="609">
        <v>956</v>
      </c>
      <c r="J3138" s="1155">
        <v>45616</v>
      </c>
      <c r="K3138" s="609"/>
      <c r="L3138" s="609"/>
      <c r="M3138" s="609"/>
      <c r="N3138" s="599"/>
      <c r="O3138" s="552" t="s">
        <v>1584</v>
      </c>
      <c r="P3138" s="603"/>
      <c r="Q3138" s="682"/>
      <c r="R3138" s="682"/>
      <c r="S3138" s="682"/>
      <c r="T3138" s="682"/>
      <c r="U3138" s="682"/>
      <c r="V3138" s="682"/>
      <c r="W3138" s="682"/>
    </row>
    <row r="3139" spans="1:31">
      <c r="A3139" s="1045">
        <f t="shared" si="49"/>
        <v>10</v>
      </c>
      <c r="B3139" s="134">
        <v>45591</v>
      </c>
      <c r="C3139" s="70">
        <v>2018</v>
      </c>
      <c r="D3139" s="70" t="s">
        <v>58</v>
      </c>
      <c r="E3139" s="280" t="s">
        <v>5220</v>
      </c>
      <c r="F3139" s="1049">
        <v>11263.9</v>
      </c>
      <c r="G3139" s="1049"/>
      <c r="H3139" s="564"/>
      <c r="I3139" s="609"/>
      <c r="J3139" s="1155"/>
      <c r="K3139" s="609"/>
      <c r="L3139" s="609"/>
      <c r="M3139" s="609"/>
      <c r="N3139" s="599"/>
      <c r="O3139" s="552" t="s">
        <v>1584</v>
      </c>
      <c r="P3139" s="603"/>
      <c r="Q3139" s="682"/>
      <c r="R3139" s="682"/>
      <c r="S3139" s="682"/>
      <c r="T3139" s="682"/>
      <c r="U3139" s="682"/>
      <c r="V3139" s="682"/>
      <c r="W3139" s="682"/>
    </row>
    <row r="3140" spans="1:31">
      <c r="A3140" s="1045">
        <f t="shared" si="49"/>
        <v>10</v>
      </c>
      <c r="B3140" s="134">
        <v>45591</v>
      </c>
      <c r="C3140" s="70">
        <v>7200</v>
      </c>
      <c r="D3140" s="70" t="s">
        <v>140</v>
      </c>
      <c r="E3140" s="280" t="s">
        <v>5220</v>
      </c>
      <c r="F3140" s="1049">
        <v>24.26</v>
      </c>
      <c r="G3140" s="1049"/>
      <c r="H3140" s="564"/>
      <c r="I3140" s="609"/>
      <c r="J3140" s="1155"/>
      <c r="K3140" s="609"/>
      <c r="L3140" s="609"/>
      <c r="M3140" s="609"/>
      <c r="N3140" s="599"/>
      <c r="O3140" s="552" t="s">
        <v>1584</v>
      </c>
      <c r="P3140" s="603"/>
      <c r="Q3140" s="682"/>
      <c r="R3140" s="682"/>
      <c r="S3140" s="682"/>
      <c r="T3140" s="682"/>
      <c r="U3140" s="682"/>
      <c r="V3140" s="682"/>
      <c r="W3140" s="682"/>
    </row>
    <row r="3141" spans="1:31">
      <c r="A3141" s="1045">
        <f t="shared" si="49"/>
        <v>10</v>
      </c>
      <c r="B3141" s="134">
        <v>45591</v>
      </c>
      <c r="C3141" s="70">
        <v>1025</v>
      </c>
      <c r="D3141" s="70" t="s">
        <v>5120</v>
      </c>
      <c r="E3141" s="280" t="s">
        <v>5220</v>
      </c>
      <c r="F3141" s="1049"/>
      <c r="G3141" s="1049">
        <v>11288</v>
      </c>
      <c r="H3141" s="564"/>
      <c r="I3141" s="609"/>
      <c r="J3141" s="1155"/>
      <c r="K3141" s="609"/>
      <c r="L3141" s="609"/>
      <c r="M3141" s="609"/>
      <c r="N3141" s="599"/>
      <c r="O3141" s="552" t="s">
        <v>1584</v>
      </c>
      <c r="P3141" s="603"/>
      <c r="Q3141" s="682"/>
      <c r="R3141" s="682"/>
      <c r="S3141" s="682"/>
      <c r="T3141" s="682"/>
      <c r="U3141" s="682"/>
      <c r="V3141" s="682"/>
      <c r="W3141" s="682"/>
    </row>
    <row r="3142" spans="1:31">
      <c r="A3142" s="1045">
        <f t="shared" si="49"/>
        <v>10</v>
      </c>
      <c r="B3142" s="134">
        <v>45591</v>
      </c>
      <c r="C3142" s="70">
        <v>1017</v>
      </c>
      <c r="D3142" s="70" t="s">
        <v>5118</v>
      </c>
      <c r="E3142" s="280" t="s">
        <v>5219</v>
      </c>
      <c r="F3142" s="1049">
        <v>15000</v>
      </c>
      <c r="G3142" s="1049"/>
      <c r="H3142" s="564"/>
      <c r="I3142" s="609"/>
      <c r="J3142" s="1155"/>
      <c r="K3142" s="609"/>
      <c r="L3142" s="609"/>
      <c r="M3142" s="609"/>
      <c r="N3142" s="599"/>
      <c r="O3142" s="552" t="s">
        <v>1584</v>
      </c>
      <c r="P3142" s="603"/>
      <c r="Q3142" s="682"/>
      <c r="R3142" s="682"/>
      <c r="S3142" s="682"/>
      <c r="T3142" s="682"/>
      <c r="U3142" s="682"/>
      <c r="V3142" s="682"/>
      <c r="W3142" s="682"/>
    </row>
    <row r="3143" spans="1:31">
      <c r="A3143" s="1045">
        <f t="shared" si="49"/>
        <v>10</v>
      </c>
      <c r="B3143" s="134">
        <v>45591</v>
      </c>
      <c r="C3143" s="70">
        <v>1025</v>
      </c>
      <c r="D3143" s="70" t="s">
        <v>5120</v>
      </c>
      <c r="E3143" s="280" t="s">
        <v>5219</v>
      </c>
      <c r="F3143" s="1049"/>
      <c r="G3143" s="1049">
        <v>15000</v>
      </c>
      <c r="H3143" s="564"/>
      <c r="I3143" s="609"/>
      <c r="J3143" s="1155"/>
      <c r="K3143" s="609"/>
      <c r="L3143" s="609"/>
      <c r="M3143" s="609"/>
      <c r="N3143" s="599"/>
      <c r="O3143" s="552" t="s">
        <v>1584</v>
      </c>
      <c r="P3143" s="603"/>
      <c r="Q3143" s="682"/>
      <c r="R3143" s="682"/>
      <c r="S3143" s="682"/>
      <c r="T3143" s="682"/>
      <c r="U3143" s="682"/>
      <c r="V3143" s="682"/>
      <c r="W3143" s="682"/>
    </row>
    <row r="3144" spans="1:31">
      <c r="A3144" s="1045">
        <f t="shared" si="49"/>
        <v>10</v>
      </c>
      <c r="B3144" s="134">
        <v>45591</v>
      </c>
      <c r="C3144" s="70">
        <v>1025</v>
      </c>
      <c r="D3144" s="70" t="s">
        <v>5120</v>
      </c>
      <c r="E3144" s="280" t="s">
        <v>5235</v>
      </c>
      <c r="F3144" s="1049">
        <v>27000</v>
      </c>
      <c r="G3144" s="1049"/>
      <c r="H3144" s="564" t="s">
        <v>5236</v>
      </c>
      <c r="I3144" s="609"/>
      <c r="J3144" s="1155"/>
      <c r="K3144" s="609"/>
      <c r="L3144" s="609"/>
      <c r="M3144" s="609"/>
      <c r="N3144" s="599"/>
      <c r="O3144" s="552" t="s">
        <v>1584</v>
      </c>
      <c r="P3144" s="603"/>
      <c r="Q3144" s="682"/>
      <c r="R3144" s="682"/>
      <c r="S3144" s="682"/>
      <c r="T3144" s="682"/>
      <c r="U3144" s="682"/>
      <c r="V3144" s="682"/>
      <c r="W3144" s="682"/>
    </row>
    <row r="3145" spans="1:31">
      <c r="A3145" s="1045">
        <f t="shared" si="49"/>
        <v>10</v>
      </c>
      <c r="B3145" s="134">
        <v>45591</v>
      </c>
      <c r="C3145" s="70">
        <v>1022</v>
      </c>
      <c r="D3145" s="70" t="s">
        <v>5119</v>
      </c>
      <c r="E3145" s="280" t="s">
        <v>5235</v>
      </c>
      <c r="F3145" s="1049"/>
      <c r="G3145" s="1049">
        <v>27000</v>
      </c>
      <c r="H3145" s="564" t="s">
        <v>5236</v>
      </c>
      <c r="I3145" s="609"/>
      <c r="J3145" s="1155"/>
      <c r="K3145" s="609"/>
      <c r="L3145" s="609"/>
      <c r="M3145" s="609"/>
      <c r="N3145" s="599"/>
      <c r="O3145" s="552" t="s">
        <v>1584</v>
      </c>
      <c r="P3145" s="603"/>
      <c r="Q3145" s="682"/>
      <c r="R3145" s="682"/>
      <c r="S3145" s="682"/>
      <c r="T3145" s="682"/>
      <c r="U3145" s="682"/>
      <c r="V3145" s="682"/>
      <c r="W3145" s="682"/>
    </row>
    <row r="3146" spans="1:31">
      <c r="A3146" s="1045">
        <f t="shared" si="49"/>
        <v>10</v>
      </c>
      <c r="B3146" s="134">
        <v>45591</v>
      </c>
      <c r="C3146" s="70">
        <v>5150</v>
      </c>
      <c r="D3146" s="70" t="s">
        <v>82</v>
      </c>
      <c r="E3146" s="280" t="s">
        <v>5221</v>
      </c>
      <c r="F3146" s="1049">
        <v>4935</v>
      </c>
      <c r="G3146" s="1049"/>
      <c r="H3146" s="564" t="s">
        <v>5222</v>
      </c>
      <c r="I3146" s="609"/>
      <c r="J3146" s="1155"/>
      <c r="K3146" s="609">
        <v>257</v>
      </c>
      <c r="L3146" s="609"/>
      <c r="M3146" s="609"/>
      <c r="N3146" s="599">
        <v>246.75</v>
      </c>
      <c r="O3146" s="552" t="s">
        <v>1584</v>
      </c>
      <c r="P3146" s="603"/>
      <c r="Q3146" s="682"/>
      <c r="R3146" s="682"/>
      <c r="S3146" s="682"/>
      <c r="T3146" s="682"/>
      <c r="U3146" s="682"/>
      <c r="V3146" s="682"/>
      <c r="W3146" s="682"/>
      <c r="AE3146" s="2" t="s">
        <v>5225</v>
      </c>
    </row>
    <row r="3147" spans="1:31">
      <c r="A3147" s="1045">
        <f t="shared" si="49"/>
        <v>10</v>
      </c>
      <c r="B3147" s="134">
        <v>45591</v>
      </c>
      <c r="C3147" s="70">
        <v>2018</v>
      </c>
      <c r="D3147" s="70" t="s">
        <v>58</v>
      </c>
      <c r="E3147" s="280" t="s">
        <v>5221</v>
      </c>
      <c r="F3147" s="1049">
        <v>246.75</v>
      </c>
      <c r="G3147" s="1049"/>
      <c r="H3147" s="564" t="s">
        <v>5222</v>
      </c>
      <c r="I3147" s="609"/>
      <c r="J3147" s="1155"/>
      <c r="K3147" s="609"/>
      <c r="L3147" s="609"/>
      <c r="M3147" s="609"/>
      <c r="N3147" s="599"/>
      <c r="O3147" s="552" t="s">
        <v>1584</v>
      </c>
      <c r="P3147" s="603"/>
      <c r="Q3147" s="682"/>
      <c r="R3147" s="682"/>
      <c r="S3147" s="682"/>
      <c r="T3147" s="682"/>
      <c r="U3147" s="682"/>
      <c r="V3147" s="682"/>
      <c r="W3147" s="682"/>
    </row>
    <row r="3148" spans="1:31">
      <c r="A3148" s="1045">
        <f t="shared" si="49"/>
        <v>10</v>
      </c>
      <c r="B3148" s="134">
        <v>45591</v>
      </c>
      <c r="C3148" s="70">
        <v>2000</v>
      </c>
      <c r="D3148" s="70" t="s">
        <v>57</v>
      </c>
      <c r="E3148" s="280" t="s">
        <v>5221</v>
      </c>
      <c r="F3148" s="1049"/>
      <c r="G3148" s="1049">
        <v>5181.75</v>
      </c>
      <c r="H3148" s="564" t="s">
        <v>5222</v>
      </c>
      <c r="I3148" s="609"/>
      <c r="J3148" s="1155"/>
      <c r="K3148" s="609"/>
      <c r="L3148" s="609"/>
      <c r="M3148" s="609" t="s">
        <v>1259</v>
      </c>
      <c r="N3148" s="599"/>
      <c r="O3148" s="552" t="s">
        <v>1584</v>
      </c>
      <c r="P3148" s="603"/>
      <c r="Q3148" s="682"/>
      <c r="R3148" s="682"/>
      <c r="S3148" s="682"/>
      <c r="T3148" s="682"/>
      <c r="U3148" s="682"/>
      <c r="V3148" s="682"/>
      <c r="W3148" s="682"/>
      <c r="AE3148" s="2" t="s">
        <v>2960</v>
      </c>
    </row>
    <row r="3149" spans="1:31">
      <c r="A3149" s="1045">
        <f t="shared" si="49"/>
        <v>10</v>
      </c>
      <c r="B3149" s="134">
        <v>45591</v>
      </c>
      <c r="C3149" s="70">
        <v>5150</v>
      </c>
      <c r="D3149" s="70" t="s">
        <v>82</v>
      </c>
      <c r="E3149" s="280" t="s">
        <v>5223</v>
      </c>
      <c r="F3149" s="1049">
        <v>4195</v>
      </c>
      <c r="G3149" s="1049"/>
      <c r="H3149" s="564" t="s">
        <v>5224</v>
      </c>
      <c r="I3149" s="609"/>
      <c r="J3149" s="1155"/>
      <c r="K3149" s="609">
        <v>249</v>
      </c>
      <c r="L3149" s="609"/>
      <c r="M3149" s="609"/>
      <c r="N3149" s="599">
        <v>209.75</v>
      </c>
      <c r="O3149" s="552" t="s">
        <v>1584</v>
      </c>
      <c r="P3149" s="603"/>
      <c r="Q3149" s="682"/>
      <c r="R3149" s="682"/>
      <c r="S3149" s="682"/>
      <c r="T3149" s="682"/>
      <c r="U3149" s="682"/>
      <c r="V3149" s="682"/>
      <c r="W3149" s="682"/>
      <c r="AE3149" s="2" t="s">
        <v>5226</v>
      </c>
    </row>
    <row r="3150" spans="1:31">
      <c r="A3150" s="1045">
        <f t="shared" si="49"/>
        <v>10</v>
      </c>
      <c r="B3150" s="134">
        <v>45591</v>
      </c>
      <c r="C3150" s="70">
        <v>2018</v>
      </c>
      <c r="D3150" s="70" t="s">
        <v>58</v>
      </c>
      <c r="E3150" s="280" t="s">
        <v>5223</v>
      </c>
      <c r="F3150" s="1049">
        <v>209.75</v>
      </c>
      <c r="G3150" s="1049"/>
      <c r="H3150" s="564" t="s">
        <v>5224</v>
      </c>
      <c r="I3150" s="609"/>
      <c r="J3150" s="1155"/>
      <c r="K3150" s="609"/>
      <c r="L3150" s="609"/>
      <c r="M3150" s="609"/>
      <c r="N3150" s="599"/>
      <c r="O3150" s="552" t="s">
        <v>1584</v>
      </c>
      <c r="P3150" s="603"/>
      <c r="Q3150" s="682"/>
      <c r="R3150" s="682"/>
      <c r="S3150" s="682"/>
      <c r="T3150" s="682"/>
      <c r="U3150" s="682"/>
      <c r="V3150" s="682"/>
      <c r="W3150" s="682"/>
    </row>
    <row r="3151" spans="1:31">
      <c r="A3151" s="1045">
        <f t="shared" si="49"/>
        <v>10</v>
      </c>
      <c r="B3151" s="134">
        <v>45591</v>
      </c>
      <c r="C3151" s="70">
        <v>2000</v>
      </c>
      <c r="D3151" s="70" t="s">
        <v>57</v>
      </c>
      <c r="E3151" s="280" t="s">
        <v>5223</v>
      </c>
      <c r="F3151" s="1049"/>
      <c r="G3151" s="1049">
        <v>4404.75</v>
      </c>
      <c r="H3151" s="564" t="s">
        <v>5224</v>
      </c>
      <c r="I3151" s="609"/>
      <c r="J3151" s="1155"/>
      <c r="K3151" s="609"/>
      <c r="L3151" s="609"/>
      <c r="M3151" s="609" t="s">
        <v>3021</v>
      </c>
      <c r="N3151" s="599"/>
      <c r="O3151" s="552" t="s">
        <v>1584</v>
      </c>
      <c r="P3151" s="603"/>
      <c r="Q3151" s="682"/>
      <c r="R3151" s="682"/>
      <c r="S3151" s="682"/>
      <c r="T3151" s="682"/>
      <c r="U3151" s="682"/>
      <c r="V3151" s="682"/>
      <c r="W3151" s="682"/>
      <c r="AE3151" s="2" t="s">
        <v>2960</v>
      </c>
    </row>
    <row r="3152" spans="1:31">
      <c r="A3152" s="1045">
        <f t="shared" si="49"/>
        <v>10</v>
      </c>
      <c r="B3152" s="134">
        <v>45582</v>
      </c>
      <c r="C3152" s="70">
        <v>5200</v>
      </c>
      <c r="D3152" s="70" t="s">
        <v>83</v>
      </c>
      <c r="E3152" s="280" t="s">
        <v>5228</v>
      </c>
      <c r="F3152" s="1049">
        <v>5266.85</v>
      </c>
      <c r="G3152" s="1049"/>
      <c r="H3152" s="564" t="s">
        <v>5229</v>
      </c>
      <c r="I3152" s="609"/>
      <c r="J3152" s="1155"/>
      <c r="K3152" s="609">
        <v>277</v>
      </c>
      <c r="L3152" s="609"/>
      <c r="M3152" s="609"/>
      <c r="N3152" s="599">
        <v>263.35000000000002</v>
      </c>
      <c r="O3152" s="552" t="s">
        <v>1584</v>
      </c>
      <c r="P3152" s="603"/>
      <c r="Q3152" s="682"/>
      <c r="R3152" s="682"/>
      <c r="S3152" s="682"/>
      <c r="T3152" s="682"/>
      <c r="U3152" s="682"/>
      <c r="V3152" s="682"/>
      <c r="W3152" s="682"/>
      <c r="AE3152" s="2" t="s">
        <v>5230</v>
      </c>
    </row>
    <row r="3153" spans="1:31">
      <c r="A3153" s="1045">
        <f t="shared" si="49"/>
        <v>10</v>
      </c>
      <c r="B3153" s="134">
        <v>45582</v>
      </c>
      <c r="C3153" s="70">
        <v>2018</v>
      </c>
      <c r="D3153" s="70" t="s">
        <v>58</v>
      </c>
      <c r="E3153" s="280" t="s">
        <v>5228</v>
      </c>
      <c r="F3153" s="1049">
        <v>263.35000000000002</v>
      </c>
      <c r="G3153" s="1049"/>
      <c r="H3153" s="564" t="s">
        <v>5229</v>
      </c>
      <c r="I3153" s="609"/>
      <c r="J3153" s="1155"/>
      <c r="K3153" s="609"/>
      <c r="L3153" s="609"/>
      <c r="M3153" s="609"/>
      <c r="N3153" s="599"/>
      <c r="O3153" s="552" t="s">
        <v>1584</v>
      </c>
      <c r="P3153" s="603"/>
      <c r="Q3153" s="682"/>
      <c r="R3153" s="682"/>
      <c r="S3153" s="682"/>
      <c r="T3153" s="682"/>
      <c r="U3153" s="682"/>
      <c r="V3153" s="682"/>
      <c r="W3153" s="682"/>
    </row>
    <row r="3154" spans="1:31">
      <c r="A3154" s="1045">
        <f t="shared" si="49"/>
        <v>10</v>
      </c>
      <c r="B3154" s="134">
        <v>45582</v>
      </c>
      <c r="C3154" s="70">
        <v>2000</v>
      </c>
      <c r="D3154" s="70" t="s">
        <v>57</v>
      </c>
      <c r="E3154" s="280" t="s">
        <v>5228</v>
      </c>
      <c r="F3154" s="1049"/>
      <c r="G3154" s="1049">
        <v>5530.2</v>
      </c>
      <c r="H3154" s="564" t="s">
        <v>5229</v>
      </c>
      <c r="I3154" s="609"/>
      <c r="J3154" s="1155"/>
      <c r="K3154" s="609"/>
      <c r="L3154" s="609"/>
      <c r="M3154" s="609" t="s">
        <v>3014</v>
      </c>
      <c r="N3154" s="599"/>
      <c r="O3154" s="552" t="s">
        <v>1584</v>
      </c>
      <c r="P3154" s="603"/>
      <c r="Q3154" s="682"/>
      <c r="R3154" s="682"/>
      <c r="S3154" s="682"/>
      <c r="T3154" s="682"/>
      <c r="U3154" s="682"/>
      <c r="V3154" s="682"/>
      <c r="W3154" s="682"/>
      <c r="AE3154" s="2" t="s">
        <v>2960</v>
      </c>
    </row>
    <row r="3155" spans="1:31">
      <c r="A3155" s="1045">
        <f t="shared" si="49"/>
        <v>10</v>
      </c>
      <c r="B3155" s="134">
        <v>45593</v>
      </c>
      <c r="C3155" s="70">
        <v>2000</v>
      </c>
      <c r="D3155" s="70" t="s">
        <v>57</v>
      </c>
      <c r="E3155" s="280" t="s">
        <v>5232</v>
      </c>
      <c r="F3155" s="1049">
        <v>8700</v>
      </c>
      <c r="G3155" s="1049"/>
      <c r="H3155" s="564" t="s">
        <v>5233</v>
      </c>
      <c r="I3155" s="609"/>
      <c r="J3155" s="1155"/>
      <c r="K3155" s="609"/>
      <c r="L3155" s="609"/>
      <c r="M3155" s="609" t="s">
        <v>1624</v>
      </c>
      <c r="N3155" s="599"/>
      <c r="O3155" s="552" t="s">
        <v>1584</v>
      </c>
      <c r="P3155" s="603"/>
      <c r="Q3155" s="682"/>
      <c r="R3155" s="682"/>
      <c r="S3155" s="682"/>
      <c r="T3155" s="682"/>
      <c r="U3155" s="682"/>
      <c r="V3155" s="682"/>
      <c r="W3155" s="682"/>
      <c r="AE3155" s="2" t="s">
        <v>3045</v>
      </c>
    </row>
    <row r="3156" spans="1:31">
      <c r="A3156" s="1045">
        <f t="shared" si="49"/>
        <v>10</v>
      </c>
      <c r="B3156" s="134">
        <v>45593</v>
      </c>
      <c r="C3156" s="70">
        <v>1022</v>
      </c>
      <c r="D3156" s="70" t="s">
        <v>5119</v>
      </c>
      <c r="E3156" s="280" t="s">
        <v>5231</v>
      </c>
      <c r="F3156" s="1049"/>
      <c r="G3156" s="1049">
        <v>8700</v>
      </c>
      <c r="H3156" s="564" t="s">
        <v>5233</v>
      </c>
      <c r="I3156" s="609">
        <v>957</v>
      </c>
      <c r="J3156" s="1155">
        <v>45616</v>
      </c>
      <c r="K3156" s="609"/>
      <c r="L3156" s="609"/>
      <c r="M3156" s="609"/>
      <c r="N3156" s="599"/>
      <c r="O3156" s="552" t="s">
        <v>1584</v>
      </c>
      <c r="P3156" s="603"/>
      <c r="Q3156" s="682"/>
      <c r="R3156" s="682"/>
      <c r="S3156" s="682"/>
      <c r="T3156" s="682"/>
      <c r="U3156" s="682"/>
      <c r="V3156" s="682"/>
      <c r="W3156" s="682"/>
    </row>
    <row r="3157" spans="1:31">
      <c r="A3157" s="1045">
        <f t="shared" ref="A3157:A3220" si="50">IF(B3157="","",MONTH(B3157))</f>
        <v>10</v>
      </c>
      <c r="B3157" s="398">
        <v>45594</v>
      </c>
      <c r="C3157" s="70">
        <v>1100</v>
      </c>
      <c r="D3157" s="70" t="s">
        <v>46</v>
      </c>
      <c r="E3157" s="280" t="s">
        <v>5266</v>
      </c>
      <c r="F3157" s="1049">
        <v>42525</v>
      </c>
      <c r="G3157" s="1049"/>
      <c r="H3157" s="564"/>
      <c r="I3157" s="609"/>
      <c r="J3157" s="1155"/>
      <c r="K3157" s="609"/>
      <c r="L3157" s="609"/>
      <c r="M3157" s="609"/>
      <c r="N3157" s="599"/>
      <c r="O3157" s="552" t="s">
        <v>1584</v>
      </c>
      <c r="P3157" s="603"/>
      <c r="Q3157" s="682"/>
      <c r="R3157" s="682"/>
      <c r="S3157" s="682"/>
      <c r="T3157" s="682"/>
      <c r="U3157" s="682"/>
      <c r="V3157" s="682"/>
      <c r="W3157" s="682"/>
    </row>
    <row r="3158" spans="1:31">
      <c r="A3158" s="1045">
        <f t="shared" si="50"/>
        <v>10</v>
      </c>
      <c r="B3158" s="134">
        <v>45594</v>
      </c>
      <c r="C3158" s="70">
        <v>2018</v>
      </c>
      <c r="D3158" s="70" t="s">
        <v>58</v>
      </c>
      <c r="E3158" s="280" t="s">
        <v>5266</v>
      </c>
      <c r="F3158" s="1049"/>
      <c r="G3158" s="1049">
        <v>2024</v>
      </c>
      <c r="H3158" s="564"/>
      <c r="I3158" s="609"/>
      <c r="J3158" s="1155"/>
      <c r="K3158" s="609"/>
      <c r="L3158" s="609"/>
      <c r="M3158" s="609"/>
      <c r="N3158" s="599"/>
      <c r="O3158" s="552" t="s">
        <v>1584</v>
      </c>
      <c r="P3158" s="603"/>
      <c r="Q3158" s="682"/>
      <c r="R3158" s="682"/>
      <c r="S3158" s="682"/>
      <c r="T3158" s="682"/>
      <c r="U3158" s="682"/>
      <c r="V3158" s="682"/>
      <c r="W3158" s="682"/>
    </row>
    <row r="3159" spans="1:31">
      <c r="A3159" s="1045">
        <f t="shared" si="50"/>
        <v>10</v>
      </c>
      <c r="B3159" s="134">
        <v>45594</v>
      </c>
      <c r="C3159" s="70">
        <v>4000</v>
      </c>
      <c r="D3159" s="70" t="s">
        <v>74</v>
      </c>
      <c r="E3159" s="280" t="s">
        <v>5266</v>
      </c>
      <c r="F3159" s="1049"/>
      <c r="G3159" s="1049">
        <v>40500</v>
      </c>
      <c r="H3159" s="564"/>
      <c r="I3159" s="609"/>
      <c r="J3159" s="1155"/>
      <c r="K3159" s="609"/>
      <c r="L3159" s="609"/>
      <c r="M3159" s="609"/>
      <c r="N3159" s="599"/>
      <c r="O3159" s="552" t="s">
        <v>1584</v>
      </c>
      <c r="P3159" s="603"/>
      <c r="Q3159" s="682"/>
      <c r="R3159" s="682"/>
      <c r="S3159" s="682"/>
      <c r="T3159" s="682"/>
      <c r="U3159" s="682"/>
      <c r="V3159" s="682"/>
      <c r="W3159" s="682"/>
    </row>
    <row r="3160" spans="1:31">
      <c r="A3160" s="1045">
        <f t="shared" si="50"/>
        <v>10</v>
      </c>
      <c r="B3160" s="134">
        <v>45594</v>
      </c>
      <c r="C3160" s="70">
        <v>1100</v>
      </c>
      <c r="D3160" s="70" t="s">
        <v>46</v>
      </c>
      <c r="E3160" s="280" t="s">
        <v>5267</v>
      </c>
      <c r="F3160" s="1049">
        <v>19320</v>
      </c>
      <c r="G3160" s="1049"/>
      <c r="H3160" s="564"/>
      <c r="I3160" s="609"/>
      <c r="J3160" s="1155"/>
      <c r="K3160" s="609"/>
      <c r="L3160" s="609"/>
      <c r="M3160" s="609"/>
      <c r="N3160" s="599"/>
      <c r="O3160" s="552" t="s">
        <v>1584</v>
      </c>
      <c r="P3160" s="603"/>
      <c r="Q3160" s="682"/>
      <c r="R3160" s="682"/>
      <c r="S3160" s="682"/>
      <c r="T3160" s="682"/>
      <c r="U3160" s="682"/>
      <c r="V3160" s="682"/>
      <c r="W3160" s="682"/>
    </row>
    <row r="3161" spans="1:31">
      <c r="A3161" s="1045">
        <f t="shared" si="50"/>
        <v>10</v>
      </c>
      <c r="B3161" s="134">
        <v>45594</v>
      </c>
      <c r="C3161" s="70">
        <v>2018</v>
      </c>
      <c r="D3161" s="70" t="s">
        <v>58</v>
      </c>
      <c r="E3161" s="280" t="s">
        <v>5267</v>
      </c>
      <c r="F3161" s="1049"/>
      <c r="G3161" s="1049">
        <v>920</v>
      </c>
      <c r="H3161" s="564"/>
      <c r="I3161" s="609"/>
      <c r="J3161" s="1155"/>
      <c r="K3161" s="609"/>
      <c r="L3161" s="609"/>
      <c r="M3161" s="609"/>
      <c r="N3161" s="599"/>
      <c r="O3161" s="552" t="s">
        <v>1584</v>
      </c>
      <c r="P3161" s="603"/>
      <c r="Q3161" s="682"/>
      <c r="R3161" s="682"/>
      <c r="S3161" s="682"/>
      <c r="T3161" s="682"/>
      <c r="U3161" s="682"/>
      <c r="V3161" s="682"/>
      <c r="W3161" s="682"/>
    </row>
    <row r="3162" spans="1:31">
      <c r="A3162" s="1045">
        <f t="shared" si="50"/>
        <v>10</v>
      </c>
      <c r="B3162" s="134">
        <v>45594</v>
      </c>
      <c r="C3162" s="70">
        <v>4000</v>
      </c>
      <c r="D3162" s="70" t="s">
        <v>74</v>
      </c>
      <c r="E3162" s="280" t="s">
        <v>5267</v>
      </c>
      <c r="F3162" s="1049"/>
      <c r="G3162" s="1049">
        <v>18400</v>
      </c>
      <c r="H3162" s="564"/>
      <c r="I3162" s="609"/>
      <c r="J3162" s="1155"/>
      <c r="K3162" s="609"/>
      <c r="L3162" s="609"/>
      <c r="M3162" s="609"/>
      <c r="N3162" s="599"/>
      <c r="O3162" s="552" t="s">
        <v>1584</v>
      </c>
      <c r="P3162" s="603"/>
      <c r="Q3162" s="682"/>
      <c r="R3162" s="682"/>
      <c r="S3162" s="682"/>
      <c r="T3162" s="682"/>
      <c r="U3162" s="682"/>
      <c r="V3162" s="682"/>
      <c r="W3162" s="682"/>
    </row>
    <row r="3163" spans="1:31">
      <c r="A3163" s="1045">
        <f t="shared" si="50"/>
        <v>10</v>
      </c>
      <c r="B3163" s="134">
        <v>45596</v>
      </c>
      <c r="C3163" s="70">
        <v>1100</v>
      </c>
      <c r="D3163" s="70" t="s">
        <v>46</v>
      </c>
      <c r="E3163" s="280" t="s">
        <v>5268</v>
      </c>
      <c r="F3163" s="1049">
        <v>7717.5</v>
      </c>
      <c r="G3163" s="1049"/>
      <c r="H3163" s="564"/>
      <c r="I3163" s="609"/>
      <c r="J3163" s="1155"/>
      <c r="K3163" s="609"/>
      <c r="L3163" s="609"/>
      <c r="M3163" s="609"/>
      <c r="N3163" s="599"/>
      <c r="O3163" s="552" t="s">
        <v>1584</v>
      </c>
      <c r="P3163" s="603"/>
      <c r="Q3163" s="682"/>
      <c r="R3163" s="682"/>
      <c r="S3163" s="682"/>
      <c r="T3163" s="682"/>
      <c r="U3163" s="682"/>
      <c r="V3163" s="682"/>
      <c r="W3163" s="682"/>
    </row>
    <row r="3164" spans="1:31">
      <c r="A3164" s="1045">
        <f t="shared" si="50"/>
        <v>10</v>
      </c>
      <c r="B3164" s="134">
        <v>45596</v>
      </c>
      <c r="C3164" s="70">
        <v>2018</v>
      </c>
      <c r="D3164" s="70" t="s">
        <v>58</v>
      </c>
      <c r="E3164" s="280" t="s">
        <v>5268</v>
      </c>
      <c r="F3164" s="1049"/>
      <c r="G3164" s="1049">
        <v>367.5</v>
      </c>
      <c r="H3164" s="564"/>
      <c r="I3164" s="609"/>
      <c r="J3164" s="1155"/>
      <c r="K3164" s="609"/>
      <c r="L3164" s="609"/>
      <c r="M3164" s="609"/>
      <c r="N3164" s="599"/>
      <c r="O3164" s="552" t="s">
        <v>1584</v>
      </c>
      <c r="P3164" s="603"/>
      <c r="Q3164" s="682"/>
      <c r="R3164" s="682"/>
      <c r="S3164" s="682"/>
      <c r="T3164" s="682"/>
      <c r="U3164" s="682"/>
      <c r="V3164" s="682"/>
      <c r="W3164" s="682"/>
    </row>
    <row r="3165" spans="1:31">
      <c r="A3165" s="1045">
        <f t="shared" si="50"/>
        <v>10</v>
      </c>
      <c r="B3165" s="134">
        <v>45596</v>
      </c>
      <c r="C3165" s="70">
        <v>4000</v>
      </c>
      <c r="D3165" s="70" t="s">
        <v>74</v>
      </c>
      <c r="E3165" s="280" t="s">
        <v>5268</v>
      </c>
      <c r="F3165" s="1049"/>
      <c r="G3165" s="1049">
        <v>7350</v>
      </c>
      <c r="H3165" s="564"/>
      <c r="I3165" s="609"/>
      <c r="J3165" s="1155"/>
      <c r="K3165" s="609"/>
      <c r="L3165" s="609"/>
      <c r="M3165" s="609"/>
      <c r="N3165" s="599"/>
      <c r="O3165" s="552" t="s">
        <v>1584</v>
      </c>
      <c r="P3165" s="603"/>
      <c r="Q3165" s="682"/>
      <c r="R3165" s="682"/>
      <c r="S3165" s="682"/>
      <c r="T3165" s="682"/>
      <c r="U3165" s="682"/>
      <c r="V3165" s="682"/>
      <c r="W3165" s="682"/>
    </row>
    <row r="3166" spans="1:31">
      <c r="A3166" s="1045">
        <f t="shared" si="50"/>
        <v>10</v>
      </c>
      <c r="B3166" s="134">
        <v>45596</v>
      </c>
      <c r="C3166" s="70">
        <v>1100</v>
      </c>
      <c r="D3166" s="70" t="s">
        <v>46</v>
      </c>
      <c r="E3166" s="280" t="s">
        <v>5269</v>
      </c>
      <c r="F3166" s="1049">
        <v>1575</v>
      </c>
      <c r="G3166" s="1049"/>
      <c r="H3166" s="564"/>
      <c r="I3166" s="609"/>
      <c r="J3166" s="1155"/>
      <c r="K3166" s="609"/>
      <c r="L3166" s="609"/>
      <c r="M3166" s="609"/>
      <c r="N3166" s="599"/>
      <c r="O3166" s="552" t="s">
        <v>1584</v>
      </c>
      <c r="P3166" s="603"/>
      <c r="Q3166" s="682"/>
      <c r="R3166" s="682"/>
      <c r="S3166" s="682"/>
      <c r="T3166" s="682"/>
      <c r="U3166" s="682"/>
      <c r="V3166" s="682"/>
      <c r="W3166" s="682"/>
    </row>
    <row r="3167" spans="1:31">
      <c r="A3167" s="1045">
        <f t="shared" si="50"/>
        <v>10</v>
      </c>
      <c r="B3167" s="134">
        <v>45596</v>
      </c>
      <c r="C3167" s="70">
        <v>2018</v>
      </c>
      <c r="D3167" s="70" t="s">
        <v>58</v>
      </c>
      <c r="E3167" s="280" t="s">
        <v>5269</v>
      </c>
      <c r="F3167" s="1049"/>
      <c r="G3167" s="1049">
        <v>75</v>
      </c>
      <c r="H3167" s="564"/>
      <c r="I3167" s="609"/>
      <c r="J3167" s="1155"/>
      <c r="K3167" s="609"/>
      <c r="L3167" s="609"/>
      <c r="M3167" s="609"/>
      <c r="N3167" s="599"/>
      <c r="O3167" s="552" t="s">
        <v>1584</v>
      </c>
      <c r="P3167" s="603"/>
      <c r="Q3167" s="682"/>
      <c r="R3167" s="682"/>
      <c r="S3167" s="682"/>
      <c r="T3167" s="682"/>
      <c r="U3167" s="682"/>
      <c r="V3167" s="682"/>
      <c r="W3167" s="682"/>
    </row>
    <row r="3168" spans="1:31">
      <c r="A3168" s="1045">
        <f t="shared" si="50"/>
        <v>10</v>
      </c>
      <c r="B3168" s="134">
        <v>45596</v>
      </c>
      <c r="C3168" s="70">
        <v>4000</v>
      </c>
      <c r="D3168" s="70" t="s">
        <v>74</v>
      </c>
      <c r="E3168" s="280" t="s">
        <v>5269</v>
      </c>
      <c r="F3168" s="1049"/>
      <c r="G3168" s="1049">
        <v>1500</v>
      </c>
      <c r="H3168" s="564"/>
      <c r="I3168" s="609"/>
      <c r="J3168" s="1155"/>
      <c r="K3168" s="609"/>
      <c r="L3168" s="609"/>
      <c r="M3168" s="609"/>
      <c r="N3168" s="599"/>
      <c r="O3168" s="552" t="s">
        <v>1584</v>
      </c>
      <c r="P3168" s="603"/>
      <c r="Q3168" s="682"/>
      <c r="R3168" s="682"/>
      <c r="S3168" s="682"/>
      <c r="T3168" s="682"/>
      <c r="U3168" s="682"/>
      <c r="V3168" s="682"/>
      <c r="W3168" s="682"/>
    </row>
    <row r="3169" spans="1:31">
      <c r="A3169" s="1045">
        <f t="shared" si="50"/>
        <v>10</v>
      </c>
      <c r="B3169" s="134">
        <v>45595</v>
      </c>
      <c r="C3169" s="70">
        <v>1100</v>
      </c>
      <c r="D3169" s="70" t="s">
        <v>46</v>
      </c>
      <c r="E3169" s="280" t="s">
        <v>5270</v>
      </c>
      <c r="F3169" s="1049">
        <v>23940</v>
      </c>
      <c r="G3169" s="1049"/>
      <c r="H3169" s="564"/>
      <c r="I3169" s="609"/>
      <c r="J3169" s="1155"/>
      <c r="K3169" s="609"/>
      <c r="L3169" s="609"/>
      <c r="M3169" s="609"/>
      <c r="N3169" s="599"/>
      <c r="O3169" s="552" t="s">
        <v>1584</v>
      </c>
      <c r="P3169" s="603"/>
      <c r="Q3169" s="682"/>
      <c r="R3169" s="682"/>
      <c r="S3169" s="682"/>
      <c r="T3169" s="682"/>
      <c r="U3169" s="682"/>
      <c r="V3169" s="682"/>
      <c r="W3169" s="682"/>
    </row>
    <row r="3170" spans="1:31">
      <c r="A3170" s="1045">
        <f t="shared" si="50"/>
        <v>10</v>
      </c>
      <c r="B3170" s="134">
        <v>45595</v>
      </c>
      <c r="C3170" s="70">
        <v>2018</v>
      </c>
      <c r="D3170" s="70" t="s">
        <v>58</v>
      </c>
      <c r="E3170" s="280" t="s">
        <v>5270</v>
      </c>
      <c r="F3170" s="1049"/>
      <c r="G3170" s="1049">
        <v>1140</v>
      </c>
      <c r="H3170" s="564"/>
      <c r="I3170" s="609"/>
      <c r="J3170" s="1155"/>
      <c r="K3170" s="609"/>
      <c r="L3170" s="609"/>
      <c r="M3170" s="609"/>
      <c r="N3170" s="599"/>
      <c r="O3170" s="552" t="s">
        <v>1584</v>
      </c>
      <c r="P3170" s="603"/>
      <c r="Q3170" s="682"/>
      <c r="R3170" s="682"/>
      <c r="S3170" s="682"/>
      <c r="T3170" s="682"/>
      <c r="U3170" s="682"/>
      <c r="V3170" s="682"/>
      <c r="W3170" s="682"/>
    </row>
    <row r="3171" spans="1:31">
      <c r="A3171" s="1045">
        <f t="shared" si="50"/>
        <v>10</v>
      </c>
      <c r="B3171" s="134">
        <v>45595</v>
      </c>
      <c r="C3171" s="70">
        <v>4000</v>
      </c>
      <c r="D3171" s="70" t="s">
        <v>74</v>
      </c>
      <c r="E3171" s="280" t="s">
        <v>5270</v>
      </c>
      <c r="F3171" s="1049"/>
      <c r="G3171" s="1049">
        <v>22800</v>
      </c>
      <c r="H3171" s="564"/>
      <c r="I3171" s="609"/>
      <c r="J3171" s="1155"/>
      <c r="K3171" s="609"/>
      <c r="L3171" s="609"/>
      <c r="M3171" s="609"/>
      <c r="N3171" s="599"/>
      <c r="O3171" s="552" t="s">
        <v>1584</v>
      </c>
      <c r="P3171" s="603"/>
      <c r="Q3171" s="682"/>
      <c r="R3171" s="682"/>
      <c r="S3171" s="682"/>
      <c r="T3171" s="682"/>
      <c r="U3171" s="682"/>
      <c r="V3171" s="682"/>
      <c r="W3171" s="682"/>
    </row>
    <row r="3172" spans="1:31">
      <c r="A3172" s="1045">
        <f t="shared" si="50"/>
        <v>10</v>
      </c>
      <c r="B3172" s="134">
        <v>45595</v>
      </c>
      <c r="C3172" s="70">
        <v>1022</v>
      </c>
      <c r="D3172" s="70" t="s">
        <v>5119</v>
      </c>
      <c r="E3172" s="280" t="s">
        <v>5271</v>
      </c>
      <c r="F3172" s="1049">
        <v>23940</v>
      </c>
      <c r="G3172" s="1049"/>
      <c r="H3172" s="564" t="s">
        <v>5272</v>
      </c>
      <c r="I3172" s="609">
        <v>1277</v>
      </c>
      <c r="J3172" s="1155">
        <v>45594</v>
      </c>
      <c r="K3172" s="609"/>
      <c r="L3172" s="609"/>
      <c r="M3172" s="609"/>
      <c r="N3172" s="599"/>
      <c r="O3172" s="552" t="s">
        <v>1584</v>
      </c>
      <c r="P3172" s="603"/>
      <c r="Q3172" s="682"/>
      <c r="R3172" s="682"/>
      <c r="S3172" s="682"/>
      <c r="T3172" s="682"/>
      <c r="U3172" s="682"/>
      <c r="V3172" s="682"/>
      <c r="W3172" s="682"/>
    </row>
    <row r="3173" spans="1:31">
      <c r="A3173" s="1045">
        <f t="shared" si="50"/>
        <v>10</v>
      </c>
      <c r="B3173" s="134">
        <v>45595</v>
      </c>
      <c r="C3173" s="70">
        <v>1100</v>
      </c>
      <c r="D3173" s="70" t="s">
        <v>46</v>
      </c>
      <c r="E3173" s="280" t="s">
        <v>5271</v>
      </c>
      <c r="F3173" s="1049"/>
      <c r="G3173" s="1049">
        <v>23940</v>
      </c>
      <c r="H3173" s="564" t="s">
        <v>5272</v>
      </c>
      <c r="I3173" s="609"/>
      <c r="J3173" s="1155"/>
      <c r="K3173" s="609">
        <v>279</v>
      </c>
      <c r="L3173" s="609">
        <v>121</v>
      </c>
      <c r="M3173" s="609"/>
      <c r="N3173" s="599">
        <v>1140</v>
      </c>
      <c r="O3173" s="552" t="s">
        <v>1584</v>
      </c>
      <c r="P3173" s="603"/>
      <c r="Q3173" s="682"/>
      <c r="R3173" s="682"/>
      <c r="S3173" s="682"/>
      <c r="T3173" s="682"/>
      <c r="U3173" s="682"/>
      <c r="V3173" s="682"/>
      <c r="W3173" s="682"/>
      <c r="AE3173" s="2" t="s">
        <v>5281</v>
      </c>
    </row>
    <row r="3174" spans="1:31">
      <c r="A3174" s="1045">
        <f t="shared" si="50"/>
        <v>10</v>
      </c>
      <c r="B3174" s="134">
        <v>45594</v>
      </c>
      <c r="C3174" s="70">
        <v>1022</v>
      </c>
      <c r="D3174" s="70" t="s">
        <v>5119</v>
      </c>
      <c r="E3174" s="280" t="s">
        <v>5274</v>
      </c>
      <c r="F3174" s="1049">
        <v>19320</v>
      </c>
      <c r="G3174" s="1049"/>
      <c r="H3174" s="564" t="s">
        <v>5273</v>
      </c>
      <c r="I3174" s="609"/>
      <c r="J3174" s="1155"/>
      <c r="K3174" s="609"/>
      <c r="L3174" s="609"/>
      <c r="M3174" s="609"/>
      <c r="N3174" s="599"/>
      <c r="O3174" s="552" t="s">
        <v>1584</v>
      </c>
      <c r="P3174" s="603"/>
      <c r="Q3174" s="682"/>
      <c r="R3174" s="682"/>
      <c r="S3174" s="682"/>
      <c r="T3174" s="682"/>
      <c r="U3174" s="682"/>
      <c r="V3174" s="682"/>
      <c r="W3174" s="682"/>
    </row>
    <row r="3175" spans="1:31">
      <c r="A3175" s="1045">
        <f t="shared" si="50"/>
        <v>10</v>
      </c>
      <c r="B3175" s="134">
        <v>45594</v>
      </c>
      <c r="C3175" s="70">
        <v>1100</v>
      </c>
      <c r="D3175" s="70" t="s">
        <v>46</v>
      </c>
      <c r="E3175" s="280" t="s">
        <v>5274</v>
      </c>
      <c r="F3175" s="1049"/>
      <c r="G3175" s="1049">
        <v>19320</v>
      </c>
      <c r="H3175" s="564" t="s">
        <v>5273</v>
      </c>
      <c r="I3175" s="609"/>
      <c r="J3175" s="1155"/>
      <c r="K3175" s="609">
        <v>276</v>
      </c>
      <c r="L3175" s="609">
        <v>129</v>
      </c>
      <c r="M3175" s="609"/>
      <c r="N3175" s="599">
        <v>920</v>
      </c>
      <c r="O3175" s="552" t="s">
        <v>1584</v>
      </c>
      <c r="P3175" s="603"/>
      <c r="Q3175" s="682"/>
      <c r="R3175" s="682"/>
      <c r="S3175" s="682"/>
      <c r="T3175" s="682"/>
      <c r="U3175" s="682"/>
      <c r="V3175" s="682"/>
      <c r="W3175" s="682"/>
      <c r="AE3175" s="2" t="s">
        <v>5282</v>
      </c>
    </row>
    <row r="3176" spans="1:31">
      <c r="A3176" s="1045">
        <f t="shared" si="50"/>
        <v>10</v>
      </c>
      <c r="B3176" s="134">
        <v>45594</v>
      </c>
      <c r="C3176" s="70">
        <v>1022</v>
      </c>
      <c r="D3176" s="70" t="s">
        <v>5119</v>
      </c>
      <c r="E3176" s="280" t="s">
        <v>5275</v>
      </c>
      <c r="F3176" s="1049">
        <v>42525</v>
      </c>
      <c r="G3176" s="1049"/>
      <c r="H3176" s="564" t="s">
        <v>5276</v>
      </c>
      <c r="I3176" s="609"/>
      <c r="J3176" s="1155"/>
      <c r="K3176" s="609"/>
      <c r="L3176" s="609"/>
      <c r="M3176" s="609"/>
      <c r="N3176" s="599"/>
      <c r="O3176" s="552" t="s">
        <v>1584</v>
      </c>
      <c r="P3176" s="603"/>
      <c r="Q3176" s="682"/>
      <c r="R3176" s="682"/>
      <c r="S3176" s="682"/>
      <c r="T3176" s="682"/>
      <c r="U3176" s="682"/>
      <c r="V3176" s="682"/>
      <c r="W3176" s="682"/>
    </row>
    <row r="3177" spans="1:31">
      <c r="A3177" s="1045">
        <f t="shared" si="50"/>
        <v>10</v>
      </c>
      <c r="B3177" s="134">
        <v>45594</v>
      </c>
      <c r="C3177" s="70">
        <v>1100</v>
      </c>
      <c r="D3177" s="70" t="s">
        <v>46</v>
      </c>
      <c r="E3177" s="280" t="s">
        <v>5275</v>
      </c>
      <c r="F3177" s="1049"/>
      <c r="G3177" s="1049">
        <v>42525</v>
      </c>
      <c r="H3177" s="564" t="s">
        <v>5276</v>
      </c>
      <c r="I3177" s="609"/>
      <c r="J3177" s="1155"/>
      <c r="K3177" s="609">
        <v>277</v>
      </c>
      <c r="L3177" s="609">
        <v>128</v>
      </c>
      <c r="M3177" s="609"/>
      <c r="N3177" s="599">
        <v>2024</v>
      </c>
      <c r="O3177" s="552" t="s">
        <v>1584</v>
      </c>
      <c r="P3177" s="603"/>
      <c r="Q3177" s="682"/>
      <c r="R3177" s="682"/>
      <c r="S3177" s="682"/>
      <c r="T3177" s="682"/>
      <c r="U3177" s="682"/>
      <c r="V3177" s="682"/>
      <c r="W3177" s="682"/>
      <c r="AE3177" s="2" t="s">
        <v>5283</v>
      </c>
    </row>
    <row r="3178" spans="1:31">
      <c r="A3178" s="1045">
        <f t="shared" si="50"/>
        <v>10</v>
      </c>
      <c r="B3178" s="134">
        <v>45596</v>
      </c>
      <c r="C3178" s="70">
        <v>1022</v>
      </c>
      <c r="D3178" s="70" t="s">
        <v>5119</v>
      </c>
      <c r="E3178" s="280" t="s">
        <v>5277</v>
      </c>
      <c r="F3178" s="1049">
        <v>9292.5</v>
      </c>
      <c r="G3178" s="1049"/>
      <c r="H3178" s="564" t="s">
        <v>5279</v>
      </c>
      <c r="I3178" s="609"/>
      <c r="J3178" s="1155"/>
      <c r="K3178" s="609"/>
      <c r="L3178" s="609"/>
      <c r="M3178" s="609"/>
      <c r="N3178" s="599"/>
      <c r="O3178" s="552" t="s">
        <v>1584</v>
      </c>
      <c r="P3178" s="603"/>
      <c r="Q3178" s="682"/>
      <c r="R3178" s="682"/>
      <c r="S3178" s="682"/>
      <c r="T3178" s="682"/>
      <c r="U3178" s="682"/>
      <c r="V3178" s="682"/>
      <c r="W3178" s="682"/>
    </row>
    <row r="3179" spans="1:31">
      <c r="A3179" s="1045">
        <f t="shared" si="50"/>
        <v>10</v>
      </c>
      <c r="B3179" s="134">
        <v>45596</v>
      </c>
      <c r="C3179" s="70">
        <v>1100</v>
      </c>
      <c r="D3179" s="70" t="s">
        <v>46</v>
      </c>
      <c r="E3179" s="280" t="s">
        <v>5277</v>
      </c>
      <c r="F3179" s="1049"/>
      <c r="G3179" s="1049">
        <v>7718</v>
      </c>
      <c r="H3179" s="564" t="s">
        <v>5279</v>
      </c>
      <c r="I3179" s="609"/>
      <c r="J3179" s="1155"/>
      <c r="K3179" s="609">
        <v>242</v>
      </c>
      <c r="L3179" s="609">
        <v>103</v>
      </c>
      <c r="M3179" s="609"/>
      <c r="N3179" s="599">
        <v>368</v>
      </c>
      <c r="O3179" s="552" t="s">
        <v>1584</v>
      </c>
      <c r="P3179" s="603"/>
      <c r="Q3179" s="682"/>
      <c r="R3179" s="682"/>
      <c r="S3179" s="682"/>
      <c r="T3179" s="682"/>
      <c r="U3179" s="682"/>
      <c r="V3179" s="682"/>
      <c r="W3179" s="682"/>
      <c r="AE3179" s="2" t="s">
        <v>5284</v>
      </c>
    </row>
    <row r="3180" spans="1:31">
      <c r="A3180" s="1045">
        <f t="shared" si="50"/>
        <v>10</v>
      </c>
      <c r="B3180" s="134">
        <v>45596</v>
      </c>
      <c r="C3180" s="70">
        <v>1100</v>
      </c>
      <c r="D3180" s="70" t="s">
        <v>46</v>
      </c>
      <c r="E3180" s="280" t="s">
        <v>5277</v>
      </c>
      <c r="F3180" s="1049"/>
      <c r="G3180" s="1049">
        <v>1575</v>
      </c>
      <c r="H3180" s="564" t="s">
        <v>5279</v>
      </c>
      <c r="I3180" s="609"/>
      <c r="J3180" s="1155"/>
      <c r="K3180" s="609">
        <v>242</v>
      </c>
      <c r="L3180" s="609">
        <v>111</v>
      </c>
      <c r="M3180" s="609"/>
      <c r="N3180" s="599">
        <v>75</v>
      </c>
      <c r="O3180" s="552" t="s">
        <v>1584</v>
      </c>
      <c r="P3180" s="603"/>
      <c r="Q3180" s="682"/>
      <c r="R3180" s="682"/>
      <c r="S3180" s="682"/>
      <c r="T3180" s="682"/>
      <c r="U3180" s="682"/>
      <c r="V3180" s="682"/>
      <c r="W3180" s="682"/>
      <c r="AE3180" s="2" t="s">
        <v>5285</v>
      </c>
    </row>
    <row r="3181" spans="1:31">
      <c r="A3181" s="1045">
        <f t="shared" si="50"/>
        <v>10</v>
      </c>
      <c r="B3181" s="134">
        <v>45594</v>
      </c>
      <c r="C3181" s="70">
        <v>1025</v>
      </c>
      <c r="D3181" s="70" t="s">
        <v>5120</v>
      </c>
      <c r="E3181" s="280" t="s">
        <v>5278</v>
      </c>
      <c r="F3181" s="1049">
        <v>16845</v>
      </c>
      <c r="G3181" s="1049"/>
      <c r="H3181" s="564" t="s">
        <v>5280</v>
      </c>
      <c r="I3181" s="609"/>
      <c r="J3181" s="1155"/>
      <c r="K3181" s="609"/>
      <c r="L3181" s="609"/>
      <c r="M3181" s="609"/>
      <c r="N3181" s="599"/>
      <c r="O3181" s="552" t="s">
        <v>1584</v>
      </c>
      <c r="P3181" s="603"/>
      <c r="Q3181" s="682"/>
      <c r="R3181" s="682"/>
      <c r="S3181" s="682"/>
      <c r="T3181" s="682"/>
      <c r="U3181" s="682"/>
      <c r="V3181" s="682"/>
      <c r="W3181" s="682"/>
    </row>
    <row r="3182" spans="1:31">
      <c r="A3182" s="1045">
        <f t="shared" si="50"/>
        <v>10</v>
      </c>
      <c r="B3182" s="134">
        <v>45594</v>
      </c>
      <c r="C3182" s="70">
        <v>1022</v>
      </c>
      <c r="D3182" s="70" t="s">
        <v>5119</v>
      </c>
      <c r="E3182" s="280" t="s">
        <v>5278</v>
      </c>
      <c r="F3182" s="1049"/>
      <c r="G3182" s="1049">
        <v>16845</v>
      </c>
      <c r="H3182" s="564" t="s">
        <v>5280</v>
      </c>
      <c r="I3182" s="609"/>
      <c r="J3182" s="1155"/>
      <c r="K3182" s="609"/>
      <c r="L3182" s="609"/>
      <c r="M3182" s="609"/>
      <c r="N3182" s="599"/>
      <c r="O3182" s="552" t="s">
        <v>1584</v>
      </c>
      <c r="P3182" s="603"/>
      <c r="Q3182" s="682"/>
      <c r="R3182" s="682"/>
      <c r="S3182" s="682"/>
      <c r="T3182" s="682"/>
      <c r="U3182" s="682"/>
      <c r="V3182" s="682"/>
      <c r="W3182" s="682"/>
    </row>
    <row r="3183" spans="1:31">
      <c r="A3183" s="1045">
        <f t="shared" si="50"/>
        <v>10</v>
      </c>
      <c r="B3183" s="134">
        <v>45596</v>
      </c>
      <c r="C3183" s="70">
        <v>1100</v>
      </c>
      <c r="D3183" s="70" t="s">
        <v>46</v>
      </c>
      <c r="E3183" s="280" t="s">
        <v>5353</v>
      </c>
      <c r="F3183" s="1049">
        <v>33439.129999999997</v>
      </c>
      <c r="G3183" s="1049"/>
      <c r="H3183" s="564" t="s">
        <v>5355</v>
      </c>
      <c r="I3183" s="609"/>
      <c r="J3183" s="1155"/>
      <c r="K3183" s="609"/>
      <c r="L3183" s="609"/>
      <c r="M3183" s="609"/>
      <c r="N3183" s="599"/>
      <c r="O3183" s="552" t="s">
        <v>1584</v>
      </c>
      <c r="P3183" s="603"/>
      <c r="Q3183" s="682"/>
      <c r="R3183" s="682"/>
      <c r="S3183" s="682"/>
      <c r="T3183" s="682"/>
      <c r="U3183" s="682"/>
      <c r="V3183" s="682"/>
      <c r="W3183" s="682"/>
    </row>
    <row r="3184" spans="1:31">
      <c r="A3184" s="1045">
        <f t="shared" si="50"/>
        <v>10</v>
      </c>
      <c r="B3184" s="134">
        <v>45596</v>
      </c>
      <c r="C3184" s="70">
        <v>2018</v>
      </c>
      <c r="D3184" s="70" t="s">
        <v>58</v>
      </c>
      <c r="E3184" s="280" t="s">
        <v>5353</v>
      </c>
      <c r="F3184" s="1049"/>
      <c r="G3184" s="1049">
        <v>1551.63</v>
      </c>
      <c r="H3184" s="564" t="s">
        <v>5355</v>
      </c>
      <c r="I3184" s="609"/>
      <c r="J3184" s="1155"/>
      <c r="K3184" s="609"/>
      <c r="L3184" s="609"/>
      <c r="M3184" s="609"/>
      <c r="N3184" s="599"/>
      <c r="O3184" s="552" t="s">
        <v>1584</v>
      </c>
      <c r="P3184" s="603"/>
      <c r="Q3184" s="682"/>
      <c r="R3184" s="682"/>
      <c r="S3184" s="682"/>
      <c r="T3184" s="682"/>
      <c r="U3184" s="682"/>
      <c r="V3184" s="682"/>
      <c r="W3184" s="682"/>
    </row>
    <row r="3185" spans="1:31">
      <c r="A3185" s="1045">
        <f t="shared" si="50"/>
        <v>10</v>
      </c>
      <c r="B3185" s="134">
        <v>45596</v>
      </c>
      <c r="C3185" s="70">
        <v>2018</v>
      </c>
      <c r="D3185" s="70" t="s">
        <v>58</v>
      </c>
      <c r="E3185" s="280" t="s">
        <v>5354</v>
      </c>
      <c r="F3185" s="1049"/>
      <c r="G3185" s="1049">
        <v>855</v>
      </c>
      <c r="H3185" s="564" t="s">
        <v>5355</v>
      </c>
      <c r="I3185" s="609"/>
      <c r="J3185" s="1155"/>
      <c r="K3185" s="609"/>
      <c r="L3185" s="609"/>
      <c r="M3185" s="609"/>
      <c r="N3185" s="599"/>
      <c r="O3185" s="552" t="s">
        <v>1584</v>
      </c>
      <c r="P3185" s="603"/>
      <c r="Q3185" s="682"/>
      <c r="R3185" s="682"/>
      <c r="S3185" s="682"/>
      <c r="T3185" s="682"/>
      <c r="U3185" s="682"/>
      <c r="V3185" s="682"/>
      <c r="W3185" s="682"/>
    </row>
    <row r="3186" spans="1:31">
      <c r="A3186" s="1045">
        <f t="shared" si="50"/>
        <v>10</v>
      </c>
      <c r="B3186" s="134">
        <v>45596</v>
      </c>
      <c r="C3186" s="70">
        <v>4000</v>
      </c>
      <c r="D3186" s="70" t="s">
        <v>74</v>
      </c>
      <c r="E3186" s="280" t="s">
        <v>5353</v>
      </c>
      <c r="F3186" s="1049"/>
      <c r="G3186" s="1049">
        <v>31032.5</v>
      </c>
      <c r="H3186" s="564" t="s">
        <v>5355</v>
      </c>
      <c r="I3186" s="609"/>
      <c r="J3186" s="1155"/>
      <c r="K3186" s="609"/>
      <c r="L3186" s="609"/>
      <c r="M3186" s="609"/>
      <c r="N3186" s="599"/>
      <c r="O3186" s="552" t="s">
        <v>1584</v>
      </c>
      <c r="P3186" s="603"/>
      <c r="Q3186" s="682"/>
      <c r="R3186" s="682"/>
      <c r="S3186" s="682"/>
      <c r="T3186" s="682"/>
      <c r="U3186" s="682"/>
      <c r="V3186" s="682"/>
      <c r="W3186" s="682"/>
    </row>
    <row r="3187" spans="1:31">
      <c r="A3187" s="1045">
        <f t="shared" si="50"/>
        <v>10</v>
      </c>
      <c r="B3187" s="134">
        <v>45596</v>
      </c>
      <c r="C3187" s="70">
        <v>1022</v>
      </c>
      <c r="D3187" s="70" t="s">
        <v>5119</v>
      </c>
      <c r="E3187" s="280" t="s">
        <v>5356</v>
      </c>
      <c r="F3187" s="1049">
        <v>33439.129999999997</v>
      </c>
      <c r="G3187" s="1049"/>
      <c r="H3187" s="564" t="s">
        <v>5358</v>
      </c>
      <c r="I3187" s="609" t="s">
        <v>5359</v>
      </c>
      <c r="J3187" s="1155"/>
      <c r="K3187" s="609"/>
      <c r="L3187" s="609"/>
      <c r="M3187" s="609"/>
      <c r="N3187" s="599"/>
      <c r="O3187" s="552" t="s">
        <v>1584</v>
      </c>
      <c r="P3187" s="603"/>
      <c r="Q3187" s="682"/>
      <c r="R3187" s="682"/>
      <c r="S3187" s="682"/>
      <c r="T3187" s="682"/>
      <c r="U3187" s="682"/>
      <c r="V3187" s="682"/>
      <c r="W3187" s="682"/>
    </row>
    <row r="3188" spans="1:31">
      <c r="A3188" s="1045">
        <f t="shared" si="50"/>
        <v>10</v>
      </c>
      <c r="B3188" s="134">
        <v>45596</v>
      </c>
      <c r="C3188" s="70">
        <v>1100</v>
      </c>
      <c r="D3188" s="70" t="s">
        <v>46</v>
      </c>
      <c r="E3188" s="280" t="s">
        <v>5357</v>
      </c>
      <c r="F3188" s="1049"/>
      <c r="G3188" s="1049">
        <v>33439.129999999997</v>
      </c>
      <c r="H3188" s="564" t="s">
        <v>5358</v>
      </c>
      <c r="I3188" s="609"/>
      <c r="J3188" s="1155"/>
      <c r="K3188" s="609">
        <v>211</v>
      </c>
      <c r="L3188" s="609">
        <v>122</v>
      </c>
      <c r="M3188" s="609"/>
      <c r="N3188" s="599">
        <v>1551.63</v>
      </c>
      <c r="O3188" s="552" t="s">
        <v>1584</v>
      </c>
      <c r="P3188" s="603"/>
      <c r="Q3188" s="682"/>
      <c r="R3188" s="682"/>
      <c r="S3188" s="682"/>
      <c r="T3188" s="682"/>
      <c r="U3188" s="682"/>
      <c r="V3188" s="682"/>
      <c r="W3188" s="682"/>
      <c r="AE3188" s="2" t="s">
        <v>5360</v>
      </c>
    </row>
    <row r="3189" spans="1:31">
      <c r="A3189" s="1045">
        <f t="shared" si="50"/>
        <v>10</v>
      </c>
      <c r="B3189" s="134">
        <v>45596</v>
      </c>
      <c r="C3189" s="70">
        <v>5100</v>
      </c>
      <c r="D3189" s="70" t="s">
        <v>81</v>
      </c>
      <c r="E3189" s="280" t="s">
        <v>5404</v>
      </c>
      <c r="F3189" s="1049">
        <v>139.5</v>
      </c>
      <c r="G3189" s="1049"/>
      <c r="H3189" s="564" t="s">
        <v>5501</v>
      </c>
      <c r="I3189" s="609"/>
      <c r="J3189" s="1155"/>
      <c r="K3189" s="609">
        <v>211</v>
      </c>
      <c r="L3189" s="609"/>
      <c r="M3189" s="609"/>
      <c r="N3189" s="599"/>
      <c r="O3189" s="552" t="s">
        <v>1584</v>
      </c>
      <c r="P3189" s="603"/>
      <c r="Q3189" s="682"/>
      <c r="R3189" s="682"/>
      <c r="S3189" s="682"/>
      <c r="T3189" s="682"/>
      <c r="U3189" s="682"/>
      <c r="V3189" s="682"/>
      <c r="W3189" s="682"/>
      <c r="AE3189" s="2" t="s">
        <v>5405</v>
      </c>
    </row>
    <row r="3190" spans="1:31">
      <c r="A3190" s="1045">
        <f t="shared" si="50"/>
        <v>10</v>
      </c>
      <c r="B3190" s="134">
        <v>45596</v>
      </c>
      <c r="C3190" s="70">
        <v>5100</v>
      </c>
      <c r="D3190" s="70" t="s">
        <v>81</v>
      </c>
      <c r="E3190" s="280" t="s">
        <v>5404</v>
      </c>
      <c r="F3190" s="1049">
        <v>507.15</v>
      </c>
      <c r="G3190" s="1049"/>
      <c r="H3190" s="564" t="s">
        <v>5501</v>
      </c>
      <c r="I3190" s="609"/>
      <c r="J3190" s="1155"/>
      <c r="K3190" s="609">
        <v>225</v>
      </c>
      <c r="L3190" s="609"/>
      <c r="M3190" s="609"/>
      <c r="N3190" s="599"/>
      <c r="O3190" s="552" t="s">
        <v>1584</v>
      </c>
      <c r="P3190" s="603"/>
      <c r="Q3190" s="682"/>
      <c r="R3190" s="682"/>
      <c r="S3190" s="682"/>
      <c r="T3190" s="682"/>
      <c r="U3190" s="682"/>
      <c r="V3190" s="682"/>
      <c r="W3190" s="682"/>
      <c r="AE3190" s="2" t="s">
        <v>5406</v>
      </c>
    </row>
    <row r="3191" spans="1:31">
      <c r="A3191" s="1045">
        <f t="shared" si="50"/>
        <v>10</v>
      </c>
      <c r="B3191" s="134">
        <v>45596</v>
      </c>
      <c r="C3191" s="70">
        <v>5100</v>
      </c>
      <c r="D3191" s="70" t="s">
        <v>81</v>
      </c>
      <c r="E3191" s="280" t="s">
        <v>5404</v>
      </c>
      <c r="F3191" s="1049">
        <v>4637.5</v>
      </c>
      <c r="G3191" s="1049"/>
      <c r="H3191" s="564" t="s">
        <v>5501</v>
      </c>
      <c r="I3191" s="609"/>
      <c r="J3191" s="1155"/>
      <c r="K3191" s="609">
        <v>230</v>
      </c>
      <c r="L3191" s="609"/>
      <c r="M3191" s="609"/>
      <c r="N3191" s="599"/>
      <c r="O3191" s="552" t="s">
        <v>1584</v>
      </c>
      <c r="P3191" s="603"/>
      <c r="Q3191" s="682"/>
      <c r="R3191" s="682"/>
      <c r="S3191" s="682"/>
      <c r="T3191" s="682"/>
      <c r="U3191" s="682"/>
      <c r="V3191" s="682"/>
      <c r="W3191" s="682"/>
      <c r="AE3191" s="2" t="s">
        <v>5407</v>
      </c>
    </row>
    <row r="3192" spans="1:31">
      <c r="A3192" s="1045">
        <f t="shared" si="50"/>
        <v>10</v>
      </c>
      <c r="B3192" s="134">
        <v>45596</v>
      </c>
      <c r="C3192" s="70">
        <v>5100</v>
      </c>
      <c r="D3192" s="70" t="s">
        <v>81</v>
      </c>
      <c r="E3192" s="280" t="s">
        <v>5404</v>
      </c>
      <c r="F3192" s="1049">
        <v>60.58</v>
      </c>
      <c r="G3192" s="1049"/>
      <c r="H3192" s="564" t="s">
        <v>5501</v>
      </c>
      <c r="I3192" s="609"/>
      <c r="J3192" s="1155"/>
      <c r="K3192" s="609">
        <v>233</v>
      </c>
      <c r="L3192" s="609"/>
      <c r="M3192" s="609"/>
      <c r="N3192" s="599"/>
      <c r="O3192" s="552" t="s">
        <v>1584</v>
      </c>
      <c r="P3192" s="603"/>
      <c r="Q3192" s="682"/>
      <c r="R3192" s="682"/>
      <c r="S3192" s="682"/>
      <c r="T3192" s="682"/>
      <c r="U3192" s="682"/>
      <c r="V3192" s="682"/>
      <c r="W3192" s="682"/>
      <c r="AE3192" s="2" t="s">
        <v>5408</v>
      </c>
    </row>
    <row r="3193" spans="1:31">
      <c r="A3193" s="1045">
        <f t="shared" si="50"/>
        <v>10</v>
      </c>
      <c r="B3193" s="134">
        <v>45596</v>
      </c>
      <c r="C3193" s="70">
        <v>5100</v>
      </c>
      <c r="D3193" s="70" t="s">
        <v>81</v>
      </c>
      <c r="E3193" s="280" t="s">
        <v>5404</v>
      </c>
      <c r="F3193" s="1049">
        <v>7143.92</v>
      </c>
      <c r="G3193" s="1049"/>
      <c r="H3193" s="564" t="s">
        <v>5501</v>
      </c>
      <c r="I3193" s="609"/>
      <c r="J3193" s="1155"/>
      <c r="K3193" s="609">
        <v>247</v>
      </c>
      <c r="L3193" s="609"/>
      <c r="M3193" s="609"/>
      <c r="N3193" s="599"/>
      <c r="O3193" s="552" t="s">
        <v>1584</v>
      </c>
      <c r="P3193" s="603"/>
      <c r="Q3193" s="682"/>
      <c r="R3193" s="682"/>
      <c r="S3193" s="682"/>
      <c r="T3193" s="682"/>
      <c r="U3193" s="682"/>
      <c r="V3193" s="682"/>
      <c r="W3193" s="682"/>
      <c r="AE3193" s="2" t="s">
        <v>5409</v>
      </c>
    </row>
    <row r="3194" spans="1:31">
      <c r="A3194" s="1045">
        <f t="shared" si="50"/>
        <v>10</v>
      </c>
      <c r="B3194" s="134">
        <v>45596</v>
      </c>
      <c r="C3194" s="70">
        <v>5100</v>
      </c>
      <c r="D3194" s="70" t="s">
        <v>81</v>
      </c>
      <c r="E3194" s="280" t="s">
        <v>5404</v>
      </c>
      <c r="F3194" s="1049">
        <v>2673.44</v>
      </c>
      <c r="G3194" s="1049"/>
      <c r="H3194" s="564" t="s">
        <v>5501</v>
      </c>
      <c r="I3194" s="609"/>
      <c r="J3194" s="1155"/>
      <c r="K3194" s="609">
        <v>249</v>
      </c>
      <c r="L3194" s="609"/>
      <c r="M3194" s="609"/>
      <c r="N3194" s="599"/>
      <c r="O3194" s="552" t="s">
        <v>1584</v>
      </c>
      <c r="P3194" s="603"/>
      <c r="Q3194" s="682"/>
      <c r="R3194" s="682"/>
      <c r="S3194" s="682"/>
      <c r="T3194" s="682"/>
      <c r="U3194" s="682"/>
      <c r="V3194" s="682"/>
      <c r="W3194" s="682"/>
      <c r="AE3194" s="2" t="s">
        <v>5410</v>
      </c>
    </row>
    <row r="3195" spans="1:31">
      <c r="A3195" s="1045">
        <f t="shared" si="50"/>
        <v>10</v>
      </c>
      <c r="B3195" s="134">
        <v>45596</v>
      </c>
      <c r="C3195" s="70">
        <v>5100</v>
      </c>
      <c r="D3195" s="70" t="s">
        <v>81</v>
      </c>
      <c r="E3195" s="280" t="s">
        <v>5404</v>
      </c>
      <c r="F3195" s="1049">
        <v>132.30000000000001</v>
      </c>
      <c r="G3195" s="1049"/>
      <c r="H3195" s="564" t="s">
        <v>5501</v>
      </c>
      <c r="I3195" s="609"/>
      <c r="J3195" s="1155"/>
      <c r="K3195" s="609">
        <v>252</v>
      </c>
      <c r="L3195" s="609"/>
      <c r="M3195" s="609"/>
      <c r="N3195" s="599"/>
      <c r="O3195" s="552" t="s">
        <v>1584</v>
      </c>
      <c r="P3195" s="603"/>
      <c r="Q3195" s="682"/>
      <c r="R3195" s="682"/>
      <c r="S3195" s="682"/>
      <c r="T3195" s="682"/>
      <c r="U3195" s="682"/>
      <c r="V3195" s="682"/>
      <c r="W3195" s="682"/>
      <c r="AE3195" s="2" t="s">
        <v>5411</v>
      </c>
    </row>
    <row r="3196" spans="1:31">
      <c r="A3196" s="1045">
        <f t="shared" si="50"/>
        <v>10</v>
      </c>
      <c r="B3196" s="134">
        <v>45596</v>
      </c>
      <c r="C3196" s="70">
        <v>5100</v>
      </c>
      <c r="D3196" s="70" t="s">
        <v>81</v>
      </c>
      <c r="E3196" s="280" t="s">
        <v>5404</v>
      </c>
      <c r="F3196" s="1049">
        <v>18628.14</v>
      </c>
      <c r="G3196" s="1049"/>
      <c r="H3196" s="564" t="s">
        <v>5501</v>
      </c>
      <c r="I3196" s="609"/>
      <c r="J3196" s="1155"/>
      <c r="K3196" s="609">
        <v>256</v>
      </c>
      <c r="L3196" s="609"/>
      <c r="M3196" s="609"/>
      <c r="N3196" s="599"/>
      <c r="O3196" s="552" t="s">
        <v>1584</v>
      </c>
      <c r="P3196" s="603"/>
      <c r="Q3196" s="682"/>
      <c r="R3196" s="682"/>
      <c r="S3196" s="682"/>
      <c r="T3196" s="682"/>
      <c r="U3196" s="682"/>
      <c r="V3196" s="682"/>
      <c r="W3196" s="682"/>
      <c r="AE3196" s="2" t="s">
        <v>5412</v>
      </c>
    </row>
    <row r="3197" spans="1:31">
      <c r="A3197" s="1045">
        <f t="shared" si="50"/>
        <v>10</v>
      </c>
      <c r="B3197" s="134">
        <v>45596</v>
      </c>
      <c r="C3197" s="70">
        <v>5100</v>
      </c>
      <c r="D3197" s="70" t="s">
        <v>81</v>
      </c>
      <c r="E3197" s="280" t="s">
        <v>5404</v>
      </c>
      <c r="F3197" s="1049">
        <v>733.43000000000006</v>
      </c>
      <c r="G3197" s="1049"/>
      <c r="H3197" s="564" t="s">
        <v>5501</v>
      </c>
      <c r="I3197" s="609"/>
      <c r="J3197" s="1155"/>
      <c r="K3197" s="609">
        <v>257</v>
      </c>
      <c r="L3197" s="609"/>
      <c r="M3197" s="609"/>
      <c r="N3197" s="599"/>
      <c r="O3197" s="552" t="s">
        <v>1584</v>
      </c>
      <c r="P3197" s="603"/>
      <c r="Q3197" s="682"/>
      <c r="R3197" s="682"/>
      <c r="S3197" s="682"/>
      <c r="T3197" s="682"/>
      <c r="U3197" s="682"/>
      <c r="V3197" s="682"/>
      <c r="W3197" s="682"/>
      <c r="AE3197" s="2" t="s">
        <v>5413</v>
      </c>
    </row>
    <row r="3198" spans="1:31">
      <c r="A3198" s="1045">
        <f t="shared" si="50"/>
        <v>10</v>
      </c>
      <c r="B3198" s="134">
        <v>45596</v>
      </c>
      <c r="C3198" s="70">
        <v>5100</v>
      </c>
      <c r="D3198" s="70" t="s">
        <v>81</v>
      </c>
      <c r="E3198" s="280" t="s">
        <v>5404</v>
      </c>
      <c r="F3198" s="1049">
        <v>8263.2000000000007</v>
      </c>
      <c r="G3198" s="1049"/>
      <c r="H3198" s="564" t="s">
        <v>5501</v>
      </c>
      <c r="I3198" s="609"/>
      <c r="J3198" s="1155"/>
      <c r="K3198" s="609">
        <v>258</v>
      </c>
      <c r="L3198" s="609"/>
      <c r="M3198" s="609"/>
      <c r="N3198" s="599"/>
      <c r="O3198" s="552" t="s">
        <v>1584</v>
      </c>
      <c r="P3198" s="603"/>
      <c r="Q3198" s="682"/>
      <c r="R3198" s="682"/>
      <c r="S3198" s="682"/>
      <c r="T3198" s="682"/>
      <c r="U3198" s="682"/>
      <c r="V3198" s="682"/>
      <c r="W3198" s="682"/>
      <c r="AE3198" s="2" t="s">
        <v>5414</v>
      </c>
    </row>
    <row r="3199" spans="1:31">
      <c r="A3199" s="1045">
        <f t="shared" si="50"/>
        <v>10</v>
      </c>
      <c r="B3199" s="134">
        <v>45596</v>
      </c>
      <c r="C3199" s="70">
        <v>5100</v>
      </c>
      <c r="D3199" s="70" t="s">
        <v>81</v>
      </c>
      <c r="E3199" s="280" t="s">
        <v>5404</v>
      </c>
      <c r="F3199" s="1049">
        <v>2517.69</v>
      </c>
      <c r="G3199" s="1049"/>
      <c r="H3199" s="564" t="s">
        <v>5501</v>
      </c>
      <c r="I3199" s="609"/>
      <c r="J3199" s="1155"/>
      <c r="K3199" s="609">
        <v>261</v>
      </c>
      <c r="L3199" s="609"/>
      <c r="M3199" s="609"/>
      <c r="N3199" s="599"/>
      <c r="O3199" s="552" t="s">
        <v>1584</v>
      </c>
      <c r="P3199" s="603"/>
      <c r="Q3199" s="682"/>
      <c r="R3199" s="682"/>
      <c r="S3199" s="682"/>
      <c r="T3199" s="682"/>
      <c r="U3199" s="682"/>
      <c r="V3199" s="682"/>
      <c r="W3199" s="682"/>
      <c r="AE3199" s="2" t="s">
        <v>5415</v>
      </c>
    </row>
    <row r="3200" spans="1:31">
      <c r="A3200" s="1045">
        <f t="shared" si="50"/>
        <v>10</v>
      </c>
      <c r="B3200" s="134">
        <v>45596</v>
      </c>
      <c r="C3200" s="70">
        <v>5100</v>
      </c>
      <c r="D3200" s="70" t="s">
        <v>81</v>
      </c>
      <c r="E3200" s="280" t="s">
        <v>5404</v>
      </c>
      <c r="F3200" s="1049">
        <v>4911.0999999999995</v>
      </c>
      <c r="G3200" s="1049"/>
      <c r="H3200" s="564" t="s">
        <v>5501</v>
      </c>
      <c r="I3200" s="609"/>
      <c r="J3200" s="1155"/>
      <c r="K3200" s="609">
        <v>264</v>
      </c>
      <c r="L3200" s="609"/>
      <c r="M3200" s="609"/>
      <c r="N3200" s="599"/>
      <c r="O3200" s="552" t="s">
        <v>1584</v>
      </c>
      <c r="P3200" s="603"/>
      <c r="Q3200" s="682"/>
      <c r="R3200" s="682"/>
      <c r="S3200" s="682"/>
      <c r="T3200" s="682"/>
      <c r="U3200" s="682"/>
      <c r="V3200" s="682"/>
      <c r="W3200" s="682"/>
      <c r="AE3200" s="2" t="s">
        <v>5416</v>
      </c>
    </row>
    <row r="3201" spans="1:31">
      <c r="A3201" s="1045">
        <f t="shared" si="50"/>
        <v>10</v>
      </c>
      <c r="B3201" s="134">
        <v>45596</v>
      </c>
      <c r="C3201" s="70">
        <v>5100</v>
      </c>
      <c r="D3201" s="70" t="s">
        <v>81</v>
      </c>
      <c r="E3201" s="280" t="s">
        <v>5404</v>
      </c>
      <c r="F3201" s="1049">
        <v>2818.48</v>
      </c>
      <c r="G3201" s="1049"/>
      <c r="H3201" s="564" t="s">
        <v>5501</v>
      </c>
      <c r="I3201" s="609"/>
      <c r="J3201" s="1155"/>
      <c r="K3201" s="609">
        <v>275</v>
      </c>
      <c r="L3201" s="609"/>
      <c r="M3201" s="609"/>
      <c r="N3201" s="599"/>
      <c r="O3201" s="552" t="s">
        <v>1584</v>
      </c>
      <c r="P3201" s="603"/>
      <c r="Q3201" s="682"/>
      <c r="R3201" s="682"/>
      <c r="S3201" s="682"/>
      <c r="T3201" s="682"/>
      <c r="U3201" s="682"/>
      <c r="V3201" s="682"/>
      <c r="W3201" s="682"/>
      <c r="AE3201" s="2" t="s">
        <v>5417</v>
      </c>
    </row>
    <row r="3202" spans="1:31">
      <c r="A3202" s="1045">
        <f t="shared" si="50"/>
        <v>10</v>
      </c>
      <c r="B3202" s="134">
        <v>45596</v>
      </c>
      <c r="C3202" s="70">
        <v>5100</v>
      </c>
      <c r="D3202" s="70" t="s">
        <v>81</v>
      </c>
      <c r="E3202" s="280" t="s">
        <v>5404</v>
      </c>
      <c r="F3202" s="1049">
        <v>266</v>
      </c>
      <c r="G3202" s="1049"/>
      <c r="H3202" s="564" t="s">
        <v>5501</v>
      </c>
      <c r="I3202" s="609"/>
      <c r="J3202" s="1155"/>
      <c r="K3202" s="609">
        <v>276</v>
      </c>
      <c r="L3202" s="609"/>
      <c r="M3202" s="609"/>
      <c r="N3202" s="599"/>
      <c r="O3202" s="552" t="s">
        <v>1584</v>
      </c>
      <c r="P3202" s="603"/>
      <c r="Q3202" s="682"/>
      <c r="R3202" s="682"/>
      <c r="S3202" s="682"/>
      <c r="T3202" s="682"/>
      <c r="U3202" s="682"/>
      <c r="V3202" s="682"/>
      <c r="W3202" s="682"/>
      <c r="AE3202" s="2" t="s">
        <v>5418</v>
      </c>
    </row>
    <row r="3203" spans="1:31">
      <c r="A3203" s="1045">
        <f t="shared" si="50"/>
        <v>10</v>
      </c>
      <c r="B3203" s="134">
        <v>45596</v>
      </c>
      <c r="C3203" s="70">
        <v>5100</v>
      </c>
      <c r="D3203" s="70" t="s">
        <v>81</v>
      </c>
      <c r="E3203" s="280" t="s">
        <v>5404</v>
      </c>
      <c r="F3203" s="1049">
        <v>5165</v>
      </c>
      <c r="G3203" s="1049"/>
      <c r="H3203" s="564" t="s">
        <v>5501</v>
      </c>
      <c r="I3203" s="609"/>
      <c r="J3203" s="1155"/>
      <c r="K3203" s="609">
        <v>277</v>
      </c>
      <c r="L3203" s="609"/>
      <c r="M3203" s="609"/>
      <c r="N3203" s="599"/>
      <c r="O3203" s="552" t="s">
        <v>1584</v>
      </c>
      <c r="P3203" s="603"/>
      <c r="Q3203" s="682"/>
      <c r="R3203" s="682"/>
      <c r="S3203" s="682"/>
      <c r="T3203" s="682"/>
      <c r="U3203" s="682"/>
      <c r="V3203" s="682"/>
      <c r="W3203" s="682"/>
      <c r="AE3203" s="2" t="s">
        <v>5419</v>
      </c>
    </row>
    <row r="3204" spans="1:31">
      <c r="A3204" s="1045">
        <f t="shared" si="50"/>
        <v>10</v>
      </c>
      <c r="B3204" s="134">
        <v>45596</v>
      </c>
      <c r="C3204" s="70">
        <v>5100</v>
      </c>
      <c r="D3204" s="70" t="s">
        <v>81</v>
      </c>
      <c r="E3204" s="280" t="s">
        <v>5404</v>
      </c>
      <c r="F3204" s="1049">
        <v>4564.13</v>
      </c>
      <c r="G3204" s="1049"/>
      <c r="H3204" s="564" t="s">
        <v>5501</v>
      </c>
      <c r="I3204" s="609"/>
      <c r="J3204" s="1155"/>
      <c r="K3204" s="609">
        <v>279</v>
      </c>
      <c r="L3204" s="609"/>
      <c r="M3204" s="609"/>
      <c r="N3204" s="599"/>
      <c r="O3204" s="552" t="s">
        <v>1584</v>
      </c>
      <c r="P3204" s="603"/>
      <c r="Q3204" s="682"/>
      <c r="R3204" s="682"/>
      <c r="S3204" s="682"/>
      <c r="T3204" s="682"/>
      <c r="U3204" s="682"/>
      <c r="V3204" s="682"/>
      <c r="W3204" s="682"/>
      <c r="AE3204" s="2" t="s">
        <v>5420</v>
      </c>
    </row>
    <row r="3205" spans="1:31">
      <c r="A3205" s="1045">
        <f t="shared" si="50"/>
        <v>10</v>
      </c>
      <c r="B3205" s="134">
        <v>45596</v>
      </c>
      <c r="C3205" s="70">
        <v>5100</v>
      </c>
      <c r="D3205" s="70" t="s">
        <v>81</v>
      </c>
      <c r="E3205" s="280" t="s">
        <v>5404</v>
      </c>
      <c r="F3205" s="1049">
        <v>197.98</v>
      </c>
      <c r="G3205" s="1049"/>
      <c r="H3205" s="564" t="s">
        <v>5501</v>
      </c>
      <c r="I3205" s="609"/>
      <c r="J3205" s="1155"/>
      <c r="K3205" s="609">
        <v>282</v>
      </c>
      <c r="L3205" s="609"/>
      <c r="M3205" s="609"/>
      <c r="N3205" s="599"/>
      <c r="O3205" s="552" t="s">
        <v>1584</v>
      </c>
      <c r="P3205" s="603"/>
      <c r="Q3205" s="682"/>
      <c r="R3205" s="682"/>
      <c r="S3205" s="682"/>
      <c r="T3205" s="682"/>
      <c r="U3205" s="682"/>
      <c r="V3205" s="682"/>
      <c r="W3205" s="682"/>
      <c r="AE3205" s="2" t="s">
        <v>5421</v>
      </c>
    </row>
    <row r="3206" spans="1:31">
      <c r="A3206" s="1045">
        <f t="shared" si="50"/>
        <v>10</v>
      </c>
      <c r="B3206" s="134">
        <v>45596</v>
      </c>
      <c r="C3206" s="70">
        <v>5100</v>
      </c>
      <c r="D3206" s="70" t="s">
        <v>81</v>
      </c>
      <c r="E3206" s="280" t="s">
        <v>5404</v>
      </c>
      <c r="F3206" s="1049">
        <v>51.53</v>
      </c>
      <c r="G3206" s="1049"/>
      <c r="H3206" s="564" t="s">
        <v>5501</v>
      </c>
      <c r="I3206" s="609"/>
      <c r="J3206" s="1155"/>
      <c r="K3206" s="609">
        <v>286</v>
      </c>
      <c r="L3206" s="609"/>
      <c r="M3206" s="609"/>
      <c r="N3206" s="599"/>
      <c r="O3206" s="552" t="s">
        <v>1584</v>
      </c>
      <c r="P3206" s="603"/>
      <c r="Q3206" s="682"/>
      <c r="R3206" s="682"/>
      <c r="S3206" s="682"/>
      <c r="T3206" s="682"/>
      <c r="U3206" s="682"/>
      <c r="V3206" s="682"/>
      <c r="W3206" s="682"/>
      <c r="AE3206" s="2" t="s">
        <v>5422</v>
      </c>
    </row>
    <row r="3207" spans="1:31">
      <c r="A3207" s="1045">
        <f t="shared" si="50"/>
        <v>10</v>
      </c>
      <c r="B3207" s="134">
        <v>45596</v>
      </c>
      <c r="C3207" s="70">
        <v>1017</v>
      </c>
      <c r="D3207" s="70" t="s">
        <v>5118</v>
      </c>
      <c r="E3207" s="280" t="s">
        <v>5404</v>
      </c>
      <c r="F3207" s="1049"/>
      <c r="G3207" s="1049">
        <v>63411</v>
      </c>
      <c r="H3207" s="564" t="s">
        <v>5501</v>
      </c>
      <c r="I3207" s="609"/>
      <c r="J3207" s="1155"/>
      <c r="K3207" s="609"/>
      <c r="L3207" s="609"/>
      <c r="M3207" s="609"/>
      <c r="N3207" s="599"/>
      <c r="O3207" s="552" t="s">
        <v>1584</v>
      </c>
      <c r="P3207" s="603"/>
      <c r="Q3207" s="682"/>
      <c r="R3207" s="682"/>
      <c r="S3207" s="682"/>
      <c r="T3207" s="682"/>
      <c r="U3207" s="682"/>
      <c r="V3207" s="682"/>
      <c r="W3207" s="682"/>
    </row>
    <row r="3208" spans="1:31">
      <c r="A3208" s="1045">
        <f t="shared" si="50"/>
        <v>10</v>
      </c>
      <c r="B3208" s="134">
        <v>45572</v>
      </c>
      <c r="C3208" s="70">
        <v>6250</v>
      </c>
      <c r="D3208" s="70" t="s">
        <v>129</v>
      </c>
      <c r="E3208" s="280" t="s">
        <v>5467</v>
      </c>
      <c r="F3208" s="1049">
        <v>10</v>
      </c>
      <c r="G3208" s="1049"/>
      <c r="H3208" s="564" t="s">
        <v>5501</v>
      </c>
      <c r="I3208" s="609"/>
      <c r="J3208" s="1155"/>
      <c r="K3208" s="609"/>
      <c r="L3208" s="609"/>
      <c r="M3208" s="609"/>
      <c r="N3208" s="599"/>
      <c r="O3208" s="552" t="s">
        <v>1584</v>
      </c>
      <c r="P3208" s="603"/>
      <c r="Q3208" s="682"/>
      <c r="R3208" s="682"/>
      <c r="S3208" s="682"/>
      <c r="T3208" s="682"/>
      <c r="U3208" s="682"/>
      <c r="V3208" s="682"/>
      <c r="W3208" s="682"/>
    </row>
    <row r="3209" spans="1:31">
      <c r="A3209" s="1045">
        <f t="shared" si="50"/>
        <v>10</v>
      </c>
      <c r="B3209" s="134">
        <v>45566</v>
      </c>
      <c r="C3209" s="70">
        <v>6250</v>
      </c>
      <c r="D3209" s="70" t="s">
        <v>129</v>
      </c>
      <c r="E3209" s="280" t="s">
        <v>5468</v>
      </c>
      <c r="F3209" s="1049">
        <v>34</v>
      </c>
      <c r="G3209" s="1049"/>
      <c r="H3209" s="564" t="s">
        <v>5501</v>
      </c>
      <c r="I3209" s="609"/>
      <c r="J3209" s="1155"/>
      <c r="K3209" s="609"/>
      <c r="L3209" s="609"/>
      <c r="M3209" s="609"/>
      <c r="N3209" s="599"/>
      <c r="O3209" s="552" t="s">
        <v>1584</v>
      </c>
      <c r="P3209" s="603"/>
      <c r="Q3209" s="682"/>
      <c r="R3209" s="682"/>
      <c r="S3209" s="682"/>
      <c r="T3209" s="682"/>
      <c r="U3209" s="682"/>
      <c r="V3209" s="682"/>
      <c r="W3209" s="682"/>
    </row>
    <row r="3210" spans="1:31">
      <c r="A3210" s="1045">
        <f t="shared" si="50"/>
        <v>10</v>
      </c>
      <c r="B3210" s="134">
        <v>45575</v>
      </c>
      <c r="C3210" s="70">
        <v>6007</v>
      </c>
      <c r="D3210" s="70" t="s">
        <v>98</v>
      </c>
      <c r="E3210" s="280" t="s">
        <v>5469</v>
      </c>
      <c r="F3210" s="1049">
        <v>10</v>
      </c>
      <c r="G3210" s="1049"/>
      <c r="H3210" s="564" t="s">
        <v>5501</v>
      </c>
      <c r="I3210" s="609"/>
      <c r="J3210" s="1155"/>
      <c r="K3210" s="609"/>
      <c r="L3210" s="609"/>
      <c r="M3210" s="609"/>
      <c r="N3210" s="599"/>
      <c r="O3210" s="552" t="s">
        <v>1584</v>
      </c>
      <c r="P3210" s="603"/>
      <c r="Q3210" s="682"/>
      <c r="R3210" s="682"/>
      <c r="S3210" s="682"/>
      <c r="T3210" s="682"/>
      <c r="U3210" s="682"/>
      <c r="V3210" s="682"/>
      <c r="W3210" s="682"/>
    </row>
    <row r="3211" spans="1:31">
      <c r="A3211" s="1045">
        <f t="shared" si="50"/>
        <v>10</v>
      </c>
      <c r="B3211" s="134">
        <v>45575</v>
      </c>
      <c r="C3211" s="70">
        <v>6007</v>
      </c>
      <c r="D3211" s="70" t="s">
        <v>98</v>
      </c>
      <c r="E3211" s="280" t="s">
        <v>5470</v>
      </c>
      <c r="F3211" s="1049">
        <v>100</v>
      </c>
      <c r="G3211" s="1049"/>
      <c r="H3211" s="564" t="s">
        <v>5501</v>
      </c>
      <c r="I3211" s="609"/>
      <c r="J3211" s="1155"/>
      <c r="K3211" s="609"/>
      <c r="L3211" s="609"/>
      <c r="M3211" s="609"/>
      <c r="N3211" s="599"/>
      <c r="O3211" s="552" t="s">
        <v>1584</v>
      </c>
      <c r="P3211" s="603"/>
      <c r="Q3211" s="682"/>
      <c r="R3211" s="682"/>
      <c r="S3211" s="682"/>
      <c r="T3211" s="682"/>
      <c r="U3211" s="682"/>
      <c r="V3211" s="682"/>
      <c r="W3211" s="682"/>
    </row>
    <row r="3212" spans="1:31">
      <c r="A3212" s="1045">
        <f t="shared" si="50"/>
        <v>10</v>
      </c>
      <c r="B3212" s="134">
        <v>45596</v>
      </c>
      <c r="C3212" s="70">
        <v>6005</v>
      </c>
      <c r="D3212" s="70" t="s">
        <v>96</v>
      </c>
      <c r="E3212" s="280" t="s">
        <v>5471</v>
      </c>
      <c r="F3212" s="1049">
        <v>10</v>
      </c>
      <c r="G3212" s="1049"/>
      <c r="H3212" s="564" t="s">
        <v>5501</v>
      </c>
      <c r="I3212" s="609"/>
      <c r="J3212" s="1155"/>
      <c r="K3212" s="609"/>
      <c r="L3212" s="609"/>
      <c r="M3212" s="609"/>
      <c r="N3212" s="599"/>
      <c r="O3212" s="552" t="s">
        <v>1584</v>
      </c>
      <c r="P3212" s="603"/>
      <c r="Q3212" s="682"/>
      <c r="R3212" s="682"/>
      <c r="S3212" s="682"/>
      <c r="T3212" s="682"/>
      <c r="U3212" s="682"/>
      <c r="V3212" s="682"/>
      <c r="W3212" s="682"/>
    </row>
    <row r="3213" spans="1:31">
      <c r="A3213" s="1045">
        <f t="shared" si="50"/>
        <v>10</v>
      </c>
      <c r="B3213" s="134">
        <v>45571</v>
      </c>
      <c r="C3213" s="70">
        <v>6250</v>
      </c>
      <c r="D3213" s="70" t="s">
        <v>129</v>
      </c>
      <c r="E3213" s="280" t="s">
        <v>5472</v>
      </c>
      <c r="F3213" s="1049">
        <v>50</v>
      </c>
      <c r="G3213" s="1049"/>
      <c r="H3213" s="564" t="s">
        <v>5501</v>
      </c>
      <c r="I3213" s="609"/>
      <c r="J3213" s="1155"/>
      <c r="K3213" s="609"/>
      <c r="L3213" s="609"/>
      <c r="M3213" s="609"/>
      <c r="N3213" s="599"/>
      <c r="O3213" s="552" t="s">
        <v>1584</v>
      </c>
      <c r="P3213" s="603"/>
      <c r="Q3213" s="682"/>
      <c r="R3213" s="682"/>
      <c r="S3213" s="682"/>
      <c r="T3213" s="682"/>
      <c r="U3213" s="682"/>
      <c r="V3213" s="682"/>
      <c r="W3213" s="682"/>
    </row>
    <row r="3214" spans="1:31">
      <c r="A3214" s="1045">
        <f t="shared" si="50"/>
        <v>10</v>
      </c>
      <c r="B3214" s="134">
        <v>45596</v>
      </c>
      <c r="C3214" s="70">
        <v>6007</v>
      </c>
      <c r="D3214" s="70" t="s">
        <v>98</v>
      </c>
      <c r="E3214" s="280" t="s">
        <v>5473</v>
      </c>
      <c r="F3214" s="1049">
        <v>50</v>
      </c>
      <c r="G3214" s="1049"/>
      <c r="H3214" s="564" t="s">
        <v>5501</v>
      </c>
      <c r="I3214" s="609"/>
      <c r="J3214" s="1155"/>
      <c r="K3214" s="609"/>
      <c r="L3214" s="609"/>
      <c r="M3214" s="609"/>
      <c r="N3214" s="599"/>
      <c r="O3214" s="552" t="s">
        <v>1584</v>
      </c>
      <c r="P3214" s="603"/>
      <c r="Q3214" s="682"/>
      <c r="R3214" s="682"/>
      <c r="S3214" s="682"/>
      <c r="T3214" s="682"/>
      <c r="U3214" s="682"/>
      <c r="V3214" s="682"/>
      <c r="W3214" s="682"/>
    </row>
    <row r="3215" spans="1:31">
      <c r="A3215" s="1045">
        <f t="shared" si="50"/>
        <v>10</v>
      </c>
      <c r="B3215" s="134">
        <v>45591</v>
      </c>
      <c r="C3215" s="70">
        <v>7050</v>
      </c>
      <c r="D3215" s="70" t="s">
        <v>137</v>
      </c>
      <c r="E3215" s="280" t="s">
        <v>5474</v>
      </c>
      <c r="F3215" s="1049">
        <v>74.66</v>
      </c>
      <c r="G3215" s="1049"/>
      <c r="H3215" s="564" t="s">
        <v>5501</v>
      </c>
      <c r="I3215" s="609"/>
      <c r="J3215" s="1155"/>
      <c r="K3215" s="609"/>
      <c r="L3215" s="609"/>
      <c r="M3215" s="609"/>
      <c r="N3215" s="599"/>
      <c r="O3215" s="552" t="s">
        <v>1584</v>
      </c>
      <c r="P3215" s="603"/>
      <c r="Q3215" s="682"/>
      <c r="R3215" s="682"/>
      <c r="S3215" s="682"/>
      <c r="T3215" s="682"/>
      <c r="U3215" s="682"/>
      <c r="V3215" s="682"/>
      <c r="W3215" s="682"/>
    </row>
    <row r="3216" spans="1:31">
      <c r="A3216" s="1045">
        <f t="shared" si="50"/>
        <v>10</v>
      </c>
      <c r="B3216" s="134">
        <v>45591</v>
      </c>
      <c r="C3216" s="70">
        <v>2018</v>
      </c>
      <c r="D3216" s="70" t="s">
        <v>58</v>
      </c>
      <c r="E3216" s="280" t="s">
        <v>5474</v>
      </c>
      <c r="F3216" s="1049">
        <v>3.73</v>
      </c>
      <c r="G3216" s="1049"/>
      <c r="H3216" s="564" t="s">
        <v>5501</v>
      </c>
      <c r="I3216" s="609"/>
      <c r="J3216" s="1155"/>
      <c r="K3216" s="609"/>
      <c r="L3216" s="609"/>
      <c r="M3216" s="609"/>
      <c r="N3216" s="599"/>
      <c r="O3216" s="552" t="s">
        <v>1584</v>
      </c>
      <c r="P3216" s="603"/>
      <c r="Q3216" s="682"/>
      <c r="R3216" s="682"/>
      <c r="S3216" s="682"/>
      <c r="T3216" s="682"/>
      <c r="U3216" s="682"/>
      <c r="V3216" s="682"/>
      <c r="W3216" s="682"/>
    </row>
    <row r="3217" spans="1:23">
      <c r="A3217" s="1045">
        <f t="shared" si="50"/>
        <v>10</v>
      </c>
      <c r="B3217" s="134">
        <v>45591</v>
      </c>
      <c r="C3217" s="70">
        <v>7050</v>
      </c>
      <c r="D3217" s="70" t="s">
        <v>137</v>
      </c>
      <c r="E3217" s="280" t="s">
        <v>5475</v>
      </c>
      <c r="F3217" s="1049">
        <v>52.33</v>
      </c>
      <c r="G3217" s="1049"/>
      <c r="H3217" s="564" t="s">
        <v>5501</v>
      </c>
      <c r="I3217" s="609"/>
      <c r="J3217" s="1155"/>
      <c r="K3217" s="609"/>
      <c r="L3217" s="609"/>
      <c r="M3217" s="609"/>
      <c r="N3217" s="599"/>
      <c r="O3217" s="552" t="s">
        <v>1584</v>
      </c>
      <c r="P3217" s="603"/>
      <c r="Q3217" s="682"/>
      <c r="R3217" s="682"/>
      <c r="S3217" s="682"/>
      <c r="T3217" s="682"/>
      <c r="U3217" s="682"/>
      <c r="V3217" s="682"/>
      <c r="W3217" s="682"/>
    </row>
    <row r="3218" spans="1:23">
      <c r="A3218" s="1045">
        <f t="shared" si="50"/>
        <v>10</v>
      </c>
      <c r="B3218" s="134">
        <v>45591</v>
      </c>
      <c r="C3218" s="70">
        <v>2018</v>
      </c>
      <c r="D3218" s="70" t="s">
        <v>58</v>
      </c>
      <c r="E3218" s="280" t="s">
        <v>5475</v>
      </c>
      <c r="F3218" s="1049">
        <v>2.62</v>
      </c>
      <c r="G3218" s="1049"/>
      <c r="H3218" s="564" t="s">
        <v>5501</v>
      </c>
      <c r="I3218" s="609"/>
      <c r="J3218" s="1155"/>
      <c r="K3218" s="609"/>
      <c r="L3218" s="609"/>
      <c r="M3218" s="609"/>
      <c r="N3218" s="599"/>
      <c r="O3218" s="552" t="s">
        <v>1584</v>
      </c>
      <c r="P3218" s="603"/>
      <c r="Q3218" s="682"/>
      <c r="R3218" s="682"/>
      <c r="S3218" s="682"/>
      <c r="T3218" s="682"/>
      <c r="U3218" s="682"/>
      <c r="V3218" s="682"/>
      <c r="W3218" s="682"/>
    </row>
    <row r="3219" spans="1:23">
      <c r="A3219" s="1045">
        <f t="shared" si="50"/>
        <v>10</v>
      </c>
      <c r="B3219" s="134">
        <v>45591</v>
      </c>
      <c r="C3219" s="70">
        <v>7050</v>
      </c>
      <c r="D3219" s="70" t="s">
        <v>137</v>
      </c>
      <c r="E3219" s="280" t="s">
        <v>5476</v>
      </c>
      <c r="F3219" s="1049">
        <v>35.56</v>
      </c>
      <c r="G3219" s="1049"/>
      <c r="H3219" s="564" t="s">
        <v>5501</v>
      </c>
      <c r="I3219" s="609"/>
      <c r="J3219" s="1155"/>
      <c r="K3219" s="609"/>
      <c r="L3219" s="609"/>
      <c r="M3219" s="609"/>
      <c r="N3219" s="599"/>
      <c r="O3219" s="552" t="s">
        <v>1584</v>
      </c>
      <c r="P3219" s="603"/>
      <c r="Q3219" s="682"/>
      <c r="R3219" s="682"/>
      <c r="S3219" s="682"/>
      <c r="T3219" s="682"/>
      <c r="U3219" s="682"/>
      <c r="V3219" s="682"/>
      <c r="W3219" s="682"/>
    </row>
    <row r="3220" spans="1:23">
      <c r="A3220" s="1045">
        <f t="shared" si="50"/>
        <v>10</v>
      </c>
      <c r="B3220" s="134">
        <v>45591</v>
      </c>
      <c r="C3220" s="70">
        <v>2018</v>
      </c>
      <c r="D3220" s="70" t="s">
        <v>58</v>
      </c>
      <c r="E3220" s="280" t="s">
        <v>5476</v>
      </c>
      <c r="F3220" s="1049">
        <v>1.76</v>
      </c>
      <c r="G3220" s="1049"/>
      <c r="H3220" s="564" t="s">
        <v>5501</v>
      </c>
      <c r="I3220" s="609"/>
      <c r="J3220" s="1155"/>
      <c r="K3220" s="609"/>
      <c r="L3220" s="609"/>
      <c r="M3220" s="609"/>
      <c r="N3220" s="599"/>
      <c r="O3220" s="552" t="s">
        <v>1584</v>
      </c>
      <c r="P3220" s="603"/>
      <c r="Q3220" s="682"/>
      <c r="R3220" s="682"/>
      <c r="S3220" s="682"/>
      <c r="T3220" s="682"/>
      <c r="U3220" s="682"/>
      <c r="V3220" s="682"/>
      <c r="W3220" s="682"/>
    </row>
    <row r="3221" spans="1:23">
      <c r="A3221" s="1045">
        <f t="shared" ref="A3221:A3284" si="51">IF(B3221="","",MONTH(B3221))</f>
        <v>10</v>
      </c>
      <c r="B3221" s="134">
        <v>45576</v>
      </c>
      <c r="C3221" s="70">
        <v>6017</v>
      </c>
      <c r="D3221" s="70" t="s">
        <v>108</v>
      </c>
      <c r="E3221" s="280" t="s">
        <v>5478</v>
      </c>
      <c r="F3221" s="1049">
        <v>162</v>
      </c>
      <c r="G3221" s="1049"/>
      <c r="H3221" s="564" t="s">
        <v>5501</v>
      </c>
      <c r="I3221" s="609"/>
      <c r="J3221" s="1155"/>
      <c r="K3221" s="609"/>
      <c r="L3221" s="609"/>
      <c r="M3221" s="609"/>
      <c r="N3221" s="599"/>
      <c r="O3221" s="552" t="s">
        <v>1584</v>
      </c>
      <c r="P3221" s="603"/>
      <c r="Q3221" s="682"/>
      <c r="R3221" s="682"/>
      <c r="S3221" s="682"/>
      <c r="T3221" s="682"/>
      <c r="U3221" s="682"/>
      <c r="V3221" s="682"/>
      <c r="W3221" s="682"/>
    </row>
    <row r="3222" spans="1:23">
      <c r="A3222" s="1045">
        <f t="shared" si="51"/>
        <v>10</v>
      </c>
      <c r="B3222" s="134">
        <v>45576</v>
      </c>
      <c r="C3222" s="70">
        <v>2018</v>
      </c>
      <c r="D3222" s="70" t="s">
        <v>58</v>
      </c>
      <c r="E3222" s="280" t="s">
        <v>5478</v>
      </c>
      <c r="F3222" s="1049">
        <v>8</v>
      </c>
      <c r="G3222" s="1049"/>
      <c r="H3222" s="564" t="s">
        <v>5501</v>
      </c>
      <c r="I3222" s="609"/>
      <c r="J3222" s="1155"/>
      <c r="K3222" s="609"/>
      <c r="L3222" s="609"/>
      <c r="M3222" s="609"/>
      <c r="N3222" s="599"/>
      <c r="O3222" s="552" t="s">
        <v>1584</v>
      </c>
      <c r="P3222" s="603"/>
      <c r="Q3222" s="682"/>
      <c r="R3222" s="682"/>
      <c r="S3222" s="682"/>
      <c r="T3222" s="682"/>
      <c r="U3222" s="682"/>
      <c r="V3222" s="682"/>
      <c r="W3222" s="682"/>
    </row>
    <row r="3223" spans="1:23">
      <c r="A3223" s="1045">
        <f t="shared" si="51"/>
        <v>10</v>
      </c>
      <c r="B3223" s="134">
        <v>45596</v>
      </c>
      <c r="C3223" s="70">
        <v>6025</v>
      </c>
      <c r="D3223" s="70" t="s">
        <v>116</v>
      </c>
      <c r="E3223" s="280" t="s">
        <v>5477</v>
      </c>
      <c r="F3223" s="1049">
        <v>35</v>
      </c>
      <c r="G3223" s="1049"/>
      <c r="H3223" s="564" t="s">
        <v>5501</v>
      </c>
      <c r="I3223" s="609"/>
      <c r="J3223" s="1155"/>
      <c r="K3223" s="609"/>
      <c r="L3223" s="609"/>
      <c r="M3223" s="609"/>
      <c r="N3223" s="599"/>
      <c r="O3223" s="552" t="s">
        <v>1584</v>
      </c>
      <c r="P3223" s="603"/>
      <c r="Q3223" s="682"/>
      <c r="R3223" s="682"/>
      <c r="S3223" s="682"/>
      <c r="T3223" s="682"/>
      <c r="U3223" s="682"/>
      <c r="V3223" s="682"/>
      <c r="W3223" s="682"/>
    </row>
    <row r="3224" spans="1:23">
      <c r="A3224" s="1045">
        <f t="shared" si="51"/>
        <v>10</v>
      </c>
      <c r="B3224" s="134">
        <v>45571</v>
      </c>
      <c r="C3224" s="70">
        <v>6025</v>
      </c>
      <c r="D3224" s="70" t="s">
        <v>116</v>
      </c>
      <c r="E3224" s="280" t="s">
        <v>5479</v>
      </c>
      <c r="F3224" s="1049">
        <v>35</v>
      </c>
      <c r="G3224" s="1049"/>
      <c r="H3224" s="564" t="s">
        <v>5501</v>
      </c>
      <c r="I3224" s="609"/>
      <c r="J3224" s="1155"/>
      <c r="K3224" s="609"/>
      <c r="L3224" s="609"/>
      <c r="M3224" s="609"/>
      <c r="N3224" s="599"/>
      <c r="O3224" s="552" t="s">
        <v>1584</v>
      </c>
      <c r="P3224" s="603"/>
      <c r="Q3224" s="682"/>
      <c r="R3224" s="682"/>
      <c r="S3224" s="682"/>
      <c r="T3224" s="682"/>
      <c r="U3224" s="682"/>
      <c r="V3224" s="682"/>
      <c r="W3224" s="682"/>
    </row>
    <row r="3225" spans="1:23">
      <c r="A3225" s="1045">
        <f t="shared" si="51"/>
        <v>10</v>
      </c>
      <c r="B3225" s="134">
        <v>45586</v>
      </c>
      <c r="C3225" s="70">
        <v>6025</v>
      </c>
      <c r="D3225" s="70" t="s">
        <v>116</v>
      </c>
      <c r="E3225" s="280" t="s">
        <v>5479</v>
      </c>
      <c r="F3225" s="1049">
        <v>35</v>
      </c>
      <c r="G3225" s="1049"/>
      <c r="H3225" s="564" t="s">
        <v>5501</v>
      </c>
      <c r="I3225" s="609"/>
      <c r="J3225" s="1155"/>
      <c r="K3225" s="609"/>
      <c r="L3225" s="609"/>
      <c r="M3225" s="609"/>
      <c r="N3225" s="599"/>
      <c r="O3225" s="552" t="s">
        <v>1584</v>
      </c>
      <c r="P3225" s="603"/>
      <c r="Q3225" s="682"/>
      <c r="R3225" s="682"/>
      <c r="S3225" s="682"/>
      <c r="T3225" s="682"/>
      <c r="U3225" s="682"/>
      <c r="V3225" s="682"/>
      <c r="W3225" s="682"/>
    </row>
    <row r="3226" spans="1:23">
      <c r="A3226" s="1045">
        <f t="shared" si="51"/>
        <v>10</v>
      </c>
      <c r="B3226" s="134">
        <v>45591</v>
      </c>
      <c r="C3226" s="70">
        <v>6017</v>
      </c>
      <c r="D3226" s="70" t="s">
        <v>108</v>
      </c>
      <c r="E3226" s="280" t="s">
        <v>5480</v>
      </c>
      <c r="F3226" s="1049">
        <v>80</v>
      </c>
      <c r="G3226" s="1049"/>
      <c r="H3226" s="564" t="s">
        <v>5501</v>
      </c>
      <c r="I3226" s="609"/>
      <c r="J3226" s="1155"/>
      <c r="K3226" s="609"/>
      <c r="L3226" s="609"/>
      <c r="M3226" s="609"/>
      <c r="N3226" s="599"/>
      <c r="O3226" s="552" t="s">
        <v>1584</v>
      </c>
      <c r="P3226" s="603"/>
      <c r="Q3226" s="682"/>
      <c r="R3226" s="682"/>
      <c r="S3226" s="682"/>
      <c r="T3226" s="682"/>
      <c r="U3226" s="682"/>
      <c r="V3226" s="682"/>
      <c r="W3226" s="682"/>
    </row>
    <row r="3227" spans="1:23">
      <c r="A3227" s="1045">
        <f t="shared" si="51"/>
        <v>10</v>
      </c>
      <c r="B3227" s="134">
        <v>45576</v>
      </c>
      <c r="C3227" s="70">
        <v>6025</v>
      </c>
      <c r="D3227" s="70" t="s">
        <v>116</v>
      </c>
      <c r="E3227" s="280" t="s">
        <v>5481</v>
      </c>
      <c r="F3227" s="1049">
        <v>36</v>
      </c>
      <c r="G3227" s="1049"/>
      <c r="H3227" s="564" t="s">
        <v>5501</v>
      </c>
      <c r="I3227" s="609"/>
      <c r="J3227" s="1155"/>
      <c r="K3227" s="609"/>
      <c r="L3227" s="609"/>
      <c r="M3227" s="609"/>
      <c r="N3227" s="599"/>
      <c r="O3227" s="552" t="s">
        <v>1584</v>
      </c>
      <c r="P3227" s="603"/>
      <c r="Q3227" s="682"/>
      <c r="R3227" s="682"/>
      <c r="S3227" s="682"/>
      <c r="T3227" s="682"/>
      <c r="U3227" s="682"/>
      <c r="V3227" s="682"/>
      <c r="W3227" s="682"/>
    </row>
    <row r="3228" spans="1:23">
      <c r="A3228" s="1045">
        <f t="shared" si="51"/>
        <v>10</v>
      </c>
      <c r="B3228" s="134">
        <v>45574</v>
      </c>
      <c r="C3228" s="70">
        <v>6017</v>
      </c>
      <c r="D3228" s="70" t="s">
        <v>108</v>
      </c>
      <c r="E3228" s="280" t="s">
        <v>5482</v>
      </c>
      <c r="F3228" s="1049">
        <v>15</v>
      </c>
      <c r="G3228" s="1049"/>
      <c r="H3228" s="564" t="s">
        <v>5501</v>
      </c>
      <c r="I3228" s="609"/>
      <c r="J3228" s="1155"/>
      <c r="K3228" s="609"/>
      <c r="L3228" s="609"/>
      <c r="M3228" s="609"/>
      <c r="N3228" s="599"/>
      <c r="O3228" s="552" t="s">
        <v>1584</v>
      </c>
      <c r="P3228" s="603"/>
      <c r="Q3228" s="682"/>
      <c r="R3228" s="682"/>
      <c r="S3228" s="682"/>
      <c r="T3228" s="682"/>
      <c r="U3228" s="682"/>
      <c r="V3228" s="682"/>
      <c r="W3228" s="682"/>
    </row>
    <row r="3229" spans="1:23">
      <c r="A3229" s="1045">
        <f t="shared" si="51"/>
        <v>10</v>
      </c>
      <c r="B3229" s="134">
        <v>45581</v>
      </c>
      <c r="C3229" s="70">
        <v>6017</v>
      </c>
      <c r="D3229" s="70" t="s">
        <v>108</v>
      </c>
      <c r="E3229" s="280" t="s">
        <v>5483</v>
      </c>
      <c r="F3229" s="1049">
        <v>178</v>
      </c>
      <c r="G3229" s="1049"/>
      <c r="H3229" s="564" t="s">
        <v>5501</v>
      </c>
      <c r="I3229" s="609"/>
      <c r="J3229" s="1155"/>
      <c r="K3229" s="609"/>
      <c r="L3229" s="609"/>
      <c r="M3229" s="609"/>
      <c r="N3229" s="599"/>
      <c r="O3229" s="552" t="s">
        <v>1584</v>
      </c>
      <c r="P3229" s="603"/>
      <c r="Q3229" s="682"/>
      <c r="R3229" s="682"/>
      <c r="S3229" s="682"/>
      <c r="T3229" s="682"/>
      <c r="U3229" s="682"/>
      <c r="V3229" s="682"/>
      <c r="W3229" s="682"/>
    </row>
    <row r="3230" spans="1:23">
      <c r="A3230" s="1045">
        <f t="shared" si="51"/>
        <v>10</v>
      </c>
      <c r="B3230" s="134">
        <v>45581</v>
      </c>
      <c r="C3230" s="70">
        <v>2018</v>
      </c>
      <c r="D3230" s="70" t="s">
        <v>58</v>
      </c>
      <c r="E3230" s="280" t="s">
        <v>5483</v>
      </c>
      <c r="F3230" s="1049">
        <v>8.91</v>
      </c>
      <c r="G3230" s="1049"/>
      <c r="H3230" s="564" t="s">
        <v>5501</v>
      </c>
      <c r="I3230" s="609"/>
      <c r="J3230" s="1155"/>
      <c r="K3230" s="609"/>
      <c r="L3230" s="609"/>
      <c r="M3230" s="609"/>
      <c r="N3230" s="599"/>
      <c r="O3230" s="552" t="s">
        <v>1584</v>
      </c>
      <c r="P3230" s="603"/>
      <c r="Q3230" s="682"/>
      <c r="R3230" s="682"/>
      <c r="S3230" s="682"/>
      <c r="T3230" s="682"/>
      <c r="U3230" s="682"/>
      <c r="V3230" s="682"/>
      <c r="W3230" s="682"/>
    </row>
    <row r="3231" spans="1:23">
      <c r="A3231" s="1045">
        <f t="shared" si="51"/>
        <v>10</v>
      </c>
      <c r="B3231" s="134">
        <v>45583</v>
      </c>
      <c r="C3231" s="70">
        <v>6017</v>
      </c>
      <c r="D3231" s="70" t="s">
        <v>108</v>
      </c>
      <c r="E3231" s="280" t="s">
        <v>5484</v>
      </c>
      <c r="F3231" s="1049">
        <v>10</v>
      </c>
      <c r="G3231" s="1049"/>
      <c r="H3231" s="564" t="s">
        <v>5501</v>
      </c>
      <c r="I3231" s="609"/>
      <c r="J3231" s="1155"/>
      <c r="K3231" s="609"/>
      <c r="L3231" s="609"/>
      <c r="M3231" s="609"/>
      <c r="N3231" s="599"/>
      <c r="O3231" s="552" t="s">
        <v>1584</v>
      </c>
      <c r="P3231" s="603"/>
      <c r="Q3231" s="682"/>
      <c r="R3231" s="682"/>
      <c r="S3231" s="682"/>
      <c r="T3231" s="682"/>
      <c r="U3231" s="682"/>
      <c r="V3231" s="682"/>
      <c r="W3231" s="682"/>
    </row>
    <row r="3232" spans="1:23">
      <c r="A3232" s="1045">
        <f t="shared" si="51"/>
        <v>10</v>
      </c>
      <c r="B3232" s="134">
        <v>45596</v>
      </c>
      <c r="C3232" s="70">
        <v>6050</v>
      </c>
      <c r="D3232" s="70" t="s">
        <v>125</v>
      </c>
      <c r="E3232" s="280" t="s">
        <v>5485</v>
      </c>
      <c r="F3232" s="1049">
        <v>400</v>
      </c>
      <c r="G3232" s="1049"/>
      <c r="H3232" s="564" t="s">
        <v>5501</v>
      </c>
      <c r="I3232" s="609"/>
      <c r="J3232" s="1155"/>
      <c r="K3232" s="609"/>
      <c r="L3232" s="609"/>
      <c r="M3232" s="609"/>
      <c r="N3232" s="599"/>
      <c r="O3232" s="552" t="s">
        <v>1584</v>
      </c>
      <c r="P3232" s="603"/>
      <c r="Q3232" s="682"/>
      <c r="R3232" s="682"/>
      <c r="S3232" s="682"/>
      <c r="T3232" s="682"/>
      <c r="U3232" s="682"/>
      <c r="V3232" s="682"/>
      <c r="W3232" s="682"/>
    </row>
    <row r="3233" spans="1:31">
      <c r="A3233" s="1045">
        <f t="shared" si="51"/>
        <v>10</v>
      </c>
      <c r="B3233" s="134">
        <v>45596</v>
      </c>
      <c r="C3233" s="70">
        <v>6000</v>
      </c>
      <c r="D3233" s="70" t="s">
        <v>91</v>
      </c>
      <c r="E3233" s="280" t="s">
        <v>5486</v>
      </c>
      <c r="F3233" s="1049">
        <v>1040</v>
      </c>
      <c r="G3233" s="1049"/>
      <c r="H3233" s="564" t="s">
        <v>5501</v>
      </c>
      <c r="I3233" s="609"/>
      <c r="J3233" s="1155"/>
      <c r="K3233" s="609"/>
      <c r="L3233" s="609"/>
      <c r="M3233" s="609"/>
      <c r="N3233" s="599"/>
      <c r="O3233" s="552" t="s">
        <v>1584</v>
      </c>
      <c r="P3233" s="603"/>
      <c r="Q3233" s="682"/>
      <c r="R3233" s="682"/>
      <c r="S3233" s="682"/>
      <c r="T3233" s="682"/>
      <c r="U3233" s="682"/>
      <c r="V3233" s="682"/>
      <c r="W3233" s="682"/>
    </row>
    <row r="3234" spans="1:31">
      <c r="A3234" s="1045">
        <f t="shared" si="51"/>
        <v>10</v>
      </c>
      <c r="B3234" s="134">
        <v>45570</v>
      </c>
      <c r="C3234" s="70">
        <v>6250</v>
      </c>
      <c r="D3234" s="70" t="s">
        <v>129</v>
      </c>
      <c r="E3234" s="280" t="s">
        <v>5487</v>
      </c>
      <c r="F3234" s="1049">
        <v>15.75</v>
      </c>
      <c r="G3234" s="1049"/>
      <c r="H3234" s="564" t="s">
        <v>5501</v>
      </c>
      <c r="I3234" s="609"/>
      <c r="J3234" s="1155"/>
      <c r="K3234" s="609"/>
      <c r="L3234" s="609"/>
      <c r="M3234" s="609"/>
      <c r="N3234" s="599"/>
      <c r="O3234" s="552" t="s">
        <v>1584</v>
      </c>
      <c r="P3234" s="603"/>
      <c r="Q3234" s="682"/>
      <c r="R3234" s="682"/>
      <c r="S3234" s="682"/>
      <c r="T3234" s="682"/>
      <c r="U3234" s="682"/>
      <c r="V3234" s="682"/>
      <c r="W3234" s="682"/>
    </row>
    <row r="3235" spans="1:31">
      <c r="A3235" s="1045">
        <f t="shared" si="51"/>
        <v>10</v>
      </c>
      <c r="B3235" s="134">
        <v>45569</v>
      </c>
      <c r="C3235" s="70">
        <v>6250</v>
      </c>
      <c r="D3235" s="70" t="s">
        <v>129</v>
      </c>
      <c r="E3235" s="280" t="s">
        <v>5488</v>
      </c>
      <c r="F3235" s="1049">
        <v>63</v>
      </c>
      <c r="G3235" s="1049"/>
      <c r="H3235" s="564" t="s">
        <v>5501</v>
      </c>
      <c r="I3235" s="609"/>
      <c r="J3235" s="1155"/>
      <c r="K3235" s="609"/>
      <c r="L3235" s="609"/>
      <c r="M3235" s="609"/>
      <c r="N3235" s="599"/>
      <c r="O3235" s="552" t="s">
        <v>1584</v>
      </c>
      <c r="P3235" s="603"/>
      <c r="Q3235" s="682"/>
      <c r="R3235" s="682"/>
      <c r="S3235" s="682"/>
      <c r="T3235" s="682"/>
      <c r="U3235" s="682"/>
      <c r="V3235" s="682"/>
      <c r="W3235" s="682"/>
    </row>
    <row r="3236" spans="1:31">
      <c r="A3236" s="1045">
        <f t="shared" si="51"/>
        <v>10</v>
      </c>
      <c r="B3236" s="134">
        <v>45577</v>
      </c>
      <c r="C3236" s="70">
        <v>6250</v>
      </c>
      <c r="D3236" s="70" t="s">
        <v>129</v>
      </c>
      <c r="E3236" s="280" t="s">
        <v>5489</v>
      </c>
      <c r="F3236" s="1049">
        <v>170</v>
      </c>
      <c r="G3236" s="1049"/>
      <c r="H3236" s="564" t="s">
        <v>5501</v>
      </c>
      <c r="I3236" s="609"/>
      <c r="J3236" s="1155"/>
      <c r="K3236" s="609"/>
      <c r="L3236" s="609"/>
      <c r="M3236" s="609"/>
      <c r="N3236" s="599"/>
      <c r="O3236" s="552" t="s">
        <v>1584</v>
      </c>
      <c r="P3236" s="603"/>
      <c r="Q3236" s="682"/>
      <c r="R3236" s="682"/>
      <c r="S3236" s="682"/>
      <c r="T3236" s="682"/>
      <c r="U3236" s="682"/>
      <c r="V3236" s="682"/>
      <c r="W3236" s="682"/>
    </row>
    <row r="3237" spans="1:31">
      <c r="A3237" s="1045">
        <f t="shared" si="51"/>
        <v>10</v>
      </c>
      <c r="B3237" s="134">
        <v>45577</v>
      </c>
      <c r="C3237" s="70">
        <v>2018</v>
      </c>
      <c r="D3237" s="70" t="s">
        <v>58</v>
      </c>
      <c r="E3237" s="280" t="s">
        <v>5489</v>
      </c>
      <c r="F3237" s="1049">
        <v>8.5</v>
      </c>
      <c r="G3237" s="1049"/>
      <c r="H3237" s="564" t="s">
        <v>5501</v>
      </c>
      <c r="I3237" s="609"/>
      <c r="J3237" s="1155"/>
      <c r="K3237" s="609"/>
      <c r="L3237" s="609"/>
      <c r="M3237" s="609"/>
      <c r="N3237" s="599"/>
      <c r="O3237" s="552" t="s">
        <v>1584</v>
      </c>
      <c r="P3237" s="603"/>
      <c r="Q3237" s="682"/>
      <c r="R3237" s="682"/>
      <c r="S3237" s="682"/>
      <c r="T3237" s="682"/>
      <c r="U3237" s="682"/>
      <c r="V3237" s="682"/>
      <c r="W3237" s="682"/>
    </row>
    <row r="3238" spans="1:31">
      <c r="A3238" s="1045">
        <f t="shared" si="51"/>
        <v>10</v>
      </c>
      <c r="B3238" s="134">
        <v>45571</v>
      </c>
      <c r="C3238" s="70">
        <v>6250</v>
      </c>
      <c r="D3238" s="70" t="s">
        <v>129</v>
      </c>
      <c r="E3238" s="280" t="s">
        <v>5490</v>
      </c>
      <c r="F3238" s="1049">
        <v>85</v>
      </c>
      <c r="G3238" s="1049"/>
      <c r="H3238" s="564" t="s">
        <v>5501</v>
      </c>
      <c r="I3238" s="609"/>
      <c r="J3238" s="1155"/>
      <c r="K3238" s="609"/>
      <c r="L3238" s="609"/>
      <c r="M3238" s="609"/>
      <c r="N3238" s="599"/>
      <c r="O3238" s="552" t="s">
        <v>1584</v>
      </c>
      <c r="P3238" s="603"/>
      <c r="Q3238" s="682"/>
      <c r="R3238" s="682"/>
      <c r="S3238" s="682"/>
      <c r="T3238" s="682"/>
      <c r="U3238" s="682"/>
      <c r="V3238" s="682"/>
      <c r="W3238" s="682"/>
    </row>
    <row r="3239" spans="1:31">
      <c r="A3239" s="1045">
        <f t="shared" si="51"/>
        <v>10</v>
      </c>
      <c r="B3239" s="134">
        <v>45571</v>
      </c>
      <c r="C3239" s="70">
        <v>2018</v>
      </c>
      <c r="D3239" s="70" t="s">
        <v>58</v>
      </c>
      <c r="E3239" s="280" t="s">
        <v>5490</v>
      </c>
      <c r="F3239" s="1049">
        <v>4.25</v>
      </c>
      <c r="G3239" s="1049"/>
      <c r="H3239" s="564" t="s">
        <v>5501</v>
      </c>
      <c r="I3239" s="609"/>
      <c r="J3239" s="1155"/>
      <c r="K3239" s="609"/>
      <c r="L3239" s="609"/>
      <c r="M3239" s="609"/>
      <c r="N3239" s="599"/>
      <c r="O3239" s="552" t="s">
        <v>1584</v>
      </c>
      <c r="P3239" s="603"/>
      <c r="Q3239" s="682"/>
      <c r="R3239" s="682"/>
      <c r="S3239" s="682"/>
      <c r="T3239" s="682"/>
      <c r="U3239" s="682"/>
      <c r="V3239" s="682"/>
      <c r="W3239" s="682"/>
    </row>
    <row r="3240" spans="1:31">
      <c r="A3240" s="1045">
        <f t="shared" si="51"/>
        <v>10</v>
      </c>
      <c r="B3240" s="134">
        <v>45573</v>
      </c>
      <c r="C3240" s="70">
        <v>1500</v>
      </c>
      <c r="D3240" s="70" t="s">
        <v>53</v>
      </c>
      <c r="E3240" s="280" t="s">
        <v>5491</v>
      </c>
      <c r="F3240" s="1049">
        <v>260</v>
      </c>
      <c r="G3240" s="1049"/>
      <c r="H3240" s="564" t="s">
        <v>5501</v>
      </c>
      <c r="I3240" s="609"/>
      <c r="J3240" s="1155"/>
      <c r="K3240" s="609"/>
      <c r="L3240" s="609"/>
      <c r="M3240" s="609"/>
      <c r="N3240" s="599"/>
      <c r="O3240" s="552" t="s">
        <v>1584</v>
      </c>
      <c r="P3240" s="603"/>
      <c r="Q3240" s="682"/>
      <c r="R3240" s="682"/>
      <c r="S3240" s="682"/>
      <c r="T3240" s="682"/>
      <c r="U3240" s="682"/>
      <c r="V3240" s="682"/>
      <c r="W3240" s="682"/>
    </row>
    <row r="3241" spans="1:31">
      <c r="A3241" s="1045">
        <f t="shared" si="51"/>
        <v>10</v>
      </c>
      <c r="B3241" s="134">
        <v>45573</v>
      </c>
      <c r="C3241" s="70">
        <v>2018</v>
      </c>
      <c r="D3241" s="70" t="s">
        <v>58</v>
      </c>
      <c r="E3241" s="280" t="s">
        <v>5491</v>
      </c>
      <c r="F3241" s="1049">
        <v>13</v>
      </c>
      <c r="G3241" s="1049"/>
      <c r="H3241" s="564" t="s">
        <v>5501</v>
      </c>
      <c r="I3241" s="609"/>
      <c r="J3241" s="1155"/>
      <c r="K3241" s="609"/>
      <c r="L3241" s="609"/>
      <c r="M3241" s="609"/>
      <c r="N3241" s="599"/>
      <c r="O3241" s="552" t="s">
        <v>1584</v>
      </c>
      <c r="P3241" s="603"/>
      <c r="Q3241" s="682"/>
      <c r="R3241" s="682"/>
      <c r="S3241" s="682"/>
      <c r="T3241" s="682"/>
      <c r="U3241" s="682"/>
      <c r="V3241" s="682"/>
      <c r="W3241" s="682"/>
    </row>
    <row r="3242" spans="1:31">
      <c r="A3242" s="1045">
        <f t="shared" si="51"/>
        <v>10</v>
      </c>
      <c r="B3242" s="134">
        <v>45571</v>
      </c>
      <c r="C3242" s="70">
        <v>6250</v>
      </c>
      <c r="D3242" s="70" t="s">
        <v>129</v>
      </c>
      <c r="E3242" s="280" t="s">
        <v>5492</v>
      </c>
      <c r="F3242" s="1049">
        <v>47.25</v>
      </c>
      <c r="G3242" s="1049"/>
      <c r="H3242" s="564" t="s">
        <v>5501</v>
      </c>
      <c r="I3242" s="609"/>
      <c r="J3242" s="1155"/>
      <c r="K3242" s="609"/>
      <c r="L3242" s="609"/>
      <c r="M3242" s="609"/>
      <c r="N3242" s="599"/>
      <c r="O3242" s="552" t="s">
        <v>1584</v>
      </c>
      <c r="P3242" s="603"/>
      <c r="Q3242" s="682"/>
      <c r="R3242" s="682"/>
      <c r="S3242" s="682"/>
      <c r="T3242" s="682"/>
      <c r="U3242" s="682"/>
      <c r="V3242" s="682"/>
      <c r="W3242" s="682"/>
    </row>
    <row r="3243" spans="1:31">
      <c r="A3243" s="1045">
        <f t="shared" si="51"/>
        <v>10</v>
      </c>
      <c r="B3243" s="134">
        <v>45596</v>
      </c>
      <c r="C3243" s="70">
        <v>6007</v>
      </c>
      <c r="D3243" s="70" t="s">
        <v>98</v>
      </c>
      <c r="E3243" s="280" t="s">
        <v>5493</v>
      </c>
      <c r="F3243" s="1049">
        <v>200</v>
      </c>
      <c r="G3243" s="1049"/>
      <c r="H3243" s="564" t="s">
        <v>5501</v>
      </c>
      <c r="I3243" s="609"/>
      <c r="J3243" s="1155"/>
      <c r="K3243" s="609"/>
      <c r="L3243" s="609"/>
      <c r="M3243" s="609"/>
      <c r="N3243" s="599"/>
      <c r="O3243" s="552" t="s">
        <v>1584</v>
      </c>
      <c r="P3243" s="603"/>
      <c r="Q3243" s="682"/>
      <c r="R3243" s="682"/>
      <c r="S3243" s="682"/>
      <c r="T3243" s="682"/>
      <c r="U3243" s="682"/>
      <c r="V3243" s="682"/>
      <c r="W3243" s="682"/>
    </row>
    <row r="3244" spans="1:31">
      <c r="A3244" s="1045">
        <f t="shared" si="51"/>
        <v>10</v>
      </c>
      <c r="B3244" s="134">
        <v>45596</v>
      </c>
      <c r="C3244" s="70">
        <v>1500</v>
      </c>
      <c r="D3244" s="70" t="s">
        <v>53</v>
      </c>
      <c r="E3244" s="280" t="s">
        <v>5494</v>
      </c>
      <c r="F3244" s="1049">
        <v>400</v>
      </c>
      <c r="G3244" s="1049"/>
      <c r="H3244" s="564" t="s">
        <v>5501</v>
      </c>
      <c r="I3244" s="609"/>
      <c r="J3244" s="1155"/>
      <c r="K3244" s="609"/>
      <c r="L3244" s="609"/>
      <c r="M3244" s="609"/>
      <c r="N3244" s="599"/>
      <c r="O3244" s="552" t="s">
        <v>1584</v>
      </c>
      <c r="P3244" s="603"/>
      <c r="Q3244" s="682"/>
      <c r="R3244" s="682"/>
      <c r="S3244" s="682"/>
      <c r="T3244" s="682"/>
      <c r="U3244" s="682"/>
      <c r="V3244" s="682"/>
      <c r="W3244" s="682"/>
    </row>
    <row r="3245" spans="1:31">
      <c r="A3245" s="1045">
        <f t="shared" si="51"/>
        <v>10</v>
      </c>
      <c r="B3245" s="134">
        <v>45596</v>
      </c>
      <c r="C3245" s="70">
        <v>1017</v>
      </c>
      <c r="D3245" s="70" t="s">
        <v>5118</v>
      </c>
      <c r="E3245" s="280" t="s">
        <v>5495</v>
      </c>
      <c r="F3245" s="1049"/>
      <c r="G3245" s="1049">
        <v>3744.3199999999997</v>
      </c>
      <c r="H3245" s="564" t="s">
        <v>5501</v>
      </c>
      <c r="I3245" s="609"/>
      <c r="J3245" s="1155"/>
      <c r="K3245" s="609"/>
      <c r="L3245" s="609"/>
      <c r="M3245" s="609"/>
      <c r="N3245" s="599"/>
      <c r="O3245" s="552" t="s">
        <v>1584</v>
      </c>
      <c r="P3245" s="603"/>
      <c r="Q3245" s="682"/>
      <c r="R3245" s="682"/>
      <c r="S3245" s="682"/>
      <c r="T3245" s="682"/>
      <c r="U3245" s="682"/>
      <c r="V3245" s="682"/>
      <c r="W3245" s="682"/>
    </row>
    <row r="3246" spans="1:31">
      <c r="A3246" s="1045">
        <f t="shared" si="51"/>
        <v>10</v>
      </c>
      <c r="B3246" s="398">
        <v>45588</v>
      </c>
      <c r="C3246" s="70">
        <v>5200</v>
      </c>
      <c r="D3246" s="70" t="s">
        <v>83</v>
      </c>
      <c r="E3246" s="280" t="s">
        <v>5424</v>
      </c>
      <c r="F3246" s="1049">
        <v>4095.2</v>
      </c>
      <c r="G3246" s="1049"/>
      <c r="H3246" s="564" t="s">
        <v>5423</v>
      </c>
      <c r="I3246" s="609"/>
      <c r="J3246" s="1155"/>
      <c r="K3246" s="609">
        <v>225</v>
      </c>
      <c r="L3246" s="609"/>
      <c r="M3246" s="609"/>
      <c r="N3246" s="599">
        <v>204.76</v>
      </c>
      <c r="O3246" s="552" t="s">
        <v>1584</v>
      </c>
      <c r="P3246" s="603"/>
      <c r="Q3246" s="682"/>
      <c r="R3246" s="682"/>
      <c r="S3246" s="682"/>
      <c r="T3246" s="682"/>
      <c r="U3246" s="682"/>
      <c r="V3246" s="682"/>
      <c r="W3246" s="682"/>
      <c r="AE3246" s="2" t="s">
        <v>5431</v>
      </c>
    </row>
    <row r="3247" spans="1:31">
      <c r="A3247" s="1045">
        <f t="shared" si="51"/>
        <v>10</v>
      </c>
      <c r="B3247" s="134">
        <v>45588</v>
      </c>
      <c r="C3247" s="70">
        <v>2018</v>
      </c>
      <c r="D3247" s="70" t="s">
        <v>58</v>
      </c>
      <c r="E3247" s="280" t="s">
        <v>5424</v>
      </c>
      <c r="F3247" s="1049">
        <v>204.76</v>
      </c>
      <c r="G3247" s="1049"/>
      <c r="H3247" s="564" t="s">
        <v>5423</v>
      </c>
      <c r="I3247" s="609"/>
      <c r="J3247" s="1155"/>
      <c r="K3247" s="609"/>
      <c r="L3247" s="609"/>
      <c r="M3247" s="609"/>
      <c r="N3247" s="599"/>
      <c r="O3247" s="552" t="s">
        <v>1584</v>
      </c>
      <c r="P3247" s="603"/>
      <c r="Q3247" s="682"/>
      <c r="R3247" s="682"/>
      <c r="S3247" s="682"/>
      <c r="T3247" s="682"/>
      <c r="U3247" s="682"/>
      <c r="V3247" s="682"/>
      <c r="W3247" s="682"/>
    </row>
    <row r="3248" spans="1:31">
      <c r="A3248" s="1045">
        <f t="shared" si="51"/>
        <v>10</v>
      </c>
      <c r="B3248" s="134">
        <v>45588</v>
      </c>
      <c r="C3248" s="70">
        <v>2000</v>
      </c>
      <c r="D3248" s="70" t="s">
        <v>57</v>
      </c>
      <c r="E3248" s="280" t="s">
        <v>5424</v>
      </c>
      <c r="F3248" s="1049"/>
      <c r="G3248" s="1049">
        <v>4300</v>
      </c>
      <c r="H3248" s="564" t="s">
        <v>5423</v>
      </c>
      <c r="I3248" s="609"/>
      <c r="J3248" s="1155"/>
      <c r="K3248" s="609"/>
      <c r="L3248" s="609"/>
      <c r="M3248" s="609" t="s">
        <v>4898</v>
      </c>
      <c r="N3248" s="599"/>
      <c r="O3248" s="552" t="s">
        <v>1584</v>
      </c>
      <c r="P3248" s="603"/>
      <c r="Q3248" s="682"/>
      <c r="R3248" s="682"/>
      <c r="S3248" s="682"/>
      <c r="T3248" s="682"/>
      <c r="U3248" s="682"/>
      <c r="V3248" s="682"/>
      <c r="W3248" s="682"/>
      <c r="AE3248" s="2" t="s">
        <v>2960</v>
      </c>
    </row>
    <row r="3249" spans="1:31">
      <c r="A3249" s="1045">
        <f t="shared" si="51"/>
        <v>10</v>
      </c>
      <c r="B3249" s="134">
        <v>45588</v>
      </c>
      <c r="C3249" s="70">
        <v>5200</v>
      </c>
      <c r="D3249" s="70" t="s">
        <v>83</v>
      </c>
      <c r="E3249" s="280" t="s">
        <v>5425</v>
      </c>
      <c r="F3249" s="1049">
        <v>440</v>
      </c>
      <c r="G3249" s="1049"/>
      <c r="H3249" s="564" t="s">
        <v>5426</v>
      </c>
      <c r="I3249" s="609"/>
      <c r="J3249" s="1155"/>
      <c r="K3249" s="609">
        <v>225</v>
      </c>
      <c r="L3249" s="609"/>
      <c r="M3249" s="609"/>
      <c r="N3249" s="599">
        <v>22</v>
      </c>
      <c r="O3249" s="552" t="s">
        <v>1584</v>
      </c>
      <c r="P3249" s="603"/>
      <c r="Q3249" s="682"/>
      <c r="R3249" s="682"/>
      <c r="S3249" s="682"/>
      <c r="T3249" s="682"/>
      <c r="U3249" s="682"/>
      <c r="V3249" s="682"/>
      <c r="W3249" s="682"/>
      <c r="AE3249" s="2" t="s">
        <v>5432</v>
      </c>
    </row>
    <row r="3250" spans="1:31">
      <c r="A3250" s="1045">
        <f t="shared" si="51"/>
        <v>10</v>
      </c>
      <c r="B3250" s="134">
        <v>45588</v>
      </c>
      <c r="C3250" s="70">
        <v>2018</v>
      </c>
      <c r="D3250" s="70" t="s">
        <v>58</v>
      </c>
      <c r="E3250" s="280" t="s">
        <v>5425</v>
      </c>
      <c r="F3250" s="1049">
        <v>22</v>
      </c>
      <c r="G3250" s="1049"/>
      <c r="H3250" s="564" t="s">
        <v>5426</v>
      </c>
      <c r="I3250" s="609"/>
      <c r="J3250" s="1155"/>
      <c r="K3250" s="609"/>
      <c r="L3250" s="609"/>
      <c r="M3250" s="609"/>
      <c r="N3250" s="599"/>
      <c r="O3250" s="552" t="s">
        <v>1584</v>
      </c>
      <c r="P3250" s="603"/>
      <c r="Q3250" s="682"/>
      <c r="R3250" s="682"/>
      <c r="S3250" s="682"/>
      <c r="T3250" s="682"/>
      <c r="U3250" s="682"/>
      <c r="V3250" s="682"/>
      <c r="W3250" s="682"/>
    </row>
    <row r="3251" spans="1:31">
      <c r="A3251" s="1045">
        <f t="shared" si="51"/>
        <v>10</v>
      </c>
      <c r="B3251" s="134">
        <v>45588</v>
      </c>
      <c r="C3251" s="70">
        <v>2000</v>
      </c>
      <c r="D3251" s="70" t="s">
        <v>57</v>
      </c>
      <c r="E3251" s="280" t="s">
        <v>5425</v>
      </c>
      <c r="F3251" s="1049"/>
      <c r="G3251" s="1049">
        <v>462</v>
      </c>
      <c r="H3251" s="564" t="s">
        <v>5426</v>
      </c>
      <c r="I3251" s="609"/>
      <c r="J3251" s="1155"/>
      <c r="K3251" s="609"/>
      <c r="L3251" s="609"/>
      <c r="M3251" s="609" t="s">
        <v>4917</v>
      </c>
      <c r="N3251" s="599"/>
      <c r="O3251" s="552" t="s">
        <v>1584</v>
      </c>
      <c r="P3251" s="603"/>
      <c r="Q3251" s="682"/>
      <c r="R3251" s="682"/>
      <c r="S3251" s="682"/>
      <c r="T3251" s="682"/>
      <c r="U3251" s="682"/>
      <c r="V3251" s="682"/>
      <c r="W3251" s="682"/>
      <c r="AE3251" s="2" t="s">
        <v>2960</v>
      </c>
    </row>
    <row r="3252" spans="1:31">
      <c r="A3252" s="1045">
        <f t="shared" si="51"/>
        <v>10</v>
      </c>
      <c r="B3252" s="134">
        <v>45596</v>
      </c>
      <c r="C3252" s="70">
        <v>2000</v>
      </c>
      <c r="D3252" s="70" t="s">
        <v>57</v>
      </c>
      <c r="E3252" s="280" t="s">
        <v>5429</v>
      </c>
      <c r="F3252" s="1049">
        <v>4300</v>
      </c>
      <c r="G3252" s="1049"/>
      <c r="H3252" s="564" t="s">
        <v>5428</v>
      </c>
      <c r="I3252" s="609"/>
      <c r="J3252" s="1155"/>
      <c r="K3252" s="609"/>
      <c r="L3252" s="609"/>
      <c r="M3252" s="609" t="s">
        <v>4898</v>
      </c>
      <c r="N3252" s="599"/>
      <c r="O3252" s="552" t="s">
        <v>1584</v>
      </c>
      <c r="P3252" s="603"/>
      <c r="Q3252" s="682"/>
      <c r="R3252" s="682"/>
      <c r="S3252" s="682"/>
      <c r="T3252" s="682"/>
      <c r="U3252" s="682"/>
      <c r="V3252" s="682"/>
      <c r="W3252" s="682"/>
      <c r="AE3252" s="2" t="s">
        <v>3045</v>
      </c>
    </row>
    <row r="3253" spans="1:31">
      <c r="A3253" s="1045">
        <f t="shared" si="51"/>
        <v>10</v>
      </c>
      <c r="B3253" s="134">
        <v>45596</v>
      </c>
      <c r="C3253" s="70">
        <v>2000</v>
      </c>
      <c r="D3253" s="70" t="s">
        <v>57</v>
      </c>
      <c r="E3253" s="280" t="s">
        <v>5430</v>
      </c>
      <c r="F3253" s="1049">
        <v>462</v>
      </c>
      <c r="G3253" s="1049"/>
      <c r="H3253" s="564" t="s">
        <v>5428</v>
      </c>
      <c r="I3253" s="609"/>
      <c r="J3253" s="1155"/>
      <c r="K3253" s="609"/>
      <c r="L3253" s="609"/>
      <c r="M3253" s="609" t="s">
        <v>4917</v>
      </c>
      <c r="N3253" s="599"/>
      <c r="O3253" s="552" t="s">
        <v>1584</v>
      </c>
      <c r="P3253" s="603"/>
      <c r="Q3253" s="682"/>
      <c r="R3253" s="682"/>
      <c r="S3253" s="682"/>
      <c r="T3253" s="682"/>
      <c r="U3253" s="682"/>
      <c r="V3253" s="682"/>
      <c r="W3253" s="682"/>
      <c r="AE3253" s="2" t="s">
        <v>3045</v>
      </c>
    </row>
    <row r="3254" spans="1:31">
      <c r="A3254" s="1045">
        <f t="shared" si="51"/>
        <v>10</v>
      </c>
      <c r="B3254" s="134">
        <v>45596</v>
      </c>
      <c r="C3254" s="70">
        <v>1022</v>
      </c>
      <c r="D3254" s="70" t="s">
        <v>5119</v>
      </c>
      <c r="E3254" s="280" t="s">
        <v>5427</v>
      </c>
      <c r="F3254" s="1049"/>
      <c r="G3254" s="1049">
        <v>4762</v>
      </c>
      <c r="H3254" s="564" t="s">
        <v>5428</v>
      </c>
      <c r="I3254" s="609">
        <v>958</v>
      </c>
      <c r="J3254" s="1155">
        <v>45606</v>
      </c>
      <c r="K3254" s="609"/>
      <c r="L3254" s="609"/>
      <c r="M3254" s="609"/>
      <c r="N3254" s="599"/>
      <c r="O3254" s="552" t="s">
        <v>1584</v>
      </c>
      <c r="P3254" s="603"/>
      <c r="Q3254" s="682"/>
      <c r="R3254" s="682"/>
      <c r="S3254" s="682"/>
      <c r="T3254" s="682"/>
      <c r="U3254" s="682"/>
      <c r="V3254" s="682"/>
      <c r="W3254" s="682"/>
    </row>
    <row r="3255" spans="1:31">
      <c r="A3255" s="1045">
        <f t="shared" si="51"/>
        <v>11</v>
      </c>
      <c r="B3255" s="134">
        <v>45600</v>
      </c>
      <c r="C3255" s="70">
        <v>1100</v>
      </c>
      <c r="D3255" s="70" t="s">
        <v>46</v>
      </c>
      <c r="E3255" s="280" t="s">
        <v>5439</v>
      </c>
      <c r="F3255" s="1049">
        <v>14175</v>
      </c>
      <c r="G3255" s="1049"/>
      <c r="H3255" s="564" t="s">
        <v>5436</v>
      </c>
      <c r="I3255" s="609"/>
      <c r="J3255" s="1155"/>
      <c r="K3255" s="609"/>
      <c r="L3255" s="609"/>
      <c r="M3255" s="609"/>
      <c r="N3255" s="599">
        <v>675</v>
      </c>
      <c r="O3255" s="552" t="s">
        <v>1584</v>
      </c>
      <c r="P3255" s="603"/>
      <c r="Q3255" s="682"/>
      <c r="R3255" s="682"/>
      <c r="S3255" s="682"/>
      <c r="T3255" s="682"/>
      <c r="U3255" s="682"/>
      <c r="V3255" s="682"/>
      <c r="W3255" s="682"/>
    </row>
    <row r="3256" spans="1:31">
      <c r="A3256" s="1045">
        <f t="shared" si="51"/>
        <v>11</v>
      </c>
      <c r="B3256" s="134">
        <v>45600</v>
      </c>
      <c r="C3256" s="70">
        <v>2018</v>
      </c>
      <c r="D3256" s="70" t="s">
        <v>58</v>
      </c>
      <c r="E3256" s="280" t="s">
        <v>5435</v>
      </c>
      <c r="F3256" s="1049"/>
      <c r="G3256" s="1049">
        <v>675</v>
      </c>
      <c r="H3256" s="564" t="s">
        <v>5436</v>
      </c>
      <c r="I3256" s="609"/>
      <c r="J3256" s="1155"/>
      <c r="K3256" s="609"/>
      <c r="L3256" s="609"/>
      <c r="M3256" s="609"/>
      <c r="N3256" s="599"/>
      <c r="O3256" s="552" t="s">
        <v>1584</v>
      </c>
      <c r="P3256" s="603"/>
      <c r="Q3256" s="682"/>
      <c r="R3256" s="682"/>
      <c r="S3256" s="682"/>
      <c r="T3256" s="682"/>
      <c r="U3256" s="682"/>
      <c r="V3256" s="682"/>
      <c r="W3256" s="682"/>
    </row>
    <row r="3257" spans="1:31">
      <c r="A3257" s="1045">
        <f t="shared" si="51"/>
        <v>11</v>
      </c>
      <c r="B3257" s="134">
        <v>45600</v>
      </c>
      <c r="C3257" s="70">
        <v>4000</v>
      </c>
      <c r="D3257" s="70" t="s">
        <v>74</v>
      </c>
      <c r="E3257" s="280" t="s">
        <v>5435</v>
      </c>
      <c r="F3257" s="1049"/>
      <c r="G3257" s="1049">
        <v>13500</v>
      </c>
      <c r="H3257" s="564" t="s">
        <v>5436</v>
      </c>
      <c r="I3257" s="609"/>
      <c r="J3257" s="1155"/>
      <c r="K3257" s="609"/>
      <c r="L3257" s="609"/>
      <c r="M3257" s="609"/>
      <c r="N3257" s="599"/>
      <c r="O3257" s="552" t="s">
        <v>1584</v>
      </c>
      <c r="P3257" s="603"/>
      <c r="Q3257" s="682"/>
      <c r="R3257" s="682"/>
      <c r="S3257" s="682"/>
      <c r="T3257" s="682"/>
      <c r="U3257" s="682"/>
      <c r="V3257" s="682"/>
      <c r="W3257" s="682"/>
    </row>
    <row r="3258" spans="1:31">
      <c r="A3258" s="1045">
        <f t="shared" si="51"/>
        <v>11</v>
      </c>
      <c r="B3258" s="134">
        <v>45600</v>
      </c>
      <c r="C3258" s="70">
        <v>1100</v>
      </c>
      <c r="D3258" s="70" t="s">
        <v>46</v>
      </c>
      <c r="E3258" s="280" t="s">
        <v>5438</v>
      </c>
      <c r="F3258" s="1049">
        <v>35700</v>
      </c>
      <c r="G3258" s="1049"/>
      <c r="H3258" s="564" t="s">
        <v>5440</v>
      </c>
      <c r="I3258" s="609"/>
      <c r="J3258" s="1155"/>
      <c r="K3258" s="609"/>
      <c r="L3258" s="609"/>
      <c r="M3258" s="609"/>
      <c r="N3258" s="599">
        <v>1700</v>
      </c>
      <c r="O3258" s="552" t="s">
        <v>1584</v>
      </c>
      <c r="P3258" s="603"/>
      <c r="Q3258" s="682"/>
      <c r="R3258" s="682"/>
      <c r="S3258" s="682"/>
      <c r="T3258" s="682"/>
      <c r="U3258" s="682"/>
      <c r="V3258" s="682"/>
      <c r="W3258" s="682"/>
    </row>
    <row r="3259" spans="1:31">
      <c r="A3259" s="1045">
        <f t="shared" si="51"/>
        <v>11</v>
      </c>
      <c r="B3259" s="134">
        <v>45600</v>
      </c>
      <c r="C3259" s="70">
        <v>2018</v>
      </c>
      <c r="D3259" s="70" t="s">
        <v>58</v>
      </c>
      <c r="E3259" s="280" t="s">
        <v>5438</v>
      </c>
      <c r="F3259" s="1049"/>
      <c r="G3259" s="1049">
        <v>1700</v>
      </c>
      <c r="H3259" s="564" t="s">
        <v>5440</v>
      </c>
      <c r="I3259" s="609"/>
      <c r="J3259" s="1155"/>
      <c r="K3259" s="609"/>
      <c r="L3259" s="609"/>
      <c r="M3259" s="609"/>
      <c r="N3259" s="599"/>
      <c r="O3259" s="552" t="s">
        <v>1584</v>
      </c>
      <c r="P3259" s="603"/>
      <c r="Q3259" s="682"/>
      <c r="R3259" s="682"/>
      <c r="S3259" s="682"/>
      <c r="T3259" s="682"/>
      <c r="U3259" s="682"/>
      <c r="V3259" s="682"/>
      <c r="W3259" s="682"/>
    </row>
    <row r="3260" spans="1:31">
      <c r="A3260" s="1045">
        <f t="shared" si="51"/>
        <v>11</v>
      </c>
      <c r="B3260" s="134">
        <v>45600</v>
      </c>
      <c r="C3260" s="70">
        <v>4000</v>
      </c>
      <c r="D3260" s="70" t="s">
        <v>74</v>
      </c>
      <c r="E3260" s="280" t="s">
        <v>5438</v>
      </c>
      <c r="F3260" s="1049"/>
      <c r="G3260" s="1049">
        <v>34000</v>
      </c>
      <c r="H3260" s="564" t="s">
        <v>5440</v>
      </c>
      <c r="I3260" s="609"/>
      <c r="J3260" s="1155"/>
      <c r="K3260" s="609"/>
      <c r="L3260" s="609"/>
      <c r="M3260" s="609"/>
      <c r="N3260" s="599"/>
      <c r="O3260" s="552" t="s">
        <v>1584</v>
      </c>
      <c r="P3260" s="603"/>
      <c r="Q3260" s="682"/>
      <c r="R3260" s="682"/>
      <c r="S3260" s="682"/>
      <c r="T3260" s="682"/>
      <c r="U3260" s="682"/>
      <c r="V3260" s="682"/>
      <c r="W3260" s="682"/>
    </row>
    <row r="3261" spans="1:31">
      <c r="A3261" s="1045">
        <f t="shared" si="51"/>
        <v>11</v>
      </c>
      <c r="B3261" s="134">
        <v>45600</v>
      </c>
      <c r="C3261" s="70">
        <v>1022</v>
      </c>
      <c r="D3261" s="70" t="s">
        <v>5119</v>
      </c>
      <c r="E3261" s="280" t="s">
        <v>5443</v>
      </c>
      <c r="F3261" s="1049">
        <v>14175</v>
      </c>
      <c r="G3261" s="1049"/>
      <c r="H3261" s="564" t="s">
        <v>5441</v>
      </c>
      <c r="I3261" s="609" t="s">
        <v>5359</v>
      </c>
      <c r="J3261" s="1155"/>
      <c r="K3261" s="609"/>
      <c r="L3261" s="609"/>
      <c r="M3261" s="609"/>
      <c r="N3261" s="599"/>
      <c r="O3261" s="552" t="s">
        <v>1584</v>
      </c>
      <c r="P3261" s="603"/>
      <c r="Q3261" s="682"/>
      <c r="R3261" s="682"/>
      <c r="S3261" s="682"/>
      <c r="T3261" s="682"/>
      <c r="U3261" s="682"/>
      <c r="V3261" s="682"/>
      <c r="W3261" s="682"/>
    </row>
    <row r="3262" spans="1:31">
      <c r="A3262" s="1045">
        <f t="shared" si="51"/>
        <v>11</v>
      </c>
      <c r="B3262" s="134">
        <v>45600</v>
      </c>
      <c r="C3262" s="70">
        <v>1100</v>
      </c>
      <c r="D3262" s="70" t="s">
        <v>46</v>
      </c>
      <c r="E3262" s="280" t="s">
        <v>5443</v>
      </c>
      <c r="F3262" s="1049"/>
      <c r="G3262" s="1049">
        <v>14175</v>
      </c>
      <c r="H3262" s="564" t="s">
        <v>5441</v>
      </c>
      <c r="I3262" s="609"/>
      <c r="J3262" s="1155"/>
      <c r="K3262" s="609">
        <v>290</v>
      </c>
      <c r="L3262" s="609">
        <v>130</v>
      </c>
      <c r="M3262" s="609"/>
      <c r="N3262" s="599">
        <v>675</v>
      </c>
      <c r="O3262" s="552" t="s">
        <v>1584</v>
      </c>
      <c r="P3262" s="603"/>
      <c r="Q3262" s="682"/>
      <c r="R3262" s="682"/>
      <c r="S3262" s="682"/>
      <c r="T3262" s="682"/>
      <c r="U3262" s="682"/>
      <c r="V3262" s="682"/>
      <c r="W3262" s="682"/>
      <c r="AE3262" s="2" t="s">
        <v>5445</v>
      </c>
    </row>
    <row r="3263" spans="1:31">
      <c r="A3263" s="1045">
        <f t="shared" si="51"/>
        <v>11</v>
      </c>
      <c r="B3263" s="134">
        <v>45600</v>
      </c>
      <c r="C3263" s="70">
        <v>1025</v>
      </c>
      <c r="D3263" s="70" t="s">
        <v>5120</v>
      </c>
      <c r="E3263" s="280" t="s">
        <v>5442</v>
      </c>
      <c r="F3263" s="1049">
        <v>35700</v>
      </c>
      <c r="G3263" s="1049"/>
      <c r="H3263" s="564" t="s">
        <v>5444</v>
      </c>
      <c r="I3263" s="609" t="s">
        <v>4826</v>
      </c>
      <c r="J3263" s="1155"/>
      <c r="K3263" s="609"/>
      <c r="L3263" s="609"/>
      <c r="M3263" s="609"/>
      <c r="N3263" s="599"/>
      <c r="O3263" s="552" t="s">
        <v>1584</v>
      </c>
      <c r="P3263" s="603"/>
      <c r="Q3263" s="682"/>
      <c r="R3263" s="682"/>
      <c r="S3263" s="682"/>
      <c r="T3263" s="682"/>
      <c r="U3263" s="682"/>
      <c r="V3263" s="682"/>
      <c r="W3263" s="682"/>
    </row>
    <row r="3264" spans="1:31">
      <c r="A3264" s="1045">
        <f t="shared" si="51"/>
        <v>11</v>
      </c>
      <c r="B3264" s="134">
        <v>45600</v>
      </c>
      <c r="C3264" s="70">
        <v>1100</v>
      </c>
      <c r="D3264" s="70" t="s">
        <v>46</v>
      </c>
      <c r="E3264" s="280" t="s">
        <v>5442</v>
      </c>
      <c r="F3264" s="1049"/>
      <c r="G3264" s="1049">
        <v>35700</v>
      </c>
      <c r="H3264" s="564" t="s">
        <v>5444</v>
      </c>
      <c r="I3264" s="609"/>
      <c r="J3264" s="1155"/>
      <c r="K3264" s="609">
        <v>291</v>
      </c>
      <c r="L3264" s="609">
        <v>131</v>
      </c>
      <c r="M3264" s="609"/>
      <c r="N3264" s="599">
        <v>1700</v>
      </c>
      <c r="O3264" s="552" t="s">
        <v>1584</v>
      </c>
      <c r="P3264" s="603"/>
      <c r="Q3264" s="682"/>
      <c r="R3264" s="682"/>
      <c r="S3264" s="682"/>
      <c r="T3264" s="682"/>
      <c r="U3264" s="682"/>
      <c r="V3264" s="682"/>
      <c r="W3264" s="682"/>
      <c r="AE3264" s="2" t="s">
        <v>5446</v>
      </c>
    </row>
    <row r="3265" spans="1:31">
      <c r="A3265" s="1045">
        <f t="shared" si="51"/>
        <v>10</v>
      </c>
      <c r="B3265" s="134">
        <v>45596</v>
      </c>
      <c r="C3265" s="70">
        <v>1450</v>
      </c>
      <c r="D3265" s="70" t="s">
        <v>52</v>
      </c>
      <c r="E3265" s="280" t="s">
        <v>5447</v>
      </c>
      <c r="F3265" s="1049">
        <v>1</v>
      </c>
      <c r="G3265" s="1049"/>
      <c r="H3265" s="564"/>
      <c r="I3265" s="609">
        <v>15000</v>
      </c>
      <c r="J3265" s="1155"/>
      <c r="K3265" s="609"/>
      <c r="L3265" s="609"/>
      <c r="M3265" s="609"/>
      <c r="N3265" s="599"/>
      <c r="O3265" s="552" t="s">
        <v>1584</v>
      </c>
      <c r="P3265" s="603"/>
      <c r="Q3265" s="682"/>
      <c r="R3265" s="682"/>
      <c r="S3265" s="682"/>
      <c r="T3265" s="682"/>
      <c r="U3265" s="682"/>
      <c r="V3265" s="682"/>
      <c r="W3265" s="682"/>
    </row>
    <row r="3266" spans="1:31">
      <c r="A3266" s="1045">
        <f t="shared" si="51"/>
        <v>10</v>
      </c>
      <c r="B3266" s="134">
        <v>45596</v>
      </c>
      <c r="C3266" s="70">
        <v>1022</v>
      </c>
      <c r="D3266" s="70" t="s">
        <v>5119</v>
      </c>
      <c r="E3266" s="280" t="s">
        <v>5447</v>
      </c>
      <c r="F3266" s="1049"/>
      <c r="G3266" s="1049">
        <v>1</v>
      </c>
      <c r="H3266" s="564"/>
      <c r="I3266" s="609">
        <v>744</v>
      </c>
      <c r="J3266" s="1155">
        <v>45961</v>
      </c>
      <c r="K3266" s="609"/>
      <c r="L3266" s="609"/>
      <c r="M3266" s="609"/>
      <c r="N3266" s="599"/>
      <c r="O3266" s="552" t="s">
        <v>1584</v>
      </c>
      <c r="P3266" s="603"/>
      <c r="Q3266" s="682"/>
      <c r="R3266" s="682"/>
      <c r="S3266" s="682"/>
      <c r="T3266" s="682"/>
      <c r="U3266" s="682"/>
      <c r="V3266" s="682"/>
      <c r="W3266" s="682"/>
    </row>
    <row r="3267" spans="1:31">
      <c r="A3267" s="1045">
        <f t="shared" si="51"/>
        <v>11</v>
      </c>
      <c r="B3267" s="134">
        <v>45600</v>
      </c>
      <c r="C3267" s="70">
        <v>1017</v>
      </c>
      <c r="D3267" s="70" t="s">
        <v>5118</v>
      </c>
      <c r="E3267" s="280" t="s">
        <v>5448</v>
      </c>
      <c r="F3267" s="1049">
        <v>15000</v>
      </c>
      <c r="G3267" s="1049"/>
      <c r="H3267" s="564" t="s">
        <v>5449</v>
      </c>
      <c r="I3267" s="609"/>
      <c r="J3267" s="1155"/>
      <c r="K3267" s="609"/>
      <c r="L3267" s="609"/>
      <c r="M3267" s="609"/>
      <c r="N3267" s="599"/>
      <c r="O3267" s="552" t="s">
        <v>1584</v>
      </c>
      <c r="P3267" s="603"/>
      <c r="Q3267" s="682"/>
      <c r="R3267" s="682"/>
      <c r="S3267" s="682"/>
      <c r="T3267" s="682"/>
      <c r="U3267" s="682"/>
      <c r="V3267" s="682"/>
      <c r="W3267" s="682"/>
    </row>
    <row r="3268" spans="1:31">
      <c r="A3268" s="1045">
        <f t="shared" si="51"/>
        <v>11</v>
      </c>
      <c r="B3268" s="134">
        <v>45600</v>
      </c>
      <c r="C3268" s="70">
        <v>1025</v>
      </c>
      <c r="D3268" s="70" t="s">
        <v>5120</v>
      </c>
      <c r="E3268" s="280" t="s">
        <v>5448</v>
      </c>
      <c r="F3268" s="1049"/>
      <c r="G3268" s="1049">
        <v>15000</v>
      </c>
      <c r="H3268" s="564" t="s">
        <v>5449</v>
      </c>
      <c r="I3268" s="609"/>
      <c r="J3268" s="1155"/>
      <c r="K3268" s="609"/>
      <c r="L3268" s="609"/>
      <c r="M3268" s="609"/>
      <c r="N3268" s="599"/>
      <c r="O3268" s="552" t="s">
        <v>1584</v>
      </c>
      <c r="P3268" s="603"/>
      <c r="Q3268" s="682"/>
      <c r="R3268" s="682"/>
      <c r="S3268" s="682"/>
      <c r="T3268" s="682"/>
      <c r="U3268" s="682"/>
      <c r="V3268" s="682"/>
      <c r="W3268" s="682"/>
    </row>
    <row r="3269" spans="1:31">
      <c r="A3269" s="1045">
        <f t="shared" si="51"/>
        <v>10</v>
      </c>
      <c r="B3269" s="134">
        <v>45596</v>
      </c>
      <c r="C3269" s="70">
        <v>6000</v>
      </c>
      <c r="D3269" s="70" t="s">
        <v>91</v>
      </c>
      <c r="E3269" s="280" t="s">
        <v>5451</v>
      </c>
      <c r="F3269" s="1049">
        <v>71884</v>
      </c>
      <c r="G3269" s="1049"/>
      <c r="H3269" s="564" t="s">
        <v>5454</v>
      </c>
      <c r="I3269" s="609"/>
      <c r="J3269" s="1155"/>
      <c r="K3269" s="609"/>
      <c r="L3269" s="609"/>
      <c r="M3269" s="609"/>
      <c r="N3269" s="599"/>
      <c r="O3269" s="552" t="s">
        <v>1584</v>
      </c>
      <c r="P3269" s="603"/>
      <c r="Q3269" s="682"/>
      <c r="R3269" s="682"/>
      <c r="S3269" s="682"/>
      <c r="T3269" s="682"/>
      <c r="U3269" s="682"/>
      <c r="V3269" s="682"/>
      <c r="W3269" s="682"/>
    </row>
    <row r="3270" spans="1:31">
      <c r="A3270" s="1045">
        <f t="shared" si="51"/>
        <v>10</v>
      </c>
      <c r="B3270" s="134">
        <v>45596</v>
      </c>
      <c r="C3270" s="70">
        <v>7200</v>
      </c>
      <c r="D3270" s="70" t="s">
        <v>140</v>
      </c>
      <c r="E3270" s="280" t="s">
        <v>5452</v>
      </c>
      <c r="F3270" s="1049">
        <v>100</v>
      </c>
      <c r="G3270" s="1049"/>
      <c r="H3270" s="564" t="s">
        <v>5454</v>
      </c>
      <c r="I3270" s="609"/>
      <c r="J3270" s="1155"/>
      <c r="K3270" s="609"/>
      <c r="L3270" s="609"/>
      <c r="M3270" s="609"/>
      <c r="N3270" s="599"/>
      <c r="O3270" s="552" t="s">
        <v>1584</v>
      </c>
      <c r="P3270" s="603"/>
      <c r="Q3270" s="682"/>
      <c r="R3270" s="682"/>
      <c r="S3270" s="682"/>
      <c r="T3270" s="682"/>
      <c r="U3270" s="682"/>
      <c r="V3270" s="682"/>
      <c r="W3270" s="682"/>
    </row>
    <row r="3271" spans="1:31">
      <c r="A3271" s="1045">
        <f t="shared" si="51"/>
        <v>10</v>
      </c>
      <c r="B3271" s="134">
        <v>45596</v>
      </c>
      <c r="C3271" s="70">
        <v>2018</v>
      </c>
      <c r="D3271" s="70" t="s">
        <v>58</v>
      </c>
      <c r="E3271" s="280" t="s">
        <v>5453</v>
      </c>
      <c r="F3271" s="1049">
        <v>5</v>
      </c>
      <c r="G3271" s="1049"/>
      <c r="H3271" s="564" t="s">
        <v>5454</v>
      </c>
      <c r="I3271" s="609"/>
      <c r="J3271" s="1155"/>
      <c r="K3271" s="609"/>
      <c r="L3271" s="609"/>
      <c r="M3271" s="609"/>
      <c r="N3271" s="599"/>
      <c r="O3271" s="552" t="s">
        <v>1584</v>
      </c>
      <c r="P3271" s="603"/>
      <c r="Q3271" s="682"/>
      <c r="R3271" s="682"/>
      <c r="S3271" s="682"/>
      <c r="T3271" s="682"/>
      <c r="U3271" s="682"/>
      <c r="V3271" s="682"/>
      <c r="W3271" s="682"/>
    </row>
    <row r="3272" spans="1:31">
      <c r="A3272" s="1045">
        <f t="shared" si="51"/>
        <v>10</v>
      </c>
      <c r="B3272" s="134">
        <v>45596</v>
      </c>
      <c r="C3272" s="70">
        <v>1022</v>
      </c>
      <c r="D3272" s="70" t="s">
        <v>5119</v>
      </c>
      <c r="E3272" s="280" t="s">
        <v>5451</v>
      </c>
      <c r="F3272" s="1049"/>
      <c r="G3272" s="1049">
        <v>71989</v>
      </c>
      <c r="H3272" s="564" t="s">
        <v>5454</v>
      </c>
      <c r="I3272" s="609">
        <v>959</v>
      </c>
      <c r="J3272" s="1155">
        <v>45596</v>
      </c>
      <c r="K3272" s="609"/>
      <c r="L3272" s="609"/>
      <c r="M3272" s="609"/>
      <c r="N3272" s="599"/>
      <c r="O3272" s="552" t="s">
        <v>1584</v>
      </c>
      <c r="P3272" s="603"/>
      <c r="Q3272" s="682"/>
      <c r="R3272" s="682"/>
      <c r="S3272" s="682"/>
      <c r="T3272" s="682"/>
      <c r="U3272" s="682"/>
      <c r="V3272" s="682"/>
      <c r="W3272" s="682"/>
    </row>
    <row r="3273" spans="1:31">
      <c r="A3273" s="1045">
        <f t="shared" si="51"/>
        <v>10</v>
      </c>
      <c r="B3273" s="134">
        <v>45593</v>
      </c>
      <c r="C3273" s="70">
        <v>5200</v>
      </c>
      <c r="D3273" s="70" t="s">
        <v>83</v>
      </c>
      <c r="E3273" s="280" t="s">
        <v>5455</v>
      </c>
      <c r="F3273" s="1049">
        <v>6438</v>
      </c>
      <c r="G3273" s="1049"/>
      <c r="H3273" s="564" t="s">
        <v>5456</v>
      </c>
      <c r="I3273" s="609"/>
      <c r="J3273" s="1155"/>
      <c r="K3273" s="609">
        <v>264</v>
      </c>
      <c r="L3273" s="609"/>
      <c r="M3273" s="609"/>
      <c r="N3273" s="599">
        <v>322</v>
      </c>
      <c r="O3273" s="552" t="s">
        <v>1584</v>
      </c>
      <c r="P3273" s="603"/>
      <c r="Q3273" s="682"/>
      <c r="R3273" s="682"/>
      <c r="S3273" s="682"/>
      <c r="T3273" s="682"/>
      <c r="U3273" s="682"/>
      <c r="V3273" s="682"/>
      <c r="W3273" s="682"/>
      <c r="AE3273" s="2" t="s">
        <v>5459</v>
      </c>
    </row>
    <row r="3274" spans="1:31">
      <c r="A3274" s="1045">
        <f t="shared" si="51"/>
        <v>10</v>
      </c>
      <c r="B3274" s="134">
        <v>45593</v>
      </c>
      <c r="C3274" s="70">
        <v>2018</v>
      </c>
      <c r="D3274" s="70" t="s">
        <v>58</v>
      </c>
      <c r="E3274" s="280" t="s">
        <v>5455</v>
      </c>
      <c r="F3274" s="1049">
        <v>321.93</v>
      </c>
      <c r="G3274" s="1049"/>
      <c r="H3274" s="564" t="s">
        <v>5456</v>
      </c>
      <c r="I3274" s="609"/>
      <c r="J3274" s="1155"/>
      <c r="K3274" s="609"/>
      <c r="L3274" s="609"/>
      <c r="M3274" s="609"/>
      <c r="N3274" s="599"/>
      <c r="O3274" s="552" t="s">
        <v>1584</v>
      </c>
      <c r="P3274" s="603"/>
      <c r="Q3274" s="682"/>
      <c r="R3274" s="682"/>
      <c r="S3274" s="682"/>
      <c r="T3274" s="682"/>
      <c r="U3274" s="682"/>
      <c r="V3274" s="682"/>
      <c r="W3274" s="682"/>
    </row>
    <row r="3275" spans="1:31">
      <c r="A3275" s="1045">
        <f t="shared" si="51"/>
        <v>10</v>
      </c>
      <c r="B3275" s="134">
        <v>45593</v>
      </c>
      <c r="C3275" s="70">
        <v>2000</v>
      </c>
      <c r="D3275" s="70" t="s">
        <v>57</v>
      </c>
      <c r="E3275" s="280" t="s">
        <v>5455</v>
      </c>
      <c r="F3275" s="1049"/>
      <c r="G3275" s="1049">
        <v>6760.74</v>
      </c>
      <c r="H3275" s="564" t="s">
        <v>5456</v>
      </c>
      <c r="I3275" s="609"/>
      <c r="J3275" s="1155"/>
      <c r="K3275" s="609"/>
      <c r="L3275" s="609"/>
      <c r="M3275" s="609" t="s">
        <v>4943</v>
      </c>
      <c r="N3275" s="599"/>
      <c r="O3275" s="552" t="s">
        <v>1584</v>
      </c>
      <c r="P3275" s="603"/>
      <c r="Q3275" s="682"/>
      <c r="R3275" s="682"/>
      <c r="S3275" s="682"/>
      <c r="T3275" s="682"/>
      <c r="U3275" s="682"/>
      <c r="V3275" s="682"/>
      <c r="W3275" s="682"/>
      <c r="AE3275" s="2" t="s">
        <v>2960</v>
      </c>
    </row>
    <row r="3276" spans="1:31">
      <c r="A3276" s="1045">
        <f t="shared" si="51"/>
        <v>11</v>
      </c>
      <c r="B3276" s="134">
        <v>45597</v>
      </c>
      <c r="C3276" s="70">
        <v>5200</v>
      </c>
      <c r="D3276" s="70" t="s">
        <v>83</v>
      </c>
      <c r="E3276" s="280" t="s">
        <v>5457</v>
      </c>
      <c r="F3276" s="1049">
        <v>3696.7</v>
      </c>
      <c r="G3276" s="1049"/>
      <c r="H3276" s="564" t="s">
        <v>5458</v>
      </c>
      <c r="I3276" s="609"/>
      <c r="J3276" s="1155"/>
      <c r="K3276" s="609">
        <v>276</v>
      </c>
      <c r="L3276" s="609"/>
      <c r="M3276" s="609"/>
      <c r="N3276" s="599">
        <v>184.84</v>
      </c>
      <c r="O3276" s="552" t="s">
        <v>1584</v>
      </c>
      <c r="P3276" s="603"/>
      <c r="Q3276" s="682"/>
      <c r="R3276" s="682"/>
      <c r="S3276" s="682"/>
      <c r="T3276" s="682"/>
      <c r="U3276" s="682"/>
      <c r="V3276" s="682"/>
      <c r="W3276" s="682"/>
      <c r="AE3276" s="2" t="s">
        <v>5460</v>
      </c>
    </row>
    <row r="3277" spans="1:31">
      <c r="A3277" s="1045">
        <f t="shared" si="51"/>
        <v>11</v>
      </c>
      <c r="B3277" s="134">
        <v>45597</v>
      </c>
      <c r="C3277" s="70">
        <v>2018</v>
      </c>
      <c r="D3277" s="70" t="s">
        <v>58</v>
      </c>
      <c r="E3277" s="280" t="s">
        <v>5457</v>
      </c>
      <c r="F3277" s="1049">
        <v>184.84</v>
      </c>
      <c r="G3277" s="1049"/>
      <c r="H3277" s="564" t="s">
        <v>5458</v>
      </c>
      <c r="I3277" s="609"/>
      <c r="J3277" s="1155"/>
      <c r="K3277" s="609"/>
      <c r="L3277" s="609"/>
      <c r="M3277" s="609"/>
      <c r="N3277" s="599"/>
      <c r="O3277" s="552" t="s">
        <v>1584</v>
      </c>
      <c r="P3277" s="603"/>
      <c r="Q3277" s="682"/>
      <c r="R3277" s="682"/>
      <c r="S3277" s="682"/>
      <c r="T3277" s="682"/>
      <c r="U3277" s="682"/>
      <c r="V3277" s="682"/>
      <c r="W3277" s="682"/>
      <c r="AE3277" s="2" t="s">
        <v>3045</v>
      </c>
    </row>
    <row r="3278" spans="1:31">
      <c r="A3278" s="1045">
        <f t="shared" si="51"/>
        <v>11</v>
      </c>
      <c r="B3278" s="134">
        <v>45597</v>
      </c>
      <c r="C3278" s="70">
        <v>2000</v>
      </c>
      <c r="D3278" s="70" t="s">
        <v>57</v>
      </c>
      <c r="E3278" s="280" t="s">
        <v>5457</v>
      </c>
      <c r="F3278" s="1049"/>
      <c r="G3278" s="1049">
        <v>3881.54</v>
      </c>
      <c r="H3278" s="564" t="s">
        <v>5458</v>
      </c>
      <c r="I3278" s="609"/>
      <c r="J3278" s="1155"/>
      <c r="K3278" s="609"/>
      <c r="L3278" s="609"/>
      <c r="M3278" s="609" t="s">
        <v>5264</v>
      </c>
      <c r="N3278" s="599"/>
      <c r="O3278" s="552" t="s">
        <v>1584</v>
      </c>
      <c r="P3278" s="603"/>
      <c r="Q3278" s="682"/>
      <c r="R3278" s="682"/>
      <c r="S3278" s="682"/>
      <c r="T3278" s="682"/>
      <c r="U3278" s="682"/>
      <c r="V3278" s="682"/>
      <c r="W3278" s="682"/>
      <c r="AE3278" s="2" t="s">
        <v>2960</v>
      </c>
    </row>
    <row r="3279" spans="1:31">
      <c r="A3279" s="1045">
        <f t="shared" si="51"/>
        <v>11</v>
      </c>
      <c r="B3279" s="398">
        <v>45602</v>
      </c>
      <c r="C3279" s="70">
        <v>6027</v>
      </c>
      <c r="D3279" s="70" t="s">
        <v>118</v>
      </c>
      <c r="E3279" s="280" t="s">
        <v>5496</v>
      </c>
      <c r="F3279" s="1049">
        <v>8500</v>
      </c>
      <c r="G3279" s="1049"/>
      <c r="H3279" s="564"/>
      <c r="I3279" s="609"/>
      <c r="J3279" s="1155"/>
      <c r="K3279" s="609">
        <v>291</v>
      </c>
      <c r="L3279" s="609"/>
      <c r="M3279" s="609"/>
      <c r="N3279" s="599"/>
      <c r="O3279" s="552" t="s">
        <v>1584</v>
      </c>
      <c r="P3279" s="603"/>
      <c r="Q3279" s="682"/>
      <c r="R3279" s="682"/>
      <c r="S3279" s="682"/>
      <c r="T3279" s="682"/>
      <c r="U3279" s="682"/>
      <c r="V3279" s="682"/>
      <c r="W3279" s="682"/>
    </row>
    <row r="3280" spans="1:31">
      <c r="A3280" s="1045">
        <f t="shared" si="51"/>
        <v>11</v>
      </c>
      <c r="B3280" s="398">
        <v>45602</v>
      </c>
      <c r="C3280" s="70">
        <v>6027</v>
      </c>
      <c r="D3280" s="70" t="s">
        <v>118</v>
      </c>
      <c r="E3280" s="280" t="s">
        <v>5497</v>
      </c>
      <c r="F3280" s="1049">
        <v>6800</v>
      </c>
      <c r="G3280" s="1049"/>
      <c r="H3280" s="564"/>
      <c r="I3280" s="609"/>
      <c r="J3280" s="1155"/>
      <c r="K3280" s="609">
        <v>290</v>
      </c>
      <c r="L3280" s="609"/>
      <c r="M3280" s="609"/>
      <c r="N3280" s="599"/>
      <c r="O3280" s="552" t="s">
        <v>1584</v>
      </c>
      <c r="P3280" s="603"/>
      <c r="Q3280" s="682"/>
      <c r="R3280" s="682"/>
      <c r="S3280" s="682"/>
      <c r="T3280" s="682"/>
      <c r="U3280" s="682"/>
      <c r="V3280" s="682"/>
      <c r="W3280" s="682"/>
    </row>
    <row r="3281" spans="1:31">
      <c r="A3281" s="1045">
        <f t="shared" si="51"/>
        <v>11</v>
      </c>
      <c r="B3281" s="398">
        <v>45602</v>
      </c>
      <c r="C3281" s="70">
        <v>1025</v>
      </c>
      <c r="D3281" s="70" t="s">
        <v>5120</v>
      </c>
      <c r="E3281" s="280" t="s">
        <v>5496</v>
      </c>
      <c r="F3281" s="1049"/>
      <c r="G3281" s="1048">
        <v>8500</v>
      </c>
      <c r="H3281" s="564"/>
      <c r="I3281" s="609"/>
      <c r="J3281" s="1155"/>
      <c r="K3281" s="609"/>
      <c r="L3281" s="609"/>
      <c r="M3281" s="609"/>
      <c r="N3281" s="599"/>
      <c r="O3281" s="552" t="s">
        <v>1584</v>
      </c>
      <c r="P3281" s="603"/>
      <c r="Q3281" s="682"/>
      <c r="R3281" s="682"/>
      <c r="S3281" s="682"/>
      <c r="T3281" s="682"/>
      <c r="U3281" s="682"/>
      <c r="V3281" s="682"/>
      <c r="W3281" s="682"/>
    </row>
    <row r="3282" spans="1:31">
      <c r="A3282" s="1045">
        <f t="shared" si="51"/>
        <v>11</v>
      </c>
      <c r="B3282" s="398">
        <v>45602</v>
      </c>
      <c r="C3282" s="70">
        <v>1025</v>
      </c>
      <c r="D3282" s="70" t="s">
        <v>5120</v>
      </c>
      <c r="E3282" s="280" t="s">
        <v>5497</v>
      </c>
      <c r="F3282" s="1049"/>
      <c r="G3282" s="1048">
        <v>6800</v>
      </c>
      <c r="H3282" s="564"/>
      <c r="I3282" s="609"/>
      <c r="J3282" s="1155"/>
      <c r="K3282" s="609"/>
      <c r="L3282" s="609"/>
      <c r="M3282" s="609"/>
      <c r="N3282" s="599"/>
      <c r="O3282" s="552" t="s">
        <v>1584</v>
      </c>
      <c r="P3282" s="603"/>
      <c r="Q3282" s="682"/>
      <c r="R3282" s="682"/>
      <c r="S3282" s="682"/>
      <c r="T3282" s="682"/>
      <c r="U3282" s="682"/>
      <c r="V3282" s="682"/>
      <c r="W3282" s="682"/>
    </row>
    <row r="3283" spans="1:31">
      <c r="A3283" s="1045">
        <f t="shared" si="51"/>
        <v>10</v>
      </c>
      <c r="B3283" s="134">
        <v>45596</v>
      </c>
      <c r="C3283" s="70">
        <v>6009</v>
      </c>
      <c r="D3283" s="70" t="s">
        <v>100</v>
      </c>
      <c r="E3283" s="280" t="s">
        <v>5498</v>
      </c>
      <c r="F3283" s="1049">
        <v>425.6</v>
      </c>
      <c r="G3283" s="1049"/>
      <c r="H3283" s="564"/>
      <c r="I3283" s="609"/>
      <c r="J3283" s="1155"/>
      <c r="K3283" s="609"/>
      <c r="L3283" s="609"/>
      <c r="M3283" s="609"/>
      <c r="N3283" s="599"/>
      <c r="O3283" s="552" t="s">
        <v>1584</v>
      </c>
      <c r="P3283" s="603"/>
      <c r="Q3283" s="682"/>
      <c r="R3283" s="682"/>
      <c r="S3283" s="682"/>
      <c r="T3283" s="682"/>
      <c r="U3283" s="682"/>
      <c r="V3283" s="682"/>
      <c r="W3283" s="682"/>
    </row>
    <row r="3284" spans="1:31">
      <c r="A3284" s="1045">
        <f t="shared" si="51"/>
        <v>10</v>
      </c>
      <c r="B3284" s="134">
        <v>45596</v>
      </c>
      <c r="C3284" s="70">
        <v>2018</v>
      </c>
      <c r="D3284" s="70" t="s">
        <v>58</v>
      </c>
      <c r="E3284" s="280" t="s">
        <v>5498</v>
      </c>
      <c r="F3284" s="1049">
        <v>21.28</v>
      </c>
      <c r="G3284" s="1049"/>
      <c r="H3284" s="564"/>
      <c r="I3284" s="609"/>
      <c r="J3284" s="1155"/>
      <c r="K3284" s="609"/>
      <c r="L3284" s="609"/>
      <c r="M3284" s="609"/>
      <c r="N3284" s="599"/>
      <c r="O3284" s="552" t="s">
        <v>1584</v>
      </c>
      <c r="P3284" s="603"/>
      <c r="Q3284" s="682"/>
      <c r="R3284" s="682"/>
      <c r="S3284" s="682"/>
      <c r="T3284" s="682"/>
      <c r="U3284" s="682"/>
      <c r="V3284" s="682"/>
      <c r="W3284" s="682"/>
    </row>
    <row r="3285" spans="1:31">
      <c r="A3285" s="1045">
        <f t="shared" ref="A3285:A3348" si="52">IF(B3285="","",MONTH(B3285))</f>
        <v>10</v>
      </c>
      <c r="B3285" s="134">
        <v>45596</v>
      </c>
      <c r="C3285" s="70">
        <v>2000</v>
      </c>
      <c r="D3285" s="70" t="s">
        <v>57</v>
      </c>
      <c r="E3285" s="280" t="s">
        <v>5499</v>
      </c>
      <c r="F3285" s="1049"/>
      <c r="G3285" s="1049">
        <v>446.88</v>
      </c>
      <c r="H3285" s="564"/>
      <c r="I3285" s="609"/>
      <c r="J3285" s="1155"/>
      <c r="K3285" s="609"/>
      <c r="L3285" s="609"/>
      <c r="M3285" s="609"/>
      <c r="N3285" s="599"/>
      <c r="O3285" s="552" t="s">
        <v>1584</v>
      </c>
      <c r="P3285" s="603"/>
      <c r="Q3285" s="682"/>
      <c r="R3285" s="682"/>
      <c r="S3285" s="682"/>
      <c r="T3285" s="682"/>
      <c r="U3285" s="682"/>
      <c r="V3285" s="682"/>
      <c r="W3285" s="682"/>
    </row>
    <row r="3286" spans="1:31">
      <c r="A3286" s="1045">
        <f t="shared" si="52"/>
        <v>11</v>
      </c>
      <c r="B3286" s="134">
        <v>45603</v>
      </c>
      <c r="C3286" s="70">
        <v>2000</v>
      </c>
      <c r="D3286" s="70" t="s">
        <v>57</v>
      </c>
      <c r="E3286" s="280" t="s">
        <v>5500</v>
      </c>
      <c r="F3286" s="1049">
        <v>447.88</v>
      </c>
      <c r="G3286" s="1049"/>
      <c r="H3286" s="564"/>
      <c r="I3286" s="609"/>
      <c r="J3286" s="1155"/>
      <c r="K3286" s="609"/>
      <c r="L3286" s="609"/>
      <c r="M3286" s="609"/>
      <c r="N3286" s="599"/>
      <c r="O3286" s="552" t="s">
        <v>1584</v>
      </c>
      <c r="P3286" s="603"/>
      <c r="Q3286" s="682"/>
      <c r="R3286" s="682"/>
      <c r="S3286" s="682"/>
      <c r="T3286" s="682"/>
      <c r="U3286" s="682"/>
      <c r="V3286" s="682"/>
      <c r="W3286" s="682"/>
    </row>
    <row r="3287" spans="1:31">
      <c r="A3287" s="1045">
        <f t="shared" si="52"/>
        <v>11</v>
      </c>
      <c r="B3287" s="134">
        <v>45603</v>
      </c>
      <c r="C3287" s="70">
        <v>1025</v>
      </c>
      <c r="D3287" s="70" t="s">
        <v>5120</v>
      </c>
      <c r="E3287" s="280" t="s">
        <v>5500</v>
      </c>
      <c r="F3287" s="1049"/>
      <c r="G3287" s="1049">
        <v>447.88</v>
      </c>
      <c r="H3287" s="564"/>
      <c r="I3287" s="609"/>
      <c r="J3287" s="1155"/>
      <c r="K3287" s="609"/>
      <c r="L3287" s="609"/>
      <c r="M3287" s="609"/>
      <c r="N3287" s="599"/>
      <c r="O3287" s="552" t="s">
        <v>1584</v>
      </c>
      <c r="P3287" s="603"/>
      <c r="Q3287" s="682"/>
      <c r="R3287" s="682"/>
      <c r="S3287" s="682"/>
      <c r="T3287" s="682"/>
      <c r="U3287" s="682"/>
      <c r="V3287" s="682"/>
      <c r="W3287" s="682"/>
    </row>
    <row r="3288" spans="1:31">
      <c r="A3288" s="1045">
        <f t="shared" si="52"/>
        <v>11</v>
      </c>
      <c r="B3288" s="398">
        <v>45605</v>
      </c>
      <c r="C3288" s="70">
        <v>2000</v>
      </c>
      <c r="D3288" s="70" t="s">
        <v>57</v>
      </c>
      <c r="E3288" s="280" t="s">
        <v>5512</v>
      </c>
      <c r="F3288" s="1049">
        <v>19714</v>
      </c>
      <c r="G3288" s="1049"/>
      <c r="H3288" s="564" t="s">
        <v>5513</v>
      </c>
      <c r="I3288" s="609"/>
      <c r="J3288" s="1155"/>
      <c r="K3288" s="609"/>
      <c r="L3288" s="609"/>
      <c r="M3288" s="609" t="s">
        <v>5318</v>
      </c>
      <c r="N3288" s="599"/>
      <c r="O3288" s="552" t="s">
        <v>1584</v>
      </c>
      <c r="P3288" s="603"/>
      <c r="Q3288" s="682"/>
      <c r="R3288" s="682"/>
      <c r="S3288" s="682"/>
      <c r="T3288" s="682"/>
      <c r="U3288" s="682"/>
      <c r="V3288" s="682"/>
      <c r="W3288" s="682"/>
      <c r="AE3288" s="2" t="s">
        <v>3045</v>
      </c>
    </row>
    <row r="3289" spans="1:31">
      <c r="A3289" s="1045">
        <f t="shared" si="52"/>
        <v>11</v>
      </c>
      <c r="B3289" s="134">
        <v>45605</v>
      </c>
      <c r="C3289" s="70">
        <v>2370</v>
      </c>
      <c r="D3289" s="70" t="s">
        <v>5119</v>
      </c>
      <c r="E3289" s="280" t="s">
        <v>5512</v>
      </c>
      <c r="F3289" s="1049"/>
      <c r="G3289" s="1049">
        <v>19714</v>
      </c>
      <c r="H3289" s="564" t="s">
        <v>5513</v>
      </c>
      <c r="I3289" s="609">
        <v>961</v>
      </c>
      <c r="J3289" s="1155">
        <v>45667</v>
      </c>
      <c r="K3289" s="609"/>
      <c r="L3289" s="609"/>
      <c r="M3289" s="609"/>
      <c r="N3289" s="599"/>
      <c r="O3289" s="552" t="s">
        <v>1584</v>
      </c>
      <c r="P3289" s="603"/>
      <c r="Q3289" s="682"/>
      <c r="R3289" s="682"/>
      <c r="S3289" s="682"/>
      <c r="T3289" s="682"/>
      <c r="U3289" s="682"/>
      <c r="V3289" s="682"/>
      <c r="W3289" s="682"/>
    </row>
    <row r="3290" spans="1:31">
      <c r="A3290" s="1045">
        <f t="shared" si="52"/>
        <v>11</v>
      </c>
      <c r="B3290" s="134">
        <v>45605</v>
      </c>
      <c r="C3290" s="70">
        <v>2000</v>
      </c>
      <c r="D3290" s="70" t="s">
        <v>57</v>
      </c>
      <c r="E3290" s="280" t="s">
        <v>5514</v>
      </c>
      <c r="F3290" s="1049">
        <v>28182</v>
      </c>
      <c r="G3290" s="1049"/>
      <c r="H3290" s="564" t="s">
        <v>5515</v>
      </c>
      <c r="I3290" s="609"/>
      <c r="J3290" s="1155"/>
      <c r="K3290" s="609"/>
      <c r="L3290" s="609"/>
      <c r="M3290" s="609" t="s">
        <v>5316</v>
      </c>
      <c r="N3290" s="599"/>
      <c r="O3290" s="552" t="s">
        <v>1584</v>
      </c>
      <c r="P3290" s="603"/>
      <c r="Q3290" s="682"/>
      <c r="R3290" s="682"/>
      <c r="S3290" s="682"/>
      <c r="T3290" s="682"/>
      <c r="U3290" s="682"/>
      <c r="V3290" s="682"/>
      <c r="W3290" s="682"/>
      <c r="AE3290" s="2" t="s">
        <v>3045</v>
      </c>
    </row>
    <row r="3291" spans="1:31">
      <c r="A3291" s="1045">
        <f t="shared" si="52"/>
        <v>11</v>
      </c>
      <c r="B3291" s="134">
        <v>45605</v>
      </c>
      <c r="C3291" s="70">
        <v>2370</v>
      </c>
      <c r="D3291" s="70" t="s">
        <v>5119</v>
      </c>
      <c r="E3291" s="280" t="s">
        <v>5514</v>
      </c>
      <c r="F3291" s="1049"/>
      <c r="G3291" s="1049">
        <v>28182</v>
      </c>
      <c r="H3291" s="564" t="s">
        <v>5515</v>
      </c>
      <c r="I3291" s="609">
        <v>962</v>
      </c>
      <c r="J3291" s="1155">
        <v>45667</v>
      </c>
      <c r="K3291" s="609"/>
      <c r="L3291" s="609"/>
      <c r="M3291" s="609"/>
      <c r="N3291" s="599"/>
      <c r="O3291" s="552" t="s">
        <v>1584</v>
      </c>
      <c r="P3291" s="603"/>
      <c r="Q3291" s="682"/>
      <c r="R3291" s="682"/>
      <c r="S3291" s="682"/>
      <c r="T3291" s="682"/>
      <c r="U3291" s="682"/>
      <c r="V3291" s="682"/>
      <c r="W3291" s="682"/>
    </row>
    <row r="3292" spans="1:31">
      <c r="A3292" s="1045">
        <f t="shared" si="52"/>
        <v>11</v>
      </c>
      <c r="B3292" s="134">
        <v>45605</v>
      </c>
      <c r="C3292" s="70">
        <v>2000</v>
      </c>
      <c r="D3292" s="70" t="s">
        <v>57</v>
      </c>
      <c r="E3292" s="280" t="s">
        <v>5516</v>
      </c>
      <c r="F3292" s="1049">
        <v>22156</v>
      </c>
      <c r="G3292" s="1049"/>
      <c r="H3292" s="564" t="s">
        <v>5517</v>
      </c>
      <c r="I3292" s="609"/>
      <c r="J3292" s="1155"/>
      <c r="K3292" s="609"/>
      <c r="L3292" s="609"/>
      <c r="M3292" s="609" t="s">
        <v>5518</v>
      </c>
      <c r="N3292" s="599"/>
      <c r="O3292" s="552" t="s">
        <v>1584</v>
      </c>
      <c r="P3292" s="603"/>
      <c r="Q3292" s="682"/>
      <c r="R3292" s="682"/>
      <c r="S3292" s="682"/>
      <c r="T3292" s="682"/>
      <c r="U3292" s="682"/>
      <c r="V3292" s="682"/>
      <c r="W3292" s="682"/>
      <c r="AE3292" s="2" t="s">
        <v>5519</v>
      </c>
    </row>
    <row r="3293" spans="1:31">
      <c r="A3293" s="1045">
        <f t="shared" si="52"/>
        <v>11</v>
      </c>
      <c r="B3293" s="134">
        <v>45605</v>
      </c>
      <c r="C3293" s="70">
        <v>2370</v>
      </c>
      <c r="D3293" s="70" t="s">
        <v>5119</v>
      </c>
      <c r="E3293" s="280" t="s">
        <v>5516</v>
      </c>
      <c r="F3293" s="1049"/>
      <c r="G3293" s="1049">
        <v>22156</v>
      </c>
      <c r="H3293" s="564" t="s">
        <v>5517</v>
      </c>
      <c r="I3293" s="609">
        <v>960</v>
      </c>
      <c r="J3293" s="1155">
        <v>45667</v>
      </c>
      <c r="K3293" s="609"/>
      <c r="L3293" s="609"/>
      <c r="M3293" s="609"/>
      <c r="N3293" s="599"/>
      <c r="O3293" s="552" t="s">
        <v>1584</v>
      </c>
      <c r="P3293" s="603"/>
      <c r="Q3293" s="682"/>
      <c r="R3293" s="682"/>
      <c r="S3293" s="682"/>
      <c r="T3293" s="682"/>
      <c r="U3293" s="682"/>
      <c r="V3293" s="682"/>
      <c r="W3293" s="682"/>
    </row>
    <row r="3294" spans="1:31">
      <c r="A3294" s="1045">
        <f t="shared" si="52"/>
        <v>10</v>
      </c>
      <c r="B3294" s="134">
        <v>45596</v>
      </c>
      <c r="C3294" s="70">
        <v>6001</v>
      </c>
      <c r="D3294" s="70" t="s">
        <v>92</v>
      </c>
      <c r="E3294" s="280" t="s">
        <v>5521</v>
      </c>
      <c r="F3294" s="1049">
        <v>5811.69</v>
      </c>
      <c r="G3294" s="1049"/>
      <c r="H3294" s="564"/>
      <c r="I3294" s="609"/>
      <c r="J3294" s="1155"/>
      <c r="K3294" s="609"/>
      <c r="L3294" s="609"/>
      <c r="M3294" s="609"/>
      <c r="N3294" s="599"/>
      <c r="O3294" s="552" t="s">
        <v>1584</v>
      </c>
      <c r="P3294" s="603"/>
      <c r="Q3294" s="682"/>
      <c r="R3294" s="682"/>
      <c r="S3294" s="682"/>
      <c r="T3294" s="682"/>
      <c r="U3294" s="682"/>
      <c r="V3294" s="682"/>
      <c r="W3294" s="682"/>
    </row>
    <row r="3295" spans="1:31">
      <c r="A3295" s="1045">
        <f t="shared" si="52"/>
        <v>10</v>
      </c>
      <c r="B3295" s="134">
        <v>45596</v>
      </c>
      <c r="C3295" s="70">
        <v>2018</v>
      </c>
      <c r="D3295" s="70" t="s">
        <v>58</v>
      </c>
      <c r="E3295" s="280" t="s">
        <v>5521</v>
      </c>
      <c r="F3295" s="1049">
        <v>291</v>
      </c>
      <c r="G3295" s="1049"/>
      <c r="H3295" s="564"/>
      <c r="I3295" s="609"/>
      <c r="J3295" s="1155"/>
      <c r="K3295" s="609"/>
      <c r="L3295" s="609"/>
      <c r="M3295" s="609"/>
      <c r="N3295" s="599"/>
      <c r="O3295" s="552" t="s">
        <v>1584</v>
      </c>
      <c r="P3295" s="603"/>
      <c r="Q3295" s="682"/>
      <c r="R3295" s="682"/>
      <c r="S3295" s="682"/>
      <c r="T3295" s="682"/>
      <c r="U3295" s="682"/>
      <c r="V3295" s="682"/>
      <c r="W3295" s="682"/>
    </row>
    <row r="3296" spans="1:31">
      <c r="A3296" s="1045">
        <f t="shared" si="52"/>
        <v>10</v>
      </c>
      <c r="B3296" s="134">
        <v>45596</v>
      </c>
      <c r="C3296" s="70">
        <v>1011</v>
      </c>
      <c r="D3296" s="70" t="s">
        <v>34</v>
      </c>
      <c r="E3296" s="280" t="s">
        <v>5521</v>
      </c>
      <c r="F3296" s="1049"/>
      <c r="G3296" s="1049">
        <v>6102.3</v>
      </c>
      <c r="H3296" s="564"/>
      <c r="I3296" s="609"/>
      <c r="J3296" s="1155"/>
      <c r="K3296" s="609"/>
      <c r="L3296" s="609"/>
      <c r="M3296" s="609"/>
      <c r="N3296" s="599"/>
      <c r="O3296" s="552" t="s">
        <v>1584</v>
      </c>
      <c r="P3296" s="603"/>
      <c r="Q3296" s="682"/>
      <c r="R3296" s="682"/>
      <c r="S3296" s="682"/>
      <c r="T3296" s="682"/>
      <c r="U3296" s="682"/>
      <c r="V3296" s="682"/>
      <c r="W3296" s="682"/>
    </row>
    <row r="3297" spans="1:31">
      <c r="A3297" s="1045">
        <f t="shared" si="52"/>
        <v>11</v>
      </c>
      <c r="B3297" s="134">
        <v>45606</v>
      </c>
      <c r="C3297" s="70">
        <v>1500</v>
      </c>
      <c r="D3297" s="70" t="s">
        <v>53</v>
      </c>
      <c r="E3297" s="280" t="s">
        <v>5522</v>
      </c>
      <c r="F3297" s="1049">
        <v>284.76</v>
      </c>
      <c r="G3297" s="1049"/>
      <c r="H3297" s="564"/>
      <c r="I3297" s="609"/>
      <c r="J3297" s="1155"/>
      <c r="K3297" s="609"/>
      <c r="L3297" s="609"/>
      <c r="M3297" s="609"/>
      <c r="N3297" s="599"/>
      <c r="O3297" s="552" t="s">
        <v>1584</v>
      </c>
      <c r="P3297" s="603"/>
      <c r="Q3297" s="682"/>
      <c r="R3297" s="682"/>
      <c r="S3297" s="682"/>
      <c r="T3297" s="682"/>
      <c r="U3297" s="682"/>
      <c r="V3297" s="682"/>
      <c r="W3297" s="682"/>
    </row>
    <row r="3298" spans="1:31">
      <c r="A3298" s="1045">
        <f t="shared" si="52"/>
        <v>11</v>
      </c>
      <c r="B3298" s="134">
        <v>45606</v>
      </c>
      <c r="C3298" s="70">
        <v>2018</v>
      </c>
      <c r="D3298" s="70" t="s">
        <v>58</v>
      </c>
      <c r="E3298" s="280" t="s">
        <v>5522</v>
      </c>
      <c r="F3298" s="1049">
        <v>14.24</v>
      </c>
      <c r="G3298" s="1049"/>
      <c r="H3298" s="564"/>
      <c r="I3298" s="609"/>
      <c r="J3298" s="1155"/>
      <c r="K3298" s="609"/>
      <c r="L3298" s="609"/>
      <c r="M3298" s="609"/>
      <c r="N3298" s="599"/>
      <c r="O3298" s="552" t="s">
        <v>1584</v>
      </c>
      <c r="P3298" s="603"/>
      <c r="Q3298" s="682"/>
      <c r="R3298" s="682"/>
      <c r="S3298" s="682"/>
      <c r="T3298" s="682"/>
      <c r="U3298" s="682"/>
      <c r="V3298" s="682"/>
      <c r="W3298" s="682"/>
    </row>
    <row r="3299" spans="1:31">
      <c r="A3299" s="1045">
        <f t="shared" si="52"/>
        <v>11</v>
      </c>
      <c r="B3299" s="134">
        <v>45606</v>
      </c>
      <c r="C3299" s="70">
        <v>1025</v>
      </c>
      <c r="D3299" s="70" t="s">
        <v>5120</v>
      </c>
      <c r="E3299" s="280" t="s">
        <v>5522</v>
      </c>
      <c r="F3299" s="1049"/>
      <c r="G3299" s="1049">
        <v>299</v>
      </c>
      <c r="H3299" s="564"/>
      <c r="I3299" s="609"/>
      <c r="J3299" s="1155"/>
      <c r="K3299" s="609"/>
      <c r="L3299" s="609"/>
      <c r="M3299" s="609"/>
      <c r="N3299" s="599"/>
      <c r="O3299" s="552" t="s">
        <v>1584</v>
      </c>
      <c r="P3299" s="603"/>
      <c r="Q3299" s="682"/>
      <c r="R3299" s="682"/>
      <c r="S3299" s="682"/>
      <c r="T3299" s="682"/>
      <c r="U3299" s="682"/>
      <c r="V3299" s="682"/>
      <c r="W3299" s="682"/>
    </row>
    <row r="3300" spans="1:31">
      <c r="A3300" s="1045">
        <f t="shared" si="52"/>
        <v>10</v>
      </c>
      <c r="B3300" s="134">
        <v>45581</v>
      </c>
      <c r="C3300" s="70">
        <v>5150</v>
      </c>
      <c r="D3300" s="70" t="s">
        <v>82</v>
      </c>
      <c r="E3300" s="280" t="s">
        <v>5523</v>
      </c>
      <c r="F3300" s="1049">
        <v>19280</v>
      </c>
      <c r="G3300" s="1049"/>
      <c r="H3300" s="564" t="s">
        <v>5524</v>
      </c>
      <c r="I3300" s="609"/>
      <c r="J3300" s="1155"/>
      <c r="K3300" s="609">
        <v>279</v>
      </c>
      <c r="L3300" s="609"/>
      <c r="M3300" s="609"/>
      <c r="N3300" s="599">
        <v>964</v>
      </c>
      <c r="O3300" s="552" t="s">
        <v>1584</v>
      </c>
      <c r="P3300" s="603"/>
      <c r="Q3300" s="682"/>
      <c r="R3300" s="682"/>
      <c r="S3300" s="682"/>
      <c r="T3300" s="682"/>
      <c r="U3300" s="682"/>
      <c r="V3300" s="682"/>
      <c r="W3300" s="682"/>
      <c r="AE3300" s="2" t="s">
        <v>5525</v>
      </c>
    </row>
    <row r="3301" spans="1:31">
      <c r="A3301" s="1045">
        <f t="shared" si="52"/>
        <v>10</v>
      </c>
      <c r="B3301" s="134">
        <v>45581</v>
      </c>
      <c r="C3301" s="70">
        <v>2018</v>
      </c>
      <c r="D3301" s="70" t="s">
        <v>58</v>
      </c>
      <c r="E3301" s="280" t="s">
        <v>5523</v>
      </c>
      <c r="F3301" s="1049">
        <v>964</v>
      </c>
      <c r="G3301" s="1049"/>
      <c r="H3301" s="564" t="s">
        <v>5524</v>
      </c>
      <c r="I3301" s="609"/>
      <c r="J3301" s="1155"/>
      <c r="K3301" s="609"/>
      <c r="L3301" s="609"/>
      <c r="M3301" s="609"/>
      <c r="N3301" s="599"/>
      <c r="O3301" s="552" t="s">
        <v>1584</v>
      </c>
      <c r="P3301" s="603"/>
      <c r="Q3301" s="682"/>
      <c r="R3301" s="682"/>
      <c r="S3301" s="682"/>
      <c r="T3301" s="682"/>
      <c r="U3301" s="682"/>
      <c r="V3301" s="682"/>
      <c r="W3301" s="682"/>
    </row>
    <row r="3302" spans="1:31">
      <c r="A3302" s="1045">
        <f t="shared" si="52"/>
        <v>10</v>
      </c>
      <c r="B3302" s="134">
        <v>45581</v>
      </c>
      <c r="C3302" s="70">
        <v>2000</v>
      </c>
      <c r="D3302" s="70" t="s">
        <v>57</v>
      </c>
      <c r="E3302" s="280" t="s">
        <v>5523</v>
      </c>
      <c r="F3302" s="1049"/>
      <c r="G3302" s="1049">
        <v>20244</v>
      </c>
      <c r="H3302" s="564" t="s">
        <v>5524</v>
      </c>
      <c r="I3302" s="609"/>
      <c r="J3302" s="1155"/>
      <c r="K3302" s="609"/>
      <c r="L3302" s="609"/>
      <c r="M3302" s="609" t="s">
        <v>1098</v>
      </c>
      <c r="N3302" s="599"/>
      <c r="O3302" s="552" t="s">
        <v>1584</v>
      </c>
      <c r="P3302" s="603"/>
      <c r="Q3302" s="682"/>
      <c r="R3302" s="682"/>
      <c r="S3302" s="682"/>
      <c r="T3302" s="682"/>
      <c r="U3302" s="682"/>
      <c r="V3302" s="682"/>
      <c r="W3302" s="682"/>
      <c r="AE3302" s="2" t="s">
        <v>2960</v>
      </c>
    </row>
    <row r="3303" spans="1:31">
      <c r="A3303" s="1045">
        <f t="shared" si="52"/>
        <v>10</v>
      </c>
      <c r="B3303" s="398">
        <v>45579</v>
      </c>
      <c r="C3303" s="70">
        <v>7050</v>
      </c>
      <c r="D3303" s="70" t="s">
        <v>137</v>
      </c>
      <c r="E3303" s="280" t="s">
        <v>5612</v>
      </c>
      <c r="F3303" s="1049">
        <v>43.29</v>
      </c>
      <c r="G3303" s="1049"/>
      <c r="H3303" s="564" t="s">
        <v>5615</v>
      </c>
      <c r="I3303" s="609"/>
      <c r="J3303" s="1155"/>
      <c r="K3303" s="609"/>
      <c r="L3303" s="609"/>
      <c r="M3303" s="609"/>
      <c r="N3303" s="599"/>
      <c r="O3303" s="552" t="s">
        <v>1584</v>
      </c>
      <c r="P3303" s="603"/>
      <c r="Q3303" s="682"/>
      <c r="R3303" s="682"/>
      <c r="S3303" s="682"/>
      <c r="T3303" s="682"/>
      <c r="U3303" s="682"/>
      <c r="V3303" s="682"/>
      <c r="W3303" s="682"/>
    </row>
    <row r="3304" spans="1:31">
      <c r="A3304" s="1045">
        <f t="shared" si="52"/>
        <v>10</v>
      </c>
      <c r="B3304" s="134">
        <v>45579</v>
      </c>
      <c r="C3304" s="70">
        <v>2018</v>
      </c>
      <c r="D3304" s="70" t="s">
        <v>58</v>
      </c>
      <c r="E3304" s="280" t="s">
        <v>5612</v>
      </c>
      <c r="F3304" s="1049">
        <v>2.16</v>
      </c>
      <c r="G3304" s="1049"/>
      <c r="H3304" s="564" t="s">
        <v>5615</v>
      </c>
      <c r="I3304" s="609"/>
      <c r="J3304" s="1155"/>
      <c r="K3304" s="609"/>
      <c r="L3304" s="609"/>
      <c r="M3304" s="609"/>
      <c r="N3304" s="599"/>
      <c r="O3304" s="552" t="s">
        <v>1584</v>
      </c>
      <c r="P3304" s="603"/>
      <c r="Q3304" s="682"/>
      <c r="R3304" s="682"/>
      <c r="S3304" s="682"/>
      <c r="T3304" s="682"/>
      <c r="U3304" s="682"/>
      <c r="V3304" s="682"/>
      <c r="W3304" s="682"/>
    </row>
    <row r="3305" spans="1:31">
      <c r="A3305" s="1045">
        <f t="shared" si="52"/>
        <v>10</v>
      </c>
      <c r="B3305" s="134">
        <v>45579</v>
      </c>
      <c r="C3305" s="70">
        <v>1025</v>
      </c>
      <c r="D3305" s="70" t="s">
        <v>5120</v>
      </c>
      <c r="E3305" s="280" t="s">
        <v>5612</v>
      </c>
      <c r="F3305" s="1049"/>
      <c r="G3305" s="1049">
        <v>45.45</v>
      </c>
      <c r="H3305" s="564" t="s">
        <v>5615</v>
      </c>
      <c r="I3305" s="609"/>
      <c r="J3305" s="1155"/>
      <c r="K3305" s="609"/>
      <c r="L3305" s="609"/>
      <c r="M3305" s="609"/>
      <c r="N3305" s="599"/>
      <c r="O3305" s="552" t="s">
        <v>1584</v>
      </c>
      <c r="P3305" s="603"/>
      <c r="Q3305" s="682"/>
      <c r="R3305" s="682"/>
      <c r="S3305" s="682"/>
      <c r="T3305" s="682"/>
      <c r="U3305" s="682"/>
      <c r="V3305" s="682"/>
      <c r="W3305" s="682"/>
    </row>
    <row r="3306" spans="1:31">
      <c r="A3306" s="1045">
        <f t="shared" si="52"/>
        <v>10</v>
      </c>
      <c r="B3306" s="134">
        <v>45578</v>
      </c>
      <c r="C3306" s="70">
        <v>6003</v>
      </c>
      <c r="D3306" s="70" t="s">
        <v>94</v>
      </c>
      <c r="E3306" s="280" t="s">
        <v>5613</v>
      </c>
      <c r="F3306" s="1049">
        <v>142.9</v>
      </c>
      <c r="G3306" s="1049"/>
      <c r="H3306" s="564" t="s">
        <v>5616</v>
      </c>
      <c r="I3306" s="609"/>
      <c r="J3306" s="1155"/>
      <c r="K3306" s="609"/>
      <c r="L3306" s="609"/>
      <c r="M3306" s="609"/>
      <c r="N3306" s="599"/>
      <c r="O3306" s="552" t="s">
        <v>1584</v>
      </c>
      <c r="P3306" s="603"/>
      <c r="Q3306" s="682"/>
      <c r="R3306" s="682"/>
      <c r="S3306" s="682"/>
      <c r="T3306" s="682"/>
      <c r="U3306" s="682"/>
      <c r="V3306" s="682"/>
      <c r="W3306" s="682"/>
    </row>
    <row r="3307" spans="1:31">
      <c r="A3307" s="1045">
        <f t="shared" si="52"/>
        <v>10</v>
      </c>
      <c r="B3307" s="134">
        <v>45578</v>
      </c>
      <c r="C3307" s="70">
        <v>2018</v>
      </c>
      <c r="D3307" s="70" t="s">
        <v>58</v>
      </c>
      <c r="E3307" s="280" t="s">
        <v>5613</v>
      </c>
      <c r="F3307" s="1049">
        <v>6.7</v>
      </c>
      <c r="G3307" s="1049"/>
      <c r="H3307" s="564" t="s">
        <v>5616</v>
      </c>
      <c r="I3307" s="609"/>
      <c r="J3307" s="1155"/>
      <c r="K3307" s="609"/>
      <c r="L3307" s="609"/>
      <c r="M3307" s="609"/>
      <c r="N3307" s="599"/>
      <c r="O3307" s="552" t="s">
        <v>1584</v>
      </c>
      <c r="P3307" s="603"/>
      <c r="Q3307" s="682"/>
      <c r="R3307" s="682"/>
      <c r="S3307" s="682"/>
      <c r="T3307" s="682"/>
      <c r="U3307" s="682"/>
      <c r="V3307" s="682"/>
      <c r="W3307" s="682"/>
    </row>
    <row r="3308" spans="1:31">
      <c r="A3308" s="1045">
        <f t="shared" si="52"/>
        <v>10</v>
      </c>
      <c r="B3308" s="134">
        <v>45578</v>
      </c>
      <c r="C3308" s="70">
        <v>1025</v>
      </c>
      <c r="D3308" s="70" t="s">
        <v>5120</v>
      </c>
      <c r="E3308" s="280" t="s">
        <v>5613</v>
      </c>
      <c r="F3308" s="1049"/>
      <c r="G3308" s="1049">
        <v>142.9</v>
      </c>
      <c r="H3308" s="564" t="s">
        <v>5616</v>
      </c>
      <c r="I3308" s="609"/>
      <c r="J3308" s="1155"/>
      <c r="K3308" s="609"/>
      <c r="L3308" s="609"/>
      <c r="M3308" s="609"/>
      <c r="N3308" s="599"/>
      <c r="O3308" s="552" t="s">
        <v>1584</v>
      </c>
      <c r="P3308" s="603"/>
      <c r="Q3308" s="682"/>
      <c r="R3308" s="682"/>
      <c r="S3308" s="682"/>
      <c r="T3308" s="682"/>
      <c r="U3308" s="682"/>
      <c r="V3308" s="682"/>
      <c r="W3308" s="682"/>
    </row>
    <row r="3309" spans="1:31">
      <c r="A3309" s="1045">
        <f t="shared" si="52"/>
        <v>11</v>
      </c>
      <c r="B3309" s="134">
        <v>45605</v>
      </c>
      <c r="C3309" s="70">
        <v>5200</v>
      </c>
      <c r="D3309" s="70" t="s">
        <v>83</v>
      </c>
      <c r="E3309" s="280" t="s">
        <v>5614</v>
      </c>
      <c r="F3309" s="1049">
        <v>5905.36</v>
      </c>
      <c r="G3309" s="1049"/>
      <c r="H3309" s="564" t="s">
        <v>5617</v>
      </c>
      <c r="I3309" s="609"/>
      <c r="J3309" s="1155"/>
      <c r="K3309" s="609">
        <v>257</v>
      </c>
      <c r="L3309" s="609"/>
      <c r="M3309" s="609"/>
      <c r="N3309" s="599">
        <v>295.27999999999997</v>
      </c>
      <c r="O3309" s="552" t="s">
        <v>1584</v>
      </c>
      <c r="P3309" s="603"/>
      <c r="Q3309" s="682"/>
      <c r="R3309" s="682"/>
      <c r="S3309" s="682"/>
      <c r="T3309" s="682"/>
      <c r="U3309" s="682"/>
      <c r="V3309" s="682"/>
      <c r="W3309" s="682"/>
      <c r="AE3309" s="2" t="s">
        <v>5618</v>
      </c>
    </row>
    <row r="3310" spans="1:31">
      <c r="A3310" s="1045">
        <f t="shared" si="52"/>
        <v>11</v>
      </c>
      <c r="B3310" s="134">
        <v>45605</v>
      </c>
      <c r="C3310" s="70">
        <v>2018</v>
      </c>
      <c r="D3310" s="70" t="s">
        <v>58</v>
      </c>
      <c r="E3310" s="280" t="s">
        <v>5614</v>
      </c>
      <c r="F3310" s="1049">
        <v>295.27999999999997</v>
      </c>
      <c r="G3310" s="1049"/>
      <c r="H3310" s="564" t="s">
        <v>5617</v>
      </c>
      <c r="I3310" s="609"/>
      <c r="J3310" s="1155"/>
      <c r="K3310" s="609"/>
      <c r="L3310" s="609"/>
      <c r="M3310" s="609"/>
      <c r="N3310" s="599"/>
      <c r="O3310" s="552" t="s">
        <v>1584</v>
      </c>
      <c r="P3310" s="603"/>
      <c r="Q3310" s="682"/>
      <c r="R3310" s="682"/>
      <c r="S3310" s="682"/>
      <c r="T3310" s="682"/>
      <c r="U3310" s="682"/>
      <c r="V3310" s="682"/>
      <c r="W3310" s="682"/>
    </row>
    <row r="3311" spans="1:31">
      <c r="A3311" s="1045">
        <f t="shared" si="52"/>
        <v>11</v>
      </c>
      <c r="B3311" s="134">
        <v>45605</v>
      </c>
      <c r="C3311" s="70">
        <v>2000</v>
      </c>
      <c r="D3311" s="70" t="s">
        <v>57</v>
      </c>
      <c r="E3311" s="280" t="s">
        <v>5614</v>
      </c>
      <c r="F3311" s="1049"/>
      <c r="G3311" s="1049">
        <v>6200.64</v>
      </c>
      <c r="H3311" s="564" t="s">
        <v>5617</v>
      </c>
      <c r="I3311" s="609"/>
      <c r="J3311" s="1155"/>
      <c r="K3311" s="609"/>
      <c r="L3311" s="609"/>
      <c r="M3311" s="609" t="s">
        <v>5239</v>
      </c>
      <c r="N3311" s="599"/>
      <c r="O3311" s="552" t="s">
        <v>1584</v>
      </c>
      <c r="P3311" s="603"/>
      <c r="Q3311" s="682"/>
      <c r="R3311" s="682"/>
      <c r="S3311" s="682"/>
      <c r="T3311" s="682"/>
      <c r="U3311" s="682"/>
      <c r="V3311" s="682"/>
      <c r="W3311" s="682"/>
      <c r="AE3311" s="2" t="s">
        <v>2960</v>
      </c>
    </row>
    <row r="3312" spans="1:31">
      <c r="A3312" s="1045">
        <f t="shared" si="52"/>
        <v>11</v>
      </c>
      <c r="B3312" s="134">
        <v>45610</v>
      </c>
      <c r="C3312" s="70">
        <v>5150</v>
      </c>
      <c r="D3312" s="70" t="s">
        <v>82</v>
      </c>
      <c r="E3312" s="280" t="s">
        <v>5619</v>
      </c>
      <c r="F3312" s="1049">
        <v>18775</v>
      </c>
      <c r="G3312" s="1049"/>
      <c r="H3312" s="564" t="s">
        <v>5620</v>
      </c>
      <c r="I3312" s="609"/>
      <c r="J3312" s="1155"/>
      <c r="K3312" s="609">
        <v>276</v>
      </c>
      <c r="L3312" s="609"/>
      <c r="M3312" s="609"/>
      <c r="N3312" s="599">
        <v>938.75</v>
      </c>
      <c r="O3312" s="552" t="s">
        <v>1584</v>
      </c>
      <c r="P3312" s="603"/>
      <c r="Q3312" s="682"/>
      <c r="R3312" s="682"/>
      <c r="S3312" s="682"/>
      <c r="T3312" s="682"/>
      <c r="U3312" s="682"/>
      <c r="V3312" s="682"/>
      <c r="W3312" s="682"/>
      <c r="AE3312" s="2" t="s">
        <v>5621</v>
      </c>
    </row>
    <row r="3313" spans="1:31">
      <c r="A3313" s="1045">
        <f t="shared" si="52"/>
        <v>11</v>
      </c>
      <c r="B3313" s="134">
        <v>45610</v>
      </c>
      <c r="C3313" s="70">
        <v>2018</v>
      </c>
      <c r="D3313" s="70" t="s">
        <v>58</v>
      </c>
      <c r="E3313" s="280" t="s">
        <v>5619</v>
      </c>
      <c r="F3313" s="1049">
        <v>938.75</v>
      </c>
      <c r="G3313" s="1049"/>
      <c r="H3313" s="564" t="s">
        <v>5620</v>
      </c>
      <c r="I3313" s="609"/>
      <c r="J3313" s="1155"/>
      <c r="K3313" s="609"/>
      <c r="L3313" s="609"/>
      <c r="M3313" s="609"/>
      <c r="N3313" s="599"/>
      <c r="O3313" s="552" t="s">
        <v>1584</v>
      </c>
      <c r="P3313" s="603"/>
      <c r="Q3313" s="682"/>
      <c r="R3313" s="682"/>
      <c r="S3313" s="682"/>
      <c r="T3313" s="682"/>
      <c r="U3313" s="682"/>
      <c r="V3313" s="682"/>
      <c r="W3313" s="682"/>
    </row>
    <row r="3314" spans="1:31">
      <c r="A3314" s="1045">
        <f t="shared" si="52"/>
        <v>11</v>
      </c>
      <c r="B3314" s="134">
        <v>45610</v>
      </c>
      <c r="C3314" s="70">
        <v>2000</v>
      </c>
      <c r="D3314" s="70" t="s">
        <v>57</v>
      </c>
      <c r="E3314" s="280" t="s">
        <v>5619</v>
      </c>
      <c r="F3314" s="1049"/>
      <c r="G3314" s="1049">
        <v>19713.75</v>
      </c>
      <c r="H3314" s="564" t="s">
        <v>5620</v>
      </c>
      <c r="I3314" s="609"/>
      <c r="J3314" s="1155"/>
      <c r="K3314" s="609"/>
      <c r="L3314" s="609"/>
      <c r="M3314" s="609" t="s">
        <v>5318</v>
      </c>
      <c r="N3314" s="599"/>
      <c r="O3314" s="552" t="s">
        <v>1584</v>
      </c>
      <c r="P3314" s="603"/>
      <c r="Q3314" s="682"/>
      <c r="R3314" s="682"/>
      <c r="S3314" s="682"/>
      <c r="T3314" s="682"/>
      <c r="U3314" s="682"/>
      <c r="V3314" s="682"/>
      <c r="W3314" s="682"/>
      <c r="AE3314" s="2" t="s">
        <v>2960</v>
      </c>
    </row>
    <row r="3315" spans="1:31">
      <c r="A3315" s="1045">
        <f t="shared" si="52"/>
        <v>11</v>
      </c>
      <c r="B3315" s="134">
        <v>45610</v>
      </c>
      <c r="C3315" s="70">
        <v>5150</v>
      </c>
      <c r="D3315" s="70" t="s">
        <v>82</v>
      </c>
      <c r="E3315" s="280" t="s">
        <v>5622</v>
      </c>
      <c r="F3315" s="1049">
        <v>26840</v>
      </c>
      <c r="G3315" s="1049"/>
      <c r="H3315" s="564" t="s">
        <v>5623</v>
      </c>
      <c r="I3315" s="609"/>
      <c r="J3315" s="1155"/>
      <c r="K3315" s="609">
        <v>277</v>
      </c>
      <c r="L3315" s="609"/>
      <c r="M3315" s="609"/>
      <c r="N3315" s="599">
        <v>1342</v>
      </c>
      <c r="O3315" s="552" t="s">
        <v>1584</v>
      </c>
      <c r="P3315" s="603"/>
      <c r="Q3315" s="682"/>
      <c r="R3315" s="682"/>
      <c r="S3315" s="682"/>
      <c r="T3315" s="682"/>
      <c r="U3315" s="682"/>
      <c r="V3315" s="682"/>
      <c r="W3315" s="682"/>
      <c r="AE3315" s="2" t="s">
        <v>5624</v>
      </c>
    </row>
    <row r="3316" spans="1:31">
      <c r="A3316" s="1045">
        <f t="shared" si="52"/>
        <v>11</v>
      </c>
      <c r="B3316" s="134">
        <v>45610</v>
      </c>
      <c r="C3316" s="70">
        <v>2018</v>
      </c>
      <c r="D3316" s="70" t="s">
        <v>58</v>
      </c>
      <c r="E3316" s="280" t="s">
        <v>5622</v>
      </c>
      <c r="F3316" s="1049">
        <v>1342</v>
      </c>
      <c r="G3316" s="1049"/>
      <c r="H3316" s="564" t="s">
        <v>5623</v>
      </c>
      <c r="I3316" s="609"/>
      <c r="J3316" s="1155"/>
      <c r="K3316" s="609"/>
      <c r="L3316" s="609"/>
      <c r="M3316" s="609"/>
      <c r="N3316" s="599"/>
      <c r="O3316" s="552" t="s">
        <v>1584</v>
      </c>
      <c r="P3316" s="603"/>
      <c r="Q3316" s="682"/>
      <c r="R3316" s="682"/>
      <c r="S3316" s="682"/>
      <c r="T3316" s="682"/>
      <c r="U3316" s="682"/>
      <c r="V3316" s="682"/>
      <c r="W3316" s="682"/>
    </row>
    <row r="3317" spans="1:31">
      <c r="A3317" s="1045">
        <f t="shared" si="52"/>
        <v>11</v>
      </c>
      <c r="B3317" s="134">
        <v>45610</v>
      </c>
      <c r="C3317" s="70">
        <v>2000</v>
      </c>
      <c r="D3317" s="70" t="s">
        <v>57</v>
      </c>
      <c r="E3317" s="280" t="s">
        <v>5622</v>
      </c>
      <c r="F3317" s="1049"/>
      <c r="G3317" s="1049">
        <v>28182</v>
      </c>
      <c r="H3317" s="564" t="s">
        <v>5623</v>
      </c>
      <c r="I3317" s="609"/>
      <c r="J3317" s="1155"/>
      <c r="K3317" s="609"/>
      <c r="L3317" s="609"/>
      <c r="M3317" s="609" t="s">
        <v>5316</v>
      </c>
      <c r="N3317" s="599"/>
      <c r="O3317" s="552" t="s">
        <v>1584</v>
      </c>
      <c r="P3317" s="603"/>
      <c r="Q3317" s="682"/>
      <c r="R3317" s="682"/>
      <c r="S3317" s="682"/>
      <c r="T3317" s="682"/>
      <c r="U3317" s="682"/>
      <c r="V3317" s="682"/>
      <c r="W3317" s="682"/>
      <c r="AE3317" s="2" t="s">
        <v>2960</v>
      </c>
    </row>
    <row r="3318" spans="1:31">
      <c r="A3318" s="1045">
        <f t="shared" si="52"/>
        <v>11</v>
      </c>
      <c r="B3318" s="134">
        <v>45610</v>
      </c>
      <c r="C3318" s="70">
        <v>1400</v>
      </c>
      <c r="D3318" s="70" t="s">
        <v>49</v>
      </c>
      <c r="E3318" s="280" t="s">
        <v>5627</v>
      </c>
      <c r="F3318" s="1049">
        <v>8000</v>
      </c>
      <c r="G3318" s="1049"/>
      <c r="H3318" s="564" t="s">
        <v>5631</v>
      </c>
      <c r="I3318" s="609"/>
      <c r="J3318" s="1155"/>
      <c r="K3318" s="609"/>
      <c r="L3318" s="609"/>
      <c r="M3318" s="609"/>
      <c r="N3318" s="599"/>
      <c r="O3318" s="552" t="s">
        <v>1584</v>
      </c>
      <c r="P3318" s="603"/>
      <c r="Q3318" s="682"/>
      <c r="R3318" s="682"/>
      <c r="S3318" s="682"/>
      <c r="T3318" s="682"/>
      <c r="U3318" s="682"/>
      <c r="V3318" s="682"/>
      <c r="W3318" s="682"/>
    </row>
    <row r="3319" spans="1:31">
      <c r="A3319" s="1045">
        <f t="shared" si="52"/>
        <v>11</v>
      </c>
      <c r="B3319" s="134">
        <v>45610</v>
      </c>
      <c r="C3319" s="70">
        <v>1400</v>
      </c>
      <c r="D3319" s="70" t="s">
        <v>49</v>
      </c>
      <c r="E3319" s="280" t="s">
        <v>5628</v>
      </c>
      <c r="F3319" s="1049">
        <v>8000</v>
      </c>
      <c r="G3319" s="1049"/>
      <c r="H3319" s="564" t="s">
        <v>5631</v>
      </c>
      <c r="I3319" s="609"/>
      <c r="J3319" s="1155"/>
      <c r="K3319" s="609"/>
      <c r="L3319" s="609"/>
      <c r="M3319" s="609"/>
      <c r="N3319" s="599"/>
      <c r="O3319" s="552" t="s">
        <v>1584</v>
      </c>
      <c r="P3319" s="603"/>
      <c r="Q3319" s="682"/>
      <c r="R3319" s="682"/>
      <c r="S3319" s="682"/>
      <c r="T3319" s="682"/>
      <c r="U3319" s="682"/>
      <c r="V3319" s="682"/>
      <c r="W3319" s="682"/>
    </row>
    <row r="3320" spans="1:31">
      <c r="A3320" s="1045">
        <f t="shared" si="52"/>
        <v>11</v>
      </c>
      <c r="B3320" s="134">
        <v>45610</v>
      </c>
      <c r="C3320" s="70">
        <v>1400</v>
      </c>
      <c r="D3320" s="70" t="s">
        <v>49</v>
      </c>
      <c r="E3320" s="280" t="s">
        <v>5629</v>
      </c>
      <c r="F3320" s="1049">
        <v>8000</v>
      </c>
      <c r="G3320" s="1049"/>
      <c r="H3320" s="564" t="s">
        <v>5631</v>
      </c>
      <c r="I3320" s="609"/>
      <c r="J3320" s="1155"/>
      <c r="K3320" s="609"/>
      <c r="L3320" s="609"/>
      <c r="M3320" s="609"/>
      <c r="N3320" s="599"/>
      <c r="O3320" s="552" t="s">
        <v>1584</v>
      </c>
      <c r="P3320" s="603"/>
      <c r="Q3320" s="682"/>
      <c r="R3320" s="682"/>
      <c r="S3320" s="682"/>
      <c r="T3320" s="682"/>
      <c r="U3320" s="682"/>
      <c r="V3320" s="682"/>
      <c r="W3320" s="682"/>
    </row>
    <row r="3321" spans="1:31">
      <c r="A3321" s="1045">
        <f t="shared" si="52"/>
        <v>11</v>
      </c>
      <c r="B3321" s="134">
        <v>45610</v>
      </c>
      <c r="C3321" s="70">
        <v>1400</v>
      </c>
      <c r="D3321" s="70" t="s">
        <v>49</v>
      </c>
      <c r="E3321" s="280" t="s">
        <v>5630</v>
      </c>
      <c r="F3321" s="1049">
        <v>8000</v>
      </c>
      <c r="G3321" s="1049"/>
      <c r="H3321" s="564" t="s">
        <v>5631</v>
      </c>
      <c r="I3321" s="609"/>
      <c r="J3321" s="1155"/>
      <c r="K3321" s="609"/>
      <c r="L3321" s="609"/>
      <c r="M3321" s="609"/>
      <c r="N3321" s="599"/>
      <c r="O3321" s="552" t="s">
        <v>1584</v>
      </c>
      <c r="P3321" s="603"/>
      <c r="Q3321" s="682"/>
      <c r="R3321" s="682"/>
      <c r="S3321" s="682"/>
      <c r="T3321" s="682"/>
      <c r="U3321" s="682"/>
      <c r="V3321" s="682"/>
      <c r="W3321" s="682"/>
    </row>
    <row r="3322" spans="1:31">
      <c r="A3322" s="1045">
        <f t="shared" si="52"/>
        <v>11</v>
      </c>
      <c r="B3322" s="134">
        <v>45610</v>
      </c>
      <c r="C3322" s="70">
        <v>2370</v>
      </c>
      <c r="D3322" s="70" t="str">
        <f>IFERROR(VLOOKUP(C3322,Mychart!$A$6:$B$123,2,FALSE),"")</f>
        <v>Cheecks Payable</v>
      </c>
      <c r="E3322" s="280" t="s">
        <v>5627</v>
      </c>
      <c r="F3322" s="1049"/>
      <c r="G3322" s="1049">
        <v>8000</v>
      </c>
      <c r="H3322" s="564" t="s">
        <v>5631</v>
      </c>
      <c r="I3322" s="609">
        <v>966</v>
      </c>
      <c r="J3322" s="1155">
        <v>45621</v>
      </c>
      <c r="K3322" s="609"/>
      <c r="L3322" s="609"/>
      <c r="M3322" s="609"/>
      <c r="N3322" s="599"/>
      <c r="O3322" s="552" t="s">
        <v>1584</v>
      </c>
      <c r="P3322" s="603"/>
      <c r="Q3322" s="682"/>
      <c r="R3322" s="682"/>
      <c r="S3322" s="682"/>
      <c r="T3322" s="682"/>
      <c r="U3322" s="682"/>
      <c r="V3322" s="682"/>
      <c r="W3322" s="682"/>
    </row>
    <row r="3323" spans="1:31">
      <c r="A3323" s="1045">
        <f t="shared" si="52"/>
        <v>11</v>
      </c>
      <c r="B3323" s="134">
        <v>45610</v>
      </c>
      <c r="C3323" s="70">
        <v>2370</v>
      </c>
      <c r="D3323" s="70" t="str">
        <f>IFERROR(VLOOKUP(C3323,Mychart!$A$6:$B$123,2,FALSE),"")</f>
        <v>Cheecks Payable</v>
      </c>
      <c r="E3323" s="280" t="s">
        <v>5628</v>
      </c>
      <c r="F3323" s="1049"/>
      <c r="G3323" s="1049">
        <v>8000</v>
      </c>
      <c r="H3323" s="564" t="s">
        <v>5631</v>
      </c>
      <c r="I3323" s="609">
        <v>965</v>
      </c>
      <c r="J3323" s="1155">
        <v>45713</v>
      </c>
      <c r="K3323" s="609"/>
      <c r="L3323" s="609"/>
      <c r="M3323" s="609"/>
      <c r="N3323" s="599"/>
      <c r="O3323" s="552" t="s">
        <v>1584</v>
      </c>
      <c r="P3323" s="603"/>
      <c r="Q3323" s="682"/>
      <c r="R3323" s="682"/>
      <c r="S3323" s="682"/>
      <c r="T3323" s="682"/>
      <c r="U3323" s="682"/>
      <c r="V3323" s="682"/>
      <c r="W3323" s="682"/>
    </row>
    <row r="3324" spans="1:31">
      <c r="A3324" s="1045">
        <f t="shared" si="52"/>
        <v>11</v>
      </c>
      <c r="B3324" s="134">
        <v>45610</v>
      </c>
      <c r="C3324" s="70">
        <v>2370</v>
      </c>
      <c r="D3324" s="70" t="str">
        <f>IFERROR(VLOOKUP(C3324,Mychart!$A$6:$B$123,2,FALSE),"")</f>
        <v>Cheecks Payable</v>
      </c>
      <c r="E3324" s="280" t="s">
        <v>5629</v>
      </c>
      <c r="F3324" s="1049"/>
      <c r="G3324" s="1049">
        <v>8000</v>
      </c>
      <c r="H3324" s="564" t="s">
        <v>5631</v>
      </c>
      <c r="I3324" s="609">
        <v>964</v>
      </c>
      <c r="J3324" s="1155">
        <v>45802</v>
      </c>
      <c r="K3324" s="609"/>
      <c r="L3324" s="609"/>
      <c r="M3324" s="609"/>
      <c r="N3324" s="599"/>
      <c r="O3324" s="552" t="s">
        <v>1584</v>
      </c>
      <c r="P3324" s="603"/>
      <c r="Q3324" s="682"/>
      <c r="R3324" s="682"/>
      <c r="S3324" s="682"/>
      <c r="T3324" s="682"/>
      <c r="U3324" s="682"/>
      <c r="V3324" s="682"/>
      <c r="W3324" s="682"/>
    </row>
    <row r="3325" spans="1:31">
      <c r="A3325" s="1045">
        <f t="shared" si="52"/>
        <v>11</v>
      </c>
      <c r="B3325" s="134">
        <v>45610</v>
      </c>
      <c r="C3325" s="70">
        <v>2370</v>
      </c>
      <c r="D3325" s="70" t="str">
        <f>IFERROR(VLOOKUP(C3325,Mychart!$A$6:$B$123,2,FALSE),"")</f>
        <v>Cheecks Payable</v>
      </c>
      <c r="E3325" s="280" t="s">
        <v>5630</v>
      </c>
      <c r="F3325" s="1049"/>
      <c r="G3325" s="1049">
        <v>8000</v>
      </c>
      <c r="H3325" s="564" t="s">
        <v>5631</v>
      </c>
      <c r="I3325" s="609">
        <v>963</v>
      </c>
      <c r="J3325" s="1155">
        <v>45894</v>
      </c>
      <c r="K3325" s="609"/>
      <c r="L3325" s="609"/>
      <c r="M3325" s="609"/>
      <c r="N3325" s="599"/>
      <c r="O3325" s="552" t="s">
        <v>1584</v>
      </c>
      <c r="P3325" s="603"/>
      <c r="Q3325" s="682"/>
      <c r="R3325" s="682"/>
      <c r="S3325" s="682"/>
      <c r="T3325" s="682"/>
      <c r="U3325" s="682"/>
      <c r="V3325" s="682"/>
      <c r="W3325" s="682"/>
    </row>
    <row r="3326" spans="1:31">
      <c r="A3326" s="1045">
        <f t="shared" si="52"/>
        <v>11</v>
      </c>
      <c r="B3326" s="134">
        <v>45610</v>
      </c>
      <c r="C3326" s="70">
        <v>1100</v>
      </c>
      <c r="D3326" s="70" t="s">
        <v>46</v>
      </c>
      <c r="E3326" s="280" t="s">
        <v>5632</v>
      </c>
      <c r="F3326" s="1049">
        <v>28980</v>
      </c>
      <c r="G3326" s="1049"/>
      <c r="H3326" s="564" t="s">
        <v>5633</v>
      </c>
      <c r="I3326" s="609"/>
      <c r="J3326" s="1155"/>
      <c r="K3326" s="609"/>
      <c r="L3326" s="609"/>
      <c r="M3326" s="609"/>
      <c r="N3326" s="599"/>
      <c r="O3326" s="552" t="s">
        <v>1584</v>
      </c>
      <c r="P3326" s="603"/>
      <c r="Q3326" s="682"/>
      <c r="R3326" s="682"/>
      <c r="S3326" s="682"/>
      <c r="T3326" s="682"/>
      <c r="U3326" s="682"/>
      <c r="V3326" s="682"/>
      <c r="W3326" s="682"/>
    </row>
    <row r="3327" spans="1:31">
      <c r="A3327" s="1045">
        <f t="shared" si="52"/>
        <v>11</v>
      </c>
      <c r="B3327" s="134">
        <v>45610</v>
      </c>
      <c r="C3327" s="70">
        <v>2018</v>
      </c>
      <c r="D3327" s="70" t="s">
        <v>58</v>
      </c>
      <c r="E3327" s="280" t="s">
        <v>5632</v>
      </c>
      <c r="F3327" s="1049"/>
      <c r="G3327" s="1049">
        <v>1380</v>
      </c>
      <c r="H3327" s="564" t="s">
        <v>5633</v>
      </c>
      <c r="I3327" s="609"/>
      <c r="J3327" s="1155"/>
      <c r="K3327" s="609"/>
      <c r="L3327" s="609"/>
      <c r="M3327" s="609"/>
      <c r="N3327" s="599"/>
      <c r="O3327" s="552" t="s">
        <v>1584</v>
      </c>
      <c r="P3327" s="603"/>
      <c r="Q3327" s="682"/>
      <c r="R3327" s="682"/>
      <c r="S3327" s="682"/>
      <c r="T3327" s="682"/>
      <c r="U3327" s="682"/>
      <c r="V3327" s="682"/>
      <c r="W3327" s="682"/>
    </row>
    <row r="3328" spans="1:31">
      <c r="A3328" s="1045">
        <f t="shared" si="52"/>
        <v>11</v>
      </c>
      <c r="B3328" s="134">
        <v>45610</v>
      </c>
      <c r="C3328" s="70">
        <v>4000</v>
      </c>
      <c r="D3328" s="70" t="s">
        <v>74</v>
      </c>
      <c r="E3328" s="280" t="s">
        <v>5632</v>
      </c>
      <c r="F3328" s="1049"/>
      <c r="G3328" s="1049">
        <v>27600</v>
      </c>
      <c r="H3328" s="564" t="s">
        <v>5633</v>
      </c>
      <c r="I3328" s="609"/>
      <c r="J3328" s="1155"/>
      <c r="K3328" s="609"/>
      <c r="L3328" s="609"/>
      <c r="M3328" s="609"/>
      <c r="N3328" s="599"/>
      <c r="O3328" s="552" t="s">
        <v>1584</v>
      </c>
      <c r="P3328" s="603"/>
      <c r="Q3328" s="682"/>
      <c r="R3328" s="682"/>
      <c r="S3328" s="682"/>
      <c r="T3328" s="682"/>
      <c r="U3328" s="682"/>
      <c r="V3328" s="682"/>
      <c r="W3328" s="682"/>
    </row>
    <row r="3329" spans="1:31">
      <c r="A3329" s="1045">
        <f t="shared" si="52"/>
        <v>11</v>
      </c>
      <c r="B3329" s="134">
        <v>45610</v>
      </c>
      <c r="C3329" s="70">
        <v>1017</v>
      </c>
      <c r="D3329" s="70" t="s">
        <v>5118</v>
      </c>
      <c r="E3329" s="280" t="s">
        <v>5634</v>
      </c>
      <c r="F3329" s="1049">
        <v>15000</v>
      </c>
      <c r="G3329" s="1049"/>
      <c r="H3329" s="564" t="s">
        <v>5635</v>
      </c>
      <c r="I3329" s="609"/>
      <c r="J3329" s="1155"/>
      <c r="K3329" s="609"/>
      <c r="L3329" s="609"/>
      <c r="M3329" s="609"/>
      <c r="N3329" s="599"/>
      <c r="O3329" s="552" t="s">
        <v>1584</v>
      </c>
      <c r="P3329" s="603"/>
      <c r="Q3329" s="682"/>
      <c r="R3329" s="682"/>
      <c r="S3329" s="682"/>
      <c r="T3329" s="682"/>
      <c r="U3329" s="682"/>
      <c r="V3329" s="682"/>
      <c r="W3329" s="682"/>
    </row>
    <row r="3330" spans="1:31">
      <c r="A3330" s="1045">
        <f t="shared" si="52"/>
        <v>11</v>
      </c>
      <c r="B3330" s="134">
        <v>45610</v>
      </c>
      <c r="C3330" s="70">
        <v>1022</v>
      </c>
      <c r="D3330" s="70" t="s">
        <v>5119</v>
      </c>
      <c r="E3330" s="280" t="s">
        <v>5634</v>
      </c>
      <c r="F3330" s="1049">
        <v>13900</v>
      </c>
      <c r="G3330" s="1049"/>
      <c r="H3330" s="564" t="s">
        <v>5635</v>
      </c>
      <c r="I3330" s="609"/>
      <c r="J3330" s="1155"/>
      <c r="K3330" s="609"/>
      <c r="L3330" s="609"/>
      <c r="M3330" s="609"/>
      <c r="N3330" s="599"/>
      <c r="O3330" s="552" t="s">
        <v>1584</v>
      </c>
      <c r="P3330" s="603"/>
      <c r="Q3330" s="682"/>
      <c r="R3330" s="682"/>
      <c r="S3330" s="682"/>
      <c r="T3330" s="682"/>
      <c r="U3330" s="682"/>
      <c r="V3330" s="682"/>
      <c r="W3330" s="682"/>
    </row>
    <row r="3331" spans="1:31">
      <c r="A3331" s="1045">
        <f t="shared" si="52"/>
        <v>11</v>
      </c>
      <c r="B3331" s="134">
        <v>45610</v>
      </c>
      <c r="C3331" s="70">
        <v>1025</v>
      </c>
      <c r="D3331" s="70" t="s">
        <v>5120</v>
      </c>
      <c r="E3331" s="280" t="s">
        <v>5634</v>
      </c>
      <c r="F3331" s="1049">
        <v>80</v>
      </c>
      <c r="G3331" s="1049"/>
      <c r="H3331" s="564" t="s">
        <v>5635</v>
      </c>
      <c r="I3331" s="609"/>
      <c r="J3331" s="1155"/>
      <c r="K3331" s="609"/>
      <c r="L3331" s="609"/>
      <c r="M3331" s="609"/>
      <c r="N3331" s="599"/>
      <c r="O3331" s="552" t="s">
        <v>1584</v>
      </c>
      <c r="P3331" s="603"/>
      <c r="Q3331" s="682"/>
      <c r="R3331" s="682"/>
      <c r="S3331" s="682"/>
      <c r="T3331" s="682"/>
      <c r="U3331" s="682"/>
      <c r="V3331" s="682"/>
      <c r="W3331" s="682"/>
    </row>
    <row r="3332" spans="1:31">
      <c r="A3332" s="1045">
        <f t="shared" si="52"/>
        <v>11</v>
      </c>
      <c r="B3332" s="134">
        <v>45610</v>
      </c>
      <c r="C3332" s="70">
        <v>1100</v>
      </c>
      <c r="D3332" s="70" t="s">
        <v>46</v>
      </c>
      <c r="E3332" s="280" t="s">
        <v>5634</v>
      </c>
      <c r="F3332" s="1049"/>
      <c r="G3332" s="1049">
        <v>28980</v>
      </c>
      <c r="H3332" s="564" t="s">
        <v>5635</v>
      </c>
      <c r="I3332" s="609"/>
      <c r="J3332" s="1155"/>
      <c r="K3332" s="609">
        <v>276</v>
      </c>
      <c r="L3332" s="609">
        <v>135</v>
      </c>
      <c r="M3332" s="609"/>
      <c r="N3332" s="599">
        <v>1380</v>
      </c>
      <c r="O3332" s="552" t="s">
        <v>1584</v>
      </c>
      <c r="P3332" s="603"/>
      <c r="Q3332" s="682"/>
      <c r="R3332" s="682"/>
      <c r="S3332" s="682"/>
      <c r="T3332" s="682"/>
      <c r="U3332" s="682"/>
      <c r="V3332" s="682"/>
      <c r="W3332" s="682"/>
      <c r="AE3332" s="2" t="s">
        <v>5636</v>
      </c>
    </row>
    <row r="3333" spans="1:31">
      <c r="A3333" s="1045">
        <f t="shared" si="52"/>
        <v>11</v>
      </c>
      <c r="B3333" s="134">
        <v>45607</v>
      </c>
      <c r="C3333" s="70">
        <v>1100</v>
      </c>
      <c r="D3333" s="70" t="s">
        <v>46</v>
      </c>
      <c r="E3333" s="280" t="s">
        <v>5637</v>
      </c>
      <c r="F3333" s="1049">
        <v>2625</v>
      </c>
      <c r="G3333" s="1049"/>
      <c r="H3333" s="564" t="s">
        <v>5638</v>
      </c>
      <c r="I3333" s="609"/>
      <c r="J3333" s="1155"/>
      <c r="K3333" s="609"/>
      <c r="L3333" s="609"/>
      <c r="M3333" s="609"/>
      <c r="N3333" s="599"/>
      <c r="O3333" s="552" t="s">
        <v>1584</v>
      </c>
      <c r="P3333" s="603"/>
      <c r="Q3333" s="682"/>
      <c r="R3333" s="682"/>
      <c r="S3333" s="682"/>
      <c r="T3333" s="682"/>
      <c r="U3333" s="682"/>
      <c r="V3333" s="682"/>
      <c r="W3333" s="682"/>
    </row>
    <row r="3334" spans="1:31">
      <c r="A3334" s="1045">
        <f t="shared" si="52"/>
        <v>11</v>
      </c>
      <c r="B3334" s="134">
        <v>45607</v>
      </c>
      <c r="C3334" s="70">
        <v>2018</v>
      </c>
      <c r="D3334" s="70" t="s">
        <v>58</v>
      </c>
      <c r="E3334" s="280" t="s">
        <v>5637</v>
      </c>
      <c r="F3334" s="1049"/>
      <c r="G3334" s="1049">
        <v>125</v>
      </c>
      <c r="H3334" s="564" t="s">
        <v>5638</v>
      </c>
      <c r="I3334" s="609"/>
      <c r="J3334" s="1155"/>
      <c r="K3334" s="609"/>
      <c r="L3334" s="609"/>
      <c r="M3334" s="609"/>
      <c r="N3334" s="599"/>
      <c r="O3334" s="552" t="s">
        <v>1584</v>
      </c>
      <c r="P3334" s="603"/>
      <c r="Q3334" s="682"/>
      <c r="R3334" s="682"/>
      <c r="S3334" s="682"/>
      <c r="T3334" s="682"/>
      <c r="U3334" s="682"/>
      <c r="V3334" s="682"/>
      <c r="W3334" s="682"/>
    </row>
    <row r="3335" spans="1:31">
      <c r="A3335" s="1045">
        <f t="shared" si="52"/>
        <v>11</v>
      </c>
      <c r="B3335" s="134">
        <v>45607</v>
      </c>
      <c r="C3335" s="70">
        <v>4010</v>
      </c>
      <c r="D3335" s="70" t="s">
        <v>75</v>
      </c>
      <c r="E3335" s="280" t="s">
        <v>5637</v>
      </c>
      <c r="F3335" s="1049"/>
      <c r="G3335" s="1049">
        <v>2500</v>
      </c>
      <c r="H3335" s="564" t="s">
        <v>5638</v>
      </c>
      <c r="I3335" s="609"/>
      <c r="J3335" s="1155"/>
      <c r="K3335" s="609"/>
      <c r="L3335" s="609"/>
      <c r="M3335" s="609"/>
      <c r="N3335" s="599"/>
      <c r="O3335" s="552" t="s">
        <v>1584</v>
      </c>
      <c r="P3335" s="603"/>
      <c r="Q3335" s="682"/>
      <c r="R3335" s="682"/>
      <c r="S3335" s="682"/>
      <c r="T3335" s="682"/>
      <c r="U3335" s="682"/>
      <c r="V3335" s="682"/>
      <c r="W3335" s="682"/>
    </row>
    <row r="3336" spans="1:31">
      <c r="A3336" s="1045">
        <f t="shared" si="52"/>
        <v>11</v>
      </c>
      <c r="B3336" s="134">
        <v>45607</v>
      </c>
      <c r="C3336" s="70">
        <v>1017</v>
      </c>
      <c r="D3336" s="70" t="s">
        <v>5118</v>
      </c>
      <c r="E3336" s="280" t="s">
        <v>5639</v>
      </c>
      <c r="F3336" s="1049">
        <v>2625</v>
      </c>
      <c r="G3336" s="1049"/>
      <c r="H3336" s="564" t="s">
        <v>5640</v>
      </c>
      <c r="I3336" s="609"/>
      <c r="J3336" s="1155"/>
      <c r="K3336" s="609"/>
      <c r="L3336" s="609"/>
      <c r="M3336" s="609"/>
      <c r="N3336" s="599"/>
      <c r="O3336" s="552" t="s">
        <v>1584</v>
      </c>
      <c r="P3336" s="603"/>
      <c r="Q3336" s="682"/>
      <c r="R3336" s="682"/>
      <c r="S3336" s="682"/>
      <c r="T3336" s="682"/>
      <c r="U3336" s="682"/>
      <c r="V3336" s="682"/>
      <c r="W3336" s="682"/>
    </row>
    <row r="3337" spans="1:31">
      <c r="A3337" s="1045">
        <f t="shared" si="52"/>
        <v>11</v>
      </c>
      <c r="B3337" s="134">
        <v>45607</v>
      </c>
      <c r="C3337" s="70">
        <v>1100</v>
      </c>
      <c r="D3337" s="70" t="s">
        <v>46</v>
      </c>
      <c r="E3337" s="280" t="s">
        <v>5639</v>
      </c>
      <c r="F3337" s="1049"/>
      <c r="G3337" s="1049">
        <v>2625</v>
      </c>
      <c r="H3337" s="564" t="s">
        <v>5640</v>
      </c>
      <c r="I3337" s="609" t="s">
        <v>4826</v>
      </c>
      <c r="J3337" s="1155"/>
      <c r="K3337" s="609">
        <v>294</v>
      </c>
      <c r="L3337" s="609">
        <v>117</v>
      </c>
      <c r="M3337" s="609"/>
      <c r="N3337" s="599">
        <v>125</v>
      </c>
      <c r="O3337" s="552" t="s">
        <v>1584</v>
      </c>
      <c r="P3337" s="603"/>
      <c r="Q3337" s="682"/>
      <c r="R3337" s="682"/>
      <c r="S3337" s="682"/>
      <c r="T3337" s="682"/>
      <c r="U3337" s="682"/>
      <c r="V3337" s="682"/>
      <c r="W3337" s="682"/>
      <c r="AE3337" s="2" t="s">
        <v>5733</v>
      </c>
    </row>
    <row r="3338" spans="1:31">
      <c r="A3338" s="1045">
        <f t="shared" si="52"/>
        <v>11</v>
      </c>
      <c r="B3338" s="134">
        <v>45606</v>
      </c>
      <c r="C3338" s="70">
        <v>1100</v>
      </c>
      <c r="D3338" s="70" t="s">
        <v>46</v>
      </c>
      <c r="E3338" s="280" t="s">
        <v>5641</v>
      </c>
      <c r="F3338" s="1049">
        <v>15750</v>
      </c>
      <c r="G3338" s="1049"/>
      <c r="H3338" s="564" t="s">
        <v>5642</v>
      </c>
      <c r="I3338" s="609"/>
      <c r="J3338" s="1155"/>
      <c r="K3338" s="609"/>
      <c r="L3338" s="609"/>
      <c r="M3338" s="609"/>
      <c r="N3338" s="599"/>
      <c r="O3338" s="552" t="s">
        <v>1584</v>
      </c>
      <c r="P3338" s="603"/>
      <c r="Q3338" s="682"/>
      <c r="R3338" s="682"/>
      <c r="S3338" s="682"/>
      <c r="T3338" s="682"/>
      <c r="U3338" s="682"/>
      <c r="V3338" s="682"/>
      <c r="W3338" s="682"/>
    </row>
    <row r="3339" spans="1:31">
      <c r="A3339" s="1045">
        <f t="shared" si="52"/>
        <v>11</v>
      </c>
      <c r="B3339" s="134">
        <v>45606</v>
      </c>
      <c r="C3339" s="70">
        <v>2018</v>
      </c>
      <c r="D3339" s="70" t="s">
        <v>58</v>
      </c>
      <c r="E3339" s="280" t="s">
        <v>5641</v>
      </c>
      <c r="F3339" s="1049"/>
      <c r="G3339" s="1049">
        <v>750</v>
      </c>
      <c r="H3339" s="564" t="s">
        <v>5642</v>
      </c>
      <c r="I3339" s="609"/>
      <c r="J3339" s="1155"/>
      <c r="K3339" s="609"/>
      <c r="L3339" s="609"/>
      <c r="M3339" s="609"/>
      <c r="N3339" s="599"/>
      <c r="O3339" s="552" t="s">
        <v>1584</v>
      </c>
      <c r="P3339" s="603"/>
      <c r="Q3339" s="682"/>
      <c r="R3339" s="682"/>
      <c r="S3339" s="682"/>
      <c r="T3339" s="682"/>
      <c r="U3339" s="682"/>
      <c r="V3339" s="682"/>
      <c r="W3339" s="682"/>
    </row>
    <row r="3340" spans="1:31">
      <c r="A3340" s="1045">
        <f t="shared" si="52"/>
        <v>11</v>
      </c>
      <c r="B3340" s="134">
        <v>45606</v>
      </c>
      <c r="C3340" s="70">
        <v>4000</v>
      </c>
      <c r="D3340" s="70" t="s">
        <v>74</v>
      </c>
      <c r="E3340" s="280" t="s">
        <v>5641</v>
      </c>
      <c r="F3340" s="1049"/>
      <c r="G3340" s="1049">
        <v>15000</v>
      </c>
      <c r="H3340" s="564" t="s">
        <v>5642</v>
      </c>
      <c r="I3340" s="609"/>
      <c r="J3340" s="1155"/>
      <c r="K3340" s="609"/>
      <c r="L3340" s="609"/>
      <c r="M3340" s="609"/>
      <c r="N3340" s="599"/>
      <c r="O3340" s="552" t="s">
        <v>1584</v>
      </c>
      <c r="P3340" s="603"/>
      <c r="Q3340" s="682"/>
      <c r="R3340" s="682"/>
      <c r="S3340" s="682"/>
      <c r="T3340" s="682"/>
      <c r="U3340" s="682"/>
      <c r="V3340" s="682"/>
      <c r="W3340" s="682"/>
    </row>
    <row r="3341" spans="1:31">
      <c r="A3341" s="1045">
        <f t="shared" si="52"/>
        <v>11</v>
      </c>
      <c r="B3341" s="134">
        <v>45606</v>
      </c>
      <c r="C3341" s="70">
        <v>1022</v>
      </c>
      <c r="D3341" s="70" t="s">
        <v>5119</v>
      </c>
      <c r="E3341" s="280" t="s">
        <v>5643</v>
      </c>
      <c r="F3341" s="1049">
        <v>10000</v>
      </c>
      <c r="G3341" s="1049"/>
      <c r="H3341" s="564" t="s">
        <v>5520</v>
      </c>
      <c r="I3341" s="609" t="s">
        <v>5359</v>
      </c>
      <c r="J3341" s="1155"/>
      <c r="K3341" s="609"/>
      <c r="L3341" s="609"/>
      <c r="M3341" s="609"/>
      <c r="N3341" s="599"/>
      <c r="O3341" s="552" t="s">
        <v>1584</v>
      </c>
      <c r="P3341" s="603"/>
      <c r="Q3341" s="682"/>
      <c r="R3341" s="682"/>
      <c r="S3341" s="682"/>
      <c r="T3341" s="682"/>
      <c r="U3341" s="682"/>
      <c r="V3341" s="682"/>
      <c r="W3341" s="682"/>
    </row>
    <row r="3342" spans="1:31">
      <c r="A3342" s="1045">
        <f t="shared" si="52"/>
        <v>11</v>
      </c>
      <c r="B3342" s="134">
        <v>45606</v>
      </c>
      <c r="C3342" s="70">
        <v>1100</v>
      </c>
      <c r="D3342" s="70" t="s">
        <v>46</v>
      </c>
      <c r="E3342" s="280" t="s">
        <v>5643</v>
      </c>
      <c r="F3342" s="1049"/>
      <c r="G3342" s="1049">
        <v>10000</v>
      </c>
      <c r="H3342" s="564" t="s">
        <v>5520</v>
      </c>
      <c r="I3342" s="609"/>
      <c r="J3342" s="1155" t="s">
        <v>5644</v>
      </c>
      <c r="K3342" s="609">
        <v>288</v>
      </c>
      <c r="L3342" s="609">
        <v>124</v>
      </c>
      <c r="M3342" s="609"/>
      <c r="N3342" s="599"/>
      <c r="O3342" s="552" t="s">
        <v>1584</v>
      </c>
      <c r="P3342" s="603"/>
      <c r="Q3342" s="682"/>
      <c r="R3342" s="682"/>
      <c r="S3342" s="682"/>
      <c r="T3342" s="682"/>
      <c r="U3342" s="682"/>
      <c r="V3342" s="682"/>
      <c r="W3342" s="682"/>
      <c r="AE3342" s="2" t="s">
        <v>5645</v>
      </c>
    </row>
    <row r="3343" spans="1:31">
      <c r="A3343" s="1045">
        <f t="shared" si="52"/>
        <v>11</v>
      </c>
      <c r="B3343" s="134">
        <v>45608</v>
      </c>
      <c r="C3343" s="70">
        <v>1011</v>
      </c>
      <c r="D3343" s="70" t="s">
        <v>34</v>
      </c>
      <c r="E3343" s="280" t="s">
        <v>5647</v>
      </c>
      <c r="F3343" s="1049">
        <v>5000</v>
      </c>
      <c r="G3343" s="1049"/>
      <c r="H3343" s="564" t="s">
        <v>5648</v>
      </c>
      <c r="I3343" s="609"/>
      <c r="J3343" s="1155"/>
      <c r="K3343" s="609"/>
      <c r="L3343" s="609"/>
      <c r="M3343" s="609"/>
      <c r="N3343" s="599"/>
      <c r="O3343" s="552" t="s">
        <v>1584</v>
      </c>
      <c r="P3343" s="603"/>
      <c r="Q3343" s="682"/>
      <c r="R3343" s="682"/>
      <c r="S3343" s="682"/>
      <c r="T3343" s="682"/>
      <c r="U3343" s="682"/>
      <c r="V3343" s="682"/>
      <c r="W3343" s="682"/>
    </row>
    <row r="3344" spans="1:31">
      <c r="A3344" s="1045">
        <f t="shared" si="52"/>
        <v>11</v>
      </c>
      <c r="B3344" s="134">
        <v>45608</v>
      </c>
      <c r="C3344" s="70">
        <v>1025</v>
      </c>
      <c r="D3344" s="70" t="s">
        <v>5120</v>
      </c>
      <c r="E3344" s="280" t="s">
        <v>5647</v>
      </c>
      <c r="F3344" s="1049"/>
      <c r="G3344" s="1049">
        <v>5000</v>
      </c>
      <c r="H3344" s="564" t="s">
        <v>5648</v>
      </c>
      <c r="I3344" s="609"/>
      <c r="J3344" s="1155"/>
      <c r="K3344" s="609"/>
      <c r="L3344" s="609"/>
      <c r="M3344" s="609"/>
      <c r="N3344" s="599"/>
      <c r="O3344" s="552" t="s">
        <v>1584</v>
      </c>
      <c r="P3344" s="603"/>
      <c r="Q3344" s="682"/>
      <c r="R3344" s="682"/>
      <c r="S3344" s="682"/>
      <c r="T3344" s="682"/>
      <c r="U3344" s="682"/>
      <c r="V3344" s="682"/>
      <c r="W3344" s="682"/>
    </row>
    <row r="3345" spans="1:31">
      <c r="A3345" s="1045">
        <f t="shared" si="52"/>
        <v>11</v>
      </c>
      <c r="B3345" s="398">
        <v>45611</v>
      </c>
      <c r="C3345" s="70">
        <v>5150</v>
      </c>
      <c r="D3345" s="70" t="s">
        <v>82</v>
      </c>
      <c r="E3345" s="280" t="s">
        <v>5655</v>
      </c>
      <c r="F3345" s="1049">
        <v>21100</v>
      </c>
      <c r="G3345" s="1049"/>
      <c r="H3345" s="564" t="s">
        <v>5656</v>
      </c>
      <c r="I3345" s="609"/>
      <c r="J3345" s="1155"/>
      <c r="K3345" s="609">
        <v>225</v>
      </c>
      <c r="L3345" s="609"/>
      <c r="M3345" s="609"/>
      <c r="N3345" s="599">
        <v>1055</v>
      </c>
      <c r="O3345" s="552" t="s">
        <v>1584</v>
      </c>
      <c r="P3345" s="603"/>
      <c r="Q3345" s="682"/>
      <c r="R3345" s="682"/>
      <c r="S3345" s="682"/>
      <c r="T3345" s="682"/>
      <c r="U3345" s="682"/>
      <c r="V3345" s="682"/>
      <c r="W3345" s="682"/>
      <c r="AE3345" s="2" t="s">
        <v>5657</v>
      </c>
    </row>
    <row r="3346" spans="1:31">
      <c r="A3346" s="1045">
        <f t="shared" si="52"/>
        <v>11</v>
      </c>
      <c r="B3346" s="134">
        <v>45611</v>
      </c>
      <c r="C3346" s="70">
        <v>2018</v>
      </c>
      <c r="D3346" s="70" t="s">
        <v>58</v>
      </c>
      <c r="E3346" s="280" t="s">
        <v>5655</v>
      </c>
      <c r="F3346" s="1049">
        <v>1055</v>
      </c>
      <c r="G3346" s="1049"/>
      <c r="H3346" s="564" t="s">
        <v>5656</v>
      </c>
      <c r="I3346" s="609"/>
      <c r="J3346" s="1155"/>
      <c r="K3346" s="609"/>
      <c r="L3346" s="609"/>
      <c r="M3346" s="609"/>
      <c r="N3346" s="599"/>
      <c r="O3346" s="552" t="s">
        <v>1584</v>
      </c>
      <c r="P3346" s="603"/>
      <c r="Q3346" s="682"/>
      <c r="R3346" s="682"/>
      <c r="S3346" s="682"/>
      <c r="T3346" s="682"/>
      <c r="U3346" s="682"/>
      <c r="V3346" s="682"/>
      <c r="W3346" s="682"/>
    </row>
    <row r="3347" spans="1:31">
      <c r="A3347" s="1045">
        <f t="shared" si="52"/>
        <v>11</v>
      </c>
      <c r="B3347" s="134">
        <v>45611</v>
      </c>
      <c r="C3347" s="70">
        <v>2000</v>
      </c>
      <c r="D3347" s="70" t="s">
        <v>57</v>
      </c>
      <c r="E3347" s="280" t="s">
        <v>5655</v>
      </c>
      <c r="F3347" s="1049"/>
      <c r="G3347" s="1049">
        <v>22155</v>
      </c>
      <c r="H3347" s="564" t="s">
        <v>5656</v>
      </c>
      <c r="I3347" s="609"/>
      <c r="J3347" s="1155"/>
      <c r="K3347" s="609"/>
      <c r="L3347" s="609"/>
      <c r="M3347" s="609" t="s">
        <v>5518</v>
      </c>
      <c r="N3347" s="599"/>
      <c r="O3347" s="552" t="s">
        <v>1584</v>
      </c>
      <c r="P3347" s="603"/>
      <c r="Q3347" s="682"/>
      <c r="R3347" s="682"/>
      <c r="S3347" s="682"/>
      <c r="T3347" s="682"/>
      <c r="U3347" s="682"/>
      <c r="V3347" s="682"/>
      <c r="W3347" s="682"/>
      <c r="AE3347" s="2" t="s">
        <v>2960</v>
      </c>
    </row>
    <row r="3348" spans="1:31">
      <c r="A3348" s="1045">
        <f t="shared" si="52"/>
        <v>11</v>
      </c>
      <c r="B3348" s="134">
        <v>45597</v>
      </c>
      <c r="C3348" s="70">
        <v>6007</v>
      </c>
      <c r="D3348" s="70" t="s">
        <v>98</v>
      </c>
      <c r="E3348" s="280" t="s">
        <v>5659</v>
      </c>
      <c r="F3348" s="1049">
        <v>355.78</v>
      </c>
      <c r="G3348" s="1049"/>
      <c r="H3348" s="564" t="s">
        <v>5661</v>
      </c>
      <c r="I3348" s="609"/>
      <c r="J3348" s="1155"/>
      <c r="K3348" s="609"/>
      <c r="L3348" s="609"/>
      <c r="M3348" s="609"/>
      <c r="N3348" s="599"/>
      <c r="O3348" s="552" t="s">
        <v>1584</v>
      </c>
      <c r="P3348" s="603"/>
      <c r="Q3348" s="682"/>
      <c r="R3348" s="682"/>
      <c r="S3348" s="682"/>
      <c r="T3348" s="682"/>
      <c r="U3348" s="682"/>
      <c r="V3348" s="682"/>
      <c r="W3348" s="682"/>
    </row>
    <row r="3349" spans="1:31">
      <c r="A3349" s="1045">
        <f t="shared" ref="A3349:A3412" si="53">IF(B3349="","",MONTH(B3349))</f>
        <v>11</v>
      </c>
      <c r="B3349" s="134">
        <v>45597</v>
      </c>
      <c r="C3349" s="70">
        <v>2018</v>
      </c>
      <c r="D3349" s="70" t="s">
        <v>58</v>
      </c>
      <c r="E3349" s="280" t="s">
        <v>5659</v>
      </c>
      <c r="F3349" s="1049">
        <v>17</v>
      </c>
      <c r="G3349" s="1049"/>
      <c r="H3349" s="564" t="s">
        <v>5661</v>
      </c>
      <c r="I3349" s="609"/>
      <c r="J3349" s="1155"/>
      <c r="K3349" s="609"/>
      <c r="L3349" s="609"/>
      <c r="M3349" s="609"/>
      <c r="N3349" s="599"/>
      <c r="O3349" s="552" t="s">
        <v>1584</v>
      </c>
      <c r="P3349" s="603"/>
      <c r="Q3349" s="682"/>
      <c r="R3349" s="682"/>
      <c r="S3349" s="682"/>
      <c r="T3349" s="682"/>
      <c r="U3349" s="682"/>
      <c r="V3349" s="682"/>
      <c r="W3349" s="682"/>
    </row>
    <row r="3350" spans="1:31">
      <c r="A3350" s="1045">
        <f t="shared" si="53"/>
        <v>11</v>
      </c>
      <c r="B3350" s="134">
        <v>45597</v>
      </c>
      <c r="C3350" s="70">
        <v>1025</v>
      </c>
      <c r="D3350" s="70" t="s">
        <v>5120</v>
      </c>
      <c r="E3350" s="280" t="s">
        <v>5659</v>
      </c>
      <c r="F3350" s="1049"/>
      <c r="G3350" s="1049">
        <v>372.78</v>
      </c>
      <c r="H3350" s="564" t="s">
        <v>5661</v>
      </c>
      <c r="I3350" s="609"/>
      <c r="J3350" s="1155"/>
      <c r="K3350" s="609"/>
      <c r="L3350" s="609"/>
      <c r="M3350" s="609"/>
      <c r="N3350" s="599"/>
      <c r="O3350" s="552" t="s">
        <v>1584</v>
      </c>
      <c r="P3350" s="603"/>
      <c r="Q3350" s="682"/>
      <c r="R3350" s="682"/>
      <c r="S3350" s="682"/>
      <c r="T3350" s="682"/>
      <c r="U3350" s="682"/>
      <c r="V3350" s="682"/>
      <c r="W3350" s="682"/>
    </row>
    <row r="3351" spans="1:31">
      <c r="A3351" s="1045">
        <f t="shared" si="53"/>
        <v>11</v>
      </c>
      <c r="B3351" s="134">
        <v>45597</v>
      </c>
      <c r="C3351" s="70">
        <v>6009</v>
      </c>
      <c r="D3351" s="70" t="s">
        <v>100</v>
      </c>
      <c r="E3351" s="280" t="s">
        <v>5660</v>
      </c>
      <c r="F3351" s="1049">
        <v>249</v>
      </c>
      <c r="G3351" s="1049"/>
      <c r="H3351" s="564" t="s">
        <v>5662</v>
      </c>
      <c r="I3351" s="609"/>
      <c r="J3351" s="1155"/>
      <c r="K3351" s="609"/>
      <c r="L3351" s="609"/>
      <c r="M3351" s="609"/>
      <c r="N3351" s="599"/>
      <c r="O3351" s="552" t="s">
        <v>1584</v>
      </c>
      <c r="P3351" s="603"/>
      <c r="Q3351" s="682"/>
      <c r="R3351" s="682"/>
      <c r="S3351" s="682"/>
      <c r="T3351" s="682"/>
      <c r="U3351" s="682"/>
      <c r="V3351" s="682"/>
      <c r="W3351" s="682"/>
    </row>
    <row r="3352" spans="1:31">
      <c r="A3352" s="1045">
        <f t="shared" si="53"/>
        <v>11</v>
      </c>
      <c r="B3352" s="134">
        <v>45597</v>
      </c>
      <c r="C3352" s="70">
        <v>2018</v>
      </c>
      <c r="D3352" s="70" t="s">
        <v>58</v>
      </c>
      <c r="E3352" s="280" t="s">
        <v>5660</v>
      </c>
      <c r="F3352" s="1049">
        <v>12.47</v>
      </c>
      <c r="G3352" s="1049"/>
      <c r="H3352" s="564" t="s">
        <v>5662</v>
      </c>
      <c r="I3352" s="609"/>
      <c r="J3352" s="1155"/>
      <c r="K3352" s="609"/>
      <c r="L3352" s="609"/>
      <c r="M3352" s="609"/>
      <c r="N3352" s="599"/>
      <c r="O3352" s="552" t="s">
        <v>1584</v>
      </c>
      <c r="P3352" s="603"/>
      <c r="Q3352" s="682"/>
      <c r="R3352" s="682"/>
      <c r="S3352" s="682"/>
      <c r="T3352" s="682"/>
      <c r="U3352" s="682"/>
      <c r="V3352" s="682"/>
      <c r="W3352" s="682"/>
    </row>
    <row r="3353" spans="1:31">
      <c r="A3353" s="1045">
        <f t="shared" si="53"/>
        <v>11</v>
      </c>
      <c r="B3353" s="134">
        <v>45597</v>
      </c>
      <c r="C3353" s="70">
        <v>1025</v>
      </c>
      <c r="D3353" s="70" t="s">
        <v>5120</v>
      </c>
      <c r="E3353" s="280" t="s">
        <v>5660</v>
      </c>
      <c r="F3353" s="1049"/>
      <c r="G3353" s="1049">
        <v>261.77</v>
      </c>
      <c r="H3353" s="564" t="s">
        <v>5662</v>
      </c>
      <c r="I3353" s="609"/>
      <c r="J3353" s="1155"/>
      <c r="K3353" s="609"/>
      <c r="L3353" s="609"/>
      <c r="M3353" s="609"/>
      <c r="N3353" s="599"/>
      <c r="O3353" s="552" t="s">
        <v>1584</v>
      </c>
      <c r="P3353" s="603"/>
      <c r="Q3353" s="682"/>
      <c r="R3353" s="682"/>
      <c r="S3353" s="682"/>
      <c r="T3353" s="682"/>
      <c r="U3353" s="682"/>
      <c r="V3353" s="682"/>
      <c r="W3353" s="682"/>
    </row>
    <row r="3354" spans="1:31">
      <c r="A3354" s="1045">
        <f t="shared" si="53"/>
        <v>11</v>
      </c>
      <c r="B3354" s="398">
        <v>45614</v>
      </c>
      <c r="C3354" s="70">
        <v>1100</v>
      </c>
      <c r="D3354" s="70" t="s">
        <v>46</v>
      </c>
      <c r="E3354" s="280" t="s">
        <v>5667</v>
      </c>
      <c r="F3354" s="1049">
        <v>11629.8</v>
      </c>
      <c r="G3354" s="1049"/>
      <c r="H3354" s="564" t="s">
        <v>5668</v>
      </c>
      <c r="I3354" s="609"/>
      <c r="J3354" s="1155"/>
      <c r="K3354" s="609"/>
      <c r="L3354" s="609"/>
      <c r="M3354" s="609"/>
      <c r="N3354" s="599">
        <v>553.79999999999995</v>
      </c>
      <c r="O3354" s="552" t="s">
        <v>1584</v>
      </c>
      <c r="P3354" s="603"/>
      <c r="Q3354" s="682"/>
      <c r="R3354" s="682"/>
      <c r="S3354" s="682"/>
      <c r="T3354" s="682"/>
      <c r="U3354" s="682"/>
      <c r="V3354" s="682"/>
      <c r="W3354" s="682"/>
    </row>
    <row r="3355" spans="1:31">
      <c r="A3355" s="1045">
        <f t="shared" si="53"/>
        <v>11</v>
      </c>
      <c r="B3355" s="134">
        <v>45614</v>
      </c>
      <c r="C3355" s="70">
        <v>2018</v>
      </c>
      <c r="D3355" s="70" t="s">
        <v>58</v>
      </c>
      <c r="E3355" s="280" t="s">
        <v>5667</v>
      </c>
      <c r="F3355" s="1049"/>
      <c r="G3355" s="1049">
        <v>553.79999999999995</v>
      </c>
      <c r="H3355" s="564" t="s">
        <v>5668</v>
      </c>
      <c r="I3355" s="609"/>
      <c r="J3355" s="1155"/>
      <c r="K3355" s="609"/>
      <c r="L3355" s="609"/>
      <c r="M3355" s="609"/>
      <c r="N3355" s="599"/>
      <c r="O3355" s="552" t="s">
        <v>1584</v>
      </c>
      <c r="P3355" s="603"/>
      <c r="Q3355" s="682"/>
      <c r="R3355" s="682"/>
      <c r="S3355" s="682"/>
      <c r="T3355" s="682"/>
      <c r="U3355" s="682"/>
      <c r="V3355" s="682"/>
      <c r="W3355" s="682"/>
    </row>
    <row r="3356" spans="1:31">
      <c r="A3356" s="1045">
        <f t="shared" si="53"/>
        <v>11</v>
      </c>
      <c r="B3356" s="134">
        <v>45597</v>
      </c>
      <c r="C3356" s="70">
        <v>4000</v>
      </c>
      <c r="D3356" s="70" t="s">
        <v>74</v>
      </c>
      <c r="E3356" s="280" t="s">
        <v>5667</v>
      </c>
      <c r="F3356" s="1049"/>
      <c r="G3356" s="1049">
        <v>11076</v>
      </c>
      <c r="H3356" s="564" t="s">
        <v>5668</v>
      </c>
      <c r="I3356" s="609"/>
      <c r="J3356" s="1155"/>
      <c r="K3356" s="609"/>
      <c r="L3356" s="609"/>
      <c r="M3356" s="609"/>
      <c r="N3356" s="599"/>
      <c r="O3356" s="552" t="s">
        <v>1584</v>
      </c>
      <c r="P3356" s="603"/>
      <c r="Q3356" s="682"/>
      <c r="R3356" s="682"/>
      <c r="S3356" s="682"/>
      <c r="T3356" s="682"/>
      <c r="U3356" s="682"/>
      <c r="V3356" s="682"/>
      <c r="W3356" s="682"/>
    </row>
    <row r="3357" spans="1:31">
      <c r="A3357" s="1045">
        <f t="shared" si="53"/>
        <v>11</v>
      </c>
      <c r="B3357" s="134">
        <v>45614</v>
      </c>
      <c r="C3357" s="70">
        <v>1100</v>
      </c>
      <c r="D3357" s="70" t="s">
        <v>46</v>
      </c>
      <c r="E3357" s="280" t="s">
        <v>5669</v>
      </c>
      <c r="F3357" s="1049">
        <v>7087.5</v>
      </c>
      <c r="G3357" s="1049"/>
      <c r="H3357" s="564" t="s">
        <v>5673</v>
      </c>
      <c r="I3357" s="609"/>
      <c r="J3357" s="1155"/>
      <c r="K3357" s="609"/>
      <c r="L3357" s="609"/>
      <c r="M3357" s="609"/>
      <c r="N3357" s="599">
        <v>337.5</v>
      </c>
      <c r="O3357" s="552" t="s">
        <v>1584</v>
      </c>
      <c r="P3357" s="603"/>
      <c r="Q3357" s="682"/>
      <c r="R3357" s="682"/>
      <c r="S3357" s="682"/>
      <c r="T3357" s="682"/>
      <c r="U3357" s="682"/>
      <c r="V3357" s="682"/>
      <c r="W3357" s="682"/>
    </row>
    <row r="3358" spans="1:31">
      <c r="A3358" s="1045">
        <f t="shared" si="53"/>
        <v>11</v>
      </c>
      <c r="B3358" s="134">
        <v>45614</v>
      </c>
      <c r="C3358" s="70">
        <v>2018</v>
      </c>
      <c r="D3358" s="70" t="s">
        <v>58</v>
      </c>
      <c r="E3358" s="280" t="s">
        <v>5669</v>
      </c>
      <c r="F3358" s="1049"/>
      <c r="G3358" s="1049">
        <v>337.5</v>
      </c>
      <c r="H3358" s="564" t="s">
        <v>5673</v>
      </c>
      <c r="I3358" s="609"/>
      <c r="J3358" s="1155"/>
      <c r="K3358" s="609"/>
      <c r="L3358" s="609"/>
      <c r="M3358" s="609"/>
      <c r="N3358" s="599"/>
      <c r="O3358" s="552" t="s">
        <v>1584</v>
      </c>
      <c r="P3358" s="603"/>
      <c r="Q3358" s="682"/>
      <c r="R3358" s="682"/>
      <c r="S3358" s="682"/>
      <c r="T3358" s="682"/>
      <c r="U3358" s="682"/>
      <c r="V3358" s="682"/>
      <c r="W3358" s="682"/>
    </row>
    <row r="3359" spans="1:31">
      <c r="A3359" s="1045">
        <f t="shared" si="53"/>
        <v>11</v>
      </c>
      <c r="B3359" s="134">
        <v>45614</v>
      </c>
      <c r="C3359" s="70">
        <v>4000</v>
      </c>
      <c r="D3359" s="70" t="s">
        <v>74</v>
      </c>
      <c r="E3359" s="280" t="s">
        <v>5669</v>
      </c>
      <c r="F3359" s="1049"/>
      <c r="G3359" s="1049">
        <v>6750</v>
      </c>
      <c r="H3359" s="564" t="s">
        <v>5673</v>
      </c>
      <c r="I3359" s="609"/>
      <c r="J3359" s="1155"/>
      <c r="K3359" s="609"/>
      <c r="L3359" s="609"/>
      <c r="M3359" s="609"/>
      <c r="N3359" s="599"/>
      <c r="O3359" s="552" t="s">
        <v>1584</v>
      </c>
      <c r="P3359" s="603"/>
      <c r="Q3359" s="682"/>
      <c r="R3359" s="682"/>
      <c r="S3359" s="682"/>
      <c r="T3359" s="682"/>
      <c r="U3359" s="682"/>
      <c r="V3359" s="682"/>
      <c r="W3359" s="682"/>
    </row>
    <row r="3360" spans="1:31">
      <c r="A3360" s="1045">
        <f t="shared" si="53"/>
        <v>11</v>
      </c>
      <c r="B3360" s="134">
        <v>45614</v>
      </c>
      <c r="C3360" s="70">
        <v>1100</v>
      </c>
      <c r="D3360" s="70" t="s">
        <v>46</v>
      </c>
      <c r="E3360" s="280" t="s">
        <v>5670</v>
      </c>
      <c r="F3360" s="1049">
        <v>67200</v>
      </c>
      <c r="G3360" s="1049"/>
      <c r="H3360" s="564" t="s">
        <v>5674</v>
      </c>
      <c r="I3360" s="609"/>
      <c r="J3360" s="1155"/>
      <c r="K3360" s="609"/>
      <c r="L3360" s="609"/>
      <c r="M3360" s="609"/>
      <c r="N3360" s="599">
        <v>3200</v>
      </c>
      <c r="O3360" s="552" t="s">
        <v>1584</v>
      </c>
      <c r="P3360" s="603"/>
      <c r="Q3360" s="682"/>
      <c r="R3360" s="682"/>
      <c r="S3360" s="682"/>
      <c r="T3360" s="682"/>
      <c r="U3360" s="682"/>
      <c r="V3360" s="682"/>
      <c r="W3360" s="682"/>
    </row>
    <row r="3361" spans="1:31">
      <c r="A3361" s="1045">
        <f t="shared" si="53"/>
        <v>11</v>
      </c>
      <c r="B3361" s="134">
        <v>45614</v>
      </c>
      <c r="C3361" s="70">
        <v>2018</v>
      </c>
      <c r="D3361" s="70" t="s">
        <v>58</v>
      </c>
      <c r="E3361" s="280" t="s">
        <v>5670</v>
      </c>
      <c r="F3361" s="1049"/>
      <c r="G3361" s="1049">
        <v>3200</v>
      </c>
      <c r="H3361" s="564" t="s">
        <v>5674</v>
      </c>
      <c r="I3361" s="609"/>
      <c r="J3361" s="1155"/>
      <c r="K3361" s="609"/>
      <c r="L3361" s="609"/>
      <c r="M3361" s="609"/>
      <c r="N3361" s="599"/>
      <c r="O3361" s="552" t="s">
        <v>1584</v>
      </c>
      <c r="P3361" s="603"/>
      <c r="Q3361" s="682"/>
      <c r="R3361" s="682"/>
      <c r="S3361" s="682"/>
      <c r="T3361" s="682"/>
      <c r="U3361" s="682"/>
      <c r="V3361" s="682"/>
      <c r="W3361" s="682"/>
    </row>
    <row r="3362" spans="1:31">
      <c r="A3362" s="1045">
        <f t="shared" si="53"/>
        <v>11</v>
      </c>
      <c r="B3362" s="134">
        <v>45614</v>
      </c>
      <c r="C3362" s="70">
        <v>4000</v>
      </c>
      <c r="D3362" s="70" t="s">
        <v>74</v>
      </c>
      <c r="E3362" s="280" t="s">
        <v>5670</v>
      </c>
      <c r="F3362" s="1049"/>
      <c r="G3362" s="1049">
        <v>64000</v>
      </c>
      <c r="H3362" s="564" t="s">
        <v>5674</v>
      </c>
      <c r="I3362" s="609"/>
      <c r="J3362" s="1155"/>
      <c r="K3362" s="609"/>
      <c r="L3362" s="609"/>
      <c r="M3362" s="609"/>
      <c r="N3362" s="599"/>
      <c r="O3362" s="552" t="s">
        <v>1584</v>
      </c>
      <c r="P3362" s="603"/>
      <c r="Q3362" s="682"/>
      <c r="R3362" s="682"/>
      <c r="S3362" s="682"/>
      <c r="T3362" s="682"/>
      <c r="U3362" s="682"/>
      <c r="V3362" s="682"/>
      <c r="W3362" s="682"/>
    </row>
    <row r="3363" spans="1:31">
      <c r="A3363" s="1045">
        <f t="shared" si="53"/>
        <v>11</v>
      </c>
      <c r="B3363" s="134">
        <v>45614</v>
      </c>
      <c r="C3363" s="70">
        <v>1100</v>
      </c>
      <c r="D3363" s="70" t="s">
        <v>46</v>
      </c>
      <c r="E3363" s="280" t="s">
        <v>5671</v>
      </c>
      <c r="F3363" s="1049">
        <v>2100</v>
      </c>
      <c r="G3363" s="1049"/>
      <c r="H3363" s="564" t="s">
        <v>5675</v>
      </c>
      <c r="I3363" s="609"/>
      <c r="J3363" s="1155"/>
      <c r="K3363" s="609"/>
      <c r="L3363" s="609"/>
      <c r="M3363" s="609"/>
      <c r="N3363" s="599">
        <v>100</v>
      </c>
      <c r="O3363" s="552" t="s">
        <v>1584</v>
      </c>
      <c r="P3363" s="603"/>
      <c r="Q3363" s="682"/>
      <c r="R3363" s="682"/>
      <c r="S3363" s="682"/>
      <c r="T3363" s="682"/>
      <c r="U3363" s="682"/>
      <c r="V3363" s="682"/>
      <c r="W3363" s="682"/>
    </row>
    <row r="3364" spans="1:31">
      <c r="A3364" s="1045">
        <f t="shared" si="53"/>
        <v>11</v>
      </c>
      <c r="B3364" s="134">
        <v>45614</v>
      </c>
      <c r="C3364" s="70">
        <v>2018</v>
      </c>
      <c r="D3364" s="70" t="s">
        <v>58</v>
      </c>
      <c r="E3364" s="280" t="s">
        <v>5671</v>
      </c>
      <c r="F3364" s="1049"/>
      <c r="G3364" s="1049">
        <v>100</v>
      </c>
      <c r="H3364" s="564" t="s">
        <v>5675</v>
      </c>
      <c r="I3364" s="609"/>
      <c r="J3364" s="1155"/>
      <c r="K3364" s="609"/>
      <c r="L3364" s="609"/>
      <c r="M3364" s="609"/>
      <c r="N3364" s="599"/>
      <c r="O3364" s="552" t="s">
        <v>1584</v>
      </c>
      <c r="P3364" s="603"/>
      <c r="Q3364" s="682"/>
      <c r="R3364" s="682"/>
      <c r="S3364" s="682"/>
      <c r="T3364" s="682"/>
      <c r="U3364" s="682"/>
      <c r="V3364" s="682"/>
      <c r="W3364" s="682"/>
    </row>
    <row r="3365" spans="1:31">
      <c r="A3365" s="1045">
        <f t="shared" si="53"/>
        <v>11</v>
      </c>
      <c r="B3365" s="134">
        <v>45614</v>
      </c>
      <c r="C3365" s="70">
        <v>4000</v>
      </c>
      <c r="D3365" s="70" t="s">
        <v>74</v>
      </c>
      <c r="E3365" s="280" t="s">
        <v>5671</v>
      </c>
      <c r="F3365" s="1049"/>
      <c r="G3365" s="1049">
        <v>2000</v>
      </c>
      <c r="H3365" s="564" t="s">
        <v>5675</v>
      </c>
      <c r="I3365" s="609"/>
      <c r="J3365" s="1155"/>
      <c r="K3365" s="609"/>
      <c r="L3365" s="609"/>
      <c r="M3365" s="609"/>
      <c r="N3365" s="599"/>
      <c r="O3365" s="552" t="s">
        <v>1584</v>
      </c>
      <c r="P3365" s="603"/>
      <c r="Q3365" s="682"/>
      <c r="R3365" s="682"/>
      <c r="S3365" s="682"/>
      <c r="T3365" s="682"/>
      <c r="U3365" s="682"/>
      <c r="V3365" s="682"/>
      <c r="W3365" s="682"/>
    </row>
    <row r="3366" spans="1:31">
      <c r="A3366" s="1045">
        <f t="shared" si="53"/>
        <v>11</v>
      </c>
      <c r="B3366" s="134">
        <v>45614</v>
      </c>
      <c r="C3366" s="70">
        <v>1022</v>
      </c>
      <c r="D3366" s="70" t="s">
        <v>5119</v>
      </c>
      <c r="E3366" s="280" t="s">
        <v>5672</v>
      </c>
      <c r="F3366" s="1049">
        <v>2100</v>
      </c>
      <c r="G3366" s="1049"/>
      <c r="H3366" s="564" t="s">
        <v>5676</v>
      </c>
      <c r="I3366" s="609" t="s">
        <v>5359</v>
      </c>
      <c r="J3366" s="1155"/>
      <c r="K3366" s="609"/>
      <c r="L3366" s="609"/>
      <c r="M3366" s="609"/>
      <c r="N3366" s="599"/>
      <c r="O3366" s="552" t="s">
        <v>1584</v>
      </c>
      <c r="P3366" s="603"/>
      <c r="Q3366" s="682"/>
      <c r="R3366" s="682"/>
      <c r="S3366" s="682"/>
      <c r="T3366" s="682"/>
      <c r="U3366" s="682"/>
      <c r="V3366" s="682"/>
      <c r="W3366" s="682"/>
    </row>
    <row r="3367" spans="1:31">
      <c r="A3367" s="1045">
        <f t="shared" si="53"/>
        <v>11</v>
      </c>
      <c r="B3367" s="134">
        <v>45614</v>
      </c>
      <c r="C3367" s="70">
        <v>1100</v>
      </c>
      <c r="D3367" s="70" t="s">
        <v>46</v>
      </c>
      <c r="E3367" s="280" t="s">
        <v>5672</v>
      </c>
      <c r="F3367" s="1049"/>
      <c r="G3367" s="1049">
        <v>2100</v>
      </c>
      <c r="H3367" s="564" t="s">
        <v>5676</v>
      </c>
      <c r="I3367" s="609"/>
      <c r="J3367" s="1155"/>
      <c r="K3367" s="609">
        <v>242</v>
      </c>
      <c r="L3367" s="609">
        <v>134</v>
      </c>
      <c r="M3367" s="609"/>
      <c r="N3367" s="599">
        <v>100</v>
      </c>
      <c r="O3367" s="552" t="s">
        <v>1584</v>
      </c>
      <c r="P3367" s="603"/>
      <c r="Q3367" s="682"/>
      <c r="R3367" s="682"/>
      <c r="S3367" s="682"/>
      <c r="T3367" s="682"/>
      <c r="U3367" s="682"/>
      <c r="V3367" s="682"/>
      <c r="W3367" s="682"/>
      <c r="AE3367" s="2" t="s">
        <v>5686</v>
      </c>
    </row>
    <row r="3368" spans="1:31">
      <c r="A3368" s="1045">
        <f t="shared" si="53"/>
        <v>11</v>
      </c>
      <c r="B3368" s="134">
        <v>45614</v>
      </c>
      <c r="C3368" s="70">
        <v>1019</v>
      </c>
      <c r="D3368" s="70" t="str">
        <f>IFERROR(VLOOKUP(C3368,Mychart!$A$6:$B$123,2,FALSE),"")</f>
        <v>Checks For Collection</v>
      </c>
      <c r="E3368" s="280" t="s">
        <v>5677</v>
      </c>
      <c r="F3368" s="1049">
        <v>67200</v>
      </c>
      <c r="G3368" s="1049"/>
      <c r="H3368" s="564" t="s">
        <v>5678</v>
      </c>
      <c r="I3368" s="609">
        <v>4339</v>
      </c>
      <c r="J3368" s="1155">
        <v>45643</v>
      </c>
      <c r="K3368" s="609"/>
      <c r="L3368" s="609"/>
      <c r="M3368" s="609"/>
      <c r="N3368" s="599"/>
      <c r="O3368" s="552" t="s">
        <v>1584</v>
      </c>
      <c r="P3368" s="603"/>
      <c r="Q3368" s="682"/>
      <c r="R3368" s="682"/>
      <c r="S3368" s="682"/>
      <c r="T3368" s="682"/>
      <c r="U3368" s="682"/>
      <c r="V3368" s="682"/>
      <c r="W3368" s="682"/>
    </row>
    <row r="3369" spans="1:31">
      <c r="A3369" s="1045">
        <f t="shared" si="53"/>
        <v>11</v>
      </c>
      <c r="B3369" s="134">
        <v>45614</v>
      </c>
      <c r="C3369" s="70">
        <v>1100</v>
      </c>
      <c r="D3369" s="70" t="s">
        <v>46</v>
      </c>
      <c r="E3369" s="280" t="s">
        <v>5677</v>
      </c>
      <c r="F3369" s="1049"/>
      <c r="G3369" s="1049">
        <v>67200</v>
      </c>
      <c r="H3369" s="564" t="s">
        <v>5678</v>
      </c>
      <c r="I3369" s="609"/>
      <c r="J3369" s="1155"/>
      <c r="K3369" s="609">
        <v>247</v>
      </c>
      <c r="L3369" s="609">
        <v>76</v>
      </c>
      <c r="M3369" s="609"/>
      <c r="N3369" s="599">
        <v>3200</v>
      </c>
      <c r="O3369" s="552" t="s">
        <v>1584</v>
      </c>
      <c r="P3369" s="603"/>
      <c r="Q3369" s="682"/>
      <c r="R3369" s="682"/>
      <c r="S3369" s="682"/>
      <c r="T3369" s="682"/>
      <c r="U3369" s="682"/>
      <c r="V3369" s="682"/>
      <c r="W3369" s="682"/>
      <c r="AE3369" s="2" t="s">
        <v>5687</v>
      </c>
    </row>
    <row r="3370" spans="1:31">
      <c r="A3370" s="1045">
        <f t="shared" si="53"/>
        <v>11</v>
      </c>
      <c r="B3370" s="134">
        <v>45614</v>
      </c>
      <c r="C3370" s="70">
        <v>1019</v>
      </c>
      <c r="D3370" s="70" t="str">
        <f>IFERROR(VLOOKUP(C3370,Mychart!$A$6:$B$123,2,FALSE),"")</f>
        <v>Checks For Collection</v>
      </c>
      <c r="E3370" s="280" t="s">
        <v>5679</v>
      </c>
      <c r="F3370" s="1049">
        <v>18716</v>
      </c>
      <c r="G3370" s="1049"/>
      <c r="H3370" s="564" t="s">
        <v>5683</v>
      </c>
      <c r="I3370" s="609">
        <v>4340</v>
      </c>
      <c r="J3370" s="1155">
        <v>45654</v>
      </c>
      <c r="K3370" s="609"/>
      <c r="L3370" s="609"/>
      <c r="M3370" s="609"/>
      <c r="N3370" s="599"/>
      <c r="O3370" s="552" t="s">
        <v>1584</v>
      </c>
      <c r="P3370" s="603"/>
      <c r="Q3370" s="682"/>
      <c r="R3370" s="682"/>
      <c r="S3370" s="682"/>
      <c r="T3370" s="682"/>
      <c r="U3370" s="682"/>
      <c r="V3370" s="682"/>
      <c r="W3370" s="682"/>
    </row>
    <row r="3371" spans="1:31">
      <c r="A3371" s="1045">
        <f t="shared" si="53"/>
        <v>11</v>
      </c>
      <c r="B3371" s="134">
        <v>45614</v>
      </c>
      <c r="C3371" s="70">
        <v>1100</v>
      </c>
      <c r="D3371" s="70" t="s">
        <v>46</v>
      </c>
      <c r="E3371" s="280" t="s">
        <v>5681</v>
      </c>
      <c r="F3371" s="1049"/>
      <c r="G3371" s="1049">
        <v>7087.5</v>
      </c>
      <c r="H3371" s="564" t="s">
        <v>5683</v>
      </c>
      <c r="I3371" s="609"/>
      <c r="J3371" s="1155"/>
      <c r="K3371" s="609">
        <v>218</v>
      </c>
      <c r="L3371" s="609">
        <v>114</v>
      </c>
      <c r="M3371" s="609"/>
      <c r="N3371" s="599">
        <v>337.5</v>
      </c>
      <c r="O3371" s="552" t="s">
        <v>1584</v>
      </c>
      <c r="P3371" s="603"/>
      <c r="Q3371" s="682"/>
      <c r="R3371" s="682"/>
      <c r="S3371" s="682"/>
      <c r="T3371" s="682"/>
      <c r="U3371" s="682"/>
      <c r="V3371" s="682"/>
      <c r="W3371" s="682"/>
      <c r="AE3371" s="2" t="s">
        <v>5688</v>
      </c>
    </row>
    <row r="3372" spans="1:31">
      <c r="A3372" s="1045">
        <f t="shared" si="53"/>
        <v>11</v>
      </c>
      <c r="B3372" s="134">
        <v>45614</v>
      </c>
      <c r="C3372" s="70">
        <v>1100</v>
      </c>
      <c r="D3372" s="70" t="s">
        <v>46</v>
      </c>
      <c r="E3372" s="280" t="s">
        <v>5682</v>
      </c>
      <c r="F3372" s="1049"/>
      <c r="G3372" s="1049">
        <v>11629.8</v>
      </c>
      <c r="H3372" s="564" t="s">
        <v>5684</v>
      </c>
      <c r="I3372" s="609"/>
      <c r="J3372" s="1155"/>
      <c r="K3372" s="609">
        <v>243</v>
      </c>
      <c r="L3372" s="609">
        <v>112</v>
      </c>
      <c r="M3372" s="609"/>
      <c r="N3372" s="599">
        <v>553.79999999999995</v>
      </c>
      <c r="O3372" s="552" t="s">
        <v>1584</v>
      </c>
      <c r="P3372" s="603"/>
      <c r="Q3372" s="682"/>
      <c r="R3372" s="682"/>
      <c r="S3372" s="682"/>
      <c r="T3372" s="682"/>
      <c r="U3372" s="682"/>
      <c r="V3372" s="682"/>
      <c r="W3372" s="682"/>
      <c r="AE3372" s="2" t="s">
        <v>5689</v>
      </c>
    </row>
    <row r="3373" spans="1:31">
      <c r="A3373" s="1045">
        <f t="shared" si="53"/>
        <v>11</v>
      </c>
      <c r="B3373" s="134">
        <v>45614</v>
      </c>
      <c r="C3373" s="70">
        <v>1450</v>
      </c>
      <c r="D3373" s="70" t="s">
        <v>52</v>
      </c>
      <c r="E3373" s="280" t="s">
        <v>5685</v>
      </c>
      <c r="F3373" s="1049">
        <v>1</v>
      </c>
      <c r="G3373" s="1049"/>
      <c r="H3373" s="564"/>
      <c r="I3373" s="609">
        <v>328000</v>
      </c>
      <c r="J3373" s="1155"/>
      <c r="K3373" s="609"/>
      <c r="L3373" s="609"/>
      <c r="M3373" s="609"/>
      <c r="N3373" s="599"/>
      <c r="O3373" s="552" t="s">
        <v>1584</v>
      </c>
      <c r="P3373" s="603"/>
      <c r="Q3373" s="682"/>
      <c r="R3373" s="682"/>
      <c r="S3373" s="682"/>
      <c r="T3373" s="682"/>
      <c r="U3373" s="682"/>
      <c r="V3373" s="682"/>
      <c r="W3373" s="682"/>
    </row>
    <row r="3374" spans="1:31">
      <c r="A3374" s="1045">
        <f t="shared" si="53"/>
        <v>11</v>
      </c>
      <c r="B3374" s="134">
        <v>45614</v>
      </c>
      <c r="C3374" s="70">
        <v>1022</v>
      </c>
      <c r="D3374" s="70" t="s">
        <v>5119</v>
      </c>
      <c r="E3374" s="280" t="s">
        <v>5685</v>
      </c>
      <c r="F3374" s="1049"/>
      <c r="G3374" s="1049">
        <v>1</v>
      </c>
      <c r="H3374" s="564"/>
      <c r="I3374" s="609">
        <v>745</v>
      </c>
      <c r="J3374" s="1155"/>
      <c r="K3374" s="609"/>
      <c r="L3374" s="609"/>
      <c r="M3374" s="609"/>
      <c r="N3374" s="599"/>
      <c r="O3374" s="552" t="s">
        <v>1584</v>
      </c>
      <c r="P3374" s="603"/>
      <c r="Q3374" s="682"/>
      <c r="R3374" s="682"/>
      <c r="S3374" s="682"/>
      <c r="T3374" s="682"/>
      <c r="U3374" s="682"/>
      <c r="V3374" s="682"/>
      <c r="W3374" s="682"/>
    </row>
    <row r="3375" spans="1:31">
      <c r="A3375" s="1045">
        <f t="shared" si="53"/>
        <v>11</v>
      </c>
      <c r="B3375" s="398">
        <v>45615</v>
      </c>
      <c r="C3375" s="70">
        <v>1100</v>
      </c>
      <c r="D3375" s="70" t="s">
        <v>46</v>
      </c>
      <c r="E3375" s="280" t="s">
        <v>5698</v>
      </c>
      <c r="F3375" s="1049">
        <v>344400</v>
      </c>
      <c r="G3375" s="1049"/>
      <c r="H3375" s="564" t="s">
        <v>5702</v>
      </c>
      <c r="I3375" s="609"/>
      <c r="J3375" s="1155"/>
      <c r="K3375" s="609"/>
      <c r="L3375" s="609"/>
      <c r="M3375" s="609"/>
      <c r="N3375" s="599">
        <v>16400</v>
      </c>
      <c r="O3375" s="552" t="s">
        <v>1584</v>
      </c>
      <c r="P3375" s="603"/>
      <c r="Q3375" s="682"/>
      <c r="R3375" s="682"/>
      <c r="S3375" s="682"/>
      <c r="T3375" s="682"/>
      <c r="U3375" s="682"/>
      <c r="V3375" s="682"/>
      <c r="W3375" s="682"/>
    </row>
    <row r="3376" spans="1:31">
      <c r="A3376" s="1045">
        <f t="shared" si="53"/>
        <v>11</v>
      </c>
      <c r="B3376" s="134">
        <v>45615</v>
      </c>
      <c r="C3376" s="70">
        <v>2018</v>
      </c>
      <c r="D3376" s="70" t="s">
        <v>58</v>
      </c>
      <c r="E3376" s="280" t="s">
        <v>5698</v>
      </c>
      <c r="F3376" s="1049"/>
      <c r="G3376" s="1049">
        <v>16400</v>
      </c>
      <c r="H3376" s="564" t="s">
        <v>5702</v>
      </c>
      <c r="I3376" s="609"/>
      <c r="J3376" s="1155"/>
      <c r="K3376" s="609"/>
      <c r="L3376" s="609"/>
      <c r="M3376" s="609"/>
      <c r="N3376" s="599"/>
      <c r="O3376" s="552" t="s">
        <v>1584</v>
      </c>
      <c r="P3376" s="603"/>
      <c r="Q3376" s="682"/>
      <c r="R3376" s="682"/>
      <c r="S3376" s="682"/>
      <c r="T3376" s="682"/>
      <c r="U3376" s="682"/>
      <c r="V3376" s="682"/>
      <c r="W3376" s="682"/>
    </row>
    <row r="3377" spans="1:31">
      <c r="A3377" s="1045">
        <f t="shared" si="53"/>
        <v>11</v>
      </c>
      <c r="B3377" s="134">
        <v>45615</v>
      </c>
      <c r="C3377" s="70">
        <v>4000</v>
      </c>
      <c r="D3377" s="70" t="s">
        <v>74</v>
      </c>
      <c r="E3377" s="280" t="s">
        <v>5698</v>
      </c>
      <c r="F3377" s="1049"/>
      <c r="G3377" s="1049">
        <v>328000</v>
      </c>
      <c r="H3377" s="564" t="s">
        <v>5702</v>
      </c>
      <c r="I3377" s="609"/>
      <c r="J3377" s="1155"/>
      <c r="K3377" s="609"/>
      <c r="L3377" s="609"/>
      <c r="M3377" s="609"/>
      <c r="N3377" s="599"/>
      <c r="O3377" s="552" t="s">
        <v>1584</v>
      </c>
      <c r="P3377" s="603"/>
      <c r="Q3377" s="682"/>
      <c r="R3377" s="682"/>
      <c r="S3377" s="682"/>
      <c r="T3377" s="682"/>
      <c r="U3377" s="682"/>
      <c r="V3377" s="682"/>
      <c r="W3377" s="682"/>
    </row>
    <row r="3378" spans="1:31">
      <c r="A3378" s="1045">
        <f t="shared" si="53"/>
        <v>11</v>
      </c>
      <c r="B3378" s="134">
        <v>45615</v>
      </c>
      <c r="C3378" s="70">
        <v>1022</v>
      </c>
      <c r="D3378" s="70" t="s">
        <v>5119</v>
      </c>
      <c r="E3378" s="280" t="s">
        <v>5699</v>
      </c>
      <c r="F3378" s="1049">
        <v>328000</v>
      </c>
      <c r="G3378" s="1049"/>
      <c r="H3378" s="564" t="s">
        <v>5700</v>
      </c>
      <c r="I3378" s="609" t="s">
        <v>4852</v>
      </c>
      <c r="J3378" s="1155"/>
      <c r="K3378" s="609"/>
      <c r="L3378" s="609"/>
      <c r="M3378" s="609"/>
      <c r="N3378" s="599"/>
      <c r="O3378" s="552" t="s">
        <v>1584</v>
      </c>
      <c r="P3378" s="603"/>
      <c r="Q3378" s="682"/>
      <c r="R3378" s="682"/>
      <c r="S3378" s="682"/>
      <c r="T3378" s="682"/>
      <c r="U3378" s="682"/>
      <c r="V3378" s="682"/>
      <c r="W3378" s="682"/>
    </row>
    <row r="3379" spans="1:31">
      <c r="A3379" s="1045">
        <f t="shared" si="53"/>
        <v>11</v>
      </c>
      <c r="B3379" s="134">
        <v>45615</v>
      </c>
      <c r="C3379" s="70">
        <v>1100</v>
      </c>
      <c r="D3379" s="70" t="s">
        <v>46</v>
      </c>
      <c r="E3379" s="280" t="s">
        <v>5699</v>
      </c>
      <c r="F3379" s="1049"/>
      <c r="G3379" s="1049">
        <v>328000</v>
      </c>
      <c r="H3379" s="564" t="s">
        <v>5700</v>
      </c>
      <c r="I3379" s="609"/>
      <c r="J3379" s="1155"/>
      <c r="K3379" s="609">
        <v>293</v>
      </c>
      <c r="L3379" s="609">
        <v>137</v>
      </c>
      <c r="M3379" s="609"/>
      <c r="N3379" s="599"/>
      <c r="O3379" s="552" t="s">
        <v>1584</v>
      </c>
      <c r="P3379" s="603"/>
      <c r="Q3379" s="682"/>
      <c r="R3379" s="682"/>
      <c r="S3379" s="682"/>
      <c r="T3379" s="682"/>
      <c r="U3379" s="682"/>
      <c r="V3379" s="682"/>
      <c r="W3379" s="682"/>
      <c r="AE3379" s="2" t="s">
        <v>5706</v>
      </c>
    </row>
    <row r="3380" spans="1:31">
      <c r="A3380" s="1045">
        <f t="shared" si="53"/>
        <v>11</v>
      </c>
      <c r="B3380" s="134">
        <v>45615</v>
      </c>
      <c r="C3380" s="70">
        <v>1100</v>
      </c>
      <c r="D3380" s="70" t="s">
        <v>46</v>
      </c>
      <c r="E3380" s="280" t="s">
        <v>5701</v>
      </c>
      <c r="F3380" s="1049">
        <v>81900</v>
      </c>
      <c r="G3380" s="1049"/>
      <c r="H3380" s="564" t="s">
        <v>5703</v>
      </c>
      <c r="I3380" s="609"/>
      <c r="J3380" s="1155"/>
      <c r="K3380" s="609"/>
      <c r="L3380" s="609"/>
      <c r="M3380" s="609"/>
      <c r="N3380" s="599">
        <v>3900</v>
      </c>
      <c r="O3380" s="552" t="s">
        <v>1584</v>
      </c>
      <c r="P3380" s="603"/>
      <c r="Q3380" s="682"/>
      <c r="R3380" s="682"/>
      <c r="S3380" s="682"/>
      <c r="T3380" s="682"/>
      <c r="U3380" s="682"/>
      <c r="V3380" s="682"/>
      <c r="W3380" s="682"/>
    </row>
    <row r="3381" spans="1:31">
      <c r="A3381" s="1045">
        <f t="shared" si="53"/>
        <v>11</v>
      </c>
      <c r="B3381" s="134">
        <v>45615</v>
      </c>
      <c r="C3381" s="70">
        <v>2018</v>
      </c>
      <c r="D3381" s="70" t="s">
        <v>58</v>
      </c>
      <c r="E3381" s="280" t="s">
        <v>5701</v>
      </c>
      <c r="F3381" s="1049"/>
      <c r="G3381" s="1049">
        <v>3900</v>
      </c>
      <c r="H3381" s="564" t="s">
        <v>5703</v>
      </c>
      <c r="I3381" s="609"/>
      <c r="J3381" s="1155"/>
      <c r="K3381" s="609"/>
      <c r="L3381" s="609"/>
      <c r="M3381" s="609"/>
      <c r="N3381" s="599"/>
      <c r="O3381" s="552" t="s">
        <v>1584</v>
      </c>
      <c r="P3381" s="603"/>
      <c r="Q3381" s="682"/>
      <c r="R3381" s="682"/>
      <c r="S3381" s="682"/>
      <c r="T3381" s="682"/>
      <c r="U3381" s="682"/>
      <c r="V3381" s="682"/>
      <c r="W3381" s="682"/>
    </row>
    <row r="3382" spans="1:31">
      <c r="A3382" s="1045">
        <f t="shared" si="53"/>
        <v>11</v>
      </c>
      <c r="B3382" s="134">
        <v>45615</v>
      </c>
      <c r="C3382" s="70">
        <v>4000</v>
      </c>
      <c r="D3382" s="70" t="s">
        <v>74</v>
      </c>
      <c r="E3382" s="280" t="s">
        <v>5701</v>
      </c>
      <c r="F3382" s="1049"/>
      <c r="G3382" s="1049">
        <v>78000</v>
      </c>
      <c r="H3382" s="564" t="s">
        <v>5703</v>
      </c>
      <c r="I3382" s="609"/>
      <c r="J3382" s="1155"/>
      <c r="K3382" s="609"/>
      <c r="L3382" s="609"/>
      <c r="M3382" s="609"/>
      <c r="N3382" s="599"/>
      <c r="O3382" s="552" t="s">
        <v>1584</v>
      </c>
      <c r="P3382" s="603"/>
      <c r="Q3382" s="682"/>
      <c r="R3382" s="682"/>
      <c r="S3382" s="682"/>
      <c r="T3382" s="682"/>
      <c r="U3382" s="682"/>
      <c r="V3382" s="682"/>
      <c r="W3382" s="682"/>
    </row>
    <row r="3383" spans="1:31">
      <c r="A3383" s="1045">
        <f t="shared" si="53"/>
        <v>11</v>
      </c>
      <c r="B3383" s="134">
        <v>45615</v>
      </c>
      <c r="C3383" s="70">
        <v>1022</v>
      </c>
      <c r="D3383" s="70" t="s">
        <v>5119</v>
      </c>
      <c r="E3383" s="280" t="s">
        <v>5704</v>
      </c>
      <c r="F3383" s="1049">
        <v>81900</v>
      </c>
      <c r="G3383" s="1049"/>
      <c r="H3383" s="564" t="s">
        <v>5705</v>
      </c>
      <c r="I3383" s="609" t="s">
        <v>4852</v>
      </c>
      <c r="J3383" s="1155"/>
      <c r="K3383" s="609"/>
      <c r="L3383" s="609"/>
      <c r="M3383" s="609"/>
      <c r="N3383" s="599"/>
      <c r="O3383" s="552" t="s">
        <v>1584</v>
      </c>
      <c r="P3383" s="603"/>
      <c r="Q3383" s="682"/>
      <c r="R3383" s="682"/>
      <c r="S3383" s="682"/>
      <c r="T3383" s="682"/>
      <c r="U3383" s="682"/>
      <c r="V3383" s="682"/>
      <c r="W3383" s="682"/>
    </row>
    <row r="3384" spans="1:31">
      <c r="A3384" s="1045">
        <f t="shared" si="53"/>
        <v>11</v>
      </c>
      <c r="B3384" s="134">
        <v>45615</v>
      </c>
      <c r="C3384" s="70">
        <v>1100</v>
      </c>
      <c r="D3384" s="70" t="s">
        <v>46</v>
      </c>
      <c r="E3384" s="280" t="s">
        <v>5704</v>
      </c>
      <c r="F3384" s="1049"/>
      <c r="G3384" s="1049">
        <v>81900</v>
      </c>
      <c r="H3384" s="564" t="s">
        <v>5705</v>
      </c>
      <c r="I3384" s="609"/>
      <c r="J3384" s="1155"/>
      <c r="K3384" s="609">
        <v>264</v>
      </c>
      <c r="L3384" s="609">
        <v>132</v>
      </c>
      <c r="M3384" s="609"/>
      <c r="N3384" s="599">
        <v>3900</v>
      </c>
      <c r="O3384" s="552" t="s">
        <v>1584</v>
      </c>
      <c r="P3384" s="603"/>
      <c r="Q3384" s="682"/>
      <c r="R3384" s="682"/>
      <c r="S3384" s="682"/>
      <c r="T3384" s="682"/>
      <c r="U3384" s="682"/>
      <c r="V3384" s="682"/>
      <c r="W3384" s="682"/>
      <c r="AE3384" s="2" t="s">
        <v>5707</v>
      </c>
    </row>
    <row r="3385" spans="1:31">
      <c r="A3385" s="1045">
        <f t="shared" si="53"/>
        <v>11</v>
      </c>
      <c r="B3385" s="134">
        <v>45615</v>
      </c>
      <c r="C3385" s="70">
        <v>1100</v>
      </c>
      <c r="D3385" s="70" t="s">
        <v>46</v>
      </c>
      <c r="E3385" s="280" t="s">
        <v>5708</v>
      </c>
      <c r="F3385" s="1049">
        <v>23625</v>
      </c>
      <c r="G3385" s="1049"/>
      <c r="H3385" s="564" t="s">
        <v>5709</v>
      </c>
      <c r="I3385" s="609"/>
      <c r="J3385" s="1155"/>
      <c r="K3385" s="609"/>
      <c r="L3385" s="609"/>
      <c r="M3385" s="609"/>
      <c r="N3385" s="599">
        <v>1125</v>
      </c>
      <c r="O3385" s="552" t="s">
        <v>1584</v>
      </c>
      <c r="P3385" s="603"/>
      <c r="Q3385" s="682"/>
      <c r="R3385" s="682"/>
      <c r="S3385" s="682"/>
      <c r="T3385" s="682"/>
      <c r="U3385" s="682"/>
      <c r="V3385" s="682"/>
      <c r="W3385" s="682"/>
    </row>
    <row r="3386" spans="1:31">
      <c r="A3386" s="1045">
        <f t="shared" si="53"/>
        <v>11</v>
      </c>
      <c r="B3386" s="134">
        <v>45615</v>
      </c>
      <c r="C3386" s="70">
        <v>2018</v>
      </c>
      <c r="D3386" s="70" t="s">
        <v>58</v>
      </c>
      <c r="E3386" s="280" t="s">
        <v>5708</v>
      </c>
      <c r="F3386" s="1049"/>
      <c r="G3386" s="1049">
        <v>1125</v>
      </c>
      <c r="H3386" s="564" t="s">
        <v>5709</v>
      </c>
      <c r="I3386" s="609"/>
      <c r="J3386" s="1155"/>
      <c r="K3386" s="609"/>
      <c r="L3386" s="609"/>
      <c r="M3386" s="609"/>
      <c r="N3386" s="599"/>
      <c r="O3386" s="552" t="s">
        <v>1584</v>
      </c>
      <c r="P3386" s="603"/>
      <c r="Q3386" s="682"/>
      <c r="R3386" s="682"/>
      <c r="S3386" s="682"/>
      <c r="T3386" s="682"/>
      <c r="U3386" s="682"/>
      <c r="V3386" s="682"/>
      <c r="W3386" s="682"/>
    </row>
    <row r="3387" spans="1:31">
      <c r="A3387" s="1045">
        <f t="shared" si="53"/>
        <v>11</v>
      </c>
      <c r="B3387" s="134">
        <v>45615</v>
      </c>
      <c r="C3387" s="70">
        <v>4000</v>
      </c>
      <c r="D3387" s="70" t="s">
        <v>74</v>
      </c>
      <c r="E3387" s="280" t="s">
        <v>5708</v>
      </c>
      <c r="F3387" s="1049"/>
      <c r="G3387" s="1049">
        <v>22500</v>
      </c>
      <c r="H3387" s="564" t="s">
        <v>5709</v>
      </c>
      <c r="I3387" s="609"/>
      <c r="J3387" s="1155"/>
      <c r="K3387" s="609"/>
      <c r="L3387" s="609"/>
      <c r="M3387" s="609"/>
      <c r="N3387" s="599"/>
      <c r="O3387" s="552" t="s">
        <v>1584</v>
      </c>
      <c r="P3387" s="603"/>
      <c r="Q3387" s="682"/>
      <c r="R3387" s="682"/>
      <c r="S3387" s="682"/>
      <c r="T3387" s="682"/>
      <c r="U3387" s="682"/>
      <c r="V3387" s="682"/>
      <c r="W3387" s="682"/>
    </row>
    <row r="3388" spans="1:31">
      <c r="A3388" s="1045">
        <f t="shared" si="53"/>
        <v>11</v>
      </c>
      <c r="B3388" s="134">
        <v>45615</v>
      </c>
      <c r="C3388" s="70">
        <v>1025</v>
      </c>
      <c r="D3388" s="70" t="str">
        <f>IFERROR(VLOOKUP(C3388,Mychart!$A$6:$B$123,2,FALSE),"")</f>
        <v xml:space="preserve"> Eng-Mohamed - Custodu</v>
      </c>
      <c r="E3388" s="280" t="s">
        <v>5710</v>
      </c>
      <c r="F3388" s="1049">
        <v>23625</v>
      </c>
      <c r="G3388" s="1049"/>
      <c r="H3388" s="564" t="s">
        <v>5711</v>
      </c>
      <c r="I3388" s="609" t="s">
        <v>4826</v>
      </c>
      <c r="J3388" s="1155"/>
      <c r="K3388" s="609"/>
      <c r="L3388" s="609"/>
      <c r="M3388" s="609"/>
      <c r="N3388" s="599"/>
      <c r="O3388" s="552" t="s">
        <v>1584</v>
      </c>
      <c r="P3388" s="603"/>
      <c r="Q3388" s="682"/>
      <c r="R3388" s="682"/>
      <c r="S3388" s="682"/>
      <c r="T3388" s="682"/>
      <c r="U3388" s="682"/>
      <c r="V3388" s="682"/>
      <c r="W3388" s="682"/>
    </row>
    <row r="3389" spans="1:31">
      <c r="A3389" s="1045">
        <f t="shared" si="53"/>
        <v>11</v>
      </c>
      <c r="B3389" s="134">
        <v>45615</v>
      </c>
      <c r="C3389" s="70">
        <v>1100</v>
      </c>
      <c r="D3389" s="70" t="str">
        <f>IFERROR(VLOOKUP(C3389,Mychart!$A$6:$B$123,2,FALSE),"")</f>
        <v>Accounts Receivable</v>
      </c>
      <c r="E3389" s="280" t="s">
        <v>5710</v>
      </c>
      <c r="F3389" s="1049"/>
      <c r="G3389" s="1049">
        <v>23625</v>
      </c>
      <c r="H3389" s="564" t="s">
        <v>5711</v>
      </c>
      <c r="I3389" s="609"/>
      <c r="J3389" s="1155"/>
      <c r="K3389" s="609">
        <v>292</v>
      </c>
      <c r="L3389" s="609">
        <v>136</v>
      </c>
      <c r="M3389" s="609"/>
      <c r="N3389" s="599">
        <v>1125</v>
      </c>
      <c r="O3389" s="552" t="s">
        <v>1584</v>
      </c>
      <c r="P3389" s="603"/>
      <c r="Q3389" s="682"/>
      <c r="R3389" s="682"/>
      <c r="S3389" s="682"/>
      <c r="T3389" s="682"/>
      <c r="U3389" s="682"/>
      <c r="V3389" s="682"/>
      <c r="W3389" s="682"/>
      <c r="AE3389" s="2" t="s">
        <v>5713</v>
      </c>
    </row>
    <row r="3390" spans="1:31">
      <c r="A3390" s="1045">
        <f t="shared" si="53"/>
        <v>11</v>
      </c>
      <c r="B3390" s="134">
        <v>45615</v>
      </c>
      <c r="C3390" s="70">
        <v>6027</v>
      </c>
      <c r="D3390" s="70" t="str">
        <f>IFERROR(VLOOKUP(C3390,Mychart!$A$6:$B$123,2,FALSE),"")</f>
        <v>Commission Expenses</v>
      </c>
      <c r="E3390" s="280" t="s">
        <v>5712</v>
      </c>
      <c r="F3390" s="1049">
        <v>10500</v>
      </c>
      <c r="G3390" s="1049"/>
      <c r="H3390" s="564"/>
      <c r="I3390" s="609"/>
      <c r="J3390" s="1155"/>
      <c r="K3390" s="609">
        <v>292</v>
      </c>
      <c r="L3390" s="609"/>
      <c r="M3390" s="609"/>
      <c r="N3390" s="599"/>
      <c r="O3390" s="552" t="s">
        <v>1584</v>
      </c>
      <c r="P3390" s="603"/>
      <c r="Q3390" s="682"/>
      <c r="R3390" s="682"/>
      <c r="S3390" s="682"/>
      <c r="T3390" s="682"/>
      <c r="U3390" s="682"/>
      <c r="V3390" s="682"/>
      <c r="W3390" s="682"/>
      <c r="AE3390" s="2" t="s">
        <v>5714</v>
      </c>
    </row>
    <row r="3391" spans="1:31">
      <c r="A3391" s="1045">
        <f t="shared" si="53"/>
        <v>11</v>
      </c>
      <c r="B3391" s="134">
        <v>45615</v>
      </c>
      <c r="C3391" s="70">
        <v>1025</v>
      </c>
      <c r="D3391" s="70" t="str">
        <f>IFERROR(VLOOKUP(C3391,Mychart!$A$6:$B$123,2,FALSE),"")</f>
        <v xml:space="preserve"> Eng-Mohamed - Custodu</v>
      </c>
      <c r="E3391" s="280" t="s">
        <v>5712</v>
      </c>
      <c r="F3391" s="1049"/>
      <c r="G3391" s="1048">
        <v>10500</v>
      </c>
      <c r="H3391" s="564"/>
      <c r="I3391" s="609"/>
      <c r="J3391" s="1155"/>
      <c r="K3391" s="609"/>
      <c r="L3391" s="609"/>
      <c r="M3391" s="609"/>
      <c r="N3391" s="599"/>
      <c r="O3391" s="552" t="s">
        <v>1584</v>
      </c>
      <c r="P3391" s="603"/>
      <c r="Q3391" s="682"/>
      <c r="R3391" s="682"/>
      <c r="S3391" s="682"/>
      <c r="T3391" s="682"/>
      <c r="U3391" s="682"/>
      <c r="V3391" s="682"/>
      <c r="W3391" s="682"/>
    </row>
    <row r="3392" spans="1:31">
      <c r="A3392" s="1045">
        <f t="shared" si="53"/>
        <v>11</v>
      </c>
      <c r="B3392" s="134">
        <v>45615</v>
      </c>
      <c r="C3392" s="70">
        <v>2000</v>
      </c>
      <c r="D3392" s="70" t="str">
        <f>IFERROR(VLOOKUP(C3392,Mychart!$A$6:$B$123,2,FALSE),"")</f>
        <v>Accounts Payable</v>
      </c>
      <c r="E3392" s="280" t="s">
        <v>5716</v>
      </c>
      <c r="F3392" s="1049">
        <v>221130</v>
      </c>
      <c r="G3392" s="1049"/>
      <c r="H3392" s="564" t="s">
        <v>5715</v>
      </c>
      <c r="I3392" s="609"/>
      <c r="J3392" s="1155"/>
      <c r="K3392" s="609"/>
      <c r="L3392" s="609"/>
      <c r="M3392" s="609" t="s">
        <v>5605</v>
      </c>
      <c r="N3392" s="599"/>
      <c r="O3392" s="552" t="s">
        <v>1584</v>
      </c>
      <c r="P3392" s="603"/>
      <c r="Q3392" s="682"/>
      <c r="R3392" s="682"/>
      <c r="S3392" s="682"/>
      <c r="T3392" s="682"/>
      <c r="U3392" s="682"/>
      <c r="V3392" s="682"/>
      <c r="W3392" s="682"/>
      <c r="AE3392" s="2" t="s">
        <v>3045</v>
      </c>
    </row>
    <row r="3393" spans="1:31">
      <c r="A3393" s="1045">
        <f t="shared" si="53"/>
        <v>11</v>
      </c>
      <c r="B3393" s="134">
        <v>45615</v>
      </c>
      <c r="C3393" s="70">
        <v>1022</v>
      </c>
      <c r="D3393" s="70" t="str">
        <f>IFERROR(VLOOKUP(C3393,Mychart!$A$6:$B$123,2,FALSE),"")</f>
        <v>Bank -New NBD</v>
      </c>
      <c r="E3393" s="280" t="s">
        <v>5716</v>
      </c>
      <c r="F3393" s="1049"/>
      <c r="G3393" s="1049">
        <v>221130</v>
      </c>
      <c r="H3393" s="564" t="s">
        <v>5715</v>
      </c>
      <c r="I3393" s="609">
        <v>967</v>
      </c>
      <c r="J3393" s="1155">
        <v>45616</v>
      </c>
      <c r="K3393" s="609"/>
      <c r="L3393" s="609"/>
      <c r="M3393" s="609"/>
      <c r="N3393" s="599"/>
      <c r="O3393" s="552" t="s">
        <v>1584</v>
      </c>
      <c r="P3393" s="603"/>
      <c r="Q3393" s="682"/>
      <c r="R3393" s="682"/>
      <c r="S3393" s="682"/>
      <c r="T3393" s="682"/>
      <c r="U3393" s="682"/>
      <c r="V3393" s="682"/>
      <c r="W3393" s="682"/>
    </row>
    <row r="3394" spans="1:31">
      <c r="A3394" s="1045">
        <f t="shared" si="53"/>
        <v>11</v>
      </c>
      <c r="B3394" s="134">
        <v>45615</v>
      </c>
      <c r="C3394" s="70">
        <v>2000</v>
      </c>
      <c r="D3394" s="70" t="str">
        <f>IFERROR(VLOOKUP(C3394,Mychart!$A$6:$B$123,2,FALSE),"")</f>
        <v>Accounts Payable</v>
      </c>
      <c r="E3394" s="280" t="s">
        <v>5717</v>
      </c>
      <c r="F3394" s="1049">
        <v>35196</v>
      </c>
      <c r="G3394" s="1049"/>
      <c r="H3394" s="564" t="s">
        <v>5718</v>
      </c>
      <c r="I3394" s="609"/>
      <c r="J3394" s="1155"/>
      <c r="K3394" s="609"/>
      <c r="L3394" s="609"/>
      <c r="M3394" s="609" t="s">
        <v>5333</v>
      </c>
      <c r="N3394" s="599"/>
      <c r="O3394" s="552" t="s">
        <v>1584</v>
      </c>
      <c r="P3394" s="603"/>
      <c r="Q3394" s="682"/>
      <c r="R3394" s="682"/>
      <c r="S3394" s="682"/>
      <c r="T3394" s="682"/>
      <c r="U3394" s="682"/>
      <c r="V3394" s="682"/>
      <c r="W3394" s="682"/>
      <c r="AE3394" s="2" t="s">
        <v>3045</v>
      </c>
    </row>
    <row r="3395" spans="1:31">
      <c r="A3395" s="1045">
        <f t="shared" si="53"/>
        <v>11</v>
      </c>
      <c r="B3395" s="134">
        <v>45615</v>
      </c>
      <c r="C3395" s="70">
        <v>1022</v>
      </c>
      <c r="D3395" s="70" t="str">
        <f>IFERROR(VLOOKUP(C3395,Mychart!$A$6:$B$123,2,FALSE),"")</f>
        <v>Bank -New NBD</v>
      </c>
      <c r="E3395" s="280" t="s">
        <v>5717</v>
      </c>
      <c r="F3395" s="1049"/>
      <c r="G3395" s="1049">
        <v>35196</v>
      </c>
      <c r="H3395" s="564" t="s">
        <v>5718</v>
      </c>
      <c r="I3395" s="609">
        <v>971</v>
      </c>
      <c r="J3395" s="1155">
        <v>45616</v>
      </c>
      <c r="K3395" s="609"/>
      <c r="L3395" s="609"/>
      <c r="M3395" s="609"/>
      <c r="N3395" s="599"/>
      <c r="O3395" s="552" t="s">
        <v>1584</v>
      </c>
      <c r="P3395" s="603"/>
      <c r="Q3395" s="682"/>
      <c r="R3395" s="682"/>
      <c r="S3395" s="682"/>
      <c r="T3395" s="682"/>
      <c r="U3395" s="682"/>
      <c r="V3395" s="682"/>
      <c r="W3395" s="682"/>
    </row>
    <row r="3396" spans="1:31">
      <c r="A3396" s="1045">
        <f t="shared" si="53"/>
        <v>10</v>
      </c>
      <c r="B3396" s="398">
        <v>45572</v>
      </c>
      <c r="C3396" s="70">
        <v>5200</v>
      </c>
      <c r="D3396" s="70" t="str">
        <f>IFERROR(VLOOKUP(C3396,Mychart!$A$6:$B$123,2,FALSE),"")</f>
        <v>DUCT Costs</v>
      </c>
      <c r="E3396" s="280" t="s">
        <v>5735</v>
      </c>
      <c r="F3396" s="1049">
        <v>430.81</v>
      </c>
      <c r="G3396" s="1049"/>
      <c r="H3396" s="564" t="s">
        <v>5736</v>
      </c>
      <c r="I3396" s="609"/>
      <c r="J3396" s="1155"/>
      <c r="K3396" s="609">
        <v>256</v>
      </c>
      <c r="L3396" s="609"/>
      <c r="M3396" s="609"/>
      <c r="N3396" s="599">
        <v>21.5</v>
      </c>
      <c r="O3396" s="552" t="s">
        <v>1584</v>
      </c>
      <c r="P3396" s="603"/>
      <c r="Q3396" s="682"/>
      <c r="R3396" s="682"/>
      <c r="S3396" s="682"/>
      <c r="T3396" s="682"/>
      <c r="U3396" s="682"/>
      <c r="V3396" s="682"/>
      <c r="W3396" s="682"/>
      <c r="AE3396" s="2" t="s">
        <v>5737</v>
      </c>
    </row>
    <row r="3397" spans="1:31">
      <c r="A3397" s="1045">
        <f t="shared" si="53"/>
        <v>10</v>
      </c>
      <c r="B3397" s="134">
        <v>45572</v>
      </c>
      <c r="C3397" s="70">
        <v>2018</v>
      </c>
      <c r="D3397" s="70" t="str">
        <f>IFERROR(VLOOKUP(C3397,Mychart!$A$6:$B$123,2,FALSE),"")</f>
        <v>VALUE ADDED TAX - VAT</v>
      </c>
      <c r="E3397" s="280" t="s">
        <v>5735</v>
      </c>
      <c r="F3397" s="1049">
        <v>21.55</v>
      </c>
      <c r="G3397" s="1049"/>
      <c r="H3397" s="564" t="s">
        <v>5736</v>
      </c>
      <c r="I3397" s="609"/>
      <c r="J3397" s="1155"/>
      <c r="K3397" s="609"/>
      <c r="L3397" s="609"/>
      <c r="M3397" s="609"/>
      <c r="N3397" s="599"/>
      <c r="O3397" s="552" t="s">
        <v>1584</v>
      </c>
      <c r="P3397" s="603"/>
      <c r="Q3397" s="682"/>
      <c r="R3397" s="682"/>
      <c r="S3397" s="682"/>
      <c r="T3397" s="682"/>
      <c r="U3397" s="682"/>
      <c r="V3397" s="682"/>
      <c r="W3397" s="682"/>
    </row>
    <row r="3398" spans="1:31">
      <c r="A3398" s="1045">
        <f t="shared" si="53"/>
        <v>10</v>
      </c>
      <c r="B3398" s="134">
        <v>45572</v>
      </c>
      <c r="C3398" s="70">
        <v>2000</v>
      </c>
      <c r="D3398" s="70" t="str">
        <f>IFERROR(VLOOKUP(C3398,Mychart!$A$6:$B$123,2,FALSE),"")</f>
        <v>Accounts Payable</v>
      </c>
      <c r="E3398" s="280" t="s">
        <v>5735</v>
      </c>
      <c r="F3398" s="1049"/>
      <c r="G3398" s="1049">
        <v>452.36</v>
      </c>
      <c r="H3398" s="564" t="s">
        <v>5736</v>
      </c>
      <c r="I3398" s="609"/>
      <c r="J3398" s="1155"/>
      <c r="K3398" s="609"/>
      <c r="L3398" s="609"/>
      <c r="M3398" s="609" t="s">
        <v>2887</v>
      </c>
      <c r="N3398" s="599">
        <v>21.5</v>
      </c>
      <c r="O3398" s="552" t="s">
        <v>1584</v>
      </c>
      <c r="P3398" s="603"/>
      <c r="Q3398" s="682"/>
      <c r="R3398" s="682"/>
      <c r="S3398" s="682"/>
      <c r="T3398" s="682"/>
      <c r="U3398" s="682"/>
      <c r="V3398" s="682"/>
      <c r="W3398" s="682"/>
      <c r="AE3398" s="2" t="s">
        <v>5738</v>
      </c>
    </row>
    <row r="3399" spans="1:31">
      <c r="A3399" s="1045">
        <f t="shared" si="53"/>
        <v>10</v>
      </c>
      <c r="B3399" s="134">
        <v>45574</v>
      </c>
      <c r="C3399" s="70">
        <v>5200</v>
      </c>
      <c r="D3399" s="70" t="str">
        <f>IFERROR(VLOOKUP(C3399,Mychart!$A$6:$B$123,2,FALSE),"")</f>
        <v>DUCT Costs</v>
      </c>
      <c r="E3399" s="280" t="s">
        <v>5739</v>
      </c>
      <c r="F3399" s="1049">
        <v>170.22</v>
      </c>
      <c r="G3399" s="1049"/>
      <c r="H3399" s="564" t="s">
        <v>5740</v>
      </c>
      <c r="I3399" s="609"/>
      <c r="J3399" s="1155"/>
      <c r="K3399" s="609">
        <v>256</v>
      </c>
      <c r="L3399" s="609"/>
      <c r="M3399" s="609"/>
      <c r="N3399" s="599">
        <v>8.51</v>
      </c>
      <c r="O3399" s="552" t="s">
        <v>1584</v>
      </c>
      <c r="P3399" s="603"/>
      <c r="Q3399" s="682"/>
      <c r="R3399" s="682"/>
      <c r="S3399" s="682"/>
      <c r="T3399" s="682"/>
      <c r="U3399" s="682"/>
      <c r="V3399" s="682"/>
      <c r="W3399" s="682"/>
      <c r="AE3399" s="2" t="s">
        <v>5753</v>
      </c>
    </row>
    <row r="3400" spans="1:31">
      <c r="A3400" s="1045">
        <f t="shared" si="53"/>
        <v>10</v>
      </c>
      <c r="B3400" s="134">
        <v>45574</v>
      </c>
      <c r="C3400" s="70">
        <v>2018</v>
      </c>
      <c r="D3400" s="70" t="str">
        <f>IFERROR(VLOOKUP(C3400,Mychart!$A$6:$B$123,2,FALSE),"")</f>
        <v>VALUE ADDED TAX - VAT</v>
      </c>
      <c r="E3400" s="280" t="s">
        <v>5739</v>
      </c>
      <c r="F3400" s="1049">
        <v>8.51</v>
      </c>
      <c r="G3400" s="1049"/>
      <c r="H3400" s="564" t="s">
        <v>5740</v>
      </c>
      <c r="I3400" s="609"/>
      <c r="J3400" s="1155"/>
      <c r="K3400" s="609"/>
      <c r="L3400" s="609"/>
      <c r="M3400" s="609"/>
      <c r="N3400" s="599"/>
      <c r="O3400" s="552" t="s">
        <v>1584</v>
      </c>
      <c r="P3400" s="603"/>
      <c r="Q3400" s="682"/>
      <c r="R3400" s="682"/>
      <c r="S3400" s="682"/>
      <c r="T3400" s="682"/>
      <c r="U3400" s="682"/>
      <c r="V3400" s="682"/>
      <c r="W3400" s="682"/>
    </row>
    <row r="3401" spans="1:31">
      <c r="A3401" s="1045">
        <f t="shared" si="53"/>
        <v>10</v>
      </c>
      <c r="B3401" s="134">
        <v>45574</v>
      </c>
      <c r="C3401" s="70">
        <v>2000</v>
      </c>
      <c r="D3401" s="70" t="str">
        <f>IFERROR(VLOOKUP(C3401,Mychart!$A$6:$B$123,2,FALSE),"")</f>
        <v>Accounts Payable</v>
      </c>
      <c r="E3401" s="280" t="s">
        <v>5739</v>
      </c>
      <c r="F3401" s="1049"/>
      <c r="G3401" s="1049">
        <v>178.73</v>
      </c>
      <c r="H3401" s="564" t="s">
        <v>5740</v>
      </c>
      <c r="I3401" s="609"/>
      <c r="J3401" s="1155"/>
      <c r="K3401" s="609"/>
      <c r="L3401" s="609"/>
      <c r="M3401" s="609" t="s">
        <v>4810</v>
      </c>
      <c r="N3401" s="599">
        <v>8.51</v>
      </c>
      <c r="O3401" s="552" t="s">
        <v>1584</v>
      </c>
      <c r="P3401" s="603"/>
      <c r="Q3401" s="682"/>
      <c r="R3401" s="682"/>
      <c r="S3401" s="682"/>
      <c r="T3401" s="682"/>
      <c r="U3401" s="682"/>
      <c r="V3401" s="682"/>
      <c r="W3401" s="682"/>
      <c r="AE3401" s="2" t="s">
        <v>2960</v>
      </c>
    </row>
    <row r="3402" spans="1:31">
      <c r="A3402" s="1045">
        <f t="shared" si="53"/>
        <v>10</v>
      </c>
      <c r="B3402" s="134">
        <v>45574</v>
      </c>
      <c r="C3402" s="70">
        <v>5200</v>
      </c>
      <c r="D3402" s="70" t="str">
        <f>IFERROR(VLOOKUP(C3402,Mychart!$A$6:$B$123,2,FALSE),"")</f>
        <v>DUCT Costs</v>
      </c>
      <c r="E3402" s="280" t="s">
        <v>5742</v>
      </c>
      <c r="F3402" s="1049">
        <v>1946.64</v>
      </c>
      <c r="G3402" s="1049"/>
      <c r="H3402" s="564" t="s">
        <v>5741</v>
      </c>
      <c r="I3402" s="609"/>
      <c r="J3402" s="1155"/>
      <c r="K3402" s="609">
        <v>230</v>
      </c>
      <c r="L3402" s="609"/>
      <c r="M3402" s="609"/>
      <c r="N3402" s="599">
        <v>97.33</v>
      </c>
      <c r="O3402" s="552" t="s">
        <v>1584</v>
      </c>
      <c r="P3402" s="603"/>
      <c r="Q3402" s="682"/>
      <c r="R3402" s="682"/>
      <c r="S3402" s="682"/>
      <c r="T3402" s="682"/>
      <c r="U3402" s="682"/>
      <c r="V3402" s="682"/>
      <c r="W3402" s="682"/>
      <c r="AE3402" s="2" t="s">
        <v>5754</v>
      </c>
    </row>
    <row r="3403" spans="1:31">
      <c r="A3403" s="1045">
        <f t="shared" si="53"/>
        <v>10</v>
      </c>
      <c r="B3403" s="134">
        <v>45574</v>
      </c>
      <c r="C3403" s="70">
        <v>2018</v>
      </c>
      <c r="D3403" s="70" t="str">
        <f>IFERROR(VLOOKUP(C3403,Mychart!$A$6:$B$123,2,FALSE),"")</f>
        <v>VALUE ADDED TAX - VAT</v>
      </c>
      <c r="E3403" s="280" t="s">
        <v>5742</v>
      </c>
      <c r="F3403" s="1049">
        <v>97.33</v>
      </c>
      <c r="G3403" s="1049"/>
      <c r="H3403" s="564" t="s">
        <v>5741</v>
      </c>
      <c r="I3403" s="609"/>
      <c r="J3403" s="1155"/>
      <c r="K3403" s="609"/>
      <c r="L3403" s="609"/>
      <c r="M3403" s="609"/>
      <c r="N3403" s="599"/>
      <c r="O3403" s="552" t="s">
        <v>1584</v>
      </c>
      <c r="P3403" s="603"/>
      <c r="Q3403" s="682"/>
      <c r="R3403" s="682"/>
      <c r="S3403" s="682"/>
      <c r="T3403" s="682"/>
      <c r="U3403" s="682"/>
      <c r="V3403" s="682"/>
      <c r="W3403" s="682"/>
    </row>
    <row r="3404" spans="1:31">
      <c r="A3404" s="1045">
        <f t="shared" si="53"/>
        <v>10</v>
      </c>
      <c r="B3404" s="134">
        <v>45574</v>
      </c>
      <c r="C3404" s="70">
        <v>2000</v>
      </c>
      <c r="D3404" s="70" t="str">
        <f>IFERROR(VLOOKUP(C3404,Mychart!$A$6:$B$123,2,FALSE),"")</f>
        <v>Accounts Payable</v>
      </c>
      <c r="E3404" s="280" t="s">
        <v>5742</v>
      </c>
      <c r="F3404" s="1049"/>
      <c r="G3404" s="1049">
        <v>2044</v>
      </c>
      <c r="H3404" s="564" t="s">
        <v>5741</v>
      </c>
      <c r="I3404" s="609"/>
      <c r="J3404" s="1155"/>
      <c r="K3404" s="609"/>
      <c r="L3404" s="609"/>
      <c r="M3404" s="609" t="s">
        <v>3029</v>
      </c>
      <c r="N3404" s="599">
        <v>97.33</v>
      </c>
      <c r="O3404" s="552" t="s">
        <v>1584</v>
      </c>
      <c r="P3404" s="603"/>
      <c r="Q3404" s="682"/>
      <c r="R3404" s="682"/>
      <c r="S3404" s="682"/>
      <c r="T3404" s="682"/>
      <c r="U3404" s="682"/>
      <c r="V3404" s="682"/>
      <c r="W3404" s="682"/>
      <c r="AE3404" s="2" t="s">
        <v>2960</v>
      </c>
    </row>
    <row r="3405" spans="1:31">
      <c r="A3405" s="1045">
        <f t="shared" si="53"/>
        <v>10</v>
      </c>
      <c r="B3405" s="134">
        <v>45566</v>
      </c>
      <c r="C3405" s="70">
        <v>5200</v>
      </c>
      <c r="D3405" s="70" t="str">
        <f>IFERROR(VLOOKUP(C3405,Mychart!$A$6:$B$123,2,FALSE),"")</f>
        <v>DUCT Costs</v>
      </c>
      <c r="E3405" s="280" t="s">
        <v>5743</v>
      </c>
      <c r="F3405" s="1049">
        <v>1320.45</v>
      </c>
      <c r="G3405" s="1049"/>
      <c r="H3405" s="564" t="s">
        <v>5744</v>
      </c>
      <c r="I3405" s="609"/>
      <c r="J3405" s="1155"/>
      <c r="K3405" s="609">
        <v>275</v>
      </c>
      <c r="L3405" s="609"/>
      <c r="M3405" s="609"/>
      <c r="N3405" s="599">
        <v>66.02</v>
      </c>
      <c r="O3405" s="552" t="s">
        <v>1584</v>
      </c>
      <c r="P3405" s="603"/>
      <c r="Q3405" s="682"/>
      <c r="R3405" s="682"/>
      <c r="S3405" s="682"/>
      <c r="T3405" s="682"/>
      <c r="U3405" s="682"/>
      <c r="V3405" s="682"/>
      <c r="W3405" s="682"/>
      <c r="AE3405" s="2" t="s">
        <v>5755</v>
      </c>
    </row>
    <row r="3406" spans="1:31">
      <c r="A3406" s="1045">
        <f t="shared" si="53"/>
        <v>10</v>
      </c>
      <c r="B3406" s="134">
        <v>45566</v>
      </c>
      <c r="C3406" s="70">
        <v>2018</v>
      </c>
      <c r="D3406" s="70" t="str">
        <f>IFERROR(VLOOKUP(C3406,Mychart!$A$6:$B$123,2,FALSE),"")</f>
        <v>VALUE ADDED TAX - VAT</v>
      </c>
      <c r="E3406" s="280" t="s">
        <v>5743</v>
      </c>
      <c r="F3406" s="1049">
        <v>66.02</v>
      </c>
      <c r="G3406" s="1049"/>
      <c r="H3406" s="564" t="s">
        <v>5744</v>
      </c>
      <c r="I3406" s="609"/>
      <c r="J3406" s="1155"/>
      <c r="K3406" s="609"/>
      <c r="L3406" s="609"/>
      <c r="M3406" s="609"/>
      <c r="N3406" s="599"/>
      <c r="O3406" s="552" t="s">
        <v>1584</v>
      </c>
      <c r="P3406" s="603"/>
      <c r="Q3406" s="682"/>
      <c r="R3406" s="682"/>
      <c r="S3406" s="682"/>
      <c r="T3406" s="682"/>
      <c r="U3406" s="682"/>
      <c r="V3406" s="682"/>
      <c r="W3406" s="682"/>
    </row>
    <row r="3407" spans="1:31">
      <c r="A3407" s="1045">
        <f t="shared" si="53"/>
        <v>10</v>
      </c>
      <c r="B3407" s="134">
        <v>45566</v>
      </c>
      <c r="C3407" s="70">
        <v>2000</v>
      </c>
      <c r="D3407" s="70" t="str">
        <f>IFERROR(VLOOKUP(C3407,Mychart!$A$6:$B$123,2,FALSE),"")</f>
        <v>Accounts Payable</v>
      </c>
      <c r="E3407" s="280" t="s">
        <v>5743</v>
      </c>
      <c r="F3407" s="1049"/>
      <c r="G3407" s="1049">
        <v>1386.47</v>
      </c>
      <c r="H3407" s="564" t="s">
        <v>5744</v>
      </c>
      <c r="I3407" s="609"/>
      <c r="J3407" s="1155"/>
      <c r="K3407" s="609"/>
      <c r="L3407" s="609"/>
      <c r="M3407" s="609" t="s">
        <v>1900</v>
      </c>
      <c r="N3407" s="599">
        <v>66.02</v>
      </c>
      <c r="O3407" s="552" t="s">
        <v>1584</v>
      </c>
      <c r="P3407" s="603"/>
      <c r="Q3407" s="682"/>
      <c r="R3407" s="682"/>
      <c r="S3407" s="682"/>
      <c r="T3407" s="682"/>
      <c r="U3407" s="682"/>
      <c r="V3407" s="682"/>
      <c r="W3407" s="682"/>
      <c r="AE3407" s="2" t="s">
        <v>2960</v>
      </c>
    </row>
    <row r="3408" spans="1:31">
      <c r="A3408" s="1045">
        <f t="shared" si="53"/>
        <v>10</v>
      </c>
      <c r="B3408" s="134">
        <v>45582</v>
      </c>
      <c r="C3408" s="70">
        <v>5200</v>
      </c>
      <c r="D3408" s="70" t="str">
        <f>IFERROR(VLOOKUP(C3408,Mychart!$A$6:$B$123,2,FALSE),"")</f>
        <v>DUCT Costs</v>
      </c>
      <c r="E3408" s="280" t="s">
        <v>5745</v>
      </c>
      <c r="F3408" s="1049">
        <v>134.63999999999999</v>
      </c>
      <c r="G3408" s="1049"/>
      <c r="H3408" s="564" t="s">
        <v>5746</v>
      </c>
      <c r="I3408" s="609"/>
      <c r="J3408" s="1155"/>
      <c r="K3408" s="609">
        <v>256</v>
      </c>
      <c r="L3408" s="609"/>
      <c r="M3408" s="609"/>
      <c r="N3408" s="599">
        <v>6.73</v>
      </c>
      <c r="O3408" s="552" t="s">
        <v>1584</v>
      </c>
      <c r="P3408" s="603"/>
      <c r="Q3408" s="682"/>
      <c r="R3408" s="682"/>
      <c r="S3408" s="682"/>
      <c r="T3408" s="682"/>
      <c r="U3408" s="682"/>
      <c r="V3408" s="682"/>
      <c r="W3408" s="682"/>
      <c r="AE3408" s="2" t="s">
        <v>5756</v>
      </c>
    </row>
    <row r="3409" spans="1:31">
      <c r="A3409" s="1045">
        <f t="shared" si="53"/>
        <v>10</v>
      </c>
      <c r="B3409" s="134">
        <v>45582</v>
      </c>
      <c r="C3409" s="70">
        <v>2018</v>
      </c>
      <c r="D3409" s="70" t="str">
        <f>IFERROR(VLOOKUP(C3409,Mychart!$A$6:$B$123,2,FALSE),"")</f>
        <v>VALUE ADDED TAX - VAT</v>
      </c>
      <c r="E3409" s="280" t="s">
        <v>5745</v>
      </c>
      <c r="F3409" s="1049">
        <v>6.73</v>
      </c>
      <c r="G3409" s="1049"/>
      <c r="H3409" s="564" t="s">
        <v>5746</v>
      </c>
      <c r="I3409" s="609"/>
      <c r="J3409" s="1155"/>
      <c r="K3409" s="609"/>
      <c r="L3409" s="609"/>
      <c r="M3409" s="609"/>
      <c r="N3409" s="599"/>
      <c r="O3409" s="552" t="s">
        <v>1584</v>
      </c>
      <c r="P3409" s="603"/>
      <c r="Q3409" s="682"/>
      <c r="R3409" s="682"/>
      <c r="S3409" s="682"/>
      <c r="T3409" s="682"/>
      <c r="U3409" s="682"/>
      <c r="V3409" s="682"/>
      <c r="W3409" s="682"/>
    </row>
    <row r="3410" spans="1:31">
      <c r="A3410" s="1045">
        <f t="shared" si="53"/>
        <v>10</v>
      </c>
      <c r="B3410" s="134">
        <v>45582</v>
      </c>
      <c r="C3410" s="70">
        <v>2000</v>
      </c>
      <c r="D3410" s="70" t="str">
        <f>IFERROR(VLOOKUP(C3410,Mychart!$A$6:$B$123,2,FALSE),"")</f>
        <v>Accounts Payable</v>
      </c>
      <c r="E3410" s="280" t="s">
        <v>5745</v>
      </c>
      <c r="F3410" s="1049"/>
      <c r="G3410" s="1049">
        <v>141.37</v>
      </c>
      <c r="H3410" s="564" t="s">
        <v>5746</v>
      </c>
      <c r="I3410" s="609"/>
      <c r="J3410" s="1155"/>
      <c r="K3410" s="609"/>
      <c r="L3410" s="609"/>
      <c r="M3410" s="609" t="s">
        <v>4868</v>
      </c>
      <c r="N3410" s="599">
        <v>6.73</v>
      </c>
      <c r="O3410" s="552" t="s">
        <v>1584</v>
      </c>
      <c r="P3410" s="603"/>
      <c r="Q3410" s="682"/>
      <c r="R3410" s="682"/>
      <c r="S3410" s="682"/>
      <c r="T3410" s="682"/>
      <c r="U3410" s="682"/>
      <c r="V3410" s="682"/>
      <c r="W3410" s="682"/>
      <c r="AE3410" s="2" t="s">
        <v>2960</v>
      </c>
    </row>
    <row r="3411" spans="1:31">
      <c r="A3411" s="1045">
        <f t="shared" si="53"/>
        <v>10</v>
      </c>
      <c r="B3411" s="134">
        <v>45593</v>
      </c>
      <c r="C3411" s="70">
        <v>5200</v>
      </c>
      <c r="D3411" s="70" t="str">
        <f>IFERROR(VLOOKUP(C3411,Mychart!$A$6:$B$123,2,FALSE),"")</f>
        <v>DUCT Costs</v>
      </c>
      <c r="E3411" s="280" t="s">
        <v>5747</v>
      </c>
      <c r="F3411" s="1049">
        <v>1495.2</v>
      </c>
      <c r="G3411" s="1049"/>
      <c r="H3411" s="564" t="s">
        <v>5748</v>
      </c>
      <c r="I3411" s="609"/>
      <c r="J3411" s="1155"/>
      <c r="K3411" s="609">
        <v>247</v>
      </c>
      <c r="L3411" s="609"/>
      <c r="M3411" s="609"/>
      <c r="N3411" s="599">
        <v>74.760000000000005</v>
      </c>
      <c r="O3411" s="552" t="s">
        <v>1584</v>
      </c>
      <c r="P3411" s="603"/>
      <c r="Q3411" s="682"/>
      <c r="R3411" s="682"/>
      <c r="S3411" s="682"/>
      <c r="T3411" s="682"/>
      <c r="U3411" s="682"/>
      <c r="V3411" s="682"/>
      <c r="W3411" s="682"/>
      <c r="AE3411" s="2" t="s">
        <v>5757</v>
      </c>
    </row>
    <row r="3412" spans="1:31">
      <c r="A3412" s="1045">
        <f t="shared" si="53"/>
        <v>10</v>
      </c>
      <c r="B3412" s="134">
        <v>45593</v>
      </c>
      <c r="C3412" s="70">
        <v>2018</v>
      </c>
      <c r="D3412" s="70" t="str">
        <f>IFERROR(VLOOKUP(C3412,Mychart!$A$6:$B$123,2,FALSE),"")</f>
        <v>VALUE ADDED TAX - VAT</v>
      </c>
      <c r="E3412" s="280" t="s">
        <v>5747</v>
      </c>
      <c r="F3412" s="1049">
        <v>74.760000000000005</v>
      </c>
      <c r="G3412" s="1049"/>
      <c r="H3412" s="564" t="s">
        <v>5748</v>
      </c>
      <c r="I3412" s="609"/>
      <c r="J3412" s="1155"/>
      <c r="K3412" s="609"/>
      <c r="L3412" s="609"/>
      <c r="M3412" s="609"/>
      <c r="N3412" s="599"/>
      <c r="O3412" s="552" t="s">
        <v>1584</v>
      </c>
      <c r="P3412" s="603"/>
      <c r="Q3412" s="682"/>
      <c r="R3412" s="682"/>
      <c r="S3412" s="682"/>
      <c r="T3412" s="682"/>
      <c r="U3412" s="682"/>
      <c r="V3412" s="682"/>
      <c r="W3412" s="682"/>
    </row>
    <row r="3413" spans="1:31">
      <c r="A3413" s="1045">
        <f t="shared" ref="A3413:A3476" si="54">IF(B3413="","",MONTH(B3413))</f>
        <v>10</v>
      </c>
      <c r="B3413" s="134">
        <v>45593</v>
      </c>
      <c r="C3413" s="70">
        <v>2000</v>
      </c>
      <c r="D3413" s="70" t="str">
        <f>IFERROR(VLOOKUP(C3413,Mychart!$A$6:$B$123,2,FALSE),"")</f>
        <v>Accounts Payable</v>
      </c>
      <c r="E3413" s="280" t="s">
        <v>5747</v>
      </c>
      <c r="F3413" s="1049"/>
      <c r="G3413" s="1049">
        <v>1570</v>
      </c>
      <c r="H3413" s="564" t="s">
        <v>5748</v>
      </c>
      <c r="I3413" s="609"/>
      <c r="J3413" s="1155"/>
      <c r="K3413" s="609"/>
      <c r="L3413" s="609"/>
      <c r="M3413" s="609" t="s">
        <v>5093</v>
      </c>
      <c r="N3413" s="599">
        <v>74.760000000000005</v>
      </c>
      <c r="O3413" s="552" t="s">
        <v>1584</v>
      </c>
      <c r="P3413" s="603"/>
      <c r="Q3413" s="682"/>
      <c r="R3413" s="682"/>
      <c r="S3413" s="682"/>
      <c r="T3413" s="682"/>
      <c r="U3413" s="682"/>
      <c r="V3413" s="682"/>
      <c r="W3413" s="682"/>
      <c r="AE3413" s="2" t="s">
        <v>2960</v>
      </c>
    </row>
    <row r="3414" spans="1:31">
      <c r="A3414" s="1045">
        <f t="shared" si="54"/>
        <v>10</v>
      </c>
      <c r="B3414" s="134">
        <v>45595</v>
      </c>
      <c r="C3414" s="70">
        <v>5200</v>
      </c>
      <c r="D3414" s="70" t="str">
        <f>IFERROR(VLOOKUP(C3414,Mychart!$A$6:$B$123,2,FALSE),"")</f>
        <v>DUCT Costs</v>
      </c>
      <c r="E3414" s="280" t="s">
        <v>5749</v>
      </c>
      <c r="F3414" s="1049">
        <v>957.1</v>
      </c>
      <c r="G3414" s="1049"/>
      <c r="H3414" s="564" t="s">
        <v>5750</v>
      </c>
      <c r="I3414" s="609"/>
      <c r="J3414" s="1155"/>
      <c r="K3414" s="609">
        <v>264</v>
      </c>
      <c r="L3414" s="609"/>
      <c r="M3414" s="609"/>
      <c r="N3414" s="599">
        <v>47.86</v>
      </c>
      <c r="O3414" s="552" t="s">
        <v>1584</v>
      </c>
      <c r="P3414" s="603"/>
      <c r="Q3414" s="682"/>
      <c r="R3414" s="682"/>
      <c r="S3414" s="682"/>
      <c r="T3414" s="682"/>
      <c r="U3414" s="682"/>
      <c r="V3414" s="682"/>
      <c r="W3414" s="682"/>
      <c r="AE3414" s="2" t="s">
        <v>5758</v>
      </c>
    </row>
    <row r="3415" spans="1:31">
      <c r="A3415" s="1045">
        <f t="shared" si="54"/>
        <v>10</v>
      </c>
      <c r="B3415" s="134">
        <v>45595</v>
      </c>
      <c r="C3415" s="70">
        <v>2018</v>
      </c>
      <c r="D3415" s="70" t="str">
        <f>IFERROR(VLOOKUP(C3415,Mychart!$A$6:$B$123,2,FALSE),"")</f>
        <v>VALUE ADDED TAX - VAT</v>
      </c>
      <c r="E3415" s="280" t="s">
        <v>5749</v>
      </c>
      <c r="F3415" s="1049">
        <v>47.86</v>
      </c>
      <c r="G3415" s="1049"/>
      <c r="H3415" s="564" t="s">
        <v>5750</v>
      </c>
      <c r="I3415" s="609"/>
      <c r="J3415" s="1155"/>
      <c r="K3415" s="609"/>
      <c r="L3415" s="609"/>
      <c r="M3415" s="609"/>
      <c r="N3415" s="599"/>
      <c r="O3415" s="552" t="s">
        <v>1584</v>
      </c>
      <c r="P3415" s="603"/>
      <c r="Q3415" s="682"/>
      <c r="R3415" s="682"/>
      <c r="S3415" s="682"/>
      <c r="T3415" s="682"/>
      <c r="U3415" s="682"/>
      <c r="V3415" s="682"/>
      <c r="W3415" s="682"/>
    </row>
    <row r="3416" spans="1:31">
      <c r="A3416" s="1045">
        <f t="shared" si="54"/>
        <v>10</v>
      </c>
      <c r="B3416" s="134">
        <v>45595</v>
      </c>
      <c r="C3416" s="70">
        <v>2000</v>
      </c>
      <c r="D3416" s="70" t="str">
        <f>IFERROR(VLOOKUP(C3416,Mychart!$A$6:$B$123,2,FALSE),"")</f>
        <v>Accounts Payable</v>
      </c>
      <c r="E3416" s="280" t="s">
        <v>5749</v>
      </c>
      <c r="F3416" s="1049"/>
      <c r="G3416" s="1049">
        <v>1004.96</v>
      </c>
      <c r="H3416" s="564" t="s">
        <v>5750</v>
      </c>
      <c r="I3416" s="609"/>
      <c r="J3416" s="1155"/>
      <c r="K3416" s="609"/>
      <c r="L3416" s="609"/>
      <c r="M3416" s="609" t="s">
        <v>5398</v>
      </c>
      <c r="N3416" s="599">
        <v>47.86</v>
      </c>
      <c r="O3416" s="552" t="s">
        <v>1584</v>
      </c>
      <c r="P3416" s="603"/>
      <c r="Q3416" s="682"/>
      <c r="R3416" s="682"/>
      <c r="S3416" s="682"/>
      <c r="T3416" s="682"/>
      <c r="U3416" s="682"/>
      <c r="V3416" s="682"/>
      <c r="W3416" s="682"/>
      <c r="AE3416" s="2" t="s">
        <v>2960</v>
      </c>
    </row>
    <row r="3417" spans="1:31">
      <c r="A3417" s="1045">
        <f t="shared" si="54"/>
        <v>10</v>
      </c>
      <c r="B3417" s="134">
        <v>45570</v>
      </c>
      <c r="C3417" s="70">
        <v>5200</v>
      </c>
      <c r="D3417" s="70" t="str">
        <f>IFERROR(VLOOKUP(C3417,Mychart!$A$6:$B$123,2,FALSE),"")</f>
        <v>DUCT Costs</v>
      </c>
      <c r="E3417" s="280" t="s">
        <v>5751</v>
      </c>
      <c r="F3417" s="1049">
        <v>1107.9000000000001</v>
      </c>
      <c r="G3417" s="1049"/>
      <c r="H3417" s="564" t="s">
        <v>5752</v>
      </c>
      <c r="I3417" s="609"/>
      <c r="J3417" s="1155"/>
      <c r="K3417" s="609">
        <v>258</v>
      </c>
      <c r="L3417" s="609"/>
      <c r="M3417" s="609"/>
      <c r="N3417" s="599">
        <v>55.4</v>
      </c>
      <c r="O3417" s="552" t="s">
        <v>1584</v>
      </c>
      <c r="P3417" s="603"/>
      <c r="Q3417" s="682"/>
      <c r="R3417" s="682"/>
      <c r="S3417" s="682"/>
      <c r="T3417" s="682"/>
      <c r="U3417" s="682"/>
      <c r="V3417" s="682"/>
      <c r="W3417" s="682"/>
      <c r="AE3417" s="2" t="s">
        <v>5759</v>
      </c>
    </row>
    <row r="3418" spans="1:31">
      <c r="A3418" s="1045">
        <f t="shared" si="54"/>
        <v>10</v>
      </c>
      <c r="B3418" s="134">
        <v>45570</v>
      </c>
      <c r="C3418" s="70">
        <v>2018</v>
      </c>
      <c r="D3418" s="70" t="str">
        <f>IFERROR(VLOOKUP(C3418,Mychart!$A$6:$B$123,2,FALSE),"")</f>
        <v>VALUE ADDED TAX - VAT</v>
      </c>
      <c r="E3418" s="280" t="s">
        <v>5751</v>
      </c>
      <c r="F3418" s="1049">
        <v>55.4</v>
      </c>
      <c r="G3418" s="1049"/>
      <c r="H3418" s="564" t="s">
        <v>5752</v>
      </c>
      <c r="I3418" s="609"/>
      <c r="J3418" s="1155"/>
      <c r="K3418" s="609"/>
      <c r="L3418" s="609"/>
      <c r="M3418" s="609"/>
      <c r="N3418" s="599"/>
      <c r="O3418" s="552" t="s">
        <v>1584</v>
      </c>
      <c r="P3418" s="603"/>
      <c r="Q3418" s="682"/>
      <c r="R3418" s="682"/>
      <c r="S3418" s="682"/>
      <c r="T3418" s="682"/>
      <c r="U3418" s="682"/>
      <c r="V3418" s="682"/>
      <c r="W3418" s="682"/>
    </row>
    <row r="3419" spans="1:31">
      <c r="A3419" s="1045">
        <f t="shared" si="54"/>
        <v>10</v>
      </c>
      <c r="B3419" s="134">
        <v>45570</v>
      </c>
      <c r="C3419" s="70">
        <v>2000</v>
      </c>
      <c r="D3419" s="70" t="str">
        <f>IFERROR(VLOOKUP(C3419,Mychart!$A$6:$B$123,2,FALSE),"")</f>
        <v>Accounts Payable</v>
      </c>
      <c r="E3419" s="280" t="s">
        <v>5751</v>
      </c>
      <c r="F3419" s="1049"/>
      <c r="G3419" s="1049">
        <v>1163.3</v>
      </c>
      <c r="H3419" s="564" t="s">
        <v>5752</v>
      </c>
      <c r="I3419" s="609"/>
      <c r="J3419" s="1155"/>
      <c r="K3419" s="609"/>
      <c r="L3419" s="609"/>
      <c r="M3419" s="609" t="s">
        <v>1902</v>
      </c>
      <c r="N3419" s="599">
        <v>55.4</v>
      </c>
      <c r="O3419" s="552" t="s">
        <v>1584</v>
      </c>
      <c r="P3419" s="603"/>
      <c r="Q3419" s="682"/>
      <c r="R3419" s="682"/>
      <c r="S3419" s="682"/>
      <c r="T3419" s="682"/>
      <c r="U3419" s="682"/>
      <c r="V3419" s="682"/>
      <c r="W3419" s="682"/>
      <c r="AE3419" s="2" t="s">
        <v>2960</v>
      </c>
    </row>
    <row r="3420" spans="1:31">
      <c r="A3420" s="1045">
        <f t="shared" si="54"/>
        <v>11</v>
      </c>
      <c r="B3420" s="134">
        <v>45619</v>
      </c>
      <c r="C3420" s="70">
        <v>2000</v>
      </c>
      <c r="D3420" s="70" t="str">
        <f>IFERROR(VLOOKUP(C3420,Mychart!$A$6:$B$123,2,FALSE),"")</f>
        <v>Accounts Payable</v>
      </c>
      <c r="E3420" s="280" t="s">
        <v>5761</v>
      </c>
      <c r="F3420" s="1049">
        <v>452.36</v>
      </c>
      <c r="G3420" s="1049"/>
      <c r="H3420" s="564" t="s">
        <v>5760</v>
      </c>
      <c r="I3420" s="609"/>
      <c r="J3420" s="1155"/>
      <c r="K3420" s="609"/>
      <c r="L3420" s="609"/>
      <c r="M3420" s="609" t="s">
        <v>2887</v>
      </c>
      <c r="N3420" s="599"/>
      <c r="O3420" s="552" t="s">
        <v>1584</v>
      </c>
      <c r="P3420" s="603"/>
      <c r="Q3420" s="682"/>
      <c r="R3420" s="682"/>
      <c r="S3420" s="682"/>
      <c r="T3420" s="682"/>
      <c r="U3420" s="682"/>
      <c r="V3420" s="682"/>
      <c r="W3420" s="682"/>
      <c r="AE3420" s="2" t="s">
        <v>3045</v>
      </c>
    </row>
    <row r="3421" spans="1:31">
      <c r="A3421" s="1045">
        <f t="shared" si="54"/>
        <v>11</v>
      </c>
      <c r="B3421" s="134">
        <v>45619</v>
      </c>
      <c r="C3421" s="70">
        <v>2000</v>
      </c>
      <c r="D3421" s="70" t="str">
        <f>IFERROR(VLOOKUP(C3421,Mychart!$A$6:$B$123,2,FALSE),"")</f>
        <v>Accounts Payable</v>
      </c>
      <c r="E3421" s="280" t="s">
        <v>5762</v>
      </c>
      <c r="F3421" s="1049">
        <v>178.73</v>
      </c>
      <c r="G3421" s="1049"/>
      <c r="H3421" s="564" t="s">
        <v>5760</v>
      </c>
      <c r="I3421" s="609"/>
      <c r="J3421" s="1155"/>
      <c r="K3421" s="609"/>
      <c r="L3421" s="609"/>
      <c r="M3421" s="609" t="s">
        <v>4810</v>
      </c>
      <c r="N3421" s="599"/>
      <c r="O3421" s="552" t="s">
        <v>1584</v>
      </c>
      <c r="P3421" s="603"/>
      <c r="Q3421" s="682"/>
      <c r="R3421" s="682"/>
      <c r="S3421" s="682"/>
      <c r="T3421" s="682"/>
      <c r="U3421" s="682"/>
      <c r="V3421" s="682"/>
      <c r="W3421" s="682"/>
      <c r="AE3421" s="2" t="s">
        <v>3045</v>
      </c>
    </row>
    <row r="3422" spans="1:31">
      <c r="A3422" s="1045">
        <f t="shared" si="54"/>
        <v>11</v>
      </c>
      <c r="B3422" s="134">
        <v>45619</v>
      </c>
      <c r="C3422" s="70">
        <v>2000</v>
      </c>
      <c r="D3422" s="70" t="str">
        <f>IFERROR(VLOOKUP(C3422,Mychart!$A$6:$B$123,2,FALSE),"")</f>
        <v>Accounts Payable</v>
      </c>
      <c r="E3422" s="280" t="s">
        <v>5763</v>
      </c>
      <c r="F3422" s="1049">
        <v>2044</v>
      </c>
      <c r="G3422" s="1049"/>
      <c r="H3422" s="564" t="s">
        <v>5760</v>
      </c>
      <c r="I3422" s="609"/>
      <c r="J3422" s="1155"/>
      <c r="K3422" s="609"/>
      <c r="L3422" s="609"/>
      <c r="M3422" s="609" t="s">
        <v>3029</v>
      </c>
      <c r="N3422" s="599"/>
      <c r="O3422" s="552" t="s">
        <v>1584</v>
      </c>
      <c r="P3422" s="603"/>
      <c r="Q3422" s="682"/>
      <c r="R3422" s="682"/>
      <c r="S3422" s="682"/>
      <c r="T3422" s="682"/>
      <c r="U3422" s="682"/>
      <c r="V3422" s="682"/>
      <c r="W3422" s="682"/>
      <c r="AE3422" s="2" t="s">
        <v>3045</v>
      </c>
    </row>
    <row r="3423" spans="1:31">
      <c r="A3423" s="1045">
        <f t="shared" si="54"/>
        <v>11</v>
      </c>
      <c r="B3423" s="134">
        <v>45619</v>
      </c>
      <c r="C3423" s="70">
        <v>2000</v>
      </c>
      <c r="D3423" s="70" t="str">
        <f>IFERROR(VLOOKUP(C3423,Mychart!$A$6:$B$123,2,FALSE),"")</f>
        <v>Accounts Payable</v>
      </c>
      <c r="E3423" s="280" t="s">
        <v>5764</v>
      </c>
      <c r="F3423" s="1049">
        <v>1386.47</v>
      </c>
      <c r="G3423" s="1049"/>
      <c r="H3423" s="564" t="s">
        <v>5760</v>
      </c>
      <c r="I3423" s="609"/>
      <c r="J3423" s="1155"/>
      <c r="K3423" s="609"/>
      <c r="L3423" s="609"/>
      <c r="M3423" s="609" t="s">
        <v>1900</v>
      </c>
      <c r="N3423" s="599"/>
      <c r="O3423" s="552" t="s">
        <v>1584</v>
      </c>
      <c r="P3423" s="603"/>
      <c r="Q3423" s="682"/>
      <c r="R3423" s="682"/>
      <c r="S3423" s="682"/>
      <c r="T3423" s="682"/>
      <c r="U3423" s="682"/>
      <c r="V3423" s="682"/>
      <c r="W3423" s="682"/>
      <c r="AE3423" s="2" t="s">
        <v>3045</v>
      </c>
    </row>
    <row r="3424" spans="1:31">
      <c r="A3424" s="1045">
        <f t="shared" si="54"/>
        <v>11</v>
      </c>
      <c r="B3424" s="134">
        <v>45619</v>
      </c>
      <c r="C3424" s="70">
        <v>2000</v>
      </c>
      <c r="D3424" s="70" t="str">
        <f>IFERROR(VLOOKUP(C3424,Mychart!$A$6:$B$123,2,FALSE),"")</f>
        <v>Accounts Payable</v>
      </c>
      <c r="E3424" s="280" t="s">
        <v>5765</v>
      </c>
      <c r="F3424" s="1049">
        <v>141.37</v>
      </c>
      <c r="G3424" s="1049"/>
      <c r="H3424" s="564" t="s">
        <v>5760</v>
      </c>
      <c r="I3424" s="609"/>
      <c r="J3424" s="1155"/>
      <c r="K3424" s="609"/>
      <c r="L3424" s="609"/>
      <c r="M3424" s="609" t="s">
        <v>4868</v>
      </c>
      <c r="N3424" s="599"/>
      <c r="O3424" s="552" t="s">
        <v>1584</v>
      </c>
      <c r="P3424" s="603"/>
      <c r="Q3424" s="682"/>
      <c r="R3424" s="682"/>
      <c r="S3424" s="682"/>
      <c r="T3424" s="682"/>
      <c r="U3424" s="682"/>
      <c r="V3424" s="682"/>
      <c r="W3424" s="682"/>
      <c r="AE3424" s="2" t="s">
        <v>3045</v>
      </c>
    </row>
    <row r="3425" spans="1:31">
      <c r="A3425" s="1045">
        <f t="shared" si="54"/>
        <v>11</v>
      </c>
      <c r="B3425" s="134">
        <v>45619</v>
      </c>
      <c r="C3425" s="70">
        <v>2000</v>
      </c>
      <c r="D3425" s="70" t="str">
        <f>IFERROR(VLOOKUP(C3425,Mychart!$A$6:$B$123,2,FALSE),"")</f>
        <v>Accounts Payable</v>
      </c>
      <c r="E3425" s="280" t="s">
        <v>5766</v>
      </c>
      <c r="F3425" s="1049">
        <v>1570</v>
      </c>
      <c r="G3425" s="1049"/>
      <c r="H3425" s="564" t="s">
        <v>5760</v>
      </c>
      <c r="I3425" s="609"/>
      <c r="J3425" s="1155"/>
      <c r="K3425" s="609"/>
      <c r="L3425" s="609"/>
      <c r="M3425" s="609" t="s">
        <v>5093</v>
      </c>
      <c r="N3425" s="599"/>
      <c r="O3425" s="552" t="s">
        <v>1584</v>
      </c>
      <c r="P3425" s="603"/>
      <c r="Q3425" s="682"/>
      <c r="R3425" s="682"/>
      <c r="S3425" s="682"/>
      <c r="T3425" s="682"/>
      <c r="U3425" s="682"/>
      <c r="V3425" s="682"/>
      <c r="W3425" s="682"/>
      <c r="AE3425" s="2" t="s">
        <v>3045</v>
      </c>
    </row>
    <row r="3426" spans="1:31">
      <c r="A3426" s="1045">
        <f t="shared" si="54"/>
        <v>11</v>
      </c>
      <c r="B3426" s="134">
        <v>45619</v>
      </c>
      <c r="C3426" s="70">
        <v>2000</v>
      </c>
      <c r="D3426" s="70" t="str">
        <f>IFERROR(VLOOKUP(C3426,Mychart!$A$6:$B$123,2,FALSE),"")</f>
        <v>Accounts Payable</v>
      </c>
      <c r="E3426" s="280" t="s">
        <v>5767</v>
      </c>
      <c r="F3426" s="1049">
        <v>1004.96</v>
      </c>
      <c r="G3426" s="1049"/>
      <c r="H3426" s="564" t="s">
        <v>5760</v>
      </c>
      <c r="I3426" s="609"/>
      <c r="J3426" s="1155"/>
      <c r="K3426" s="609"/>
      <c r="L3426" s="609"/>
      <c r="M3426" s="609" t="s">
        <v>5398</v>
      </c>
      <c r="N3426" s="599"/>
      <c r="O3426" s="552" t="s">
        <v>1584</v>
      </c>
      <c r="P3426" s="603"/>
      <c r="Q3426" s="682"/>
      <c r="R3426" s="682"/>
      <c r="S3426" s="682"/>
      <c r="T3426" s="682"/>
      <c r="U3426" s="682"/>
      <c r="V3426" s="682"/>
      <c r="W3426" s="682"/>
      <c r="AE3426" s="2" t="s">
        <v>3045</v>
      </c>
    </row>
    <row r="3427" spans="1:31">
      <c r="A3427" s="1045">
        <f t="shared" si="54"/>
        <v>11</v>
      </c>
      <c r="B3427" s="134">
        <v>45619</v>
      </c>
      <c r="C3427" s="70">
        <v>2000</v>
      </c>
      <c r="D3427" s="70" t="str">
        <f>IFERROR(VLOOKUP(C3427,Mychart!$A$6:$B$123,2,FALSE),"")</f>
        <v>Accounts Payable</v>
      </c>
      <c r="E3427" s="280" t="s">
        <v>5768</v>
      </c>
      <c r="F3427" s="1049">
        <v>1163.3</v>
      </c>
      <c r="G3427" s="1049"/>
      <c r="H3427" s="564" t="s">
        <v>5760</v>
      </c>
      <c r="I3427" s="609"/>
      <c r="J3427" s="1155"/>
      <c r="K3427" s="609"/>
      <c r="L3427" s="609"/>
      <c r="M3427" s="609" t="s">
        <v>1902</v>
      </c>
      <c r="N3427" s="599"/>
      <c r="O3427" s="552" t="s">
        <v>1584</v>
      </c>
      <c r="P3427" s="603"/>
      <c r="Q3427" s="682"/>
      <c r="R3427" s="682"/>
      <c r="S3427" s="682"/>
      <c r="T3427" s="682"/>
      <c r="U3427" s="682"/>
      <c r="V3427" s="682"/>
      <c r="W3427" s="682"/>
      <c r="AE3427" s="2" t="s">
        <v>3045</v>
      </c>
    </row>
    <row r="3428" spans="1:31">
      <c r="A3428" s="1045">
        <f t="shared" si="54"/>
        <v>11</v>
      </c>
      <c r="B3428" s="134">
        <v>45619</v>
      </c>
      <c r="C3428" s="70">
        <v>2370</v>
      </c>
      <c r="D3428" s="70" t="str">
        <f>IFERROR(VLOOKUP(C3428,Mychart!$A$6:$B$123,2,FALSE),"")</f>
        <v>Cheecks Payable</v>
      </c>
      <c r="E3428" s="280" t="s">
        <v>5769</v>
      </c>
      <c r="F3428" s="1049"/>
      <c r="G3428" s="1049">
        <v>7941</v>
      </c>
      <c r="H3428" s="564" t="s">
        <v>5760</v>
      </c>
      <c r="I3428" s="609">
        <v>969</v>
      </c>
      <c r="J3428" s="1155">
        <v>45646</v>
      </c>
      <c r="K3428" s="609"/>
      <c r="L3428" s="609"/>
      <c r="M3428" s="609"/>
      <c r="N3428" s="599"/>
      <c r="O3428" s="552" t="s">
        <v>1584</v>
      </c>
      <c r="P3428" s="603"/>
      <c r="Q3428" s="682"/>
      <c r="R3428" s="682"/>
      <c r="S3428" s="682"/>
      <c r="T3428" s="682"/>
      <c r="U3428" s="682"/>
      <c r="V3428" s="682"/>
      <c r="W3428" s="682"/>
    </row>
    <row r="3429" spans="1:31">
      <c r="A3429" s="1045">
        <f t="shared" si="54"/>
        <v>10</v>
      </c>
      <c r="B3429" s="134">
        <v>45578</v>
      </c>
      <c r="C3429" s="70">
        <v>1019</v>
      </c>
      <c r="D3429" s="70" t="str">
        <f>IFERROR(VLOOKUP(C3429,Mychart!$A$6:$B$123,2,FALSE),"")</f>
        <v>Checks For Collection</v>
      </c>
      <c r="E3429" s="280" t="s">
        <v>5779</v>
      </c>
      <c r="F3429" s="1049">
        <v>1000</v>
      </c>
      <c r="G3429" s="1049"/>
      <c r="H3429" s="564" t="s">
        <v>5782</v>
      </c>
      <c r="I3429" s="609">
        <v>1</v>
      </c>
      <c r="J3429" s="1155">
        <v>45597</v>
      </c>
      <c r="K3429" s="609"/>
      <c r="L3429" s="609"/>
      <c r="M3429" s="609"/>
      <c r="N3429" s="599"/>
      <c r="O3429" s="552" t="s">
        <v>1584</v>
      </c>
      <c r="P3429" s="603"/>
      <c r="Q3429" s="682"/>
      <c r="R3429" s="682"/>
      <c r="S3429" s="682"/>
      <c r="T3429" s="682"/>
      <c r="U3429" s="682"/>
      <c r="V3429" s="682"/>
      <c r="W3429" s="682"/>
    </row>
    <row r="3430" spans="1:31">
      <c r="A3430" s="1045">
        <f t="shared" si="54"/>
        <v>10</v>
      </c>
      <c r="B3430" s="134">
        <v>45578</v>
      </c>
      <c r="C3430" s="70">
        <v>1019</v>
      </c>
      <c r="D3430" s="70" t="str">
        <f>IFERROR(VLOOKUP(C3430,Mychart!$A$6:$B$123,2,FALSE),"")</f>
        <v>Checks For Collection</v>
      </c>
      <c r="E3430" s="280" t="s">
        <v>5780</v>
      </c>
      <c r="F3430" s="1049">
        <v>1000</v>
      </c>
      <c r="G3430" s="1049"/>
      <c r="H3430" s="564" t="s">
        <v>5782</v>
      </c>
      <c r="I3430" s="609">
        <v>3</v>
      </c>
      <c r="J3430" s="1155">
        <v>45658</v>
      </c>
      <c r="K3430" s="609"/>
      <c r="L3430" s="609"/>
      <c r="M3430" s="609"/>
      <c r="N3430" s="599"/>
      <c r="O3430" s="552" t="s">
        <v>1584</v>
      </c>
      <c r="P3430" s="603"/>
      <c r="Q3430" s="682"/>
      <c r="R3430" s="682"/>
      <c r="S3430" s="682"/>
      <c r="T3430" s="682"/>
      <c r="U3430" s="682"/>
      <c r="V3430" s="682"/>
      <c r="W3430" s="682"/>
    </row>
    <row r="3431" spans="1:31">
      <c r="A3431" s="1045">
        <f t="shared" si="54"/>
        <v>10</v>
      </c>
      <c r="B3431" s="134">
        <v>45578</v>
      </c>
      <c r="C3431" s="70">
        <v>1019</v>
      </c>
      <c r="D3431" s="70" t="str">
        <f>IFERROR(VLOOKUP(C3431,Mychart!$A$6:$B$123,2,FALSE),"")</f>
        <v>Checks For Collection</v>
      </c>
      <c r="E3431" s="280" t="s">
        <v>5781</v>
      </c>
      <c r="F3431" s="1049">
        <v>1200</v>
      </c>
      <c r="G3431" s="1049"/>
      <c r="H3431" s="564" t="s">
        <v>5782</v>
      </c>
      <c r="I3431" s="609">
        <v>4</v>
      </c>
      <c r="J3431" s="1155">
        <v>45717</v>
      </c>
      <c r="K3431" s="609"/>
      <c r="L3431" s="609"/>
      <c r="M3431" s="609"/>
      <c r="N3431" s="599"/>
      <c r="O3431" s="552" t="s">
        <v>1584</v>
      </c>
      <c r="P3431" s="603"/>
      <c r="Q3431" s="682"/>
      <c r="R3431" s="682"/>
      <c r="S3431" s="682"/>
      <c r="T3431" s="682"/>
      <c r="U3431" s="682"/>
      <c r="V3431" s="682"/>
      <c r="W3431" s="682"/>
    </row>
    <row r="3432" spans="1:31">
      <c r="A3432" s="1045">
        <f t="shared" si="54"/>
        <v>10</v>
      </c>
      <c r="B3432" s="134">
        <v>45578</v>
      </c>
      <c r="C3432" s="70">
        <v>4200</v>
      </c>
      <c r="D3432" s="70" t="str">
        <f>IFERROR(VLOOKUP(C3432,Mychart!$A$6:$B$123,2,FALSE),"")</f>
        <v>Other Income</v>
      </c>
      <c r="E3432" s="280" t="s">
        <v>5783</v>
      </c>
      <c r="F3432" s="1049"/>
      <c r="G3432" s="1049">
        <v>3200</v>
      </c>
      <c r="H3432" s="564" t="s">
        <v>5782</v>
      </c>
      <c r="I3432" s="609"/>
      <c r="J3432" s="1155"/>
      <c r="K3432" s="609"/>
      <c r="L3432" s="609"/>
      <c r="M3432" s="609"/>
      <c r="N3432" s="599"/>
      <c r="O3432" s="552" t="s">
        <v>1584</v>
      </c>
      <c r="P3432" s="603"/>
      <c r="Q3432" s="682"/>
      <c r="R3432" s="682"/>
      <c r="S3432" s="682"/>
      <c r="T3432" s="682"/>
      <c r="U3432" s="682"/>
      <c r="V3432" s="682"/>
      <c r="W3432" s="682"/>
    </row>
    <row r="3433" spans="1:31">
      <c r="A3433" s="1045">
        <f t="shared" si="54"/>
        <v>11</v>
      </c>
      <c r="B3433" s="134">
        <v>45597</v>
      </c>
      <c r="C3433" s="70">
        <v>1022</v>
      </c>
      <c r="D3433" s="70" t="str">
        <f>IFERROR(VLOOKUP(C3433,Mychart!$A$6:$B$123,2,FALSE),"")</f>
        <v>Bank -New NBD</v>
      </c>
      <c r="E3433" s="280" t="s">
        <v>5784</v>
      </c>
      <c r="F3433" s="1049">
        <v>1000</v>
      </c>
      <c r="G3433" s="1049"/>
      <c r="H3433" s="564"/>
      <c r="I3433" s="609"/>
      <c r="J3433" s="1155"/>
      <c r="K3433" s="609"/>
      <c r="L3433" s="609"/>
      <c r="M3433" s="609"/>
      <c r="N3433" s="599"/>
      <c r="O3433" s="552" t="s">
        <v>1584</v>
      </c>
      <c r="P3433" s="603"/>
      <c r="Q3433" s="682"/>
      <c r="R3433" s="682"/>
      <c r="S3433" s="682"/>
      <c r="T3433" s="682"/>
      <c r="U3433" s="682"/>
      <c r="V3433" s="682"/>
      <c r="W3433" s="682"/>
    </row>
    <row r="3434" spans="1:31">
      <c r="A3434" s="1045">
        <f t="shared" si="54"/>
        <v>11</v>
      </c>
      <c r="B3434" s="134">
        <v>45597</v>
      </c>
      <c r="C3434" s="70">
        <v>1019</v>
      </c>
      <c r="D3434" s="70" t="str">
        <f>IFERROR(VLOOKUP(C3434,Mychart!$A$6:$B$123,2,FALSE),"")</f>
        <v>Checks For Collection</v>
      </c>
      <c r="E3434" s="280" t="s">
        <v>5784</v>
      </c>
      <c r="F3434" s="1049"/>
      <c r="G3434" s="1049">
        <v>1000</v>
      </c>
      <c r="H3434" s="564"/>
      <c r="I3434" s="609"/>
      <c r="J3434" s="1155"/>
      <c r="K3434" s="609"/>
      <c r="L3434" s="609"/>
      <c r="M3434" s="609"/>
      <c r="N3434" s="599"/>
      <c r="O3434" s="552" t="s">
        <v>1584</v>
      </c>
      <c r="P3434" s="603"/>
      <c r="Q3434" s="682"/>
      <c r="R3434" s="682"/>
      <c r="S3434" s="682"/>
      <c r="T3434" s="682"/>
      <c r="U3434" s="682"/>
      <c r="V3434" s="682"/>
      <c r="W3434" s="682"/>
    </row>
    <row r="3435" spans="1:31">
      <c r="A3435" s="1045">
        <f t="shared" si="54"/>
        <v>11</v>
      </c>
      <c r="B3435" s="134">
        <v>45618</v>
      </c>
      <c r="C3435" s="70">
        <v>6300</v>
      </c>
      <c r="D3435" s="70" t="str">
        <f>IFERROR(VLOOKUP(C3435,Mychart!$A$6:$B$123,2,FALSE),"")</f>
        <v>Rent Equipment Expense</v>
      </c>
      <c r="E3435" s="280" t="s">
        <v>5785</v>
      </c>
      <c r="F3435" s="1049">
        <v>4500</v>
      </c>
      <c r="G3435" s="1049"/>
      <c r="H3435" s="564" t="s">
        <v>5786</v>
      </c>
      <c r="I3435" s="609"/>
      <c r="J3435" s="1155"/>
      <c r="K3435" s="609">
        <v>293</v>
      </c>
      <c r="L3435" s="609"/>
      <c r="M3435" s="609"/>
      <c r="N3435" s="599">
        <v>225</v>
      </c>
      <c r="O3435" s="552" t="s">
        <v>1584</v>
      </c>
      <c r="P3435" s="603"/>
      <c r="Q3435" s="682"/>
      <c r="R3435" s="682"/>
      <c r="S3435" s="682"/>
      <c r="T3435" s="682"/>
      <c r="U3435" s="682"/>
      <c r="V3435" s="682"/>
      <c r="W3435" s="682"/>
      <c r="AE3435" s="2" t="s">
        <v>5787</v>
      </c>
    </row>
    <row r="3436" spans="1:31">
      <c r="A3436" s="1045">
        <f t="shared" si="54"/>
        <v>11</v>
      </c>
      <c r="B3436" s="134">
        <v>45618</v>
      </c>
      <c r="C3436" s="70">
        <v>2018</v>
      </c>
      <c r="D3436" s="70" t="str">
        <f>IFERROR(VLOOKUP(C3436,Mychart!$A$6:$B$123,2,FALSE),"")</f>
        <v>VALUE ADDED TAX - VAT</v>
      </c>
      <c r="E3436" s="280" t="s">
        <v>5785</v>
      </c>
      <c r="F3436" s="1049">
        <v>225</v>
      </c>
      <c r="G3436" s="1049"/>
      <c r="H3436" s="564" t="s">
        <v>5786</v>
      </c>
      <c r="I3436" s="609"/>
      <c r="J3436" s="1155"/>
      <c r="K3436" s="609"/>
      <c r="L3436" s="609"/>
      <c r="M3436" s="609"/>
      <c r="N3436" s="599"/>
      <c r="O3436" s="552" t="s">
        <v>1584</v>
      </c>
      <c r="P3436" s="603"/>
      <c r="Q3436" s="682"/>
      <c r="R3436" s="682"/>
      <c r="S3436" s="682"/>
      <c r="T3436" s="682"/>
      <c r="U3436" s="682"/>
      <c r="V3436" s="682"/>
      <c r="W3436" s="682"/>
    </row>
    <row r="3437" spans="1:31">
      <c r="A3437" s="1045">
        <f t="shared" si="54"/>
        <v>11</v>
      </c>
      <c r="B3437" s="134">
        <v>45618</v>
      </c>
      <c r="C3437" s="70">
        <v>2000</v>
      </c>
      <c r="D3437" s="70" t="str">
        <f>IFERROR(VLOOKUP(C3437,Mychart!$A$6:$B$123,2,FALSE),"")</f>
        <v>Accounts Payable</v>
      </c>
      <c r="E3437" s="280" t="s">
        <v>5785</v>
      </c>
      <c r="F3437" s="1049"/>
      <c r="G3437" s="1049">
        <v>4725</v>
      </c>
      <c r="H3437" s="564" t="s">
        <v>5786</v>
      </c>
      <c r="I3437" s="609"/>
      <c r="J3437" s="1155"/>
      <c r="K3437" s="609"/>
      <c r="L3437" s="609"/>
      <c r="M3437" s="609"/>
      <c r="N3437" s="599">
        <v>225</v>
      </c>
      <c r="O3437" s="552" t="s">
        <v>1584</v>
      </c>
      <c r="P3437" s="603"/>
      <c r="Q3437" s="682"/>
      <c r="R3437" s="682"/>
      <c r="S3437" s="682"/>
      <c r="T3437" s="682"/>
      <c r="U3437" s="682"/>
      <c r="V3437" s="682"/>
      <c r="W3437" s="682"/>
    </row>
    <row r="3438" spans="1:31">
      <c r="A3438" s="1045">
        <f t="shared" si="54"/>
        <v>11</v>
      </c>
      <c r="B3438" s="398">
        <v>45616</v>
      </c>
      <c r="C3438" s="70">
        <v>1017</v>
      </c>
      <c r="D3438" s="70" t="str">
        <f>IFERROR(VLOOKUP(C3438,Mychart!$A$6:$B$123,2,FALSE),"")</f>
        <v>Mr.Sijeesh Custody</v>
      </c>
      <c r="E3438" s="280" t="s">
        <v>5807</v>
      </c>
      <c r="F3438" s="1049">
        <v>10000</v>
      </c>
      <c r="G3438" s="1049"/>
      <c r="H3438" s="564"/>
      <c r="I3438" s="609"/>
      <c r="J3438" s="1155"/>
      <c r="K3438" s="609"/>
      <c r="L3438" s="609"/>
      <c r="M3438" s="609"/>
      <c r="N3438" s="599"/>
      <c r="O3438" s="552" t="s">
        <v>1584</v>
      </c>
      <c r="P3438" s="603"/>
      <c r="Q3438" s="682"/>
      <c r="R3438" s="682"/>
      <c r="S3438" s="682"/>
      <c r="T3438" s="682"/>
      <c r="U3438" s="682"/>
      <c r="V3438" s="682"/>
      <c r="W3438" s="682"/>
    </row>
    <row r="3439" spans="1:31">
      <c r="A3439" s="1045">
        <f t="shared" si="54"/>
        <v>11</v>
      </c>
      <c r="B3439" s="134">
        <v>45616</v>
      </c>
      <c r="C3439" s="70">
        <v>1025</v>
      </c>
      <c r="D3439" s="70" t="str">
        <f>IFERROR(VLOOKUP(C3439,Mychart!$A$6:$B$123,2,FALSE),"")</f>
        <v xml:space="preserve"> Eng-Mohamed - Custodu</v>
      </c>
      <c r="E3439" s="280" t="s">
        <v>5807</v>
      </c>
      <c r="F3439" s="1049"/>
      <c r="G3439" s="1049">
        <v>10000</v>
      </c>
      <c r="H3439" s="564"/>
      <c r="I3439" s="609"/>
      <c r="J3439" s="1155"/>
      <c r="K3439" s="609"/>
      <c r="L3439" s="609"/>
      <c r="M3439" s="609"/>
      <c r="N3439" s="599"/>
      <c r="O3439" s="552" t="s">
        <v>1584</v>
      </c>
      <c r="P3439" s="603"/>
      <c r="Q3439" s="682"/>
      <c r="R3439" s="682"/>
      <c r="S3439" s="682"/>
      <c r="T3439" s="682"/>
      <c r="U3439" s="682"/>
      <c r="V3439" s="682"/>
      <c r="W3439" s="682"/>
    </row>
    <row r="3440" spans="1:31">
      <c r="A3440" s="1045">
        <f t="shared" si="54"/>
        <v>11</v>
      </c>
      <c r="B3440" s="134">
        <v>45616</v>
      </c>
      <c r="C3440" s="70">
        <v>2000</v>
      </c>
      <c r="D3440" s="70" t="str">
        <f>IFERROR(VLOOKUP(C3440,Mychart!$A$6:$B$123,2,FALSE),"")</f>
        <v>Accounts Payable</v>
      </c>
      <c r="E3440" s="280" t="s">
        <v>5808</v>
      </c>
      <c r="F3440" s="1049">
        <v>6200</v>
      </c>
      <c r="G3440" s="1049"/>
      <c r="H3440" s="564" t="s">
        <v>5809</v>
      </c>
      <c r="I3440" s="609"/>
      <c r="J3440" s="1155"/>
      <c r="K3440" s="609"/>
      <c r="L3440" s="609"/>
      <c r="M3440" s="609" t="s">
        <v>5239</v>
      </c>
      <c r="N3440" s="599"/>
      <c r="O3440" s="552" t="s">
        <v>1584</v>
      </c>
      <c r="P3440" s="603"/>
      <c r="Q3440" s="682"/>
      <c r="R3440" s="682"/>
      <c r="S3440" s="682"/>
      <c r="T3440" s="682"/>
      <c r="U3440" s="682"/>
      <c r="V3440" s="682"/>
      <c r="W3440" s="682"/>
      <c r="AE3440" s="2" t="s">
        <v>3045</v>
      </c>
    </row>
    <row r="3441" spans="1:31">
      <c r="A3441" s="1045">
        <f t="shared" si="54"/>
        <v>11</v>
      </c>
      <c r="B3441" s="134">
        <v>45616</v>
      </c>
      <c r="C3441" s="70">
        <v>2370</v>
      </c>
      <c r="D3441" s="70" t="str">
        <f>IFERROR(VLOOKUP(C3441,Mychart!$A$6:$B$123,2,FALSE),"")</f>
        <v>Cheecks Payable</v>
      </c>
      <c r="E3441" s="280" t="s">
        <v>5808</v>
      </c>
      <c r="F3441" s="1049"/>
      <c r="G3441" s="1049">
        <v>6200</v>
      </c>
      <c r="H3441" s="564" t="s">
        <v>5809</v>
      </c>
      <c r="I3441" s="609">
        <v>968</v>
      </c>
      <c r="J3441" s="1155">
        <v>45646</v>
      </c>
      <c r="K3441" s="609"/>
      <c r="L3441" s="609"/>
      <c r="M3441" s="609"/>
      <c r="N3441" s="599"/>
      <c r="O3441" s="552" t="s">
        <v>1584</v>
      </c>
      <c r="P3441" s="603"/>
      <c r="Q3441" s="682"/>
      <c r="R3441" s="682"/>
      <c r="S3441" s="682"/>
      <c r="T3441" s="682"/>
      <c r="U3441" s="682"/>
      <c r="V3441" s="682"/>
      <c r="W3441" s="682"/>
    </row>
    <row r="3442" spans="1:31">
      <c r="A3442" s="1045">
        <f t="shared" si="54"/>
        <v>11</v>
      </c>
      <c r="B3442" s="134">
        <v>45623</v>
      </c>
      <c r="C3442" s="70">
        <v>2000</v>
      </c>
      <c r="D3442" s="70" t="str">
        <f>IFERROR(VLOOKUP(C3442,Mychart!$A$6:$B$123,2,FALSE),"")</f>
        <v>Accounts Payable</v>
      </c>
      <c r="E3442" s="280" t="s">
        <v>5811</v>
      </c>
      <c r="F3442" s="1049">
        <v>5530</v>
      </c>
      <c r="G3442" s="1049"/>
      <c r="H3442" s="564" t="s">
        <v>5815</v>
      </c>
      <c r="I3442" s="609"/>
      <c r="J3442" s="1155"/>
      <c r="K3442" s="609"/>
      <c r="L3442" s="609"/>
      <c r="M3442" s="609" t="s">
        <v>3014</v>
      </c>
      <c r="N3442" s="599"/>
      <c r="O3442" s="552" t="s">
        <v>1584</v>
      </c>
      <c r="P3442" s="603"/>
      <c r="Q3442" s="682"/>
      <c r="R3442" s="682"/>
      <c r="S3442" s="682"/>
      <c r="T3442" s="682"/>
      <c r="U3442" s="682"/>
      <c r="V3442" s="682"/>
      <c r="W3442" s="682"/>
      <c r="AE3442" s="2" t="s">
        <v>3045</v>
      </c>
    </row>
    <row r="3443" spans="1:31">
      <c r="A3443" s="1045">
        <f t="shared" si="54"/>
        <v>11</v>
      </c>
      <c r="B3443" s="134">
        <v>45623</v>
      </c>
      <c r="C3443" s="70">
        <v>2000</v>
      </c>
      <c r="D3443" s="70" t="str">
        <f>IFERROR(VLOOKUP(C3443,Mychart!$A$6:$B$123,2,FALSE),"")</f>
        <v>Accounts Payable</v>
      </c>
      <c r="E3443" s="280" t="s">
        <v>5812</v>
      </c>
      <c r="F3443" s="1049">
        <v>6761</v>
      </c>
      <c r="G3443" s="1049"/>
      <c r="H3443" s="564" t="s">
        <v>5815</v>
      </c>
      <c r="I3443" s="609"/>
      <c r="J3443" s="1155"/>
      <c r="K3443" s="609"/>
      <c r="L3443" s="609"/>
      <c r="M3443" s="609" t="s">
        <v>4943</v>
      </c>
      <c r="N3443" s="599"/>
      <c r="O3443" s="552" t="s">
        <v>1584</v>
      </c>
      <c r="P3443" s="603"/>
      <c r="Q3443" s="682"/>
      <c r="R3443" s="682"/>
      <c r="S3443" s="682"/>
      <c r="T3443" s="682"/>
      <c r="U3443" s="682"/>
      <c r="V3443" s="682"/>
      <c r="W3443" s="682"/>
      <c r="AE3443" s="2" t="s">
        <v>3045</v>
      </c>
    </row>
    <row r="3444" spans="1:31">
      <c r="A3444" s="1045">
        <f t="shared" si="54"/>
        <v>11</v>
      </c>
      <c r="B3444" s="134">
        <v>45623</v>
      </c>
      <c r="C3444" s="70">
        <v>2000</v>
      </c>
      <c r="D3444" s="70" t="str">
        <f>IFERROR(VLOOKUP(C3444,Mychart!$A$6:$B$123,2,FALSE),"")</f>
        <v>Accounts Payable</v>
      </c>
      <c r="E3444" s="280" t="s">
        <v>5813</v>
      </c>
      <c r="F3444" s="1049">
        <v>3882</v>
      </c>
      <c r="G3444" s="1049"/>
      <c r="H3444" s="564" t="s">
        <v>5815</v>
      </c>
      <c r="I3444" s="609"/>
      <c r="J3444" s="1155"/>
      <c r="K3444" s="609"/>
      <c r="L3444" s="609"/>
      <c r="M3444" s="609" t="s">
        <v>5264</v>
      </c>
      <c r="N3444" s="599"/>
      <c r="O3444" s="552" t="s">
        <v>1584</v>
      </c>
      <c r="P3444" s="603"/>
      <c r="Q3444" s="682"/>
      <c r="R3444" s="682"/>
      <c r="S3444" s="682"/>
      <c r="T3444" s="682"/>
      <c r="U3444" s="682"/>
      <c r="V3444" s="682"/>
      <c r="W3444" s="682"/>
      <c r="AE3444" s="2" t="s">
        <v>3045</v>
      </c>
    </row>
    <row r="3445" spans="1:31">
      <c r="A3445" s="1045">
        <f t="shared" si="54"/>
        <v>11</v>
      </c>
      <c r="B3445" s="134">
        <v>45623</v>
      </c>
      <c r="C3445" s="70">
        <v>2370</v>
      </c>
      <c r="D3445" s="70" t="str">
        <f>IFERROR(VLOOKUP(C3445,Mychart!$A$6:$B$123,2,FALSE),"")</f>
        <v>Cheecks Payable</v>
      </c>
      <c r="E3445" s="280" t="s">
        <v>5814</v>
      </c>
      <c r="F3445" s="1049"/>
      <c r="G3445" s="1049">
        <v>16172</v>
      </c>
      <c r="H3445" s="564" t="s">
        <v>5815</v>
      </c>
      <c r="I3445" s="609">
        <v>970</v>
      </c>
      <c r="J3445" s="1155">
        <v>45646</v>
      </c>
      <c r="K3445" s="609"/>
      <c r="L3445" s="609"/>
      <c r="M3445" s="609"/>
      <c r="N3445" s="599"/>
      <c r="O3445" s="552" t="s">
        <v>1584</v>
      </c>
      <c r="P3445" s="603"/>
      <c r="Q3445" s="682"/>
      <c r="R3445" s="682"/>
      <c r="S3445" s="682"/>
      <c r="T3445" s="682"/>
      <c r="U3445" s="682"/>
      <c r="V3445" s="682"/>
      <c r="W3445" s="682"/>
    </row>
    <row r="3446" spans="1:31">
      <c r="A3446" s="1045">
        <f t="shared" si="54"/>
        <v>8</v>
      </c>
      <c r="B3446" s="398">
        <v>45524</v>
      </c>
      <c r="C3446" s="70">
        <v>2370</v>
      </c>
      <c r="D3446" s="70" t="str">
        <f>IFERROR(VLOOKUP(C3446,Mychart!$A$6:$B$123,2,FALSE),"")</f>
        <v>Cheecks Payable</v>
      </c>
      <c r="E3446" s="280" t="s">
        <v>5825</v>
      </c>
      <c r="F3446" s="1049">
        <v>8167</v>
      </c>
      <c r="G3446" s="1049"/>
      <c r="H3446" s="564"/>
      <c r="I3446" s="609"/>
      <c r="J3446" s="1155"/>
      <c r="K3446" s="609"/>
      <c r="L3446" s="609"/>
      <c r="M3446" s="609"/>
      <c r="N3446" s="599"/>
      <c r="O3446" s="552" t="s">
        <v>1584</v>
      </c>
      <c r="P3446" s="603"/>
      <c r="Q3446" s="682"/>
      <c r="R3446" s="682"/>
      <c r="S3446" s="682"/>
      <c r="T3446" s="682"/>
      <c r="U3446" s="682"/>
      <c r="V3446" s="682"/>
      <c r="W3446" s="682"/>
    </row>
    <row r="3447" spans="1:31">
      <c r="A3447" s="1045">
        <f t="shared" si="54"/>
        <v>10</v>
      </c>
      <c r="B3447" s="398">
        <v>45585</v>
      </c>
      <c r="C3447" s="70">
        <v>2370</v>
      </c>
      <c r="D3447" s="70" t="str">
        <f>IFERROR(VLOOKUP(C3447,Mychart!$A$6:$B$123,2,FALSE),"")</f>
        <v>Cheecks Payable</v>
      </c>
      <c r="E3447" s="280" t="s">
        <v>5826</v>
      </c>
      <c r="F3447" s="1049">
        <v>8167</v>
      </c>
      <c r="G3447" s="1049"/>
      <c r="H3447" s="564"/>
      <c r="I3447" s="609"/>
      <c r="J3447" s="1155"/>
      <c r="K3447" s="609"/>
      <c r="L3447" s="609"/>
      <c r="M3447" s="609"/>
      <c r="N3447" s="599"/>
      <c r="O3447" s="552" t="s">
        <v>1584</v>
      </c>
      <c r="P3447" s="603"/>
      <c r="Q3447" s="682"/>
      <c r="R3447" s="682"/>
      <c r="S3447" s="682"/>
      <c r="T3447" s="682"/>
      <c r="U3447" s="682"/>
      <c r="V3447" s="682"/>
      <c r="W3447" s="682"/>
    </row>
    <row r="3448" spans="1:31">
      <c r="A3448" s="1045">
        <f t="shared" si="54"/>
        <v>10</v>
      </c>
      <c r="B3448" s="398">
        <v>45585</v>
      </c>
      <c r="C3448" s="70">
        <v>2370</v>
      </c>
      <c r="D3448" s="70" t="str">
        <f>IFERROR(VLOOKUP(C3448,Mychart!$A$6:$B$123,2,FALSE),"")</f>
        <v>Cheecks Payable</v>
      </c>
      <c r="E3448" s="280" t="s">
        <v>5831</v>
      </c>
      <c r="F3448" s="1049">
        <v>1575</v>
      </c>
      <c r="G3448" s="1049"/>
      <c r="H3448" s="564"/>
      <c r="I3448" s="609"/>
      <c r="J3448" s="1155"/>
      <c r="K3448" s="609"/>
      <c r="L3448" s="609"/>
      <c r="M3448" s="609"/>
      <c r="N3448" s="599"/>
      <c r="O3448" s="552" t="s">
        <v>1584</v>
      </c>
      <c r="P3448" s="603"/>
      <c r="Q3448" s="682"/>
      <c r="R3448" s="682"/>
      <c r="S3448" s="682"/>
      <c r="T3448" s="682"/>
      <c r="U3448" s="682"/>
      <c r="V3448" s="682"/>
      <c r="W3448" s="682"/>
    </row>
    <row r="3449" spans="1:31">
      <c r="A3449" s="1045">
        <f t="shared" si="54"/>
        <v>9</v>
      </c>
      <c r="B3449" s="398">
        <v>45555</v>
      </c>
      <c r="C3449" s="70">
        <v>2370</v>
      </c>
      <c r="D3449" s="70" t="str">
        <f>IFERROR(VLOOKUP(C3449,Mychart!$A$6:$B$123,2,FALSE),"")</f>
        <v>Cheecks Payable</v>
      </c>
      <c r="E3449" s="280" t="s">
        <v>5832</v>
      </c>
      <c r="F3449" s="1049">
        <v>1575</v>
      </c>
      <c r="G3449" s="1049"/>
      <c r="H3449" s="564"/>
      <c r="I3449" s="609"/>
      <c r="J3449" s="1155"/>
      <c r="K3449" s="609"/>
      <c r="L3449" s="609"/>
      <c r="M3449" s="609"/>
      <c r="N3449" s="599"/>
      <c r="O3449" s="552" t="s">
        <v>1584</v>
      </c>
      <c r="P3449" s="603"/>
      <c r="Q3449" s="682"/>
      <c r="R3449" s="682"/>
      <c r="S3449" s="682"/>
      <c r="T3449" s="682"/>
      <c r="U3449" s="682"/>
      <c r="V3449" s="682"/>
      <c r="W3449" s="682"/>
    </row>
    <row r="3450" spans="1:31">
      <c r="A3450" s="1045">
        <f t="shared" si="54"/>
        <v>10</v>
      </c>
      <c r="B3450" s="398">
        <v>45575</v>
      </c>
      <c r="C3450" s="70">
        <v>2370</v>
      </c>
      <c r="D3450" s="70" t="str">
        <f>IFERROR(VLOOKUP(C3450,Mychart!$A$6:$B$123,2,FALSE),"")</f>
        <v>Cheecks Payable</v>
      </c>
      <c r="E3450" s="280" t="s">
        <v>5824</v>
      </c>
      <c r="F3450" s="1049">
        <v>26480</v>
      </c>
      <c r="G3450" s="1049"/>
      <c r="H3450" s="564"/>
      <c r="I3450" s="609"/>
      <c r="J3450" s="1155"/>
      <c r="K3450" s="609"/>
      <c r="L3450" s="609"/>
      <c r="M3450" s="609"/>
      <c r="N3450" s="599"/>
      <c r="O3450" s="552" t="s">
        <v>1584</v>
      </c>
      <c r="P3450" s="603"/>
      <c r="Q3450" s="682"/>
      <c r="R3450" s="682"/>
      <c r="S3450" s="682"/>
      <c r="T3450" s="682"/>
      <c r="U3450" s="682"/>
      <c r="V3450" s="682"/>
      <c r="W3450" s="682"/>
    </row>
    <row r="3451" spans="1:31">
      <c r="A3451" s="1045">
        <f t="shared" si="54"/>
        <v>11</v>
      </c>
      <c r="B3451" s="398">
        <v>45621</v>
      </c>
      <c r="C3451" s="70">
        <v>2370</v>
      </c>
      <c r="D3451" s="70" t="str">
        <f>IFERROR(VLOOKUP(C3451,Mychart!$A$6:$B$123,2,FALSE),"")</f>
        <v>Cheecks Payable</v>
      </c>
      <c r="E3451" s="280" t="s">
        <v>5627</v>
      </c>
      <c r="F3451" s="1049">
        <v>8000</v>
      </c>
      <c r="G3451" s="1049"/>
      <c r="H3451" s="564"/>
      <c r="I3451" s="609"/>
      <c r="J3451" s="1155"/>
      <c r="K3451" s="609"/>
      <c r="L3451" s="609"/>
      <c r="M3451" s="609"/>
      <c r="N3451" s="599"/>
      <c r="O3451" s="552" t="s">
        <v>1584</v>
      </c>
      <c r="P3451" s="603"/>
      <c r="Q3451" s="682"/>
      <c r="R3451" s="682"/>
      <c r="S3451" s="682"/>
      <c r="T3451" s="682"/>
      <c r="U3451" s="682"/>
      <c r="V3451" s="682"/>
      <c r="W3451" s="682"/>
    </row>
    <row r="3452" spans="1:31">
      <c r="A3452" s="1045">
        <f t="shared" si="54"/>
        <v>8</v>
      </c>
      <c r="B3452" s="398">
        <v>45524</v>
      </c>
      <c r="C3452" s="70">
        <v>1022</v>
      </c>
      <c r="D3452" s="70" t="str">
        <f>IFERROR(VLOOKUP(C3452,Mychart!$A$6:$B$123,2,FALSE),"")</f>
        <v>Bank -New NBD</v>
      </c>
      <c r="E3452" s="280" t="s">
        <v>5825</v>
      </c>
      <c r="F3452" s="1049"/>
      <c r="G3452" s="1049">
        <v>8167</v>
      </c>
      <c r="H3452" s="564"/>
      <c r="I3452" s="609"/>
      <c r="J3452" s="1155"/>
      <c r="K3452" s="609"/>
      <c r="L3452" s="609"/>
      <c r="M3452" s="609"/>
      <c r="N3452" s="599"/>
      <c r="O3452" s="552" t="s">
        <v>1584</v>
      </c>
      <c r="P3452" s="603"/>
      <c r="Q3452" s="682"/>
      <c r="R3452" s="682"/>
      <c r="S3452" s="682"/>
      <c r="T3452" s="682"/>
      <c r="U3452" s="682"/>
      <c r="V3452" s="682"/>
      <c r="W3452" s="682"/>
    </row>
    <row r="3453" spans="1:31">
      <c r="A3453" s="1045">
        <f t="shared" si="54"/>
        <v>10</v>
      </c>
      <c r="B3453" s="398">
        <v>45585</v>
      </c>
      <c r="C3453" s="70">
        <v>1022</v>
      </c>
      <c r="D3453" s="70" t="str">
        <f>IFERROR(VLOOKUP(C3453,Mychart!$A$6:$B$123,2,FALSE),"")</f>
        <v>Bank -New NBD</v>
      </c>
      <c r="E3453" s="280" t="s">
        <v>5826</v>
      </c>
      <c r="F3453" s="1049"/>
      <c r="G3453" s="1049">
        <v>8167</v>
      </c>
      <c r="H3453" s="564"/>
      <c r="I3453" s="609"/>
      <c r="J3453" s="1155"/>
      <c r="K3453" s="609"/>
      <c r="L3453" s="609"/>
      <c r="M3453" s="609"/>
      <c r="N3453" s="599"/>
      <c r="O3453" s="552" t="s">
        <v>1584</v>
      </c>
      <c r="P3453" s="603"/>
      <c r="Q3453" s="682"/>
      <c r="R3453" s="682"/>
      <c r="S3453" s="682"/>
      <c r="T3453" s="682"/>
      <c r="U3453" s="682"/>
      <c r="V3453" s="682"/>
      <c r="W3453" s="682"/>
    </row>
    <row r="3454" spans="1:31">
      <c r="A3454" s="1045">
        <f t="shared" si="54"/>
        <v>10</v>
      </c>
      <c r="B3454" s="398">
        <v>45585</v>
      </c>
      <c r="C3454" s="70">
        <v>1022</v>
      </c>
      <c r="D3454" s="70" t="str">
        <f>IFERROR(VLOOKUP(C3454,Mychart!$A$6:$B$123,2,FALSE),"")</f>
        <v>Bank -New NBD</v>
      </c>
      <c r="E3454" s="280" t="s">
        <v>5831</v>
      </c>
      <c r="F3454" s="1049"/>
      <c r="G3454" s="1049">
        <v>1575</v>
      </c>
      <c r="H3454" s="564"/>
      <c r="I3454" s="609"/>
      <c r="J3454" s="1155"/>
      <c r="K3454" s="609"/>
      <c r="L3454" s="609"/>
      <c r="M3454" s="609"/>
      <c r="N3454" s="599"/>
      <c r="O3454" s="552" t="s">
        <v>1584</v>
      </c>
      <c r="P3454" s="603"/>
      <c r="Q3454" s="682"/>
      <c r="R3454" s="682"/>
      <c r="S3454" s="682"/>
      <c r="T3454" s="682"/>
      <c r="U3454" s="682"/>
      <c r="V3454" s="682"/>
      <c r="W3454" s="682"/>
    </row>
    <row r="3455" spans="1:31">
      <c r="A3455" s="1045">
        <f t="shared" si="54"/>
        <v>9</v>
      </c>
      <c r="B3455" s="398">
        <v>45555</v>
      </c>
      <c r="C3455" s="70">
        <v>1022</v>
      </c>
      <c r="D3455" s="70" t="str">
        <f>IFERROR(VLOOKUP(C3455,Mychart!$A$6:$B$123,2,FALSE),"")</f>
        <v>Bank -New NBD</v>
      </c>
      <c r="E3455" s="280" t="s">
        <v>5832</v>
      </c>
      <c r="F3455" s="1049"/>
      <c r="G3455" s="1049">
        <v>1575</v>
      </c>
      <c r="H3455" s="564"/>
      <c r="I3455" s="609"/>
      <c r="J3455" s="1155"/>
      <c r="K3455" s="609"/>
      <c r="L3455" s="609"/>
      <c r="M3455" s="609"/>
      <c r="N3455" s="599"/>
      <c r="O3455" s="552" t="s">
        <v>1584</v>
      </c>
      <c r="P3455" s="603"/>
      <c r="Q3455" s="682"/>
      <c r="R3455" s="682"/>
      <c r="S3455" s="682"/>
      <c r="T3455" s="682"/>
      <c r="U3455" s="682"/>
      <c r="V3455" s="682"/>
      <c r="W3455" s="682"/>
    </row>
    <row r="3456" spans="1:31">
      <c r="A3456" s="1045">
        <f t="shared" si="54"/>
        <v>10</v>
      </c>
      <c r="B3456" s="398">
        <v>45575</v>
      </c>
      <c r="C3456" s="70">
        <v>1022</v>
      </c>
      <c r="D3456" s="70" t="str">
        <f>IFERROR(VLOOKUP(C3456,Mychart!$A$6:$B$123,2,FALSE),"")</f>
        <v>Bank -New NBD</v>
      </c>
      <c r="E3456" s="280" t="s">
        <v>5824</v>
      </c>
      <c r="F3456" s="1049"/>
      <c r="G3456" s="1049">
        <v>26480</v>
      </c>
      <c r="H3456" s="564"/>
      <c r="I3456" s="609"/>
      <c r="J3456" s="1155"/>
      <c r="K3456" s="609"/>
      <c r="L3456" s="609"/>
      <c r="M3456" s="609"/>
      <c r="N3456" s="599"/>
      <c r="O3456" s="552" t="s">
        <v>1584</v>
      </c>
      <c r="P3456" s="603"/>
      <c r="Q3456" s="682"/>
      <c r="R3456" s="682"/>
      <c r="S3456" s="682"/>
      <c r="T3456" s="682"/>
      <c r="U3456" s="682"/>
      <c r="V3456" s="682"/>
      <c r="W3456" s="682"/>
    </row>
    <row r="3457" spans="1:31">
      <c r="A3457" s="1045">
        <f t="shared" si="54"/>
        <v>11</v>
      </c>
      <c r="B3457" s="398">
        <v>45621</v>
      </c>
      <c r="C3457" s="70">
        <v>1022</v>
      </c>
      <c r="D3457" s="70" t="str">
        <f>IFERROR(VLOOKUP(C3457,Mychart!$A$6:$B$123,2,FALSE),"")</f>
        <v>Bank -New NBD</v>
      </c>
      <c r="E3457" s="280" t="s">
        <v>5627</v>
      </c>
      <c r="F3457" s="1049"/>
      <c r="G3457" s="1049">
        <v>8000</v>
      </c>
      <c r="H3457" s="564"/>
      <c r="I3457" s="609"/>
      <c r="J3457" s="1155"/>
      <c r="K3457" s="609"/>
      <c r="L3457" s="609"/>
      <c r="M3457" s="609"/>
      <c r="N3457" s="599"/>
      <c r="O3457" s="552" t="s">
        <v>1584</v>
      </c>
      <c r="P3457" s="603"/>
      <c r="Q3457" s="682"/>
      <c r="R3457" s="682"/>
      <c r="S3457" s="682"/>
      <c r="T3457" s="682"/>
      <c r="U3457" s="682"/>
      <c r="V3457" s="682"/>
      <c r="W3457" s="682"/>
    </row>
    <row r="3458" spans="1:31">
      <c r="A3458" s="1045">
        <f t="shared" si="54"/>
        <v>11</v>
      </c>
      <c r="B3458" s="1044">
        <v>45623</v>
      </c>
      <c r="C3458" s="70">
        <v>1017</v>
      </c>
      <c r="D3458" s="70" t="str">
        <f>IFERROR(VLOOKUP(C3458,Mychart!$A$6:$B$123,2,FALSE),"")</f>
        <v>Mr.Sijeesh Custody</v>
      </c>
      <c r="E3458" s="280" t="s">
        <v>5846</v>
      </c>
      <c r="F3458" s="1049"/>
      <c r="G3458" s="1049"/>
      <c r="H3458" s="564" t="s">
        <v>5847</v>
      </c>
      <c r="I3458" s="609"/>
      <c r="J3458" s="1155"/>
      <c r="K3458" s="609"/>
      <c r="L3458" s="609"/>
      <c r="M3458" s="609"/>
      <c r="N3458" s="599"/>
      <c r="O3458" s="552" t="s">
        <v>1584</v>
      </c>
      <c r="P3458" s="603"/>
      <c r="Q3458" s="682"/>
      <c r="R3458" s="682"/>
      <c r="S3458" s="682"/>
      <c r="T3458" s="682"/>
      <c r="U3458" s="682"/>
      <c r="V3458" s="682"/>
      <c r="W3458" s="682"/>
    </row>
    <row r="3459" spans="1:31">
      <c r="A3459" s="1045">
        <f t="shared" si="54"/>
        <v>11</v>
      </c>
      <c r="B3459" s="134">
        <v>45623</v>
      </c>
      <c r="C3459" s="70">
        <v>1022</v>
      </c>
      <c r="D3459" s="70" t="str">
        <f>IFERROR(VLOOKUP(C3459,Mychart!$A$6:$B$123,2,FALSE),"")</f>
        <v>Bank -New NBD</v>
      </c>
      <c r="E3459" s="280" t="s">
        <v>5846</v>
      </c>
      <c r="F3459" s="1049"/>
      <c r="G3459" s="1049"/>
      <c r="H3459" s="564" t="s">
        <v>5847</v>
      </c>
      <c r="I3459" s="609">
        <v>954</v>
      </c>
      <c r="J3459" s="1155">
        <v>45590</v>
      </c>
      <c r="K3459" s="609"/>
      <c r="L3459" s="609"/>
      <c r="M3459" s="609"/>
      <c r="N3459" s="599"/>
      <c r="O3459" s="552" t="s">
        <v>1584</v>
      </c>
      <c r="P3459" s="603"/>
      <c r="Q3459" s="682"/>
      <c r="R3459" s="682"/>
      <c r="S3459" s="682"/>
      <c r="T3459" s="682"/>
      <c r="U3459" s="682"/>
      <c r="V3459" s="682"/>
      <c r="W3459" s="682"/>
    </row>
    <row r="3460" spans="1:31">
      <c r="A3460" s="1045">
        <f t="shared" si="54"/>
        <v>11</v>
      </c>
      <c r="B3460" s="134">
        <v>45616</v>
      </c>
      <c r="C3460" s="70">
        <v>5200</v>
      </c>
      <c r="D3460" s="70" t="str">
        <f>IFERROR(VLOOKUP(C3460,Mychart!$A$6:$B$123,2,FALSE),"")</f>
        <v>DUCT Costs</v>
      </c>
      <c r="E3460" s="280" t="s">
        <v>5848</v>
      </c>
      <c r="F3460" s="1049">
        <v>3715.1</v>
      </c>
      <c r="G3460" s="1049"/>
      <c r="H3460" s="564" t="s">
        <v>5849</v>
      </c>
      <c r="I3460" s="609"/>
      <c r="J3460" s="1155"/>
      <c r="K3460" s="609">
        <v>280</v>
      </c>
      <c r="L3460" s="609"/>
      <c r="M3460" s="609"/>
      <c r="N3460" s="599">
        <v>185.75</v>
      </c>
      <c r="O3460" s="552" t="s">
        <v>1584</v>
      </c>
      <c r="P3460" s="603"/>
      <c r="Q3460" s="682"/>
      <c r="R3460" s="682"/>
      <c r="S3460" s="682"/>
      <c r="T3460" s="682"/>
      <c r="U3460" s="682"/>
      <c r="V3460" s="682"/>
      <c r="W3460" s="682"/>
      <c r="AE3460" s="2" t="s">
        <v>5850</v>
      </c>
    </row>
    <row r="3461" spans="1:31">
      <c r="A3461" s="1045">
        <f t="shared" si="54"/>
        <v>11</v>
      </c>
      <c r="B3461" s="134">
        <v>45616</v>
      </c>
      <c r="C3461" s="70">
        <v>2018</v>
      </c>
      <c r="D3461" s="70" t="str">
        <f>IFERROR(VLOOKUP(C3461,Mychart!$A$6:$B$123,2,FALSE),"")</f>
        <v>VALUE ADDED TAX - VAT</v>
      </c>
      <c r="E3461" s="280" t="s">
        <v>5848</v>
      </c>
      <c r="F3461" s="1049">
        <v>185.75</v>
      </c>
      <c r="G3461" s="1049"/>
      <c r="H3461" s="564" t="s">
        <v>5849</v>
      </c>
      <c r="I3461" s="609"/>
      <c r="J3461" s="1155"/>
      <c r="K3461" s="609"/>
      <c r="L3461" s="609"/>
      <c r="M3461" s="609"/>
      <c r="N3461" s="599"/>
      <c r="O3461" s="552" t="s">
        <v>1584</v>
      </c>
      <c r="P3461" s="603"/>
      <c r="Q3461" s="682"/>
      <c r="R3461" s="682"/>
      <c r="S3461" s="682"/>
      <c r="T3461" s="682"/>
      <c r="U3461" s="682"/>
      <c r="V3461" s="682"/>
      <c r="W3461" s="682"/>
    </row>
    <row r="3462" spans="1:31">
      <c r="A3462" s="1045">
        <f t="shared" si="54"/>
        <v>11</v>
      </c>
      <c r="B3462" s="134">
        <v>45616</v>
      </c>
      <c r="C3462" s="70">
        <v>2000</v>
      </c>
      <c r="D3462" s="70" t="str">
        <f>IFERROR(VLOOKUP(C3462,Mychart!$A$6:$B$123,2,FALSE),"")</f>
        <v>Accounts Payable</v>
      </c>
      <c r="E3462" s="280" t="s">
        <v>5848</v>
      </c>
      <c r="F3462" s="1049"/>
      <c r="G3462" s="1049">
        <v>3900.86</v>
      </c>
      <c r="H3462" s="564" t="s">
        <v>5849</v>
      </c>
      <c r="I3462" s="609"/>
      <c r="J3462" s="1155"/>
      <c r="K3462" s="609"/>
      <c r="L3462" s="609"/>
      <c r="M3462" s="609" t="s">
        <v>5604</v>
      </c>
      <c r="N3462" s="599">
        <v>185.75</v>
      </c>
      <c r="O3462" s="552" t="s">
        <v>1584</v>
      </c>
      <c r="P3462" s="603"/>
      <c r="Q3462" s="682"/>
      <c r="R3462" s="682"/>
      <c r="S3462" s="682"/>
      <c r="T3462" s="682"/>
      <c r="U3462" s="682"/>
      <c r="V3462" s="682"/>
      <c r="W3462" s="682"/>
      <c r="AE3462" s="2" t="s">
        <v>2960</v>
      </c>
    </row>
    <row r="3463" spans="1:31">
      <c r="A3463" s="1045">
        <f t="shared" si="54"/>
        <v>11</v>
      </c>
      <c r="B3463" s="398">
        <v>45624</v>
      </c>
      <c r="C3463" s="70">
        <v>5250</v>
      </c>
      <c r="D3463" s="70" t="str">
        <f>IFERROR(VLOOKUP(C3463,Mychart!$A$6:$B$123,2,FALSE),"")</f>
        <v>Accessories Cost</v>
      </c>
      <c r="E3463" s="280" t="s">
        <v>5871</v>
      </c>
      <c r="F3463" s="1049">
        <v>600</v>
      </c>
      <c r="G3463" s="1049"/>
      <c r="H3463" s="564"/>
      <c r="I3463" s="609"/>
      <c r="J3463" s="1155"/>
      <c r="K3463" s="609">
        <v>292</v>
      </c>
      <c r="L3463" s="609"/>
      <c r="M3463" s="609"/>
      <c r="N3463" s="599"/>
      <c r="O3463" s="552" t="s">
        <v>1584</v>
      </c>
      <c r="P3463" s="603"/>
      <c r="Q3463" s="682"/>
      <c r="R3463" s="682"/>
      <c r="S3463" s="682"/>
      <c r="T3463" s="682"/>
      <c r="U3463" s="682"/>
      <c r="V3463" s="682"/>
      <c r="W3463" s="682"/>
      <c r="AE3463" s="2" t="s">
        <v>5897</v>
      </c>
    </row>
    <row r="3464" spans="1:31">
      <c r="A3464" s="1045">
        <f t="shared" si="54"/>
        <v>11</v>
      </c>
      <c r="B3464" s="134">
        <v>45624</v>
      </c>
      <c r="C3464" s="70">
        <v>5250</v>
      </c>
      <c r="D3464" s="70" t="str">
        <f>IFERROR(VLOOKUP(C3464,Mychart!$A$6:$B$123,2,FALSE),"")</f>
        <v>Accessories Cost</v>
      </c>
      <c r="E3464" s="280" t="s">
        <v>5872</v>
      </c>
      <c r="F3464" s="1049">
        <v>500</v>
      </c>
      <c r="G3464" s="1049"/>
      <c r="H3464" s="564"/>
      <c r="I3464" s="609"/>
      <c r="J3464" s="1155"/>
      <c r="K3464" s="609">
        <v>291</v>
      </c>
      <c r="L3464" s="609"/>
      <c r="M3464" s="609"/>
      <c r="N3464" s="599"/>
      <c r="O3464" s="552" t="s">
        <v>1584</v>
      </c>
      <c r="P3464" s="603"/>
      <c r="Q3464" s="682"/>
      <c r="R3464" s="682"/>
      <c r="S3464" s="682"/>
      <c r="T3464" s="682"/>
      <c r="U3464" s="682"/>
      <c r="V3464" s="682"/>
      <c r="W3464" s="682"/>
      <c r="AE3464" s="2" t="s">
        <v>5898</v>
      </c>
    </row>
    <row r="3465" spans="1:31">
      <c r="A3465" s="1045">
        <f t="shared" si="54"/>
        <v>11</v>
      </c>
      <c r="B3465" s="134">
        <v>45624</v>
      </c>
      <c r="C3465" s="70">
        <v>5250</v>
      </c>
      <c r="D3465" s="70" t="str">
        <f>IFERROR(VLOOKUP(C3465,Mychart!$A$6:$B$123,2,FALSE),"")</f>
        <v>Accessories Cost</v>
      </c>
      <c r="E3465" s="280" t="s">
        <v>5873</v>
      </c>
      <c r="F3465" s="1049">
        <v>500</v>
      </c>
      <c r="G3465" s="1049"/>
      <c r="H3465" s="564"/>
      <c r="I3465" s="609"/>
      <c r="J3465" s="1155"/>
      <c r="K3465" s="609">
        <v>290</v>
      </c>
      <c r="L3465" s="609"/>
      <c r="M3465" s="609"/>
      <c r="N3465" s="599"/>
      <c r="O3465" s="552" t="s">
        <v>1584</v>
      </c>
      <c r="P3465" s="603"/>
      <c r="Q3465" s="682"/>
      <c r="R3465" s="682"/>
      <c r="S3465" s="682"/>
      <c r="T3465" s="682"/>
      <c r="U3465" s="682"/>
      <c r="V3465" s="682"/>
      <c r="W3465" s="682"/>
      <c r="AE3465" s="2" t="s">
        <v>5899</v>
      </c>
    </row>
    <row r="3466" spans="1:31">
      <c r="A3466" s="1045">
        <f t="shared" si="54"/>
        <v>11</v>
      </c>
      <c r="B3466" s="134">
        <v>45624</v>
      </c>
      <c r="C3466" s="70">
        <v>5250</v>
      </c>
      <c r="D3466" s="70" t="str">
        <f>IFERROR(VLOOKUP(C3466,Mychart!$A$6:$B$123,2,FALSE),"")</f>
        <v>Accessories Cost</v>
      </c>
      <c r="E3466" s="280" t="s">
        <v>5874</v>
      </c>
      <c r="F3466" s="1049">
        <v>500</v>
      </c>
      <c r="G3466" s="1049"/>
      <c r="H3466" s="564"/>
      <c r="I3466" s="609"/>
      <c r="J3466" s="1155"/>
      <c r="K3466" s="609">
        <v>289</v>
      </c>
      <c r="L3466" s="609"/>
      <c r="M3466" s="609"/>
      <c r="N3466" s="599"/>
      <c r="O3466" s="552" t="s">
        <v>1584</v>
      </c>
      <c r="P3466" s="603"/>
      <c r="Q3466" s="682"/>
      <c r="R3466" s="682"/>
      <c r="S3466" s="682"/>
      <c r="T3466" s="682"/>
      <c r="U3466" s="682"/>
      <c r="V3466" s="682"/>
      <c r="W3466" s="682"/>
      <c r="AE3466" s="2" t="s">
        <v>5900</v>
      </c>
    </row>
    <row r="3467" spans="1:31">
      <c r="A3467" s="1045">
        <f t="shared" si="54"/>
        <v>11</v>
      </c>
      <c r="B3467" s="134">
        <v>45624</v>
      </c>
      <c r="C3467" s="70">
        <v>7200</v>
      </c>
      <c r="D3467" s="70" t="str">
        <f>IFERROR(VLOOKUP(C3467,Mychart!$A$6:$B$123,2,FALSE),"")</f>
        <v>Service Charge Expense</v>
      </c>
      <c r="E3467" s="280" t="s">
        <v>5875</v>
      </c>
      <c r="F3467" s="1049">
        <v>10</v>
      </c>
      <c r="G3467" s="1049"/>
      <c r="H3467" s="564"/>
      <c r="I3467" s="609"/>
      <c r="J3467" s="1155"/>
      <c r="K3467" s="609"/>
      <c r="L3467" s="609"/>
      <c r="M3467" s="609"/>
      <c r="N3467" s="599"/>
      <c r="O3467" s="552" t="s">
        <v>1584</v>
      </c>
      <c r="P3467" s="603"/>
      <c r="Q3467" s="682"/>
      <c r="R3467" s="682"/>
      <c r="S3467" s="682"/>
      <c r="T3467" s="682"/>
      <c r="U3467" s="682"/>
      <c r="V3467" s="682"/>
      <c r="W3467" s="682"/>
    </row>
    <row r="3468" spans="1:31">
      <c r="A3468" s="1045">
        <f t="shared" si="54"/>
        <v>11</v>
      </c>
      <c r="B3468" s="134">
        <v>45624</v>
      </c>
      <c r="C3468" s="70">
        <v>2018</v>
      </c>
      <c r="D3468" s="70" t="str">
        <f>IFERROR(VLOOKUP(C3468,Mychart!$A$6:$B$123,2,FALSE),"")</f>
        <v>VALUE ADDED TAX - VAT</v>
      </c>
      <c r="E3468" s="280" t="s">
        <v>5875</v>
      </c>
      <c r="F3468" s="1049">
        <v>0.5</v>
      </c>
      <c r="G3468" s="1049"/>
      <c r="H3468" s="564"/>
      <c r="I3468" s="609"/>
      <c r="J3468" s="1155"/>
      <c r="K3468" s="609"/>
      <c r="L3468" s="609"/>
      <c r="M3468" s="609"/>
      <c r="N3468" s="599"/>
      <c r="O3468" s="552" t="s">
        <v>1584</v>
      </c>
      <c r="P3468" s="603"/>
      <c r="Q3468" s="682"/>
      <c r="R3468" s="682"/>
      <c r="S3468" s="682"/>
      <c r="T3468" s="682"/>
      <c r="U3468" s="682"/>
      <c r="V3468" s="682"/>
      <c r="W3468" s="682"/>
    </row>
    <row r="3469" spans="1:31">
      <c r="A3469" s="1045">
        <f t="shared" si="54"/>
        <v>11</v>
      </c>
      <c r="B3469" s="134">
        <v>45624</v>
      </c>
      <c r="C3469" s="70">
        <v>1025</v>
      </c>
      <c r="D3469" s="70" t="str">
        <f>IFERROR(VLOOKUP(C3469,Mychart!$A$6:$B$123,2,FALSE),"")</f>
        <v xml:space="preserve"> Eng-Mohamed - Custodu</v>
      </c>
      <c r="E3469" s="280" t="s">
        <v>5876</v>
      </c>
      <c r="F3469" s="1049"/>
      <c r="G3469" s="1678">
        <v>2110.5</v>
      </c>
      <c r="H3469" s="564"/>
      <c r="I3469" s="609"/>
      <c r="J3469" s="1155"/>
      <c r="K3469" s="609"/>
      <c r="L3469" s="609"/>
      <c r="M3469" s="609"/>
      <c r="N3469" s="599"/>
      <c r="O3469" s="552" t="s">
        <v>1584</v>
      </c>
      <c r="P3469" s="603"/>
      <c r="Q3469" s="682"/>
      <c r="R3469" s="682"/>
      <c r="S3469" s="682"/>
      <c r="T3469" s="682"/>
      <c r="U3469" s="682"/>
      <c r="V3469" s="682"/>
      <c r="W3469" s="682"/>
    </row>
    <row r="3470" spans="1:31">
      <c r="A3470" s="1045">
        <f t="shared" si="54"/>
        <v>11</v>
      </c>
      <c r="B3470" s="134">
        <v>45608</v>
      </c>
      <c r="C3470" s="70">
        <v>5100</v>
      </c>
      <c r="D3470" s="70" t="str">
        <f>IFERROR(VLOOKUP(C3470,Mychart!$A$6:$B$123,2,FALSE),"")</f>
        <v>Materials Costs</v>
      </c>
      <c r="E3470" s="280" t="s">
        <v>5877</v>
      </c>
      <c r="F3470" s="1049">
        <v>80000</v>
      </c>
      <c r="G3470" s="1049"/>
      <c r="H3470" s="564" t="s">
        <v>5878</v>
      </c>
      <c r="I3470" s="609"/>
      <c r="J3470" s="1155"/>
      <c r="K3470" s="609">
        <v>293</v>
      </c>
      <c r="L3470" s="609"/>
      <c r="M3470" s="609" t="s">
        <v>5879</v>
      </c>
      <c r="N3470" s="599">
        <v>4000</v>
      </c>
      <c r="O3470" s="552" t="s">
        <v>1584</v>
      </c>
      <c r="P3470" s="603"/>
      <c r="Q3470" s="682"/>
      <c r="R3470" s="682"/>
      <c r="S3470" s="682"/>
      <c r="T3470" s="682"/>
      <c r="U3470" s="682"/>
      <c r="V3470" s="682"/>
      <c r="W3470" s="682"/>
      <c r="AE3470" s="2" t="s">
        <v>5901</v>
      </c>
    </row>
    <row r="3471" spans="1:31">
      <c r="A3471" s="1045">
        <f t="shared" si="54"/>
        <v>11</v>
      </c>
      <c r="B3471" s="134">
        <v>45608</v>
      </c>
      <c r="C3471" s="70">
        <v>2018</v>
      </c>
      <c r="D3471" s="70" t="str">
        <f>IFERROR(VLOOKUP(C3471,Mychart!$A$6:$B$123,2,FALSE),"")</f>
        <v>VALUE ADDED TAX - VAT</v>
      </c>
      <c r="E3471" s="280" t="s">
        <v>5877</v>
      </c>
      <c r="F3471" s="1049">
        <v>4000</v>
      </c>
      <c r="G3471" s="1049"/>
      <c r="H3471" s="564" t="s">
        <v>5878</v>
      </c>
      <c r="I3471" s="609"/>
      <c r="J3471" s="1155"/>
      <c r="K3471" s="609"/>
      <c r="L3471" s="609"/>
      <c r="M3471" s="609"/>
      <c r="N3471" s="599"/>
      <c r="O3471" s="552" t="s">
        <v>1584</v>
      </c>
      <c r="P3471" s="603"/>
      <c r="Q3471" s="682"/>
      <c r="R3471" s="682"/>
      <c r="S3471" s="682"/>
      <c r="T3471" s="682"/>
      <c r="U3471" s="682"/>
      <c r="V3471" s="682"/>
      <c r="W3471" s="682"/>
    </row>
    <row r="3472" spans="1:31">
      <c r="A3472" s="1045">
        <f t="shared" si="54"/>
        <v>11</v>
      </c>
      <c r="B3472" s="134">
        <v>45608</v>
      </c>
      <c r="C3472" s="70">
        <v>2000</v>
      </c>
      <c r="D3472" s="70" t="str">
        <f>IFERROR(VLOOKUP(C3472,Mychart!$A$6:$B$123,2,FALSE),"")</f>
        <v>Accounts Payable</v>
      </c>
      <c r="E3472" s="280" t="s">
        <v>5877</v>
      </c>
      <c r="F3472" s="1049"/>
      <c r="G3472" s="1049">
        <v>84000</v>
      </c>
      <c r="H3472" s="564" t="s">
        <v>5878</v>
      </c>
      <c r="I3472" s="609"/>
      <c r="J3472" s="1155"/>
      <c r="K3472" s="609"/>
      <c r="L3472" s="609"/>
      <c r="M3472" s="609"/>
      <c r="N3472" s="599">
        <v>4000</v>
      </c>
      <c r="O3472" s="552" t="s">
        <v>1584</v>
      </c>
      <c r="P3472" s="603"/>
      <c r="Q3472" s="682"/>
      <c r="R3472" s="682"/>
      <c r="S3472" s="682"/>
      <c r="T3472" s="682"/>
      <c r="U3472" s="682"/>
      <c r="V3472" s="682"/>
      <c r="W3472" s="682"/>
    </row>
    <row r="3473" spans="1:31">
      <c r="A3473" s="1045">
        <f t="shared" si="54"/>
        <v>11</v>
      </c>
      <c r="B3473" s="134">
        <v>45624</v>
      </c>
      <c r="C3473" s="70">
        <v>2000</v>
      </c>
      <c r="D3473" s="70" t="str">
        <f>IFERROR(VLOOKUP(C3473,Mychart!$A$6:$B$123,2,FALSE),"")</f>
        <v>Accounts Payable</v>
      </c>
      <c r="E3473" s="280" t="s">
        <v>5881</v>
      </c>
      <c r="F3473" s="1049">
        <v>84000</v>
      </c>
      <c r="G3473" s="1049"/>
      <c r="H3473" s="564" t="s">
        <v>5882</v>
      </c>
      <c r="I3473" s="609"/>
      <c r="J3473" s="1155"/>
      <c r="K3473" s="609"/>
      <c r="L3473" s="609"/>
      <c r="M3473" s="609"/>
      <c r="N3473" s="599">
        <v>4000</v>
      </c>
      <c r="O3473" s="552" t="s">
        <v>1584</v>
      </c>
      <c r="P3473" s="603"/>
      <c r="Q3473" s="682"/>
      <c r="R3473" s="682"/>
      <c r="S3473" s="682"/>
      <c r="T3473" s="682"/>
      <c r="U3473" s="682"/>
      <c r="V3473" s="682"/>
      <c r="W3473" s="682"/>
    </row>
    <row r="3474" spans="1:31">
      <c r="A3474" s="1045">
        <f t="shared" si="54"/>
        <v>11</v>
      </c>
      <c r="B3474" s="134">
        <v>45624</v>
      </c>
      <c r="C3474" s="70">
        <v>6027</v>
      </c>
      <c r="D3474" s="70" t="str">
        <f>IFERROR(VLOOKUP(C3474,Mychart!$A$6:$B$123,2,FALSE),"")</f>
        <v>Commission Expenses</v>
      </c>
      <c r="E3474" s="280" t="s">
        <v>5883</v>
      </c>
      <c r="F3474" s="1049">
        <v>16000</v>
      </c>
      <c r="G3474" s="1049"/>
      <c r="H3474" s="564" t="s">
        <v>5882</v>
      </c>
      <c r="I3474" s="609"/>
      <c r="J3474" s="1155"/>
      <c r="K3474" s="609">
        <v>293</v>
      </c>
      <c r="L3474" s="609"/>
      <c r="M3474" s="609"/>
      <c r="N3474" s="599"/>
      <c r="O3474" s="552" t="s">
        <v>1584</v>
      </c>
      <c r="P3474" s="603"/>
      <c r="Q3474" s="682"/>
      <c r="R3474" s="682"/>
      <c r="S3474" s="682"/>
      <c r="T3474" s="682"/>
      <c r="U3474" s="682"/>
      <c r="V3474" s="682"/>
      <c r="W3474" s="682"/>
      <c r="AE3474" s="2" t="s">
        <v>5902</v>
      </c>
    </row>
    <row r="3475" spans="1:31">
      <c r="A3475" s="1045">
        <f t="shared" si="54"/>
        <v>11</v>
      </c>
      <c r="B3475" s="134">
        <v>45624</v>
      </c>
      <c r="C3475" s="70">
        <v>1022</v>
      </c>
      <c r="D3475" s="70" t="str">
        <f>IFERROR(VLOOKUP(C3475,Mychart!$A$6:$B$123,2,FALSE),"")</f>
        <v>Bank -New NBD</v>
      </c>
      <c r="E3475" s="280" t="s">
        <v>5884</v>
      </c>
      <c r="F3475" s="1049"/>
      <c r="G3475" s="1049">
        <v>100000</v>
      </c>
      <c r="H3475" s="564" t="s">
        <v>5882</v>
      </c>
      <c r="I3475" s="609">
        <v>974</v>
      </c>
      <c r="J3475" s="1155">
        <v>45624</v>
      </c>
      <c r="K3475" s="609"/>
      <c r="L3475" s="609"/>
      <c r="M3475" s="609"/>
      <c r="N3475" s="599"/>
      <c r="O3475" s="552" t="s">
        <v>1584</v>
      </c>
      <c r="P3475" s="603"/>
      <c r="Q3475" s="682"/>
      <c r="R3475" s="682"/>
      <c r="S3475" s="682"/>
      <c r="T3475" s="682"/>
      <c r="U3475" s="682"/>
      <c r="V3475" s="682"/>
      <c r="W3475" s="682"/>
    </row>
    <row r="3476" spans="1:31">
      <c r="A3476" s="1045">
        <f t="shared" si="54"/>
        <v>11</v>
      </c>
      <c r="B3476" s="134">
        <v>45624</v>
      </c>
      <c r="C3476" s="70">
        <v>6000</v>
      </c>
      <c r="D3476" s="70" t="str">
        <f>IFERROR(VLOOKUP(C3476,Mychart!$A$6:$B$123,2,FALSE),"")</f>
        <v>Wages Expense</v>
      </c>
      <c r="E3476" s="280" t="s">
        <v>5905</v>
      </c>
      <c r="F3476" s="1049">
        <v>73537</v>
      </c>
      <c r="G3476" s="1049"/>
      <c r="H3476" s="564" t="s">
        <v>5885</v>
      </c>
      <c r="I3476" s="609"/>
      <c r="J3476" s="1155"/>
      <c r="K3476" s="609"/>
      <c r="L3476" s="609"/>
      <c r="M3476" s="609"/>
      <c r="N3476" s="599"/>
      <c r="O3476" s="552" t="s">
        <v>1584</v>
      </c>
      <c r="P3476" s="603"/>
      <c r="Q3476" s="682"/>
      <c r="R3476" s="682"/>
      <c r="S3476" s="682"/>
      <c r="T3476" s="682"/>
      <c r="U3476" s="682"/>
      <c r="V3476" s="682"/>
      <c r="W3476" s="682"/>
    </row>
    <row r="3477" spans="1:31">
      <c r="A3477" s="1045">
        <f t="shared" ref="A3477:A3540" si="55">IF(B3477="","",MONTH(B3477))</f>
        <v>11</v>
      </c>
      <c r="B3477" s="134">
        <v>45624</v>
      </c>
      <c r="C3477" s="70">
        <v>7200</v>
      </c>
      <c r="D3477" s="70" t="str">
        <f>IFERROR(VLOOKUP(C3477,Mychart!$A$6:$B$123,2,FALSE),"")</f>
        <v>Service Charge Expense</v>
      </c>
      <c r="E3477" s="280" t="s">
        <v>5905</v>
      </c>
      <c r="F3477" s="1049">
        <v>110</v>
      </c>
      <c r="G3477" s="1049"/>
      <c r="H3477" s="564" t="s">
        <v>5885</v>
      </c>
      <c r="I3477" s="609"/>
      <c r="J3477" s="1155"/>
      <c r="K3477" s="609"/>
      <c r="L3477" s="609"/>
      <c r="M3477" s="609"/>
      <c r="N3477" s="599"/>
      <c r="O3477" s="552" t="s">
        <v>1584</v>
      </c>
      <c r="P3477" s="603"/>
      <c r="Q3477" s="682"/>
      <c r="R3477" s="682"/>
      <c r="S3477" s="682"/>
      <c r="T3477" s="682"/>
      <c r="U3477" s="682"/>
      <c r="V3477" s="682"/>
      <c r="W3477" s="682"/>
    </row>
    <row r="3478" spans="1:31">
      <c r="A3478" s="1045">
        <f t="shared" si="55"/>
        <v>11</v>
      </c>
      <c r="B3478" s="134">
        <v>45624</v>
      </c>
      <c r="C3478" s="70">
        <v>2018</v>
      </c>
      <c r="D3478" s="70" t="str">
        <f>IFERROR(VLOOKUP(C3478,Mychart!$A$6:$B$123,2,FALSE),"")</f>
        <v>VALUE ADDED TAX - VAT</v>
      </c>
      <c r="E3478" s="280" t="s">
        <v>5905</v>
      </c>
      <c r="F3478" s="1678">
        <v>5.5</v>
      </c>
      <c r="G3478" s="1049"/>
      <c r="H3478" s="564" t="s">
        <v>5885</v>
      </c>
      <c r="I3478" s="609"/>
      <c r="J3478" s="1155"/>
      <c r="K3478" s="609"/>
      <c r="L3478" s="609"/>
      <c r="M3478" s="609"/>
      <c r="N3478" s="599"/>
      <c r="O3478" s="552" t="s">
        <v>1584</v>
      </c>
      <c r="P3478" s="603"/>
      <c r="Q3478" s="682"/>
      <c r="R3478" s="682"/>
      <c r="S3478" s="682"/>
      <c r="T3478" s="682"/>
      <c r="U3478" s="682"/>
      <c r="V3478" s="682"/>
      <c r="W3478" s="682"/>
    </row>
    <row r="3479" spans="1:31">
      <c r="A3479" s="1045">
        <f t="shared" si="55"/>
        <v>11</v>
      </c>
      <c r="B3479" s="134">
        <v>45624</v>
      </c>
      <c r="C3479" s="70">
        <v>1022</v>
      </c>
      <c r="D3479" s="70" t="str">
        <f>IFERROR(VLOOKUP(C3479,Mychart!$A$6:$B$123,2,FALSE),"")</f>
        <v>Bank -New NBD</v>
      </c>
      <c r="E3479" s="280" t="s">
        <v>5886</v>
      </c>
      <c r="F3479" s="1049"/>
      <c r="G3479" s="1049">
        <v>73652.5</v>
      </c>
      <c r="H3479" s="564" t="s">
        <v>5885</v>
      </c>
      <c r="I3479" s="609">
        <v>973</v>
      </c>
      <c r="J3479" s="1155">
        <v>45624</v>
      </c>
      <c r="K3479" s="609"/>
      <c r="L3479" s="609"/>
      <c r="M3479" s="609"/>
      <c r="N3479" s="1679">
        <v>5.5</v>
      </c>
      <c r="O3479" s="552" t="s">
        <v>1584</v>
      </c>
      <c r="P3479" s="603"/>
      <c r="Q3479" s="682"/>
      <c r="R3479" s="682"/>
      <c r="S3479" s="682"/>
      <c r="T3479" s="682"/>
      <c r="U3479" s="682"/>
      <c r="V3479" s="682"/>
      <c r="W3479" s="682"/>
    </row>
    <row r="3480" spans="1:31">
      <c r="A3480" s="1045">
        <f t="shared" si="55"/>
        <v>11</v>
      </c>
      <c r="B3480" s="134">
        <v>45624</v>
      </c>
      <c r="C3480" s="70">
        <v>2000</v>
      </c>
      <c r="D3480" s="70" t="str">
        <f>IFERROR(VLOOKUP(C3480,Mychart!$A$6:$B$123,2,FALSE),"")</f>
        <v>Accounts Payable</v>
      </c>
      <c r="E3480" s="280" t="s">
        <v>5887</v>
      </c>
      <c r="F3480" s="1049">
        <v>7046</v>
      </c>
      <c r="G3480" s="1049"/>
      <c r="H3480" s="564" t="s">
        <v>5888</v>
      </c>
      <c r="I3480" s="609"/>
      <c r="J3480" s="1155"/>
      <c r="K3480" s="609"/>
      <c r="L3480" s="609"/>
      <c r="M3480" s="609" t="s">
        <v>5906</v>
      </c>
      <c r="N3480" s="599"/>
      <c r="O3480" s="552" t="s">
        <v>1584</v>
      </c>
      <c r="P3480" s="603"/>
      <c r="Q3480" s="682"/>
      <c r="R3480" s="682"/>
      <c r="S3480" s="682"/>
      <c r="T3480" s="682"/>
      <c r="U3480" s="682"/>
      <c r="V3480" s="682"/>
      <c r="W3480" s="682"/>
      <c r="AE3480" s="2" t="s">
        <v>5907</v>
      </c>
    </row>
    <row r="3481" spans="1:31">
      <c r="A3481" s="1045">
        <f t="shared" si="55"/>
        <v>11</v>
      </c>
      <c r="B3481" s="134">
        <v>45624</v>
      </c>
      <c r="C3481" s="70">
        <v>1022</v>
      </c>
      <c r="D3481" s="70" t="str">
        <f>IFERROR(VLOOKUP(C3481,Mychart!$A$6:$B$123,2,FALSE),"")</f>
        <v>Bank -New NBD</v>
      </c>
      <c r="E3481" s="280" t="s">
        <v>5887</v>
      </c>
      <c r="F3481" s="1049"/>
      <c r="G3481" s="1049">
        <v>7046</v>
      </c>
      <c r="H3481" s="564" t="s">
        <v>5888</v>
      </c>
      <c r="I3481" s="609">
        <v>972</v>
      </c>
      <c r="J3481" s="1155">
        <v>45624</v>
      </c>
      <c r="K3481" s="609"/>
      <c r="L3481" s="609"/>
      <c r="M3481" s="609"/>
      <c r="N3481" s="599"/>
      <c r="O3481" s="552" t="s">
        <v>1584</v>
      </c>
      <c r="P3481" s="603"/>
      <c r="Q3481" s="682"/>
      <c r="R3481" s="682"/>
      <c r="S3481" s="682"/>
      <c r="T3481" s="682"/>
      <c r="U3481" s="682"/>
      <c r="V3481" s="682"/>
      <c r="W3481" s="682"/>
    </row>
    <row r="3482" spans="1:31">
      <c r="A3482" s="1045">
        <f t="shared" si="55"/>
        <v>11</v>
      </c>
      <c r="B3482" s="134">
        <v>45624</v>
      </c>
      <c r="C3482" s="70">
        <v>1100</v>
      </c>
      <c r="D3482" s="70" t="str">
        <f>IFERROR(VLOOKUP(C3482,Mychart!$A$6:$B$123,2,FALSE),"")</f>
        <v>Accounts Receivable</v>
      </c>
      <c r="E3482" s="280" t="s">
        <v>5889</v>
      </c>
      <c r="F3482" s="1049">
        <v>86625</v>
      </c>
      <c r="G3482" s="1049"/>
      <c r="H3482" s="564" t="s">
        <v>5890</v>
      </c>
      <c r="I3482" s="609"/>
      <c r="J3482" s="1155"/>
      <c r="K3482" s="609"/>
      <c r="L3482" s="609"/>
      <c r="M3482" s="609"/>
      <c r="N3482" s="599">
        <v>4125</v>
      </c>
      <c r="O3482" s="552" t="s">
        <v>1584</v>
      </c>
      <c r="P3482" s="603"/>
      <c r="Q3482" s="682"/>
      <c r="R3482" s="682"/>
      <c r="S3482" s="682"/>
      <c r="T3482" s="682"/>
      <c r="U3482" s="682"/>
      <c r="V3482" s="682"/>
      <c r="W3482" s="682"/>
    </row>
    <row r="3483" spans="1:31">
      <c r="A3483" s="1045">
        <f t="shared" si="55"/>
        <v>11</v>
      </c>
      <c r="B3483" s="134">
        <v>45624</v>
      </c>
      <c r="C3483" s="70">
        <v>2018</v>
      </c>
      <c r="D3483" s="70" t="str">
        <f>IFERROR(VLOOKUP(C3483,Mychart!$A$6:$B$123,2,FALSE),"")</f>
        <v>VALUE ADDED TAX - VAT</v>
      </c>
      <c r="E3483" s="280" t="s">
        <v>5889</v>
      </c>
      <c r="F3483" s="1049"/>
      <c r="G3483" s="1049">
        <v>4125</v>
      </c>
      <c r="H3483" s="564" t="s">
        <v>5890</v>
      </c>
      <c r="I3483" s="609"/>
      <c r="J3483" s="1155"/>
      <c r="K3483" s="609"/>
      <c r="L3483" s="609"/>
      <c r="M3483" s="609"/>
      <c r="N3483" s="599"/>
      <c r="O3483" s="552" t="s">
        <v>1584</v>
      </c>
      <c r="P3483" s="603"/>
      <c r="Q3483" s="682"/>
      <c r="R3483" s="682"/>
      <c r="S3483" s="682"/>
      <c r="T3483" s="682"/>
      <c r="U3483" s="682"/>
      <c r="V3483" s="682"/>
      <c r="W3483" s="682"/>
    </row>
    <row r="3484" spans="1:31">
      <c r="A3484" s="1045">
        <f t="shared" si="55"/>
        <v>11</v>
      </c>
      <c r="B3484" s="134">
        <v>45624</v>
      </c>
      <c r="C3484" s="70">
        <v>4000</v>
      </c>
      <c r="D3484" s="70" t="str">
        <f>IFERROR(VLOOKUP(C3484,Mychart!$A$6:$B$123,2,FALSE),"")</f>
        <v>Projects Income</v>
      </c>
      <c r="E3484" s="280" t="s">
        <v>5889</v>
      </c>
      <c r="F3484" s="1049"/>
      <c r="G3484" s="1049">
        <v>82500</v>
      </c>
      <c r="H3484" s="564" t="s">
        <v>5890</v>
      </c>
      <c r="I3484" s="609"/>
      <c r="J3484" s="1155"/>
      <c r="K3484" s="609"/>
      <c r="L3484" s="609"/>
      <c r="M3484" s="609"/>
      <c r="N3484" s="599">
        <v>4125</v>
      </c>
      <c r="O3484" s="552" t="s">
        <v>1584</v>
      </c>
      <c r="P3484" s="603"/>
      <c r="Q3484" s="682"/>
      <c r="R3484" s="682"/>
      <c r="S3484" s="682"/>
      <c r="T3484" s="682"/>
      <c r="U3484" s="682"/>
      <c r="V3484" s="682"/>
      <c r="W3484" s="682"/>
    </row>
    <row r="3485" spans="1:31">
      <c r="A3485" s="1045">
        <f t="shared" si="55"/>
        <v>11</v>
      </c>
      <c r="B3485" s="134">
        <v>45624</v>
      </c>
      <c r="C3485" s="70">
        <v>1022</v>
      </c>
      <c r="D3485" s="70" t="str">
        <f>IFERROR(VLOOKUP(C3485,Mychart!$A$6:$B$123,2,FALSE),"")</f>
        <v>Bank -New NBD</v>
      </c>
      <c r="E3485" s="280" t="s">
        <v>5891</v>
      </c>
      <c r="F3485" s="1049">
        <v>44000</v>
      </c>
      <c r="G3485" s="1049"/>
      <c r="H3485" s="564" t="s">
        <v>5892</v>
      </c>
      <c r="I3485" s="609" t="s">
        <v>4852</v>
      </c>
      <c r="J3485" s="1155"/>
      <c r="K3485" s="609"/>
      <c r="L3485" s="609"/>
      <c r="M3485" s="609"/>
      <c r="N3485" s="599"/>
      <c r="O3485" s="552" t="s">
        <v>1584</v>
      </c>
      <c r="P3485" s="603"/>
      <c r="Q3485" s="682"/>
      <c r="R3485" s="682"/>
      <c r="S3485" s="682"/>
      <c r="T3485" s="682"/>
      <c r="U3485" s="682"/>
      <c r="V3485" s="682"/>
      <c r="W3485" s="682"/>
    </row>
    <row r="3486" spans="1:31">
      <c r="A3486" s="1045">
        <f t="shared" si="55"/>
        <v>11</v>
      </c>
      <c r="B3486" s="134">
        <v>45624</v>
      </c>
      <c r="C3486" s="70">
        <v>1100</v>
      </c>
      <c r="D3486" s="70" t="str">
        <f>IFERROR(VLOOKUP(C3486,Mychart!$A$6:$B$123,2,FALSE),"")</f>
        <v>Accounts Receivable</v>
      </c>
      <c r="E3486" s="280" t="s">
        <v>5891</v>
      </c>
      <c r="F3486" s="1049"/>
      <c r="G3486" s="1049">
        <v>44000</v>
      </c>
      <c r="H3486" s="564" t="s">
        <v>5892</v>
      </c>
      <c r="I3486" s="609"/>
      <c r="J3486" s="1155"/>
      <c r="K3486" s="609">
        <v>278</v>
      </c>
      <c r="L3486" s="609">
        <v>113</v>
      </c>
      <c r="M3486" s="609"/>
      <c r="N3486" s="599">
        <v>0</v>
      </c>
      <c r="O3486" s="552" t="s">
        <v>1584</v>
      </c>
      <c r="P3486" s="603"/>
      <c r="Q3486" s="682"/>
      <c r="R3486" s="682"/>
      <c r="S3486" s="682"/>
      <c r="T3486" s="682"/>
      <c r="U3486" s="682"/>
      <c r="V3486" s="682"/>
      <c r="W3486" s="682"/>
      <c r="AE3486" s="2" t="s">
        <v>5903</v>
      </c>
    </row>
    <row r="3487" spans="1:31">
      <c r="A3487" s="1045">
        <f t="shared" si="55"/>
        <v>11</v>
      </c>
      <c r="B3487" s="134">
        <v>45622</v>
      </c>
      <c r="C3487" s="70">
        <v>1100</v>
      </c>
      <c r="D3487" s="70" t="str">
        <f>IFERROR(VLOOKUP(C3487,Mychart!$A$6:$B$123,2,FALSE),"")</f>
        <v>Accounts Receivable</v>
      </c>
      <c r="E3487" s="280" t="s">
        <v>5893</v>
      </c>
      <c r="F3487" s="1049">
        <v>99750</v>
      </c>
      <c r="G3487" s="1049"/>
      <c r="H3487" s="564" t="s">
        <v>5894</v>
      </c>
      <c r="I3487" s="609"/>
      <c r="J3487" s="1155"/>
      <c r="K3487" s="609"/>
      <c r="L3487" s="609"/>
      <c r="M3487" s="609"/>
      <c r="N3487" s="599">
        <v>4750</v>
      </c>
      <c r="O3487" s="552" t="s">
        <v>1584</v>
      </c>
      <c r="P3487" s="603"/>
      <c r="Q3487" s="682"/>
      <c r="R3487" s="682"/>
      <c r="S3487" s="682"/>
      <c r="T3487" s="682"/>
      <c r="U3487" s="682"/>
      <c r="V3487" s="682"/>
      <c r="W3487" s="682"/>
    </row>
    <row r="3488" spans="1:31">
      <c r="A3488" s="1045">
        <f t="shared" si="55"/>
        <v>11</v>
      </c>
      <c r="B3488" s="134">
        <v>45622</v>
      </c>
      <c r="C3488" s="70">
        <v>2018</v>
      </c>
      <c r="D3488" s="70" t="str">
        <f>IFERROR(VLOOKUP(C3488,Mychart!$A$6:$B$123,2,FALSE),"")</f>
        <v>VALUE ADDED TAX - VAT</v>
      </c>
      <c r="E3488" s="280" t="s">
        <v>5893</v>
      </c>
      <c r="F3488" s="1049"/>
      <c r="G3488" s="1049">
        <v>4750</v>
      </c>
      <c r="H3488" s="564" t="s">
        <v>5894</v>
      </c>
      <c r="I3488" s="609"/>
      <c r="J3488" s="1155"/>
      <c r="K3488" s="609"/>
      <c r="L3488" s="609"/>
      <c r="M3488" s="609"/>
      <c r="N3488" s="599"/>
      <c r="O3488" s="552" t="s">
        <v>1584</v>
      </c>
      <c r="P3488" s="603"/>
      <c r="Q3488" s="682"/>
      <c r="R3488" s="682"/>
      <c r="S3488" s="682"/>
      <c r="T3488" s="682"/>
      <c r="U3488" s="682"/>
      <c r="V3488" s="682"/>
      <c r="W3488" s="682"/>
    </row>
    <row r="3489" spans="1:31">
      <c r="A3489" s="1045">
        <f t="shared" si="55"/>
        <v>11</v>
      </c>
      <c r="B3489" s="134">
        <v>45622</v>
      </c>
      <c r="C3489" s="70">
        <v>4000</v>
      </c>
      <c r="D3489" s="70" t="str">
        <f>IFERROR(VLOOKUP(C3489,Mychart!$A$6:$B$123,2,FALSE),"")</f>
        <v>Projects Income</v>
      </c>
      <c r="E3489" s="280" t="s">
        <v>5893</v>
      </c>
      <c r="F3489" s="1049"/>
      <c r="G3489" s="1049">
        <v>95000</v>
      </c>
      <c r="H3489" s="564" t="s">
        <v>5894</v>
      </c>
      <c r="I3489" s="609"/>
      <c r="J3489" s="1155"/>
      <c r="K3489" s="609"/>
      <c r="L3489" s="609"/>
      <c r="M3489" s="609"/>
      <c r="N3489" s="599">
        <v>4750</v>
      </c>
      <c r="O3489" s="552" t="s">
        <v>1584</v>
      </c>
      <c r="P3489" s="603"/>
      <c r="Q3489" s="682"/>
      <c r="R3489" s="682"/>
      <c r="S3489" s="682"/>
      <c r="T3489" s="682"/>
      <c r="U3489" s="682"/>
      <c r="V3489" s="682"/>
      <c r="W3489" s="682"/>
    </row>
    <row r="3490" spans="1:31">
      <c r="A3490" s="1045">
        <f t="shared" si="55"/>
        <v>11</v>
      </c>
      <c r="B3490" s="134">
        <v>45623</v>
      </c>
      <c r="C3490" s="70">
        <v>1022</v>
      </c>
      <c r="D3490" s="70" t="str">
        <f>IFERROR(VLOOKUP(C3490,Mychart!$A$6:$B$123,2,FALSE),"")</f>
        <v>Bank -New NBD</v>
      </c>
      <c r="E3490" s="280" t="s">
        <v>5895</v>
      </c>
      <c r="F3490" s="1049">
        <v>99750</v>
      </c>
      <c r="G3490" s="1049"/>
      <c r="H3490" s="564" t="s">
        <v>5896</v>
      </c>
      <c r="I3490" s="609" t="s">
        <v>4852</v>
      </c>
      <c r="J3490" s="1155"/>
      <c r="K3490" s="609"/>
      <c r="L3490" s="609"/>
      <c r="M3490" s="609"/>
      <c r="N3490" s="599"/>
      <c r="O3490" s="552" t="s">
        <v>1584</v>
      </c>
      <c r="P3490" s="603"/>
      <c r="Q3490" s="682"/>
      <c r="R3490" s="682"/>
      <c r="S3490" s="682"/>
      <c r="T3490" s="682"/>
      <c r="U3490" s="682"/>
      <c r="V3490" s="682"/>
      <c r="W3490" s="682"/>
    </row>
    <row r="3491" spans="1:31">
      <c r="A3491" s="1045">
        <f t="shared" si="55"/>
        <v>11</v>
      </c>
      <c r="B3491" s="134">
        <v>45623</v>
      </c>
      <c r="C3491" s="70">
        <v>1100</v>
      </c>
      <c r="D3491" s="70" t="str">
        <f>IFERROR(VLOOKUP(C3491,Mychart!$A$6:$B$123,2,FALSE),"")</f>
        <v>Accounts Receivable</v>
      </c>
      <c r="E3491" s="280" t="s">
        <v>5895</v>
      </c>
      <c r="F3491" s="1049"/>
      <c r="G3491" s="1049">
        <v>99750</v>
      </c>
      <c r="H3491" s="564" t="s">
        <v>5896</v>
      </c>
      <c r="I3491" s="609"/>
      <c r="J3491" s="1155"/>
      <c r="K3491" s="609">
        <v>293</v>
      </c>
      <c r="L3491" s="609">
        <v>139</v>
      </c>
      <c r="M3491" s="609"/>
      <c r="N3491" s="599">
        <v>4750</v>
      </c>
      <c r="O3491" s="552" t="s">
        <v>1584</v>
      </c>
      <c r="P3491" s="603"/>
      <c r="Q3491" s="682"/>
      <c r="R3491" s="682"/>
      <c r="S3491" s="682"/>
      <c r="T3491" s="682"/>
      <c r="U3491" s="682"/>
      <c r="V3491" s="682"/>
      <c r="W3491" s="682"/>
      <c r="AE3491" s="2" t="s">
        <v>5904</v>
      </c>
    </row>
    <row r="3492" spans="1:31">
      <c r="A3492" s="1045">
        <f t="shared" si="55"/>
        <v>11</v>
      </c>
      <c r="B3492" s="134">
        <v>45622</v>
      </c>
      <c r="C3492" s="70">
        <v>5150</v>
      </c>
      <c r="D3492" s="70" t="str">
        <f>IFERROR(VLOOKUP(C3492,Mychart!$A$6:$B$123,2,FALSE),"")</f>
        <v>Ac Units Cost</v>
      </c>
      <c r="E3492" s="280" t="s">
        <v>5908</v>
      </c>
      <c r="F3492" s="1049">
        <v>33520</v>
      </c>
      <c r="G3492" s="1049"/>
      <c r="H3492" s="564" t="s">
        <v>5909</v>
      </c>
      <c r="I3492" s="609"/>
      <c r="J3492" s="1155"/>
      <c r="K3492" s="609">
        <v>264</v>
      </c>
      <c r="L3492" s="609"/>
      <c r="M3492" s="609"/>
      <c r="N3492" s="599">
        <v>1676</v>
      </c>
      <c r="O3492" s="552" t="s">
        <v>1584</v>
      </c>
      <c r="P3492" s="603"/>
      <c r="Q3492" s="682"/>
      <c r="R3492" s="682"/>
      <c r="S3492" s="682"/>
      <c r="T3492" s="682"/>
      <c r="U3492" s="682"/>
      <c r="V3492" s="682"/>
      <c r="W3492" s="682"/>
      <c r="AE3492" s="2" t="s">
        <v>5912</v>
      </c>
    </row>
    <row r="3493" spans="1:31">
      <c r="A3493" s="1045">
        <f t="shared" si="55"/>
        <v>11</v>
      </c>
      <c r="B3493" s="134">
        <v>45622</v>
      </c>
      <c r="C3493" s="70">
        <v>2018</v>
      </c>
      <c r="D3493" s="70" t="str">
        <f>IFERROR(VLOOKUP(C3493,Mychart!$A$6:$B$123,2,FALSE),"")</f>
        <v>VALUE ADDED TAX - VAT</v>
      </c>
      <c r="E3493" s="280" t="s">
        <v>5908</v>
      </c>
      <c r="F3493" s="1049">
        <v>1676</v>
      </c>
      <c r="G3493" s="1049"/>
      <c r="H3493" s="564" t="s">
        <v>5909</v>
      </c>
      <c r="I3493" s="609"/>
      <c r="J3493" s="1155"/>
      <c r="K3493" s="609"/>
      <c r="L3493" s="609"/>
      <c r="M3493" s="609"/>
      <c r="N3493" s="599"/>
      <c r="O3493" s="552" t="s">
        <v>1584</v>
      </c>
      <c r="P3493" s="603"/>
      <c r="Q3493" s="682"/>
      <c r="R3493" s="682"/>
      <c r="S3493" s="682"/>
      <c r="T3493" s="682"/>
      <c r="U3493" s="682"/>
      <c r="V3493" s="682"/>
      <c r="W3493" s="682"/>
    </row>
    <row r="3494" spans="1:31">
      <c r="A3494" s="1045">
        <f t="shared" si="55"/>
        <v>11</v>
      </c>
      <c r="B3494" s="134">
        <v>45622</v>
      </c>
      <c r="C3494" s="70">
        <v>2000</v>
      </c>
      <c r="D3494" s="70" t="str">
        <f>IFERROR(VLOOKUP(C3494,Mychart!$A$6:$B$123,2,FALSE),"")</f>
        <v>Accounts Payable</v>
      </c>
      <c r="E3494" s="280" t="s">
        <v>5908</v>
      </c>
      <c r="F3494" s="1049"/>
      <c r="G3494" s="1049">
        <v>35196</v>
      </c>
      <c r="H3494" s="564" t="s">
        <v>5909</v>
      </c>
      <c r="I3494" s="609"/>
      <c r="J3494" s="1155"/>
      <c r="K3494" s="609"/>
      <c r="L3494" s="609"/>
      <c r="M3494" s="609" t="s">
        <v>5333</v>
      </c>
      <c r="N3494" s="599">
        <v>1676</v>
      </c>
      <c r="O3494" s="552" t="s">
        <v>1584</v>
      </c>
      <c r="P3494" s="603"/>
      <c r="Q3494" s="682"/>
      <c r="R3494" s="682"/>
      <c r="S3494" s="682"/>
      <c r="T3494" s="682"/>
      <c r="U3494" s="682"/>
      <c r="V3494" s="682"/>
      <c r="W3494" s="682"/>
      <c r="AE3494" s="2" t="s">
        <v>2960</v>
      </c>
    </row>
    <row r="3495" spans="1:31">
      <c r="A3495" s="1045">
        <f t="shared" si="55"/>
        <v>11</v>
      </c>
      <c r="B3495" s="134">
        <v>45622</v>
      </c>
      <c r="C3495" s="70">
        <v>5150</v>
      </c>
      <c r="D3495" s="70" t="str">
        <f>IFERROR(VLOOKUP(C3495,Mychart!$A$6:$B$123,2,FALSE),"")</f>
        <v>Ac Units Cost</v>
      </c>
      <c r="E3495" s="280" t="s">
        <v>5910</v>
      </c>
      <c r="F3495" s="1049">
        <v>9100</v>
      </c>
      <c r="G3495" s="1049"/>
      <c r="H3495" s="564" t="s">
        <v>5911</v>
      </c>
      <c r="I3495" s="609"/>
      <c r="J3495" s="1155"/>
      <c r="K3495" s="609">
        <v>257</v>
      </c>
      <c r="L3495" s="609"/>
      <c r="M3495" s="609"/>
      <c r="N3495" s="599">
        <v>455</v>
      </c>
      <c r="O3495" s="552" t="s">
        <v>1584</v>
      </c>
      <c r="P3495" s="603"/>
      <c r="Q3495" s="682"/>
      <c r="R3495" s="682"/>
      <c r="S3495" s="682"/>
      <c r="T3495" s="682"/>
      <c r="U3495" s="682"/>
      <c r="V3495" s="682"/>
      <c r="W3495" s="682"/>
      <c r="AE3495" s="2" t="s">
        <v>5914</v>
      </c>
    </row>
    <row r="3496" spans="1:31">
      <c r="A3496" s="1045">
        <f t="shared" si="55"/>
        <v>11</v>
      </c>
      <c r="B3496" s="134">
        <v>45622</v>
      </c>
      <c r="C3496" s="70">
        <v>2018</v>
      </c>
      <c r="D3496" s="70" t="str">
        <f>IFERROR(VLOOKUP(C3496,Mychart!$A$6:$B$123,2,FALSE),"")</f>
        <v>VALUE ADDED TAX - VAT</v>
      </c>
      <c r="E3496" s="280" t="s">
        <v>5910</v>
      </c>
      <c r="F3496" s="1049">
        <v>455</v>
      </c>
      <c r="G3496" s="1049"/>
      <c r="H3496" s="564" t="s">
        <v>5911</v>
      </c>
      <c r="I3496" s="609"/>
      <c r="J3496" s="1155"/>
      <c r="K3496" s="609"/>
      <c r="L3496" s="609"/>
      <c r="M3496" s="609"/>
      <c r="N3496" s="599"/>
      <c r="O3496" s="552" t="s">
        <v>1584</v>
      </c>
      <c r="P3496" s="603"/>
      <c r="Q3496" s="682"/>
      <c r="R3496" s="682"/>
      <c r="S3496" s="682"/>
      <c r="T3496" s="682"/>
      <c r="U3496" s="682"/>
      <c r="V3496" s="682"/>
      <c r="W3496" s="682"/>
    </row>
    <row r="3497" spans="1:31">
      <c r="A3497" s="1045">
        <f t="shared" si="55"/>
        <v>11</v>
      </c>
      <c r="B3497" s="134">
        <v>45622</v>
      </c>
      <c r="C3497" s="70">
        <v>2000</v>
      </c>
      <c r="D3497" s="70" t="str">
        <f>IFERROR(VLOOKUP(C3497,Mychart!$A$6:$B$123,2,FALSE),"")</f>
        <v>Accounts Payable</v>
      </c>
      <c r="E3497" s="280" t="s">
        <v>5910</v>
      </c>
      <c r="F3497" s="1049"/>
      <c r="G3497" s="1049">
        <v>9555</v>
      </c>
      <c r="H3497" s="564" t="s">
        <v>5911</v>
      </c>
      <c r="I3497" s="609"/>
      <c r="J3497" s="1155"/>
      <c r="K3497" s="609"/>
      <c r="L3497" s="609"/>
      <c r="M3497" s="609" t="s">
        <v>1259</v>
      </c>
      <c r="N3497" s="599">
        <v>455</v>
      </c>
      <c r="O3497" s="552" t="s">
        <v>1584</v>
      </c>
      <c r="P3497" s="603"/>
      <c r="Q3497" s="682"/>
      <c r="R3497" s="682"/>
      <c r="S3497" s="682"/>
      <c r="T3497" s="682"/>
      <c r="U3497" s="682"/>
      <c r="V3497" s="682"/>
      <c r="W3497" s="682"/>
      <c r="AE3497" s="2" t="s">
        <v>2960</v>
      </c>
    </row>
    <row r="3498" spans="1:31">
      <c r="A3498" s="1045">
        <f t="shared" si="55"/>
        <v>11</v>
      </c>
      <c r="B3498" s="398">
        <v>45625</v>
      </c>
      <c r="C3498" s="70">
        <v>6027</v>
      </c>
      <c r="D3498" s="70" t="str">
        <f>IFERROR(VLOOKUP(C3498,Mychart!$A$6:$B$123,2,FALSE),"")</f>
        <v>Commission Expenses</v>
      </c>
      <c r="E3498" s="280" t="s">
        <v>5944</v>
      </c>
      <c r="F3498" s="1049">
        <v>4000</v>
      </c>
      <c r="G3498" s="1049"/>
      <c r="H3498" s="564" t="s">
        <v>5946</v>
      </c>
      <c r="I3498" s="609"/>
      <c r="J3498" s="1155"/>
      <c r="K3498" s="609">
        <v>293</v>
      </c>
      <c r="L3498" s="609"/>
      <c r="M3498" s="609"/>
      <c r="N3498" s="599"/>
      <c r="O3498" s="552" t="s">
        <v>1584</v>
      </c>
      <c r="P3498" s="603"/>
      <c r="Q3498" s="682"/>
      <c r="R3498" s="682"/>
      <c r="S3498" s="682"/>
      <c r="T3498" s="682"/>
      <c r="U3498" s="682"/>
      <c r="V3498" s="682"/>
      <c r="W3498" s="682"/>
      <c r="AE3498" s="2" t="s">
        <v>5948</v>
      </c>
    </row>
    <row r="3499" spans="1:31">
      <c r="A3499" s="1045">
        <f t="shared" si="55"/>
        <v>11</v>
      </c>
      <c r="B3499" s="134">
        <v>45625</v>
      </c>
      <c r="C3499" s="70">
        <v>1022</v>
      </c>
      <c r="D3499" s="70" t="str">
        <f>IFERROR(VLOOKUP(C3499,Mychart!$A$6:$B$123,2,FALSE),"")</f>
        <v>Bank -New NBD</v>
      </c>
      <c r="E3499" s="280" t="s">
        <v>5945</v>
      </c>
      <c r="F3499" s="1049"/>
      <c r="G3499" s="1049">
        <v>4000</v>
      </c>
      <c r="H3499" s="564" t="s">
        <v>5946</v>
      </c>
      <c r="I3499" s="609" t="s">
        <v>5947</v>
      </c>
      <c r="J3499" s="1155">
        <v>45625</v>
      </c>
      <c r="K3499" s="609"/>
      <c r="L3499" s="609"/>
      <c r="M3499" s="609"/>
      <c r="N3499" s="599"/>
      <c r="O3499" s="552" t="s">
        <v>1584</v>
      </c>
      <c r="P3499" s="603"/>
      <c r="Q3499" s="682"/>
      <c r="R3499" s="682"/>
      <c r="S3499" s="682"/>
      <c r="T3499" s="682"/>
      <c r="U3499" s="682"/>
      <c r="V3499" s="682"/>
      <c r="W3499" s="682"/>
    </row>
    <row r="3500" spans="1:31">
      <c r="A3500" s="1045">
        <f t="shared" si="55"/>
        <v>11</v>
      </c>
      <c r="B3500" s="398">
        <v>45626</v>
      </c>
      <c r="C3500" s="70">
        <v>5150</v>
      </c>
      <c r="D3500" s="70" t="str">
        <f>IFERROR(VLOOKUP(C3500,Mychart!$A$6:$B$123,2,FALSE),"")</f>
        <v>Ac Units Cost</v>
      </c>
      <c r="E3500" s="280" t="s">
        <v>6003</v>
      </c>
      <c r="F3500" s="1049">
        <v>6710</v>
      </c>
      <c r="G3500" s="1049"/>
      <c r="H3500" s="564" t="s">
        <v>6004</v>
      </c>
      <c r="I3500" s="609"/>
      <c r="J3500" s="1155"/>
      <c r="K3500" s="609">
        <v>262</v>
      </c>
      <c r="L3500" s="609"/>
      <c r="M3500" s="609"/>
      <c r="N3500" s="599">
        <v>335.5</v>
      </c>
      <c r="O3500" s="552" t="s">
        <v>1584</v>
      </c>
      <c r="P3500" s="603"/>
      <c r="Q3500" s="682"/>
      <c r="R3500" s="682"/>
      <c r="S3500" s="682"/>
      <c r="T3500" s="682"/>
      <c r="U3500" s="682"/>
      <c r="V3500" s="682"/>
      <c r="W3500" s="682"/>
      <c r="AE3500" s="2" t="s">
        <v>6024</v>
      </c>
    </row>
    <row r="3501" spans="1:31">
      <c r="A3501" s="1045">
        <f t="shared" si="55"/>
        <v>11</v>
      </c>
      <c r="B3501" s="134">
        <v>45626</v>
      </c>
      <c r="C3501" s="70">
        <v>2018</v>
      </c>
      <c r="D3501" s="70" t="str">
        <f>IFERROR(VLOOKUP(C3501,Mychart!$A$6:$B$123,2,FALSE),"")</f>
        <v>VALUE ADDED TAX - VAT</v>
      </c>
      <c r="E3501" s="280" t="s">
        <v>6003</v>
      </c>
      <c r="F3501" s="1049">
        <v>335.5</v>
      </c>
      <c r="G3501" s="1049"/>
      <c r="H3501" s="564" t="s">
        <v>6004</v>
      </c>
      <c r="I3501" s="609"/>
      <c r="J3501" s="1155"/>
      <c r="K3501" s="609"/>
      <c r="L3501" s="609"/>
      <c r="M3501" s="609"/>
      <c r="N3501" s="599"/>
      <c r="O3501" s="552" t="s">
        <v>1584</v>
      </c>
      <c r="P3501" s="603"/>
      <c r="Q3501" s="682"/>
      <c r="R3501" s="682"/>
      <c r="S3501" s="682"/>
      <c r="T3501" s="682"/>
      <c r="U3501" s="682"/>
      <c r="V3501" s="682"/>
      <c r="W3501" s="682"/>
    </row>
    <row r="3502" spans="1:31">
      <c r="A3502" s="1045">
        <f t="shared" si="55"/>
        <v>11</v>
      </c>
      <c r="B3502" s="134">
        <v>45626</v>
      </c>
      <c r="C3502" s="70">
        <v>2000</v>
      </c>
      <c r="D3502" s="70" t="str">
        <f>IFERROR(VLOOKUP(C3502,Mychart!$A$6:$B$123,2,FALSE),"")</f>
        <v>Accounts Payable</v>
      </c>
      <c r="E3502" s="280" t="s">
        <v>6003</v>
      </c>
      <c r="F3502" s="1049"/>
      <c r="G3502" s="1049">
        <v>7045.5</v>
      </c>
      <c r="H3502" s="564" t="s">
        <v>6004</v>
      </c>
      <c r="I3502" s="609"/>
      <c r="J3502" s="1155"/>
      <c r="K3502" s="609"/>
      <c r="L3502" s="609"/>
      <c r="M3502" s="609" t="s">
        <v>5906</v>
      </c>
      <c r="N3502" s="599">
        <v>335.5</v>
      </c>
      <c r="O3502" s="552" t="s">
        <v>1584</v>
      </c>
      <c r="P3502" s="603"/>
      <c r="Q3502" s="682"/>
      <c r="R3502" s="682"/>
      <c r="S3502" s="682"/>
      <c r="T3502" s="682"/>
      <c r="U3502" s="682"/>
      <c r="V3502" s="682"/>
      <c r="W3502" s="682"/>
      <c r="AE3502" s="2" t="s">
        <v>2960</v>
      </c>
    </row>
    <row r="3503" spans="1:31">
      <c r="A3503" s="1045">
        <f t="shared" si="55"/>
        <v>12</v>
      </c>
      <c r="B3503" s="134">
        <v>45630</v>
      </c>
      <c r="C3503" s="70">
        <v>5150</v>
      </c>
      <c r="D3503" s="70">
        <v>5200</v>
      </c>
      <c r="E3503" s="280" t="s">
        <v>6005</v>
      </c>
      <c r="F3503" s="1049">
        <v>185.07</v>
      </c>
      <c r="G3503" s="1049"/>
      <c r="H3503" s="564" t="s">
        <v>6006</v>
      </c>
      <c r="I3503" s="609"/>
      <c r="J3503" s="1155"/>
      <c r="K3503" s="609">
        <v>252</v>
      </c>
      <c r="L3503" s="609"/>
      <c r="M3503" s="609"/>
      <c r="N3503" s="599">
        <v>9.27</v>
      </c>
      <c r="O3503" s="552" t="s">
        <v>1584</v>
      </c>
      <c r="P3503" s="603"/>
      <c r="Q3503" s="682"/>
      <c r="R3503" s="682"/>
      <c r="S3503" s="682"/>
      <c r="T3503" s="682"/>
      <c r="U3503" s="682"/>
      <c r="V3503" s="682"/>
      <c r="W3503" s="682"/>
      <c r="AE3503" s="2" t="s">
        <v>6026</v>
      </c>
    </row>
    <row r="3504" spans="1:31">
      <c r="A3504" s="1045">
        <f t="shared" si="55"/>
        <v>12</v>
      </c>
      <c r="B3504" s="134">
        <v>45630</v>
      </c>
      <c r="C3504" s="70">
        <v>2018</v>
      </c>
      <c r="D3504" s="70" t="str">
        <f>IFERROR(VLOOKUP(C3504,Mychart!$A$6:$B$123,2,FALSE),"")</f>
        <v>VALUE ADDED TAX - VAT</v>
      </c>
      <c r="E3504" s="280" t="s">
        <v>6005</v>
      </c>
      <c r="F3504" s="1049">
        <v>9.27</v>
      </c>
      <c r="G3504" s="1049"/>
      <c r="H3504" s="564" t="s">
        <v>6006</v>
      </c>
      <c r="I3504" s="609"/>
      <c r="J3504" s="1155"/>
      <c r="K3504" s="609"/>
      <c r="L3504" s="609"/>
      <c r="M3504" s="609"/>
      <c r="N3504" s="599"/>
      <c r="O3504" s="552" t="s">
        <v>1584</v>
      </c>
      <c r="P3504" s="603"/>
      <c r="Q3504" s="682"/>
      <c r="R3504" s="682"/>
      <c r="S3504" s="682"/>
      <c r="T3504" s="682"/>
      <c r="U3504" s="682"/>
      <c r="V3504" s="682"/>
      <c r="W3504" s="682"/>
    </row>
    <row r="3505" spans="1:31">
      <c r="A3505" s="1045">
        <f t="shared" si="55"/>
        <v>12</v>
      </c>
      <c r="B3505" s="134">
        <v>45630</v>
      </c>
      <c r="C3505" s="70">
        <v>2000</v>
      </c>
      <c r="D3505" s="70" t="str">
        <f>IFERROR(VLOOKUP(C3505,Mychart!$A$6:$B$123,2,FALSE),"")</f>
        <v>Accounts Payable</v>
      </c>
      <c r="E3505" s="280" t="s">
        <v>6005</v>
      </c>
      <c r="F3505" s="1049"/>
      <c r="G3505" s="1049">
        <v>194.34</v>
      </c>
      <c r="H3505" s="564" t="s">
        <v>6006</v>
      </c>
      <c r="I3505" s="609"/>
      <c r="J3505" s="1155"/>
      <c r="K3505" s="609"/>
      <c r="L3505" s="609"/>
      <c r="M3505" s="609" t="s">
        <v>5719</v>
      </c>
      <c r="N3505" s="599"/>
      <c r="O3505" s="552" t="s">
        <v>1584</v>
      </c>
      <c r="P3505" s="603"/>
      <c r="Q3505" s="682"/>
      <c r="R3505" s="682"/>
      <c r="S3505" s="682"/>
      <c r="T3505" s="682"/>
      <c r="U3505" s="682"/>
      <c r="V3505" s="682"/>
      <c r="W3505" s="682"/>
      <c r="AE3505" s="2" t="s">
        <v>2960</v>
      </c>
    </row>
    <row r="3506" spans="1:31">
      <c r="A3506" s="1045">
        <f t="shared" si="55"/>
        <v>11</v>
      </c>
      <c r="B3506" s="134">
        <v>45626</v>
      </c>
      <c r="C3506" s="70">
        <v>5150</v>
      </c>
      <c r="D3506" s="70" t="str">
        <f>IFERROR(VLOOKUP(C3506,Mychart!$A$6:$B$123,2,FALSE),"")</f>
        <v>Ac Units Cost</v>
      </c>
      <c r="E3506" s="280" t="s">
        <v>6007</v>
      </c>
      <c r="F3506" s="1049">
        <v>1380</v>
      </c>
      <c r="G3506" s="1049"/>
      <c r="H3506" s="564" t="s">
        <v>6008</v>
      </c>
      <c r="I3506" s="609"/>
      <c r="J3506" s="1155"/>
      <c r="K3506" s="609">
        <v>293</v>
      </c>
      <c r="L3506" s="609"/>
      <c r="M3506" s="609"/>
      <c r="N3506" s="599">
        <v>69</v>
      </c>
      <c r="O3506" s="552" t="s">
        <v>1584</v>
      </c>
      <c r="P3506" s="603"/>
      <c r="Q3506" s="682"/>
      <c r="R3506" s="682"/>
      <c r="S3506" s="682"/>
      <c r="T3506" s="682"/>
      <c r="U3506" s="682"/>
      <c r="V3506" s="682"/>
      <c r="W3506" s="682"/>
      <c r="AE3506" s="2" t="s">
        <v>6028</v>
      </c>
    </row>
    <row r="3507" spans="1:31">
      <c r="A3507" s="1045">
        <f t="shared" si="55"/>
        <v>11</v>
      </c>
      <c r="B3507" s="134">
        <v>45626</v>
      </c>
      <c r="C3507" s="70">
        <v>2018</v>
      </c>
      <c r="D3507" s="70" t="str">
        <f>IFERROR(VLOOKUP(C3507,Mychart!$A$6:$B$123,2,FALSE),"")</f>
        <v>VALUE ADDED TAX - VAT</v>
      </c>
      <c r="E3507" s="280" t="s">
        <v>6007</v>
      </c>
      <c r="F3507" s="1049">
        <v>69</v>
      </c>
      <c r="G3507" s="1049"/>
      <c r="H3507" s="564" t="s">
        <v>6008</v>
      </c>
      <c r="I3507" s="609"/>
      <c r="J3507" s="1155"/>
      <c r="K3507" s="609"/>
      <c r="L3507" s="609"/>
      <c r="M3507" s="609"/>
      <c r="N3507" s="599"/>
      <c r="O3507" s="552" t="s">
        <v>1584</v>
      </c>
      <c r="P3507" s="603"/>
      <c r="Q3507" s="682"/>
      <c r="R3507" s="682"/>
      <c r="S3507" s="682"/>
      <c r="T3507" s="682"/>
      <c r="U3507" s="682"/>
      <c r="V3507" s="682"/>
      <c r="W3507" s="682"/>
    </row>
    <row r="3508" spans="1:31">
      <c r="A3508" s="1045">
        <f t="shared" si="55"/>
        <v>11</v>
      </c>
      <c r="B3508" s="134">
        <v>45626</v>
      </c>
      <c r="C3508" s="70">
        <v>2000</v>
      </c>
      <c r="D3508" s="70" t="str">
        <f>IFERROR(VLOOKUP(C3508,Mychart!$A$6:$B$123,2,FALSE),"")</f>
        <v>Accounts Payable</v>
      </c>
      <c r="E3508" s="280" t="s">
        <v>6007</v>
      </c>
      <c r="F3508" s="1049"/>
      <c r="G3508" s="1049">
        <v>1449</v>
      </c>
      <c r="H3508" s="564" t="s">
        <v>6008</v>
      </c>
      <c r="I3508" s="609"/>
      <c r="J3508" s="1155"/>
      <c r="K3508" s="609"/>
      <c r="L3508" s="609"/>
      <c r="M3508" s="609" t="s">
        <v>5725</v>
      </c>
      <c r="N3508" s="599">
        <v>69</v>
      </c>
      <c r="O3508" s="552" t="s">
        <v>1584</v>
      </c>
      <c r="P3508" s="603"/>
      <c r="Q3508" s="682"/>
      <c r="R3508" s="682"/>
      <c r="S3508" s="682"/>
      <c r="T3508" s="682"/>
      <c r="U3508" s="682"/>
      <c r="V3508" s="682"/>
      <c r="W3508" s="682"/>
      <c r="AE3508" s="2" t="s">
        <v>2960</v>
      </c>
    </row>
    <row r="3509" spans="1:31">
      <c r="A3509" s="1045">
        <f t="shared" si="55"/>
        <v>11</v>
      </c>
      <c r="B3509" s="134">
        <v>45626</v>
      </c>
      <c r="C3509" s="70">
        <v>5150</v>
      </c>
      <c r="D3509" s="70" t="str">
        <f>IFERROR(VLOOKUP(C3509,Mychart!$A$6:$B$123,2,FALSE),"")</f>
        <v>Ac Units Cost</v>
      </c>
      <c r="E3509" s="280" t="s">
        <v>6009</v>
      </c>
      <c r="F3509" s="1049">
        <v>952.39</v>
      </c>
      <c r="G3509" s="1049"/>
      <c r="H3509" s="564" t="s">
        <v>6010</v>
      </c>
      <c r="I3509" s="609"/>
      <c r="J3509" s="1155"/>
      <c r="K3509" s="609">
        <v>242</v>
      </c>
      <c r="L3509" s="609"/>
      <c r="M3509" s="609"/>
      <c r="N3509" s="599">
        <v>47.62</v>
      </c>
      <c r="O3509" s="552" t="s">
        <v>1584</v>
      </c>
      <c r="P3509" s="603"/>
      <c r="Q3509" s="682"/>
      <c r="R3509" s="682"/>
      <c r="S3509" s="682"/>
      <c r="T3509" s="682"/>
      <c r="U3509" s="682"/>
      <c r="V3509" s="682"/>
      <c r="W3509" s="682"/>
      <c r="AE3509" s="2" t="s">
        <v>6030</v>
      </c>
    </row>
    <row r="3510" spans="1:31">
      <c r="A3510" s="1045">
        <f t="shared" si="55"/>
        <v>11</v>
      </c>
      <c r="B3510" s="134">
        <v>45626</v>
      </c>
      <c r="C3510" s="70">
        <v>2018</v>
      </c>
      <c r="D3510" s="70" t="str">
        <f>IFERROR(VLOOKUP(C3510,Mychart!$A$6:$B$123,2,FALSE),"")</f>
        <v>VALUE ADDED TAX - VAT</v>
      </c>
      <c r="E3510" s="280" t="s">
        <v>6009</v>
      </c>
      <c r="F3510" s="1049">
        <v>47.62</v>
      </c>
      <c r="G3510" s="1049"/>
      <c r="H3510" s="564" t="s">
        <v>6010</v>
      </c>
      <c r="I3510" s="609"/>
      <c r="J3510" s="1155"/>
      <c r="K3510" s="609"/>
      <c r="L3510" s="609"/>
      <c r="M3510" s="609"/>
      <c r="N3510" s="599"/>
      <c r="O3510" s="552" t="s">
        <v>1584</v>
      </c>
      <c r="P3510" s="603"/>
      <c r="Q3510" s="682"/>
      <c r="R3510" s="682"/>
      <c r="S3510" s="682"/>
      <c r="T3510" s="682"/>
      <c r="U3510" s="682"/>
      <c r="V3510" s="682"/>
      <c r="W3510" s="682"/>
    </row>
    <row r="3511" spans="1:31">
      <c r="A3511" s="1045">
        <f t="shared" si="55"/>
        <v>11</v>
      </c>
      <c r="B3511" s="134">
        <v>45626</v>
      </c>
      <c r="C3511" s="70">
        <v>2000</v>
      </c>
      <c r="D3511" s="70" t="str">
        <f>IFERROR(VLOOKUP(C3511,Mychart!$A$6:$B$123,2,FALSE),"")</f>
        <v>Accounts Payable</v>
      </c>
      <c r="E3511" s="280" t="s">
        <v>6009</v>
      </c>
      <c r="F3511" s="1049"/>
      <c r="G3511" s="1049">
        <v>1000.01</v>
      </c>
      <c r="H3511" s="564" t="s">
        <v>6010</v>
      </c>
      <c r="I3511" s="609"/>
      <c r="J3511" s="1155"/>
      <c r="K3511" s="609"/>
      <c r="L3511" s="609"/>
      <c r="M3511" s="609" t="s">
        <v>5795</v>
      </c>
      <c r="N3511" s="599">
        <v>47.62</v>
      </c>
      <c r="O3511" s="552" t="s">
        <v>1584</v>
      </c>
      <c r="P3511" s="603"/>
      <c r="Q3511" s="682"/>
      <c r="R3511" s="682"/>
      <c r="S3511" s="682"/>
      <c r="T3511" s="682"/>
      <c r="U3511" s="682"/>
      <c r="V3511" s="682"/>
      <c r="W3511" s="682"/>
      <c r="AE3511" s="2" t="s">
        <v>2960</v>
      </c>
    </row>
    <row r="3512" spans="1:31">
      <c r="A3512" s="1045">
        <f t="shared" si="55"/>
        <v>11</v>
      </c>
      <c r="B3512" s="134">
        <v>45626</v>
      </c>
      <c r="C3512" s="70">
        <v>5150</v>
      </c>
      <c r="D3512" s="70" t="str">
        <f>IFERROR(VLOOKUP(C3512,Mychart!$A$6:$B$123,2,FALSE),"")</f>
        <v>Ac Units Cost</v>
      </c>
      <c r="E3512" s="280" t="s">
        <v>6011</v>
      </c>
      <c r="F3512" s="1049">
        <v>1095.3699999999999</v>
      </c>
      <c r="G3512" s="1049"/>
      <c r="H3512" s="564" t="s">
        <v>6012</v>
      </c>
      <c r="I3512" s="609"/>
      <c r="J3512" s="1155"/>
      <c r="K3512" s="609">
        <v>262</v>
      </c>
      <c r="L3512" s="609"/>
      <c r="M3512" s="609"/>
      <c r="N3512" s="599">
        <v>54.77</v>
      </c>
      <c r="O3512" s="552" t="s">
        <v>1584</v>
      </c>
      <c r="P3512" s="603"/>
      <c r="Q3512" s="682"/>
      <c r="R3512" s="682"/>
      <c r="S3512" s="682"/>
      <c r="T3512" s="682"/>
      <c r="U3512" s="682"/>
      <c r="V3512" s="682"/>
      <c r="W3512" s="682"/>
      <c r="AE3512" s="2" t="s">
        <v>6032</v>
      </c>
    </row>
    <row r="3513" spans="1:31">
      <c r="A3513" s="1045">
        <f t="shared" si="55"/>
        <v>11</v>
      </c>
      <c r="B3513" s="134">
        <v>45626</v>
      </c>
      <c r="C3513" s="70">
        <v>2018</v>
      </c>
      <c r="D3513" s="70" t="str">
        <f>IFERROR(VLOOKUP(C3513,Mychart!$A$6:$B$123,2,FALSE),"")</f>
        <v>VALUE ADDED TAX - VAT</v>
      </c>
      <c r="E3513" s="280" t="s">
        <v>6011</v>
      </c>
      <c r="F3513" s="1049">
        <v>54.77</v>
      </c>
      <c r="G3513" s="1049"/>
      <c r="H3513" s="564" t="s">
        <v>6012</v>
      </c>
      <c r="I3513" s="609"/>
      <c r="J3513" s="1155"/>
      <c r="K3513" s="609"/>
      <c r="L3513" s="609"/>
      <c r="M3513" s="609"/>
      <c r="N3513" s="599"/>
      <c r="O3513" s="552" t="s">
        <v>1584</v>
      </c>
      <c r="P3513" s="603"/>
      <c r="Q3513" s="682"/>
      <c r="R3513" s="682"/>
      <c r="S3513" s="682"/>
      <c r="T3513" s="682"/>
      <c r="U3513" s="682"/>
      <c r="V3513" s="682"/>
      <c r="W3513" s="682"/>
    </row>
    <row r="3514" spans="1:31">
      <c r="A3514" s="1045">
        <f t="shared" si="55"/>
        <v>11</v>
      </c>
      <c r="B3514" s="134">
        <v>45626</v>
      </c>
      <c r="C3514" s="70">
        <v>2000</v>
      </c>
      <c r="D3514" s="70" t="str">
        <f>IFERROR(VLOOKUP(C3514,Mychart!$A$6:$B$123,2,FALSE),"")</f>
        <v>Accounts Payable</v>
      </c>
      <c r="E3514" s="280" t="s">
        <v>6011</v>
      </c>
      <c r="F3514" s="1049"/>
      <c r="G3514" s="1049">
        <v>1150.1500000000001</v>
      </c>
      <c r="H3514" s="564" t="s">
        <v>6012</v>
      </c>
      <c r="I3514" s="609"/>
      <c r="J3514" s="1155"/>
      <c r="K3514" s="609"/>
      <c r="L3514" s="609"/>
      <c r="M3514" s="609" t="s">
        <v>5836</v>
      </c>
      <c r="N3514" s="599">
        <v>54.77</v>
      </c>
      <c r="O3514" s="552" t="s">
        <v>1584</v>
      </c>
      <c r="P3514" s="603"/>
      <c r="Q3514" s="682"/>
      <c r="R3514" s="682"/>
      <c r="S3514" s="682"/>
      <c r="T3514" s="682"/>
      <c r="U3514" s="682"/>
      <c r="V3514" s="682"/>
      <c r="W3514" s="682"/>
      <c r="AE3514" s="2" t="s">
        <v>5738</v>
      </c>
    </row>
    <row r="3515" spans="1:31">
      <c r="A3515" s="1045">
        <f t="shared" si="55"/>
        <v>12</v>
      </c>
      <c r="B3515" s="134">
        <v>45631</v>
      </c>
      <c r="C3515" s="70">
        <v>4000</v>
      </c>
      <c r="D3515" s="70" t="str">
        <f>IFERROR(VLOOKUP(C3515,Mychart!$A$6:$B$123,2,FALSE),"")</f>
        <v>Projects Income</v>
      </c>
      <c r="E3515" s="280" t="s">
        <v>6013</v>
      </c>
      <c r="F3515" s="1049">
        <v>53215</v>
      </c>
      <c r="G3515" s="1049"/>
      <c r="H3515" s="564" t="s">
        <v>6016</v>
      </c>
      <c r="I3515" s="609"/>
      <c r="J3515" s="1155"/>
      <c r="K3515" s="609"/>
      <c r="L3515" s="609"/>
      <c r="M3515" s="609"/>
      <c r="N3515" s="599"/>
      <c r="O3515" s="552" t="s">
        <v>1584</v>
      </c>
      <c r="P3515" s="603"/>
      <c r="Q3515" s="682"/>
      <c r="R3515" s="682"/>
      <c r="S3515" s="682"/>
      <c r="T3515" s="682"/>
      <c r="U3515" s="682"/>
      <c r="V3515" s="682"/>
      <c r="W3515" s="682"/>
    </row>
    <row r="3516" spans="1:31">
      <c r="A3516" s="1045">
        <f t="shared" si="55"/>
        <v>12</v>
      </c>
      <c r="B3516" s="134">
        <v>45631</v>
      </c>
      <c r="C3516" s="70">
        <v>4000</v>
      </c>
      <c r="D3516" s="70" t="str">
        <f>IFERROR(VLOOKUP(C3516,Mychart!$A$6:$B$123,2,FALSE),"")</f>
        <v>Projects Income</v>
      </c>
      <c r="E3516" s="280" t="s">
        <v>6014</v>
      </c>
      <c r="F3516" s="1049">
        <v>3350</v>
      </c>
      <c r="G3516" s="1049"/>
      <c r="H3516" s="564" t="s">
        <v>6016</v>
      </c>
      <c r="I3516" s="609"/>
      <c r="J3516" s="1155"/>
      <c r="K3516" s="609"/>
      <c r="L3516" s="609"/>
      <c r="M3516" s="609"/>
      <c r="N3516" s="599"/>
      <c r="O3516" s="552" t="s">
        <v>1584</v>
      </c>
      <c r="P3516" s="603"/>
      <c r="Q3516" s="682"/>
      <c r="R3516" s="682"/>
      <c r="S3516" s="682"/>
      <c r="T3516" s="682"/>
      <c r="U3516" s="682"/>
      <c r="V3516" s="682"/>
      <c r="W3516" s="682"/>
    </row>
    <row r="3517" spans="1:31">
      <c r="A3517" s="1045">
        <f t="shared" si="55"/>
        <v>12</v>
      </c>
      <c r="B3517" s="134">
        <v>45631</v>
      </c>
      <c r="C3517" s="70">
        <v>2018</v>
      </c>
      <c r="D3517" s="70" t="str">
        <f>IFERROR(VLOOKUP(C3517,Mychart!$A$6:$B$123,2,FALSE),"")</f>
        <v>VALUE ADDED TAX - VAT</v>
      </c>
      <c r="E3517" s="280" t="s">
        <v>6013</v>
      </c>
      <c r="F3517" s="1049">
        <v>2828.25</v>
      </c>
      <c r="G3517" s="1049"/>
      <c r="H3517" s="564" t="s">
        <v>6016</v>
      </c>
      <c r="I3517" s="609"/>
      <c r="J3517" s="1155"/>
      <c r="K3517" s="609"/>
      <c r="L3517" s="609"/>
      <c r="M3517" s="609"/>
      <c r="N3517" s="599"/>
      <c r="O3517" s="552" t="s">
        <v>1584</v>
      </c>
      <c r="P3517" s="603"/>
      <c r="Q3517" s="682"/>
      <c r="R3517" s="682"/>
      <c r="S3517" s="682"/>
      <c r="T3517" s="682"/>
      <c r="U3517" s="682"/>
      <c r="V3517" s="682"/>
      <c r="W3517" s="682"/>
    </row>
    <row r="3518" spans="1:31">
      <c r="A3518" s="1045">
        <f t="shared" si="55"/>
        <v>12</v>
      </c>
      <c r="B3518" s="134">
        <v>45631</v>
      </c>
      <c r="C3518" s="70">
        <v>1100</v>
      </c>
      <c r="D3518" s="70" t="str">
        <f>IFERROR(VLOOKUP(C3518,Mychart!$A$6:$B$123,2,FALSE),"")</f>
        <v>Accounts Receivable</v>
      </c>
      <c r="E3518" s="280" t="s">
        <v>6015</v>
      </c>
      <c r="F3518" s="1049"/>
      <c r="G3518" s="1049">
        <v>59393.25</v>
      </c>
      <c r="H3518" s="564" t="s">
        <v>6016</v>
      </c>
      <c r="I3518" s="609"/>
      <c r="J3518" s="1155"/>
      <c r="K3518" s="609"/>
      <c r="L3518" s="609"/>
      <c r="M3518" s="609"/>
      <c r="N3518" s="599"/>
      <c r="O3518" s="552" t="s">
        <v>1584</v>
      </c>
      <c r="P3518" s="603"/>
      <c r="Q3518" s="682"/>
      <c r="R3518" s="682"/>
      <c r="S3518" s="682"/>
      <c r="T3518" s="682"/>
      <c r="U3518" s="682"/>
      <c r="V3518" s="682"/>
      <c r="W3518" s="682"/>
    </row>
    <row r="3519" spans="1:31">
      <c r="A3519" s="1045">
        <f t="shared" si="55"/>
        <v>12</v>
      </c>
      <c r="B3519" s="134">
        <v>45631</v>
      </c>
      <c r="C3519" s="70">
        <v>1022</v>
      </c>
      <c r="D3519" s="70" t="str">
        <f>IFERROR(VLOOKUP(C3519,Mychart!$A$6:$B$123,2,FALSE),"")</f>
        <v>Bank -New NBD</v>
      </c>
      <c r="E3519" s="280" t="s">
        <v>6017</v>
      </c>
      <c r="F3519" s="1049">
        <v>59393.5</v>
      </c>
      <c r="G3519" s="1049"/>
      <c r="H3519" s="564" t="s">
        <v>6018</v>
      </c>
      <c r="I3519" s="609" t="s">
        <v>4852</v>
      </c>
      <c r="J3519" s="1155"/>
      <c r="K3519" s="609"/>
      <c r="L3519" s="609"/>
      <c r="M3519" s="609"/>
      <c r="N3519" s="599"/>
      <c r="O3519" s="552" t="s">
        <v>1584</v>
      </c>
      <c r="P3519" s="603"/>
      <c r="Q3519" s="682"/>
      <c r="R3519" s="682"/>
      <c r="S3519" s="682"/>
      <c r="T3519" s="682"/>
      <c r="U3519" s="682"/>
      <c r="V3519" s="682"/>
      <c r="W3519" s="682"/>
    </row>
    <row r="3520" spans="1:31">
      <c r="A3520" s="1045">
        <f t="shared" si="55"/>
        <v>12</v>
      </c>
      <c r="B3520" s="134">
        <v>45631</v>
      </c>
      <c r="C3520" s="70">
        <v>1100</v>
      </c>
      <c r="D3520" s="70" t="str">
        <f>IFERROR(VLOOKUP(C3520,Mychart!$A$6:$B$123,2,FALSE),"")</f>
        <v>Accounts Receivable</v>
      </c>
      <c r="E3520" s="280" t="s">
        <v>6017</v>
      </c>
      <c r="F3520" s="1049"/>
      <c r="G3520" s="1049">
        <v>59393.5</v>
      </c>
      <c r="H3520" s="564" t="s">
        <v>6018</v>
      </c>
      <c r="I3520" s="609"/>
      <c r="J3520" s="1155"/>
      <c r="K3520" s="609">
        <v>255</v>
      </c>
      <c r="L3520" s="609">
        <v>149</v>
      </c>
      <c r="M3520" s="609"/>
      <c r="N3520" s="599">
        <v>2828.25</v>
      </c>
      <c r="O3520" s="552" t="s">
        <v>1584</v>
      </c>
      <c r="P3520" s="603"/>
      <c r="Q3520" s="682"/>
      <c r="R3520" s="682"/>
      <c r="S3520" s="682"/>
      <c r="T3520" s="682"/>
      <c r="U3520" s="682"/>
      <c r="V3520" s="682"/>
      <c r="W3520" s="682"/>
      <c r="AE3520" s="2" t="s">
        <v>6033</v>
      </c>
    </row>
    <row r="3521" spans="1:31">
      <c r="A3521" s="1045">
        <f t="shared" si="55"/>
        <v>12</v>
      </c>
      <c r="B3521" s="134">
        <v>45631</v>
      </c>
      <c r="C3521" s="70">
        <v>1017</v>
      </c>
      <c r="D3521" s="70" t="str">
        <f>IFERROR(VLOOKUP(C3521,Mychart!$A$6:$B$123,2,FALSE),"")</f>
        <v>Mr.Sijeesh Custody</v>
      </c>
      <c r="E3521" s="280" t="s">
        <v>6019</v>
      </c>
      <c r="F3521" s="1049">
        <v>20000</v>
      </c>
      <c r="G3521" s="1049"/>
      <c r="H3521" s="564" t="s">
        <v>6020</v>
      </c>
      <c r="I3521" s="609"/>
      <c r="J3521" s="1155"/>
      <c r="K3521" s="609"/>
      <c r="L3521" s="609"/>
      <c r="M3521" s="609"/>
      <c r="N3521" s="599"/>
      <c r="O3521" s="552" t="s">
        <v>1584</v>
      </c>
      <c r="P3521" s="603"/>
      <c r="Q3521" s="682"/>
      <c r="R3521" s="682"/>
      <c r="S3521" s="682"/>
      <c r="T3521" s="682"/>
      <c r="U3521" s="682"/>
      <c r="V3521" s="682"/>
      <c r="W3521" s="682"/>
    </row>
    <row r="3522" spans="1:31">
      <c r="A3522" s="1045">
        <f t="shared" si="55"/>
        <v>12</v>
      </c>
      <c r="B3522" s="134">
        <v>45631</v>
      </c>
      <c r="C3522" s="70">
        <v>1022</v>
      </c>
      <c r="D3522" s="70" t="str">
        <f>IFERROR(VLOOKUP(C3522,Mychart!$A$6:$B$123,2,FALSE),"")</f>
        <v>Bank -New NBD</v>
      </c>
      <c r="E3522" s="280" t="s">
        <v>6019</v>
      </c>
      <c r="F3522" s="1049"/>
      <c r="G3522" s="1049">
        <v>20000</v>
      </c>
      <c r="H3522" s="564" t="s">
        <v>6020</v>
      </c>
      <c r="I3522" s="609"/>
      <c r="J3522" s="1155"/>
      <c r="K3522" s="609"/>
      <c r="L3522" s="609"/>
      <c r="M3522" s="609"/>
      <c r="N3522" s="599"/>
      <c r="O3522" s="552" t="s">
        <v>1584</v>
      </c>
      <c r="P3522" s="603"/>
      <c r="Q3522" s="682"/>
      <c r="R3522" s="682"/>
      <c r="S3522" s="682"/>
      <c r="T3522" s="682"/>
      <c r="U3522" s="682"/>
      <c r="V3522" s="682"/>
      <c r="W3522" s="682"/>
    </row>
    <row r="3523" spans="1:31">
      <c r="A3523" s="1045">
        <f t="shared" si="55"/>
        <v>12</v>
      </c>
      <c r="B3523" s="134">
        <v>45633</v>
      </c>
      <c r="C3523" s="70">
        <v>6009</v>
      </c>
      <c r="D3523" s="70" t="str">
        <f>IFERROR(VLOOKUP(C3523,Mychart!$A$6:$B$123,2,FALSE),"")</f>
        <v>Internet Expenses</v>
      </c>
      <c r="E3523" s="280" t="s">
        <v>6021</v>
      </c>
      <c r="F3523" s="1049">
        <v>425</v>
      </c>
      <c r="G3523" s="1049"/>
      <c r="H3523" s="564" t="s">
        <v>6022</v>
      </c>
      <c r="I3523" s="609"/>
      <c r="J3523" s="1155"/>
      <c r="K3523" s="609"/>
      <c r="L3523" s="609"/>
      <c r="M3523" s="609"/>
      <c r="N3523" s="599"/>
      <c r="O3523" s="552" t="s">
        <v>1584</v>
      </c>
      <c r="P3523" s="603"/>
      <c r="Q3523" s="682"/>
      <c r="R3523" s="682"/>
      <c r="S3523" s="682"/>
      <c r="T3523" s="682"/>
      <c r="U3523" s="682"/>
      <c r="V3523" s="682"/>
      <c r="W3523" s="682"/>
    </row>
    <row r="3524" spans="1:31">
      <c r="A3524" s="1045">
        <f t="shared" si="55"/>
        <v>12</v>
      </c>
      <c r="B3524" s="134">
        <v>45633</v>
      </c>
      <c r="C3524" s="70">
        <v>2018</v>
      </c>
      <c r="D3524" s="70" t="str">
        <f>IFERROR(VLOOKUP(C3524,Mychart!$A$6:$B$123,2,FALSE),"")</f>
        <v>VALUE ADDED TAX - VAT</v>
      </c>
      <c r="E3524" s="280" t="s">
        <v>6021</v>
      </c>
      <c r="F3524" s="1049">
        <v>21.25</v>
      </c>
      <c r="G3524" s="1049"/>
      <c r="H3524" s="564" t="s">
        <v>6022</v>
      </c>
      <c r="I3524" s="609"/>
      <c r="J3524" s="1155"/>
      <c r="K3524" s="609"/>
      <c r="L3524" s="609"/>
      <c r="M3524" s="609"/>
      <c r="N3524" s="599"/>
      <c r="O3524" s="552" t="s">
        <v>1584</v>
      </c>
      <c r="P3524" s="603"/>
      <c r="Q3524" s="682"/>
      <c r="R3524" s="682"/>
      <c r="S3524" s="682"/>
      <c r="T3524" s="682"/>
      <c r="U3524" s="682"/>
      <c r="V3524" s="682"/>
      <c r="W3524" s="682"/>
    </row>
    <row r="3525" spans="1:31">
      <c r="A3525" s="1045">
        <f t="shared" si="55"/>
        <v>12</v>
      </c>
      <c r="B3525" s="134">
        <v>45633</v>
      </c>
      <c r="C3525" s="70">
        <v>2000</v>
      </c>
      <c r="D3525" s="70" t="str">
        <f>IFERROR(VLOOKUP(C3525,Mychart!$A$6:$B$123,2,FALSE),"")</f>
        <v>Accounts Payable</v>
      </c>
      <c r="E3525" s="280" t="s">
        <v>6021</v>
      </c>
      <c r="F3525" s="1049"/>
      <c r="G3525" s="1049">
        <v>446.25</v>
      </c>
      <c r="H3525" s="564" t="s">
        <v>6022</v>
      </c>
      <c r="I3525" s="609"/>
      <c r="J3525" s="1155"/>
      <c r="K3525" s="609"/>
      <c r="L3525" s="609"/>
      <c r="M3525" s="609"/>
      <c r="N3525" s="599"/>
      <c r="O3525" s="552" t="s">
        <v>1584</v>
      </c>
      <c r="P3525" s="603"/>
      <c r="Q3525" s="682"/>
      <c r="R3525" s="682"/>
      <c r="S3525" s="682"/>
      <c r="T3525" s="682"/>
      <c r="U3525" s="682"/>
      <c r="V3525" s="682"/>
      <c r="W3525" s="682"/>
    </row>
    <row r="3526" spans="1:31">
      <c r="A3526" s="1045">
        <f t="shared" si="55"/>
        <v>12</v>
      </c>
      <c r="B3526" s="134">
        <v>45633</v>
      </c>
      <c r="C3526" s="70">
        <v>2000</v>
      </c>
      <c r="D3526" s="70" t="str">
        <f>IFERROR(VLOOKUP(C3526,Mychart!$A$6:$B$123,2,FALSE),"")</f>
        <v>Accounts Payable</v>
      </c>
      <c r="E3526" s="280" t="s">
        <v>6023</v>
      </c>
      <c r="F3526" s="1049">
        <v>446.25</v>
      </c>
      <c r="G3526" s="1049"/>
      <c r="H3526" s="564"/>
      <c r="I3526" s="609"/>
      <c r="J3526" s="1155"/>
      <c r="K3526" s="609"/>
      <c r="L3526" s="609"/>
      <c r="M3526" s="609"/>
      <c r="N3526" s="599"/>
      <c r="O3526" s="552" t="s">
        <v>1584</v>
      </c>
      <c r="P3526" s="603"/>
      <c r="Q3526" s="682"/>
      <c r="R3526" s="682"/>
      <c r="S3526" s="682"/>
      <c r="T3526" s="682"/>
      <c r="U3526" s="682"/>
      <c r="V3526" s="682"/>
      <c r="W3526" s="682"/>
    </row>
    <row r="3527" spans="1:31">
      <c r="A3527" s="1045">
        <f t="shared" si="55"/>
        <v>12</v>
      </c>
      <c r="B3527" s="134">
        <v>45633</v>
      </c>
      <c r="C3527" s="70">
        <v>1025</v>
      </c>
      <c r="D3527" s="70" t="str">
        <f>IFERROR(VLOOKUP(C3527,Mychart!$A$6:$B$123,2,FALSE),"")</f>
        <v xml:space="preserve"> Eng-Mohamed - Custodu</v>
      </c>
      <c r="E3527" s="280" t="s">
        <v>6023</v>
      </c>
      <c r="F3527" s="1049"/>
      <c r="G3527" s="1049">
        <v>446.25</v>
      </c>
      <c r="H3527" s="564"/>
      <c r="I3527" s="609"/>
      <c r="J3527" s="1155"/>
      <c r="K3527" s="609"/>
      <c r="L3527" s="609"/>
      <c r="M3527" s="609"/>
      <c r="N3527" s="599"/>
      <c r="O3527" s="552" t="s">
        <v>1584</v>
      </c>
      <c r="P3527" s="603"/>
      <c r="Q3527" s="682"/>
      <c r="R3527" s="682"/>
      <c r="S3527" s="682"/>
      <c r="T3527" s="682"/>
      <c r="U3527" s="682"/>
      <c r="V3527" s="682"/>
      <c r="W3527" s="682"/>
    </row>
    <row r="3528" spans="1:31">
      <c r="A3528" s="1045">
        <f t="shared" si="55"/>
        <v>12</v>
      </c>
      <c r="B3528" s="398">
        <v>45630</v>
      </c>
      <c r="C3528" s="70">
        <v>1100</v>
      </c>
      <c r="D3528" s="70" t="str">
        <f>IFERROR(VLOOKUP(C3528,Mychart!$A$6:$B$123,2,FALSE),"")</f>
        <v>Accounts Receivable</v>
      </c>
      <c r="E3528" s="280" t="s">
        <v>6052</v>
      </c>
      <c r="F3528" s="1049">
        <v>29137.5</v>
      </c>
      <c r="G3528" s="1049"/>
      <c r="H3528" s="564" t="s">
        <v>6050</v>
      </c>
      <c r="I3528" s="609"/>
      <c r="J3528" s="1155"/>
      <c r="K3528" s="609"/>
      <c r="L3528" s="609"/>
      <c r="M3528" s="609"/>
      <c r="N3528" s="599">
        <v>1387.5</v>
      </c>
      <c r="O3528" s="552" t="s">
        <v>1584</v>
      </c>
      <c r="P3528" s="603"/>
      <c r="Q3528" s="682"/>
      <c r="R3528" s="682"/>
      <c r="S3528" s="682"/>
      <c r="T3528" s="682"/>
      <c r="U3528" s="682"/>
      <c r="V3528" s="682"/>
      <c r="W3528" s="682"/>
    </row>
    <row r="3529" spans="1:31">
      <c r="A3529" s="1045">
        <f t="shared" si="55"/>
        <v>12</v>
      </c>
      <c r="B3529" s="134">
        <v>45630</v>
      </c>
      <c r="C3529" s="70">
        <v>2018</v>
      </c>
      <c r="D3529" s="70" t="str">
        <f>IFERROR(VLOOKUP(C3529,Mychart!$A$6:$B$123,2,FALSE),"")</f>
        <v>VALUE ADDED TAX - VAT</v>
      </c>
      <c r="E3529" s="280" t="s">
        <v>6052</v>
      </c>
      <c r="F3529" s="1049"/>
      <c r="G3529" s="1049">
        <v>1387.5</v>
      </c>
      <c r="H3529" s="564" t="s">
        <v>6050</v>
      </c>
      <c r="I3529" s="609"/>
      <c r="J3529" s="1155"/>
      <c r="K3529" s="609"/>
      <c r="L3529" s="609"/>
      <c r="M3529" s="609"/>
      <c r="N3529" s="599"/>
      <c r="O3529" s="552" t="s">
        <v>1584</v>
      </c>
      <c r="P3529" s="603"/>
      <c r="Q3529" s="682"/>
      <c r="R3529" s="682"/>
      <c r="S3529" s="682"/>
      <c r="T3529" s="682"/>
      <c r="U3529" s="682"/>
      <c r="V3529" s="682"/>
      <c r="W3529" s="682"/>
    </row>
    <row r="3530" spans="1:31">
      <c r="A3530" s="1045">
        <f t="shared" si="55"/>
        <v>12</v>
      </c>
      <c r="B3530" s="134">
        <v>45630</v>
      </c>
      <c r="C3530" s="70">
        <v>4000</v>
      </c>
      <c r="D3530" s="70" t="str">
        <f>IFERROR(VLOOKUP(C3530,Mychart!$A$6:$B$123,2,FALSE),"")</f>
        <v>Projects Income</v>
      </c>
      <c r="E3530" s="280" t="s">
        <v>6052</v>
      </c>
      <c r="F3530" s="1049"/>
      <c r="G3530" s="1049">
        <v>27750</v>
      </c>
      <c r="H3530" s="564" t="s">
        <v>6050</v>
      </c>
      <c r="I3530" s="609"/>
      <c r="J3530" s="1155"/>
      <c r="K3530" s="609"/>
      <c r="L3530" s="609"/>
      <c r="M3530" s="609"/>
      <c r="N3530" s="599">
        <v>1387.5</v>
      </c>
      <c r="O3530" s="552" t="s">
        <v>1584</v>
      </c>
      <c r="P3530" s="603"/>
      <c r="Q3530" s="682"/>
      <c r="R3530" s="682"/>
      <c r="S3530" s="682"/>
      <c r="T3530" s="682"/>
      <c r="U3530" s="682"/>
      <c r="V3530" s="682"/>
      <c r="W3530" s="682"/>
    </row>
    <row r="3531" spans="1:31">
      <c r="A3531" s="1045">
        <f t="shared" si="55"/>
        <v>12</v>
      </c>
      <c r="B3531" s="134">
        <v>45631</v>
      </c>
      <c r="C3531" s="70">
        <v>1025</v>
      </c>
      <c r="D3531" s="70" t="str">
        <f>IFERROR(VLOOKUP(C3531,Mychart!$A$6:$B$123,2,FALSE),"")</f>
        <v xml:space="preserve"> Eng-Mohamed - Custodu</v>
      </c>
      <c r="E3531" s="280" t="s">
        <v>6051</v>
      </c>
      <c r="F3531" s="1049">
        <v>29137.5</v>
      </c>
      <c r="G3531" s="1049"/>
      <c r="H3531" s="564" t="s">
        <v>6053</v>
      </c>
      <c r="I3531" s="609"/>
      <c r="J3531" s="1155"/>
      <c r="K3531" s="609"/>
      <c r="L3531" s="609"/>
      <c r="M3531" s="609"/>
      <c r="N3531" s="599">
        <v>1387.5</v>
      </c>
      <c r="O3531" s="552" t="s">
        <v>1584</v>
      </c>
      <c r="P3531" s="603"/>
      <c r="Q3531" s="682"/>
      <c r="R3531" s="682"/>
      <c r="S3531" s="682"/>
      <c r="T3531" s="682"/>
      <c r="U3531" s="682"/>
      <c r="V3531" s="682"/>
      <c r="W3531" s="682"/>
    </row>
    <row r="3532" spans="1:31">
      <c r="A3532" s="1045">
        <f t="shared" si="55"/>
        <v>12</v>
      </c>
      <c r="B3532" s="134">
        <v>45631</v>
      </c>
      <c r="C3532" s="70">
        <v>1100</v>
      </c>
      <c r="D3532" s="70" t="str">
        <f>IFERROR(VLOOKUP(C3532,Mychart!$A$6:$B$123,2,FALSE),"")</f>
        <v>Accounts Receivable</v>
      </c>
      <c r="E3532" s="280" t="s">
        <v>6051</v>
      </c>
      <c r="F3532" s="1049"/>
      <c r="G3532" s="1049">
        <v>29137.5</v>
      </c>
      <c r="H3532" s="564" t="s">
        <v>6053</v>
      </c>
      <c r="I3532" s="609" t="s">
        <v>4826</v>
      </c>
      <c r="J3532" s="1155"/>
      <c r="K3532" s="609">
        <v>283</v>
      </c>
      <c r="L3532" s="609">
        <v>144</v>
      </c>
      <c r="M3532" s="609"/>
      <c r="N3532" s="599">
        <v>1387.5</v>
      </c>
      <c r="O3532" s="552" t="s">
        <v>1584</v>
      </c>
      <c r="P3532" s="603"/>
      <c r="Q3532" s="682"/>
      <c r="R3532" s="682"/>
      <c r="S3532" s="682"/>
      <c r="T3532" s="682"/>
      <c r="U3532" s="682"/>
      <c r="V3532" s="682"/>
      <c r="W3532" s="682"/>
      <c r="AE3532" s="2" t="s">
        <v>6058</v>
      </c>
    </row>
    <row r="3533" spans="1:31">
      <c r="A3533" s="1045">
        <f t="shared" si="55"/>
        <v>12</v>
      </c>
      <c r="B3533" s="134">
        <v>45631</v>
      </c>
      <c r="C3533" s="70">
        <v>2000</v>
      </c>
      <c r="D3533" s="70" t="str">
        <f>IFERROR(VLOOKUP(C3533,Mychart!$A$6:$B$123,2,FALSE),"")</f>
        <v>Accounts Payable</v>
      </c>
      <c r="E3533" s="280" t="s">
        <v>6055</v>
      </c>
      <c r="F3533" s="1049">
        <v>27457.5</v>
      </c>
      <c r="G3533" s="1049"/>
      <c r="H3533" s="564" t="s">
        <v>6054</v>
      </c>
      <c r="I3533" s="609" t="s">
        <v>4826</v>
      </c>
      <c r="J3533" s="1155"/>
      <c r="K3533" s="609"/>
      <c r="L3533" s="609"/>
      <c r="M3533" s="609"/>
      <c r="N3533" s="599"/>
      <c r="O3533" s="552" t="s">
        <v>1584</v>
      </c>
      <c r="P3533" s="603"/>
      <c r="Q3533" s="682"/>
      <c r="R3533" s="682"/>
      <c r="S3533" s="682"/>
      <c r="T3533" s="682"/>
      <c r="U3533" s="682"/>
      <c r="V3533" s="682"/>
      <c r="W3533" s="682"/>
    </row>
    <row r="3534" spans="1:31">
      <c r="A3534" s="1045">
        <f t="shared" si="55"/>
        <v>12</v>
      </c>
      <c r="B3534" s="134">
        <v>45631</v>
      </c>
      <c r="C3534" s="70">
        <v>1025</v>
      </c>
      <c r="D3534" s="70" t="str">
        <f>IFERROR(VLOOKUP(C3534,Mychart!$A$6:$B$123,2,FALSE),"")</f>
        <v xml:space="preserve"> Eng-Mohamed - Custodu</v>
      </c>
      <c r="E3534" s="280" t="s">
        <v>6055</v>
      </c>
      <c r="F3534" s="1049"/>
      <c r="G3534" s="1049">
        <v>27457.5</v>
      </c>
      <c r="H3534" s="564" t="s">
        <v>6054</v>
      </c>
      <c r="I3534" s="609"/>
      <c r="J3534" s="1155"/>
      <c r="K3534" s="609"/>
      <c r="L3534" s="609"/>
      <c r="M3534" s="609"/>
      <c r="N3534" s="599"/>
      <c r="O3534" s="552" t="s">
        <v>1584</v>
      </c>
      <c r="P3534" s="603"/>
      <c r="Q3534" s="682"/>
      <c r="R3534" s="682"/>
      <c r="S3534" s="682"/>
      <c r="T3534" s="682"/>
      <c r="U3534" s="682"/>
      <c r="V3534" s="682"/>
      <c r="W3534" s="682"/>
    </row>
    <row r="3535" spans="1:31">
      <c r="A3535" s="1045">
        <f t="shared" si="55"/>
        <v>12</v>
      </c>
      <c r="B3535" s="134">
        <v>45631</v>
      </c>
      <c r="C3535" s="70">
        <v>5150</v>
      </c>
      <c r="D3535" s="70" t="str">
        <f>IFERROR(VLOOKUP(C3535,Mychart!$A$6:$B$123,2,FALSE),"")</f>
        <v>Ac Units Cost</v>
      </c>
      <c r="E3535" s="280" t="s">
        <v>6056</v>
      </c>
      <c r="F3535" s="1049">
        <f>27457.5-1373</f>
        <v>26084.5</v>
      </c>
      <c r="G3535" s="1049"/>
      <c r="H3535" s="564" t="s">
        <v>6057</v>
      </c>
      <c r="I3535" s="609"/>
      <c r="J3535" s="1155"/>
      <c r="K3535" s="609">
        <v>283</v>
      </c>
      <c r="L3535" s="609"/>
      <c r="M3535" s="609"/>
      <c r="N3535" s="599">
        <v>1373</v>
      </c>
      <c r="O3535" s="552" t="s">
        <v>1584</v>
      </c>
      <c r="P3535" s="603"/>
      <c r="Q3535" s="682"/>
      <c r="R3535" s="682"/>
      <c r="S3535" s="682"/>
      <c r="T3535" s="682"/>
      <c r="U3535" s="682"/>
      <c r="V3535" s="682"/>
      <c r="W3535" s="682"/>
      <c r="AE3535" s="2" t="s">
        <v>6059</v>
      </c>
    </row>
    <row r="3536" spans="1:31">
      <c r="A3536" s="1045">
        <f t="shared" si="55"/>
        <v>12</v>
      </c>
      <c r="B3536" s="134">
        <v>45631</v>
      </c>
      <c r="C3536" s="70">
        <v>2018</v>
      </c>
      <c r="D3536" s="70" t="str">
        <f>IFERROR(VLOOKUP(C3536,Mychart!$A$6:$B$123,2,FALSE),"")</f>
        <v>VALUE ADDED TAX - VAT</v>
      </c>
      <c r="E3536" s="280" t="s">
        <v>6056</v>
      </c>
      <c r="F3536" s="1049">
        <v>1373</v>
      </c>
      <c r="G3536" s="1049"/>
      <c r="H3536" s="564" t="s">
        <v>6057</v>
      </c>
      <c r="I3536" s="609"/>
      <c r="J3536" s="1155"/>
      <c r="K3536" s="609"/>
      <c r="L3536" s="609"/>
      <c r="M3536" s="609"/>
      <c r="N3536" s="599"/>
      <c r="O3536" s="552" t="s">
        <v>1584</v>
      </c>
      <c r="P3536" s="603"/>
      <c r="Q3536" s="682"/>
      <c r="R3536" s="682"/>
      <c r="S3536" s="682"/>
      <c r="T3536" s="682"/>
      <c r="U3536" s="682"/>
      <c r="V3536" s="682"/>
      <c r="W3536" s="682"/>
    </row>
    <row r="3537" spans="1:31">
      <c r="A3537" s="1045">
        <f t="shared" si="55"/>
        <v>12</v>
      </c>
      <c r="B3537" s="134">
        <v>45631</v>
      </c>
      <c r="C3537" s="70">
        <v>2000</v>
      </c>
      <c r="D3537" s="70" t="str">
        <f>IFERROR(VLOOKUP(C3537,Mychart!$A$6:$B$123,2,FALSE),"")</f>
        <v>Accounts Payable</v>
      </c>
      <c r="E3537" s="280" t="s">
        <v>6056</v>
      </c>
      <c r="F3537" s="1049"/>
      <c r="G3537" s="1049">
        <v>27457.5</v>
      </c>
      <c r="H3537" s="564" t="s">
        <v>6057</v>
      </c>
      <c r="I3537" s="609"/>
      <c r="J3537" s="1155"/>
      <c r="K3537" s="609"/>
      <c r="L3537" s="609"/>
      <c r="M3537" s="609"/>
      <c r="N3537" s="599">
        <v>1373</v>
      </c>
      <c r="O3537" s="552" t="s">
        <v>1584</v>
      </c>
      <c r="P3537" s="603"/>
      <c r="Q3537" s="682"/>
      <c r="R3537" s="682"/>
      <c r="S3537" s="682"/>
      <c r="T3537" s="682"/>
      <c r="U3537" s="682"/>
      <c r="V3537" s="682"/>
      <c r="W3537" s="682"/>
    </row>
    <row r="3538" spans="1:31">
      <c r="A3538" s="1045">
        <f t="shared" si="55"/>
        <v>12</v>
      </c>
      <c r="B3538" s="134">
        <v>45631</v>
      </c>
      <c r="C3538" s="70">
        <v>6250</v>
      </c>
      <c r="D3538" s="70" t="str">
        <f>IFERROR(VLOOKUP(C3538,Mychart!$A$6:$B$123,2,FALSE),"")</f>
        <v>OTHER  EXPENSES</v>
      </c>
      <c r="E3538" s="280" t="s">
        <v>6062</v>
      </c>
      <c r="F3538" s="1049">
        <v>160</v>
      </c>
      <c r="G3538" s="1049"/>
      <c r="H3538" s="564" t="s">
        <v>6060</v>
      </c>
      <c r="I3538" s="609"/>
      <c r="J3538" s="1155"/>
      <c r="K3538" s="609">
        <v>283</v>
      </c>
      <c r="L3538" s="609"/>
      <c r="M3538" s="609"/>
      <c r="N3538" s="599"/>
      <c r="O3538" s="552" t="s">
        <v>1584</v>
      </c>
      <c r="P3538" s="603"/>
      <c r="Q3538" s="682"/>
      <c r="R3538" s="682"/>
      <c r="S3538" s="682"/>
      <c r="T3538" s="682"/>
      <c r="U3538" s="682"/>
      <c r="V3538" s="682"/>
      <c r="W3538" s="682"/>
    </row>
    <row r="3539" spans="1:31">
      <c r="A3539" s="1045">
        <f t="shared" si="55"/>
        <v>12</v>
      </c>
      <c r="B3539" s="134">
        <v>45631</v>
      </c>
      <c r="C3539" s="70">
        <v>1025</v>
      </c>
      <c r="D3539" s="70" t="str">
        <f>IFERROR(VLOOKUP(C3539,Mychart!$A$6:$B$123,2,FALSE),"")</f>
        <v xml:space="preserve"> Eng-Mohamed - Custodu</v>
      </c>
      <c r="E3539" s="280" t="s">
        <v>6062</v>
      </c>
      <c r="F3539" s="1049"/>
      <c r="G3539" s="1049">
        <v>160</v>
      </c>
      <c r="H3539" s="564" t="s">
        <v>6061</v>
      </c>
      <c r="I3539" s="609"/>
      <c r="J3539" s="1155"/>
      <c r="K3539" s="609"/>
      <c r="L3539" s="609"/>
      <c r="M3539" s="609"/>
      <c r="N3539" s="599"/>
      <c r="O3539" s="552" t="s">
        <v>1584</v>
      </c>
      <c r="P3539" s="603"/>
      <c r="Q3539" s="682"/>
      <c r="R3539" s="682"/>
      <c r="S3539" s="682"/>
      <c r="T3539" s="682"/>
      <c r="U3539" s="682"/>
      <c r="V3539" s="682"/>
      <c r="W3539" s="682"/>
      <c r="AE3539" s="2" t="s">
        <v>6068</v>
      </c>
    </row>
    <row r="3540" spans="1:31">
      <c r="A3540" s="1045">
        <f t="shared" si="55"/>
        <v>12</v>
      </c>
      <c r="B3540" s="134">
        <v>45634</v>
      </c>
      <c r="C3540" s="70">
        <v>6050</v>
      </c>
      <c r="D3540" s="70" t="str">
        <f>IFERROR(VLOOKUP(C3540,Mychart!$A$6:$B$123,2,FALSE),"")</f>
        <v>Employee Benefit Programs Exp</v>
      </c>
      <c r="E3540" s="280" t="s">
        <v>6063</v>
      </c>
      <c r="F3540" s="1049">
        <v>3330</v>
      </c>
      <c r="G3540" s="1049"/>
      <c r="H3540" s="564"/>
      <c r="I3540" s="609"/>
      <c r="J3540" s="1155"/>
      <c r="K3540" s="609"/>
      <c r="L3540" s="609"/>
      <c r="M3540" s="609"/>
      <c r="N3540" s="599"/>
      <c r="O3540" s="552" t="s">
        <v>1584</v>
      </c>
      <c r="P3540" s="603"/>
      <c r="Q3540" s="682"/>
      <c r="R3540" s="682"/>
      <c r="S3540" s="682"/>
      <c r="T3540" s="682"/>
      <c r="U3540" s="682"/>
      <c r="V3540" s="682"/>
      <c r="W3540" s="682"/>
    </row>
    <row r="3541" spans="1:31">
      <c r="A3541" s="1045">
        <f t="shared" ref="A3541:A3596" si="56">IF(B3541="","",MONTH(B3541))</f>
        <v>12</v>
      </c>
      <c r="B3541" s="134">
        <v>45634</v>
      </c>
      <c r="C3541" s="70">
        <v>1025</v>
      </c>
      <c r="D3541" s="70" t="str">
        <f>IFERROR(VLOOKUP(C3541,Mychart!$A$6:$B$123,2,FALSE),"")</f>
        <v xml:space="preserve"> Eng-Mohamed - Custodu</v>
      </c>
      <c r="E3541" s="280" t="s">
        <v>6063</v>
      </c>
      <c r="F3541" s="1049"/>
      <c r="G3541" s="1049">
        <v>3330</v>
      </c>
      <c r="H3541" s="564"/>
      <c r="I3541" s="609"/>
      <c r="J3541" s="1155"/>
      <c r="K3541" s="609"/>
      <c r="L3541" s="609"/>
      <c r="M3541" s="609"/>
      <c r="N3541" s="599"/>
      <c r="O3541" s="552" t="s">
        <v>1584</v>
      </c>
      <c r="P3541" s="603"/>
      <c r="Q3541" s="682"/>
      <c r="R3541" s="682"/>
      <c r="S3541" s="682"/>
      <c r="T3541" s="682"/>
      <c r="U3541" s="682"/>
      <c r="V3541" s="682"/>
      <c r="W3541" s="682"/>
    </row>
    <row r="3542" spans="1:31">
      <c r="A3542" s="1045">
        <f t="shared" si="56"/>
        <v>12</v>
      </c>
      <c r="B3542" s="134">
        <v>45634</v>
      </c>
      <c r="C3542" s="70">
        <v>6050</v>
      </c>
      <c r="D3542" s="70" t="str">
        <f>IFERROR(VLOOKUP(C3542,Mychart!$A$6:$B$123,2,FALSE),"")</f>
        <v>Employee Benefit Programs Exp</v>
      </c>
      <c r="E3542" s="280" t="s">
        <v>6064</v>
      </c>
      <c r="F3542" s="1049">
        <v>1200</v>
      </c>
      <c r="G3542" s="1049"/>
      <c r="H3542" s="564"/>
      <c r="I3542" s="609"/>
      <c r="J3542" s="1155"/>
      <c r="K3542" s="609"/>
      <c r="L3542" s="609"/>
      <c r="M3542" s="609"/>
      <c r="N3542" s="599"/>
      <c r="O3542" s="552" t="s">
        <v>1584</v>
      </c>
      <c r="P3542" s="603"/>
      <c r="Q3542" s="682"/>
      <c r="R3542" s="682"/>
      <c r="S3542" s="682"/>
      <c r="T3542" s="682"/>
      <c r="U3542" s="682"/>
      <c r="V3542" s="682"/>
      <c r="W3542" s="682"/>
    </row>
    <row r="3543" spans="1:31">
      <c r="A3543" s="1045">
        <f t="shared" si="56"/>
        <v>12</v>
      </c>
      <c r="B3543" s="134">
        <v>45634</v>
      </c>
      <c r="C3543" s="70">
        <v>1025</v>
      </c>
      <c r="D3543" s="70" t="str">
        <f>IFERROR(VLOOKUP(C3543,Mychart!$A$6:$B$123,2,FALSE),"")</f>
        <v xml:space="preserve"> Eng-Mohamed - Custodu</v>
      </c>
      <c r="E3543" s="280" t="s">
        <v>6064</v>
      </c>
      <c r="F3543" s="1049"/>
      <c r="G3543" s="1049">
        <v>1200</v>
      </c>
      <c r="H3543" s="564"/>
      <c r="I3543" s="609"/>
      <c r="J3543" s="1155"/>
      <c r="K3543" s="609"/>
      <c r="L3543" s="609"/>
      <c r="M3543" s="609"/>
      <c r="N3543" s="599"/>
      <c r="O3543" s="552" t="s">
        <v>1584</v>
      </c>
      <c r="P3543" s="603"/>
      <c r="Q3543" s="682"/>
      <c r="R3543" s="682"/>
      <c r="S3543" s="682"/>
      <c r="T3543" s="682"/>
      <c r="U3543" s="682"/>
      <c r="V3543" s="682"/>
      <c r="W3543" s="682"/>
    </row>
    <row r="3544" spans="1:31">
      <c r="A3544" s="1045">
        <f t="shared" si="56"/>
        <v>12</v>
      </c>
      <c r="B3544" s="134">
        <v>45630</v>
      </c>
      <c r="C3544" s="70">
        <v>5150</v>
      </c>
      <c r="D3544" s="70" t="str">
        <f>IFERROR(VLOOKUP(C3544,Mychart!$A$6:$B$123,2,FALSE),"")</f>
        <v>Ac Units Cost</v>
      </c>
      <c r="E3544" s="280" t="s">
        <v>6066</v>
      </c>
      <c r="F3544" s="1049">
        <v>4810</v>
      </c>
      <c r="G3544" s="1049"/>
      <c r="H3544" s="564" t="s">
        <v>6065</v>
      </c>
      <c r="I3544" s="609"/>
      <c r="J3544" s="1155"/>
      <c r="K3544" s="609">
        <v>255</v>
      </c>
      <c r="L3544" s="609"/>
      <c r="M3544" s="609"/>
      <c r="N3544" s="599">
        <v>240</v>
      </c>
      <c r="O3544" s="552" t="s">
        <v>1584</v>
      </c>
      <c r="P3544" s="603"/>
      <c r="Q3544" s="682"/>
      <c r="R3544" s="682"/>
      <c r="S3544" s="682"/>
      <c r="T3544" s="682"/>
      <c r="U3544" s="682"/>
      <c r="V3544" s="682"/>
      <c r="W3544" s="682"/>
      <c r="AE3544" s="2" t="s">
        <v>6069</v>
      </c>
    </row>
    <row r="3545" spans="1:31">
      <c r="A3545" s="1045">
        <f t="shared" si="56"/>
        <v>12</v>
      </c>
      <c r="B3545" s="134">
        <v>45630</v>
      </c>
      <c r="C3545" s="70">
        <v>2018</v>
      </c>
      <c r="D3545" s="70" t="str">
        <f>IFERROR(VLOOKUP(C3545,Mychart!$A$6:$B$123,2,FALSE),"")</f>
        <v>VALUE ADDED TAX - VAT</v>
      </c>
      <c r="E3545" s="280" t="s">
        <v>6066</v>
      </c>
      <c r="F3545" s="1049">
        <v>240</v>
      </c>
      <c r="G3545" s="1049"/>
      <c r="H3545" s="564" t="s">
        <v>6065</v>
      </c>
      <c r="I3545" s="609"/>
      <c r="J3545" s="1155"/>
      <c r="K3545" s="609"/>
      <c r="L3545" s="609"/>
      <c r="M3545" s="609"/>
      <c r="N3545" s="599"/>
      <c r="O3545" s="552" t="s">
        <v>1584</v>
      </c>
      <c r="P3545" s="603"/>
      <c r="Q3545" s="682"/>
      <c r="R3545" s="682"/>
      <c r="S3545" s="682"/>
      <c r="T3545" s="682"/>
      <c r="U3545" s="682"/>
      <c r="V3545" s="682"/>
      <c r="W3545" s="682"/>
    </row>
    <row r="3546" spans="1:31">
      <c r="A3546" s="1045">
        <f t="shared" si="56"/>
        <v>12</v>
      </c>
      <c r="B3546" s="134">
        <v>45630</v>
      </c>
      <c r="C3546" s="70">
        <v>2000</v>
      </c>
      <c r="D3546" s="70" t="str">
        <f>IFERROR(VLOOKUP(C3546,Mychart!$A$6:$B$123,2,FALSE),"")</f>
        <v>Accounts Payable</v>
      </c>
      <c r="E3546" s="280" t="s">
        <v>6066</v>
      </c>
      <c r="F3546" s="1049"/>
      <c r="G3546" s="1049">
        <v>5051</v>
      </c>
      <c r="H3546" s="564" t="s">
        <v>6065</v>
      </c>
      <c r="I3546" s="609"/>
      <c r="J3546" s="1155"/>
      <c r="K3546" s="609"/>
      <c r="L3546" s="609"/>
      <c r="M3546" s="609"/>
      <c r="N3546" s="599">
        <v>240</v>
      </c>
      <c r="O3546" s="552" t="s">
        <v>1584</v>
      </c>
      <c r="P3546" s="603"/>
      <c r="Q3546" s="682"/>
      <c r="R3546" s="682"/>
      <c r="S3546" s="682"/>
      <c r="T3546" s="682"/>
      <c r="U3546" s="682"/>
      <c r="V3546" s="682"/>
      <c r="W3546" s="682"/>
    </row>
    <row r="3547" spans="1:31">
      <c r="A3547" s="1045">
        <f t="shared" si="56"/>
        <v>12</v>
      </c>
      <c r="B3547" s="134">
        <v>45634</v>
      </c>
      <c r="C3547" s="70">
        <v>2000</v>
      </c>
      <c r="D3547" s="70" t="str">
        <f>IFERROR(VLOOKUP(C3547,Mychart!$A$6:$B$123,2,FALSE),"")</f>
        <v>Accounts Payable</v>
      </c>
      <c r="E3547" s="280" t="s">
        <v>6067</v>
      </c>
      <c r="F3547" s="1049">
        <v>5052</v>
      </c>
      <c r="G3547" s="1049"/>
      <c r="H3547" s="564" t="s">
        <v>6061</v>
      </c>
      <c r="I3547" s="609"/>
      <c r="J3547" s="1155"/>
      <c r="K3547" s="609"/>
      <c r="L3547" s="609"/>
      <c r="M3547" s="609"/>
      <c r="N3547" s="599"/>
      <c r="O3547" s="552" t="s">
        <v>1584</v>
      </c>
      <c r="P3547" s="603"/>
      <c r="Q3547" s="682"/>
      <c r="R3547" s="682"/>
      <c r="S3547" s="682"/>
      <c r="T3547" s="682"/>
      <c r="U3547" s="682"/>
      <c r="V3547" s="682"/>
      <c r="W3547" s="682"/>
    </row>
    <row r="3548" spans="1:31">
      <c r="A3548" s="1045">
        <f t="shared" si="56"/>
        <v>12</v>
      </c>
      <c r="B3548" s="134">
        <v>45634</v>
      </c>
      <c r="C3548" s="70">
        <v>1022</v>
      </c>
      <c r="D3548" s="70" t="str">
        <f>IFERROR(VLOOKUP(C3548,Mychart!$A$6:$B$123,2,FALSE),"")</f>
        <v>Bank -New NBD</v>
      </c>
      <c r="E3548" s="280" t="s">
        <v>6067</v>
      </c>
      <c r="F3548" s="1049"/>
      <c r="G3548" s="1049">
        <v>5052</v>
      </c>
      <c r="H3548" s="564" t="s">
        <v>6061</v>
      </c>
      <c r="I3548" s="609">
        <v>976</v>
      </c>
      <c r="J3548" s="1155">
        <v>45634</v>
      </c>
      <c r="K3548" s="609"/>
      <c r="L3548" s="609"/>
      <c r="M3548" s="609"/>
      <c r="N3548" s="599"/>
      <c r="O3548" s="552" t="s">
        <v>1584</v>
      </c>
      <c r="P3548" s="603"/>
      <c r="Q3548" s="682"/>
      <c r="R3548" s="682"/>
      <c r="S3548" s="682"/>
      <c r="T3548" s="682"/>
      <c r="U3548" s="682"/>
      <c r="V3548" s="682"/>
      <c r="W3548" s="682"/>
    </row>
    <row r="3549" spans="1:31">
      <c r="A3549" s="1045">
        <f t="shared" si="56"/>
        <v>11</v>
      </c>
      <c r="B3549" s="134">
        <v>45604</v>
      </c>
      <c r="C3549" s="70">
        <v>5150</v>
      </c>
      <c r="D3549" s="70" t="str">
        <f>IFERROR(VLOOKUP(C3549,Mychart!$A$6:$B$123,2,FALSE),"")</f>
        <v>Ac Units Cost</v>
      </c>
      <c r="E3549" s="280" t="s">
        <v>6085</v>
      </c>
      <c r="F3549" s="1049">
        <v>1698.7425000000001</v>
      </c>
      <c r="G3549" s="1049"/>
      <c r="H3549" s="564" t="s">
        <v>6093</v>
      </c>
      <c r="I3549" s="609"/>
      <c r="J3549" s="1155"/>
      <c r="K3549" s="609">
        <v>241</v>
      </c>
      <c r="L3549" s="609"/>
      <c r="M3549" s="609"/>
      <c r="N3549" s="599">
        <v>89.407500000000013</v>
      </c>
      <c r="O3549" s="552" t="s">
        <v>1584</v>
      </c>
      <c r="P3549" s="603"/>
      <c r="Q3549" s="682"/>
      <c r="R3549" s="682"/>
      <c r="S3549" s="682"/>
      <c r="T3549" s="682"/>
      <c r="U3549" s="682"/>
      <c r="V3549" s="682"/>
      <c r="W3549" s="682"/>
      <c r="AE3549" s="2" t="s">
        <v>6102</v>
      </c>
    </row>
    <row r="3550" spans="1:31">
      <c r="A3550" s="1045">
        <f t="shared" si="56"/>
        <v>11</v>
      </c>
      <c r="B3550" s="134">
        <v>45607</v>
      </c>
      <c r="C3550" s="70">
        <v>5150</v>
      </c>
      <c r="D3550" s="70" t="str">
        <f>IFERROR(VLOOKUP(C3550,Mychart!$A$6:$B$123,2,FALSE),"")</f>
        <v>Ac Units Cost</v>
      </c>
      <c r="E3550" s="280" t="s">
        <v>6120</v>
      </c>
      <c r="F3550" s="1049">
        <v>928.30242749999991</v>
      </c>
      <c r="G3550" s="1049"/>
      <c r="H3550" s="564" t="s">
        <v>6094</v>
      </c>
      <c r="I3550" s="609"/>
      <c r="J3550" s="1155"/>
      <c r="K3550" s="609">
        <v>278</v>
      </c>
      <c r="L3550" s="609"/>
      <c r="M3550" s="609"/>
      <c r="N3550" s="599">
        <v>48.858022499999997</v>
      </c>
      <c r="O3550" s="552" t="s">
        <v>1584</v>
      </c>
      <c r="P3550" s="603"/>
      <c r="Q3550" s="682"/>
      <c r="R3550" s="682"/>
      <c r="S3550" s="682"/>
      <c r="T3550" s="682"/>
      <c r="U3550" s="682"/>
      <c r="V3550" s="682"/>
      <c r="W3550" s="682"/>
      <c r="AE3550" s="2" t="s">
        <v>6103</v>
      </c>
    </row>
    <row r="3551" spans="1:31">
      <c r="A3551" s="1045">
        <f t="shared" si="56"/>
        <v>11</v>
      </c>
      <c r="B3551" s="134">
        <v>45614</v>
      </c>
      <c r="C3551" s="70">
        <v>5150</v>
      </c>
      <c r="D3551" s="70" t="str">
        <f>IFERROR(VLOOKUP(C3551,Mychart!$A$6:$B$123,2,FALSE),"")</f>
        <v>Ac Units Cost</v>
      </c>
      <c r="E3551" s="280" t="s">
        <v>6092</v>
      </c>
      <c r="F3551" s="1049">
        <v>647.07824999999991</v>
      </c>
      <c r="G3551" s="1049"/>
      <c r="H3551" s="564" t="s">
        <v>6095</v>
      </c>
      <c r="I3551" s="609"/>
      <c r="J3551" s="1155"/>
      <c r="K3551" s="609">
        <v>278</v>
      </c>
      <c r="L3551" s="609"/>
      <c r="M3551" s="609"/>
      <c r="N3551" s="599">
        <v>34.056749999999994</v>
      </c>
      <c r="O3551" s="552" t="s">
        <v>1584</v>
      </c>
      <c r="P3551" s="603"/>
      <c r="Q3551" s="682"/>
      <c r="R3551" s="682"/>
      <c r="S3551" s="682"/>
      <c r="T3551" s="682"/>
      <c r="U3551" s="682"/>
      <c r="V3551" s="682"/>
      <c r="W3551" s="682"/>
      <c r="AE3551" s="2" t="s">
        <v>6104</v>
      </c>
    </row>
    <row r="3552" spans="1:31">
      <c r="A3552" s="1045">
        <f t="shared" si="56"/>
        <v>11</v>
      </c>
      <c r="B3552" s="134">
        <v>45615</v>
      </c>
      <c r="C3552" s="70">
        <v>5150</v>
      </c>
      <c r="D3552" s="70" t="str">
        <f>IFERROR(VLOOKUP(C3552,Mychart!$A$6:$B$123,2,FALSE),"")</f>
        <v>Ac Units Cost</v>
      </c>
      <c r="E3552" s="280" t="s">
        <v>6086</v>
      </c>
      <c r="F3552" s="1049">
        <v>1519.8917475000001</v>
      </c>
      <c r="G3552" s="1049"/>
      <c r="H3552" s="564" t="s">
        <v>6096</v>
      </c>
      <c r="I3552" s="609"/>
      <c r="J3552" s="1155"/>
      <c r="K3552" s="609">
        <v>256</v>
      </c>
      <c r="L3552" s="609"/>
      <c r="M3552" s="609"/>
      <c r="N3552" s="599">
        <v>79.994302500000003</v>
      </c>
      <c r="O3552" s="552" t="s">
        <v>1584</v>
      </c>
      <c r="P3552" s="603"/>
      <c r="Q3552" s="682"/>
      <c r="R3552" s="682"/>
      <c r="S3552" s="682"/>
      <c r="T3552" s="682"/>
      <c r="U3552" s="682"/>
      <c r="V3552" s="682"/>
      <c r="W3552" s="682"/>
      <c r="AE3552" s="2" t="s">
        <v>6105</v>
      </c>
    </row>
    <row r="3553" spans="1:31">
      <c r="A3553" s="1045">
        <f t="shared" si="56"/>
        <v>11</v>
      </c>
      <c r="B3553" s="134">
        <v>45617</v>
      </c>
      <c r="C3553" s="70">
        <v>5150</v>
      </c>
      <c r="D3553" s="70" t="str">
        <f>IFERROR(VLOOKUP(C3553,Mychart!$A$6:$B$123,2,FALSE),"")</f>
        <v>Ac Units Cost</v>
      </c>
      <c r="E3553" s="280" t="s">
        <v>6087</v>
      </c>
      <c r="F3553" s="1049">
        <v>81.794999999999987</v>
      </c>
      <c r="G3553" s="1049"/>
      <c r="H3553" s="564" t="s">
        <v>6097</v>
      </c>
      <c r="I3553" s="609"/>
      <c r="J3553" s="1155"/>
      <c r="K3553" s="609">
        <v>256</v>
      </c>
      <c r="L3553" s="609"/>
      <c r="M3553" s="609"/>
      <c r="N3553" s="599">
        <v>4.3049999999999997</v>
      </c>
      <c r="O3553" s="552" t="s">
        <v>1584</v>
      </c>
      <c r="P3553" s="603"/>
      <c r="Q3553" s="682"/>
      <c r="R3553" s="682"/>
      <c r="S3553" s="682"/>
      <c r="T3553" s="682"/>
      <c r="U3553" s="682"/>
      <c r="V3553" s="682"/>
      <c r="W3553" s="682"/>
      <c r="AE3553" s="2" t="s">
        <v>6106</v>
      </c>
    </row>
    <row r="3554" spans="1:31">
      <c r="A3554" s="1045">
        <f t="shared" si="56"/>
        <v>11</v>
      </c>
      <c r="B3554" s="134">
        <v>45623</v>
      </c>
      <c r="C3554" s="70">
        <v>5150</v>
      </c>
      <c r="D3554" s="70" t="str">
        <f>IFERROR(VLOOKUP(C3554,Mychart!$A$6:$B$123,2,FALSE),"")</f>
        <v>Ac Units Cost</v>
      </c>
      <c r="E3554" s="280" t="s">
        <v>6088</v>
      </c>
      <c r="F3554" s="1049">
        <v>294.80115000000001</v>
      </c>
      <c r="G3554" s="1049"/>
      <c r="H3554" s="564" t="s">
        <v>6098</v>
      </c>
      <c r="I3554" s="609"/>
      <c r="J3554" s="1155"/>
      <c r="K3554" s="609">
        <v>256</v>
      </c>
      <c r="L3554" s="609"/>
      <c r="M3554" s="609"/>
      <c r="N3554" s="599">
        <v>15.51585</v>
      </c>
      <c r="O3554" s="552" t="s">
        <v>1584</v>
      </c>
      <c r="P3554" s="603"/>
      <c r="Q3554" s="682"/>
      <c r="R3554" s="682"/>
      <c r="S3554" s="682"/>
      <c r="T3554" s="682"/>
      <c r="U3554" s="682"/>
      <c r="V3554" s="682"/>
      <c r="W3554" s="682"/>
      <c r="AE3554" s="2" t="s">
        <v>6107</v>
      </c>
    </row>
    <row r="3555" spans="1:31">
      <c r="A3555" s="1045">
        <f t="shared" si="56"/>
        <v>11</v>
      </c>
      <c r="B3555" s="134">
        <v>45607</v>
      </c>
      <c r="C3555" s="70">
        <v>5150</v>
      </c>
      <c r="D3555" s="70" t="str">
        <f>IFERROR(VLOOKUP(C3555,Mychart!$A$6:$B$123,2,FALSE),"")</f>
        <v>Ac Units Cost</v>
      </c>
      <c r="E3555" s="280" t="s">
        <v>6089</v>
      </c>
      <c r="F3555" s="1049">
        <v>133.36574999999999</v>
      </c>
      <c r="G3555" s="1049"/>
      <c r="H3555" s="564" t="s">
        <v>6099</v>
      </c>
      <c r="I3555" s="609"/>
      <c r="J3555" s="1155"/>
      <c r="K3555" s="609">
        <v>241</v>
      </c>
      <c r="L3555" s="609"/>
      <c r="M3555" s="609"/>
      <c r="N3555" s="599">
        <v>7.0192499999999995</v>
      </c>
      <c r="O3555" s="552" t="s">
        <v>1584</v>
      </c>
      <c r="P3555" s="603"/>
      <c r="Q3555" s="682"/>
      <c r="R3555" s="682"/>
      <c r="S3555" s="682"/>
      <c r="T3555" s="682"/>
      <c r="U3555" s="682"/>
      <c r="V3555" s="682"/>
      <c r="W3555" s="682"/>
      <c r="AE3555" s="2" t="s">
        <v>6108</v>
      </c>
    </row>
    <row r="3556" spans="1:31">
      <c r="A3556" s="1045">
        <f t="shared" si="56"/>
        <v>11</v>
      </c>
      <c r="B3556" s="134">
        <v>45607</v>
      </c>
      <c r="C3556" s="70">
        <v>5150</v>
      </c>
      <c r="D3556" s="70" t="str">
        <f>IFERROR(VLOOKUP(C3556,Mychart!$A$6:$B$123,2,FALSE),"")</f>
        <v>Ac Units Cost</v>
      </c>
      <c r="E3556" s="280" t="s">
        <v>6090</v>
      </c>
      <c r="F3556" s="1049">
        <v>100.82729999999999</v>
      </c>
      <c r="G3556" s="1049"/>
      <c r="H3556" s="564" t="s">
        <v>6100</v>
      </c>
      <c r="I3556" s="609"/>
      <c r="J3556" s="1155"/>
      <c r="K3556" s="609">
        <v>262</v>
      </c>
      <c r="L3556" s="609"/>
      <c r="M3556" s="609"/>
      <c r="N3556" s="599">
        <v>5.3067000000000002</v>
      </c>
      <c r="O3556" s="552" t="s">
        <v>1584</v>
      </c>
      <c r="P3556" s="603"/>
      <c r="Q3556" s="682"/>
      <c r="R3556" s="682"/>
      <c r="S3556" s="682"/>
      <c r="T3556" s="682"/>
      <c r="U3556" s="682"/>
      <c r="V3556" s="682"/>
      <c r="W3556" s="682"/>
      <c r="AE3556" s="2" t="s">
        <v>6109</v>
      </c>
    </row>
    <row r="3557" spans="1:31">
      <c r="A3557" s="1045">
        <f t="shared" si="56"/>
        <v>11</v>
      </c>
      <c r="B3557" s="134">
        <v>45626</v>
      </c>
      <c r="C3557" s="70">
        <v>5150</v>
      </c>
      <c r="D3557" s="70" t="str">
        <f>IFERROR(VLOOKUP(C3557,Mychart!$A$6:$B$123,2,FALSE),"")</f>
        <v>Ac Units Cost</v>
      </c>
      <c r="E3557" s="280" t="s">
        <v>6091</v>
      </c>
      <c r="F3557" s="1049">
        <v>2897.8182975</v>
      </c>
      <c r="G3557" s="1049"/>
      <c r="H3557" s="564" t="s">
        <v>6101</v>
      </c>
      <c r="I3557" s="609"/>
      <c r="J3557" s="1155"/>
      <c r="K3557" s="609">
        <v>293</v>
      </c>
      <c r="L3557" s="609"/>
      <c r="M3557" s="609"/>
      <c r="N3557" s="599">
        <v>152.51675250000002</v>
      </c>
      <c r="O3557" s="552" t="s">
        <v>1584</v>
      </c>
      <c r="P3557" s="603"/>
      <c r="Q3557" s="682"/>
      <c r="R3557" s="682"/>
      <c r="S3557" s="682"/>
      <c r="T3557" s="682"/>
      <c r="U3557" s="682"/>
      <c r="V3557" s="682"/>
      <c r="W3557" s="682"/>
      <c r="AE3557" s="2" t="s">
        <v>6110</v>
      </c>
    </row>
    <row r="3558" spans="1:31">
      <c r="A3558" s="1045">
        <f t="shared" si="56"/>
        <v>11</v>
      </c>
      <c r="B3558" s="134">
        <v>45604</v>
      </c>
      <c r="C3558" s="70">
        <v>2018</v>
      </c>
      <c r="D3558" s="70" t="str">
        <f>IFERROR(VLOOKUP(C3558,Mychart!$A$6:$B$123,2,FALSE),"")</f>
        <v>VALUE ADDED TAX - VAT</v>
      </c>
      <c r="E3558" s="280" t="s">
        <v>6085</v>
      </c>
      <c r="F3558" s="1049">
        <v>89.407500000000013</v>
      </c>
      <c r="G3558" s="1049"/>
      <c r="H3558" s="564" t="s">
        <v>6093</v>
      </c>
      <c r="I3558" s="609"/>
      <c r="J3558" s="1155"/>
      <c r="K3558" s="609"/>
      <c r="L3558" s="609"/>
      <c r="M3558" s="609"/>
      <c r="N3558" s="599"/>
      <c r="O3558" s="552" t="s">
        <v>1584</v>
      </c>
      <c r="P3558" s="603"/>
      <c r="Q3558" s="682"/>
      <c r="R3558" s="682"/>
      <c r="S3558" s="682"/>
      <c r="T3558" s="682"/>
      <c r="U3558" s="682"/>
      <c r="V3558" s="682"/>
      <c r="W3558" s="682"/>
    </row>
    <row r="3559" spans="1:31">
      <c r="A3559" s="1045">
        <f t="shared" si="56"/>
        <v>11</v>
      </c>
      <c r="B3559" s="134">
        <v>45607</v>
      </c>
      <c r="C3559" s="70">
        <v>2018</v>
      </c>
      <c r="D3559" s="70" t="str">
        <f>IFERROR(VLOOKUP(C3559,Mychart!$A$6:$B$123,2,FALSE),"")</f>
        <v>VALUE ADDED TAX - VAT</v>
      </c>
      <c r="E3559" s="280" t="s">
        <v>6120</v>
      </c>
      <c r="F3559" s="1049">
        <v>48.858022499999997</v>
      </c>
      <c r="G3559" s="1049"/>
      <c r="H3559" s="564" t="s">
        <v>6094</v>
      </c>
      <c r="I3559" s="609"/>
      <c r="J3559" s="1155"/>
      <c r="K3559" s="609"/>
      <c r="L3559" s="609"/>
      <c r="M3559" s="609"/>
      <c r="N3559" s="599"/>
      <c r="O3559" s="552" t="s">
        <v>1584</v>
      </c>
      <c r="P3559" s="603"/>
      <c r="Q3559" s="682"/>
      <c r="R3559" s="682"/>
      <c r="S3559" s="682"/>
      <c r="T3559" s="682"/>
      <c r="U3559" s="682"/>
      <c r="V3559" s="682"/>
      <c r="W3559" s="682"/>
    </row>
    <row r="3560" spans="1:31">
      <c r="A3560" s="1045">
        <f t="shared" si="56"/>
        <v>11</v>
      </c>
      <c r="B3560" s="134">
        <v>45614</v>
      </c>
      <c r="C3560" s="70">
        <v>2018</v>
      </c>
      <c r="D3560" s="70" t="str">
        <f>IFERROR(VLOOKUP(C3560,Mychart!$A$6:$B$123,2,FALSE),"")</f>
        <v>VALUE ADDED TAX - VAT</v>
      </c>
      <c r="E3560" s="280" t="s">
        <v>6092</v>
      </c>
      <c r="F3560" s="1049">
        <v>34.056749999999994</v>
      </c>
      <c r="G3560" s="1049"/>
      <c r="H3560" s="564" t="s">
        <v>6095</v>
      </c>
      <c r="I3560" s="609"/>
      <c r="J3560" s="1155"/>
      <c r="K3560" s="609"/>
      <c r="L3560" s="609"/>
      <c r="M3560" s="609"/>
      <c r="N3560" s="599"/>
      <c r="O3560" s="552" t="s">
        <v>1584</v>
      </c>
      <c r="P3560" s="603"/>
      <c r="Q3560" s="682"/>
      <c r="R3560" s="682"/>
      <c r="S3560" s="682"/>
      <c r="T3560" s="682"/>
      <c r="U3560" s="682"/>
      <c r="V3560" s="682"/>
      <c r="W3560" s="682"/>
    </row>
    <row r="3561" spans="1:31">
      <c r="A3561" s="1045">
        <f t="shared" si="56"/>
        <v>11</v>
      </c>
      <c r="B3561" s="134">
        <v>45615</v>
      </c>
      <c r="C3561" s="70">
        <v>2018</v>
      </c>
      <c r="D3561" s="70" t="str">
        <f>IFERROR(VLOOKUP(C3561,Mychart!$A$6:$B$123,2,FALSE),"")</f>
        <v>VALUE ADDED TAX - VAT</v>
      </c>
      <c r="E3561" s="280" t="s">
        <v>6086</v>
      </c>
      <c r="F3561" s="1049">
        <v>79.994302500000003</v>
      </c>
      <c r="G3561" s="1049"/>
      <c r="H3561" s="564" t="s">
        <v>6096</v>
      </c>
      <c r="I3561" s="609"/>
      <c r="J3561" s="1155"/>
      <c r="K3561" s="609"/>
      <c r="L3561" s="609"/>
      <c r="M3561" s="609"/>
      <c r="N3561" s="599"/>
      <c r="O3561" s="552" t="s">
        <v>1584</v>
      </c>
      <c r="P3561" s="603"/>
      <c r="Q3561" s="682"/>
      <c r="R3561" s="682"/>
      <c r="S3561" s="682"/>
      <c r="T3561" s="682"/>
      <c r="U3561" s="682"/>
      <c r="V3561" s="682"/>
      <c r="W3561" s="682"/>
    </row>
    <row r="3562" spans="1:31">
      <c r="A3562" s="1045">
        <f t="shared" si="56"/>
        <v>11</v>
      </c>
      <c r="B3562" s="134">
        <v>45617</v>
      </c>
      <c r="C3562" s="70">
        <v>2018</v>
      </c>
      <c r="D3562" s="70" t="str">
        <f>IFERROR(VLOOKUP(C3562,Mychart!$A$6:$B$123,2,FALSE),"")</f>
        <v>VALUE ADDED TAX - VAT</v>
      </c>
      <c r="E3562" s="280" t="s">
        <v>6087</v>
      </c>
      <c r="F3562" s="1049">
        <v>4.3049999999999997</v>
      </c>
      <c r="G3562" s="1049"/>
      <c r="H3562" s="564" t="s">
        <v>6097</v>
      </c>
      <c r="I3562" s="609"/>
      <c r="J3562" s="1155"/>
      <c r="K3562" s="609"/>
      <c r="L3562" s="609"/>
      <c r="M3562" s="609"/>
      <c r="N3562" s="599"/>
      <c r="O3562" s="552" t="s">
        <v>1584</v>
      </c>
      <c r="P3562" s="603"/>
      <c r="Q3562" s="682"/>
      <c r="R3562" s="682"/>
      <c r="S3562" s="682"/>
      <c r="T3562" s="682"/>
      <c r="U3562" s="682"/>
      <c r="V3562" s="682"/>
      <c r="W3562" s="682"/>
    </row>
    <row r="3563" spans="1:31">
      <c r="A3563" s="1045">
        <f t="shared" si="56"/>
        <v>11</v>
      </c>
      <c r="B3563" s="134">
        <v>45623</v>
      </c>
      <c r="C3563" s="70">
        <v>2018</v>
      </c>
      <c r="D3563" s="70" t="str">
        <f>IFERROR(VLOOKUP(C3563,Mychart!$A$6:$B$123,2,FALSE),"")</f>
        <v>VALUE ADDED TAX - VAT</v>
      </c>
      <c r="E3563" s="280" t="s">
        <v>6088</v>
      </c>
      <c r="F3563" s="1049">
        <v>15.51585</v>
      </c>
      <c r="G3563" s="1049"/>
      <c r="H3563" s="564" t="s">
        <v>6098</v>
      </c>
      <c r="I3563" s="609"/>
      <c r="J3563" s="1155"/>
      <c r="K3563" s="609"/>
      <c r="L3563" s="609"/>
      <c r="M3563" s="609"/>
      <c r="N3563" s="599"/>
      <c r="O3563" s="552" t="s">
        <v>1584</v>
      </c>
      <c r="P3563" s="603"/>
      <c r="Q3563" s="682"/>
      <c r="R3563" s="682"/>
      <c r="S3563" s="682"/>
      <c r="T3563" s="682"/>
      <c r="U3563" s="682"/>
      <c r="V3563" s="682"/>
      <c r="W3563" s="682"/>
    </row>
    <row r="3564" spans="1:31">
      <c r="A3564" s="1045">
        <f t="shared" si="56"/>
        <v>11</v>
      </c>
      <c r="B3564" s="134">
        <v>45607</v>
      </c>
      <c r="C3564" s="70">
        <v>2018</v>
      </c>
      <c r="D3564" s="70" t="str">
        <f>IFERROR(VLOOKUP(C3564,Mychart!$A$6:$B$123,2,FALSE),"")</f>
        <v>VALUE ADDED TAX - VAT</v>
      </c>
      <c r="E3564" s="280" t="s">
        <v>6089</v>
      </c>
      <c r="F3564" s="1049">
        <v>7.0192499999999995</v>
      </c>
      <c r="G3564" s="1049"/>
      <c r="H3564" s="564" t="s">
        <v>6099</v>
      </c>
      <c r="I3564" s="609"/>
      <c r="J3564" s="1155"/>
      <c r="K3564" s="609"/>
      <c r="L3564" s="609"/>
      <c r="M3564" s="609"/>
      <c r="N3564" s="599"/>
      <c r="O3564" s="552" t="s">
        <v>1584</v>
      </c>
      <c r="P3564" s="603"/>
      <c r="Q3564" s="682"/>
      <c r="R3564" s="682"/>
      <c r="S3564" s="682"/>
      <c r="T3564" s="682"/>
      <c r="U3564" s="682"/>
      <c r="V3564" s="682"/>
      <c r="W3564" s="682"/>
    </row>
    <row r="3565" spans="1:31">
      <c r="A3565" s="1045">
        <f t="shared" si="56"/>
        <v>11</v>
      </c>
      <c r="B3565" s="134">
        <v>45607</v>
      </c>
      <c r="C3565" s="70">
        <v>2018</v>
      </c>
      <c r="D3565" s="70" t="str">
        <f>IFERROR(VLOOKUP(C3565,Mychart!$A$6:$B$123,2,FALSE),"")</f>
        <v>VALUE ADDED TAX - VAT</v>
      </c>
      <c r="E3565" s="280" t="s">
        <v>6090</v>
      </c>
      <c r="F3565" s="1049">
        <v>5.3067000000000002</v>
      </c>
      <c r="G3565" s="1049"/>
      <c r="H3565" s="564" t="s">
        <v>6100</v>
      </c>
      <c r="I3565" s="609"/>
      <c r="J3565" s="1155"/>
      <c r="K3565" s="609"/>
      <c r="L3565" s="609"/>
      <c r="M3565" s="609"/>
      <c r="N3565" s="599"/>
      <c r="O3565" s="552" t="s">
        <v>1584</v>
      </c>
      <c r="P3565" s="603"/>
      <c r="Q3565" s="682"/>
      <c r="R3565" s="682"/>
      <c r="S3565" s="682"/>
      <c r="T3565" s="682"/>
      <c r="U3565" s="682"/>
      <c r="V3565" s="682"/>
      <c r="W3565" s="682"/>
    </row>
    <row r="3566" spans="1:31">
      <c r="A3566" s="1045">
        <f t="shared" si="56"/>
        <v>11</v>
      </c>
      <c r="B3566" s="134">
        <v>45626</v>
      </c>
      <c r="C3566" s="70">
        <v>2018</v>
      </c>
      <c r="D3566" s="70" t="str">
        <f>IFERROR(VLOOKUP(C3566,Mychart!$A$6:$B$123,2,FALSE),"")</f>
        <v>VALUE ADDED TAX - VAT</v>
      </c>
      <c r="E3566" s="280" t="s">
        <v>6091</v>
      </c>
      <c r="F3566" s="1049">
        <v>152.51675250000002</v>
      </c>
      <c r="G3566" s="1049"/>
      <c r="H3566" s="564" t="s">
        <v>6101</v>
      </c>
      <c r="I3566" s="609"/>
      <c r="J3566" s="1155"/>
      <c r="K3566" s="609"/>
      <c r="L3566" s="609"/>
      <c r="M3566" s="609"/>
      <c r="N3566" s="599"/>
      <c r="O3566" s="552" t="s">
        <v>1584</v>
      </c>
      <c r="P3566" s="603"/>
      <c r="Q3566" s="682"/>
      <c r="R3566" s="682"/>
      <c r="S3566" s="682"/>
      <c r="T3566" s="682"/>
      <c r="U3566" s="682"/>
      <c r="V3566" s="682"/>
      <c r="W3566" s="682"/>
    </row>
    <row r="3567" spans="1:31">
      <c r="A3567" s="1045">
        <f t="shared" si="56"/>
        <v>11</v>
      </c>
      <c r="B3567" s="134">
        <v>45604</v>
      </c>
      <c r="C3567" s="70">
        <v>2000</v>
      </c>
      <c r="D3567" s="70" t="str">
        <f>IFERROR(VLOOKUP(C3567,Mychart!$A$6:$B$123,2,FALSE),"")</f>
        <v>Accounts Payable</v>
      </c>
      <c r="E3567" s="280" t="s">
        <v>6085</v>
      </c>
      <c r="F3567" s="1049"/>
      <c r="G3567" s="1049">
        <v>1788.15</v>
      </c>
      <c r="H3567" s="564" t="s">
        <v>6093</v>
      </c>
      <c r="I3567" s="609"/>
      <c r="J3567" s="1155"/>
      <c r="K3567" s="609"/>
      <c r="L3567" s="609"/>
      <c r="M3567" s="609" t="s">
        <v>5462</v>
      </c>
      <c r="N3567" s="599">
        <v>89.407500000000013</v>
      </c>
      <c r="O3567" s="552" t="s">
        <v>1584</v>
      </c>
      <c r="P3567" s="603"/>
      <c r="Q3567" s="682"/>
      <c r="R3567" s="682"/>
      <c r="S3567" s="682"/>
      <c r="T3567" s="682"/>
      <c r="U3567" s="682"/>
      <c r="V3567" s="682"/>
      <c r="W3567" s="682"/>
      <c r="AE3567" s="2" t="s">
        <v>2960</v>
      </c>
    </row>
    <row r="3568" spans="1:31">
      <c r="A3568" s="1045">
        <f t="shared" si="56"/>
        <v>11</v>
      </c>
      <c r="B3568" s="134">
        <v>45607</v>
      </c>
      <c r="C3568" s="70">
        <v>2000</v>
      </c>
      <c r="D3568" s="70" t="str">
        <f>IFERROR(VLOOKUP(C3568,Mychart!$A$6:$B$123,2,FALSE),"")</f>
        <v>Accounts Payable</v>
      </c>
      <c r="E3568" s="280" t="s">
        <v>6120</v>
      </c>
      <c r="F3568" s="1049"/>
      <c r="G3568" s="1049">
        <v>977.16044999999986</v>
      </c>
      <c r="H3568" s="564" t="s">
        <v>6094</v>
      </c>
      <c r="I3568" s="609"/>
      <c r="J3568" s="1155"/>
      <c r="K3568" s="609"/>
      <c r="L3568" s="609"/>
      <c r="M3568" s="609" t="s">
        <v>5508</v>
      </c>
      <c r="N3568" s="599">
        <v>48.858022499999997</v>
      </c>
      <c r="O3568" s="552" t="s">
        <v>1584</v>
      </c>
      <c r="P3568" s="603"/>
      <c r="Q3568" s="682"/>
      <c r="R3568" s="682"/>
      <c r="S3568" s="682"/>
      <c r="T3568" s="682"/>
      <c r="U3568" s="682"/>
      <c r="V3568" s="682"/>
      <c r="W3568" s="682"/>
      <c r="AE3568" s="2" t="s">
        <v>2960</v>
      </c>
    </row>
    <row r="3569" spans="1:31">
      <c r="A3569" s="1045">
        <f t="shared" si="56"/>
        <v>11</v>
      </c>
      <c r="B3569" s="134">
        <v>45614</v>
      </c>
      <c r="C3569" s="70">
        <v>2000</v>
      </c>
      <c r="D3569" s="70" t="str">
        <f>IFERROR(VLOOKUP(C3569,Mychart!$A$6:$B$123,2,FALSE),"")</f>
        <v>Accounts Payable</v>
      </c>
      <c r="E3569" s="280" t="s">
        <v>6092</v>
      </c>
      <c r="F3569" s="1049"/>
      <c r="G3569" s="1049">
        <v>681.13499999999988</v>
      </c>
      <c r="H3569" s="564" t="s">
        <v>6095</v>
      </c>
      <c r="I3569" s="609"/>
      <c r="J3569" s="1155"/>
      <c r="K3569" s="609"/>
      <c r="L3569" s="609"/>
      <c r="M3569" s="609" t="s">
        <v>5664</v>
      </c>
      <c r="N3569" s="599">
        <v>34.056749999999994</v>
      </c>
      <c r="O3569" s="552" t="s">
        <v>1584</v>
      </c>
      <c r="P3569" s="603"/>
      <c r="Q3569" s="682"/>
      <c r="R3569" s="682"/>
      <c r="S3569" s="682"/>
      <c r="T3569" s="682"/>
      <c r="U3569" s="682"/>
      <c r="V3569" s="682"/>
      <c r="W3569" s="682"/>
      <c r="AE3569" s="2" t="s">
        <v>2960</v>
      </c>
    </row>
    <row r="3570" spans="1:31">
      <c r="A3570" s="1045">
        <f t="shared" si="56"/>
        <v>11</v>
      </c>
      <c r="B3570" s="134">
        <v>45615</v>
      </c>
      <c r="C3570" s="70">
        <v>2000</v>
      </c>
      <c r="D3570" s="70" t="str">
        <f>IFERROR(VLOOKUP(C3570,Mychart!$A$6:$B$123,2,FALSE),"")</f>
        <v>Accounts Payable</v>
      </c>
      <c r="E3570" s="280" t="s">
        <v>6086</v>
      </c>
      <c r="F3570" s="1049"/>
      <c r="G3570" s="1049">
        <v>1599.8860500000001</v>
      </c>
      <c r="H3570" s="564" t="s">
        <v>6096</v>
      </c>
      <c r="I3570" s="609"/>
      <c r="J3570" s="1155"/>
      <c r="K3570" s="609"/>
      <c r="L3570" s="609"/>
      <c r="M3570" s="609" t="s">
        <v>5694</v>
      </c>
      <c r="N3570" s="599">
        <v>79.994302500000003</v>
      </c>
      <c r="O3570" s="552" t="s">
        <v>1584</v>
      </c>
      <c r="P3570" s="603"/>
      <c r="Q3570" s="682"/>
      <c r="R3570" s="682"/>
      <c r="S3570" s="682"/>
      <c r="T3570" s="682"/>
      <c r="U3570" s="682"/>
      <c r="V3570" s="682"/>
      <c r="W3570" s="682"/>
      <c r="AE3570" s="2" t="s">
        <v>2960</v>
      </c>
    </row>
    <row r="3571" spans="1:31">
      <c r="A3571" s="1045">
        <f t="shared" si="56"/>
        <v>11</v>
      </c>
      <c r="B3571" s="134">
        <v>45617</v>
      </c>
      <c r="C3571" s="70">
        <v>2000</v>
      </c>
      <c r="D3571" s="70" t="str">
        <f>IFERROR(VLOOKUP(C3571,Mychart!$A$6:$B$123,2,FALSE),"")</f>
        <v>Accounts Payable</v>
      </c>
      <c r="E3571" s="280" t="s">
        <v>6087</v>
      </c>
      <c r="F3571" s="1049"/>
      <c r="G3571" s="1049">
        <v>86.1</v>
      </c>
      <c r="H3571" s="564" t="s">
        <v>6097</v>
      </c>
      <c r="I3571" s="609"/>
      <c r="J3571" s="1155"/>
      <c r="K3571" s="609"/>
      <c r="L3571" s="609"/>
      <c r="M3571" s="609" t="s">
        <v>5730</v>
      </c>
      <c r="N3571" s="599">
        <v>4.3049999999999997</v>
      </c>
      <c r="O3571" s="552" t="s">
        <v>1584</v>
      </c>
      <c r="P3571" s="603"/>
      <c r="Q3571" s="682"/>
      <c r="R3571" s="682"/>
      <c r="S3571" s="682"/>
      <c r="T3571" s="682"/>
      <c r="U3571" s="682"/>
      <c r="V3571" s="682"/>
      <c r="W3571" s="682"/>
      <c r="AE3571" s="2" t="s">
        <v>2960</v>
      </c>
    </row>
    <row r="3572" spans="1:31">
      <c r="A3572" s="1045">
        <f t="shared" si="56"/>
        <v>11</v>
      </c>
      <c r="B3572" s="134">
        <v>45623</v>
      </c>
      <c r="C3572" s="70">
        <v>2000</v>
      </c>
      <c r="D3572" s="70" t="str">
        <f>IFERROR(VLOOKUP(C3572,Mychart!$A$6:$B$123,2,FALSE),"")</f>
        <v>Accounts Payable</v>
      </c>
      <c r="E3572" s="280" t="s">
        <v>6088</v>
      </c>
      <c r="F3572" s="1049"/>
      <c r="G3572" s="1049">
        <v>310.31700000000001</v>
      </c>
      <c r="H3572" s="564" t="s">
        <v>6098</v>
      </c>
      <c r="I3572" s="609"/>
      <c r="J3572" s="1155"/>
      <c r="K3572" s="609"/>
      <c r="L3572" s="609"/>
      <c r="M3572" s="609" t="s">
        <v>5843</v>
      </c>
      <c r="N3572" s="599">
        <v>15.51585</v>
      </c>
      <c r="O3572" s="552" t="s">
        <v>1584</v>
      </c>
      <c r="P3572" s="603"/>
      <c r="Q3572" s="682"/>
      <c r="R3572" s="682"/>
      <c r="S3572" s="682"/>
      <c r="T3572" s="682"/>
      <c r="U3572" s="682"/>
      <c r="V3572" s="682"/>
      <c r="W3572" s="682"/>
      <c r="AE3572" s="2" t="s">
        <v>2960</v>
      </c>
    </row>
    <row r="3573" spans="1:31">
      <c r="A3573" s="1045">
        <f t="shared" si="56"/>
        <v>11</v>
      </c>
      <c r="B3573" s="134">
        <v>45607</v>
      </c>
      <c r="C3573" s="70">
        <v>2000</v>
      </c>
      <c r="D3573" s="70" t="str">
        <f>IFERROR(VLOOKUP(C3573,Mychart!$A$6:$B$123,2,FALSE),"")</f>
        <v>Accounts Payable</v>
      </c>
      <c r="E3573" s="280" t="s">
        <v>6089</v>
      </c>
      <c r="F3573" s="1049"/>
      <c r="G3573" s="1049">
        <v>140.38499999999999</v>
      </c>
      <c r="H3573" s="564" t="s">
        <v>6099</v>
      </c>
      <c r="I3573" s="609"/>
      <c r="J3573" s="1155"/>
      <c r="K3573" s="609"/>
      <c r="L3573" s="609"/>
      <c r="M3573" s="609" t="s">
        <v>5867</v>
      </c>
      <c r="N3573" s="599">
        <v>7.0192499999999995</v>
      </c>
      <c r="O3573" s="552" t="s">
        <v>1584</v>
      </c>
      <c r="P3573" s="603"/>
      <c r="Q3573" s="682"/>
      <c r="R3573" s="682"/>
      <c r="S3573" s="682"/>
      <c r="T3573" s="682"/>
      <c r="U3573" s="682"/>
      <c r="V3573" s="682"/>
      <c r="W3573" s="682"/>
      <c r="AE3573" s="2" t="s">
        <v>2960</v>
      </c>
    </row>
    <row r="3574" spans="1:31">
      <c r="A3574" s="1045">
        <f t="shared" si="56"/>
        <v>11</v>
      </c>
      <c r="B3574" s="134">
        <v>45607</v>
      </c>
      <c r="C3574" s="70">
        <v>2000</v>
      </c>
      <c r="D3574" s="70" t="str">
        <f>IFERROR(VLOOKUP(C3574,Mychart!$A$6:$B$123,2,FALSE),"")</f>
        <v>Accounts Payable</v>
      </c>
      <c r="E3574" s="280" t="s">
        <v>6090</v>
      </c>
      <c r="F3574" s="1049"/>
      <c r="G3574" s="1049">
        <v>106.134</v>
      </c>
      <c r="H3574" s="564" t="s">
        <v>6100</v>
      </c>
      <c r="I3574" s="609"/>
      <c r="J3574" s="1155"/>
      <c r="K3574" s="609"/>
      <c r="L3574" s="609"/>
      <c r="M3574" s="609" t="s">
        <v>5869</v>
      </c>
      <c r="N3574" s="599">
        <v>5.3067000000000002</v>
      </c>
      <c r="O3574" s="552" t="s">
        <v>1584</v>
      </c>
      <c r="P3574" s="603"/>
      <c r="Q3574" s="682"/>
      <c r="R3574" s="682"/>
      <c r="S3574" s="682"/>
      <c r="T3574" s="682"/>
      <c r="U3574" s="682"/>
      <c r="V3574" s="682"/>
      <c r="W3574" s="682"/>
      <c r="AE3574" s="2" t="s">
        <v>2960</v>
      </c>
    </row>
    <row r="3575" spans="1:31">
      <c r="A3575" s="1045">
        <f t="shared" si="56"/>
        <v>11</v>
      </c>
      <c r="B3575" s="134">
        <v>45626</v>
      </c>
      <c r="C3575" s="70">
        <v>2000</v>
      </c>
      <c r="D3575" s="70" t="str">
        <f>IFERROR(VLOOKUP(C3575,Mychart!$A$6:$B$123,2,FALSE),"")</f>
        <v>Accounts Payable</v>
      </c>
      <c r="E3575" s="280" t="s">
        <v>6091</v>
      </c>
      <c r="F3575" s="1049"/>
      <c r="G3575" s="1049">
        <v>3050.3350500000001</v>
      </c>
      <c r="H3575" s="564" t="s">
        <v>6101</v>
      </c>
      <c r="I3575" s="609"/>
      <c r="J3575" s="1155"/>
      <c r="K3575" s="609"/>
      <c r="L3575" s="609"/>
      <c r="M3575" s="609" t="s">
        <v>5880</v>
      </c>
      <c r="N3575" s="599">
        <v>152.51675250000002</v>
      </c>
      <c r="O3575" s="552" t="s">
        <v>1584</v>
      </c>
      <c r="P3575" s="603"/>
      <c r="Q3575" s="682"/>
      <c r="R3575" s="682"/>
      <c r="S3575" s="682"/>
      <c r="T3575" s="682"/>
      <c r="U3575" s="682"/>
      <c r="V3575" s="682"/>
      <c r="W3575" s="682"/>
      <c r="AE3575" s="2" t="s">
        <v>2960</v>
      </c>
    </row>
    <row r="3576" spans="1:31">
      <c r="A3576" s="1045">
        <f t="shared" si="56"/>
        <v>12</v>
      </c>
      <c r="B3576" s="134">
        <v>45629</v>
      </c>
      <c r="C3576" s="70">
        <v>6012</v>
      </c>
      <c r="D3576" s="70" t="str">
        <f>IFERROR(VLOOKUP(C3576,Mychart!$A$6:$B$123,2,FALSE),"")</f>
        <v>Stationary Expenses</v>
      </c>
      <c r="E3576" s="280" t="s">
        <v>6121</v>
      </c>
      <c r="F3576" s="1049">
        <v>106.69</v>
      </c>
      <c r="G3576" s="1049"/>
      <c r="H3576" s="564"/>
      <c r="I3576" s="609"/>
      <c r="J3576" s="1155"/>
      <c r="K3576" s="609"/>
      <c r="L3576" s="609"/>
      <c r="M3576" s="609"/>
      <c r="N3576" s="599"/>
      <c r="O3576" s="552" t="s">
        <v>1584</v>
      </c>
      <c r="P3576" s="603"/>
      <c r="Q3576" s="682"/>
      <c r="R3576" s="682"/>
      <c r="S3576" s="682"/>
      <c r="T3576" s="682"/>
      <c r="U3576" s="682"/>
      <c r="V3576" s="682"/>
      <c r="W3576" s="682"/>
    </row>
    <row r="3577" spans="1:31">
      <c r="A3577" s="1045">
        <f t="shared" si="56"/>
        <v>12</v>
      </c>
      <c r="B3577" s="134">
        <v>45629</v>
      </c>
      <c r="C3577" s="70">
        <v>1025</v>
      </c>
      <c r="D3577" s="70" t="str">
        <f>IFERROR(VLOOKUP(C3577,Mychart!$A$6:$B$123,2,FALSE),"")</f>
        <v xml:space="preserve"> Eng-Mohamed - Custodu</v>
      </c>
      <c r="E3577" s="280" t="s">
        <v>6121</v>
      </c>
      <c r="F3577" s="1049"/>
      <c r="G3577" s="1049">
        <v>106.69</v>
      </c>
      <c r="H3577" s="564"/>
      <c r="I3577" s="609"/>
      <c r="J3577" s="1155"/>
      <c r="K3577" s="609"/>
      <c r="L3577" s="609"/>
      <c r="M3577" s="609"/>
      <c r="N3577" s="599"/>
      <c r="O3577" s="552" t="s">
        <v>1584</v>
      </c>
      <c r="P3577" s="603"/>
      <c r="Q3577" s="682"/>
      <c r="R3577" s="682"/>
      <c r="S3577" s="682"/>
      <c r="T3577" s="682"/>
      <c r="U3577" s="682"/>
      <c r="V3577" s="682"/>
      <c r="W3577" s="682"/>
    </row>
    <row r="3578" spans="1:31">
      <c r="A3578" s="1045">
        <f t="shared" si="56"/>
        <v>12</v>
      </c>
      <c r="B3578" s="398">
        <v>45635</v>
      </c>
      <c r="C3578" s="70">
        <v>2000</v>
      </c>
      <c r="D3578" s="70" t="str">
        <f>IFERROR(VLOOKUP(C3578,Mychart!$A$6:$B$123,2,FALSE),"")</f>
        <v>Accounts Payable</v>
      </c>
      <c r="E3578" s="280" t="s">
        <v>6128</v>
      </c>
      <c r="F3578" s="1049">
        <v>61273</v>
      </c>
      <c r="G3578" s="1049"/>
      <c r="H3578" s="564" t="s">
        <v>6129</v>
      </c>
      <c r="I3578" s="609"/>
      <c r="J3578" s="1155"/>
      <c r="K3578" s="609"/>
      <c r="L3578" s="609"/>
      <c r="M3578" s="609" t="s">
        <v>6081</v>
      </c>
      <c r="N3578" s="599"/>
      <c r="O3578" s="552" t="s">
        <v>1584</v>
      </c>
      <c r="P3578" s="603"/>
      <c r="Q3578" s="682"/>
      <c r="R3578" s="682"/>
      <c r="S3578" s="682"/>
      <c r="T3578" s="682"/>
      <c r="U3578" s="682"/>
      <c r="V3578" s="682"/>
      <c r="W3578" s="682"/>
      <c r="AE3578" s="2" t="s">
        <v>3045</v>
      </c>
    </row>
    <row r="3579" spans="1:31">
      <c r="A3579" s="1045">
        <f t="shared" si="56"/>
        <v>12</v>
      </c>
      <c r="B3579" s="134">
        <v>45635</v>
      </c>
      <c r="C3579" s="70">
        <v>1022</v>
      </c>
      <c r="D3579" s="70" t="str">
        <f>IFERROR(VLOOKUP(C3579,Mychart!$A$6:$B$123,2,FALSE),"")</f>
        <v>Bank -New NBD</v>
      </c>
      <c r="E3579" s="280" t="s">
        <v>6128</v>
      </c>
      <c r="F3579" s="1049"/>
      <c r="G3579" s="1049">
        <v>61273</v>
      </c>
      <c r="H3579" s="564" t="s">
        <v>6129</v>
      </c>
      <c r="I3579" s="609">
        <v>979</v>
      </c>
      <c r="J3579" s="1155">
        <v>45641</v>
      </c>
      <c r="K3579" s="609"/>
      <c r="L3579" s="609"/>
      <c r="M3579" s="609"/>
      <c r="N3579" s="599"/>
      <c r="O3579" s="552" t="s">
        <v>1584</v>
      </c>
      <c r="P3579" s="603"/>
      <c r="Q3579" s="682"/>
      <c r="R3579" s="682"/>
      <c r="S3579" s="682"/>
      <c r="T3579" s="682"/>
      <c r="U3579" s="682"/>
      <c r="V3579" s="682"/>
      <c r="W3579" s="682"/>
    </row>
    <row r="3580" spans="1:31">
      <c r="A3580" s="1045">
        <f t="shared" si="56"/>
        <v>12</v>
      </c>
      <c r="B3580" s="134">
        <v>45635</v>
      </c>
      <c r="C3580" s="70">
        <v>2000</v>
      </c>
      <c r="D3580" s="70" t="str">
        <f>IFERROR(VLOOKUP(C3580,Mychart!$A$6:$B$123,2,FALSE),"")</f>
        <v>Accounts Payable</v>
      </c>
      <c r="E3580" s="280" t="s">
        <v>6130</v>
      </c>
      <c r="F3580" s="1049">
        <v>50526</v>
      </c>
      <c r="G3580" s="1049"/>
      <c r="H3580" s="564" t="s">
        <v>6131</v>
      </c>
      <c r="I3580" s="609"/>
      <c r="J3580" s="1155"/>
      <c r="K3580" s="609"/>
      <c r="L3580" s="609"/>
      <c r="M3580" s="609" t="s">
        <v>1364</v>
      </c>
      <c r="N3580" s="599"/>
      <c r="O3580" s="552" t="s">
        <v>1584</v>
      </c>
      <c r="P3580" s="603"/>
      <c r="Q3580" s="682"/>
      <c r="R3580" s="682"/>
      <c r="S3580" s="682"/>
      <c r="T3580" s="682"/>
      <c r="U3580" s="682"/>
      <c r="V3580" s="682"/>
      <c r="W3580" s="682"/>
      <c r="AE3580" s="2" t="s">
        <v>3045</v>
      </c>
    </row>
    <row r="3581" spans="1:31">
      <c r="A3581" s="1045">
        <f t="shared" si="56"/>
        <v>12</v>
      </c>
      <c r="B3581" s="134">
        <v>45635</v>
      </c>
      <c r="C3581" s="70">
        <v>1022</v>
      </c>
      <c r="D3581" s="70" t="str">
        <f>IFERROR(VLOOKUP(C3581,Mychart!$A$6:$B$123,2,FALSE),"")</f>
        <v>Bank -New NBD</v>
      </c>
      <c r="E3581" s="280" t="s">
        <v>6130</v>
      </c>
      <c r="F3581" s="1049"/>
      <c r="G3581" s="1049">
        <v>50526</v>
      </c>
      <c r="H3581" s="564" t="s">
        <v>6131</v>
      </c>
      <c r="I3581" s="609">
        <v>977</v>
      </c>
      <c r="J3581" s="1155">
        <v>45641</v>
      </c>
      <c r="K3581" s="609"/>
      <c r="L3581" s="609"/>
      <c r="M3581" s="609"/>
      <c r="N3581" s="599"/>
      <c r="O3581" s="552" t="s">
        <v>1584</v>
      </c>
      <c r="P3581" s="603"/>
      <c r="Q3581" s="682"/>
      <c r="R3581" s="682"/>
      <c r="S3581" s="682"/>
      <c r="T3581" s="682"/>
      <c r="U3581" s="682"/>
      <c r="V3581" s="682"/>
      <c r="W3581" s="682"/>
    </row>
    <row r="3582" spans="1:31">
      <c r="A3582" s="1045">
        <f t="shared" si="56"/>
        <v>12</v>
      </c>
      <c r="B3582" s="134">
        <v>45635</v>
      </c>
      <c r="C3582" s="70">
        <v>1017</v>
      </c>
      <c r="D3582" s="70" t="str">
        <f>IFERROR(VLOOKUP(C3582,Mychart!$A$6:$B$123,2,FALSE),"")</f>
        <v>Mr.Sijeesh Custody</v>
      </c>
      <c r="E3582" s="280" t="s">
        <v>6132</v>
      </c>
      <c r="F3582" s="1049">
        <v>20000</v>
      </c>
      <c r="G3582" s="1049"/>
      <c r="H3582" s="564" t="s">
        <v>6133</v>
      </c>
      <c r="I3582" s="609"/>
      <c r="J3582" s="1155"/>
      <c r="K3582" s="609"/>
      <c r="L3582" s="609"/>
      <c r="M3582" s="609"/>
      <c r="N3582" s="599"/>
      <c r="O3582" s="552" t="s">
        <v>1584</v>
      </c>
      <c r="P3582" s="603"/>
      <c r="Q3582" s="682"/>
      <c r="R3582" s="682"/>
      <c r="S3582" s="682"/>
      <c r="T3582" s="682"/>
      <c r="U3582" s="682"/>
      <c r="V3582" s="682"/>
      <c r="W3582" s="682"/>
    </row>
    <row r="3583" spans="1:31">
      <c r="A3583" s="1045">
        <f t="shared" si="56"/>
        <v>12</v>
      </c>
      <c r="B3583" s="134">
        <v>45635</v>
      </c>
      <c r="C3583" s="70">
        <v>1022</v>
      </c>
      <c r="D3583" s="70" t="str">
        <f>IFERROR(VLOOKUP(C3583,Mychart!$A$6:$B$123,2,FALSE),"")</f>
        <v>Bank -New NBD</v>
      </c>
      <c r="E3583" s="280" t="s">
        <v>6132</v>
      </c>
      <c r="F3583" s="1049"/>
      <c r="G3583" s="1049">
        <v>20000</v>
      </c>
      <c r="H3583" s="564" t="s">
        <v>6133</v>
      </c>
      <c r="I3583" s="609">
        <v>980</v>
      </c>
      <c r="J3583" s="1155">
        <v>45635</v>
      </c>
      <c r="K3583" s="609"/>
      <c r="L3583" s="609"/>
      <c r="M3583" s="609"/>
      <c r="N3583" s="599"/>
      <c r="O3583" s="552" t="s">
        <v>1584</v>
      </c>
      <c r="P3583" s="603"/>
      <c r="Q3583" s="682"/>
      <c r="R3583" s="682"/>
      <c r="S3583" s="682"/>
      <c r="T3583" s="682"/>
      <c r="U3583" s="682"/>
      <c r="V3583" s="682"/>
      <c r="W3583" s="682"/>
    </row>
    <row r="3584" spans="1:31">
      <c r="A3584" s="1045">
        <f t="shared" si="56"/>
        <v>12</v>
      </c>
      <c r="B3584" s="134">
        <v>45635</v>
      </c>
      <c r="C3584" s="70">
        <v>1100</v>
      </c>
      <c r="D3584" s="70" t="str">
        <f>IFERROR(VLOOKUP(C3584,Mychart!$A$6:$B$123,2,FALSE),"")</f>
        <v>Accounts Receivable</v>
      </c>
      <c r="E3584" s="280" t="s">
        <v>6134</v>
      </c>
      <c r="F3584" s="1049">
        <v>85730.4</v>
      </c>
      <c r="G3584" s="1049"/>
      <c r="H3584" s="564" t="s">
        <v>6136</v>
      </c>
      <c r="I3584" s="609"/>
      <c r="J3584" s="1155"/>
      <c r="K3584" s="609"/>
      <c r="L3584" s="609"/>
      <c r="M3584" s="609"/>
      <c r="N3584" s="599">
        <v>4082.4</v>
      </c>
      <c r="O3584" s="552" t="s">
        <v>1584</v>
      </c>
      <c r="P3584" s="603"/>
      <c r="Q3584" s="682"/>
      <c r="R3584" s="682"/>
      <c r="S3584" s="682"/>
      <c r="T3584" s="682"/>
      <c r="U3584" s="682"/>
      <c r="V3584" s="682"/>
      <c r="W3584" s="682"/>
    </row>
    <row r="3585" spans="1:31">
      <c r="A3585" s="1045">
        <f t="shared" si="56"/>
        <v>12</v>
      </c>
      <c r="B3585" s="134">
        <v>45635</v>
      </c>
      <c r="C3585" s="70">
        <v>2018</v>
      </c>
      <c r="D3585" s="70" t="str">
        <f>IFERROR(VLOOKUP(C3585,Mychart!$A$6:$B$123,2,FALSE),"")</f>
        <v>VALUE ADDED TAX - VAT</v>
      </c>
      <c r="E3585" s="280" t="s">
        <v>6134</v>
      </c>
      <c r="F3585" s="1049"/>
      <c r="G3585" s="1049">
        <v>4082.4</v>
      </c>
      <c r="H3585" s="564" t="s">
        <v>6136</v>
      </c>
      <c r="I3585" s="609"/>
      <c r="J3585" s="1155"/>
      <c r="K3585" s="609"/>
      <c r="L3585" s="609"/>
      <c r="M3585" s="609"/>
      <c r="N3585" s="599"/>
      <c r="O3585" s="552" t="s">
        <v>1584</v>
      </c>
      <c r="P3585" s="603"/>
      <c r="Q3585" s="682"/>
      <c r="R3585" s="682"/>
      <c r="S3585" s="682"/>
      <c r="T3585" s="682"/>
      <c r="U3585" s="682"/>
      <c r="V3585" s="682"/>
      <c r="W3585" s="682"/>
    </row>
    <row r="3586" spans="1:31">
      <c r="A3586" s="1045">
        <f t="shared" si="56"/>
        <v>12</v>
      </c>
      <c r="B3586" s="134">
        <v>45635</v>
      </c>
      <c r="C3586" s="70">
        <v>4200</v>
      </c>
      <c r="D3586" s="70" t="str">
        <f>IFERROR(VLOOKUP(C3586,Mychart!$A$6:$B$123,2,FALSE),"")</f>
        <v>Other Income</v>
      </c>
      <c r="E3586" s="280" t="s">
        <v>6135</v>
      </c>
      <c r="F3586" s="1049"/>
      <c r="G3586" s="1049">
        <v>18000</v>
      </c>
      <c r="H3586" s="564" t="s">
        <v>6136</v>
      </c>
      <c r="I3586" s="609"/>
      <c r="J3586" s="1155"/>
      <c r="K3586" s="609"/>
      <c r="L3586" s="609"/>
      <c r="M3586" s="609"/>
      <c r="N3586" s="599"/>
      <c r="O3586" s="552" t="s">
        <v>1584</v>
      </c>
      <c r="P3586" s="603"/>
      <c r="Q3586" s="682"/>
      <c r="R3586" s="682"/>
      <c r="S3586" s="682"/>
      <c r="T3586" s="682"/>
      <c r="U3586" s="682"/>
      <c r="V3586" s="682"/>
      <c r="W3586" s="682"/>
    </row>
    <row r="3587" spans="1:31">
      <c r="A3587" s="1045">
        <f t="shared" si="56"/>
        <v>12</v>
      </c>
      <c r="B3587" s="134">
        <v>45635</v>
      </c>
      <c r="C3587" s="70">
        <v>4000</v>
      </c>
      <c r="D3587" s="70" t="str">
        <f>IFERROR(VLOOKUP(C3587,Mychart!$A$6:$B$123,2,FALSE),"")</f>
        <v>Projects Income</v>
      </c>
      <c r="E3587" s="280" t="s">
        <v>6134</v>
      </c>
      <c r="F3587" s="1049"/>
      <c r="G3587" s="1049">
        <v>63648</v>
      </c>
      <c r="H3587" s="564" t="s">
        <v>6136</v>
      </c>
      <c r="I3587" s="609"/>
      <c r="J3587" s="1155"/>
      <c r="K3587" s="609"/>
      <c r="L3587" s="609"/>
      <c r="M3587" s="609"/>
      <c r="N3587" s="599"/>
      <c r="O3587" s="552" t="s">
        <v>1584</v>
      </c>
      <c r="P3587" s="603"/>
      <c r="Q3587" s="682"/>
      <c r="R3587" s="682"/>
      <c r="S3587" s="682"/>
      <c r="T3587" s="682"/>
      <c r="U3587" s="682"/>
      <c r="V3587" s="682"/>
      <c r="W3587" s="682"/>
    </row>
    <row r="3588" spans="1:31">
      <c r="A3588" s="1045">
        <f t="shared" si="56"/>
        <v>12</v>
      </c>
      <c r="B3588" s="134">
        <v>45635</v>
      </c>
      <c r="C3588" s="70">
        <v>1022</v>
      </c>
      <c r="D3588" s="70" t="str">
        <f>IFERROR(VLOOKUP(C3588,Mychart!$A$6:$B$123,2,FALSE),"")</f>
        <v>Bank -New NBD</v>
      </c>
      <c r="E3588" s="280" t="s">
        <v>6137</v>
      </c>
      <c r="F3588" s="1049">
        <v>71000</v>
      </c>
      <c r="G3588" s="1049"/>
      <c r="H3588" s="564" t="s">
        <v>6138</v>
      </c>
      <c r="I3588" s="609">
        <v>55</v>
      </c>
      <c r="J3588" s="1155">
        <v>45631</v>
      </c>
      <c r="K3588" s="609"/>
      <c r="L3588" s="609"/>
      <c r="M3588" s="609"/>
      <c r="N3588" s="599"/>
      <c r="O3588" s="552" t="s">
        <v>1584</v>
      </c>
      <c r="P3588" s="603"/>
      <c r="Q3588" s="682"/>
      <c r="R3588" s="682"/>
      <c r="S3588" s="682"/>
      <c r="T3588" s="682"/>
      <c r="U3588" s="682"/>
      <c r="V3588" s="682"/>
      <c r="W3588" s="682"/>
      <c r="AE3588" s="2" t="s">
        <v>6141</v>
      </c>
    </row>
    <row r="3589" spans="1:31">
      <c r="A3589" s="1045">
        <f t="shared" si="56"/>
        <v>12</v>
      </c>
      <c r="B3589" s="134">
        <v>45635</v>
      </c>
      <c r="C3589" s="70">
        <v>1100</v>
      </c>
      <c r="D3589" s="70" t="str">
        <f>IFERROR(VLOOKUP(C3589,Mychart!$A$6:$B$123,2,FALSE),"")</f>
        <v>Accounts Receivable</v>
      </c>
      <c r="E3589" s="280" t="s">
        <v>6137</v>
      </c>
      <c r="F3589" s="1049"/>
      <c r="G3589" s="1049">
        <v>71000</v>
      </c>
      <c r="H3589" s="564" t="s">
        <v>6138</v>
      </c>
      <c r="I3589" s="609"/>
      <c r="J3589" s="1155"/>
      <c r="K3589" s="609">
        <v>246</v>
      </c>
      <c r="L3589" s="609">
        <v>115</v>
      </c>
      <c r="M3589" s="609"/>
      <c r="N3589" s="599">
        <v>0</v>
      </c>
      <c r="O3589" s="552" t="s">
        <v>1584</v>
      </c>
      <c r="P3589" s="603"/>
      <c r="Q3589" s="682"/>
      <c r="R3589" s="682"/>
      <c r="S3589" s="682"/>
      <c r="T3589" s="682"/>
      <c r="U3589" s="682"/>
      <c r="V3589" s="682"/>
      <c r="W3589" s="682"/>
      <c r="AE3589" s="2" t="s">
        <v>6142</v>
      </c>
    </row>
    <row r="3590" spans="1:31">
      <c r="A3590" s="1045">
        <f t="shared" si="56"/>
        <v>12</v>
      </c>
      <c r="B3590" s="134">
        <v>45636</v>
      </c>
      <c r="C3590" s="70">
        <v>1100</v>
      </c>
      <c r="D3590" s="70" t="str">
        <f>IFERROR(VLOOKUP(C3590,Mychart!$A$6:$B$123,2,FALSE),"")</f>
        <v>Accounts Receivable</v>
      </c>
      <c r="E3590" s="280" t="s">
        <v>6143</v>
      </c>
      <c r="F3590" s="1049">
        <v>16964.849999999999</v>
      </c>
      <c r="G3590" s="1049"/>
      <c r="H3590" s="564" t="s">
        <v>6144</v>
      </c>
      <c r="I3590" s="609"/>
      <c r="J3590" s="1155"/>
      <c r="K3590" s="609"/>
      <c r="L3590" s="609"/>
      <c r="M3590" s="609"/>
      <c r="N3590" s="599">
        <v>807.85</v>
      </c>
      <c r="O3590" s="552" t="s">
        <v>1584</v>
      </c>
      <c r="P3590" s="603"/>
      <c r="Q3590" s="682"/>
      <c r="R3590" s="682"/>
      <c r="S3590" s="682"/>
      <c r="T3590" s="682"/>
      <c r="U3590" s="682"/>
      <c r="V3590" s="682"/>
      <c r="W3590" s="682"/>
    </row>
    <row r="3591" spans="1:31">
      <c r="A3591" s="1045">
        <f t="shared" si="56"/>
        <v>12</v>
      </c>
      <c r="B3591" s="134">
        <v>45636</v>
      </c>
      <c r="C3591" s="70">
        <v>2018</v>
      </c>
      <c r="D3591" s="70" t="str">
        <f>IFERROR(VLOOKUP(C3591,Mychart!$A$6:$B$123,2,FALSE),"")</f>
        <v>VALUE ADDED TAX - VAT</v>
      </c>
      <c r="E3591" s="280" t="s">
        <v>6143</v>
      </c>
      <c r="F3591" s="1049"/>
      <c r="G3591" s="1049">
        <v>807.85</v>
      </c>
      <c r="H3591" s="564" t="s">
        <v>6144</v>
      </c>
      <c r="I3591" s="609"/>
      <c r="J3591" s="1155"/>
      <c r="K3591" s="609"/>
      <c r="L3591" s="609"/>
      <c r="M3591" s="609"/>
      <c r="N3591" s="599"/>
      <c r="O3591" s="552" t="s">
        <v>1584</v>
      </c>
      <c r="P3591" s="603"/>
      <c r="Q3591" s="682"/>
      <c r="R3591" s="682"/>
      <c r="S3591" s="682"/>
      <c r="T3591" s="682"/>
      <c r="U3591" s="682"/>
      <c r="V3591" s="682"/>
      <c r="W3591" s="682"/>
    </row>
    <row r="3592" spans="1:31">
      <c r="A3592" s="1045">
        <f t="shared" si="56"/>
        <v>12</v>
      </c>
      <c r="B3592" s="134">
        <v>45636</v>
      </c>
      <c r="C3592" s="70">
        <v>4200</v>
      </c>
      <c r="D3592" s="70" t="str">
        <f>IFERROR(VLOOKUP(C3592,Mychart!$A$6:$B$123,2,FALSE),"")</f>
        <v>Other Income</v>
      </c>
      <c r="E3592" s="280" t="s">
        <v>6143</v>
      </c>
      <c r="F3592" s="1049"/>
      <c r="G3592" s="1049">
        <v>10500</v>
      </c>
      <c r="H3592" s="564" t="s">
        <v>6144</v>
      </c>
      <c r="I3592" s="609"/>
      <c r="J3592" s="1155"/>
      <c r="K3592" s="609"/>
      <c r="L3592" s="609"/>
      <c r="M3592" s="609"/>
      <c r="N3592" s="599"/>
      <c r="O3592" s="552" t="s">
        <v>1584</v>
      </c>
      <c r="P3592" s="603"/>
      <c r="Q3592" s="682"/>
      <c r="R3592" s="682"/>
      <c r="S3592" s="682"/>
      <c r="T3592" s="682"/>
      <c r="U3592" s="682"/>
      <c r="V3592" s="682"/>
      <c r="W3592" s="682"/>
    </row>
    <row r="3593" spans="1:31">
      <c r="A3593" s="1045">
        <f t="shared" si="56"/>
        <v>12</v>
      </c>
      <c r="B3593" s="134">
        <v>45636</v>
      </c>
      <c r="C3593" s="70">
        <v>4000</v>
      </c>
      <c r="D3593" s="70" t="str">
        <f>IFERROR(VLOOKUP(C3593,Mychart!$A$6:$B$123,2,FALSE),"")</f>
        <v>Projects Income</v>
      </c>
      <c r="E3593" s="280" t="s">
        <v>6143</v>
      </c>
      <c r="F3593" s="1049"/>
      <c r="G3593" s="1049">
        <v>5657</v>
      </c>
      <c r="H3593" s="564" t="s">
        <v>6144</v>
      </c>
      <c r="I3593" s="609"/>
      <c r="J3593" s="1155"/>
      <c r="K3593" s="609"/>
      <c r="L3593" s="609"/>
      <c r="M3593" s="609"/>
      <c r="N3593" s="599"/>
      <c r="O3593" s="552" t="s">
        <v>1584</v>
      </c>
      <c r="P3593" s="603"/>
      <c r="Q3593" s="682"/>
      <c r="R3593" s="682"/>
      <c r="S3593" s="682"/>
      <c r="T3593" s="682"/>
      <c r="U3593" s="682"/>
      <c r="V3593" s="682"/>
      <c r="W3593" s="682"/>
    </row>
    <row r="3594" spans="1:31">
      <c r="A3594" s="1045">
        <f t="shared" si="56"/>
        <v>12</v>
      </c>
      <c r="B3594" s="134">
        <v>45636</v>
      </c>
      <c r="C3594" s="70">
        <v>1022</v>
      </c>
      <c r="D3594" s="70" t="str">
        <f>IFERROR(VLOOKUP(C3594,Mychart!$A$6:$B$123,2,FALSE),"")</f>
        <v>Bank -New NBD</v>
      </c>
      <c r="E3594" s="280" t="s">
        <v>6145</v>
      </c>
      <c r="F3594" s="1049">
        <v>16964.849999999999</v>
      </c>
      <c r="G3594" s="1049"/>
      <c r="H3594" s="564" t="s">
        <v>6146</v>
      </c>
      <c r="I3594" s="609" t="s">
        <v>4852</v>
      </c>
      <c r="J3594" s="1155"/>
      <c r="K3594" s="609"/>
      <c r="L3594" s="609"/>
      <c r="M3594" s="609"/>
      <c r="N3594" s="599"/>
      <c r="O3594" s="552" t="s">
        <v>1584</v>
      </c>
      <c r="P3594" s="603"/>
      <c r="Q3594" s="682"/>
      <c r="R3594" s="682"/>
      <c r="S3594" s="682"/>
      <c r="T3594" s="682"/>
      <c r="U3594" s="682"/>
      <c r="V3594" s="682"/>
      <c r="W3594" s="682"/>
    </row>
    <row r="3595" spans="1:31">
      <c r="A3595" s="1045">
        <f t="shared" si="56"/>
        <v>12</v>
      </c>
      <c r="B3595" s="134">
        <v>45636</v>
      </c>
      <c r="C3595" s="70">
        <v>1100</v>
      </c>
      <c r="D3595" s="70" t="str">
        <f>IFERROR(VLOOKUP(C3595,Mychart!$A$6:$B$123,2,FALSE),"")</f>
        <v>Accounts Receivable</v>
      </c>
      <c r="E3595" s="280" t="s">
        <v>6145</v>
      </c>
      <c r="F3595" s="1049"/>
      <c r="G3595" s="1049">
        <v>16964.849999999999</v>
      </c>
      <c r="H3595" s="564" t="s">
        <v>6146</v>
      </c>
      <c r="I3595" s="609"/>
      <c r="J3595" s="1155"/>
      <c r="K3595" s="609">
        <v>225</v>
      </c>
      <c r="L3595" s="609">
        <v>125</v>
      </c>
      <c r="M3595" s="609"/>
      <c r="N3595" s="599">
        <v>807.4</v>
      </c>
      <c r="O3595" s="552" t="s">
        <v>1584</v>
      </c>
      <c r="P3595" s="603"/>
      <c r="Q3595" s="682"/>
      <c r="R3595" s="682"/>
      <c r="S3595" s="682"/>
      <c r="T3595" s="682"/>
      <c r="U3595" s="682"/>
      <c r="V3595" s="682"/>
      <c r="W3595" s="682"/>
      <c r="AE3595" s="2" t="s">
        <v>6147</v>
      </c>
    </row>
    <row r="3596" spans="1:31">
      <c r="A3596" s="1045">
        <f t="shared" si="56"/>
        <v>12</v>
      </c>
      <c r="B3596" s="134">
        <v>45635</v>
      </c>
      <c r="C3596" s="70">
        <v>1011</v>
      </c>
      <c r="D3596" s="70" t="str">
        <f>IFERROR(VLOOKUP(C3596,Mychart!$A$6:$B$123,2,FALSE),"")</f>
        <v>ENOC PETROL</v>
      </c>
      <c r="E3596" s="280" t="s">
        <v>6148</v>
      </c>
      <c r="F3596" s="1049">
        <v>5000</v>
      </c>
      <c r="G3596" s="1049"/>
      <c r="H3596" s="564"/>
      <c r="I3596" s="609"/>
      <c r="J3596" s="1155"/>
      <c r="K3596" s="609"/>
      <c r="L3596" s="609"/>
      <c r="M3596" s="609"/>
      <c r="N3596" s="599"/>
      <c r="O3596" s="552" t="s">
        <v>1584</v>
      </c>
      <c r="P3596" s="603"/>
      <c r="Q3596" s="682"/>
      <c r="R3596" s="682"/>
      <c r="S3596" s="682"/>
      <c r="T3596" s="682"/>
      <c r="U3596" s="682"/>
      <c r="V3596" s="682"/>
      <c r="W3596" s="682"/>
    </row>
    <row r="3597" spans="1:31">
      <c r="A3597" s="1045"/>
      <c r="B3597" s="134">
        <v>45635</v>
      </c>
      <c r="C3597" s="70">
        <v>1025</v>
      </c>
      <c r="D3597" s="70" t="str">
        <f>IFERROR(VLOOKUP(C3597,Mychart!$A$6:$B$123,2,FALSE),"")</f>
        <v xml:space="preserve"> Eng-Mohamed - Custodu</v>
      </c>
      <c r="E3597" s="280" t="s">
        <v>6148</v>
      </c>
      <c r="F3597" s="1049"/>
      <c r="G3597" s="1049">
        <v>5000</v>
      </c>
      <c r="H3597" s="564"/>
      <c r="I3597" s="609"/>
      <c r="J3597" s="1155"/>
      <c r="K3597" s="609"/>
      <c r="L3597" s="609"/>
      <c r="M3597" s="609"/>
      <c r="N3597" s="599"/>
      <c r="O3597" s="552" t="s">
        <v>1584</v>
      </c>
      <c r="P3597" s="603"/>
      <c r="Q3597" s="682"/>
      <c r="R3597" s="682"/>
      <c r="S3597" s="682"/>
      <c r="T3597" s="682"/>
      <c r="U3597" s="682"/>
      <c r="V3597" s="682"/>
      <c r="W3597" s="682"/>
    </row>
    <row r="3598" spans="1:31">
      <c r="A3598" s="1045"/>
      <c r="B3598" s="134"/>
      <c r="C3598" s="70"/>
      <c r="D3598" s="70" t="str">
        <f>IFERROR(VLOOKUP(C3598,Mychart!$A$6:$B$123,2,FALSE),"")</f>
        <v/>
      </c>
      <c r="E3598" s="280"/>
      <c r="F3598" s="1049"/>
      <c r="G3598" s="1049"/>
      <c r="H3598" s="564"/>
      <c r="I3598" s="609"/>
      <c r="J3598" s="1155"/>
      <c r="K3598" s="609"/>
      <c r="L3598" s="609"/>
      <c r="M3598" s="609"/>
      <c r="N3598" s="599"/>
      <c r="O3598" s="552"/>
      <c r="P3598" s="603"/>
      <c r="Q3598" s="682"/>
      <c r="R3598" s="682"/>
      <c r="S3598" s="682"/>
      <c r="T3598" s="682"/>
      <c r="U3598" s="682"/>
      <c r="V3598" s="682"/>
      <c r="W3598" s="682"/>
    </row>
    <row r="3599" spans="1:31">
      <c r="A3599" s="1045"/>
      <c r="B3599" s="134"/>
      <c r="C3599" s="70"/>
      <c r="D3599" s="70" t="str">
        <f>IFERROR(VLOOKUP(C3599,Mychart!$A$6:$B$123,2,FALSE),"")</f>
        <v/>
      </c>
      <c r="E3599" s="280"/>
      <c r="F3599" s="1049"/>
      <c r="G3599" s="1049"/>
      <c r="H3599" s="564"/>
      <c r="I3599" s="609"/>
      <c r="J3599" s="1155"/>
      <c r="K3599" s="609"/>
      <c r="L3599" s="609"/>
      <c r="M3599" s="609"/>
      <c r="N3599" s="599"/>
      <c r="O3599" s="552"/>
      <c r="P3599" s="603"/>
      <c r="Q3599" s="682"/>
      <c r="R3599" s="682"/>
      <c r="S3599" s="682"/>
      <c r="T3599" s="682"/>
      <c r="U3599" s="682"/>
      <c r="V3599" s="682"/>
      <c r="W3599" s="682"/>
    </row>
    <row r="3600" spans="1:31">
      <c r="A3600" s="1045"/>
      <c r="B3600" s="134"/>
      <c r="C3600" s="70"/>
      <c r="D3600" s="70" t="str">
        <f>IFERROR(VLOOKUP(C3600,Mychart!$A$6:$B$123,2,FALSE),"")</f>
        <v/>
      </c>
      <c r="E3600" s="280"/>
      <c r="F3600" s="1049"/>
      <c r="G3600" s="1049"/>
      <c r="H3600" s="564"/>
      <c r="I3600" s="609"/>
      <c r="J3600" s="1155"/>
      <c r="K3600" s="609"/>
      <c r="L3600" s="609"/>
      <c r="M3600" s="609"/>
      <c r="N3600" s="599"/>
      <c r="O3600" s="552"/>
      <c r="P3600" s="603"/>
      <c r="Q3600" s="682"/>
      <c r="R3600" s="682"/>
      <c r="S3600" s="682"/>
      <c r="T3600" s="682"/>
      <c r="U3600" s="682"/>
      <c r="V3600" s="682"/>
      <c r="W3600" s="682"/>
    </row>
    <row r="3601" spans="1:23">
      <c r="A3601" s="1045"/>
      <c r="B3601" s="134"/>
      <c r="C3601" s="70"/>
      <c r="D3601" s="70" t="str">
        <f>IFERROR(VLOOKUP(C3601,Mychart!$A$6:$B$123,2,FALSE),"")</f>
        <v/>
      </c>
      <c r="E3601" s="280"/>
      <c r="F3601" s="1049"/>
      <c r="G3601" s="1049"/>
      <c r="H3601" s="564"/>
      <c r="I3601" s="609"/>
      <c r="J3601" s="1155"/>
      <c r="K3601" s="609"/>
      <c r="L3601" s="609"/>
      <c r="M3601" s="609"/>
      <c r="N3601" s="599"/>
      <c r="O3601" s="552"/>
      <c r="P3601" s="603"/>
      <c r="Q3601" s="682"/>
      <c r="R3601" s="682"/>
      <c r="S3601" s="682"/>
      <c r="T3601" s="682"/>
      <c r="U3601" s="682"/>
      <c r="V3601" s="682"/>
      <c r="W3601" s="682"/>
    </row>
    <row r="3602" spans="1:23">
      <c r="A3602" s="1045"/>
      <c r="B3602" s="134"/>
      <c r="C3602" s="70"/>
      <c r="D3602" s="70" t="str">
        <f>IFERROR(VLOOKUP(C3602,Mychart!$A$6:$B$123,2,FALSE),"")</f>
        <v/>
      </c>
      <c r="E3602" s="280"/>
      <c r="F3602" s="1049"/>
      <c r="G3602" s="1049"/>
      <c r="H3602" s="564"/>
      <c r="I3602" s="609"/>
      <c r="J3602" s="1155"/>
      <c r="K3602" s="609"/>
      <c r="L3602" s="609"/>
      <c r="M3602" s="609"/>
      <c r="N3602" s="599"/>
      <c r="O3602" s="552"/>
      <c r="P3602" s="603"/>
      <c r="Q3602" s="682"/>
      <c r="R3602" s="682"/>
      <c r="S3602" s="682"/>
      <c r="T3602" s="682"/>
      <c r="U3602" s="682"/>
      <c r="V3602" s="682"/>
      <c r="W3602" s="682"/>
    </row>
    <row r="3603" spans="1:23">
      <c r="A3603" s="1045"/>
      <c r="B3603" s="134"/>
      <c r="C3603" s="70"/>
      <c r="D3603" s="70" t="str">
        <f>IFERROR(VLOOKUP(C3603,Mychart!$A$6:$B$123,2,FALSE),"")</f>
        <v/>
      </c>
      <c r="E3603" s="280"/>
      <c r="F3603" s="1049"/>
      <c r="G3603" s="1049"/>
      <c r="H3603" s="564"/>
      <c r="I3603" s="609"/>
      <c r="J3603" s="1155"/>
      <c r="K3603" s="609"/>
      <c r="L3603" s="609"/>
      <c r="M3603" s="609"/>
      <c r="N3603" s="599"/>
      <c r="O3603" s="552"/>
      <c r="P3603" s="603"/>
      <c r="Q3603" s="682"/>
      <c r="R3603" s="682"/>
      <c r="S3603" s="682"/>
      <c r="T3603" s="682"/>
      <c r="U3603" s="682"/>
      <c r="V3603" s="682"/>
      <c r="W3603" s="682"/>
    </row>
    <row r="3604" spans="1:23">
      <c r="A3604" s="1045"/>
      <c r="B3604" s="134"/>
      <c r="C3604" s="70"/>
      <c r="D3604" s="70" t="str">
        <f>IFERROR(VLOOKUP(C3604,Mychart!$A$6:$B$123,2,FALSE),"")</f>
        <v/>
      </c>
      <c r="E3604" s="280"/>
      <c r="F3604" s="1049"/>
      <c r="G3604" s="1049"/>
      <c r="H3604" s="564"/>
      <c r="I3604" s="609"/>
      <c r="J3604" s="1155"/>
      <c r="K3604" s="609"/>
      <c r="L3604" s="609"/>
      <c r="M3604" s="609"/>
      <c r="N3604" s="599"/>
      <c r="O3604" s="552"/>
      <c r="P3604" s="603"/>
      <c r="Q3604" s="682"/>
      <c r="R3604" s="682"/>
      <c r="S3604" s="682"/>
      <c r="T3604" s="682"/>
      <c r="U3604" s="682"/>
      <c r="V3604" s="682"/>
      <c r="W3604" s="682"/>
    </row>
    <row r="3605" spans="1:23">
      <c r="A3605" s="1045"/>
      <c r="B3605" s="134"/>
      <c r="C3605" s="70"/>
      <c r="D3605" s="70" t="str">
        <f>IFERROR(VLOOKUP(C3605,Mychart!$A$6:$B$123,2,FALSE),"")</f>
        <v/>
      </c>
      <c r="E3605" s="280"/>
      <c r="F3605" s="1049"/>
      <c r="G3605" s="1049"/>
      <c r="H3605" s="564"/>
      <c r="I3605" s="609"/>
      <c r="J3605" s="1155"/>
      <c r="K3605" s="609"/>
      <c r="L3605" s="609"/>
      <c r="M3605" s="609"/>
      <c r="N3605" s="599"/>
      <c r="O3605" s="552"/>
      <c r="P3605" s="603"/>
      <c r="Q3605" s="682"/>
      <c r="R3605" s="682"/>
      <c r="S3605" s="682"/>
      <c r="T3605" s="682"/>
      <c r="U3605" s="682"/>
      <c r="V3605" s="682"/>
      <c r="W3605" s="682"/>
    </row>
    <row r="3606" spans="1:23">
      <c r="A3606" s="1045"/>
      <c r="B3606" s="134"/>
      <c r="C3606" s="70"/>
      <c r="D3606" s="70" t="str">
        <f>IFERROR(VLOOKUP(C3606,Mychart!$A$6:$B$123,2,FALSE),"")</f>
        <v/>
      </c>
      <c r="E3606" s="280"/>
      <c r="F3606" s="1049"/>
      <c r="G3606" s="1049"/>
      <c r="H3606" s="564"/>
      <c r="I3606" s="609"/>
      <c r="J3606" s="1155"/>
      <c r="K3606" s="609"/>
      <c r="L3606" s="609"/>
      <c r="M3606" s="609"/>
      <c r="N3606" s="599"/>
      <c r="O3606" s="552"/>
      <c r="P3606" s="603"/>
      <c r="Q3606" s="682"/>
      <c r="R3606" s="682"/>
      <c r="S3606" s="682"/>
      <c r="T3606" s="682"/>
      <c r="U3606" s="682"/>
      <c r="V3606" s="682"/>
      <c r="W3606" s="682"/>
    </row>
    <row r="3607" spans="1:23">
      <c r="A3607" s="1045"/>
      <c r="B3607" s="134"/>
      <c r="C3607" s="70"/>
      <c r="D3607" s="70" t="str">
        <f>IFERROR(VLOOKUP(C3607,Mychart!$A$6:$B$123,2,FALSE),"")</f>
        <v/>
      </c>
      <c r="E3607" s="280"/>
      <c r="F3607" s="1049"/>
      <c r="G3607" s="1049"/>
      <c r="H3607" s="564"/>
      <c r="I3607" s="609"/>
      <c r="J3607" s="1155"/>
      <c r="K3607" s="609"/>
      <c r="L3607" s="609"/>
      <c r="M3607" s="609"/>
      <c r="N3607" s="599"/>
      <c r="O3607" s="552"/>
      <c r="P3607" s="603"/>
      <c r="Q3607" s="682"/>
      <c r="R3607" s="682"/>
      <c r="S3607" s="682"/>
      <c r="T3607" s="682"/>
      <c r="U3607" s="682"/>
      <c r="V3607" s="682"/>
      <c r="W3607" s="682"/>
    </row>
    <row r="3608" spans="1:23">
      <c r="A3608" s="1045"/>
      <c r="B3608" s="134"/>
      <c r="C3608" s="70"/>
      <c r="D3608" s="70" t="str">
        <f>IFERROR(VLOOKUP(C3608,Mychart!$A$6:$B$123,2,FALSE),"")</f>
        <v/>
      </c>
      <c r="E3608" s="280"/>
      <c r="F3608" s="1049"/>
      <c r="G3608" s="1049"/>
      <c r="H3608" s="564"/>
      <c r="I3608" s="609"/>
      <c r="J3608" s="1155"/>
      <c r="K3608" s="609"/>
      <c r="L3608" s="609"/>
      <c r="M3608" s="609"/>
      <c r="N3608" s="599"/>
      <c r="O3608" s="552"/>
      <c r="P3608" s="603"/>
      <c r="Q3608" s="682"/>
      <c r="R3608" s="682"/>
      <c r="S3608" s="682"/>
      <c r="T3608" s="682"/>
      <c r="U3608" s="682"/>
      <c r="V3608" s="682"/>
      <c r="W3608" s="682"/>
    </row>
    <row r="3609" spans="1:23">
      <c r="A3609" s="1045"/>
      <c r="B3609" s="134"/>
      <c r="C3609" s="70"/>
      <c r="D3609" s="70" t="str">
        <f>IFERROR(VLOOKUP(C3609,Mychart!$A$6:$B$123,2,FALSE),"")</f>
        <v/>
      </c>
      <c r="E3609" s="280"/>
      <c r="F3609" s="1049"/>
      <c r="G3609" s="1049"/>
      <c r="H3609" s="564"/>
      <c r="I3609" s="609"/>
      <c r="J3609" s="1155"/>
      <c r="K3609" s="609"/>
      <c r="L3609" s="609"/>
      <c r="M3609" s="609"/>
      <c r="N3609" s="599"/>
      <c r="O3609" s="552"/>
      <c r="P3609" s="603"/>
      <c r="Q3609" s="682"/>
      <c r="R3609" s="682"/>
      <c r="S3609" s="682"/>
      <c r="T3609" s="682"/>
      <c r="U3609" s="682"/>
      <c r="V3609" s="682"/>
      <c r="W3609" s="682"/>
    </row>
    <row r="3610" spans="1:23">
      <c r="A3610" s="1045"/>
      <c r="B3610" s="134"/>
      <c r="C3610" s="70"/>
      <c r="D3610" s="70" t="str">
        <f>IFERROR(VLOOKUP(C3610,Mychart!$A$6:$B$123,2,FALSE),"")</f>
        <v/>
      </c>
      <c r="E3610" s="280"/>
      <c r="F3610" s="1049"/>
      <c r="G3610" s="1049"/>
      <c r="H3610" s="564"/>
      <c r="I3610" s="609"/>
      <c r="J3610" s="1155"/>
      <c r="K3610" s="609"/>
      <c r="L3610" s="609"/>
      <c r="M3610" s="609"/>
      <c r="N3610" s="599"/>
      <c r="O3610" s="552"/>
      <c r="P3610" s="603"/>
      <c r="Q3610" s="682"/>
      <c r="R3610" s="682"/>
      <c r="S3610" s="682"/>
      <c r="T3610" s="682"/>
      <c r="U3610" s="682"/>
      <c r="V3610" s="682"/>
      <c r="W3610" s="682"/>
    </row>
    <row r="3611" spans="1:23">
      <c r="A3611" s="1045"/>
      <c r="B3611" s="134"/>
      <c r="C3611" s="70"/>
      <c r="D3611" s="70" t="str">
        <f>IFERROR(VLOOKUP(C3611,Mychart!$A$6:$B$123,2,FALSE),"")</f>
        <v/>
      </c>
      <c r="E3611" s="280"/>
      <c r="F3611" s="1049"/>
      <c r="G3611" s="1049"/>
      <c r="H3611" s="564"/>
      <c r="I3611" s="609"/>
      <c r="J3611" s="1155"/>
      <c r="K3611" s="609"/>
      <c r="L3611" s="609"/>
      <c r="M3611" s="609"/>
      <c r="N3611" s="599"/>
      <c r="O3611" s="552"/>
      <c r="P3611" s="603"/>
      <c r="Q3611" s="682"/>
      <c r="R3611" s="682"/>
      <c r="S3611" s="682"/>
      <c r="T3611" s="682"/>
      <c r="U3611" s="682"/>
      <c r="V3611" s="682"/>
      <c r="W3611" s="682"/>
    </row>
    <row r="3612" spans="1:23">
      <c r="A3612" s="1045"/>
      <c r="B3612" s="134"/>
      <c r="C3612" s="70"/>
      <c r="D3612" s="70" t="str">
        <f>IFERROR(VLOOKUP(C3612,Mychart!$A$6:$B$123,2,FALSE),"")</f>
        <v/>
      </c>
      <c r="E3612" s="280"/>
      <c r="F3612" s="1049"/>
      <c r="G3612" s="1049"/>
      <c r="H3612" s="564"/>
      <c r="I3612" s="609"/>
      <c r="J3612" s="1155"/>
      <c r="K3612" s="609"/>
      <c r="L3612" s="609"/>
      <c r="M3612" s="609"/>
      <c r="N3612" s="599"/>
      <c r="O3612" s="552"/>
      <c r="P3612" s="603"/>
      <c r="Q3612" s="682"/>
      <c r="R3612" s="682"/>
      <c r="S3612" s="682"/>
      <c r="T3612" s="682"/>
      <c r="U3612" s="682"/>
      <c r="V3612" s="682"/>
      <c r="W3612" s="682"/>
    </row>
    <row r="3613" spans="1:23">
      <c r="A3613" s="1045"/>
      <c r="B3613" s="134"/>
      <c r="C3613" s="70"/>
      <c r="D3613" s="70" t="str">
        <f>IFERROR(VLOOKUP(C3613,Mychart!$A$6:$B$123,2,FALSE),"")</f>
        <v/>
      </c>
      <c r="E3613" s="280"/>
      <c r="F3613" s="1049"/>
      <c r="G3613" s="1049"/>
      <c r="H3613" s="564"/>
      <c r="I3613" s="609"/>
      <c r="J3613" s="1155"/>
      <c r="K3613" s="609"/>
      <c r="L3613" s="609"/>
      <c r="M3613" s="609"/>
      <c r="N3613" s="599"/>
      <c r="O3613" s="552"/>
      <c r="P3613" s="603"/>
      <c r="Q3613" s="682"/>
      <c r="R3613" s="682"/>
      <c r="S3613" s="682"/>
      <c r="T3613" s="682"/>
      <c r="U3613" s="682"/>
      <c r="V3613" s="682"/>
      <c r="W3613" s="682"/>
    </row>
    <row r="3614" spans="1:23">
      <c r="A3614" s="1045"/>
      <c r="B3614" s="134"/>
      <c r="C3614" s="70"/>
      <c r="D3614" s="70" t="str">
        <f>IFERROR(VLOOKUP(C3614,Mychart!$A$6:$B$123,2,FALSE),"")</f>
        <v/>
      </c>
      <c r="E3614" s="280"/>
      <c r="F3614" s="1049"/>
      <c r="G3614" s="1049"/>
      <c r="H3614" s="564"/>
      <c r="I3614" s="609"/>
      <c r="J3614" s="1155"/>
      <c r="K3614" s="609"/>
      <c r="L3614" s="609"/>
      <c r="M3614" s="609"/>
      <c r="N3614" s="599"/>
      <c r="O3614" s="552"/>
      <c r="P3614" s="603"/>
      <c r="Q3614" s="682"/>
      <c r="R3614" s="682"/>
      <c r="S3614" s="682"/>
      <c r="T3614" s="682"/>
      <c r="U3614" s="682"/>
      <c r="V3614" s="682"/>
      <c r="W3614" s="682"/>
    </row>
    <row r="3615" spans="1:23">
      <c r="A3615" s="1045"/>
      <c r="B3615" s="134"/>
      <c r="C3615" s="70"/>
      <c r="D3615" s="70" t="str">
        <f>IFERROR(VLOOKUP(C3615,Mychart!$A$6:$B$123,2,FALSE),"")</f>
        <v/>
      </c>
      <c r="E3615" s="280"/>
      <c r="F3615" s="1049"/>
      <c r="G3615" s="1049"/>
      <c r="H3615" s="564"/>
      <c r="I3615" s="609"/>
      <c r="J3615" s="1155"/>
      <c r="K3615" s="609"/>
      <c r="L3615" s="609"/>
      <c r="M3615" s="609"/>
      <c r="N3615" s="599"/>
      <c r="O3615" s="552"/>
      <c r="P3615" s="603"/>
      <c r="Q3615" s="682"/>
      <c r="R3615" s="682"/>
      <c r="S3615" s="682"/>
      <c r="T3615" s="682"/>
      <c r="U3615" s="682"/>
      <c r="V3615" s="682"/>
      <c r="W3615" s="682"/>
    </row>
    <row r="3616" spans="1:23">
      <c r="A3616" s="1045"/>
      <c r="B3616" s="134"/>
      <c r="C3616" s="70"/>
      <c r="D3616" s="70" t="str">
        <f>IFERROR(VLOOKUP(C3616,Mychart!$A$6:$B$123,2,FALSE),"")</f>
        <v/>
      </c>
      <c r="E3616" s="280"/>
      <c r="F3616" s="1049"/>
      <c r="G3616" s="1049"/>
      <c r="H3616" s="564"/>
      <c r="I3616" s="609"/>
      <c r="J3616" s="1155"/>
      <c r="K3616" s="609"/>
      <c r="L3616" s="609"/>
      <c r="M3616" s="609"/>
      <c r="N3616" s="599"/>
      <c r="O3616" s="552"/>
      <c r="P3616" s="603"/>
      <c r="Q3616" s="682"/>
      <c r="R3616" s="682"/>
      <c r="S3616" s="682"/>
      <c r="T3616" s="682"/>
      <c r="U3616" s="682"/>
      <c r="V3616" s="682"/>
      <c r="W3616" s="682"/>
    </row>
    <row r="3617" spans="1:23">
      <c r="A3617" s="1045"/>
      <c r="B3617" s="134"/>
      <c r="C3617" s="70"/>
      <c r="D3617" s="70" t="str">
        <f>IFERROR(VLOOKUP(C3617,Mychart!$A$6:$B$123,2,FALSE),"")</f>
        <v/>
      </c>
      <c r="E3617" s="280"/>
      <c r="F3617" s="1049"/>
      <c r="G3617" s="1049"/>
      <c r="H3617" s="564"/>
      <c r="I3617" s="609"/>
      <c r="J3617" s="1155"/>
      <c r="K3617" s="609"/>
      <c r="L3617" s="609"/>
      <c r="M3617" s="609"/>
      <c r="N3617" s="599"/>
      <c r="O3617" s="552"/>
      <c r="P3617" s="603"/>
      <c r="Q3617" s="682"/>
      <c r="R3617" s="682"/>
      <c r="S3617" s="682"/>
      <c r="T3617" s="682"/>
      <c r="U3617" s="682"/>
      <c r="V3617" s="682"/>
      <c r="W3617" s="682"/>
    </row>
    <row r="3618" spans="1:23">
      <c r="A3618" s="1045"/>
      <c r="B3618" s="134"/>
      <c r="C3618" s="70"/>
      <c r="D3618" s="70" t="str">
        <f>IFERROR(VLOOKUP(C3618,Mychart!$A$6:$B$123,2,FALSE),"")</f>
        <v/>
      </c>
      <c r="E3618" s="280"/>
      <c r="F3618" s="1049"/>
      <c r="G3618" s="1049"/>
      <c r="H3618" s="564"/>
      <c r="I3618" s="609"/>
      <c r="J3618" s="1155"/>
      <c r="K3618" s="609"/>
      <c r="L3618" s="609"/>
      <c r="M3618" s="609"/>
      <c r="N3618" s="599"/>
      <c r="O3618" s="552"/>
      <c r="P3618" s="603"/>
      <c r="Q3618" s="682"/>
      <c r="R3618" s="682"/>
      <c r="S3618" s="682"/>
      <c r="T3618" s="682"/>
      <c r="U3618" s="682"/>
      <c r="V3618" s="682"/>
      <c r="W3618" s="682"/>
    </row>
    <row r="3619" spans="1:23">
      <c r="A3619" s="1045"/>
      <c r="B3619" s="134"/>
      <c r="C3619" s="70"/>
      <c r="D3619" s="70" t="str">
        <f>IFERROR(VLOOKUP(C3619,Mychart!$A$6:$B$123,2,FALSE),"")</f>
        <v/>
      </c>
      <c r="E3619" s="280"/>
      <c r="F3619" s="1049"/>
      <c r="G3619" s="1049"/>
      <c r="H3619" s="564"/>
      <c r="I3619" s="609"/>
      <c r="J3619" s="1155"/>
      <c r="K3619" s="609"/>
      <c r="L3619" s="609"/>
      <c r="M3619" s="609"/>
      <c r="N3619" s="599"/>
      <c r="O3619" s="552"/>
      <c r="P3619" s="603"/>
      <c r="Q3619" s="682"/>
      <c r="R3619" s="682"/>
      <c r="S3619" s="682"/>
      <c r="T3619" s="682"/>
      <c r="U3619" s="682"/>
      <c r="V3619" s="682"/>
      <c r="W3619" s="682"/>
    </row>
    <row r="3620" spans="1:23">
      <c r="A3620" s="1045"/>
      <c r="B3620" s="134"/>
      <c r="C3620" s="70"/>
      <c r="D3620" s="70" t="str">
        <f>IFERROR(VLOOKUP(C3620,Mychart!$A$6:$B$123,2,FALSE),"")</f>
        <v/>
      </c>
      <c r="E3620" s="280"/>
      <c r="F3620" s="1049"/>
      <c r="G3620" s="1049"/>
      <c r="H3620" s="564"/>
      <c r="I3620" s="609"/>
      <c r="J3620" s="1155"/>
      <c r="K3620" s="609"/>
      <c r="L3620" s="609"/>
      <c r="M3620" s="609"/>
      <c r="N3620" s="599"/>
      <c r="O3620" s="552"/>
      <c r="P3620" s="603"/>
      <c r="Q3620" s="682"/>
      <c r="R3620" s="682"/>
      <c r="S3620" s="682"/>
      <c r="T3620" s="682"/>
      <c r="U3620" s="682"/>
      <c r="V3620" s="682"/>
      <c r="W3620" s="682"/>
    </row>
    <row r="3621" spans="1:23">
      <c r="A3621" s="1045"/>
      <c r="B3621" s="134"/>
      <c r="C3621" s="70"/>
      <c r="D3621" s="70" t="str">
        <f>IFERROR(VLOOKUP(C3621,Mychart!$A$6:$B$123,2,FALSE),"")</f>
        <v/>
      </c>
      <c r="E3621" s="280"/>
      <c r="F3621" s="1049"/>
      <c r="G3621" s="1049"/>
      <c r="H3621" s="564"/>
      <c r="I3621" s="609"/>
      <c r="J3621" s="1155"/>
      <c r="K3621" s="609"/>
      <c r="L3621" s="609"/>
      <c r="M3621" s="609"/>
      <c r="N3621" s="599"/>
      <c r="O3621" s="552"/>
      <c r="P3621" s="603"/>
      <c r="Q3621" s="682"/>
      <c r="R3621" s="682"/>
      <c r="S3621" s="682"/>
      <c r="T3621" s="682"/>
      <c r="U3621" s="682"/>
      <c r="V3621" s="682"/>
      <c r="W3621" s="682"/>
    </row>
    <row r="3622" spans="1:23">
      <c r="A3622" s="1045"/>
      <c r="B3622" s="134"/>
      <c r="C3622" s="70"/>
      <c r="D3622" s="70" t="str">
        <f>IFERROR(VLOOKUP(C3622,Mychart!$A$6:$B$123,2,FALSE),"")</f>
        <v/>
      </c>
      <c r="E3622" s="280"/>
      <c r="F3622" s="1049"/>
      <c r="G3622" s="1049"/>
      <c r="H3622" s="564"/>
      <c r="I3622" s="609"/>
      <c r="J3622" s="1155"/>
      <c r="K3622" s="609"/>
      <c r="L3622" s="609"/>
      <c r="M3622" s="609"/>
      <c r="N3622" s="599"/>
      <c r="O3622" s="552"/>
      <c r="P3622" s="603"/>
      <c r="Q3622" s="682"/>
      <c r="R3622" s="682"/>
      <c r="S3622" s="682"/>
      <c r="T3622" s="682"/>
      <c r="U3622" s="682"/>
      <c r="V3622" s="682"/>
      <c r="W3622" s="682"/>
    </row>
    <row r="3623" spans="1:23">
      <c r="A3623" s="1045"/>
      <c r="B3623" s="134"/>
      <c r="C3623" s="70"/>
      <c r="D3623" s="70" t="str">
        <f>IFERROR(VLOOKUP(C3623,Mychart!$A$6:$B$123,2,FALSE),"")</f>
        <v/>
      </c>
      <c r="E3623" s="280"/>
      <c r="F3623" s="1049"/>
      <c r="G3623" s="1049"/>
      <c r="H3623" s="564"/>
      <c r="I3623" s="609"/>
      <c r="J3623" s="1155"/>
      <c r="K3623" s="609"/>
      <c r="L3623" s="609"/>
      <c r="M3623" s="609"/>
      <c r="N3623" s="599"/>
      <c r="O3623" s="552"/>
      <c r="P3623" s="603"/>
      <c r="Q3623" s="682"/>
      <c r="R3623" s="682"/>
      <c r="S3623" s="682"/>
      <c r="T3623" s="682"/>
      <c r="U3623" s="682"/>
      <c r="V3623" s="682"/>
      <c r="W3623" s="682"/>
    </row>
    <row r="3624" spans="1:23">
      <c r="A3624" s="1045"/>
      <c r="B3624" s="134"/>
      <c r="C3624" s="70"/>
      <c r="D3624" s="70" t="str">
        <f>IFERROR(VLOOKUP(C3624,Mychart!$A$6:$B$123,2,FALSE),"")</f>
        <v/>
      </c>
      <c r="E3624" s="280"/>
      <c r="F3624" s="1049"/>
      <c r="G3624" s="1049"/>
      <c r="H3624" s="564"/>
      <c r="I3624" s="609"/>
      <c r="J3624" s="1155"/>
      <c r="K3624" s="609"/>
      <c r="L3624" s="609"/>
      <c r="M3624" s="609"/>
      <c r="N3624" s="599"/>
      <c r="O3624" s="552"/>
      <c r="P3624" s="603"/>
      <c r="Q3624" s="682"/>
      <c r="R3624" s="682"/>
      <c r="S3624" s="682"/>
      <c r="T3624" s="682"/>
      <c r="U3624" s="682"/>
      <c r="V3624" s="682"/>
      <c r="W3624" s="682"/>
    </row>
    <row r="3625" spans="1:23">
      <c r="A3625" s="1045"/>
      <c r="B3625" s="134"/>
      <c r="C3625" s="70"/>
      <c r="D3625" s="70" t="str">
        <f>IFERROR(VLOOKUP(C3625,Mychart!$A$6:$B$123,2,FALSE),"")</f>
        <v/>
      </c>
      <c r="E3625" s="280"/>
      <c r="F3625" s="1049"/>
      <c r="G3625" s="1049"/>
      <c r="H3625" s="564"/>
      <c r="I3625" s="609"/>
      <c r="J3625" s="1155"/>
      <c r="K3625" s="609"/>
      <c r="L3625" s="609"/>
      <c r="M3625" s="609"/>
      <c r="N3625" s="599"/>
      <c r="O3625" s="552"/>
      <c r="P3625" s="603"/>
      <c r="Q3625" s="682"/>
      <c r="R3625" s="682"/>
      <c r="S3625" s="682"/>
      <c r="T3625" s="682"/>
      <c r="U3625" s="682"/>
      <c r="V3625" s="682"/>
      <c r="W3625" s="682"/>
    </row>
    <row r="3626" spans="1:23">
      <c r="A3626" s="1045"/>
      <c r="B3626" s="134"/>
      <c r="C3626" s="70"/>
      <c r="D3626" s="70" t="str">
        <f>IFERROR(VLOOKUP(C3626,Mychart!$A$6:$B$123,2,FALSE),"")</f>
        <v/>
      </c>
      <c r="E3626" s="280"/>
      <c r="F3626" s="1049"/>
      <c r="G3626" s="1049"/>
      <c r="H3626" s="564"/>
      <c r="I3626" s="609"/>
      <c r="J3626" s="1155"/>
      <c r="K3626" s="609"/>
      <c r="L3626" s="609"/>
      <c r="M3626" s="609"/>
      <c r="N3626" s="599"/>
      <c r="O3626" s="552"/>
      <c r="P3626" s="603"/>
      <c r="Q3626" s="682"/>
      <c r="R3626" s="682"/>
      <c r="S3626" s="682"/>
      <c r="T3626" s="682"/>
      <c r="U3626" s="682"/>
      <c r="V3626" s="682"/>
      <c r="W3626" s="682"/>
    </row>
    <row r="3627" spans="1:23">
      <c r="A3627" s="1045"/>
      <c r="B3627" s="134"/>
      <c r="C3627" s="70"/>
      <c r="D3627" s="70" t="str">
        <f>IFERROR(VLOOKUP(C3627,Mychart!$A$6:$B$123,2,FALSE),"")</f>
        <v/>
      </c>
      <c r="E3627" s="280"/>
      <c r="F3627" s="1049"/>
      <c r="G3627" s="1049"/>
      <c r="H3627" s="564"/>
      <c r="I3627" s="609"/>
      <c r="J3627" s="1155"/>
      <c r="K3627" s="609"/>
      <c r="L3627" s="609"/>
      <c r="M3627" s="609"/>
      <c r="N3627" s="599"/>
      <c r="O3627" s="552"/>
      <c r="P3627" s="603"/>
      <c r="Q3627" s="682"/>
      <c r="R3627" s="682"/>
      <c r="S3627" s="682"/>
      <c r="T3627" s="682"/>
      <c r="U3627" s="682"/>
      <c r="V3627" s="682"/>
      <c r="W3627" s="682"/>
    </row>
    <row r="3628" spans="1:23">
      <c r="A3628" s="1045"/>
      <c r="B3628" s="134"/>
      <c r="C3628" s="70"/>
      <c r="D3628" s="70" t="str">
        <f>IFERROR(VLOOKUP(C3628,Mychart!$A$6:$B$123,2,FALSE),"")</f>
        <v/>
      </c>
      <c r="E3628" s="280"/>
      <c r="F3628" s="1049"/>
      <c r="G3628" s="1049"/>
      <c r="H3628" s="564"/>
      <c r="I3628" s="609"/>
      <c r="J3628" s="1155"/>
      <c r="K3628" s="609"/>
      <c r="L3628" s="609"/>
      <c r="M3628" s="609"/>
      <c r="N3628" s="599"/>
      <c r="O3628" s="552"/>
      <c r="P3628" s="603"/>
      <c r="Q3628" s="682"/>
      <c r="R3628" s="682"/>
      <c r="S3628" s="682"/>
      <c r="T3628" s="682"/>
      <c r="U3628" s="682"/>
      <c r="V3628" s="682"/>
      <c r="W3628" s="682"/>
    </row>
    <row r="3629" spans="1:23">
      <c r="A3629" s="1045"/>
      <c r="B3629" s="134"/>
      <c r="C3629" s="70"/>
      <c r="D3629" s="70" t="str">
        <f>IFERROR(VLOOKUP(C3629,Mychart!$A$6:$B$123,2,FALSE),"")</f>
        <v/>
      </c>
      <c r="E3629" s="280"/>
      <c r="F3629" s="1049"/>
      <c r="G3629" s="1049"/>
      <c r="H3629" s="564"/>
      <c r="I3629" s="609"/>
      <c r="J3629" s="1155"/>
      <c r="K3629" s="609"/>
      <c r="L3629" s="609"/>
      <c r="M3629" s="609"/>
      <c r="N3629" s="599"/>
      <c r="O3629" s="552"/>
      <c r="P3629" s="603"/>
      <c r="Q3629" s="682"/>
      <c r="R3629" s="682"/>
      <c r="S3629" s="682"/>
      <c r="T3629" s="682"/>
      <c r="U3629" s="682"/>
      <c r="V3629" s="682"/>
      <c r="W3629" s="682"/>
    </row>
    <row r="3630" spans="1:23">
      <c r="A3630" s="1045"/>
      <c r="B3630" s="134"/>
      <c r="C3630" s="70"/>
      <c r="D3630" s="70" t="str">
        <f>IFERROR(VLOOKUP(C3630,Mychart!$A$6:$B$123,2,FALSE),"")</f>
        <v/>
      </c>
      <c r="E3630" s="280"/>
      <c r="F3630" s="1049"/>
      <c r="G3630" s="1049"/>
      <c r="H3630" s="564"/>
      <c r="I3630" s="609"/>
      <c r="J3630" s="1155"/>
      <c r="K3630" s="609"/>
      <c r="L3630" s="609"/>
      <c r="M3630" s="609"/>
      <c r="N3630" s="599"/>
      <c r="O3630" s="552"/>
      <c r="P3630" s="603"/>
      <c r="Q3630" s="682"/>
      <c r="R3630" s="682"/>
      <c r="S3630" s="682"/>
      <c r="T3630" s="682"/>
      <c r="U3630" s="682"/>
      <c r="V3630" s="682"/>
      <c r="W3630" s="682"/>
    </row>
    <row r="3631" spans="1:23">
      <c r="D3631" s="70" t="str">
        <f>IFERROR(VLOOKUP(C3631,Mychart!$A$6:$B$123,2,FALSE),"")</f>
        <v/>
      </c>
    </row>
    <row r="3632" spans="1:23">
      <c r="D3632" s="70" t="str">
        <f>IFERROR(VLOOKUP(C3632,Mychart!$A$6:$B$123,2,FALSE),"")</f>
        <v/>
      </c>
    </row>
  </sheetData>
  <autoFilter ref="K10:K3495" xr:uid="{731BDCAC-AB66-44F6-A33E-B3D1BEED5653}"/>
  <sortState xmlns:xlrd2="http://schemas.microsoft.com/office/spreadsheetml/2017/richdata2" ref="R94:S582">
    <sortCondition ref="R94:R582"/>
  </sortState>
  <customSheetViews>
    <customSheetView guid="{CE7484BD-F9E2-4C03-AA0F-F7057FD8E6EF}" showAutoFilter="1">
      <pane ySplit="10" topLeftCell="A853" activePane="bottomLeft" state="frozen"/>
      <selection pane="bottomLeft" activeCell="E873" sqref="E873"/>
      <pageMargins left="0.7" right="0.7" top="0.75" bottom="0.75" header="0.3" footer="0.3"/>
      <pageSetup paperSize="9" orientation="portrait" r:id="rId1"/>
      <autoFilter ref="A10:P921" xr:uid="{FE4E4EF9-EC82-49A8-A507-54D1AB104389}"/>
    </customSheetView>
  </customSheetViews>
  <mergeCells count="7">
    <mergeCell ref="R20:S20"/>
    <mergeCell ref="A1:D2"/>
    <mergeCell ref="P1:Q1"/>
    <mergeCell ref="P2:Q2"/>
    <mergeCell ref="P3:Q3"/>
    <mergeCell ref="R19:S19"/>
    <mergeCell ref="M3:O3"/>
  </mergeCells>
  <phoneticPr fontId="36" type="noConversion"/>
  <conditionalFormatting sqref="I722:I729 I1:I3 I506:I713 I94:I456 J2:O2 J1:P1 I6:I10 I461:I504">
    <cfRule type="duplicateValues" dxfId="39" priority="34"/>
  </conditionalFormatting>
  <conditionalFormatting sqref="I714:I721">
    <cfRule type="duplicateValues" dxfId="38" priority="33"/>
  </conditionalFormatting>
  <conditionalFormatting sqref="I731">
    <cfRule type="duplicateValues" dxfId="37" priority="32"/>
  </conditionalFormatting>
  <conditionalFormatting sqref="I505">
    <cfRule type="duplicateValues" dxfId="36" priority="31"/>
  </conditionalFormatting>
  <conditionalFormatting sqref="I732:I737">
    <cfRule type="duplicateValues" dxfId="35" priority="44"/>
  </conditionalFormatting>
  <conditionalFormatting sqref="I730">
    <cfRule type="duplicateValues" dxfId="34" priority="26"/>
  </conditionalFormatting>
  <conditionalFormatting sqref="G6">
    <cfRule type="duplicateValues" dxfId="33" priority="25"/>
  </conditionalFormatting>
  <conditionalFormatting sqref="A4:B6">
    <cfRule type="duplicateValues" dxfId="32" priority="24"/>
  </conditionalFormatting>
  <conditionalFormatting sqref="I780:I806">
    <cfRule type="duplicateValues" dxfId="31" priority="53"/>
  </conditionalFormatting>
  <conditionalFormatting sqref="I807:I828">
    <cfRule type="duplicateValues" dxfId="30" priority="23"/>
  </conditionalFormatting>
  <conditionalFormatting sqref="I829:I844 I846:I874 I877:I1061">
    <cfRule type="duplicateValues" dxfId="29" priority="54"/>
  </conditionalFormatting>
  <conditionalFormatting sqref="I845">
    <cfRule type="duplicateValues" dxfId="28" priority="21"/>
  </conditionalFormatting>
  <conditionalFormatting sqref="I875:I876">
    <cfRule type="duplicateValues" dxfId="27" priority="20"/>
  </conditionalFormatting>
  <conditionalFormatting sqref="C6:C8">
    <cfRule type="duplicateValues" dxfId="26" priority="17"/>
  </conditionalFormatting>
  <conditionalFormatting sqref="F5">
    <cfRule type="duplicateValues" dxfId="25" priority="16"/>
  </conditionalFormatting>
  <conditionalFormatting sqref="P2">
    <cfRule type="duplicateValues" dxfId="24" priority="14"/>
  </conditionalFormatting>
  <conditionalFormatting sqref="P3">
    <cfRule type="duplicateValues" dxfId="23" priority="13"/>
  </conditionalFormatting>
  <conditionalFormatting sqref="I3070">
    <cfRule type="duplicateValues" dxfId="22" priority="12"/>
  </conditionalFormatting>
  <conditionalFormatting sqref="I11:I93">
    <cfRule type="duplicateValues" dxfId="21" priority="61"/>
  </conditionalFormatting>
  <conditionalFormatting sqref="I3127">
    <cfRule type="duplicateValues" dxfId="20" priority="10"/>
  </conditionalFormatting>
  <conditionalFormatting sqref="I3128:I3250 I1062:I3069 I3071:I3126">
    <cfRule type="duplicateValues" dxfId="19" priority="63"/>
  </conditionalFormatting>
  <conditionalFormatting sqref="I3254">
    <cfRule type="duplicateValues" dxfId="18" priority="8"/>
  </conditionalFormatting>
  <conditionalFormatting sqref="I3301:I3388">
    <cfRule type="duplicateValues" dxfId="17" priority="7"/>
  </conditionalFormatting>
  <conditionalFormatting sqref="I3251:I3253 I3255:I3300">
    <cfRule type="duplicateValues" dxfId="16" priority="64"/>
  </conditionalFormatting>
  <conditionalFormatting sqref="I3389:I3464">
    <cfRule type="duplicateValues" dxfId="15" priority="65"/>
  </conditionalFormatting>
  <conditionalFormatting sqref="I739:I742">
    <cfRule type="duplicateValues" dxfId="14" priority="5"/>
  </conditionalFormatting>
  <conditionalFormatting sqref="I743:I779 I738">
    <cfRule type="duplicateValues" dxfId="13" priority="72"/>
  </conditionalFormatting>
  <conditionalFormatting sqref="I457:I458">
    <cfRule type="duplicateValues" dxfId="12" priority="4"/>
  </conditionalFormatting>
  <conditionalFormatting sqref="I459:I460">
    <cfRule type="duplicateValues" dxfId="11" priority="3"/>
  </conditionalFormatting>
  <conditionalFormatting sqref="I3570:I3630">
    <cfRule type="duplicateValues" dxfId="10" priority="1"/>
  </conditionalFormatting>
  <conditionalFormatting sqref="I3465:I3569">
    <cfRule type="duplicateValues" dxfId="9" priority="74"/>
  </conditionalFormatting>
  <pageMargins left="0.18" right="0.11" top="0.16" bottom="0.16" header="0.3" footer="0.3"/>
  <pageSetup paperSize="9" scale="28" orientation="portrait" r:id="rId2"/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352265" r:id="rId6" name="CommandButton2">
          <controlPr defaultSize="0" autoLine="0" r:id="rId7">
            <anchor moveWithCells="1">
              <from>
                <xdr:col>6</xdr:col>
                <xdr:colOff>609600</xdr:colOff>
                <xdr:row>0</xdr:row>
                <xdr:rowOff>38100</xdr:rowOff>
              </from>
              <to>
                <xdr:col>7</xdr:col>
                <xdr:colOff>333375</xdr:colOff>
                <xdr:row>1</xdr:row>
                <xdr:rowOff>104775</xdr:rowOff>
              </to>
            </anchor>
          </controlPr>
        </control>
      </mc:Choice>
      <mc:Fallback>
        <control shapeId="352265" r:id="rId6" name="CommandButton2"/>
      </mc:Fallback>
    </mc:AlternateContent>
    <mc:AlternateContent xmlns:mc="http://schemas.openxmlformats.org/markup-compatibility/2006">
      <mc:Choice Requires="x14">
        <control shapeId="352257" r:id="rId8" name="CommandButton1">
          <controlPr defaultSize="0" autoLine="0" r:id="rId9">
            <anchor moveWithCells="1">
              <from>
                <xdr:col>8</xdr:col>
                <xdr:colOff>238125</xdr:colOff>
                <xdr:row>0</xdr:row>
                <xdr:rowOff>38100</xdr:rowOff>
              </from>
              <to>
                <xdr:col>9</xdr:col>
                <xdr:colOff>171450</xdr:colOff>
                <xdr:row>1</xdr:row>
                <xdr:rowOff>104775</xdr:rowOff>
              </to>
            </anchor>
          </controlPr>
        </control>
      </mc:Choice>
      <mc:Fallback>
        <control shapeId="352257" r:id="rId8" name="CommandButton1"/>
      </mc:Fallback>
    </mc:AlternateContent>
    <mc:AlternateContent xmlns:mc="http://schemas.openxmlformats.org/markup-compatibility/2006">
      <mc:Choice Requires="x14">
        <control shapeId="352264" r:id="rId10" name="CommandButton4">
          <controlPr defaultSize="0" autoLine="0" r:id="rId11">
            <anchor moveWithCells="1">
              <from>
                <xdr:col>7</xdr:col>
                <xdr:colOff>352425</xdr:colOff>
                <xdr:row>0</xdr:row>
                <xdr:rowOff>38100</xdr:rowOff>
              </from>
              <to>
                <xdr:col>8</xdr:col>
                <xdr:colOff>180975</xdr:colOff>
                <xdr:row>1</xdr:row>
                <xdr:rowOff>104775</xdr:rowOff>
              </to>
            </anchor>
          </controlPr>
        </control>
      </mc:Choice>
      <mc:Fallback>
        <control shapeId="352264" r:id="rId10" name="CommandButton4"/>
      </mc:Fallback>
    </mc:AlternateContent>
    <mc:AlternateContent xmlns:mc="http://schemas.openxmlformats.org/markup-compatibility/2006">
      <mc:Choice Requires="x14">
        <control shapeId="352266" r:id="rId12" name="CommandButton3">
          <controlPr defaultSize="0" autoLine="0" r:id="rId13">
            <anchor moveWithCells="1">
              <from>
                <xdr:col>11</xdr:col>
                <xdr:colOff>76200</xdr:colOff>
                <xdr:row>0</xdr:row>
                <xdr:rowOff>38100</xdr:rowOff>
              </from>
              <to>
                <xdr:col>11</xdr:col>
                <xdr:colOff>714375</xdr:colOff>
                <xdr:row>1</xdr:row>
                <xdr:rowOff>104775</xdr:rowOff>
              </to>
            </anchor>
          </controlPr>
        </control>
      </mc:Choice>
      <mc:Fallback>
        <control shapeId="352266" r:id="rId12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1D1C936-075A-4B5C-8DFC-0E503A36C902}">
          <x14:formula1>
            <xm:f>Purchases!$A$24:$A$511</xm:f>
          </x14:formula1>
          <xm:sqref>M9</xm:sqref>
        </x14:dataValidation>
        <x14:dataValidation type="list" allowBlank="1" showInputMessage="1" showErrorMessage="1" xr:uid="{FCC53EF9-44C5-4CBA-9162-FDDB6B1442EC}">
          <x14:formula1>
            <xm:f>Main!$AX$1:$AX$6</xm:f>
          </x14:formula1>
          <xm:sqref>M3:O3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A2C0-F821-4511-928B-1B3469C3AFB0}">
  <sheetPr codeName="Sheet33">
    <tabColor rgb="FFFF0000"/>
    <pageSetUpPr fitToPage="1"/>
  </sheetPr>
  <dimension ref="A1:BD1329"/>
  <sheetViews>
    <sheetView workbookViewId="0">
      <pane ySplit="9" topLeftCell="A1300" activePane="bottomLeft" state="frozen"/>
      <selection activeCell="I1087" sqref="I1087:J1087"/>
      <selection pane="bottomLeft" activeCell="Z6" sqref="Z6"/>
    </sheetView>
  </sheetViews>
  <sheetFormatPr defaultRowHeight="15"/>
  <cols>
    <col min="1" max="1" width="2" bestFit="1" customWidth="1"/>
    <col min="2" max="2" width="4" bestFit="1" customWidth="1"/>
    <col min="3" max="3" width="10.140625" bestFit="1" customWidth="1"/>
    <col min="4" max="4" width="55.140625" customWidth="1"/>
    <col min="5" max="5" width="14.42578125" customWidth="1"/>
    <col min="6" max="6" width="10.140625" bestFit="1" customWidth="1"/>
    <col min="7" max="7" width="8.140625" bestFit="1" customWidth="1"/>
    <col min="8" max="8" width="10.140625" style="76" bestFit="1" customWidth="1"/>
    <col min="9" max="9" width="14.7109375" customWidth="1"/>
    <col min="10" max="10" width="7.28515625" customWidth="1"/>
    <col min="11" max="11" width="7.28515625" style="1541" customWidth="1"/>
    <col min="12" max="12" width="10.5703125" bestFit="1" customWidth="1"/>
    <col min="13" max="29" width="2.5703125" customWidth="1"/>
    <col min="30" max="30" width="17" bestFit="1" customWidth="1"/>
    <col min="31" max="33" width="2.5703125" customWidth="1"/>
    <col min="35" max="56" width="2.5703125" customWidth="1"/>
  </cols>
  <sheetData>
    <row r="1" spans="1:56">
      <c r="A1" s="1772" t="s">
        <v>2823</v>
      </c>
      <c r="B1" s="1772"/>
      <c r="C1" s="1772"/>
      <c r="D1" s="1772"/>
      <c r="E1" s="671"/>
      <c r="F1" s="671"/>
      <c r="G1" s="671"/>
      <c r="H1" s="1590"/>
      <c r="I1" s="755"/>
      <c r="J1" s="669"/>
      <c r="K1" s="1538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7"/>
      <c r="Y1" s="757"/>
      <c r="Z1" s="757"/>
      <c r="AA1" s="757"/>
      <c r="AB1" s="757"/>
      <c r="AC1" s="757"/>
      <c r="AD1" s="757"/>
      <c r="AE1" s="757"/>
      <c r="AF1" s="757"/>
      <c r="AG1" s="757"/>
      <c r="AH1" s="757"/>
      <c r="AI1" s="757"/>
      <c r="AJ1" s="757"/>
      <c r="AK1" s="757"/>
      <c r="AL1" s="757"/>
      <c r="AM1" s="757"/>
      <c r="AN1" s="757"/>
      <c r="AO1" s="757"/>
      <c r="AP1" s="757"/>
      <c r="AQ1" s="757"/>
      <c r="AR1" s="757"/>
      <c r="AS1" s="757"/>
      <c r="AT1" s="757"/>
      <c r="AU1" s="757"/>
      <c r="AV1" s="757"/>
      <c r="AW1" s="757"/>
      <c r="AX1" s="757"/>
      <c r="AY1" s="757"/>
      <c r="AZ1" s="75"/>
      <c r="BA1" s="2"/>
      <c r="BB1" s="2"/>
      <c r="BC1" s="2"/>
      <c r="BD1" s="2"/>
    </row>
    <row r="2" spans="1:56" ht="15.75" thickBot="1">
      <c r="A2" s="1773"/>
      <c r="B2" s="1773"/>
      <c r="C2" s="1773"/>
      <c r="D2" s="1773"/>
      <c r="E2" s="671"/>
      <c r="F2" s="671"/>
      <c r="G2" s="671"/>
      <c r="H2" s="1590"/>
      <c r="I2" s="755"/>
      <c r="J2" s="669"/>
      <c r="K2" s="1538"/>
      <c r="L2" s="757"/>
      <c r="M2" s="757"/>
      <c r="N2" s="757"/>
      <c r="O2" s="757"/>
      <c r="P2" s="757"/>
      <c r="Q2" s="757"/>
      <c r="R2" s="757"/>
      <c r="S2" s="757"/>
      <c r="T2" s="757"/>
      <c r="U2" s="757"/>
      <c r="V2" s="757"/>
      <c r="W2" s="757"/>
      <c r="X2" s="757"/>
      <c r="Y2" s="757"/>
      <c r="Z2" s="757"/>
      <c r="AA2" s="757"/>
      <c r="AB2" s="757"/>
      <c r="AC2" s="757"/>
      <c r="AD2" s="757"/>
      <c r="AE2" s="757"/>
      <c r="AF2" s="757"/>
      <c r="AG2" s="757"/>
      <c r="AH2" s="757"/>
      <c r="AI2" s="757"/>
      <c r="AJ2" s="757"/>
      <c r="AK2" s="757"/>
      <c r="AL2" s="757"/>
      <c r="AM2" s="757"/>
      <c r="AN2" s="757"/>
      <c r="AO2" s="757"/>
      <c r="AP2" s="757"/>
      <c r="AQ2" s="757"/>
      <c r="AR2" s="757"/>
      <c r="AS2" s="757"/>
      <c r="AT2" s="757"/>
      <c r="AU2" s="757"/>
      <c r="AV2" s="757"/>
      <c r="AW2" s="757"/>
      <c r="AX2" s="757"/>
      <c r="AY2" s="757"/>
      <c r="AZ2" s="75"/>
      <c r="BA2" s="2"/>
      <c r="BB2" s="2"/>
      <c r="BC2" s="2"/>
      <c r="BD2" s="2"/>
    </row>
    <row r="3" spans="1:56" ht="15.75" thickTop="1">
      <c r="A3" s="673"/>
      <c r="B3" s="673"/>
      <c r="C3" s="670"/>
      <c r="D3" s="670"/>
      <c r="E3" s="671"/>
      <c r="F3" s="671"/>
      <c r="G3" s="671"/>
      <c r="H3" s="1590"/>
      <c r="I3" s="755"/>
      <c r="J3" s="669"/>
      <c r="K3" s="1538"/>
      <c r="L3" s="757"/>
      <c r="M3" s="757"/>
      <c r="N3" s="757"/>
      <c r="O3" s="757"/>
      <c r="P3" s="757"/>
      <c r="Q3" s="757"/>
      <c r="R3" s="757"/>
      <c r="S3" s="757"/>
      <c r="T3" s="757"/>
      <c r="U3" s="757"/>
      <c r="V3" s="757"/>
      <c r="W3" s="757"/>
      <c r="X3" s="757"/>
      <c r="Y3" s="757"/>
      <c r="Z3" s="757"/>
      <c r="AA3" s="757"/>
      <c r="AB3" s="757"/>
      <c r="AC3" s="757"/>
      <c r="AD3" s="757"/>
      <c r="AE3" s="757"/>
      <c r="AF3" s="757"/>
      <c r="AG3" s="757"/>
      <c r="AH3" s="757"/>
      <c r="AI3" s="757"/>
      <c r="AJ3" s="757"/>
      <c r="AK3" s="757"/>
      <c r="AL3" s="757"/>
      <c r="AM3" s="757"/>
      <c r="AN3" s="757"/>
      <c r="AO3" s="757"/>
      <c r="AP3" s="757"/>
      <c r="AQ3" s="757"/>
      <c r="AR3" s="757"/>
      <c r="AS3" s="757"/>
      <c r="AT3" s="757"/>
      <c r="AU3" s="757"/>
      <c r="AV3" s="757"/>
      <c r="AW3" s="757"/>
      <c r="AX3" s="757"/>
      <c r="AY3" s="757"/>
      <c r="AZ3" s="75"/>
      <c r="BA3" s="2"/>
      <c r="BB3" s="2"/>
      <c r="BC3" s="2"/>
      <c r="BD3" s="2"/>
    </row>
    <row r="4" spans="1:56">
      <c r="A4" s="673"/>
      <c r="B4" s="673"/>
      <c r="C4" s="670"/>
      <c r="D4" s="670"/>
      <c r="E4" s="671"/>
      <c r="F4" s="671"/>
      <c r="G4" s="671"/>
      <c r="H4" s="1590"/>
      <c r="I4" s="755"/>
      <c r="J4" s="669"/>
      <c r="K4" s="1538"/>
      <c r="L4" s="757"/>
      <c r="M4" s="757"/>
      <c r="N4" s="757"/>
      <c r="O4" s="757"/>
      <c r="P4" s="757"/>
      <c r="Q4" s="757"/>
      <c r="R4" s="757"/>
      <c r="S4" s="757"/>
      <c r="T4" s="757"/>
      <c r="U4" s="757"/>
      <c r="V4" s="757"/>
      <c r="W4" s="757"/>
      <c r="X4" s="757"/>
      <c r="Y4" s="757"/>
      <c r="Z4" s="757"/>
      <c r="AA4" s="757"/>
      <c r="AB4" s="757"/>
      <c r="AC4" s="757"/>
      <c r="AD4" s="757"/>
      <c r="AE4" s="757"/>
      <c r="AF4" s="757"/>
      <c r="AG4" s="757"/>
      <c r="AH4" s="757"/>
      <c r="AI4" s="757"/>
      <c r="AJ4" s="757"/>
      <c r="AK4" s="757"/>
      <c r="AL4" s="757"/>
      <c r="AM4" s="757"/>
      <c r="AN4" s="757"/>
      <c r="AO4" s="757"/>
      <c r="AP4" s="757"/>
      <c r="AQ4" s="757"/>
      <c r="AR4" s="757"/>
      <c r="AS4" s="757"/>
      <c r="AT4" s="757"/>
      <c r="AU4" s="757"/>
      <c r="AV4" s="757"/>
      <c r="AW4" s="757"/>
      <c r="AX4" s="757"/>
      <c r="AY4" s="757"/>
      <c r="AZ4" s="75"/>
      <c r="BA4" s="2"/>
      <c r="BB4" s="2"/>
      <c r="BC4" s="2"/>
      <c r="BD4" s="2"/>
    </row>
    <row r="5" spans="1:56">
      <c r="A5" s="673"/>
      <c r="B5" s="673"/>
      <c r="C5" s="670"/>
      <c r="D5" s="670"/>
      <c r="E5" s="671"/>
      <c r="F5" s="671"/>
      <c r="G5" s="671"/>
      <c r="H5" s="1590"/>
      <c r="I5" s="755"/>
      <c r="J5" s="669"/>
      <c r="K5" s="1538"/>
      <c r="L5" s="757"/>
      <c r="M5" s="757"/>
      <c r="N5" s="757"/>
      <c r="O5" s="757"/>
      <c r="P5" s="757"/>
      <c r="Q5" s="757"/>
      <c r="R5" s="757"/>
      <c r="S5" s="757"/>
      <c r="T5" s="757"/>
      <c r="U5" s="757"/>
      <c r="V5" s="757"/>
      <c r="W5" s="757"/>
      <c r="X5" s="757"/>
      <c r="Y5" s="757"/>
      <c r="Z5" s="757"/>
      <c r="AA5" s="757"/>
      <c r="AB5" s="757"/>
      <c r="AC5" s="757"/>
      <c r="AD5" s="757"/>
      <c r="AE5" s="757"/>
      <c r="AF5" s="757"/>
      <c r="AG5" s="757"/>
      <c r="AH5" s="757"/>
      <c r="AI5" s="757"/>
      <c r="AJ5" s="757"/>
      <c r="AK5" s="757"/>
      <c r="AL5" s="757"/>
      <c r="AM5" s="757"/>
      <c r="AN5" s="757"/>
      <c r="AO5" s="757"/>
      <c r="AP5" s="757"/>
      <c r="AQ5" s="757"/>
      <c r="AR5" s="757"/>
      <c r="AS5" s="757"/>
      <c r="AT5" s="757"/>
      <c r="AU5" s="757"/>
      <c r="AV5" s="757"/>
      <c r="AW5" s="757"/>
      <c r="AX5" s="757"/>
      <c r="AY5" s="757"/>
      <c r="AZ5" s="75"/>
      <c r="BA5" s="2"/>
      <c r="BB5" s="2"/>
      <c r="BC5" s="2"/>
      <c r="BD5" s="2"/>
    </row>
    <row r="6" spans="1:56">
      <c r="A6" s="673"/>
      <c r="B6" s="673"/>
      <c r="C6" s="670"/>
      <c r="D6" s="670"/>
      <c r="E6" s="671"/>
      <c r="F6" s="671"/>
      <c r="G6" s="671"/>
      <c r="H6" s="1590"/>
      <c r="I6" s="755"/>
      <c r="J6" s="669"/>
      <c r="K6" s="1538"/>
      <c r="L6" s="757"/>
      <c r="M6" s="757"/>
      <c r="N6" s="757"/>
      <c r="O6" s="757"/>
      <c r="P6" s="757"/>
      <c r="Q6" s="757"/>
      <c r="R6" s="757"/>
      <c r="S6" s="757"/>
      <c r="T6" s="757"/>
      <c r="U6" s="757"/>
      <c r="V6" s="757"/>
      <c r="W6" s="757"/>
      <c r="X6" s="757"/>
      <c r="Y6" s="757"/>
      <c r="Z6" s="757"/>
      <c r="AA6" s="757"/>
      <c r="AB6" s="757"/>
      <c r="AC6" s="757"/>
      <c r="AD6" s="757"/>
      <c r="AE6" s="757"/>
      <c r="AF6" s="757"/>
      <c r="AG6" s="757"/>
      <c r="AH6" s="757"/>
      <c r="AI6" s="757"/>
      <c r="AJ6" s="757"/>
      <c r="AK6" s="757"/>
      <c r="AL6" s="757"/>
      <c r="AM6" s="757"/>
      <c r="AN6" s="757"/>
      <c r="AO6" s="757"/>
      <c r="AP6" s="757"/>
      <c r="AQ6" s="757"/>
      <c r="AR6" s="757"/>
      <c r="AS6" s="757"/>
      <c r="AT6" s="757"/>
      <c r="AU6" s="757"/>
      <c r="AV6" s="757"/>
      <c r="AW6" s="757"/>
      <c r="AX6" s="757"/>
      <c r="AY6" s="757"/>
      <c r="AZ6" s="75"/>
      <c r="BA6" s="2"/>
      <c r="BB6" s="2"/>
      <c r="BC6" s="2"/>
      <c r="BD6" s="2"/>
    </row>
    <row r="7" spans="1:56">
      <c r="A7" s="673"/>
      <c r="B7" s="673"/>
      <c r="C7" s="670"/>
      <c r="D7" s="670"/>
      <c r="E7" s="671"/>
      <c r="F7" s="671"/>
      <c r="G7" s="671"/>
      <c r="H7" s="1590"/>
      <c r="I7" s="755"/>
      <c r="J7" s="669"/>
      <c r="K7" s="1538"/>
      <c r="L7" s="757"/>
      <c r="M7" s="757"/>
      <c r="N7" s="757"/>
      <c r="O7" s="757"/>
      <c r="P7" s="757"/>
      <c r="Q7" s="757"/>
      <c r="R7" s="757"/>
      <c r="S7" s="757"/>
      <c r="T7" s="757"/>
      <c r="U7" s="757"/>
      <c r="V7" s="757"/>
      <c r="W7" s="757"/>
      <c r="X7" s="757"/>
      <c r="Y7" s="757"/>
      <c r="Z7" s="757"/>
      <c r="AA7" s="757"/>
      <c r="AB7" s="757"/>
      <c r="AC7" s="757"/>
      <c r="AD7" s="757"/>
      <c r="AE7" s="757"/>
      <c r="AF7" s="757"/>
      <c r="AG7" s="757"/>
      <c r="AH7" s="757"/>
      <c r="AI7" s="757"/>
      <c r="AJ7" s="757"/>
      <c r="AK7" s="757"/>
      <c r="AL7" s="757"/>
      <c r="AM7" s="757"/>
      <c r="AN7" s="757"/>
      <c r="AO7" s="757"/>
      <c r="AP7" s="757"/>
      <c r="AQ7" s="757"/>
      <c r="AR7" s="757"/>
      <c r="AS7" s="757"/>
      <c r="AT7" s="757"/>
      <c r="AU7" s="757"/>
      <c r="AV7" s="757"/>
      <c r="AW7" s="757"/>
      <c r="AX7" s="757"/>
      <c r="AY7" s="757"/>
      <c r="AZ7" s="75"/>
      <c r="BA7" s="2"/>
      <c r="BB7" s="2"/>
      <c r="BC7" s="2"/>
      <c r="BD7" s="2"/>
    </row>
    <row r="8" spans="1:56">
      <c r="A8" s="1770"/>
      <c r="B8" s="1770"/>
      <c r="C8" s="1771"/>
      <c r="D8" s="764"/>
      <c r="E8" s="672" t="s">
        <v>823</v>
      </c>
      <c r="F8" s="1769" t="s">
        <v>822</v>
      </c>
      <c r="G8" s="1769"/>
      <c r="H8" s="1769"/>
      <c r="I8" s="1770"/>
      <c r="J8" s="1770"/>
      <c r="K8" s="1771"/>
      <c r="L8" s="757"/>
      <c r="M8" s="757"/>
      <c r="N8" s="757"/>
      <c r="O8" s="757"/>
      <c r="P8" s="757"/>
      <c r="Q8" s="757"/>
      <c r="R8" s="757"/>
      <c r="S8" s="757"/>
      <c r="T8" s="757"/>
      <c r="U8" s="757"/>
      <c r="V8" s="757"/>
      <c r="W8" s="757"/>
      <c r="X8" s="757"/>
      <c r="Y8" s="757"/>
      <c r="Z8" s="757"/>
      <c r="AA8" s="757"/>
      <c r="AB8" s="757"/>
      <c r="AC8" s="757"/>
      <c r="AD8" s="757"/>
      <c r="AE8" s="757"/>
      <c r="AF8" s="757"/>
      <c r="AG8" s="757"/>
      <c r="AH8" s="757"/>
      <c r="AI8" s="757"/>
      <c r="AJ8" s="757"/>
      <c r="AK8" s="757"/>
      <c r="AL8" s="757"/>
      <c r="AM8" s="757"/>
      <c r="AN8" s="757"/>
      <c r="AO8" s="757"/>
      <c r="AP8" s="757"/>
      <c r="AQ8" s="757"/>
      <c r="AR8" s="757"/>
      <c r="AS8" s="757"/>
      <c r="AT8" s="757"/>
      <c r="AU8" s="757"/>
      <c r="AV8" s="757"/>
      <c r="AW8" s="757"/>
      <c r="AX8" s="757"/>
      <c r="AY8" s="757"/>
      <c r="AZ8" s="75"/>
      <c r="BA8" s="2"/>
      <c r="BB8" s="2"/>
      <c r="BC8" s="2"/>
      <c r="BD8" s="2"/>
    </row>
    <row r="9" spans="1:56" ht="28.5" customHeight="1" thickBot="1">
      <c r="A9" s="759"/>
      <c r="B9" s="760"/>
      <c r="C9" s="761" t="s">
        <v>4</v>
      </c>
      <c r="D9" s="761" t="s">
        <v>14</v>
      </c>
      <c r="E9" s="762" t="s">
        <v>823</v>
      </c>
      <c r="F9" s="762" t="s">
        <v>248</v>
      </c>
      <c r="G9" s="762" t="s">
        <v>353</v>
      </c>
      <c r="H9" s="1591" t="s">
        <v>352</v>
      </c>
      <c r="I9" s="763" t="s">
        <v>28</v>
      </c>
      <c r="J9" s="763" t="s">
        <v>3</v>
      </c>
      <c r="K9" s="1539" t="s">
        <v>1881</v>
      </c>
      <c r="L9" s="757"/>
      <c r="M9" s="757"/>
      <c r="N9" s="757"/>
      <c r="O9" s="757"/>
      <c r="P9" s="757"/>
      <c r="Q9" s="757"/>
      <c r="R9" s="757"/>
      <c r="S9" s="757"/>
      <c r="T9" s="757"/>
      <c r="U9" s="757"/>
      <c r="V9" s="757"/>
      <c r="W9" s="757"/>
      <c r="X9" s="757"/>
      <c r="Y9" s="757"/>
      <c r="Z9" s="757"/>
      <c r="AA9" s="757"/>
      <c r="AB9" s="757"/>
      <c r="AC9" s="757"/>
      <c r="AD9" s="757"/>
      <c r="AE9" s="757"/>
      <c r="AF9" s="757"/>
      <c r="AG9" s="757"/>
      <c r="AH9" s="757"/>
      <c r="AI9" s="757"/>
      <c r="AJ9" s="757"/>
      <c r="AK9" s="757"/>
      <c r="AL9" s="757"/>
      <c r="AM9" s="757"/>
      <c r="AN9" s="757"/>
      <c r="AO9" s="757"/>
      <c r="AP9" s="757"/>
      <c r="AQ9" s="757"/>
      <c r="AR9" s="757"/>
      <c r="AS9" s="757"/>
      <c r="AT9" s="757"/>
      <c r="AU9" s="757"/>
      <c r="AV9" s="757"/>
      <c r="AW9" s="757"/>
      <c r="AX9" s="757"/>
      <c r="AY9" s="757"/>
      <c r="AZ9" s="75"/>
      <c r="BA9" s="2"/>
      <c r="BB9" s="2"/>
      <c r="BC9" s="2"/>
      <c r="BD9" s="2"/>
    </row>
    <row r="10" spans="1:56" ht="15.75" thickTop="1">
      <c r="A10" s="777">
        <v>1</v>
      </c>
      <c r="B10" s="778">
        <v>206</v>
      </c>
      <c r="C10" s="779">
        <v>44758</v>
      </c>
      <c r="D10" s="780" t="s">
        <v>249</v>
      </c>
      <c r="E10" s="803"/>
      <c r="F10" s="797">
        <v>62000</v>
      </c>
      <c r="G10" s="797">
        <v>3100</v>
      </c>
      <c r="H10" s="1592">
        <f>F10+G10</f>
        <v>65100</v>
      </c>
      <c r="I10" s="754" t="str">
        <f>IFERROR(VLOOKUP(B10,Mychart!$A$125:$B$911,2,FALSE),"-")</f>
        <v>MOHAMED MATROSHI</v>
      </c>
      <c r="J10" s="753">
        <f>IF(C10&lt;&gt;"", MONTH(C10),"-")</f>
        <v>7</v>
      </c>
      <c r="K10" s="1540">
        <f>YEAR(C10)</f>
        <v>2022</v>
      </c>
      <c r="L10" s="757"/>
      <c r="M10" s="757"/>
      <c r="N10" s="757"/>
      <c r="O10" s="757"/>
      <c r="P10" s="757"/>
      <c r="Q10" s="757"/>
      <c r="R10" s="757"/>
      <c r="S10" s="757"/>
      <c r="T10" s="757"/>
      <c r="U10" s="757"/>
      <c r="V10" s="757"/>
      <c r="W10" s="757"/>
      <c r="X10" s="757"/>
      <c r="Y10" s="757"/>
      <c r="Z10" s="757"/>
      <c r="AA10" s="757"/>
      <c r="AB10" s="757"/>
      <c r="AC10" s="757"/>
      <c r="AD10" s="757"/>
      <c r="AE10" s="757"/>
      <c r="AF10" s="757"/>
      <c r="AG10" s="757"/>
      <c r="AH10" s="757"/>
      <c r="AI10" s="757"/>
      <c r="AJ10" s="757"/>
      <c r="AK10" s="757"/>
      <c r="AL10" s="757"/>
      <c r="AM10" s="757"/>
      <c r="AN10" s="757"/>
      <c r="AO10" s="757"/>
      <c r="AP10" s="757"/>
      <c r="AQ10" s="757"/>
      <c r="AR10" s="757"/>
      <c r="AS10" s="757"/>
      <c r="AT10" s="757"/>
      <c r="AU10" s="757"/>
      <c r="AV10" s="757"/>
      <c r="AW10" s="757"/>
      <c r="AX10" s="757"/>
      <c r="AY10" s="757"/>
      <c r="AZ10" s="75"/>
      <c r="BA10" s="2"/>
      <c r="BB10" s="2"/>
      <c r="BC10" s="2"/>
      <c r="BD10" s="2"/>
    </row>
    <row r="11" spans="1:56">
      <c r="A11" s="781">
        <v>1</v>
      </c>
      <c r="B11" s="782">
        <v>206</v>
      </c>
      <c r="C11" s="783">
        <v>45021</v>
      </c>
      <c r="D11" s="784" t="s">
        <v>1002</v>
      </c>
      <c r="E11" s="804"/>
      <c r="F11" s="798">
        <v>108750</v>
      </c>
      <c r="G11" s="798">
        <v>5437.5</v>
      </c>
      <c r="H11" s="1592">
        <f t="shared" ref="H11:H74" si="0">F11+G11</f>
        <v>114187.5</v>
      </c>
      <c r="I11" s="754" t="str">
        <f>IFERROR(VLOOKUP(B11,Mychart!$A$125:$B$911,2,FALSE),"-")</f>
        <v>MOHAMED MATROSHI</v>
      </c>
      <c r="J11" s="753">
        <f t="shared" ref="J11:J74" si="1">IF(C11&lt;&gt;"", MONTH(C11),"-")</f>
        <v>4</v>
      </c>
      <c r="K11" s="1540">
        <f t="shared" ref="K11:K74" si="2">YEAR(C11)</f>
        <v>2023</v>
      </c>
      <c r="L11" s="757"/>
      <c r="M11" s="757"/>
      <c r="N11" s="757"/>
      <c r="O11" s="757"/>
      <c r="P11" s="757"/>
      <c r="Q11" s="757"/>
      <c r="R11" s="757"/>
      <c r="S11" s="757"/>
      <c r="T11" s="757"/>
      <c r="U11" s="757"/>
      <c r="V11" s="757"/>
      <c r="W11" s="757"/>
      <c r="X11" s="757"/>
      <c r="Y11" s="757"/>
      <c r="Z11" s="757"/>
      <c r="AA11" s="757"/>
      <c r="AB11" s="757"/>
      <c r="AC11" s="757"/>
      <c r="AD11" s="757"/>
      <c r="AE11" s="757"/>
      <c r="AF11" s="757"/>
      <c r="AG11" s="757"/>
      <c r="AH11" s="757"/>
      <c r="AI11" s="757"/>
      <c r="AJ11" s="757"/>
      <c r="AK11" s="757"/>
      <c r="AL11" s="757"/>
      <c r="AM11" s="757"/>
      <c r="AN11" s="757"/>
      <c r="AO11" s="757"/>
      <c r="AP11" s="757"/>
      <c r="AQ11" s="757"/>
      <c r="AR11" s="757"/>
      <c r="AS11" s="757"/>
      <c r="AT11" s="757"/>
      <c r="AU11" s="757"/>
      <c r="AV11" s="757"/>
      <c r="AW11" s="757"/>
      <c r="AX11" s="757"/>
      <c r="AY11" s="757"/>
      <c r="AZ11" s="75"/>
      <c r="BA11" s="2"/>
      <c r="BB11" s="2"/>
      <c r="BC11" s="2"/>
      <c r="BD11" s="2"/>
    </row>
    <row r="12" spans="1:56">
      <c r="A12" s="781">
        <v>1</v>
      </c>
      <c r="B12" s="782">
        <v>206</v>
      </c>
      <c r="C12" s="783">
        <v>45225</v>
      </c>
      <c r="D12" s="784" t="s">
        <v>250</v>
      </c>
      <c r="E12" s="804"/>
      <c r="F12" s="798">
        <v>110180</v>
      </c>
      <c r="G12" s="798">
        <v>5509</v>
      </c>
      <c r="H12" s="1592">
        <f t="shared" si="0"/>
        <v>115689</v>
      </c>
      <c r="I12" s="754" t="str">
        <f>IFERROR(VLOOKUP(B12,Mychart!$A$125:$B$911,2,FALSE),"-")</f>
        <v>MOHAMED MATROSHI</v>
      </c>
      <c r="J12" s="753">
        <f t="shared" si="1"/>
        <v>10</v>
      </c>
      <c r="K12" s="1540">
        <f t="shared" si="2"/>
        <v>2023</v>
      </c>
      <c r="L12" s="757"/>
      <c r="M12" s="757"/>
      <c r="N12" s="757"/>
      <c r="O12" s="757"/>
      <c r="P12" s="757"/>
      <c r="Q12" s="757"/>
      <c r="R12" s="757"/>
      <c r="S12" s="757"/>
      <c r="T12" s="757"/>
      <c r="U12" s="757"/>
      <c r="V12" s="757"/>
      <c r="W12" s="757"/>
      <c r="X12" s="757"/>
      <c r="Y12" s="757"/>
      <c r="Z12" s="757"/>
      <c r="AA12" s="757"/>
      <c r="AB12" s="757"/>
      <c r="AC12" s="757"/>
      <c r="AD12" s="757"/>
      <c r="AE12" s="757"/>
      <c r="AF12" s="757"/>
      <c r="AG12" s="757"/>
      <c r="AH12" s="757"/>
      <c r="AI12" s="757"/>
      <c r="AJ12" s="757"/>
      <c r="AK12" s="757"/>
      <c r="AL12" s="757"/>
      <c r="AM12" s="757"/>
      <c r="AN12" s="757"/>
      <c r="AO12" s="757"/>
      <c r="AP12" s="757"/>
      <c r="AQ12" s="757"/>
      <c r="AR12" s="757"/>
      <c r="AS12" s="757"/>
      <c r="AT12" s="757"/>
      <c r="AU12" s="757"/>
      <c r="AV12" s="757"/>
      <c r="AW12" s="757"/>
      <c r="AX12" s="757"/>
      <c r="AY12" s="757"/>
      <c r="AZ12" s="75"/>
      <c r="BA12" s="2"/>
      <c r="BB12" s="2"/>
      <c r="BC12" s="2"/>
      <c r="BD12" s="2"/>
    </row>
    <row r="13" spans="1:56">
      <c r="A13" s="781">
        <v>1</v>
      </c>
      <c r="B13" s="782">
        <v>206</v>
      </c>
      <c r="C13" s="783">
        <v>45427</v>
      </c>
      <c r="D13" s="784" t="s">
        <v>251</v>
      </c>
      <c r="E13" s="804"/>
      <c r="F13" s="798">
        <v>34768</v>
      </c>
      <c r="G13" s="798">
        <v>1738.4</v>
      </c>
      <c r="H13" s="1592">
        <f t="shared" si="0"/>
        <v>36506.400000000001</v>
      </c>
      <c r="I13" s="754" t="str">
        <f>IFERROR(VLOOKUP(B13,Mychart!$A$125:$B$911,2,FALSE),"-")</f>
        <v>MOHAMED MATROSHI</v>
      </c>
      <c r="J13" s="753">
        <f t="shared" si="1"/>
        <v>5</v>
      </c>
      <c r="K13" s="1540">
        <f t="shared" si="2"/>
        <v>2024</v>
      </c>
      <c r="L13" s="757"/>
      <c r="M13" s="757"/>
      <c r="N13" s="757"/>
      <c r="O13" s="757"/>
      <c r="P13" s="757"/>
      <c r="Q13" s="757"/>
      <c r="R13" s="757"/>
      <c r="S13" s="757"/>
      <c r="T13" s="757"/>
      <c r="U13" s="757"/>
      <c r="V13" s="757"/>
      <c r="W13" s="757"/>
      <c r="X13" s="757"/>
      <c r="Y13" s="757"/>
      <c r="Z13" s="757"/>
      <c r="AA13" s="757"/>
      <c r="AB13" s="757"/>
      <c r="AC13" s="757"/>
      <c r="AD13" s="757"/>
      <c r="AE13" s="757"/>
      <c r="AF13" s="757"/>
      <c r="AG13" s="757"/>
      <c r="AH13" s="757"/>
      <c r="AI13" s="757"/>
      <c r="AJ13" s="757"/>
      <c r="AK13" s="757"/>
      <c r="AL13" s="757"/>
      <c r="AM13" s="757"/>
      <c r="AN13" s="757"/>
      <c r="AO13" s="757"/>
      <c r="AP13" s="757"/>
      <c r="AQ13" s="757"/>
      <c r="AR13" s="757"/>
      <c r="AS13" s="757"/>
      <c r="AT13" s="757"/>
      <c r="AU13" s="757"/>
      <c r="AV13" s="757"/>
      <c r="AW13" s="757"/>
      <c r="AX13" s="757"/>
      <c r="AY13" s="757"/>
      <c r="AZ13" s="75"/>
      <c r="BA13" s="2"/>
      <c r="BB13" s="2"/>
      <c r="BC13" s="2"/>
      <c r="BD13" s="2"/>
    </row>
    <row r="14" spans="1:56">
      <c r="A14" s="781">
        <v>2</v>
      </c>
      <c r="B14" s="782">
        <v>206</v>
      </c>
      <c r="C14" s="783"/>
      <c r="D14" s="783" t="s">
        <v>253</v>
      </c>
      <c r="E14" s="805">
        <v>16275</v>
      </c>
      <c r="F14" s="798"/>
      <c r="G14" s="799"/>
      <c r="H14" s="1592">
        <f t="shared" si="0"/>
        <v>0</v>
      </c>
      <c r="I14" s="754" t="str">
        <f>IFERROR(VLOOKUP(B14,Mychart!$A$125:$B$911,2,FALSE),"-")</f>
        <v>MOHAMED MATROSHI</v>
      </c>
      <c r="J14" s="753" t="str">
        <f t="shared" si="1"/>
        <v>-</v>
      </c>
      <c r="K14" s="1540">
        <f t="shared" si="2"/>
        <v>1900</v>
      </c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"/>
      <c r="BA14" s="2"/>
      <c r="BB14" s="2"/>
      <c r="BC14" s="2"/>
      <c r="BD14" s="2"/>
    </row>
    <row r="15" spans="1:56">
      <c r="A15" s="781">
        <v>2</v>
      </c>
      <c r="B15" s="782">
        <v>206</v>
      </c>
      <c r="C15" s="783"/>
      <c r="D15" s="783" t="s">
        <v>178</v>
      </c>
      <c r="E15" s="805">
        <v>47</v>
      </c>
      <c r="F15" s="798"/>
      <c r="G15" s="799"/>
      <c r="H15" s="1592">
        <f t="shared" si="0"/>
        <v>0</v>
      </c>
      <c r="I15" s="754" t="str">
        <f>IFERROR(VLOOKUP(B15,Mychart!$A$125:$B$911,2,FALSE),"-")</f>
        <v>MOHAMED MATROSHI</v>
      </c>
      <c r="J15" s="753" t="str">
        <f t="shared" si="1"/>
        <v>-</v>
      </c>
      <c r="K15" s="1540">
        <f t="shared" si="2"/>
        <v>1900</v>
      </c>
      <c r="L15" s="757"/>
      <c r="M15" s="757"/>
      <c r="N15" s="757"/>
      <c r="O15" s="757"/>
      <c r="P15" s="757"/>
      <c r="Q15" s="757"/>
      <c r="R15" s="757"/>
      <c r="S15" s="757"/>
      <c r="T15" s="757"/>
      <c r="U15" s="757"/>
      <c r="V15" s="757"/>
      <c r="W15" s="757"/>
      <c r="X15" s="757"/>
      <c r="Y15" s="757"/>
      <c r="Z15" s="757"/>
      <c r="AA15" s="757"/>
      <c r="AB15" s="757"/>
      <c r="AC15" s="757"/>
      <c r="AD15" s="757"/>
      <c r="AE15" s="757"/>
      <c r="AF15" s="757"/>
      <c r="AG15" s="757"/>
      <c r="AH15" s="757"/>
      <c r="AI15" s="757"/>
      <c r="AJ15" s="757"/>
      <c r="AK15" s="757"/>
      <c r="AL15" s="757"/>
      <c r="AM15" s="757"/>
      <c r="AN15" s="757"/>
      <c r="AO15" s="757"/>
      <c r="AP15" s="757"/>
      <c r="AQ15" s="757"/>
      <c r="AR15" s="757"/>
      <c r="AS15" s="757"/>
      <c r="AT15" s="757"/>
      <c r="AU15" s="757"/>
      <c r="AV15" s="757"/>
      <c r="AW15" s="757"/>
      <c r="AX15" s="757"/>
      <c r="AY15" s="757"/>
      <c r="AZ15" s="75"/>
      <c r="BA15" s="2"/>
      <c r="BB15" s="2"/>
      <c r="BC15" s="2"/>
      <c r="BD15" s="2"/>
    </row>
    <row r="16" spans="1:56">
      <c r="A16" s="781">
        <v>2</v>
      </c>
      <c r="B16" s="782">
        <v>206</v>
      </c>
      <c r="C16" s="783"/>
      <c r="D16" s="783" t="s">
        <v>178</v>
      </c>
      <c r="E16" s="805">
        <v>688</v>
      </c>
      <c r="F16" s="798"/>
      <c r="G16" s="799"/>
      <c r="H16" s="1592">
        <f t="shared" si="0"/>
        <v>0</v>
      </c>
      <c r="I16" s="754" t="str">
        <f>IFERROR(VLOOKUP(B16,Mychart!$A$125:$B$911,2,FALSE),"-")</f>
        <v>MOHAMED MATROSHI</v>
      </c>
      <c r="J16" s="753" t="str">
        <f t="shared" si="1"/>
        <v>-</v>
      </c>
      <c r="K16" s="1540">
        <f t="shared" si="2"/>
        <v>1900</v>
      </c>
      <c r="L16" s="757"/>
      <c r="M16" s="757"/>
      <c r="N16" s="757"/>
      <c r="O16" s="757"/>
      <c r="P16" s="757"/>
      <c r="Q16" s="757"/>
      <c r="R16" s="757"/>
      <c r="S16" s="757"/>
      <c r="T16" s="757"/>
      <c r="U16" s="757"/>
      <c r="V16" s="757"/>
      <c r="W16" s="757"/>
      <c r="X16" s="757"/>
      <c r="Y16" s="757"/>
      <c r="Z16" s="757"/>
      <c r="AA16" s="757"/>
      <c r="AB16" s="757"/>
      <c r="AC16" s="757"/>
      <c r="AD16" s="757"/>
      <c r="AE16" s="757"/>
      <c r="AF16" s="757"/>
      <c r="AG16" s="757"/>
      <c r="AH16" s="757"/>
      <c r="AI16" s="757"/>
      <c r="AJ16" s="757"/>
      <c r="AK16" s="757"/>
      <c r="AL16" s="757"/>
      <c r="AM16" s="757"/>
      <c r="AN16" s="757"/>
      <c r="AO16" s="757"/>
      <c r="AP16" s="757"/>
      <c r="AQ16" s="757"/>
      <c r="AR16" s="757"/>
      <c r="AS16" s="757"/>
      <c r="AT16" s="757"/>
      <c r="AU16" s="757"/>
      <c r="AV16" s="757"/>
      <c r="AW16" s="757"/>
      <c r="AX16" s="757"/>
      <c r="AY16" s="757"/>
      <c r="AZ16" s="75"/>
      <c r="BA16" s="2"/>
      <c r="BB16" s="2"/>
      <c r="BC16" s="2"/>
      <c r="BD16" s="2"/>
    </row>
    <row r="17" spans="1:56">
      <c r="A17" s="781">
        <v>2</v>
      </c>
      <c r="B17" s="782">
        <v>206</v>
      </c>
      <c r="C17" s="783"/>
      <c r="D17" s="783" t="s">
        <v>256</v>
      </c>
      <c r="E17" s="805">
        <v>826</v>
      </c>
      <c r="F17" s="798"/>
      <c r="G17" s="799"/>
      <c r="H17" s="1592">
        <f t="shared" si="0"/>
        <v>0</v>
      </c>
      <c r="I17" s="754" t="str">
        <f>IFERROR(VLOOKUP(B17,Mychart!$A$125:$B$911,2,FALSE),"-")</f>
        <v>MOHAMED MATROSHI</v>
      </c>
      <c r="J17" s="753" t="str">
        <f t="shared" si="1"/>
        <v>-</v>
      </c>
      <c r="K17" s="1540">
        <f t="shared" si="2"/>
        <v>1900</v>
      </c>
      <c r="L17" s="757"/>
      <c r="M17" s="757"/>
      <c r="N17" s="757"/>
      <c r="O17" s="757"/>
      <c r="P17" s="757"/>
      <c r="Q17" s="757"/>
      <c r="R17" s="757"/>
      <c r="S17" s="757"/>
      <c r="T17" s="757"/>
      <c r="U17" s="757"/>
      <c r="V17" s="757"/>
      <c r="W17" s="757"/>
      <c r="X17" s="757"/>
      <c r="Y17" s="757"/>
      <c r="Z17" s="757"/>
      <c r="AA17" s="757"/>
      <c r="AB17" s="757"/>
      <c r="AC17" s="757"/>
      <c r="AD17" s="757"/>
      <c r="AE17" s="757"/>
      <c r="AF17" s="757"/>
      <c r="AG17" s="757"/>
      <c r="AH17" s="757"/>
      <c r="AI17" s="757"/>
      <c r="AJ17" s="757"/>
      <c r="AK17" s="757"/>
      <c r="AL17" s="757"/>
      <c r="AM17" s="757"/>
      <c r="AN17" s="757"/>
      <c r="AO17" s="757"/>
      <c r="AP17" s="757"/>
      <c r="AQ17" s="757"/>
      <c r="AR17" s="757"/>
      <c r="AS17" s="757"/>
      <c r="AT17" s="757"/>
      <c r="AU17" s="757"/>
      <c r="AV17" s="757"/>
      <c r="AW17" s="757"/>
      <c r="AX17" s="757"/>
      <c r="AY17" s="757"/>
      <c r="AZ17" s="75"/>
      <c r="BA17" s="2"/>
      <c r="BB17" s="2"/>
      <c r="BC17" s="2"/>
      <c r="BD17" s="2"/>
    </row>
    <row r="18" spans="1:56">
      <c r="A18" s="781">
        <v>2</v>
      </c>
      <c r="B18" s="782">
        <v>206</v>
      </c>
      <c r="C18" s="783"/>
      <c r="D18" s="783" t="s">
        <v>257</v>
      </c>
      <c r="E18" s="805">
        <v>20695</v>
      </c>
      <c r="F18" s="798"/>
      <c r="G18" s="799"/>
      <c r="H18" s="1592">
        <f t="shared" si="0"/>
        <v>0</v>
      </c>
      <c r="I18" s="754" t="str">
        <f>IFERROR(VLOOKUP(B18,Mychart!$A$125:$B$911,2,FALSE),"-")</f>
        <v>MOHAMED MATROSHI</v>
      </c>
      <c r="J18" s="753" t="str">
        <f t="shared" si="1"/>
        <v>-</v>
      </c>
      <c r="K18" s="1540">
        <f t="shared" si="2"/>
        <v>1900</v>
      </c>
      <c r="L18" s="757"/>
      <c r="M18" s="757"/>
      <c r="N18" s="757"/>
      <c r="O18" s="757"/>
      <c r="P18" s="757"/>
      <c r="Q18" s="757"/>
      <c r="R18" s="757"/>
      <c r="S18" s="757"/>
      <c r="T18" s="757"/>
      <c r="U18" s="757"/>
      <c r="V18" s="757"/>
      <c r="W18" s="757"/>
      <c r="X18" s="757"/>
      <c r="Y18" s="757"/>
      <c r="Z18" s="757"/>
      <c r="AA18" s="757"/>
      <c r="AB18" s="757"/>
      <c r="AC18" s="757"/>
      <c r="AD18" s="757"/>
      <c r="AE18" s="757"/>
      <c r="AF18" s="757"/>
      <c r="AG18" s="757"/>
      <c r="AH18" s="757"/>
      <c r="AI18" s="757"/>
      <c r="AJ18" s="757"/>
      <c r="AK18" s="757"/>
      <c r="AL18" s="757"/>
      <c r="AM18" s="757"/>
      <c r="AN18" s="757"/>
      <c r="AO18" s="757"/>
      <c r="AP18" s="757"/>
      <c r="AQ18" s="757"/>
      <c r="AR18" s="757"/>
      <c r="AS18" s="757"/>
      <c r="AT18" s="757"/>
      <c r="AU18" s="757"/>
      <c r="AV18" s="757"/>
      <c r="AW18" s="757"/>
      <c r="AX18" s="757"/>
      <c r="AY18" s="757"/>
      <c r="AZ18" s="75"/>
      <c r="BA18" s="2"/>
      <c r="BB18" s="2"/>
      <c r="BC18" s="2"/>
      <c r="BD18" s="2"/>
    </row>
    <row r="19" spans="1:56">
      <c r="A19" s="781">
        <v>2</v>
      </c>
      <c r="B19" s="782">
        <v>206</v>
      </c>
      <c r="C19" s="783"/>
      <c r="D19" s="783" t="s">
        <v>178</v>
      </c>
      <c r="E19" s="805">
        <v>6552</v>
      </c>
      <c r="F19" s="798"/>
      <c r="G19" s="799"/>
      <c r="H19" s="1592">
        <f t="shared" si="0"/>
        <v>0</v>
      </c>
      <c r="I19" s="754" t="str">
        <f>IFERROR(VLOOKUP(B19,Mychart!$A$125:$B$911,2,FALSE),"-")</f>
        <v>MOHAMED MATROSHI</v>
      </c>
      <c r="J19" s="753" t="str">
        <f t="shared" si="1"/>
        <v>-</v>
      </c>
      <c r="K19" s="1540">
        <f t="shared" si="2"/>
        <v>1900</v>
      </c>
      <c r="L19" s="757"/>
      <c r="M19" s="757"/>
      <c r="N19" s="757"/>
      <c r="O19" s="757"/>
      <c r="P19" s="757"/>
      <c r="Q19" s="757"/>
      <c r="R19" s="757"/>
      <c r="S19" s="757"/>
      <c r="T19" s="757"/>
      <c r="U19" s="757"/>
      <c r="V19" s="757"/>
      <c r="W19" s="757"/>
      <c r="X19" s="757"/>
      <c r="Y19" s="757"/>
      <c r="Z19" s="757"/>
      <c r="AA19" s="757"/>
      <c r="AB19" s="757"/>
      <c r="AC19" s="757"/>
      <c r="AD19" s="757"/>
      <c r="AE19" s="757"/>
      <c r="AF19" s="757"/>
      <c r="AG19" s="757"/>
      <c r="AH19" s="757"/>
      <c r="AI19" s="757"/>
      <c r="AJ19" s="757"/>
      <c r="AK19" s="757"/>
      <c r="AL19" s="757"/>
      <c r="AM19" s="757"/>
      <c r="AN19" s="757"/>
      <c r="AO19" s="757"/>
      <c r="AP19" s="757"/>
      <c r="AQ19" s="757"/>
      <c r="AR19" s="757"/>
      <c r="AS19" s="757"/>
      <c r="AT19" s="757"/>
      <c r="AU19" s="757"/>
      <c r="AV19" s="757"/>
      <c r="AW19" s="757"/>
      <c r="AX19" s="757"/>
      <c r="AY19" s="757"/>
      <c r="AZ19" s="75"/>
      <c r="BA19" s="2"/>
      <c r="BB19" s="2"/>
      <c r="BC19" s="2"/>
      <c r="BD19" s="2"/>
    </row>
    <row r="20" spans="1:56">
      <c r="A20" s="781">
        <v>2</v>
      </c>
      <c r="B20" s="782">
        <v>206</v>
      </c>
      <c r="C20" s="783"/>
      <c r="D20" s="783" t="s">
        <v>258</v>
      </c>
      <c r="E20" s="805">
        <v>8118</v>
      </c>
      <c r="F20" s="798"/>
      <c r="G20" s="799"/>
      <c r="H20" s="1592">
        <f t="shared" si="0"/>
        <v>0</v>
      </c>
      <c r="I20" s="754" t="str">
        <f>IFERROR(VLOOKUP(B20,Mychart!$A$125:$B$911,2,FALSE),"-")</f>
        <v>MOHAMED MATROSHI</v>
      </c>
      <c r="J20" s="753" t="str">
        <f t="shared" si="1"/>
        <v>-</v>
      </c>
      <c r="K20" s="1540">
        <f t="shared" si="2"/>
        <v>1900</v>
      </c>
      <c r="L20" s="757"/>
      <c r="M20" s="757"/>
      <c r="N20" s="757"/>
      <c r="O20" s="757"/>
      <c r="P20" s="757"/>
      <c r="Q20" s="757"/>
      <c r="R20" s="757"/>
      <c r="S20" s="757"/>
      <c r="T20" s="757"/>
      <c r="U20" s="757"/>
      <c r="V20" s="757"/>
      <c r="W20" s="757"/>
      <c r="X20" s="757"/>
      <c r="Y20" s="757"/>
      <c r="Z20" s="757"/>
      <c r="AA20" s="757"/>
      <c r="AB20" s="757"/>
      <c r="AC20" s="757"/>
      <c r="AD20" s="757"/>
      <c r="AE20" s="757"/>
      <c r="AF20" s="757"/>
      <c r="AG20" s="757"/>
      <c r="AH20" s="757"/>
      <c r="AI20" s="757"/>
      <c r="AJ20" s="757"/>
      <c r="AK20" s="757"/>
      <c r="AL20" s="757"/>
      <c r="AM20" s="757"/>
      <c r="AN20" s="757"/>
      <c r="AO20" s="757"/>
      <c r="AP20" s="757"/>
      <c r="AQ20" s="757"/>
      <c r="AR20" s="757"/>
      <c r="AS20" s="757"/>
      <c r="AT20" s="757"/>
      <c r="AU20" s="757"/>
      <c r="AV20" s="757"/>
      <c r="AW20" s="757"/>
      <c r="AX20" s="757"/>
      <c r="AY20" s="757"/>
      <c r="AZ20" s="75"/>
      <c r="BA20" s="2"/>
      <c r="BB20" s="2"/>
      <c r="BC20" s="2"/>
      <c r="BD20" s="2"/>
    </row>
    <row r="21" spans="1:56">
      <c r="A21" s="781">
        <v>2</v>
      </c>
      <c r="B21" s="782">
        <v>206</v>
      </c>
      <c r="C21" s="783"/>
      <c r="D21" s="785" t="s">
        <v>178</v>
      </c>
      <c r="E21" s="806">
        <v>112</v>
      </c>
      <c r="F21" s="798"/>
      <c r="G21" s="799"/>
      <c r="H21" s="1592">
        <f t="shared" si="0"/>
        <v>0</v>
      </c>
      <c r="I21" s="754" t="str">
        <f>IFERROR(VLOOKUP(B21,Mychart!$A$125:$B$911,2,FALSE),"-")</f>
        <v>MOHAMED MATROSHI</v>
      </c>
      <c r="J21" s="753" t="str">
        <f t="shared" si="1"/>
        <v>-</v>
      </c>
      <c r="K21" s="1540">
        <f t="shared" si="2"/>
        <v>1900</v>
      </c>
      <c r="L21" s="757"/>
      <c r="M21" s="757"/>
      <c r="N21" s="757"/>
      <c r="O21" s="757"/>
      <c r="P21" s="757"/>
      <c r="Q21" s="757"/>
      <c r="R21" s="757"/>
      <c r="S21" s="757"/>
      <c r="T21" s="757"/>
      <c r="U21" s="757"/>
      <c r="V21" s="757"/>
      <c r="W21" s="757"/>
      <c r="X21" s="757"/>
      <c r="Y21" s="757"/>
      <c r="Z21" s="757"/>
      <c r="AA21" s="757"/>
      <c r="AB21" s="757"/>
      <c r="AC21" s="757"/>
      <c r="AD21" s="757"/>
      <c r="AE21" s="757"/>
      <c r="AF21" s="757"/>
      <c r="AG21" s="757"/>
      <c r="AH21" s="757"/>
      <c r="AI21" s="757"/>
      <c r="AJ21" s="757"/>
      <c r="AK21" s="757"/>
      <c r="AL21" s="757"/>
      <c r="AM21" s="757"/>
      <c r="AN21" s="757"/>
      <c r="AO21" s="757"/>
      <c r="AP21" s="757"/>
      <c r="AQ21" s="757"/>
      <c r="AR21" s="757"/>
      <c r="AS21" s="757"/>
      <c r="AT21" s="757"/>
      <c r="AU21" s="757"/>
      <c r="AV21" s="757"/>
      <c r="AW21" s="757"/>
      <c r="AX21" s="757"/>
      <c r="AY21" s="757"/>
      <c r="AZ21" s="75"/>
      <c r="BA21" s="2"/>
      <c r="BB21" s="2"/>
      <c r="BC21" s="2"/>
      <c r="BD21" s="2"/>
    </row>
    <row r="22" spans="1:56">
      <c r="A22" s="781">
        <v>2</v>
      </c>
      <c r="B22" s="782">
        <v>206</v>
      </c>
      <c r="C22" s="783"/>
      <c r="D22" s="783" t="s">
        <v>178</v>
      </c>
      <c r="E22" s="805">
        <v>4792</v>
      </c>
      <c r="F22" s="798"/>
      <c r="G22" s="799"/>
      <c r="H22" s="1592">
        <f t="shared" si="0"/>
        <v>0</v>
      </c>
      <c r="I22" s="754" t="str">
        <f>IFERROR(VLOOKUP(B22,Mychart!$A$125:$B$911,2,FALSE),"-")</f>
        <v>MOHAMED MATROSHI</v>
      </c>
      <c r="J22" s="753" t="str">
        <f t="shared" si="1"/>
        <v>-</v>
      </c>
      <c r="K22" s="1540">
        <f t="shared" si="2"/>
        <v>1900</v>
      </c>
      <c r="L22" s="757"/>
      <c r="M22" s="757"/>
      <c r="N22" s="757"/>
      <c r="O22" s="757"/>
      <c r="P22" s="757"/>
      <c r="Q22" s="757"/>
      <c r="R22" s="757"/>
      <c r="S22" s="757"/>
      <c r="T22" s="757"/>
      <c r="U22" s="757"/>
      <c r="V22" s="757"/>
      <c r="W22" s="757"/>
      <c r="X22" s="757"/>
      <c r="Y22" s="757"/>
      <c r="Z22" s="757"/>
      <c r="AA22" s="757"/>
      <c r="AB22" s="757"/>
      <c r="AC22" s="757"/>
      <c r="AD22" s="757"/>
      <c r="AE22" s="757"/>
      <c r="AF22" s="757"/>
      <c r="AG22" s="757"/>
      <c r="AH22" s="757"/>
      <c r="AI22" s="757"/>
      <c r="AJ22" s="757"/>
      <c r="AK22" s="757"/>
      <c r="AL22" s="757"/>
      <c r="AM22" s="757"/>
      <c r="AN22" s="757"/>
      <c r="AO22" s="757"/>
      <c r="AP22" s="757"/>
      <c r="AQ22" s="757"/>
      <c r="AR22" s="757"/>
      <c r="AS22" s="757"/>
      <c r="AT22" s="757"/>
      <c r="AU22" s="757"/>
      <c r="AV22" s="757"/>
      <c r="AW22" s="757"/>
      <c r="AX22" s="757"/>
      <c r="AY22" s="757"/>
      <c r="AZ22" s="75"/>
      <c r="BA22" s="2"/>
      <c r="BB22" s="2"/>
      <c r="BC22" s="2"/>
      <c r="BD22" s="2"/>
    </row>
    <row r="23" spans="1:56">
      <c r="A23" s="781">
        <v>2</v>
      </c>
      <c r="B23" s="782">
        <v>206</v>
      </c>
      <c r="C23" s="783">
        <v>45072</v>
      </c>
      <c r="D23" s="783" t="s">
        <v>258</v>
      </c>
      <c r="E23" s="805">
        <v>1120</v>
      </c>
      <c r="F23" s="798"/>
      <c r="G23" s="799"/>
      <c r="H23" s="1592">
        <f t="shared" si="0"/>
        <v>0</v>
      </c>
      <c r="I23" s="754" t="str">
        <f>IFERROR(VLOOKUP(B23,Mychart!$A$125:$B$911,2,FALSE),"-")</f>
        <v>MOHAMED MATROSHI</v>
      </c>
      <c r="J23" s="753">
        <f t="shared" si="1"/>
        <v>5</v>
      </c>
      <c r="K23" s="1540">
        <f t="shared" si="2"/>
        <v>2023</v>
      </c>
      <c r="L23" s="757"/>
      <c r="M23" s="757"/>
      <c r="N23" s="757"/>
      <c r="O23" s="757"/>
      <c r="P23" s="757"/>
      <c r="Q23" s="757"/>
      <c r="R23" s="757"/>
      <c r="S23" s="757"/>
      <c r="T23" s="757"/>
      <c r="U23" s="757"/>
      <c r="V23" s="757"/>
      <c r="W23" s="757"/>
      <c r="X23" s="757"/>
      <c r="Y23" s="757"/>
      <c r="Z23" s="757"/>
      <c r="AA23" s="757"/>
      <c r="AB23" s="757"/>
      <c r="AC23" s="757"/>
      <c r="AD23" s="757"/>
      <c r="AE23" s="757"/>
      <c r="AF23" s="757"/>
      <c r="AG23" s="757"/>
      <c r="AH23" s="757"/>
      <c r="AI23" s="757"/>
      <c r="AJ23" s="757"/>
      <c r="AK23" s="757"/>
      <c r="AL23" s="757"/>
      <c r="AM23" s="757"/>
      <c r="AN23" s="757"/>
      <c r="AO23" s="757"/>
      <c r="AP23" s="757"/>
      <c r="AQ23" s="757"/>
      <c r="AR23" s="757"/>
      <c r="AS23" s="757"/>
      <c r="AT23" s="757"/>
      <c r="AU23" s="757"/>
      <c r="AV23" s="757"/>
      <c r="AW23" s="757"/>
      <c r="AX23" s="757"/>
      <c r="AY23" s="757"/>
      <c r="AZ23" s="75"/>
      <c r="BA23" s="2"/>
      <c r="BB23" s="2"/>
      <c r="BC23" s="2"/>
      <c r="BD23" s="2"/>
    </row>
    <row r="24" spans="1:56">
      <c r="A24" s="781">
        <v>2</v>
      </c>
      <c r="B24" s="782">
        <v>206</v>
      </c>
      <c r="C24" s="783"/>
      <c r="D24" s="783" t="s">
        <v>178</v>
      </c>
      <c r="E24" s="805">
        <v>1696</v>
      </c>
      <c r="F24" s="798"/>
      <c r="G24" s="799"/>
      <c r="H24" s="1592">
        <f t="shared" si="0"/>
        <v>0</v>
      </c>
      <c r="I24" s="754" t="str">
        <f>IFERROR(VLOOKUP(B24,Mychart!$A$125:$B$911,2,FALSE),"-")</f>
        <v>MOHAMED MATROSHI</v>
      </c>
      <c r="J24" s="753" t="str">
        <f t="shared" si="1"/>
        <v>-</v>
      </c>
      <c r="K24" s="1540">
        <f t="shared" si="2"/>
        <v>1900</v>
      </c>
      <c r="L24" s="757"/>
      <c r="M24" s="757"/>
      <c r="N24" s="757"/>
      <c r="O24" s="757"/>
      <c r="P24" s="757"/>
      <c r="Q24" s="757"/>
      <c r="R24" s="757"/>
      <c r="S24" s="757"/>
      <c r="T24" s="757"/>
      <c r="U24" s="757"/>
      <c r="V24" s="757"/>
      <c r="W24" s="757"/>
      <c r="X24" s="757"/>
      <c r="Y24" s="757"/>
      <c r="Z24" s="757"/>
      <c r="AA24" s="757"/>
      <c r="AB24" s="757"/>
      <c r="AC24" s="757"/>
      <c r="AD24" s="757"/>
      <c r="AE24" s="757"/>
      <c r="AF24" s="757"/>
      <c r="AG24" s="757"/>
      <c r="AH24" s="757"/>
      <c r="AI24" s="757"/>
      <c r="AJ24" s="757"/>
      <c r="AK24" s="757"/>
      <c r="AL24" s="757"/>
      <c r="AM24" s="757"/>
      <c r="AN24" s="757"/>
      <c r="AO24" s="757"/>
      <c r="AP24" s="757"/>
      <c r="AQ24" s="757"/>
      <c r="AR24" s="757"/>
      <c r="AS24" s="757"/>
      <c r="AT24" s="757"/>
      <c r="AU24" s="757"/>
      <c r="AV24" s="757"/>
      <c r="AW24" s="757"/>
      <c r="AX24" s="757"/>
      <c r="AY24" s="757"/>
      <c r="AZ24" s="75"/>
      <c r="BA24" s="2"/>
      <c r="BB24" s="2"/>
      <c r="BC24" s="2"/>
      <c r="BD24" s="2"/>
    </row>
    <row r="25" spans="1:56">
      <c r="A25" s="781">
        <v>2</v>
      </c>
      <c r="B25" s="782">
        <v>206</v>
      </c>
      <c r="C25" s="783"/>
      <c r="D25" s="783" t="s">
        <v>178</v>
      </c>
      <c r="E25" s="805">
        <v>4054</v>
      </c>
      <c r="F25" s="798"/>
      <c r="G25" s="799"/>
      <c r="H25" s="1592">
        <f t="shared" si="0"/>
        <v>0</v>
      </c>
      <c r="I25" s="754" t="str">
        <f>IFERROR(VLOOKUP(B25,Mychart!$A$125:$B$911,2,FALSE),"-")</f>
        <v>MOHAMED MATROSHI</v>
      </c>
      <c r="J25" s="753" t="str">
        <f t="shared" si="1"/>
        <v>-</v>
      </c>
      <c r="K25" s="1540">
        <f t="shared" si="2"/>
        <v>1900</v>
      </c>
      <c r="L25" s="757"/>
      <c r="M25" s="757"/>
      <c r="N25" s="757"/>
      <c r="O25" s="757"/>
      <c r="P25" s="757"/>
      <c r="Q25" s="757"/>
      <c r="R25" s="757"/>
      <c r="S25" s="757"/>
      <c r="T25" s="757"/>
      <c r="U25" s="757"/>
      <c r="V25" s="757"/>
      <c r="W25" s="757"/>
      <c r="X25" s="757"/>
      <c r="Y25" s="757"/>
      <c r="Z25" s="757"/>
      <c r="AA25" s="757"/>
      <c r="AB25" s="757"/>
      <c r="AC25" s="757"/>
      <c r="AD25" s="757"/>
      <c r="AE25" s="757"/>
      <c r="AF25" s="757"/>
      <c r="AG25" s="757"/>
      <c r="AH25" s="757"/>
      <c r="AI25" s="757"/>
      <c r="AJ25" s="757"/>
      <c r="AK25" s="757"/>
      <c r="AL25" s="757"/>
      <c r="AM25" s="757"/>
      <c r="AN25" s="757"/>
      <c r="AO25" s="757"/>
      <c r="AP25" s="757"/>
      <c r="AQ25" s="757"/>
      <c r="AR25" s="757"/>
      <c r="AS25" s="757"/>
      <c r="AT25" s="757"/>
      <c r="AU25" s="757"/>
      <c r="AV25" s="757"/>
      <c r="AW25" s="757"/>
      <c r="AX25" s="757"/>
      <c r="AY25" s="757"/>
      <c r="AZ25" s="75"/>
      <c r="BA25" s="2"/>
      <c r="BB25" s="2"/>
      <c r="BC25" s="2"/>
      <c r="BD25" s="2"/>
    </row>
    <row r="26" spans="1:56">
      <c r="A26" s="781">
        <v>2</v>
      </c>
      <c r="B26" s="782">
        <v>206</v>
      </c>
      <c r="C26" s="783"/>
      <c r="D26" s="783" t="s">
        <v>256</v>
      </c>
      <c r="E26" s="805">
        <v>756</v>
      </c>
      <c r="F26" s="798"/>
      <c r="G26" s="799"/>
      <c r="H26" s="1592">
        <f t="shared" si="0"/>
        <v>0</v>
      </c>
      <c r="I26" s="754" t="str">
        <f>IFERROR(VLOOKUP(B26,Mychart!$A$125:$B$911,2,FALSE),"-")</f>
        <v>MOHAMED MATROSHI</v>
      </c>
      <c r="J26" s="753" t="str">
        <f t="shared" si="1"/>
        <v>-</v>
      </c>
      <c r="K26" s="1540">
        <f t="shared" si="2"/>
        <v>1900</v>
      </c>
      <c r="L26" s="757"/>
      <c r="M26" s="757"/>
      <c r="N26" s="757"/>
      <c r="O26" s="757"/>
      <c r="P26" s="757"/>
      <c r="Q26" s="757"/>
      <c r="R26" s="757"/>
      <c r="S26" s="757"/>
      <c r="T26" s="757"/>
      <c r="U26" s="757"/>
      <c r="V26" s="757"/>
      <c r="W26" s="757"/>
      <c r="X26" s="757"/>
      <c r="Y26" s="757"/>
      <c r="Z26" s="757"/>
      <c r="AA26" s="757"/>
      <c r="AB26" s="757"/>
      <c r="AC26" s="757"/>
      <c r="AD26" s="757"/>
      <c r="AE26" s="757"/>
      <c r="AF26" s="757"/>
      <c r="AG26" s="757"/>
      <c r="AH26" s="757"/>
      <c r="AI26" s="757"/>
      <c r="AJ26" s="757"/>
      <c r="AK26" s="757"/>
      <c r="AL26" s="757"/>
      <c r="AM26" s="757"/>
      <c r="AN26" s="757"/>
      <c r="AO26" s="757"/>
      <c r="AP26" s="757"/>
      <c r="AQ26" s="757"/>
      <c r="AR26" s="757"/>
      <c r="AS26" s="757"/>
      <c r="AT26" s="757"/>
      <c r="AU26" s="757"/>
      <c r="AV26" s="757"/>
      <c r="AW26" s="757"/>
      <c r="AX26" s="757"/>
      <c r="AY26" s="757"/>
      <c r="AZ26" s="75"/>
      <c r="BA26" s="2"/>
      <c r="BB26" s="2"/>
      <c r="BC26" s="2"/>
      <c r="BD26" s="2"/>
    </row>
    <row r="27" spans="1:56">
      <c r="A27" s="781">
        <v>2</v>
      </c>
      <c r="B27" s="782">
        <v>206</v>
      </c>
      <c r="C27" s="783"/>
      <c r="D27" s="783" t="s">
        <v>256</v>
      </c>
      <c r="E27" s="805">
        <v>202</v>
      </c>
      <c r="F27" s="798"/>
      <c r="G27" s="799"/>
      <c r="H27" s="1592">
        <f t="shared" si="0"/>
        <v>0</v>
      </c>
      <c r="I27" s="754" t="str">
        <f>IFERROR(VLOOKUP(B27,Mychart!$A$125:$B$911,2,FALSE),"-")</f>
        <v>MOHAMED MATROSHI</v>
      </c>
      <c r="J27" s="753" t="str">
        <f t="shared" si="1"/>
        <v>-</v>
      </c>
      <c r="K27" s="1540">
        <f t="shared" si="2"/>
        <v>1900</v>
      </c>
      <c r="L27" s="757"/>
      <c r="M27" s="757"/>
      <c r="N27" s="757"/>
      <c r="O27" s="757"/>
      <c r="P27" s="757"/>
      <c r="Q27" s="757"/>
      <c r="R27" s="757"/>
      <c r="S27" s="757"/>
      <c r="T27" s="757"/>
      <c r="U27" s="757"/>
      <c r="V27" s="757"/>
      <c r="W27" s="757"/>
      <c r="X27" s="757"/>
      <c r="Y27" s="757"/>
      <c r="Z27" s="757"/>
      <c r="AA27" s="757"/>
      <c r="AB27" s="757"/>
      <c r="AC27" s="757"/>
      <c r="AD27" s="757"/>
      <c r="AE27" s="757"/>
      <c r="AF27" s="757"/>
      <c r="AG27" s="757"/>
      <c r="AH27" s="757"/>
      <c r="AI27" s="757"/>
      <c r="AJ27" s="757"/>
      <c r="AK27" s="757"/>
      <c r="AL27" s="757"/>
      <c r="AM27" s="757"/>
      <c r="AN27" s="757"/>
      <c r="AO27" s="757"/>
      <c r="AP27" s="757"/>
      <c r="AQ27" s="757"/>
      <c r="AR27" s="757"/>
      <c r="AS27" s="757"/>
      <c r="AT27" s="757"/>
      <c r="AU27" s="757"/>
      <c r="AV27" s="757"/>
      <c r="AW27" s="757"/>
      <c r="AX27" s="757"/>
      <c r="AY27" s="757"/>
      <c r="AZ27" s="75"/>
      <c r="BA27" s="2"/>
      <c r="BB27" s="2"/>
      <c r="BC27" s="2"/>
      <c r="BD27" s="2"/>
    </row>
    <row r="28" spans="1:56">
      <c r="A28" s="781">
        <v>2</v>
      </c>
      <c r="B28" s="782">
        <v>206</v>
      </c>
      <c r="C28" s="783"/>
      <c r="D28" s="783" t="s">
        <v>256</v>
      </c>
      <c r="E28" s="805">
        <v>175</v>
      </c>
      <c r="F28" s="798"/>
      <c r="G28" s="799"/>
      <c r="H28" s="1592">
        <f t="shared" si="0"/>
        <v>0</v>
      </c>
      <c r="I28" s="754" t="str">
        <f>IFERROR(VLOOKUP(B28,Mychart!$A$125:$B$911,2,FALSE),"-")</f>
        <v>MOHAMED MATROSHI</v>
      </c>
      <c r="J28" s="753" t="str">
        <f t="shared" si="1"/>
        <v>-</v>
      </c>
      <c r="K28" s="1540">
        <f t="shared" si="2"/>
        <v>1900</v>
      </c>
      <c r="L28" s="757"/>
      <c r="M28" s="757"/>
      <c r="N28" s="757"/>
      <c r="O28" s="757"/>
      <c r="P28" s="757"/>
      <c r="Q28" s="757"/>
      <c r="R28" s="757"/>
      <c r="S28" s="757"/>
      <c r="T28" s="757"/>
      <c r="U28" s="757"/>
      <c r="V28" s="757"/>
      <c r="W28" s="757"/>
      <c r="X28" s="757"/>
      <c r="Y28" s="757"/>
      <c r="Z28" s="757"/>
      <c r="AA28" s="757"/>
      <c r="AB28" s="757"/>
      <c r="AC28" s="757"/>
      <c r="AD28" s="757"/>
      <c r="AE28" s="757"/>
      <c r="AF28" s="757"/>
      <c r="AG28" s="757"/>
      <c r="AH28" s="757"/>
      <c r="AI28" s="757"/>
      <c r="AJ28" s="757"/>
      <c r="AK28" s="757"/>
      <c r="AL28" s="757"/>
      <c r="AM28" s="757"/>
      <c r="AN28" s="757"/>
      <c r="AO28" s="757"/>
      <c r="AP28" s="757"/>
      <c r="AQ28" s="757"/>
      <c r="AR28" s="757"/>
      <c r="AS28" s="757"/>
      <c r="AT28" s="757"/>
      <c r="AU28" s="757"/>
      <c r="AV28" s="757"/>
      <c r="AW28" s="757"/>
      <c r="AX28" s="757"/>
      <c r="AY28" s="757"/>
      <c r="AZ28" s="75"/>
      <c r="BA28" s="2"/>
      <c r="BB28" s="2"/>
      <c r="BC28" s="2"/>
      <c r="BD28" s="2"/>
    </row>
    <row r="29" spans="1:56">
      <c r="A29" s="781">
        <v>2</v>
      </c>
      <c r="B29" s="782">
        <v>206</v>
      </c>
      <c r="C29" s="783"/>
      <c r="D29" s="783" t="s">
        <v>256</v>
      </c>
      <c r="E29" s="805">
        <v>61</v>
      </c>
      <c r="F29" s="798"/>
      <c r="G29" s="799"/>
      <c r="H29" s="1592">
        <f t="shared" si="0"/>
        <v>0</v>
      </c>
      <c r="I29" s="754" t="str">
        <f>IFERROR(VLOOKUP(B29,Mychart!$A$125:$B$911,2,FALSE),"-")</f>
        <v>MOHAMED MATROSHI</v>
      </c>
      <c r="J29" s="753" t="str">
        <f t="shared" si="1"/>
        <v>-</v>
      </c>
      <c r="K29" s="1540">
        <f t="shared" si="2"/>
        <v>1900</v>
      </c>
      <c r="L29" s="757"/>
      <c r="M29" s="757"/>
      <c r="N29" s="757"/>
      <c r="O29" s="757"/>
      <c r="P29" s="757"/>
      <c r="Q29" s="757"/>
      <c r="R29" s="757"/>
      <c r="S29" s="757"/>
      <c r="T29" s="757"/>
      <c r="U29" s="757"/>
      <c r="V29" s="757"/>
      <c r="W29" s="757"/>
      <c r="X29" s="757"/>
      <c r="Y29" s="757"/>
      <c r="Z29" s="757"/>
      <c r="AA29" s="757"/>
      <c r="AB29" s="757"/>
      <c r="AC29" s="757"/>
      <c r="AD29" s="757"/>
      <c r="AE29" s="757"/>
      <c r="AF29" s="757"/>
      <c r="AG29" s="757"/>
      <c r="AH29" s="757"/>
      <c r="AI29" s="757"/>
      <c r="AJ29" s="757"/>
      <c r="AK29" s="757"/>
      <c r="AL29" s="757"/>
      <c r="AM29" s="757"/>
      <c r="AN29" s="757"/>
      <c r="AO29" s="757"/>
      <c r="AP29" s="757"/>
      <c r="AQ29" s="757"/>
      <c r="AR29" s="757"/>
      <c r="AS29" s="757"/>
      <c r="AT29" s="757"/>
      <c r="AU29" s="757"/>
      <c r="AV29" s="757"/>
      <c r="AW29" s="757"/>
      <c r="AX29" s="757"/>
      <c r="AY29" s="757"/>
      <c r="AZ29" s="75"/>
      <c r="BA29" s="2"/>
      <c r="BB29" s="2"/>
      <c r="BC29" s="2"/>
      <c r="BD29" s="2"/>
    </row>
    <row r="30" spans="1:56">
      <c r="A30" s="781">
        <v>2</v>
      </c>
      <c r="B30" s="782">
        <v>206</v>
      </c>
      <c r="C30" s="783"/>
      <c r="D30" s="783" t="s">
        <v>256</v>
      </c>
      <c r="E30" s="805">
        <v>108</v>
      </c>
      <c r="F30" s="798"/>
      <c r="G30" s="799"/>
      <c r="H30" s="1592">
        <f t="shared" si="0"/>
        <v>0</v>
      </c>
      <c r="I30" s="754" t="str">
        <f>IFERROR(VLOOKUP(B30,Mychart!$A$125:$B$911,2,FALSE),"-")</f>
        <v>MOHAMED MATROSHI</v>
      </c>
      <c r="J30" s="753" t="str">
        <f t="shared" si="1"/>
        <v>-</v>
      </c>
      <c r="K30" s="1540">
        <f t="shared" si="2"/>
        <v>1900</v>
      </c>
      <c r="L30" s="757"/>
      <c r="M30" s="757"/>
      <c r="N30" s="757"/>
      <c r="O30" s="757"/>
      <c r="P30" s="757"/>
      <c r="Q30" s="757"/>
      <c r="R30" s="757"/>
      <c r="S30" s="757"/>
      <c r="T30" s="757"/>
      <c r="U30" s="757"/>
      <c r="V30" s="757"/>
      <c r="W30" s="757"/>
      <c r="X30" s="757"/>
      <c r="Y30" s="757"/>
      <c r="Z30" s="757"/>
      <c r="AA30" s="757"/>
      <c r="AB30" s="757"/>
      <c r="AC30" s="757"/>
      <c r="AD30" s="757"/>
      <c r="AE30" s="757"/>
      <c r="AF30" s="757"/>
      <c r="AG30" s="757"/>
      <c r="AH30" s="757"/>
      <c r="AI30" s="757"/>
      <c r="AJ30" s="757"/>
      <c r="AK30" s="757"/>
      <c r="AL30" s="757"/>
      <c r="AM30" s="757"/>
      <c r="AN30" s="757"/>
      <c r="AO30" s="757"/>
      <c r="AP30" s="757"/>
      <c r="AQ30" s="757"/>
      <c r="AR30" s="757"/>
      <c r="AS30" s="757"/>
      <c r="AT30" s="757"/>
      <c r="AU30" s="757"/>
      <c r="AV30" s="757"/>
      <c r="AW30" s="757"/>
      <c r="AX30" s="757"/>
      <c r="AY30" s="757"/>
      <c r="AZ30" s="75"/>
      <c r="BA30" s="2"/>
      <c r="BB30" s="2"/>
      <c r="BC30" s="2"/>
      <c r="BD30" s="2"/>
    </row>
    <row r="31" spans="1:56">
      <c r="A31" s="781">
        <v>2</v>
      </c>
      <c r="B31" s="782">
        <v>206</v>
      </c>
      <c r="C31" s="783"/>
      <c r="D31" s="783" t="s">
        <v>178</v>
      </c>
      <c r="E31" s="805">
        <v>161</v>
      </c>
      <c r="F31" s="798"/>
      <c r="G31" s="799"/>
      <c r="H31" s="1592">
        <f t="shared" si="0"/>
        <v>0</v>
      </c>
      <c r="I31" s="754" t="str">
        <f>IFERROR(VLOOKUP(B31,Mychart!$A$125:$B$911,2,FALSE),"-")</f>
        <v>MOHAMED MATROSHI</v>
      </c>
      <c r="J31" s="753" t="str">
        <f t="shared" si="1"/>
        <v>-</v>
      </c>
      <c r="K31" s="1540">
        <f t="shared" si="2"/>
        <v>1900</v>
      </c>
      <c r="L31" s="757"/>
      <c r="M31" s="757"/>
      <c r="N31" s="757"/>
      <c r="O31" s="757"/>
      <c r="P31" s="757"/>
      <c r="Q31" s="757"/>
      <c r="R31" s="757"/>
      <c r="S31" s="757"/>
      <c r="T31" s="757"/>
      <c r="U31" s="757"/>
      <c r="V31" s="757"/>
      <c r="W31" s="757"/>
      <c r="X31" s="757"/>
      <c r="Y31" s="757"/>
      <c r="Z31" s="757"/>
      <c r="AA31" s="757"/>
      <c r="AB31" s="757"/>
      <c r="AC31" s="757"/>
      <c r="AD31" s="757"/>
      <c r="AE31" s="757"/>
      <c r="AF31" s="757"/>
      <c r="AG31" s="757"/>
      <c r="AH31" s="757"/>
      <c r="AI31" s="757"/>
      <c r="AJ31" s="757"/>
      <c r="AK31" s="757"/>
      <c r="AL31" s="757"/>
      <c r="AM31" s="757"/>
      <c r="AN31" s="757"/>
      <c r="AO31" s="757"/>
      <c r="AP31" s="757"/>
      <c r="AQ31" s="757"/>
      <c r="AR31" s="757"/>
      <c r="AS31" s="757"/>
      <c r="AT31" s="757"/>
      <c r="AU31" s="757"/>
      <c r="AV31" s="757"/>
      <c r="AW31" s="757"/>
      <c r="AX31" s="757"/>
      <c r="AY31" s="757"/>
      <c r="AZ31" s="75"/>
      <c r="BA31" s="2"/>
      <c r="BB31" s="2"/>
      <c r="BC31" s="2"/>
      <c r="BD31" s="2"/>
    </row>
    <row r="32" spans="1:56">
      <c r="A32" s="781">
        <v>2</v>
      </c>
      <c r="B32" s="782">
        <v>206</v>
      </c>
      <c r="C32" s="783"/>
      <c r="D32" s="783" t="s">
        <v>257</v>
      </c>
      <c r="E32" s="805">
        <v>1970</v>
      </c>
      <c r="F32" s="798"/>
      <c r="G32" s="799"/>
      <c r="H32" s="1592">
        <f t="shared" si="0"/>
        <v>0</v>
      </c>
      <c r="I32" s="754" t="str">
        <f>IFERROR(VLOOKUP(B32,Mychart!$A$125:$B$911,2,FALSE),"-")</f>
        <v>MOHAMED MATROSHI</v>
      </c>
      <c r="J32" s="753" t="str">
        <f t="shared" si="1"/>
        <v>-</v>
      </c>
      <c r="K32" s="1540">
        <f t="shared" si="2"/>
        <v>1900</v>
      </c>
      <c r="L32" s="757"/>
      <c r="M32" s="757"/>
      <c r="N32" s="757"/>
      <c r="O32" s="757"/>
      <c r="P32" s="757"/>
      <c r="Q32" s="757"/>
      <c r="R32" s="757"/>
      <c r="S32" s="757"/>
      <c r="T32" s="757"/>
      <c r="U32" s="757"/>
      <c r="V32" s="757"/>
      <c r="W32" s="757"/>
      <c r="X32" s="757"/>
      <c r="Y32" s="757"/>
      <c r="Z32" s="757"/>
      <c r="AA32" s="757"/>
      <c r="AB32" s="757"/>
      <c r="AC32" s="757"/>
      <c r="AD32" s="757"/>
      <c r="AE32" s="757"/>
      <c r="AF32" s="757"/>
      <c r="AG32" s="757"/>
      <c r="AH32" s="757"/>
      <c r="AI32" s="757"/>
      <c r="AJ32" s="757"/>
      <c r="AK32" s="757"/>
      <c r="AL32" s="757"/>
      <c r="AM32" s="757"/>
      <c r="AN32" s="757"/>
      <c r="AO32" s="757"/>
      <c r="AP32" s="757"/>
      <c r="AQ32" s="757"/>
      <c r="AR32" s="757"/>
      <c r="AS32" s="757"/>
      <c r="AT32" s="757"/>
      <c r="AU32" s="757"/>
      <c r="AV32" s="757"/>
      <c r="AW32" s="757"/>
      <c r="AX32" s="757"/>
      <c r="AY32" s="757"/>
      <c r="AZ32" s="75"/>
      <c r="BA32" s="2"/>
      <c r="BB32" s="2"/>
      <c r="BC32" s="2"/>
      <c r="BD32" s="2"/>
    </row>
    <row r="33" spans="1:56">
      <c r="A33" s="781">
        <v>2</v>
      </c>
      <c r="B33" s="782">
        <v>206</v>
      </c>
      <c r="C33" s="783"/>
      <c r="D33" s="783" t="s">
        <v>180</v>
      </c>
      <c r="E33" s="805">
        <v>700</v>
      </c>
      <c r="F33" s="798"/>
      <c r="G33" s="799"/>
      <c r="H33" s="1592">
        <f t="shared" si="0"/>
        <v>0</v>
      </c>
      <c r="I33" s="754" t="str">
        <f>IFERROR(VLOOKUP(B33,Mychart!$A$125:$B$911,2,FALSE),"-")</f>
        <v>MOHAMED MATROSHI</v>
      </c>
      <c r="J33" s="753" t="str">
        <f t="shared" si="1"/>
        <v>-</v>
      </c>
      <c r="K33" s="1540">
        <f t="shared" si="2"/>
        <v>1900</v>
      </c>
      <c r="L33" s="757"/>
      <c r="M33" s="757"/>
      <c r="N33" s="757"/>
      <c r="O33" s="757"/>
      <c r="P33" s="757"/>
      <c r="Q33" s="757"/>
      <c r="R33" s="757"/>
      <c r="S33" s="757"/>
      <c r="T33" s="757"/>
      <c r="U33" s="757"/>
      <c r="V33" s="757"/>
      <c r="W33" s="757"/>
      <c r="X33" s="757"/>
      <c r="Y33" s="757"/>
      <c r="Z33" s="757"/>
      <c r="AA33" s="757"/>
      <c r="AB33" s="757"/>
      <c r="AC33" s="757"/>
      <c r="AD33" s="757"/>
      <c r="AE33" s="757"/>
      <c r="AF33" s="757"/>
      <c r="AG33" s="757"/>
      <c r="AH33" s="757"/>
      <c r="AI33" s="757"/>
      <c r="AJ33" s="757"/>
      <c r="AK33" s="757"/>
      <c r="AL33" s="757"/>
      <c r="AM33" s="757"/>
      <c r="AN33" s="757"/>
      <c r="AO33" s="757"/>
      <c r="AP33" s="757"/>
      <c r="AQ33" s="757"/>
      <c r="AR33" s="757"/>
      <c r="AS33" s="757"/>
      <c r="AT33" s="757"/>
      <c r="AU33" s="757"/>
      <c r="AV33" s="757"/>
      <c r="AW33" s="757"/>
      <c r="AX33" s="757"/>
      <c r="AY33" s="757"/>
      <c r="AZ33" s="75"/>
      <c r="BA33" s="2"/>
      <c r="BB33" s="2"/>
      <c r="BC33" s="2"/>
      <c r="BD33" s="2"/>
    </row>
    <row r="34" spans="1:56">
      <c r="A34" s="781">
        <v>2</v>
      </c>
      <c r="B34" s="782">
        <v>206</v>
      </c>
      <c r="C34" s="783"/>
      <c r="D34" s="783" t="s">
        <v>257</v>
      </c>
      <c r="E34" s="805">
        <v>44777</v>
      </c>
      <c r="F34" s="798"/>
      <c r="G34" s="799"/>
      <c r="H34" s="1592">
        <f t="shared" si="0"/>
        <v>0</v>
      </c>
      <c r="I34" s="754" t="str">
        <f>IFERROR(VLOOKUP(B34,Mychart!$A$125:$B$911,2,FALSE),"-")</f>
        <v>MOHAMED MATROSHI</v>
      </c>
      <c r="J34" s="753" t="str">
        <f t="shared" si="1"/>
        <v>-</v>
      </c>
      <c r="K34" s="1540">
        <f t="shared" si="2"/>
        <v>1900</v>
      </c>
      <c r="L34" s="757"/>
      <c r="M34" s="757"/>
      <c r="N34" s="757"/>
      <c r="O34" s="757"/>
      <c r="P34" s="757"/>
      <c r="Q34" s="757"/>
      <c r="R34" s="757"/>
      <c r="S34" s="757"/>
      <c r="T34" s="757"/>
      <c r="U34" s="757"/>
      <c r="V34" s="757"/>
      <c r="W34" s="757"/>
      <c r="X34" s="757"/>
      <c r="Y34" s="757"/>
      <c r="Z34" s="757"/>
      <c r="AA34" s="757"/>
      <c r="AB34" s="757"/>
      <c r="AC34" s="757"/>
      <c r="AD34" s="757"/>
      <c r="AE34" s="757"/>
      <c r="AF34" s="757"/>
      <c r="AG34" s="757"/>
      <c r="AH34" s="757"/>
      <c r="AI34" s="757"/>
      <c r="AJ34" s="757"/>
      <c r="AK34" s="757"/>
      <c r="AL34" s="757"/>
      <c r="AM34" s="757"/>
      <c r="AN34" s="757"/>
      <c r="AO34" s="757"/>
      <c r="AP34" s="757"/>
      <c r="AQ34" s="757"/>
      <c r="AR34" s="757"/>
      <c r="AS34" s="757"/>
      <c r="AT34" s="757"/>
      <c r="AU34" s="757"/>
      <c r="AV34" s="757"/>
      <c r="AW34" s="757"/>
      <c r="AX34" s="757"/>
      <c r="AY34" s="757"/>
      <c r="AZ34" s="75"/>
      <c r="BA34" s="2"/>
      <c r="BB34" s="2"/>
      <c r="BC34" s="2"/>
      <c r="BD34" s="2"/>
    </row>
    <row r="35" spans="1:56">
      <c r="A35" s="781">
        <v>2</v>
      </c>
      <c r="B35" s="782">
        <v>206</v>
      </c>
      <c r="C35" s="783"/>
      <c r="D35" s="783" t="s">
        <v>178</v>
      </c>
      <c r="E35" s="805">
        <v>820</v>
      </c>
      <c r="F35" s="798"/>
      <c r="G35" s="799"/>
      <c r="H35" s="1592">
        <f t="shared" si="0"/>
        <v>0</v>
      </c>
      <c r="I35" s="754" t="str">
        <f>IFERROR(VLOOKUP(B35,Mychart!$A$125:$B$911,2,FALSE),"-")</f>
        <v>MOHAMED MATROSHI</v>
      </c>
      <c r="J35" s="753" t="str">
        <f t="shared" si="1"/>
        <v>-</v>
      </c>
      <c r="K35" s="1540">
        <f t="shared" si="2"/>
        <v>1900</v>
      </c>
      <c r="L35" s="757"/>
      <c r="M35" s="757"/>
      <c r="N35" s="757"/>
      <c r="O35" s="757"/>
      <c r="P35" s="757"/>
      <c r="Q35" s="757"/>
      <c r="R35" s="757"/>
      <c r="S35" s="757"/>
      <c r="T35" s="757"/>
      <c r="U35" s="757"/>
      <c r="V35" s="757"/>
      <c r="W35" s="757"/>
      <c r="X35" s="757"/>
      <c r="Y35" s="757"/>
      <c r="Z35" s="757"/>
      <c r="AA35" s="757"/>
      <c r="AB35" s="757"/>
      <c r="AC35" s="757"/>
      <c r="AD35" s="757"/>
      <c r="AE35" s="757"/>
      <c r="AF35" s="757"/>
      <c r="AG35" s="757"/>
      <c r="AH35" s="757"/>
      <c r="AI35" s="757"/>
      <c r="AJ35" s="757"/>
      <c r="AK35" s="757"/>
      <c r="AL35" s="757"/>
      <c r="AM35" s="757"/>
      <c r="AN35" s="757"/>
      <c r="AO35" s="757"/>
      <c r="AP35" s="757"/>
      <c r="AQ35" s="757"/>
      <c r="AR35" s="757"/>
      <c r="AS35" s="757"/>
      <c r="AT35" s="757"/>
      <c r="AU35" s="757"/>
      <c r="AV35" s="757"/>
      <c r="AW35" s="757"/>
      <c r="AX35" s="757"/>
      <c r="AY35" s="757"/>
      <c r="AZ35" s="75"/>
      <c r="BA35" s="2"/>
      <c r="BB35" s="2"/>
      <c r="BC35" s="2"/>
      <c r="BD35" s="2"/>
    </row>
    <row r="36" spans="1:56">
      <c r="A36" s="781">
        <v>2</v>
      </c>
      <c r="B36" s="782">
        <v>206</v>
      </c>
      <c r="C36" s="783"/>
      <c r="D36" s="783" t="s">
        <v>178</v>
      </c>
      <c r="E36" s="805">
        <v>37</v>
      </c>
      <c r="F36" s="798"/>
      <c r="G36" s="799"/>
      <c r="H36" s="1592">
        <f t="shared" si="0"/>
        <v>0</v>
      </c>
      <c r="I36" s="754" t="str">
        <f>IFERROR(VLOOKUP(B36,Mychart!$A$125:$B$911,2,FALSE),"-")</f>
        <v>MOHAMED MATROSHI</v>
      </c>
      <c r="J36" s="753" t="str">
        <f t="shared" si="1"/>
        <v>-</v>
      </c>
      <c r="K36" s="1540">
        <f t="shared" si="2"/>
        <v>1900</v>
      </c>
      <c r="L36" s="757"/>
      <c r="M36" s="757"/>
      <c r="N36" s="757"/>
      <c r="O36" s="757"/>
      <c r="P36" s="757"/>
      <c r="Q36" s="757"/>
      <c r="R36" s="757"/>
      <c r="S36" s="757"/>
      <c r="T36" s="757"/>
      <c r="U36" s="757"/>
      <c r="V36" s="757"/>
      <c r="W36" s="757"/>
      <c r="X36" s="757"/>
      <c r="Y36" s="757"/>
      <c r="Z36" s="757"/>
      <c r="AA36" s="757"/>
      <c r="AB36" s="757"/>
      <c r="AC36" s="757"/>
      <c r="AD36" s="757"/>
      <c r="AE36" s="757"/>
      <c r="AF36" s="757"/>
      <c r="AG36" s="757"/>
      <c r="AH36" s="757"/>
      <c r="AI36" s="757"/>
      <c r="AJ36" s="757"/>
      <c r="AK36" s="757"/>
      <c r="AL36" s="757"/>
      <c r="AM36" s="757"/>
      <c r="AN36" s="757"/>
      <c r="AO36" s="757"/>
      <c r="AP36" s="757"/>
      <c r="AQ36" s="757"/>
      <c r="AR36" s="757"/>
      <c r="AS36" s="757"/>
      <c r="AT36" s="757"/>
      <c r="AU36" s="757"/>
      <c r="AV36" s="757"/>
      <c r="AW36" s="757"/>
      <c r="AX36" s="757"/>
      <c r="AY36" s="757"/>
      <c r="AZ36" s="75"/>
      <c r="BA36" s="2"/>
      <c r="BB36" s="2"/>
      <c r="BC36" s="2"/>
      <c r="BD36" s="2"/>
    </row>
    <row r="37" spans="1:56">
      <c r="A37" s="781">
        <v>2</v>
      </c>
      <c r="B37" s="782">
        <v>206</v>
      </c>
      <c r="C37" s="783"/>
      <c r="D37" s="783" t="s">
        <v>257</v>
      </c>
      <c r="E37" s="805">
        <v>37259.25</v>
      </c>
      <c r="F37" s="798"/>
      <c r="G37" s="799"/>
      <c r="H37" s="1592">
        <f t="shared" si="0"/>
        <v>0</v>
      </c>
      <c r="I37" s="754" t="str">
        <f>IFERROR(VLOOKUP(B37,Mychart!$A$125:$B$911,2,FALSE),"-")</f>
        <v>MOHAMED MATROSHI</v>
      </c>
      <c r="J37" s="753" t="str">
        <f t="shared" si="1"/>
        <v>-</v>
      </c>
      <c r="K37" s="1540">
        <f t="shared" si="2"/>
        <v>1900</v>
      </c>
      <c r="L37" s="757"/>
      <c r="M37" s="757"/>
      <c r="N37" s="757"/>
      <c r="O37" s="757"/>
      <c r="P37" s="757"/>
      <c r="Q37" s="757"/>
      <c r="R37" s="757"/>
      <c r="S37" s="757"/>
      <c r="T37" s="757"/>
      <c r="U37" s="757"/>
      <c r="V37" s="757"/>
      <c r="W37" s="757"/>
      <c r="X37" s="757"/>
      <c r="Y37" s="757"/>
      <c r="Z37" s="757"/>
      <c r="AA37" s="757"/>
      <c r="AB37" s="757"/>
      <c r="AC37" s="757"/>
      <c r="AD37" s="757"/>
      <c r="AE37" s="757"/>
      <c r="AF37" s="757"/>
      <c r="AG37" s="757"/>
      <c r="AH37" s="757"/>
      <c r="AI37" s="757"/>
      <c r="AJ37" s="757"/>
      <c r="AK37" s="757"/>
      <c r="AL37" s="757"/>
      <c r="AM37" s="757"/>
      <c r="AN37" s="757"/>
      <c r="AO37" s="757"/>
      <c r="AP37" s="757"/>
      <c r="AQ37" s="757"/>
      <c r="AR37" s="757"/>
      <c r="AS37" s="757"/>
      <c r="AT37" s="757"/>
      <c r="AU37" s="757"/>
      <c r="AV37" s="757"/>
      <c r="AW37" s="757"/>
      <c r="AX37" s="757"/>
      <c r="AY37" s="757"/>
      <c r="AZ37" s="75"/>
      <c r="BA37" s="2"/>
      <c r="BB37" s="2"/>
      <c r="BC37" s="2"/>
      <c r="BD37" s="2"/>
    </row>
    <row r="38" spans="1:56">
      <c r="A38" s="781">
        <v>2</v>
      </c>
      <c r="B38" s="782">
        <v>206</v>
      </c>
      <c r="C38" s="783"/>
      <c r="D38" s="783" t="s">
        <v>259</v>
      </c>
      <c r="E38" s="805">
        <v>8500</v>
      </c>
      <c r="F38" s="798"/>
      <c r="G38" s="799"/>
      <c r="H38" s="1592">
        <f t="shared" si="0"/>
        <v>0</v>
      </c>
      <c r="I38" s="754" t="str">
        <f>IFERROR(VLOOKUP(B38,Mychart!$A$125:$B$911,2,FALSE),"-")</f>
        <v>MOHAMED MATROSHI</v>
      </c>
      <c r="J38" s="753" t="str">
        <f t="shared" si="1"/>
        <v>-</v>
      </c>
      <c r="K38" s="1540">
        <f t="shared" si="2"/>
        <v>1900</v>
      </c>
      <c r="L38" s="757"/>
      <c r="M38" s="757"/>
      <c r="N38" s="757"/>
      <c r="O38" s="757"/>
      <c r="P38" s="757"/>
      <c r="Q38" s="757"/>
      <c r="R38" s="757"/>
      <c r="S38" s="757"/>
      <c r="T38" s="757"/>
      <c r="U38" s="757"/>
      <c r="V38" s="757"/>
      <c r="W38" s="757"/>
      <c r="X38" s="757"/>
      <c r="Y38" s="757"/>
      <c r="Z38" s="757"/>
      <c r="AA38" s="757"/>
      <c r="AB38" s="757"/>
      <c r="AC38" s="757"/>
      <c r="AD38" s="757"/>
      <c r="AE38" s="757"/>
      <c r="AF38" s="757"/>
      <c r="AG38" s="757"/>
      <c r="AH38" s="757"/>
      <c r="AI38" s="757"/>
      <c r="AJ38" s="757"/>
      <c r="AK38" s="757"/>
      <c r="AL38" s="757"/>
      <c r="AM38" s="757"/>
      <c r="AN38" s="757"/>
      <c r="AO38" s="757"/>
      <c r="AP38" s="757"/>
      <c r="AQ38" s="757"/>
      <c r="AR38" s="757"/>
      <c r="AS38" s="757"/>
      <c r="AT38" s="757"/>
      <c r="AU38" s="757"/>
      <c r="AV38" s="757"/>
      <c r="AW38" s="757"/>
      <c r="AX38" s="757"/>
      <c r="AY38" s="757"/>
      <c r="AZ38" s="75"/>
      <c r="BA38" s="2"/>
      <c r="BB38" s="2"/>
      <c r="BC38" s="2"/>
      <c r="BD38" s="2"/>
    </row>
    <row r="39" spans="1:56">
      <c r="A39" s="781">
        <v>2</v>
      </c>
      <c r="B39" s="782">
        <v>206</v>
      </c>
      <c r="C39" s="783">
        <v>45260</v>
      </c>
      <c r="D39" s="783" t="s">
        <v>178</v>
      </c>
      <c r="E39" s="805">
        <v>463</v>
      </c>
      <c r="F39" s="798"/>
      <c r="G39" s="799"/>
      <c r="H39" s="1592">
        <f t="shared" si="0"/>
        <v>0</v>
      </c>
      <c r="I39" s="754" t="str">
        <f>IFERROR(VLOOKUP(B39,Mychart!$A$125:$B$911,2,FALSE),"-")</f>
        <v>MOHAMED MATROSHI</v>
      </c>
      <c r="J39" s="753">
        <f t="shared" si="1"/>
        <v>11</v>
      </c>
      <c r="K39" s="1540">
        <f t="shared" si="2"/>
        <v>2023</v>
      </c>
      <c r="L39" s="757"/>
      <c r="M39" s="757"/>
      <c r="N39" s="757"/>
      <c r="O39" s="757"/>
      <c r="P39" s="757"/>
      <c r="Q39" s="757"/>
      <c r="R39" s="757"/>
      <c r="S39" s="757"/>
      <c r="T39" s="757"/>
      <c r="U39" s="757"/>
      <c r="V39" s="757"/>
      <c r="W39" s="757"/>
      <c r="X39" s="757"/>
      <c r="Y39" s="757"/>
      <c r="Z39" s="757"/>
      <c r="AA39" s="757"/>
      <c r="AB39" s="757"/>
      <c r="AC39" s="757"/>
      <c r="AD39" s="757"/>
      <c r="AE39" s="757"/>
      <c r="AF39" s="757"/>
      <c r="AG39" s="757"/>
      <c r="AH39" s="757"/>
      <c r="AI39" s="757"/>
      <c r="AJ39" s="757"/>
      <c r="AK39" s="757"/>
      <c r="AL39" s="757"/>
      <c r="AM39" s="757"/>
      <c r="AN39" s="757"/>
      <c r="AO39" s="757"/>
      <c r="AP39" s="757"/>
      <c r="AQ39" s="757"/>
      <c r="AR39" s="757"/>
      <c r="AS39" s="757"/>
      <c r="AT39" s="757"/>
      <c r="AU39" s="757"/>
      <c r="AV39" s="757"/>
      <c r="AW39" s="757"/>
      <c r="AX39" s="757"/>
      <c r="AY39" s="757"/>
      <c r="AZ39" s="75"/>
      <c r="BA39" s="2"/>
      <c r="BB39" s="2"/>
      <c r="BC39" s="2"/>
      <c r="BD39" s="2"/>
    </row>
    <row r="40" spans="1:56">
      <c r="A40" s="781">
        <v>2</v>
      </c>
      <c r="B40" s="782">
        <v>206</v>
      </c>
      <c r="C40" s="783"/>
      <c r="D40" s="783" t="s">
        <v>257</v>
      </c>
      <c r="E40" s="805">
        <v>40320</v>
      </c>
      <c r="F40" s="798"/>
      <c r="G40" s="799"/>
      <c r="H40" s="1592">
        <f t="shared" si="0"/>
        <v>0</v>
      </c>
      <c r="I40" s="754" t="str">
        <f>IFERROR(VLOOKUP(B40,Mychart!$A$125:$B$911,2,FALSE),"-")</f>
        <v>MOHAMED MATROSHI</v>
      </c>
      <c r="J40" s="753" t="str">
        <f t="shared" si="1"/>
        <v>-</v>
      </c>
      <c r="K40" s="1540">
        <f t="shared" si="2"/>
        <v>1900</v>
      </c>
      <c r="L40" s="757"/>
      <c r="M40" s="757"/>
      <c r="N40" s="757"/>
      <c r="O40" s="757"/>
      <c r="P40" s="757"/>
      <c r="Q40" s="757"/>
      <c r="R40" s="757"/>
      <c r="S40" s="757"/>
      <c r="T40" s="757"/>
      <c r="U40" s="757"/>
      <c r="V40" s="757"/>
      <c r="W40" s="757"/>
      <c r="X40" s="757"/>
      <c r="Y40" s="757"/>
      <c r="Z40" s="757"/>
      <c r="AA40" s="757"/>
      <c r="AB40" s="757"/>
      <c r="AC40" s="757"/>
      <c r="AD40" s="757"/>
      <c r="AE40" s="757"/>
      <c r="AF40" s="757"/>
      <c r="AG40" s="757"/>
      <c r="AH40" s="757"/>
      <c r="AI40" s="757"/>
      <c r="AJ40" s="757"/>
      <c r="AK40" s="757"/>
      <c r="AL40" s="757"/>
      <c r="AM40" s="757"/>
      <c r="AN40" s="757"/>
      <c r="AO40" s="757"/>
      <c r="AP40" s="757"/>
      <c r="AQ40" s="757"/>
      <c r="AR40" s="757"/>
      <c r="AS40" s="757"/>
      <c r="AT40" s="757"/>
      <c r="AU40" s="757"/>
      <c r="AV40" s="757"/>
      <c r="AW40" s="757"/>
      <c r="AX40" s="757"/>
      <c r="AY40" s="757"/>
      <c r="AZ40" s="75"/>
      <c r="BA40" s="2"/>
      <c r="BB40" s="2"/>
      <c r="BC40" s="2"/>
      <c r="BD40" s="2"/>
    </row>
    <row r="41" spans="1:56">
      <c r="A41" s="781">
        <v>2</v>
      </c>
      <c r="B41" s="782">
        <v>206</v>
      </c>
      <c r="C41" s="783"/>
      <c r="D41" s="783" t="s">
        <v>259</v>
      </c>
      <c r="E41" s="805">
        <v>730</v>
      </c>
      <c r="F41" s="798"/>
      <c r="G41" s="799"/>
      <c r="H41" s="1592">
        <f t="shared" si="0"/>
        <v>0</v>
      </c>
      <c r="I41" s="754" t="str">
        <f>IFERROR(VLOOKUP(B41,Mychart!$A$125:$B$911,2,FALSE),"-")</f>
        <v>MOHAMED MATROSHI</v>
      </c>
      <c r="J41" s="753" t="str">
        <f t="shared" si="1"/>
        <v>-</v>
      </c>
      <c r="K41" s="1540">
        <f t="shared" si="2"/>
        <v>1900</v>
      </c>
      <c r="L41" s="757"/>
      <c r="M41" s="757"/>
      <c r="N41" s="757"/>
      <c r="O41" s="757"/>
      <c r="P41" s="757"/>
      <c r="Q41" s="757"/>
      <c r="R41" s="757"/>
      <c r="S41" s="757"/>
      <c r="T41" s="757"/>
      <c r="U41" s="757"/>
      <c r="V41" s="757"/>
      <c r="W41" s="757"/>
      <c r="X41" s="757"/>
      <c r="Y41" s="757"/>
      <c r="Z41" s="757"/>
      <c r="AA41" s="757"/>
      <c r="AB41" s="757"/>
      <c r="AC41" s="757"/>
      <c r="AD41" s="757"/>
      <c r="AE41" s="757"/>
      <c r="AF41" s="757"/>
      <c r="AG41" s="757"/>
      <c r="AH41" s="757"/>
      <c r="AI41" s="757"/>
      <c r="AJ41" s="757"/>
      <c r="AK41" s="757"/>
      <c r="AL41" s="757"/>
      <c r="AM41" s="757"/>
      <c r="AN41" s="757"/>
      <c r="AO41" s="757"/>
      <c r="AP41" s="757"/>
      <c r="AQ41" s="757"/>
      <c r="AR41" s="757"/>
      <c r="AS41" s="757"/>
      <c r="AT41" s="757"/>
      <c r="AU41" s="757"/>
      <c r="AV41" s="757"/>
      <c r="AW41" s="757"/>
      <c r="AX41" s="757"/>
      <c r="AY41" s="757"/>
      <c r="AZ41" s="75"/>
      <c r="BA41" s="2"/>
      <c r="BB41" s="2"/>
      <c r="BC41" s="2"/>
      <c r="BD41" s="2"/>
    </row>
    <row r="42" spans="1:56">
      <c r="A42" s="781">
        <v>2</v>
      </c>
      <c r="B42" s="782">
        <v>206</v>
      </c>
      <c r="C42" s="783">
        <v>45281</v>
      </c>
      <c r="D42" s="783" t="s">
        <v>257</v>
      </c>
      <c r="E42" s="805">
        <v>2047.5</v>
      </c>
      <c r="F42" s="798"/>
      <c r="G42" s="799"/>
      <c r="H42" s="1592">
        <f t="shared" si="0"/>
        <v>0</v>
      </c>
      <c r="I42" s="754" t="str">
        <f>IFERROR(VLOOKUP(B42,Mychart!$A$125:$B$911,2,FALSE),"-")</f>
        <v>MOHAMED MATROSHI</v>
      </c>
      <c r="J42" s="753">
        <f t="shared" si="1"/>
        <v>12</v>
      </c>
      <c r="K42" s="1540">
        <f t="shared" si="2"/>
        <v>2023</v>
      </c>
      <c r="L42" s="757"/>
      <c r="M42" s="757"/>
      <c r="N42" s="757"/>
      <c r="O42" s="757"/>
      <c r="P42" s="757"/>
      <c r="Q42" s="757"/>
      <c r="R42" s="757"/>
      <c r="S42" s="757"/>
      <c r="T42" s="757"/>
      <c r="U42" s="757"/>
      <c r="V42" s="757"/>
      <c r="W42" s="757"/>
      <c r="X42" s="757"/>
      <c r="Y42" s="757"/>
      <c r="Z42" s="757"/>
      <c r="AA42" s="757"/>
      <c r="AB42" s="757"/>
      <c r="AC42" s="757"/>
      <c r="AD42" s="757"/>
      <c r="AE42" s="757"/>
      <c r="AF42" s="757"/>
      <c r="AG42" s="757"/>
      <c r="AH42" s="757"/>
      <c r="AI42" s="757"/>
      <c r="AJ42" s="757"/>
      <c r="AK42" s="757"/>
      <c r="AL42" s="757"/>
      <c r="AM42" s="757"/>
      <c r="AN42" s="757"/>
      <c r="AO42" s="757"/>
      <c r="AP42" s="757"/>
      <c r="AQ42" s="757"/>
      <c r="AR42" s="757"/>
      <c r="AS42" s="757"/>
      <c r="AT42" s="757"/>
      <c r="AU42" s="757"/>
      <c r="AV42" s="757"/>
      <c r="AW42" s="757"/>
      <c r="AX42" s="757"/>
      <c r="AY42" s="757"/>
      <c r="AZ42" s="75"/>
      <c r="BA42" s="2"/>
      <c r="BB42" s="2"/>
      <c r="BC42" s="2"/>
      <c r="BD42" s="2"/>
    </row>
    <row r="43" spans="1:56">
      <c r="A43" s="781">
        <v>2</v>
      </c>
      <c r="B43" s="782">
        <v>206</v>
      </c>
      <c r="C43" s="783">
        <v>45291</v>
      </c>
      <c r="D43" s="783" t="s">
        <v>178</v>
      </c>
      <c r="E43" s="805">
        <v>3975</v>
      </c>
      <c r="F43" s="798"/>
      <c r="G43" s="799"/>
      <c r="H43" s="1592">
        <f t="shared" si="0"/>
        <v>0</v>
      </c>
      <c r="I43" s="754" t="str">
        <f>IFERROR(VLOOKUP(B43,Mychart!$A$125:$B$911,2,FALSE),"-")</f>
        <v>MOHAMED MATROSHI</v>
      </c>
      <c r="J43" s="753">
        <f t="shared" si="1"/>
        <v>12</v>
      </c>
      <c r="K43" s="1540">
        <f t="shared" si="2"/>
        <v>2023</v>
      </c>
      <c r="L43" s="757"/>
      <c r="M43" s="757"/>
      <c r="N43" s="757"/>
      <c r="O43" s="757"/>
      <c r="P43" s="757"/>
      <c r="Q43" s="757"/>
      <c r="R43" s="757"/>
      <c r="S43" s="757"/>
      <c r="T43" s="757"/>
      <c r="U43" s="757"/>
      <c r="V43" s="757"/>
      <c r="W43" s="757"/>
      <c r="X43" s="757"/>
      <c r="Y43" s="757"/>
      <c r="Z43" s="757"/>
      <c r="AA43" s="757"/>
      <c r="AB43" s="757"/>
      <c r="AC43" s="757"/>
      <c r="AD43" s="757"/>
      <c r="AE43" s="757"/>
      <c r="AF43" s="757"/>
      <c r="AG43" s="757"/>
      <c r="AH43" s="757"/>
      <c r="AI43" s="757"/>
      <c r="AJ43" s="757"/>
      <c r="AK43" s="757"/>
      <c r="AL43" s="757"/>
      <c r="AM43" s="757"/>
      <c r="AN43" s="757"/>
      <c r="AO43" s="757"/>
      <c r="AP43" s="757"/>
      <c r="AQ43" s="757"/>
      <c r="AR43" s="757"/>
      <c r="AS43" s="757"/>
      <c r="AT43" s="757"/>
      <c r="AU43" s="757"/>
      <c r="AV43" s="757"/>
      <c r="AW43" s="757"/>
      <c r="AX43" s="757"/>
      <c r="AY43" s="757"/>
      <c r="AZ43" s="75"/>
      <c r="BA43" s="2"/>
      <c r="BB43" s="2"/>
      <c r="BC43" s="2"/>
      <c r="BD43" s="2"/>
    </row>
    <row r="44" spans="1:56">
      <c r="A44" s="781">
        <v>2</v>
      </c>
      <c r="B44" s="782">
        <v>206</v>
      </c>
      <c r="C44" s="783">
        <v>45273</v>
      </c>
      <c r="D44" s="783" t="s">
        <v>260</v>
      </c>
      <c r="E44" s="805">
        <v>2721.1000000000004</v>
      </c>
      <c r="F44" s="798"/>
      <c r="G44" s="799"/>
      <c r="H44" s="1592">
        <f t="shared" si="0"/>
        <v>0</v>
      </c>
      <c r="I44" s="754" t="str">
        <f>IFERROR(VLOOKUP(B44,Mychart!$A$125:$B$911,2,FALSE),"-")</f>
        <v>MOHAMED MATROSHI</v>
      </c>
      <c r="J44" s="753">
        <f t="shared" si="1"/>
        <v>12</v>
      </c>
      <c r="K44" s="1540">
        <f t="shared" si="2"/>
        <v>2023</v>
      </c>
      <c r="L44" s="757"/>
      <c r="M44" s="757"/>
      <c r="N44" s="757"/>
      <c r="O44" s="757"/>
      <c r="P44" s="757"/>
      <c r="Q44" s="757"/>
      <c r="R44" s="757"/>
      <c r="S44" s="757"/>
      <c r="T44" s="757"/>
      <c r="U44" s="757"/>
      <c r="V44" s="757"/>
      <c r="W44" s="757"/>
      <c r="X44" s="757"/>
      <c r="Y44" s="757"/>
      <c r="Z44" s="757"/>
      <c r="AA44" s="757"/>
      <c r="AB44" s="757"/>
      <c r="AC44" s="757"/>
      <c r="AD44" s="757"/>
      <c r="AE44" s="757"/>
      <c r="AF44" s="757"/>
      <c r="AG44" s="757"/>
      <c r="AH44" s="757"/>
      <c r="AI44" s="757"/>
      <c r="AJ44" s="757"/>
      <c r="AK44" s="757"/>
      <c r="AL44" s="757"/>
      <c r="AM44" s="757"/>
      <c r="AN44" s="757"/>
      <c r="AO44" s="757"/>
      <c r="AP44" s="757"/>
      <c r="AQ44" s="757"/>
      <c r="AR44" s="757"/>
      <c r="AS44" s="757"/>
      <c r="AT44" s="757"/>
      <c r="AU44" s="757"/>
      <c r="AV44" s="757"/>
      <c r="AW44" s="757"/>
      <c r="AX44" s="757"/>
      <c r="AY44" s="757"/>
      <c r="AZ44" s="75"/>
      <c r="BA44" s="2"/>
      <c r="BB44" s="2"/>
      <c r="BC44" s="2"/>
      <c r="BD44" s="2"/>
    </row>
    <row r="45" spans="1:56">
      <c r="A45" s="781">
        <v>2</v>
      </c>
      <c r="B45" s="782">
        <v>206</v>
      </c>
      <c r="C45" s="783">
        <v>45280</v>
      </c>
      <c r="D45" s="783" t="s">
        <v>261</v>
      </c>
      <c r="E45" s="805">
        <v>2700</v>
      </c>
      <c r="F45" s="798"/>
      <c r="G45" s="799"/>
      <c r="H45" s="1592">
        <f t="shared" si="0"/>
        <v>0</v>
      </c>
      <c r="I45" s="754" t="str">
        <f>IFERROR(VLOOKUP(B45,Mychart!$A$125:$B$911,2,FALSE),"-")</f>
        <v>MOHAMED MATROSHI</v>
      </c>
      <c r="J45" s="753">
        <f t="shared" si="1"/>
        <v>12</v>
      </c>
      <c r="K45" s="1540">
        <f t="shared" si="2"/>
        <v>2023</v>
      </c>
      <c r="L45" s="757"/>
      <c r="M45" s="757"/>
      <c r="N45" s="757"/>
      <c r="O45" s="757"/>
      <c r="P45" s="757"/>
      <c r="Q45" s="757"/>
      <c r="R45" s="757"/>
      <c r="S45" s="757"/>
      <c r="T45" s="757"/>
      <c r="U45" s="757"/>
      <c r="V45" s="757"/>
      <c r="W45" s="757"/>
      <c r="X45" s="757"/>
      <c r="Y45" s="757"/>
      <c r="Z45" s="757"/>
      <c r="AA45" s="757"/>
      <c r="AB45" s="757"/>
      <c r="AC45" s="757"/>
      <c r="AD45" s="757"/>
      <c r="AE45" s="757"/>
      <c r="AF45" s="757"/>
      <c r="AG45" s="757"/>
      <c r="AH45" s="757"/>
      <c r="AI45" s="757"/>
      <c r="AJ45" s="757"/>
      <c r="AK45" s="757"/>
      <c r="AL45" s="757"/>
      <c r="AM45" s="757"/>
      <c r="AN45" s="757"/>
      <c r="AO45" s="757"/>
      <c r="AP45" s="757"/>
      <c r="AQ45" s="757"/>
      <c r="AR45" s="757"/>
      <c r="AS45" s="757"/>
      <c r="AT45" s="757"/>
      <c r="AU45" s="757"/>
      <c r="AV45" s="757"/>
      <c r="AW45" s="757"/>
      <c r="AX45" s="757"/>
      <c r="AY45" s="757"/>
      <c r="AZ45" s="75"/>
      <c r="BA45" s="2"/>
      <c r="BB45" s="2"/>
      <c r="BC45" s="2"/>
      <c r="BD45" s="2"/>
    </row>
    <row r="46" spans="1:56">
      <c r="A46" s="781">
        <v>2</v>
      </c>
      <c r="B46" s="782">
        <v>206</v>
      </c>
      <c r="C46" s="783">
        <v>45322</v>
      </c>
      <c r="D46" s="783" t="s">
        <v>178</v>
      </c>
      <c r="E46" s="805">
        <v>732</v>
      </c>
      <c r="F46" s="798"/>
      <c r="G46" s="799"/>
      <c r="H46" s="1592">
        <f t="shared" si="0"/>
        <v>0</v>
      </c>
      <c r="I46" s="754" t="str">
        <f>IFERROR(VLOOKUP(B46,Mychart!$A$125:$B$911,2,FALSE),"-")</f>
        <v>MOHAMED MATROSHI</v>
      </c>
      <c r="J46" s="753">
        <f t="shared" si="1"/>
        <v>1</v>
      </c>
      <c r="K46" s="1540">
        <f t="shared" si="2"/>
        <v>2024</v>
      </c>
      <c r="L46" s="757"/>
      <c r="M46" s="757"/>
      <c r="N46" s="757"/>
      <c r="O46" s="757"/>
      <c r="P46" s="757"/>
      <c r="Q46" s="757"/>
      <c r="R46" s="757"/>
      <c r="S46" s="757"/>
      <c r="T46" s="757"/>
      <c r="U46" s="757"/>
      <c r="V46" s="757"/>
      <c r="W46" s="757"/>
      <c r="X46" s="757"/>
      <c r="Y46" s="757"/>
      <c r="Z46" s="757"/>
      <c r="AA46" s="757"/>
      <c r="AB46" s="757"/>
      <c r="AC46" s="757"/>
      <c r="AD46" s="757"/>
      <c r="AE46" s="757"/>
      <c r="AF46" s="757"/>
      <c r="AG46" s="757"/>
      <c r="AH46" s="757"/>
      <c r="AI46" s="757"/>
      <c r="AJ46" s="757"/>
      <c r="AK46" s="757"/>
      <c r="AL46" s="757"/>
      <c r="AM46" s="757"/>
      <c r="AN46" s="757"/>
      <c r="AO46" s="757"/>
      <c r="AP46" s="757"/>
      <c r="AQ46" s="757"/>
      <c r="AR46" s="757"/>
      <c r="AS46" s="757"/>
      <c r="AT46" s="757"/>
      <c r="AU46" s="757"/>
      <c r="AV46" s="757"/>
      <c r="AW46" s="757"/>
      <c r="AX46" s="757"/>
      <c r="AY46" s="757"/>
      <c r="AZ46" s="75"/>
      <c r="BA46" s="2"/>
      <c r="BB46" s="2"/>
      <c r="BC46" s="2"/>
      <c r="BD46" s="2"/>
    </row>
    <row r="47" spans="1:56">
      <c r="A47" s="781">
        <v>2</v>
      </c>
      <c r="B47" s="782">
        <v>206</v>
      </c>
      <c r="C47" s="783">
        <v>45351</v>
      </c>
      <c r="D47" s="783" t="s">
        <v>262</v>
      </c>
      <c r="E47" s="805">
        <v>303</v>
      </c>
      <c r="F47" s="798"/>
      <c r="G47" s="799"/>
      <c r="H47" s="1592">
        <f t="shared" si="0"/>
        <v>0</v>
      </c>
      <c r="I47" s="754" t="str">
        <f>IFERROR(VLOOKUP(B47,Mychart!$A$125:$B$911,2,FALSE),"-")</f>
        <v>MOHAMED MATROSHI</v>
      </c>
      <c r="J47" s="753">
        <f t="shared" si="1"/>
        <v>2</v>
      </c>
      <c r="K47" s="1540">
        <f t="shared" si="2"/>
        <v>2024</v>
      </c>
      <c r="L47" s="757"/>
      <c r="M47" s="757"/>
      <c r="N47" s="757"/>
      <c r="O47" s="757"/>
      <c r="P47" s="757"/>
      <c r="Q47" s="757"/>
      <c r="R47" s="757"/>
      <c r="S47" s="757"/>
      <c r="T47" s="757"/>
      <c r="U47" s="757"/>
      <c r="V47" s="757"/>
      <c r="W47" s="757"/>
      <c r="X47" s="757"/>
      <c r="Y47" s="757"/>
      <c r="Z47" s="757"/>
      <c r="AA47" s="757"/>
      <c r="AB47" s="757"/>
      <c r="AC47" s="757"/>
      <c r="AD47" s="757"/>
      <c r="AE47" s="757"/>
      <c r="AF47" s="757"/>
      <c r="AG47" s="757"/>
      <c r="AH47" s="757"/>
      <c r="AI47" s="757"/>
      <c r="AJ47" s="757"/>
      <c r="AK47" s="757"/>
      <c r="AL47" s="757"/>
      <c r="AM47" s="757"/>
      <c r="AN47" s="757"/>
      <c r="AO47" s="757"/>
      <c r="AP47" s="757"/>
      <c r="AQ47" s="757"/>
      <c r="AR47" s="757"/>
      <c r="AS47" s="757"/>
      <c r="AT47" s="757"/>
      <c r="AU47" s="757"/>
      <c r="AV47" s="757"/>
      <c r="AW47" s="757"/>
      <c r="AX47" s="757"/>
      <c r="AY47" s="757"/>
      <c r="AZ47" s="75"/>
      <c r="BA47" s="2"/>
      <c r="BB47" s="2"/>
      <c r="BC47" s="2"/>
      <c r="BD47" s="2"/>
    </row>
    <row r="48" spans="1:56">
      <c r="A48" s="781">
        <v>2</v>
      </c>
      <c r="B48" s="782">
        <v>206</v>
      </c>
      <c r="C48" s="783">
        <v>45359</v>
      </c>
      <c r="D48" s="783" t="s">
        <v>257</v>
      </c>
      <c r="E48" s="805">
        <v>6615</v>
      </c>
      <c r="F48" s="798"/>
      <c r="G48" s="799"/>
      <c r="H48" s="1592">
        <f t="shared" si="0"/>
        <v>0</v>
      </c>
      <c r="I48" s="754" t="str">
        <f>IFERROR(VLOOKUP(B48,Mychart!$A$125:$B$911,2,FALSE),"-")</f>
        <v>MOHAMED MATROSHI</v>
      </c>
      <c r="J48" s="753">
        <f t="shared" si="1"/>
        <v>3</v>
      </c>
      <c r="K48" s="1540">
        <f t="shared" si="2"/>
        <v>2024</v>
      </c>
      <c r="L48" s="757"/>
      <c r="M48" s="757"/>
      <c r="N48" s="757"/>
      <c r="O48" s="757"/>
      <c r="P48" s="757"/>
      <c r="Q48" s="757"/>
      <c r="R48" s="757"/>
      <c r="S48" s="757"/>
      <c r="T48" s="757"/>
      <c r="U48" s="757"/>
      <c r="V48" s="757"/>
      <c r="W48" s="757"/>
      <c r="X48" s="757"/>
      <c r="Y48" s="757"/>
      <c r="Z48" s="757"/>
      <c r="AA48" s="757"/>
      <c r="AB48" s="757"/>
      <c r="AC48" s="757"/>
      <c r="AD48" s="757"/>
      <c r="AE48" s="757"/>
      <c r="AF48" s="757"/>
      <c r="AG48" s="757"/>
      <c r="AH48" s="757"/>
      <c r="AI48" s="757"/>
      <c r="AJ48" s="757"/>
      <c r="AK48" s="757"/>
      <c r="AL48" s="757"/>
      <c r="AM48" s="757"/>
      <c r="AN48" s="757"/>
      <c r="AO48" s="757"/>
      <c r="AP48" s="757"/>
      <c r="AQ48" s="757"/>
      <c r="AR48" s="757"/>
      <c r="AS48" s="757"/>
      <c r="AT48" s="757"/>
      <c r="AU48" s="757"/>
      <c r="AV48" s="757"/>
      <c r="AW48" s="757"/>
      <c r="AX48" s="757"/>
      <c r="AY48" s="757"/>
      <c r="AZ48" s="75"/>
      <c r="BA48" s="2"/>
      <c r="BB48" s="2"/>
      <c r="BC48" s="2"/>
      <c r="BD48" s="2"/>
    </row>
    <row r="49" spans="1:56">
      <c r="A49" s="781">
        <v>2</v>
      </c>
      <c r="B49" s="782">
        <v>206</v>
      </c>
      <c r="C49" s="783">
        <v>45337</v>
      </c>
      <c r="D49" s="783" t="s">
        <v>263</v>
      </c>
      <c r="E49" s="805">
        <v>9410</v>
      </c>
      <c r="F49" s="798"/>
      <c r="G49" s="799"/>
      <c r="H49" s="1592">
        <f t="shared" si="0"/>
        <v>0</v>
      </c>
      <c r="I49" s="754" t="str">
        <f>IFERROR(VLOOKUP(B49,Mychart!$A$125:$B$911,2,FALSE),"-")</f>
        <v>MOHAMED MATROSHI</v>
      </c>
      <c r="J49" s="753">
        <f t="shared" si="1"/>
        <v>2</v>
      </c>
      <c r="K49" s="1540">
        <f t="shared" si="2"/>
        <v>2024</v>
      </c>
      <c r="L49" s="757"/>
      <c r="M49" s="757"/>
      <c r="N49" s="757"/>
      <c r="O49" s="757"/>
      <c r="P49" s="757"/>
      <c r="Q49" s="757"/>
      <c r="R49" s="757"/>
      <c r="S49" s="757"/>
      <c r="T49" s="757"/>
      <c r="U49" s="757"/>
      <c r="V49" s="757"/>
      <c r="W49" s="757"/>
      <c r="X49" s="757"/>
      <c r="Y49" s="757"/>
      <c r="Z49" s="757"/>
      <c r="AA49" s="757"/>
      <c r="AB49" s="757"/>
      <c r="AC49" s="757"/>
      <c r="AD49" s="757"/>
      <c r="AE49" s="757"/>
      <c r="AF49" s="757"/>
      <c r="AG49" s="757"/>
      <c r="AH49" s="757"/>
      <c r="AI49" s="757"/>
      <c r="AJ49" s="757"/>
      <c r="AK49" s="757"/>
      <c r="AL49" s="757"/>
      <c r="AM49" s="757"/>
      <c r="AN49" s="757"/>
      <c r="AO49" s="757"/>
      <c r="AP49" s="757"/>
      <c r="AQ49" s="757"/>
      <c r="AR49" s="757"/>
      <c r="AS49" s="757"/>
      <c r="AT49" s="757"/>
      <c r="AU49" s="757"/>
      <c r="AV49" s="757"/>
      <c r="AW49" s="757"/>
      <c r="AX49" s="757"/>
      <c r="AY49" s="757"/>
      <c r="AZ49" s="75"/>
      <c r="BA49" s="2"/>
      <c r="BB49" s="2"/>
      <c r="BC49" s="2"/>
      <c r="BD49" s="2"/>
    </row>
    <row r="50" spans="1:56">
      <c r="A50" s="781">
        <v>1</v>
      </c>
      <c r="B50" s="782">
        <v>259</v>
      </c>
      <c r="C50" s="783">
        <v>45370</v>
      </c>
      <c r="D50" s="786" t="s">
        <v>366</v>
      </c>
      <c r="E50" s="807"/>
      <c r="F50" s="798">
        <v>29250</v>
      </c>
      <c r="G50" s="798">
        <v>1462.5</v>
      </c>
      <c r="H50" s="1592">
        <f t="shared" si="0"/>
        <v>30712.5</v>
      </c>
      <c r="I50" s="754" t="str">
        <f>IFERROR(VLOOKUP(B50,Mychart!$A$125:$B$911,2,FALSE),"-")</f>
        <v>ABDULLAH MIZAR</v>
      </c>
      <c r="J50" s="753">
        <f t="shared" si="1"/>
        <v>3</v>
      </c>
      <c r="K50" s="1540">
        <f t="shared" si="2"/>
        <v>2024</v>
      </c>
      <c r="L50" s="757"/>
      <c r="M50" s="757"/>
      <c r="N50" s="757"/>
      <c r="O50" s="757"/>
      <c r="P50" s="757"/>
      <c r="Q50" s="757"/>
      <c r="R50" s="757"/>
      <c r="S50" s="757"/>
      <c r="T50" s="757"/>
      <c r="U50" s="757"/>
      <c r="V50" s="757"/>
      <c r="W50" s="757"/>
      <c r="X50" s="757"/>
      <c r="Y50" s="757"/>
      <c r="Z50" s="757"/>
      <c r="AA50" s="757"/>
      <c r="AB50" s="757"/>
      <c r="AC50" s="757"/>
      <c r="AD50" s="757"/>
      <c r="AE50" s="757"/>
      <c r="AF50" s="757"/>
      <c r="AG50" s="757"/>
      <c r="AH50" s="757"/>
      <c r="AI50" s="757"/>
      <c r="AJ50" s="757"/>
      <c r="AK50" s="757"/>
      <c r="AL50" s="757"/>
      <c r="AM50" s="757"/>
      <c r="AN50" s="757"/>
      <c r="AO50" s="757"/>
      <c r="AP50" s="757"/>
      <c r="AQ50" s="757"/>
      <c r="AR50" s="757"/>
      <c r="AS50" s="757"/>
      <c r="AT50" s="757"/>
      <c r="AU50" s="757"/>
      <c r="AV50" s="757"/>
      <c r="AW50" s="757"/>
      <c r="AX50" s="757"/>
      <c r="AY50" s="757"/>
      <c r="AZ50" s="75"/>
      <c r="BA50" s="2"/>
      <c r="BB50" s="2"/>
      <c r="BC50" s="2"/>
      <c r="BD50" s="2"/>
    </row>
    <row r="51" spans="1:56">
      <c r="A51" s="781">
        <v>2</v>
      </c>
      <c r="B51" s="782">
        <v>259</v>
      </c>
      <c r="C51" s="783">
        <v>45368</v>
      </c>
      <c r="D51" s="783" t="s">
        <v>367</v>
      </c>
      <c r="E51" s="808">
        <v>10500</v>
      </c>
      <c r="F51" s="799"/>
      <c r="G51" s="799"/>
      <c r="H51" s="1592">
        <f t="shared" si="0"/>
        <v>0</v>
      </c>
      <c r="I51" s="754" t="str">
        <f>IFERROR(VLOOKUP(B51,Mychart!$A$125:$B$911,2,FALSE),"-")</f>
        <v>ABDULLAH MIZAR</v>
      </c>
      <c r="J51" s="753">
        <f t="shared" si="1"/>
        <v>3</v>
      </c>
      <c r="K51" s="1540">
        <f t="shared" si="2"/>
        <v>2024</v>
      </c>
      <c r="L51" s="757"/>
      <c r="M51" s="757"/>
      <c r="N51" s="757"/>
      <c r="O51" s="757"/>
      <c r="P51" s="757"/>
      <c r="Q51" s="757"/>
      <c r="R51" s="757"/>
      <c r="S51" s="757"/>
      <c r="T51" s="757"/>
      <c r="U51" s="757"/>
      <c r="V51" s="757"/>
      <c r="W51" s="757"/>
      <c r="X51" s="757"/>
      <c r="Y51" s="757"/>
      <c r="Z51" s="757"/>
      <c r="AA51" s="757"/>
      <c r="AB51" s="757"/>
      <c r="AC51" s="757"/>
      <c r="AD51" s="757"/>
      <c r="AE51" s="757"/>
      <c r="AF51" s="757"/>
      <c r="AG51" s="757"/>
      <c r="AH51" s="757"/>
      <c r="AI51" s="757"/>
      <c r="AJ51" s="757"/>
      <c r="AK51" s="757"/>
      <c r="AL51" s="757"/>
      <c r="AM51" s="757"/>
      <c r="AN51" s="757"/>
      <c r="AO51" s="757"/>
      <c r="AP51" s="757"/>
      <c r="AQ51" s="757"/>
      <c r="AR51" s="757"/>
      <c r="AS51" s="757"/>
      <c r="AT51" s="757"/>
      <c r="AU51" s="757"/>
      <c r="AV51" s="757"/>
      <c r="AW51" s="757"/>
      <c r="AX51" s="757"/>
      <c r="AY51" s="757"/>
      <c r="AZ51" s="75"/>
      <c r="BA51" s="2"/>
      <c r="BB51" s="2"/>
      <c r="BC51" s="2"/>
      <c r="BD51" s="2"/>
    </row>
    <row r="52" spans="1:56">
      <c r="A52" s="781">
        <v>2</v>
      </c>
      <c r="B52" s="782">
        <v>259</v>
      </c>
      <c r="C52" s="783">
        <v>45368</v>
      </c>
      <c r="D52" s="783" t="s">
        <v>368</v>
      </c>
      <c r="E52" s="808">
        <v>2000</v>
      </c>
      <c r="F52" s="799"/>
      <c r="G52" s="799"/>
      <c r="H52" s="1592">
        <f t="shared" si="0"/>
        <v>0</v>
      </c>
      <c r="I52" s="754" t="str">
        <f>IFERROR(VLOOKUP(B52,Mychart!$A$125:$B$911,2,FALSE),"-")</f>
        <v>ABDULLAH MIZAR</v>
      </c>
      <c r="J52" s="753">
        <f t="shared" si="1"/>
        <v>3</v>
      </c>
      <c r="K52" s="1540">
        <f t="shared" si="2"/>
        <v>2024</v>
      </c>
      <c r="L52" s="757"/>
      <c r="M52" s="757"/>
      <c r="N52" s="757"/>
      <c r="O52" s="757"/>
      <c r="P52" s="757"/>
      <c r="Q52" s="757"/>
      <c r="R52" s="757"/>
      <c r="S52" s="757"/>
      <c r="T52" s="757"/>
      <c r="U52" s="757"/>
      <c r="V52" s="757"/>
      <c r="W52" s="757"/>
      <c r="X52" s="757"/>
      <c r="Y52" s="757"/>
      <c r="Z52" s="757"/>
      <c r="AA52" s="757"/>
      <c r="AB52" s="757"/>
      <c r="AC52" s="757"/>
      <c r="AD52" s="757"/>
      <c r="AE52" s="757"/>
      <c r="AF52" s="757"/>
      <c r="AG52" s="757"/>
      <c r="AH52" s="757"/>
      <c r="AI52" s="757"/>
      <c r="AJ52" s="757"/>
      <c r="AK52" s="757"/>
      <c r="AL52" s="757"/>
      <c r="AM52" s="757"/>
      <c r="AN52" s="757"/>
      <c r="AO52" s="757"/>
      <c r="AP52" s="757"/>
      <c r="AQ52" s="757"/>
      <c r="AR52" s="757"/>
      <c r="AS52" s="757"/>
      <c r="AT52" s="757"/>
      <c r="AU52" s="757"/>
      <c r="AV52" s="757"/>
      <c r="AW52" s="757"/>
      <c r="AX52" s="757"/>
      <c r="AY52" s="757"/>
      <c r="AZ52" s="75"/>
      <c r="BA52" s="2"/>
      <c r="BB52" s="2"/>
      <c r="BC52" s="2"/>
      <c r="BD52" s="2"/>
    </row>
    <row r="53" spans="1:56">
      <c r="A53" s="781">
        <v>2</v>
      </c>
      <c r="B53" s="782">
        <v>259</v>
      </c>
      <c r="C53" s="783">
        <v>45401</v>
      </c>
      <c r="D53" s="783" t="s">
        <v>176</v>
      </c>
      <c r="E53" s="808">
        <v>500</v>
      </c>
      <c r="F53" s="799"/>
      <c r="G53" s="799"/>
      <c r="H53" s="1592">
        <f t="shared" si="0"/>
        <v>0</v>
      </c>
      <c r="I53" s="754" t="str">
        <f>IFERROR(VLOOKUP(B53,Mychart!$A$125:$B$911,2,FALSE),"-")</f>
        <v>ABDULLAH MIZAR</v>
      </c>
      <c r="J53" s="753">
        <f t="shared" si="1"/>
        <v>4</v>
      </c>
      <c r="K53" s="1540">
        <f t="shared" si="2"/>
        <v>2024</v>
      </c>
      <c r="L53" s="757"/>
      <c r="M53" s="757"/>
      <c r="N53" s="757"/>
      <c r="O53" s="757"/>
      <c r="P53" s="757"/>
      <c r="Q53" s="757"/>
      <c r="R53" s="757"/>
      <c r="S53" s="757"/>
      <c r="T53" s="757"/>
      <c r="U53" s="757"/>
      <c r="V53" s="757"/>
      <c r="W53" s="757"/>
      <c r="X53" s="757"/>
      <c r="Y53" s="757"/>
      <c r="Z53" s="757"/>
      <c r="AA53" s="757"/>
      <c r="AB53" s="757"/>
      <c r="AC53" s="757"/>
      <c r="AD53" s="757"/>
      <c r="AE53" s="757"/>
      <c r="AF53" s="757"/>
      <c r="AG53" s="757"/>
      <c r="AH53" s="757"/>
      <c r="AI53" s="757"/>
      <c r="AJ53" s="757"/>
      <c r="AK53" s="757"/>
      <c r="AL53" s="757"/>
      <c r="AM53" s="757"/>
      <c r="AN53" s="757"/>
      <c r="AO53" s="757"/>
      <c r="AP53" s="757"/>
      <c r="AQ53" s="757"/>
      <c r="AR53" s="757"/>
      <c r="AS53" s="757"/>
      <c r="AT53" s="757"/>
      <c r="AU53" s="757"/>
      <c r="AV53" s="757"/>
      <c r="AW53" s="757"/>
      <c r="AX53" s="757"/>
      <c r="AY53" s="757"/>
      <c r="AZ53" s="75"/>
      <c r="BA53" s="2"/>
      <c r="BB53" s="2"/>
      <c r="BC53" s="2"/>
      <c r="BD53" s="2"/>
    </row>
    <row r="54" spans="1:56">
      <c r="A54" s="781">
        <v>1</v>
      </c>
      <c r="B54" s="782">
        <v>219</v>
      </c>
      <c r="C54" s="783">
        <v>44920</v>
      </c>
      <c r="D54" s="787" t="s">
        <v>376</v>
      </c>
      <c r="E54" s="807"/>
      <c r="F54" s="799">
        <v>27000</v>
      </c>
      <c r="G54" s="799">
        <v>1350</v>
      </c>
      <c r="H54" s="1592">
        <f t="shared" si="0"/>
        <v>28350</v>
      </c>
      <c r="I54" s="754" t="str">
        <f>IFERROR(VLOOKUP(B54,Mychart!$A$125:$B$911,2,FALSE),"-")</f>
        <v>ABDULLAH GHULOOM - ERTIKAZ</v>
      </c>
      <c r="J54" s="753">
        <f t="shared" si="1"/>
        <v>12</v>
      </c>
      <c r="K54" s="1540">
        <f t="shared" si="2"/>
        <v>2022</v>
      </c>
      <c r="L54" s="757"/>
      <c r="M54" s="757"/>
      <c r="N54" s="757"/>
      <c r="O54" s="757"/>
      <c r="P54" s="757"/>
      <c r="Q54" s="757"/>
      <c r="R54" s="757"/>
      <c r="S54" s="757"/>
      <c r="T54" s="757"/>
      <c r="U54" s="757"/>
      <c r="V54" s="757"/>
      <c r="W54" s="757"/>
      <c r="X54" s="757"/>
      <c r="Y54" s="757"/>
      <c r="Z54" s="757"/>
      <c r="AA54" s="757"/>
      <c r="AB54" s="757"/>
      <c r="AC54" s="757"/>
      <c r="AD54" s="757"/>
      <c r="AE54" s="757"/>
      <c r="AF54" s="757"/>
      <c r="AG54" s="757"/>
      <c r="AH54" s="757"/>
      <c r="AI54" s="757"/>
      <c r="AJ54" s="757"/>
      <c r="AK54" s="757"/>
      <c r="AL54" s="757"/>
      <c r="AM54" s="757"/>
      <c r="AN54" s="757"/>
      <c r="AO54" s="757"/>
      <c r="AP54" s="757"/>
      <c r="AQ54" s="757"/>
      <c r="AR54" s="757"/>
      <c r="AS54" s="757"/>
      <c r="AT54" s="757"/>
      <c r="AU54" s="757"/>
      <c r="AV54" s="757"/>
      <c r="AW54" s="757"/>
      <c r="AX54" s="757"/>
      <c r="AY54" s="757"/>
      <c r="AZ54" s="75"/>
      <c r="BA54" s="2"/>
      <c r="BB54" s="2"/>
      <c r="BC54" s="2"/>
      <c r="BD54" s="2"/>
    </row>
    <row r="55" spans="1:56">
      <c r="A55" s="781">
        <v>1</v>
      </c>
      <c r="B55" s="782">
        <v>219</v>
      </c>
      <c r="C55" s="783">
        <v>45255</v>
      </c>
      <c r="D55" s="787" t="s">
        <v>377</v>
      </c>
      <c r="E55" s="807"/>
      <c r="F55" s="799">
        <v>50625</v>
      </c>
      <c r="G55" s="799">
        <v>2531</v>
      </c>
      <c r="H55" s="1592">
        <f t="shared" si="0"/>
        <v>53156</v>
      </c>
      <c r="I55" s="754" t="str">
        <f>IFERROR(VLOOKUP(B55,Mychart!$A$125:$B$911,2,FALSE),"-")</f>
        <v>ABDULLAH GHULOOM - ERTIKAZ</v>
      </c>
      <c r="J55" s="753">
        <f t="shared" si="1"/>
        <v>11</v>
      </c>
      <c r="K55" s="1540">
        <f t="shared" si="2"/>
        <v>2023</v>
      </c>
      <c r="L55" s="757"/>
      <c r="M55" s="757"/>
      <c r="N55" s="757"/>
      <c r="O55" s="757"/>
      <c r="P55" s="757"/>
      <c r="Q55" s="757"/>
      <c r="R55" s="757"/>
      <c r="S55" s="757"/>
      <c r="T55" s="757"/>
      <c r="U55" s="757"/>
      <c r="V55" s="757"/>
      <c r="W55" s="757"/>
      <c r="X55" s="757"/>
      <c r="Y55" s="757"/>
      <c r="Z55" s="757"/>
      <c r="AA55" s="757"/>
      <c r="AB55" s="757"/>
      <c r="AC55" s="757"/>
      <c r="AD55" s="757"/>
      <c r="AE55" s="757"/>
      <c r="AF55" s="757"/>
      <c r="AG55" s="757"/>
      <c r="AH55" s="757"/>
      <c r="AI55" s="757"/>
      <c r="AJ55" s="757"/>
      <c r="AK55" s="757"/>
      <c r="AL55" s="757"/>
      <c r="AM55" s="757"/>
      <c r="AN55" s="757"/>
      <c r="AO55" s="757"/>
      <c r="AP55" s="757"/>
      <c r="AQ55" s="757"/>
      <c r="AR55" s="757"/>
      <c r="AS55" s="757"/>
      <c r="AT55" s="757"/>
      <c r="AU55" s="757"/>
      <c r="AV55" s="757"/>
      <c r="AW55" s="757"/>
      <c r="AX55" s="757"/>
      <c r="AY55" s="757"/>
      <c r="AZ55" s="75"/>
      <c r="BA55" s="2"/>
      <c r="BB55" s="2"/>
      <c r="BC55" s="2"/>
      <c r="BD55" s="2"/>
    </row>
    <row r="56" spans="1:56">
      <c r="A56" s="781">
        <v>1</v>
      </c>
      <c r="B56" s="782">
        <v>219</v>
      </c>
      <c r="C56" s="783">
        <v>45264</v>
      </c>
      <c r="D56" s="787" t="s">
        <v>378</v>
      </c>
      <c r="E56" s="807"/>
      <c r="F56" s="799">
        <v>45625</v>
      </c>
      <c r="G56" s="799">
        <v>2281.25</v>
      </c>
      <c r="H56" s="1592">
        <f t="shared" si="0"/>
        <v>47906.25</v>
      </c>
      <c r="I56" s="754" t="str">
        <f>IFERROR(VLOOKUP(B56,Mychart!$A$125:$B$911,2,FALSE),"-")</f>
        <v>ABDULLAH GHULOOM - ERTIKAZ</v>
      </c>
      <c r="J56" s="753">
        <f t="shared" si="1"/>
        <v>12</v>
      </c>
      <c r="K56" s="1540">
        <f t="shared" si="2"/>
        <v>2023</v>
      </c>
      <c r="L56" s="757"/>
      <c r="M56" s="757"/>
      <c r="N56" s="757"/>
      <c r="O56" s="757"/>
      <c r="P56" s="757"/>
      <c r="Q56" s="757"/>
      <c r="R56" s="757"/>
      <c r="S56" s="757"/>
      <c r="T56" s="757"/>
      <c r="U56" s="757"/>
      <c r="V56" s="757"/>
      <c r="W56" s="757"/>
      <c r="X56" s="757"/>
      <c r="Y56" s="757"/>
      <c r="Z56" s="757"/>
      <c r="AA56" s="757"/>
      <c r="AB56" s="757"/>
      <c r="AC56" s="757"/>
      <c r="AD56" s="757"/>
      <c r="AE56" s="757"/>
      <c r="AF56" s="757"/>
      <c r="AG56" s="757"/>
      <c r="AH56" s="757"/>
      <c r="AI56" s="757"/>
      <c r="AJ56" s="757"/>
      <c r="AK56" s="757"/>
      <c r="AL56" s="757"/>
      <c r="AM56" s="757"/>
      <c r="AN56" s="757"/>
      <c r="AO56" s="757"/>
      <c r="AP56" s="757"/>
      <c r="AQ56" s="757"/>
      <c r="AR56" s="757"/>
      <c r="AS56" s="757"/>
      <c r="AT56" s="757"/>
      <c r="AU56" s="757"/>
      <c r="AV56" s="757"/>
      <c r="AW56" s="757"/>
      <c r="AX56" s="757"/>
      <c r="AY56" s="757"/>
      <c r="AZ56" s="75"/>
      <c r="BA56" s="2"/>
      <c r="BB56" s="2"/>
      <c r="BC56" s="2"/>
      <c r="BD56" s="2"/>
    </row>
    <row r="57" spans="1:56">
      <c r="A57" s="781">
        <v>2</v>
      </c>
      <c r="B57" s="782">
        <v>219</v>
      </c>
      <c r="C57" s="783"/>
      <c r="D57" s="783" t="s">
        <v>379</v>
      </c>
      <c r="E57" s="808"/>
      <c r="F57" s="799"/>
      <c r="G57" s="799"/>
      <c r="H57" s="1592">
        <f t="shared" si="0"/>
        <v>0</v>
      </c>
      <c r="I57" s="754" t="str">
        <f>IFERROR(VLOOKUP(B57,Mychart!$A$125:$B$911,2,FALSE),"-")</f>
        <v>ABDULLAH GHULOOM - ERTIKAZ</v>
      </c>
      <c r="J57" s="753" t="str">
        <f t="shared" si="1"/>
        <v>-</v>
      </c>
      <c r="K57" s="1540">
        <f t="shared" si="2"/>
        <v>1900</v>
      </c>
      <c r="L57" s="757"/>
      <c r="M57" s="757"/>
      <c r="N57" s="757"/>
      <c r="O57" s="757"/>
      <c r="P57" s="757"/>
      <c r="Q57" s="757"/>
      <c r="R57" s="757"/>
      <c r="S57" s="757"/>
      <c r="T57" s="757"/>
      <c r="U57" s="757"/>
      <c r="V57" s="757"/>
      <c r="W57" s="757"/>
      <c r="X57" s="757"/>
      <c r="Y57" s="757"/>
      <c r="Z57" s="757"/>
      <c r="AA57" s="757"/>
      <c r="AB57" s="757"/>
      <c r="AC57" s="757"/>
      <c r="AD57" s="757"/>
      <c r="AE57" s="757"/>
      <c r="AF57" s="757"/>
      <c r="AG57" s="757"/>
      <c r="AH57" s="757"/>
      <c r="AI57" s="757"/>
      <c r="AJ57" s="757"/>
      <c r="AK57" s="757"/>
      <c r="AL57" s="757"/>
      <c r="AM57" s="757"/>
      <c r="AN57" s="757"/>
      <c r="AO57" s="757"/>
      <c r="AP57" s="757"/>
      <c r="AQ57" s="757"/>
      <c r="AR57" s="757"/>
      <c r="AS57" s="757"/>
      <c r="AT57" s="757"/>
      <c r="AU57" s="757"/>
      <c r="AV57" s="757"/>
      <c r="AW57" s="757"/>
      <c r="AX57" s="757"/>
      <c r="AY57" s="757"/>
      <c r="AZ57" s="75"/>
      <c r="BA57" s="2"/>
      <c r="BB57" s="2"/>
      <c r="BC57" s="2"/>
      <c r="BD57" s="2"/>
    </row>
    <row r="58" spans="1:56">
      <c r="A58" s="781">
        <v>2</v>
      </c>
      <c r="B58" s="782">
        <v>219</v>
      </c>
      <c r="C58" s="783"/>
      <c r="D58" s="783" t="s">
        <v>177</v>
      </c>
      <c r="E58" s="808">
        <v>3876</v>
      </c>
      <c r="F58" s="799"/>
      <c r="G58" s="799"/>
      <c r="H58" s="1592">
        <f t="shared" si="0"/>
        <v>0</v>
      </c>
      <c r="I58" s="754" t="str">
        <f>IFERROR(VLOOKUP(B58,Mychart!$A$125:$B$911,2,FALSE),"-")</f>
        <v>ABDULLAH GHULOOM - ERTIKAZ</v>
      </c>
      <c r="J58" s="753" t="str">
        <f t="shared" si="1"/>
        <v>-</v>
      </c>
      <c r="K58" s="1540">
        <f t="shared" si="2"/>
        <v>1900</v>
      </c>
      <c r="L58" s="757"/>
      <c r="M58" s="757"/>
      <c r="N58" s="757"/>
      <c r="O58" s="757"/>
      <c r="P58" s="757"/>
      <c r="Q58" s="757"/>
      <c r="R58" s="757"/>
      <c r="S58" s="757"/>
      <c r="T58" s="757"/>
      <c r="U58" s="757"/>
      <c r="V58" s="757"/>
      <c r="W58" s="757"/>
      <c r="X58" s="757"/>
      <c r="Y58" s="757"/>
      <c r="Z58" s="757"/>
      <c r="AA58" s="757"/>
      <c r="AB58" s="757"/>
      <c r="AC58" s="757"/>
      <c r="AD58" s="757"/>
      <c r="AE58" s="757"/>
      <c r="AF58" s="757"/>
      <c r="AG58" s="757"/>
      <c r="AH58" s="757"/>
      <c r="AI58" s="757"/>
      <c r="AJ58" s="757"/>
      <c r="AK58" s="757"/>
      <c r="AL58" s="757"/>
      <c r="AM58" s="757"/>
      <c r="AN58" s="757"/>
      <c r="AO58" s="757"/>
      <c r="AP58" s="757"/>
      <c r="AQ58" s="757"/>
      <c r="AR58" s="757"/>
      <c r="AS58" s="757"/>
      <c r="AT58" s="757"/>
      <c r="AU58" s="757"/>
      <c r="AV58" s="757"/>
      <c r="AW58" s="757"/>
      <c r="AX58" s="757"/>
      <c r="AY58" s="757"/>
      <c r="AZ58" s="75"/>
      <c r="BA58" s="2"/>
      <c r="BB58" s="2"/>
      <c r="BC58" s="2"/>
      <c r="BD58" s="2"/>
    </row>
    <row r="59" spans="1:56">
      <c r="A59" s="781">
        <v>2</v>
      </c>
      <c r="B59" s="782">
        <v>219</v>
      </c>
      <c r="C59" s="783"/>
      <c r="D59" s="783" t="s">
        <v>258</v>
      </c>
      <c r="E59" s="808">
        <v>4300</v>
      </c>
      <c r="F59" s="799"/>
      <c r="G59" s="799"/>
      <c r="H59" s="1592">
        <f t="shared" si="0"/>
        <v>0</v>
      </c>
      <c r="I59" s="754" t="str">
        <f>IFERROR(VLOOKUP(B59,Mychart!$A$125:$B$911,2,FALSE),"-")</f>
        <v>ABDULLAH GHULOOM - ERTIKAZ</v>
      </c>
      <c r="J59" s="753" t="str">
        <f t="shared" si="1"/>
        <v>-</v>
      </c>
      <c r="K59" s="1540">
        <f t="shared" si="2"/>
        <v>1900</v>
      </c>
      <c r="L59" s="757"/>
      <c r="M59" s="757"/>
      <c r="N59" s="757"/>
      <c r="O59" s="757"/>
      <c r="P59" s="757"/>
      <c r="Q59" s="757"/>
      <c r="R59" s="757"/>
      <c r="S59" s="757"/>
      <c r="T59" s="757"/>
      <c r="U59" s="757"/>
      <c r="V59" s="757"/>
      <c r="W59" s="757"/>
      <c r="X59" s="757"/>
      <c r="Y59" s="757"/>
      <c r="Z59" s="757"/>
      <c r="AA59" s="757"/>
      <c r="AB59" s="757"/>
      <c r="AC59" s="757"/>
      <c r="AD59" s="757"/>
      <c r="AE59" s="757"/>
      <c r="AF59" s="757"/>
      <c r="AG59" s="757"/>
      <c r="AH59" s="757"/>
      <c r="AI59" s="757"/>
      <c r="AJ59" s="757"/>
      <c r="AK59" s="757"/>
      <c r="AL59" s="757"/>
      <c r="AM59" s="757"/>
      <c r="AN59" s="757"/>
      <c r="AO59" s="757"/>
      <c r="AP59" s="757"/>
      <c r="AQ59" s="757"/>
      <c r="AR59" s="757"/>
      <c r="AS59" s="757"/>
      <c r="AT59" s="757"/>
      <c r="AU59" s="757"/>
      <c r="AV59" s="757"/>
      <c r="AW59" s="757"/>
      <c r="AX59" s="757"/>
      <c r="AY59" s="757"/>
      <c r="AZ59" s="75"/>
      <c r="BA59" s="2"/>
      <c r="BB59" s="2"/>
      <c r="BC59" s="2"/>
      <c r="BD59" s="2"/>
    </row>
    <row r="60" spans="1:56">
      <c r="A60" s="781">
        <v>2</v>
      </c>
      <c r="B60" s="782">
        <v>219</v>
      </c>
      <c r="C60" s="783"/>
      <c r="D60" s="783" t="s">
        <v>380</v>
      </c>
      <c r="E60" s="808">
        <v>351</v>
      </c>
      <c r="F60" s="799"/>
      <c r="G60" s="799"/>
      <c r="H60" s="1592">
        <f t="shared" si="0"/>
        <v>0</v>
      </c>
      <c r="I60" s="754" t="str">
        <f>IFERROR(VLOOKUP(B60,Mychart!$A$125:$B$911,2,FALSE),"-")</f>
        <v>ABDULLAH GHULOOM - ERTIKAZ</v>
      </c>
      <c r="J60" s="753" t="str">
        <f t="shared" si="1"/>
        <v>-</v>
      </c>
      <c r="K60" s="1540">
        <f t="shared" si="2"/>
        <v>1900</v>
      </c>
      <c r="L60" s="757"/>
      <c r="M60" s="757"/>
      <c r="N60" s="757"/>
      <c r="O60" s="757"/>
      <c r="P60" s="757"/>
      <c r="Q60" s="757"/>
      <c r="R60" s="757"/>
      <c r="S60" s="757"/>
      <c r="T60" s="757"/>
      <c r="U60" s="757"/>
      <c r="V60" s="757"/>
      <c r="W60" s="757"/>
      <c r="X60" s="757"/>
      <c r="Y60" s="757"/>
      <c r="Z60" s="757"/>
      <c r="AA60" s="757"/>
      <c r="AB60" s="757"/>
      <c r="AC60" s="757"/>
      <c r="AD60" s="757"/>
      <c r="AE60" s="757"/>
      <c r="AF60" s="757"/>
      <c r="AG60" s="757"/>
      <c r="AH60" s="757"/>
      <c r="AI60" s="757"/>
      <c r="AJ60" s="757"/>
      <c r="AK60" s="757"/>
      <c r="AL60" s="757"/>
      <c r="AM60" s="757"/>
      <c r="AN60" s="757"/>
      <c r="AO60" s="757"/>
      <c r="AP60" s="757"/>
      <c r="AQ60" s="757"/>
      <c r="AR60" s="757"/>
      <c r="AS60" s="757"/>
      <c r="AT60" s="757"/>
      <c r="AU60" s="757"/>
      <c r="AV60" s="757"/>
      <c r="AW60" s="757"/>
      <c r="AX60" s="757"/>
      <c r="AY60" s="757"/>
      <c r="AZ60" s="75"/>
      <c r="BA60" s="2"/>
      <c r="BB60" s="2"/>
      <c r="BC60" s="2"/>
      <c r="BD60" s="2"/>
    </row>
    <row r="61" spans="1:56">
      <c r="A61" s="781">
        <v>2</v>
      </c>
      <c r="B61" s="782">
        <v>219</v>
      </c>
      <c r="C61" s="783"/>
      <c r="D61" s="783" t="s">
        <v>177</v>
      </c>
      <c r="E61" s="808">
        <v>804</v>
      </c>
      <c r="F61" s="799"/>
      <c r="G61" s="799"/>
      <c r="H61" s="1592">
        <f t="shared" si="0"/>
        <v>0</v>
      </c>
      <c r="I61" s="754" t="str">
        <f>IFERROR(VLOOKUP(B61,Mychart!$A$125:$B$911,2,FALSE),"-")</f>
        <v>ABDULLAH GHULOOM - ERTIKAZ</v>
      </c>
      <c r="J61" s="753" t="str">
        <f t="shared" si="1"/>
        <v>-</v>
      </c>
      <c r="K61" s="1540">
        <f t="shared" si="2"/>
        <v>1900</v>
      </c>
      <c r="L61" s="757"/>
      <c r="M61" s="757"/>
      <c r="N61" s="757"/>
      <c r="O61" s="757"/>
      <c r="P61" s="757"/>
      <c r="Q61" s="757"/>
      <c r="R61" s="757"/>
      <c r="S61" s="757"/>
      <c r="T61" s="757"/>
      <c r="U61" s="757"/>
      <c r="V61" s="757"/>
      <c r="W61" s="757"/>
      <c r="X61" s="757"/>
      <c r="Y61" s="757"/>
      <c r="Z61" s="757"/>
      <c r="AA61" s="757"/>
      <c r="AB61" s="757"/>
      <c r="AC61" s="757"/>
      <c r="AD61" s="757"/>
      <c r="AE61" s="757"/>
      <c r="AF61" s="757"/>
      <c r="AG61" s="757"/>
      <c r="AH61" s="757"/>
      <c r="AI61" s="757"/>
      <c r="AJ61" s="757"/>
      <c r="AK61" s="757"/>
      <c r="AL61" s="757"/>
      <c r="AM61" s="757"/>
      <c r="AN61" s="757"/>
      <c r="AO61" s="757"/>
      <c r="AP61" s="757"/>
      <c r="AQ61" s="757"/>
      <c r="AR61" s="757"/>
      <c r="AS61" s="757"/>
      <c r="AT61" s="757"/>
      <c r="AU61" s="757"/>
      <c r="AV61" s="757"/>
      <c r="AW61" s="757"/>
      <c r="AX61" s="757"/>
      <c r="AY61" s="757"/>
      <c r="AZ61" s="75"/>
      <c r="BA61" s="2"/>
      <c r="BB61" s="2"/>
      <c r="BC61" s="2"/>
      <c r="BD61" s="2"/>
    </row>
    <row r="62" spans="1:56">
      <c r="A62" s="781">
        <v>2</v>
      </c>
      <c r="B62" s="782">
        <v>219</v>
      </c>
      <c r="C62" s="783"/>
      <c r="D62" s="783" t="s">
        <v>381</v>
      </c>
      <c r="E62" s="808">
        <v>25389</v>
      </c>
      <c r="F62" s="799"/>
      <c r="G62" s="799"/>
      <c r="H62" s="1592">
        <f t="shared" si="0"/>
        <v>0</v>
      </c>
      <c r="I62" s="754" t="str">
        <f>IFERROR(VLOOKUP(B62,Mychart!$A$125:$B$911,2,FALSE),"-")</f>
        <v>ABDULLAH GHULOOM - ERTIKAZ</v>
      </c>
      <c r="J62" s="753" t="str">
        <f t="shared" si="1"/>
        <v>-</v>
      </c>
      <c r="K62" s="1540">
        <f t="shared" si="2"/>
        <v>1900</v>
      </c>
      <c r="L62" s="757"/>
      <c r="M62" s="757"/>
      <c r="N62" s="757"/>
      <c r="O62" s="757"/>
      <c r="P62" s="757"/>
      <c r="Q62" s="757"/>
      <c r="R62" s="757"/>
      <c r="S62" s="757"/>
      <c r="T62" s="757"/>
      <c r="U62" s="757"/>
      <c r="V62" s="757"/>
      <c r="W62" s="757"/>
      <c r="X62" s="757"/>
      <c r="Y62" s="757"/>
      <c r="Z62" s="757"/>
      <c r="AA62" s="757"/>
      <c r="AB62" s="757"/>
      <c r="AC62" s="757"/>
      <c r="AD62" s="757"/>
      <c r="AE62" s="757"/>
      <c r="AF62" s="757"/>
      <c r="AG62" s="757"/>
      <c r="AH62" s="757"/>
      <c r="AI62" s="757"/>
      <c r="AJ62" s="757"/>
      <c r="AK62" s="757"/>
      <c r="AL62" s="757"/>
      <c r="AM62" s="757"/>
      <c r="AN62" s="757"/>
      <c r="AO62" s="757"/>
      <c r="AP62" s="757"/>
      <c r="AQ62" s="757"/>
      <c r="AR62" s="757"/>
      <c r="AS62" s="757"/>
      <c r="AT62" s="757"/>
      <c r="AU62" s="757"/>
      <c r="AV62" s="757"/>
      <c r="AW62" s="757"/>
      <c r="AX62" s="757"/>
      <c r="AY62" s="757"/>
      <c r="AZ62" s="75"/>
      <c r="BA62" s="2"/>
      <c r="BB62" s="2"/>
      <c r="BC62" s="2"/>
      <c r="BD62" s="2"/>
    </row>
    <row r="63" spans="1:56">
      <c r="A63" s="781">
        <v>2</v>
      </c>
      <c r="B63" s="782">
        <v>219</v>
      </c>
      <c r="C63" s="783"/>
      <c r="D63" s="783" t="s">
        <v>180</v>
      </c>
      <c r="E63" s="808">
        <v>500</v>
      </c>
      <c r="F63" s="799"/>
      <c r="G63" s="799"/>
      <c r="H63" s="1592">
        <f t="shared" si="0"/>
        <v>0</v>
      </c>
      <c r="I63" s="754" t="str">
        <f>IFERROR(VLOOKUP(B63,Mychart!$A$125:$B$911,2,FALSE),"-")</f>
        <v>ABDULLAH GHULOOM - ERTIKAZ</v>
      </c>
      <c r="J63" s="753" t="str">
        <f t="shared" si="1"/>
        <v>-</v>
      </c>
      <c r="K63" s="1540">
        <f t="shared" si="2"/>
        <v>1900</v>
      </c>
      <c r="L63" s="757"/>
      <c r="M63" s="757"/>
      <c r="N63" s="757"/>
      <c r="O63" s="757"/>
      <c r="P63" s="757"/>
      <c r="Q63" s="757"/>
      <c r="R63" s="757"/>
      <c r="S63" s="757"/>
      <c r="T63" s="757"/>
      <c r="U63" s="757"/>
      <c r="V63" s="757"/>
      <c r="W63" s="757"/>
      <c r="X63" s="757"/>
      <c r="Y63" s="757"/>
      <c r="Z63" s="757"/>
      <c r="AA63" s="757"/>
      <c r="AB63" s="757"/>
      <c r="AC63" s="757"/>
      <c r="AD63" s="757"/>
      <c r="AE63" s="757"/>
      <c r="AF63" s="757"/>
      <c r="AG63" s="757"/>
      <c r="AH63" s="757"/>
      <c r="AI63" s="757"/>
      <c r="AJ63" s="757"/>
      <c r="AK63" s="757"/>
      <c r="AL63" s="757"/>
      <c r="AM63" s="757"/>
      <c r="AN63" s="757"/>
      <c r="AO63" s="757"/>
      <c r="AP63" s="757"/>
      <c r="AQ63" s="757"/>
      <c r="AR63" s="757"/>
      <c r="AS63" s="757"/>
      <c r="AT63" s="757"/>
      <c r="AU63" s="757"/>
      <c r="AV63" s="757"/>
      <c r="AW63" s="757"/>
      <c r="AX63" s="757"/>
      <c r="AY63" s="757"/>
      <c r="AZ63" s="75"/>
      <c r="BA63" s="2"/>
      <c r="BB63" s="2"/>
      <c r="BC63" s="2"/>
      <c r="BD63" s="2"/>
    </row>
    <row r="64" spans="1:56">
      <c r="A64" s="781">
        <v>2</v>
      </c>
      <c r="B64" s="782">
        <v>219</v>
      </c>
      <c r="C64" s="783"/>
      <c r="D64" s="783" t="s">
        <v>380</v>
      </c>
      <c r="E64" s="808">
        <v>131</v>
      </c>
      <c r="F64" s="799"/>
      <c r="G64" s="799"/>
      <c r="H64" s="1592">
        <f t="shared" si="0"/>
        <v>0</v>
      </c>
      <c r="I64" s="754" t="str">
        <f>IFERROR(VLOOKUP(B64,Mychart!$A$125:$B$911,2,FALSE),"-")</f>
        <v>ABDULLAH GHULOOM - ERTIKAZ</v>
      </c>
      <c r="J64" s="753" t="str">
        <f t="shared" si="1"/>
        <v>-</v>
      </c>
      <c r="K64" s="1540">
        <f t="shared" si="2"/>
        <v>1900</v>
      </c>
      <c r="L64" s="757"/>
      <c r="M64" s="757"/>
      <c r="N64" s="757"/>
      <c r="O64" s="757"/>
      <c r="P64" s="757"/>
      <c r="Q64" s="757"/>
      <c r="R64" s="757"/>
      <c r="S64" s="757"/>
      <c r="T64" s="757"/>
      <c r="U64" s="757"/>
      <c r="V64" s="757"/>
      <c r="W64" s="757"/>
      <c r="X64" s="757"/>
      <c r="Y64" s="757"/>
      <c r="Z64" s="757"/>
      <c r="AA64" s="757"/>
      <c r="AB64" s="757"/>
      <c r="AC64" s="757"/>
      <c r="AD64" s="757"/>
      <c r="AE64" s="757"/>
      <c r="AF64" s="757"/>
      <c r="AG64" s="757"/>
      <c r="AH64" s="757"/>
      <c r="AI64" s="757"/>
      <c r="AJ64" s="757"/>
      <c r="AK64" s="757"/>
      <c r="AL64" s="757"/>
      <c r="AM64" s="757"/>
      <c r="AN64" s="757"/>
      <c r="AO64" s="757"/>
      <c r="AP64" s="757"/>
      <c r="AQ64" s="757"/>
      <c r="AR64" s="757"/>
      <c r="AS64" s="757"/>
      <c r="AT64" s="757"/>
      <c r="AU64" s="757"/>
      <c r="AV64" s="757"/>
      <c r="AW64" s="757"/>
      <c r="AX64" s="757"/>
      <c r="AY64" s="757"/>
      <c r="AZ64" s="75"/>
      <c r="BA64" s="2"/>
      <c r="BB64" s="2"/>
      <c r="BC64" s="2"/>
      <c r="BD64" s="2"/>
    </row>
    <row r="65" spans="1:56">
      <c r="A65" s="781">
        <v>2</v>
      </c>
      <c r="B65" s="782">
        <v>219</v>
      </c>
      <c r="C65" s="783"/>
      <c r="D65" s="783" t="s">
        <v>177</v>
      </c>
      <c r="E65" s="808">
        <v>7646</v>
      </c>
      <c r="F65" s="799"/>
      <c r="G65" s="799"/>
      <c r="H65" s="1592">
        <f t="shared" si="0"/>
        <v>0</v>
      </c>
      <c r="I65" s="754" t="str">
        <f>IFERROR(VLOOKUP(B65,Mychart!$A$125:$B$911,2,FALSE),"-")</f>
        <v>ABDULLAH GHULOOM - ERTIKAZ</v>
      </c>
      <c r="J65" s="753" t="str">
        <f t="shared" si="1"/>
        <v>-</v>
      </c>
      <c r="K65" s="1540">
        <f t="shared" si="2"/>
        <v>1900</v>
      </c>
      <c r="L65" s="757"/>
      <c r="M65" s="757"/>
      <c r="N65" s="757"/>
      <c r="O65" s="757"/>
      <c r="P65" s="757"/>
      <c r="Q65" s="757"/>
      <c r="R65" s="757"/>
      <c r="S65" s="757"/>
      <c r="T65" s="757"/>
      <c r="U65" s="757"/>
      <c r="V65" s="757"/>
      <c r="W65" s="757"/>
      <c r="X65" s="757"/>
      <c r="Y65" s="757"/>
      <c r="Z65" s="757"/>
      <c r="AA65" s="757"/>
      <c r="AB65" s="757"/>
      <c r="AC65" s="757"/>
      <c r="AD65" s="757"/>
      <c r="AE65" s="757"/>
      <c r="AF65" s="757"/>
      <c r="AG65" s="757"/>
      <c r="AH65" s="757"/>
      <c r="AI65" s="757"/>
      <c r="AJ65" s="757"/>
      <c r="AK65" s="757"/>
      <c r="AL65" s="757"/>
      <c r="AM65" s="757"/>
      <c r="AN65" s="757"/>
      <c r="AO65" s="757"/>
      <c r="AP65" s="757"/>
      <c r="AQ65" s="757"/>
      <c r="AR65" s="757"/>
      <c r="AS65" s="757"/>
      <c r="AT65" s="757"/>
      <c r="AU65" s="757"/>
      <c r="AV65" s="757"/>
      <c r="AW65" s="757"/>
      <c r="AX65" s="757"/>
      <c r="AY65" s="757"/>
      <c r="AZ65" s="75"/>
      <c r="BA65" s="2"/>
      <c r="BB65" s="2"/>
      <c r="BC65" s="2"/>
      <c r="BD65" s="2"/>
    </row>
    <row r="66" spans="1:56">
      <c r="A66" s="781">
        <v>2</v>
      </c>
      <c r="B66" s="782">
        <v>219</v>
      </c>
      <c r="C66" s="783"/>
      <c r="D66" s="783" t="s">
        <v>382</v>
      </c>
      <c r="E66" s="808">
        <v>46005.75</v>
      </c>
      <c r="F66" s="799"/>
      <c r="G66" s="799"/>
      <c r="H66" s="1592">
        <f t="shared" si="0"/>
        <v>0</v>
      </c>
      <c r="I66" s="754" t="str">
        <f>IFERROR(VLOOKUP(B66,Mychart!$A$125:$B$911,2,FALSE),"-")</f>
        <v>ABDULLAH GHULOOM - ERTIKAZ</v>
      </c>
      <c r="J66" s="753" t="str">
        <f t="shared" si="1"/>
        <v>-</v>
      </c>
      <c r="K66" s="1540">
        <f t="shared" si="2"/>
        <v>1900</v>
      </c>
      <c r="L66" s="757"/>
      <c r="M66" s="757"/>
      <c r="N66" s="757"/>
      <c r="O66" s="757"/>
      <c r="P66" s="757"/>
      <c r="Q66" s="757"/>
      <c r="R66" s="757"/>
      <c r="S66" s="757"/>
      <c r="T66" s="757"/>
      <c r="U66" s="757"/>
      <c r="V66" s="757"/>
      <c r="W66" s="757"/>
      <c r="X66" s="757"/>
      <c r="Y66" s="757"/>
      <c r="Z66" s="757"/>
      <c r="AA66" s="757"/>
      <c r="AB66" s="757"/>
      <c r="AC66" s="757"/>
      <c r="AD66" s="757"/>
      <c r="AE66" s="757"/>
      <c r="AF66" s="757"/>
      <c r="AG66" s="757"/>
      <c r="AH66" s="757"/>
      <c r="AI66" s="757"/>
      <c r="AJ66" s="757"/>
      <c r="AK66" s="757"/>
      <c r="AL66" s="757"/>
      <c r="AM66" s="757"/>
      <c r="AN66" s="757"/>
      <c r="AO66" s="757"/>
      <c r="AP66" s="757"/>
      <c r="AQ66" s="757"/>
      <c r="AR66" s="757"/>
      <c r="AS66" s="757"/>
      <c r="AT66" s="757"/>
      <c r="AU66" s="757"/>
      <c r="AV66" s="757"/>
      <c r="AW66" s="757"/>
      <c r="AX66" s="757"/>
      <c r="AY66" s="757"/>
      <c r="AZ66" s="75"/>
      <c r="BA66" s="2"/>
      <c r="BB66" s="2"/>
      <c r="BC66" s="2"/>
      <c r="BD66" s="2"/>
    </row>
    <row r="67" spans="1:56">
      <c r="A67" s="781">
        <v>2</v>
      </c>
      <c r="B67" s="782">
        <v>219</v>
      </c>
      <c r="C67" s="783"/>
      <c r="D67" s="783" t="s">
        <v>259</v>
      </c>
      <c r="E67" s="808">
        <v>2400</v>
      </c>
      <c r="F67" s="799"/>
      <c r="G67" s="799"/>
      <c r="H67" s="1592">
        <f t="shared" si="0"/>
        <v>0</v>
      </c>
      <c r="I67" s="754" t="str">
        <f>IFERROR(VLOOKUP(B67,Mychart!$A$125:$B$911,2,FALSE),"-")</f>
        <v>ABDULLAH GHULOOM - ERTIKAZ</v>
      </c>
      <c r="J67" s="753" t="str">
        <f t="shared" si="1"/>
        <v>-</v>
      </c>
      <c r="K67" s="1540">
        <f t="shared" si="2"/>
        <v>1900</v>
      </c>
      <c r="L67" s="757"/>
      <c r="M67" s="757"/>
      <c r="N67" s="757"/>
      <c r="O67" s="757"/>
      <c r="P67" s="757"/>
      <c r="Q67" s="757"/>
      <c r="R67" s="757"/>
      <c r="S67" s="757"/>
      <c r="T67" s="757"/>
      <c r="U67" s="757"/>
      <c r="V67" s="757"/>
      <c r="W67" s="757"/>
      <c r="X67" s="757"/>
      <c r="Y67" s="757"/>
      <c r="Z67" s="757"/>
      <c r="AA67" s="757"/>
      <c r="AB67" s="757"/>
      <c r="AC67" s="757"/>
      <c r="AD67" s="757"/>
      <c r="AE67" s="757"/>
      <c r="AF67" s="757"/>
      <c r="AG67" s="757"/>
      <c r="AH67" s="757"/>
      <c r="AI67" s="757"/>
      <c r="AJ67" s="757"/>
      <c r="AK67" s="757"/>
      <c r="AL67" s="757"/>
      <c r="AM67" s="757"/>
      <c r="AN67" s="757"/>
      <c r="AO67" s="757"/>
      <c r="AP67" s="757"/>
      <c r="AQ67" s="757"/>
      <c r="AR67" s="757"/>
      <c r="AS67" s="757"/>
      <c r="AT67" s="757"/>
      <c r="AU67" s="757"/>
      <c r="AV67" s="757"/>
      <c r="AW67" s="757"/>
      <c r="AX67" s="757"/>
      <c r="AY67" s="757"/>
      <c r="AZ67" s="75"/>
      <c r="BA67" s="2"/>
      <c r="BB67" s="2"/>
      <c r="BC67" s="2"/>
      <c r="BD67" s="2"/>
    </row>
    <row r="68" spans="1:56">
      <c r="A68" s="781">
        <v>2</v>
      </c>
      <c r="B68" s="782">
        <v>219</v>
      </c>
      <c r="C68" s="783"/>
      <c r="D68" s="783" t="s">
        <v>380</v>
      </c>
      <c r="E68" s="808">
        <v>410</v>
      </c>
      <c r="F68" s="799"/>
      <c r="G68" s="799"/>
      <c r="H68" s="1592">
        <f t="shared" si="0"/>
        <v>0</v>
      </c>
      <c r="I68" s="754" t="str">
        <f>IFERROR(VLOOKUP(B68,Mychart!$A$125:$B$911,2,FALSE),"-")</f>
        <v>ABDULLAH GHULOOM - ERTIKAZ</v>
      </c>
      <c r="J68" s="753" t="str">
        <f t="shared" si="1"/>
        <v>-</v>
      </c>
      <c r="K68" s="1540">
        <f t="shared" si="2"/>
        <v>1900</v>
      </c>
      <c r="L68" s="757"/>
      <c r="M68" s="757"/>
      <c r="N68" s="757"/>
      <c r="O68" s="757"/>
      <c r="P68" s="757"/>
      <c r="Q68" s="757"/>
      <c r="R68" s="757"/>
      <c r="S68" s="757"/>
      <c r="T68" s="757"/>
      <c r="U68" s="757"/>
      <c r="V68" s="757"/>
      <c r="W68" s="757"/>
      <c r="X68" s="757"/>
      <c r="Y68" s="757"/>
      <c r="Z68" s="757"/>
      <c r="AA68" s="757"/>
      <c r="AB68" s="757"/>
      <c r="AC68" s="757"/>
      <c r="AD68" s="757"/>
      <c r="AE68" s="757"/>
      <c r="AF68" s="757"/>
      <c r="AG68" s="757"/>
      <c r="AH68" s="757"/>
      <c r="AI68" s="757"/>
      <c r="AJ68" s="757"/>
      <c r="AK68" s="757"/>
      <c r="AL68" s="757"/>
      <c r="AM68" s="757"/>
      <c r="AN68" s="757"/>
      <c r="AO68" s="757"/>
      <c r="AP68" s="757"/>
      <c r="AQ68" s="757"/>
      <c r="AR68" s="757"/>
      <c r="AS68" s="757"/>
      <c r="AT68" s="757"/>
      <c r="AU68" s="757"/>
      <c r="AV68" s="757"/>
      <c r="AW68" s="757"/>
      <c r="AX68" s="757"/>
      <c r="AY68" s="757"/>
      <c r="AZ68" s="75"/>
      <c r="BA68" s="2"/>
      <c r="BB68" s="2"/>
      <c r="BC68" s="2"/>
      <c r="BD68" s="2"/>
    </row>
    <row r="69" spans="1:56">
      <c r="A69" s="781">
        <v>2</v>
      </c>
      <c r="B69" s="782">
        <v>219</v>
      </c>
      <c r="C69" s="783">
        <v>45260</v>
      </c>
      <c r="D69" s="783" t="s">
        <v>177</v>
      </c>
      <c r="E69" s="808">
        <v>635</v>
      </c>
      <c r="F69" s="799"/>
      <c r="G69" s="799"/>
      <c r="H69" s="1592">
        <f t="shared" si="0"/>
        <v>0</v>
      </c>
      <c r="I69" s="754" t="str">
        <f>IFERROR(VLOOKUP(B69,Mychart!$A$125:$B$911,2,FALSE),"-")</f>
        <v>ABDULLAH GHULOOM - ERTIKAZ</v>
      </c>
      <c r="J69" s="753">
        <f t="shared" si="1"/>
        <v>11</v>
      </c>
      <c r="K69" s="1540">
        <f t="shared" si="2"/>
        <v>2023</v>
      </c>
      <c r="L69" s="757"/>
      <c r="M69" s="757"/>
      <c r="N69" s="757"/>
      <c r="O69" s="757"/>
      <c r="P69" s="757"/>
      <c r="Q69" s="757"/>
      <c r="R69" s="757"/>
      <c r="S69" s="757"/>
      <c r="T69" s="757"/>
      <c r="U69" s="757"/>
      <c r="V69" s="757"/>
      <c r="W69" s="757"/>
      <c r="X69" s="757"/>
      <c r="Y69" s="757"/>
      <c r="Z69" s="757"/>
      <c r="AA69" s="757"/>
      <c r="AB69" s="757"/>
      <c r="AC69" s="757"/>
      <c r="AD69" s="757"/>
      <c r="AE69" s="757"/>
      <c r="AF69" s="757"/>
      <c r="AG69" s="757"/>
      <c r="AH69" s="757"/>
      <c r="AI69" s="757"/>
      <c r="AJ69" s="757"/>
      <c r="AK69" s="757"/>
      <c r="AL69" s="757"/>
      <c r="AM69" s="757"/>
      <c r="AN69" s="757"/>
      <c r="AO69" s="757"/>
      <c r="AP69" s="757"/>
      <c r="AQ69" s="757"/>
      <c r="AR69" s="757"/>
      <c r="AS69" s="757"/>
      <c r="AT69" s="757"/>
      <c r="AU69" s="757"/>
      <c r="AV69" s="757"/>
      <c r="AW69" s="757"/>
      <c r="AX69" s="757"/>
      <c r="AY69" s="757"/>
      <c r="AZ69" s="75"/>
      <c r="BA69" s="2"/>
      <c r="BB69" s="2"/>
      <c r="BC69" s="2"/>
      <c r="BD69" s="2"/>
    </row>
    <row r="70" spans="1:56">
      <c r="A70" s="781">
        <v>2</v>
      </c>
      <c r="B70" s="782">
        <v>219</v>
      </c>
      <c r="C70" s="783">
        <v>45273</v>
      </c>
      <c r="D70" s="783" t="s">
        <v>383</v>
      </c>
      <c r="E70" s="808">
        <v>3822</v>
      </c>
      <c r="F70" s="799"/>
      <c r="G70" s="799"/>
      <c r="H70" s="1592">
        <f t="shared" si="0"/>
        <v>0</v>
      </c>
      <c r="I70" s="754" t="str">
        <f>IFERROR(VLOOKUP(B70,Mychart!$A$125:$B$911,2,FALSE),"-")</f>
        <v>ABDULLAH GHULOOM - ERTIKAZ</v>
      </c>
      <c r="J70" s="753">
        <f t="shared" si="1"/>
        <v>12</v>
      </c>
      <c r="K70" s="1540">
        <f t="shared" si="2"/>
        <v>2023</v>
      </c>
      <c r="L70" s="757"/>
      <c r="M70" s="757"/>
      <c r="N70" s="757"/>
      <c r="O70" s="757"/>
      <c r="P70" s="757"/>
      <c r="Q70" s="757"/>
      <c r="R70" s="757"/>
      <c r="S70" s="757"/>
      <c r="T70" s="757"/>
      <c r="U70" s="757"/>
      <c r="V70" s="757"/>
      <c r="W70" s="757"/>
      <c r="X70" s="757"/>
      <c r="Y70" s="757"/>
      <c r="Z70" s="757"/>
      <c r="AA70" s="757"/>
      <c r="AB70" s="757"/>
      <c r="AC70" s="757"/>
      <c r="AD70" s="757"/>
      <c r="AE70" s="757"/>
      <c r="AF70" s="757"/>
      <c r="AG70" s="757"/>
      <c r="AH70" s="757"/>
      <c r="AI70" s="757"/>
      <c r="AJ70" s="757"/>
      <c r="AK70" s="757"/>
      <c r="AL70" s="757"/>
      <c r="AM70" s="757"/>
      <c r="AN70" s="757"/>
      <c r="AO70" s="757"/>
      <c r="AP70" s="757"/>
      <c r="AQ70" s="757"/>
      <c r="AR70" s="757"/>
      <c r="AS70" s="757"/>
      <c r="AT70" s="757"/>
      <c r="AU70" s="757"/>
      <c r="AV70" s="757"/>
      <c r="AW70" s="757"/>
      <c r="AX70" s="757"/>
      <c r="AY70" s="757"/>
      <c r="AZ70" s="75"/>
      <c r="BA70" s="2"/>
      <c r="BB70" s="2"/>
      <c r="BC70" s="2"/>
      <c r="BD70" s="2"/>
    </row>
    <row r="71" spans="1:56">
      <c r="A71" s="781">
        <v>2</v>
      </c>
      <c r="B71" s="782">
        <v>219</v>
      </c>
      <c r="C71" s="783">
        <v>45322</v>
      </c>
      <c r="D71" s="783" t="s">
        <v>177</v>
      </c>
      <c r="E71" s="808">
        <v>201</v>
      </c>
      <c r="F71" s="799"/>
      <c r="G71" s="799"/>
      <c r="H71" s="1592">
        <f t="shared" si="0"/>
        <v>0</v>
      </c>
      <c r="I71" s="754" t="str">
        <f>IFERROR(VLOOKUP(B71,Mychart!$A$125:$B$911,2,FALSE),"-")</f>
        <v>ABDULLAH GHULOOM - ERTIKAZ</v>
      </c>
      <c r="J71" s="753">
        <f t="shared" si="1"/>
        <v>1</v>
      </c>
      <c r="K71" s="1540">
        <f t="shared" si="2"/>
        <v>2024</v>
      </c>
      <c r="L71" s="757"/>
      <c r="M71" s="757"/>
      <c r="N71" s="757"/>
      <c r="O71" s="757"/>
      <c r="P71" s="757"/>
      <c r="Q71" s="757"/>
      <c r="R71" s="757"/>
      <c r="S71" s="757"/>
      <c r="T71" s="757"/>
      <c r="U71" s="757"/>
      <c r="V71" s="757"/>
      <c r="W71" s="757"/>
      <c r="X71" s="757"/>
      <c r="Y71" s="757"/>
      <c r="Z71" s="757"/>
      <c r="AA71" s="757"/>
      <c r="AB71" s="757"/>
      <c r="AC71" s="757"/>
      <c r="AD71" s="757"/>
      <c r="AE71" s="757"/>
      <c r="AF71" s="757"/>
      <c r="AG71" s="757"/>
      <c r="AH71" s="757"/>
      <c r="AI71" s="757"/>
      <c r="AJ71" s="757"/>
      <c r="AK71" s="757"/>
      <c r="AL71" s="757"/>
      <c r="AM71" s="757"/>
      <c r="AN71" s="757"/>
      <c r="AO71" s="757"/>
      <c r="AP71" s="757"/>
      <c r="AQ71" s="757"/>
      <c r="AR71" s="757"/>
      <c r="AS71" s="757"/>
      <c r="AT71" s="757"/>
      <c r="AU71" s="757"/>
      <c r="AV71" s="757"/>
      <c r="AW71" s="757"/>
      <c r="AX71" s="757"/>
      <c r="AY71" s="757"/>
      <c r="AZ71" s="75"/>
      <c r="BA71" s="2"/>
      <c r="BB71" s="2"/>
      <c r="BC71" s="2"/>
      <c r="BD71" s="2"/>
    </row>
    <row r="72" spans="1:56">
      <c r="A72" s="781">
        <v>1</v>
      </c>
      <c r="B72" s="782">
        <v>204</v>
      </c>
      <c r="C72" s="783">
        <v>44735</v>
      </c>
      <c r="D72" s="786" t="s">
        <v>385</v>
      </c>
      <c r="E72" s="807"/>
      <c r="F72" s="798">
        <v>20500</v>
      </c>
      <c r="G72" s="798">
        <v>1025</v>
      </c>
      <c r="H72" s="1592">
        <f t="shared" si="0"/>
        <v>21525</v>
      </c>
      <c r="I72" s="754" t="str">
        <f>IFERROR(VLOOKUP(B72,Mychart!$A$125:$B$911,2,FALSE),"-")</f>
        <v>Abdullah Juma - Dar Dubai</v>
      </c>
      <c r="J72" s="753">
        <f t="shared" si="1"/>
        <v>6</v>
      </c>
      <c r="K72" s="1540">
        <f t="shared" si="2"/>
        <v>2022</v>
      </c>
      <c r="L72" s="757"/>
      <c r="M72" s="757"/>
      <c r="N72" s="757"/>
      <c r="O72" s="757"/>
      <c r="P72" s="757"/>
      <c r="Q72" s="757"/>
      <c r="R72" s="757"/>
      <c r="S72" s="757"/>
      <c r="T72" s="757"/>
      <c r="U72" s="757"/>
      <c r="V72" s="757"/>
      <c r="W72" s="757"/>
      <c r="X72" s="757"/>
      <c r="Y72" s="757"/>
      <c r="Z72" s="757"/>
      <c r="AA72" s="757"/>
      <c r="AB72" s="757"/>
      <c r="AC72" s="757"/>
      <c r="AD72" s="757"/>
      <c r="AE72" s="757"/>
      <c r="AF72" s="757"/>
      <c r="AG72" s="757"/>
      <c r="AH72" s="757"/>
      <c r="AI72" s="757"/>
      <c r="AJ72" s="757"/>
      <c r="AK72" s="757"/>
      <c r="AL72" s="757"/>
      <c r="AM72" s="757"/>
      <c r="AN72" s="757"/>
      <c r="AO72" s="757"/>
      <c r="AP72" s="757"/>
      <c r="AQ72" s="757"/>
      <c r="AR72" s="757"/>
      <c r="AS72" s="757"/>
      <c r="AT72" s="757"/>
      <c r="AU72" s="757"/>
      <c r="AV72" s="757"/>
      <c r="AW72" s="757"/>
      <c r="AX72" s="757"/>
      <c r="AY72" s="757"/>
      <c r="AZ72" s="75"/>
      <c r="BA72" s="2"/>
      <c r="BB72" s="2"/>
      <c r="BC72" s="2"/>
      <c r="BD72" s="2"/>
    </row>
    <row r="73" spans="1:56">
      <c r="A73" s="781">
        <v>1</v>
      </c>
      <c r="B73" s="782">
        <v>204</v>
      </c>
      <c r="C73" s="783">
        <v>44868</v>
      </c>
      <c r="D73" s="784" t="s">
        <v>386</v>
      </c>
      <c r="E73" s="807"/>
      <c r="F73" s="798">
        <v>70000</v>
      </c>
      <c r="G73" s="798"/>
      <c r="H73" s="1592">
        <f t="shared" si="0"/>
        <v>70000</v>
      </c>
      <c r="I73" s="754" t="str">
        <f>IFERROR(VLOOKUP(B73,Mychart!$A$125:$B$911,2,FALSE),"-")</f>
        <v>Abdullah Juma - Dar Dubai</v>
      </c>
      <c r="J73" s="753">
        <f t="shared" si="1"/>
        <v>11</v>
      </c>
      <c r="K73" s="1540">
        <f t="shared" si="2"/>
        <v>2022</v>
      </c>
      <c r="L73" s="757"/>
      <c r="M73" s="757"/>
      <c r="N73" s="757"/>
      <c r="O73" s="757"/>
      <c r="P73" s="757"/>
      <c r="Q73" s="757"/>
      <c r="R73" s="757"/>
      <c r="S73" s="757"/>
      <c r="T73" s="757"/>
      <c r="U73" s="757"/>
      <c r="V73" s="757"/>
      <c r="W73" s="757"/>
      <c r="X73" s="757"/>
      <c r="Y73" s="757"/>
      <c r="Z73" s="757"/>
      <c r="AA73" s="757"/>
      <c r="AB73" s="757"/>
      <c r="AC73" s="757"/>
      <c r="AD73" s="757"/>
      <c r="AE73" s="757"/>
      <c r="AF73" s="757"/>
      <c r="AG73" s="757"/>
      <c r="AH73" s="757"/>
      <c r="AI73" s="757"/>
      <c r="AJ73" s="757"/>
      <c r="AK73" s="757"/>
      <c r="AL73" s="757"/>
      <c r="AM73" s="757"/>
      <c r="AN73" s="757"/>
      <c r="AO73" s="757"/>
      <c r="AP73" s="757"/>
      <c r="AQ73" s="757"/>
      <c r="AR73" s="757"/>
      <c r="AS73" s="757"/>
      <c r="AT73" s="757"/>
      <c r="AU73" s="757"/>
      <c r="AV73" s="757"/>
      <c r="AW73" s="757"/>
      <c r="AX73" s="757"/>
      <c r="AY73" s="757"/>
      <c r="AZ73" s="75"/>
      <c r="BA73" s="2"/>
      <c r="BB73" s="2"/>
      <c r="BC73" s="2"/>
      <c r="BD73" s="2"/>
    </row>
    <row r="74" spans="1:56">
      <c r="A74" s="781">
        <v>1</v>
      </c>
      <c r="B74" s="782">
        <v>204</v>
      </c>
      <c r="C74" s="783">
        <v>44959</v>
      </c>
      <c r="D74" s="784" t="s">
        <v>387</v>
      </c>
      <c r="E74" s="807"/>
      <c r="F74" s="798">
        <v>50751.75</v>
      </c>
      <c r="G74" s="798"/>
      <c r="H74" s="1592">
        <f t="shared" si="0"/>
        <v>50751.75</v>
      </c>
      <c r="I74" s="754" t="str">
        <f>IFERROR(VLOOKUP(B74,Mychart!$A$125:$B$911,2,FALSE),"-")</f>
        <v>Abdullah Juma - Dar Dubai</v>
      </c>
      <c r="J74" s="753">
        <f t="shared" si="1"/>
        <v>2</v>
      </c>
      <c r="K74" s="1540">
        <f t="shared" si="2"/>
        <v>2023</v>
      </c>
      <c r="L74" s="757"/>
      <c r="M74" s="757"/>
      <c r="N74" s="757"/>
      <c r="O74" s="757"/>
      <c r="P74" s="757"/>
      <c r="Q74" s="757"/>
      <c r="R74" s="757"/>
      <c r="S74" s="757"/>
      <c r="T74" s="757"/>
      <c r="U74" s="757"/>
      <c r="V74" s="757"/>
      <c r="W74" s="757"/>
      <c r="X74" s="757"/>
      <c r="Y74" s="757"/>
      <c r="Z74" s="757"/>
      <c r="AA74" s="757"/>
      <c r="AB74" s="757"/>
      <c r="AC74" s="757"/>
      <c r="AD74" s="757"/>
      <c r="AE74" s="757"/>
      <c r="AF74" s="757"/>
      <c r="AG74" s="757"/>
      <c r="AH74" s="757"/>
      <c r="AI74" s="757"/>
      <c r="AJ74" s="757"/>
      <c r="AK74" s="757"/>
      <c r="AL74" s="757"/>
      <c r="AM74" s="757"/>
      <c r="AN74" s="757"/>
      <c r="AO74" s="757"/>
      <c r="AP74" s="757"/>
      <c r="AQ74" s="757"/>
      <c r="AR74" s="757"/>
      <c r="AS74" s="757"/>
      <c r="AT74" s="757"/>
      <c r="AU74" s="757"/>
      <c r="AV74" s="757"/>
      <c r="AW74" s="757"/>
      <c r="AX74" s="757"/>
      <c r="AY74" s="757"/>
      <c r="AZ74" s="75"/>
      <c r="BA74" s="2"/>
      <c r="BB74" s="2"/>
      <c r="BC74" s="2"/>
      <c r="BD74" s="2"/>
    </row>
    <row r="75" spans="1:56">
      <c r="A75" s="781">
        <v>1</v>
      </c>
      <c r="B75" s="782">
        <v>204</v>
      </c>
      <c r="C75" s="783">
        <v>44977</v>
      </c>
      <c r="D75" s="784" t="s">
        <v>388</v>
      </c>
      <c r="E75" s="807"/>
      <c r="F75" s="798">
        <v>20000</v>
      </c>
      <c r="G75" s="798"/>
      <c r="H75" s="1592">
        <f t="shared" ref="H75:H138" si="3">F75+G75</f>
        <v>20000</v>
      </c>
      <c r="I75" s="754" t="str">
        <f>IFERROR(VLOOKUP(B75,Mychart!$A$125:$B$911,2,FALSE),"-")</f>
        <v>Abdullah Juma - Dar Dubai</v>
      </c>
      <c r="J75" s="753">
        <f t="shared" ref="J75:J138" si="4">IF(C75&lt;&gt;"", MONTH(C75),"-")</f>
        <v>2</v>
      </c>
      <c r="K75" s="1540">
        <f t="shared" ref="K75:K138" si="5">YEAR(C75)</f>
        <v>2023</v>
      </c>
      <c r="L75" s="757"/>
      <c r="M75" s="757"/>
      <c r="N75" s="757"/>
      <c r="O75" s="757"/>
      <c r="P75" s="757"/>
      <c r="Q75" s="757"/>
      <c r="R75" s="757"/>
      <c r="S75" s="757"/>
      <c r="T75" s="757"/>
      <c r="U75" s="757"/>
      <c r="V75" s="757"/>
      <c r="W75" s="757"/>
      <c r="X75" s="757"/>
      <c r="Y75" s="757"/>
      <c r="Z75" s="757"/>
      <c r="AA75" s="757"/>
      <c r="AB75" s="757"/>
      <c r="AC75" s="757"/>
      <c r="AD75" s="757"/>
      <c r="AE75" s="757"/>
      <c r="AF75" s="757"/>
      <c r="AG75" s="757"/>
      <c r="AH75" s="757"/>
      <c r="AI75" s="757"/>
      <c r="AJ75" s="757"/>
      <c r="AK75" s="757"/>
      <c r="AL75" s="757"/>
      <c r="AM75" s="757"/>
      <c r="AN75" s="757"/>
      <c r="AO75" s="757"/>
      <c r="AP75" s="757"/>
      <c r="AQ75" s="757"/>
      <c r="AR75" s="757"/>
      <c r="AS75" s="757"/>
      <c r="AT75" s="757"/>
      <c r="AU75" s="757"/>
      <c r="AV75" s="757"/>
      <c r="AW75" s="757"/>
      <c r="AX75" s="757"/>
      <c r="AY75" s="757"/>
      <c r="AZ75" s="75"/>
      <c r="BA75" s="2"/>
      <c r="BB75" s="2"/>
      <c r="BC75" s="2"/>
      <c r="BD75" s="2"/>
    </row>
    <row r="76" spans="1:56">
      <c r="A76" s="781">
        <v>1</v>
      </c>
      <c r="B76" s="782">
        <v>204</v>
      </c>
      <c r="C76" s="783">
        <v>45131</v>
      </c>
      <c r="D76" s="784" t="s">
        <v>389</v>
      </c>
      <c r="E76" s="807"/>
      <c r="F76" s="798">
        <v>43823.25</v>
      </c>
      <c r="G76" s="798"/>
      <c r="H76" s="1592">
        <f t="shared" si="3"/>
        <v>43823.25</v>
      </c>
      <c r="I76" s="754" t="str">
        <f>IFERROR(VLOOKUP(B76,Mychart!$A$125:$B$911,2,FALSE),"-")</f>
        <v>Abdullah Juma - Dar Dubai</v>
      </c>
      <c r="J76" s="753">
        <f t="shared" si="4"/>
        <v>7</v>
      </c>
      <c r="K76" s="1540">
        <f t="shared" si="5"/>
        <v>2023</v>
      </c>
      <c r="L76" s="757"/>
      <c r="M76" s="757"/>
      <c r="N76" s="757"/>
      <c r="O76" s="757"/>
      <c r="P76" s="757"/>
      <c r="Q76" s="757"/>
      <c r="R76" s="757"/>
      <c r="S76" s="757"/>
      <c r="T76" s="757"/>
      <c r="U76" s="757"/>
      <c r="V76" s="757"/>
      <c r="W76" s="757"/>
      <c r="X76" s="757"/>
      <c r="Y76" s="757"/>
      <c r="Z76" s="757"/>
      <c r="AA76" s="757"/>
      <c r="AB76" s="757"/>
      <c r="AC76" s="757"/>
      <c r="AD76" s="757"/>
      <c r="AE76" s="757"/>
      <c r="AF76" s="757"/>
      <c r="AG76" s="757"/>
      <c r="AH76" s="757"/>
      <c r="AI76" s="757"/>
      <c r="AJ76" s="757"/>
      <c r="AK76" s="757"/>
      <c r="AL76" s="757"/>
      <c r="AM76" s="757"/>
      <c r="AN76" s="757"/>
      <c r="AO76" s="757"/>
      <c r="AP76" s="757"/>
      <c r="AQ76" s="757"/>
      <c r="AR76" s="757"/>
      <c r="AS76" s="757"/>
      <c r="AT76" s="757"/>
      <c r="AU76" s="757"/>
      <c r="AV76" s="757"/>
      <c r="AW76" s="757"/>
      <c r="AX76" s="757"/>
      <c r="AY76" s="757"/>
      <c r="AZ76" s="75"/>
      <c r="BA76" s="2"/>
      <c r="BB76" s="2"/>
      <c r="BC76" s="2"/>
      <c r="BD76" s="2"/>
    </row>
    <row r="77" spans="1:56">
      <c r="A77" s="781">
        <v>1</v>
      </c>
      <c r="B77" s="782">
        <v>204</v>
      </c>
      <c r="C77" s="783">
        <v>45347</v>
      </c>
      <c r="D77" s="784" t="s">
        <v>390</v>
      </c>
      <c r="E77" s="807"/>
      <c r="F77" s="798">
        <v>18000</v>
      </c>
      <c r="G77" s="798"/>
      <c r="H77" s="1592">
        <f t="shared" si="3"/>
        <v>18000</v>
      </c>
      <c r="I77" s="754" t="str">
        <f>IFERROR(VLOOKUP(B77,Mychart!$A$125:$B$911,2,FALSE),"-")</f>
        <v>Abdullah Juma - Dar Dubai</v>
      </c>
      <c r="J77" s="753">
        <f t="shared" si="4"/>
        <v>2</v>
      </c>
      <c r="K77" s="1540">
        <f t="shared" si="5"/>
        <v>2024</v>
      </c>
      <c r="L77" s="757"/>
      <c r="M77" s="757"/>
      <c r="N77" s="757"/>
      <c r="O77" s="757"/>
      <c r="P77" s="757"/>
      <c r="Q77" s="757"/>
      <c r="R77" s="757"/>
      <c r="S77" s="757"/>
      <c r="T77" s="757"/>
      <c r="U77" s="757"/>
      <c r="V77" s="757"/>
      <c r="W77" s="757"/>
      <c r="X77" s="757"/>
      <c r="Y77" s="757"/>
      <c r="Z77" s="757"/>
      <c r="AA77" s="757"/>
      <c r="AB77" s="757"/>
      <c r="AC77" s="757"/>
      <c r="AD77" s="757"/>
      <c r="AE77" s="757"/>
      <c r="AF77" s="757"/>
      <c r="AG77" s="757"/>
      <c r="AH77" s="757"/>
      <c r="AI77" s="757"/>
      <c r="AJ77" s="757"/>
      <c r="AK77" s="757"/>
      <c r="AL77" s="757"/>
      <c r="AM77" s="757"/>
      <c r="AN77" s="757"/>
      <c r="AO77" s="757"/>
      <c r="AP77" s="757"/>
      <c r="AQ77" s="757"/>
      <c r="AR77" s="757"/>
      <c r="AS77" s="757"/>
      <c r="AT77" s="757"/>
      <c r="AU77" s="757"/>
      <c r="AV77" s="757"/>
      <c r="AW77" s="757"/>
      <c r="AX77" s="757"/>
      <c r="AY77" s="757"/>
      <c r="AZ77" s="75"/>
      <c r="BA77" s="2"/>
      <c r="BB77" s="2"/>
      <c r="BC77" s="2"/>
      <c r="BD77" s="2"/>
    </row>
    <row r="78" spans="1:56">
      <c r="A78" s="781">
        <v>1</v>
      </c>
      <c r="B78" s="782">
        <v>204</v>
      </c>
      <c r="C78" s="783">
        <v>45381</v>
      </c>
      <c r="D78" s="784" t="s">
        <v>391</v>
      </c>
      <c r="E78" s="807"/>
      <c r="F78" s="798">
        <v>10000</v>
      </c>
      <c r="G78" s="798"/>
      <c r="H78" s="1592">
        <f t="shared" si="3"/>
        <v>10000</v>
      </c>
      <c r="I78" s="754" t="str">
        <f>IFERROR(VLOOKUP(B78,Mychart!$A$125:$B$911,2,FALSE),"-")</f>
        <v>Abdullah Juma - Dar Dubai</v>
      </c>
      <c r="J78" s="753">
        <f t="shared" si="4"/>
        <v>3</v>
      </c>
      <c r="K78" s="1540">
        <f t="shared" si="5"/>
        <v>2024</v>
      </c>
      <c r="L78" s="757"/>
      <c r="M78" s="757"/>
      <c r="N78" s="757"/>
      <c r="O78" s="757"/>
      <c r="P78" s="757"/>
      <c r="Q78" s="757"/>
      <c r="R78" s="757"/>
      <c r="S78" s="757"/>
      <c r="T78" s="757"/>
      <c r="U78" s="757"/>
      <c r="V78" s="757"/>
      <c r="W78" s="757"/>
      <c r="X78" s="757"/>
      <c r="Y78" s="757"/>
      <c r="Z78" s="757"/>
      <c r="AA78" s="757"/>
      <c r="AB78" s="757"/>
      <c r="AC78" s="757"/>
      <c r="AD78" s="757"/>
      <c r="AE78" s="757"/>
      <c r="AF78" s="757"/>
      <c r="AG78" s="757"/>
      <c r="AH78" s="757"/>
      <c r="AI78" s="757"/>
      <c r="AJ78" s="757"/>
      <c r="AK78" s="757"/>
      <c r="AL78" s="757"/>
      <c r="AM78" s="757"/>
      <c r="AN78" s="757"/>
      <c r="AO78" s="757"/>
      <c r="AP78" s="757"/>
      <c r="AQ78" s="757"/>
      <c r="AR78" s="757"/>
      <c r="AS78" s="757"/>
      <c r="AT78" s="757"/>
      <c r="AU78" s="757"/>
      <c r="AV78" s="757"/>
      <c r="AW78" s="757"/>
      <c r="AX78" s="757"/>
      <c r="AY78" s="757"/>
      <c r="AZ78" s="75"/>
      <c r="BA78" s="2"/>
      <c r="BB78" s="2"/>
      <c r="BC78" s="2"/>
      <c r="BD78" s="2"/>
    </row>
    <row r="79" spans="1:56">
      <c r="A79" s="781">
        <v>2</v>
      </c>
      <c r="B79" s="782">
        <v>204</v>
      </c>
      <c r="C79" s="783"/>
      <c r="D79" s="783" t="s">
        <v>392</v>
      </c>
      <c r="E79" s="808">
        <v>10000</v>
      </c>
      <c r="F79" s="799"/>
      <c r="G79" s="799"/>
      <c r="H79" s="1592">
        <f t="shared" si="3"/>
        <v>0</v>
      </c>
      <c r="I79" s="754" t="str">
        <f>IFERROR(VLOOKUP(B79,Mychart!$A$125:$B$911,2,FALSE),"-")</f>
        <v>Abdullah Juma - Dar Dubai</v>
      </c>
      <c r="J79" s="753" t="str">
        <f t="shared" si="4"/>
        <v>-</v>
      </c>
      <c r="K79" s="1540">
        <f t="shared" si="5"/>
        <v>1900</v>
      </c>
      <c r="L79" s="757"/>
      <c r="M79" s="757"/>
      <c r="N79" s="757"/>
      <c r="O79" s="757"/>
      <c r="P79" s="757"/>
      <c r="Q79" s="757"/>
      <c r="R79" s="757"/>
      <c r="S79" s="757"/>
      <c r="T79" s="757"/>
      <c r="U79" s="757"/>
      <c r="V79" s="757"/>
      <c r="W79" s="757"/>
      <c r="X79" s="757"/>
      <c r="Y79" s="757"/>
      <c r="Z79" s="757"/>
      <c r="AA79" s="757"/>
      <c r="AB79" s="757"/>
      <c r="AC79" s="757"/>
      <c r="AD79" s="757"/>
      <c r="AE79" s="757"/>
      <c r="AF79" s="757"/>
      <c r="AG79" s="757"/>
      <c r="AH79" s="757"/>
      <c r="AI79" s="757"/>
      <c r="AJ79" s="757"/>
      <c r="AK79" s="757"/>
      <c r="AL79" s="757"/>
      <c r="AM79" s="757"/>
      <c r="AN79" s="757"/>
      <c r="AO79" s="757"/>
      <c r="AP79" s="757"/>
      <c r="AQ79" s="757"/>
      <c r="AR79" s="757"/>
      <c r="AS79" s="757"/>
      <c r="AT79" s="757"/>
      <c r="AU79" s="757"/>
      <c r="AV79" s="757"/>
      <c r="AW79" s="757"/>
      <c r="AX79" s="757"/>
      <c r="AY79" s="757"/>
      <c r="AZ79" s="75"/>
      <c r="BA79" s="2"/>
      <c r="BB79" s="2"/>
      <c r="BC79" s="2"/>
      <c r="BD79" s="2"/>
    </row>
    <row r="80" spans="1:56">
      <c r="A80" s="781">
        <v>2</v>
      </c>
      <c r="B80" s="782">
        <v>204</v>
      </c>
      <c r="C80" s="783"/>
      <c r="D80" s="783" t="s">
        <v>393</v>
      </c>
      <c r="E80" s="808">
        <v>4924</v>
      </c>
      <c r="F80" s="799"/>
      <c r="G80" s="799"/>
      <c r="H80" s="1592">
        <f t="shared" si="3"/>
        <v>0</v>
      </c>
      <c r="I80" s="754" t="str">
        <f>IFERROR(VLOOKUP(B80,Mychart!$A$125:$B$911,2,FALSE),"-")</f>
        <v>Abdullah Juma - Dar Dubai</v>
      </c>
      <c r="J80" s="753" t="str">
        <f t="shared" si="4"/>
        <v>-</v>
      </c>
      <c r="K80" s="1540">
        <f t="shared" si="5"/>
        <v>1900</v>
      </c>
      <c r="L80" s="757"/>
      <c r="M80" s="757"/>
      <c r="N80" s="757"/>
      <c r="O80" s="757"/>
      <c r="P80" s="757"/>
      <c r="Q80" s="757"/>
      <c r="R80" s="757"/>
      <c r="S80" s="757"/>
      <c r="T80" s="757"/>
      <c r="U80" s="757"/>
      <c r="V80" s="757"/>
      <c r="W80" s="757"/>
      <c r="X80" s="757"/>
      <c r="Y80" s="757"/>
      <c r="Z80" s="757"/>
      <c r="AA80" s="757"/>
      <c r="AB80" s="757"/>
      <c r="AC80" s="757"/>
      <c r="AD80" s="757"/>
      <c r="AE80" s="757"/>
      <c r="AF80" s="757"/>
      <c r="AG80" s="757"/>
      <c r="AH80" s="757"/>
      <c r="AI80" s="757"/>
      <c r="AJ80" s="757"/>
      <c r="AK80" s="757"/>
      <c r="AL80" s="757"/>
      <c r="AM80" s="757"/>
      <c r="AN80" s="757"/>
      <c r="AO80" s="757"/>
      <c r="AP80" s="757"/>
      <c r="AQ80" s="757"/>
      <c r="AR80" s="757"/>
      <c r="AS80" s="757"/>
      <c r="AT80" s="757"/>
      <c r="AU80" s="757"/>
      <c r="AV80" s="757"/>
      <c r="AW80" s="757"/>
      <c r="AX80" s="757"/>
      <c r="AY80" s="757"/>
      <c r="AZ80" s="75"/>
      <c r="BA80" s="2"/>
      <c r="BB80" s="2"/>
      <c r="BC80" s="2"/>
      <c r="BD80" s="2"/>
    </row>
    <row r="81" spans="1:56">
      <c r="A81" s="781">
        <v>2</v>
      </c>
      <c r="B81" s="782">
        <v>243</v>
      </c>
      <c r="C81" s="783"/>
      <c r="D81" s="783" t="s">
        <v>162</v>
      </c>
      <c r="E81" s="808" t="s">
        <v>1500</v>
      </c>
      <c r="F81" s="799"/>
      <c r="G81" s="799"/>
      <c r="H81" s="1592">
        <f t="shared" si="3"/>
        <v>0</v>
      </c>
      <c r="I81" s="754" t="str">
        <f>IFERROR(VLOOKUP(B81,Mychart!$A$125:$B$911,2,FALSE),"-")</f>
        <v>SHIHAB - ERTIKAZ</v>
      </c>
      <c r="J81" s="753" t="str">
        <f t="shared" si="4"/>
        <v>-</v>
      </c>
      <c r="K81" s="1540">
        <f t="shared" si="5"/>
        <v>1900</v>
      </c>
      <c r="L81" s="757"/>
      <c r="M81" s="757"/>
      <c r="N81" s="757"/>
      <c r="O81" s="757"/>
      <c r="P81" s="757"/>
      <c r="Q81" s="757"/>
      <c r="R81" s="757"/>
      <c r="S81" s="757"/>
      <c r="T81" s="757"/>
      <c r="U81" s="757"/>
      <c r="V81" s="757"/>
      <c r="W81" s="757"/>
      <c r="X81" s="757"/>
      <c r="Y81" s="757"/>
      <c r="Z81" s="757"/>
      <c r="AA81" s="757"/>
      <c r="AB81" s="757"/>
      <c r="AC81" s="757"/>
      <c r="AD81" s="757"/>
      <c r="AE81" s="757"/>
      <c r="AF81" s="757"/>
      <c r="AG81" s="757"/>
      <c r="AH81" s="757"/>
      <c r="AI81" s="757"/>
      <c r="AJ81" s="757"/>
      <c r="AK81" s="757"/>
      <c r="AL81" s="757"/>
      <c r="AM81" s="757"/>
      <c r="AN81" s="757"/>
      <c r="AO81" s="757"/>
      <c r="AP81" s="757"/>
      <c r="AQ81" s="757"/>
      <c r="AR81" s="757"/>
      <c r="AS81" s="757"/>
      <c r="AT81" s="757"/>
      <c r="AU81" s="757"/>
      <c r="AV81" s="757"/>
      <c r="AW81" s="757"/>
      <c r="AX81" s="757"/>
      <c r="AY81" s="757"/>
      <c r="AZ81" s="75"/>
      <c r="BA81" s="2"/>
      <c r="BB81" s="2"/>
      <c r="BC81" s="2"/>
      <c r="BD81" s="2"/>
    </row>
    <row r="82" spans="1:56">
      <c r="A82" s="781">
        <v>2</v>
      </c>
      <c r="B82" s="782">
        <v>204</v>
      </c>
      <c r="C82" s="783"/>
      <c r="D82" s="783" t="s">
        <v>258</v>
      </c>
      <c r="E82" s="808">
        <v>6976</v>
      </c>
      <c r="F82" s="799"/>
      <c r="G82" s="799"/>
      <c r="H82" s="1592">
        <f t="shared" si="3"/>
        <v>0</v>
      </c>
      <c r="I82" s="754" t="str">
        <f>IFERROR(VLOOKUP(B82,Mychart!$A$125:$B$911,2,FALSE),"-")</f>
        <v>Abdullah Juma - Dar Dubai</v>
      </c>
      <c r="J82" s="753" t="str">
        <f t="shared" si="4"/>
        <v>-</v>
      </c>
      <c r="K82" s="1540">
        <f t="shared" si="5"/>
        <v>1900</v>
      </c>
      <c r="L82" s="757"/>
      <c r="M82" s="757"/>
      <c r="N82" s="757"/>
      <c r="O82" s="757"/>
      <c r="P82" s="757"/>
      <c r="Q82" s="757"/>
      <c r="R82" s="757"/>
      <c r="S82" s="757"/>
      <c r="T82" s="757"/>
      <c r="U82" s="757"/>
      <c r="V82" s="757"/>
      <c r="W82" s="757"/>
      <c r="X82" s="757"/>
      <c r="Y82" s="757"/>
      <c r="Z82" s="757"/>
      <c r="AA82" s="757"/>
      <c r="AB82" s="757"/>
      <c r="AC82" s="757"/>
      <c r="AD82" s="757"/>
      <c r="AE82" s="757"/>
      <c r="AF82" s="757"/>
      <c r="AG82" s="757"/>
      <c r="AH82" s="757"/>
      <c r="AI82" s="757"/>
      <c r="AJ82" s="757"/>
      <c r="AK82" s="757"/>
      <c r="AL82" s="757"/>
      <c r="AM82" s="757"/>
      <c r="AN82" s="757"/>
      <c r="AO82" s="757"/>
      <c r="AP82" s="757"/>
      <c r="AQ82" s="757"/>
      <c r="AR82" s="757"/>
      <c r="AS82" s="757"/>
      <c r="AT82" s="757"/>
      <c r="AU82" s="757"/>
      <c r="AV82" s="757"/>
      <c r="AW82" s="757"/>
      <c r="AX82" s="757"/>
      <c r="AY82" s="757"/>
      <c r="AZ82" s="75"/>
      <c r="BA82" s="2"/>
      <c r="BB82" s="2"/>
      <c r="BC82" s="2"/>
      <c r="BD82" s="2"/>
    </row>
    <row r="83" spans="1:56">
      <c r="A83" s="781">
        <v>2</v>
      </c>
      <c r="B83" s="782">
        <v>204</v>
      </c>
      <c r="C83" s="783"/>
      <c r="D83" s="783" t="s">
        <v>227</v>
      </c>
      <c r="E83" s="808">
        <v>930</v>
      </c>
      <c r="F83" s="799"/>
      <c r="G83" s="799"/>
      <c r="H83" s="1592">
        <f t="shared" si="3"/>
        <v>0</v>
      </c>
      <c r="I83" s="754" t="str">
        <f>IFERROR(VLOOKUP(B83,Mychart!$A$125:$B$911,2,FALSE),"-")</f>
        <v>Abdullah Juma - Dar Dubai</v>
      </c>
      <c r="J83" s="753" t="str">
        <f t="shared" si="4"/>
        <v>-</v>
      </c>
      <c r="K83" s="1540">
        <f t="shared" si="5"/>
        <v>1900</v>
      </c>
      <c r="L83" s="757"/>
      <c r="M83" s="757"/>
      <c r="N83" s="757"/>
      <c r="O83" s="757"/>
      <c r="P83" s="757"/>
      <c r="Q83" s="757"/>
      <c r="R83" s="757"/>
      <c r="S83" s="757"/>
      <c r="T83" s="757"/>
      <c r="U83" s="757"/>
      <c r="V83" s="757"/>
      <c r="W83" s="757"/>
      <c r="X83" s="757"/>
      <c r="Y83" s="757"/>
      <c r="Z83" s="757"/>
      <c r="AA83" s="757"/>
      <c r="AB83" s="757"/>
      <c r="AC83" s="757"/>
      <c r="AD83" s="757"/>
      <c r="AE83" s="757"/>
      <c r="AF83" s="757"/>
      <c r="AG83" s="757"/>
      <c r="AH83" s="757"/>
      <c r="AI83" s="757"/>
      <c r="AJ83" s="757"/>
      <c r="AK83" s="757"/>
      <c r="AL83" s="757"/>
      <c r="AM83" s="757"/>
      <c r="AN83" s="757"/>
      <c r="AO83" s="757"/>
      <c r="AP83" s="757"/>
      <c r="AQ83" s="757"/>
      <c r="AR83" s="757"/>
      <c r="AS83" s="757"/>
      <c r="AT83" s="757"/>
      <c r="AU83" s="757"/>
      <c r="AV83" s="757"/>
      <c r="AW83" s="757"/>
      <c r="AX83" s="757"/>
      <c r="AY83" s="757"/>
      <c r="AZ83" s="75"/>
      <c r="BA83" s="2"/>
      <c r="BB83" s="2"/>
      <c r="BC83" s="2"/>
      <c r="BD83" s="2"/>
    </row>
    <row r="84" spans="1:56">
      <c r="A84" s="781">
        <v>2</v>
      </c>
      <c r="B84" s="788">
        <v>262</v>
      </c>
      <c r="C84" s="789">
        <v>45540</v>
      </c>
      <c r="D84" s="783" t="s">
        <v>167</v>
      </c>
      <c r="E84" s="808">
        <v>0</v>
      </c>
      <c r="F84" s="799"/>
      <c r="G84" s="799"/>
      <c r="H84" s="1592">
        <f t="shared" si="3"/>
        <v>0</v>
      </c>
      <c r="I84" s="754" t="str">
        <f>IFERROR(VLOOKUP(B84,Mychart!$A$125:$B$911,2,FALSE),"-")</f>
        <v>Amna Ahmed</v>
      </c>
      <c r="J84" s="753">
        <f t="shared" si="4"/>
        <v>9</v>
      </c>
      <c r="K84" s="1540">
        <f t="shared" si="5"/>
        <v>2024</v>
      </c>
      <c r="L84" s="757"/>
      <c r="M84" s="757"/>
      <c r="N84" s="757"/>
      <c r="O84" s="757"/>
      <c r="P84" s="757"/>
      <c r="Q84" s="757"/>
      <c r="R84" s="757"/>
      <c r="S84" s="757"/>
      <c r="T84" s="757"/>
      <c r="U84" s="757"/>
      <c r="V84" s="757"/>
      <c r="W84" s="757"/>
      <c r="X84" s="757"/>
      <c r="Y84" s="757"/>
      <c r="Z84" s="757"/>
      <c r="AA84" s="757"/>
      <c r="AB84" s="757"/>
      <c r="AC84" s="757"/>
      <c r="AD84" s="757"/>
      <c r="AE84" s="757"/>
      <c r="AF84" s="757"/>
      <c r="AG84" s="757"/>
      <c r="AH84" s="757"/>
      <c r="AI84" s="757"/>
      <c r="AJ84" s="757"/>
      <c r="AK84" s="757"/>
      <c r="AL84" s="757"/>
      <c r="AM84" s="757"/>
      <c r="AN84" s="757"/>
      <c r="AO84" s="757"/>
      <c r="AP84" s="757"/>
      <c r="AQ84" s="757"/>
      <c r="AR84" s="757"/>
      <c r="AS84" s="757"/>
      <c r="AT84" s="757"/>
      <c r="AU84" s="757"/>
      <c r="AV84" s="757"/>
      <c r="AW84" s="757"/>
      <c r="AX84" s="757"/>
      <c r="AY84" s="757"/>
      <c r="AZ84" s="75"/>
      <c r="BA84" s="2"/>
      <c r="BB84" s="2"/>
      <c r="BC84" s="2"/>
      <c r="BD84" s="2"/>
    </row>
    <row r="85" spans="1:56">
      <c r="A85" s="781">
        <v>2</v>
      </c>
      <c r="B85" s="782">
        <v>204</v>
      </c>
      <c r="C85" s="783"/>
      <c r="D85" s="783" t="s">
        <v>393</v>
      </c>
      <c r="E85" s="808">
        <v>1471</v>
      </c>
      <c r="F85" s="799"/>
      <c r="G85" s="799"/>
      <c r="H85" s="1592">
        <f t="shared" si="3"/>
        <v>0</v>
      </c>
      <c r="I85" s="754" t="str">
        <f>IFERROR(VLOOKUP(B85,Mychart!$A$125:$B$911,2,FALSE),"-")</f>
        <v>Abdullah Juma - Dar Dubai</v>
      </c>
      <c r="J85" s="753" t="str">
        <f t="shared" si="4"/>
        <v>-</v>
      </c>
      <c r="K85" s="1540">
        <f t="shared" si="5"/>
        <v>1900</v>
      </c>
      <c r="L85" s="757"/>
      <c r="M85" s="757"/>
      <c r="N85" s="757"/>
      <c r="O85" s="757"/>
      <c r="P85" s="757"/>
      <c r="Q85" s="757"/>
      <c r="R85" s="757"/>
      <c r="S85" s="757"/>
      <c r="T85" s="757"/>
      <c r="U85" s="757"/>
      <c r="V85" s="757"/>
      <c r="W85" s="757"/>
      <c r="X85" s="757"/>
      <c r="Y85" s="757"/>
      <c r="Z85" s="757"/>
      <c r="AA85" s="757"/>
      <c r="AB85" s="757"/>
      <c r="AC85" s="757"/>
      <c r="AD85" s="757"/>
      <c r="AE85" s="757"/>
      <c r="AF85" s="757"/>
      <c r="AG85" s="757"/>
      <c r="AH85" s="757"/>
      <c r="AI85" s="757"/>
      <c r="AJ85" s="757"/>
      <c r="AK85" s="757"/>
      <c r="AL85" s="757"/>
      <c r="AM85" s="757"/>
      <c r="AN85" s="757"/>
      <c r="AO85" s="757"/>
      <c r="AP85" s="757"/>
      <c r="AQ85" s="757"/>
      <c r="AR85" s="757"/>
      <c r="AS85" s="757"/>
      <c r="AT85" s="757"/>
      <c r="AU85" s="757"/>
      <c r="AV85" s="757"/>
      <c r="AW85" s="757"/>
      <c r="AX85" s="757"/>
      <c r="AY85" s="757"/>
      <c r="AZ85" s="75"/>
      <c r="BA85" s="2"/>
      <c r="BB85" s="2"/>
      <c r="BC85" s="2"/>
      <c r="BD85" s="2"/>
    </row>
    <row r="86" spans="1:56">
      <c r="A86" s="781">
        <v>2</v>
      </c>
      <c r="B86" s="782">
        <v>204</v>
      </c>
      <c r="C86" s="783">
        <v>44827</v>
      </c>
      <c r="D86" s="785" t="s">
        <v>384</v>
      </c>
      <c r="E86" s="808">
        <v>42903</v>
      </c>
      <c r="F86" s="799"/>
      <c r="G86" s="799"/>
      <c r="H86" s="1592">
        <f t="shared" si="3"/>
        <v>0</v>
      </c>
      <c r="I86" s="754" t="str">
        <f>IFERROR(VLOOKUP(B86,Mychart!$A$125:$B$911,2,FALSE),"-")</f>
        <v>Abdullah Juma - Dar Dubai</v>
      </c>
      <c r="J86" s="753">
        <f t="shared" si="4"/>
        <v>9</v>
      </c>
      <c r="K86" s="1540">
        <f t="shared" si="5"/>
        <v>2022</v>
      </c>
      <c r="L86" s="757"/>
      <c r="M86" s="757"/>
      <c r="N86" s="757"/>
      <c r="O86" s="757"/>
      <c r="P86" s="757"/>
      <c r="Q86" s="757"/>
      <c r="R86" s="757"/>
      <c r="S86" s="757"/>
      <c r="T86" s="757"/>
      <c r="U86" s="757"/>
      <c r="V86" s="757"/>
      <c r="W86" s="757"/>
      <c r="X86" s="757"/>
      <c r="Y86" s="757"/>
      <c r="Z86" s="757"/>
      <c r="AA86" s="757"/>
      <c r="AB86" s="757"/>
      <c r="AC86" s="757"/>
      <c r="AD86" s="757"/>
      <c r="AE86" s="757"/>
      <c r="AF86" s="757"/>
      <c r="AG86" s="757"/>
      <c r="AH86" s="757"/>
      <c r="AI86" s="757"/>
      <c r="AJ86" s="757"/>
      <c r="AK86" s="757"/>
      <c r="AL86" s="757"/>
      <c r="AM86" s="757"/>
      <c r="AN86" s="757"/>
      <c r="AO86" s="757"/>
      <c r="AP86" s="757"/>
      <c r="AQ86" s="757"/>
      <c r="AR86" s="757"/>
      <c r="AS86" s="757"/>
      <c r="AT86" s="757"/>
      <c r="AU86" s="757"/>
      <c r="AV86" s="757"/>
      <c r="AW86" s="757"/>
      <c r="AX86" s="757"/>
      <c r="AY86" s="757"/>
      <c r="AZ86" s="75"/>
      <c r="BA86" s="2"/>
      <c r="BB86" s="2"/>
      <c r="BC86" s="2"/>
      <c r="BD86" s="2"/>
    </row>
    <row r="87" spans="1:56">
      <c r="A87" s="781">
        <v>2</v>
      </c>
      <c r="B87" s="782">
        <v>204</v>
      </c>
      <c r="C87" s="783"/>
      <c r="D87" s="783" t="s">
        <v>258</v>
      </c>
      <c r="E87" s="808">
        <v>2024</v>
      </c>
      <c r="F87" s="799"/>
      <c r="G87" s="799"/>
      <c r="H87" s="1592">
        <f t="shared" si="3"/>
        <v>0</v>
      </c>
      <c r="I87" s="754" t="str">
        <f>IFERROR(VLOOKUP(B87,Mychart!$A$125:$B$911,2,FALSE),"-")</f>
        <v>Abdullah Juma - Dar Dubai</v>
      </c>
      <c r="J87" s="753" t="str">
        <f t="shared" si="4"/>
        <v>-</v>
      </c>
      <c r="K87" s="1540">
        <f t="shared" si="5"/>
        <v>1900</v>
      </c>
      <c r="L87" s="757"/>
      <c r="M87" s="757"/>
      <c r="N87" s="757"/>
      <c r="O87" s="757"/>
      <c r="P87" s="757"/>
      <c r="Q87" s="757"/>
      <c r="R87" s="757"/>
      <c r="S87" s="757"/>
      <c r="T87" s="757"/>
      <c r="U87" s="757"/>
      <c r="V87" s="757"/>
      <c r="W87" s="757"/>
      <c r="X87" s="757"/>
      <c r="Y87" s="757"/>
      <c r="Z87" s="757"/>
      <c r="AA87" s="757"/>
      <c r="AB87" s="757"/>
      <c r="AC87" s="757"/>
      <c r="AD87" s="757"/>
      <c r="AE87" s="757"/>
      <c r="AF87" s="757"/>
      <c r="AG87" s="757"/>
      <c r="AH87" s="757"/>
      <c r="AI87" s="757"/>
      <c r="AJ87" s="757"/>
      <c r="AK87" s="757"/>
      <c r="AL87" s="757"/>
      <c r="AM87" s="757"/>
      <c r="AN87" s="757"/>
      <c r="AO87" s="757"/>
      <c r="AP87" s="757"/>
      <c r="AQ87" s="757"/>
      <c r="AR87" s="757"/>
      <c r="AS87" s="757"/>
      <c r="AT87" s="757"/>
      <c r="AU87" s="757"/>
      <c r="AV87" s="757"/>
      <c r="AW87" s="757"/>
      <c r="AX87" s="757"/>
      <c r="AY87" s="757"/>
      <c r="AZ87" s="75"/>
      <c r="BA87" s="2"/>
      <c r="BB87" s="2"/>
      <c r="BC87" s="2"/>
      <c r="BD87" s="2"/>
    </row>
    <row r="88" spans="1:56">
      <c r="A88" s="781">
        <v>2</v>
      </c>
      <c r="B88" s="782">
        <v>204</v>
      </c>
      <c r="C88" s="783"/>
      <c r="D88" s="783" t="s">
        <v>258</v>
      </c>
      <c r="E88" s="808">
        <v>279</v>
      </c>
      <c r="F88" s="799"/>
      <c r="G88" s="799"/>
      <c r="H88" s="1592">
        <f t="shared" si="3"/>
        <v>0</v>
      </c>
      <c r="I88" s="754" t="str">
        <f>IFERROR(VLOOKUP(B88,Mychart!$A$125:$B$911,2,FALSE),"-")</f>
        <v>Abdullah Juma - Dar Dubai</v>
      </c>
      <c r="J88" s="753" t="str">
        <f t="shared" si="4"/>
        <v>-</v>
      </c>
      <c r="K88" s="1540">
        <f t="shared" si="5"/>
        <v>1900</v>
      </c>
      <c r="L88" s="757"/>
      <c r="M88" s="757"/>
      <c r="N88" s="757"/>
      <c r="O88" s="757"/>
      <c r="P88" s="757"/>
      <c r="Q88" s="757"/>
      <c r="R88" s="757"/>
      <c r="S88" s="757"/>
      <c r="T88" s="757"/>
      <c r="U88" s="757"/>
      <c r="V88" s="757"/>
      <c r="W88" s="757"/>
      <c r="X88" s="757"/>
      <c r="Y88" s="757"/>
      <c r="Z88" s="757"/>
      <c r="AA88" s="757"/>
      <c r="AB88" s="757"/>
      <c r="AC88" s="757"/>
      <c r="AD88" s="757"/>
      <c r="AE88" s="757"/>
      <c r="AF88" s="757"/>
      <c r="AG88" s="757"/>
      <c r="AH88" s="757"/>
      <c r="AI88" s="757"/>
      <c r="AJ88" s="757"/>
      <c r="AK88" s="757"/>
      <c r="AL88" s="757"/>
      <c r="AM88" s="757"/>
      <c r="AN88" s="757"/>
      <c r="AO88" s="757"/>
      <c r="AP88" s="757"/>
      <c r="AQ88" s="757"/>
      <c r="AR88" s="757"/>
      <c r="AS88" s="757"/>
      <c r="AT88" s="757"/>
      <c r="AU88" s="757"/>
      <c r="AV88" s="757"/>
      <c r="AW88" s="757"/>
      <c r="AX88" s="757"/>
      <c r="AY88" s="757"/>
      <c r="AZ88" s="75"/>
      <c r="BA88" s="2"/>
      <c r="BB88" s="2"/>
      <c r="BC88" s="2"/>
      <c r="BD88" s="2"/>
    </row>
    <row r="89" spans="1:56">
      <c r="A89" s="781">
        <v>2</v>
      </c>
      <c r="B89" s="782">
        <v>204</v>
      </c>
      <c r="C89" s="783"/>
      <c r="D89" s="783" t="s">
        <v>393</v>
      </c>
      <c r="E89" s="808">
        <v>6058</v>
      </c>
      <c r="F89" s="799"/>
      <c r="G89" s="799"/>
      <c r="H89" s="1592">
        <f t="shared" si="3"/>
        <v>0</v>
      </c>
      <c r="I89" s="754" t="str">
        <f>IFERROR(VLOOKUP(B89,Mychart!$A$125:$B$911,2,FALSE),"-")</f>
        <v>Abdullah Juma - Dar Dubai</v>
      </c>
      <c r="J89" s="753" t="str">
        <f t="shared" si="4"/>
        <v>-</v>
      </c>
      <c r="K89" s="1540">
        <f t="shared" si="5"/>
        <v>1900</v>
      </c>
      <c r="L89" s="757"/>
      <c r="M89" s="757"/>
      <c r="N89" s="757"/>
      <c r="O89" s="757"/>
      <c r="P89" s="757"/>
      <c r="Q89" s="757"/>
      <c r="R89" s="757"/>
      <c r="S89" s="757"/>
      <c r="T89" s="757"/>
      <c r="U89" s="757"/>
      <c r="V89" s="757"/>
      <c r="W89" s="757"/>
      <c r="X89" s="757"/>
      <c r="Y89" s="757"/>
      <c r="Z89" s="757"/>
      <c r="AA89" s="757"/>
      <c r="AB89" s="757"/>
      <c r="AC89" s="757"/>
      <c r="AD89" s="757"/>
      <c r="AE89" s="757"/>
      <c r="AF89" s="757"/>
      <c r="AG89" s="757"/>
      <c r="AH89" s="757"/>
      <c r="AI89" s="757"/>
      <c r="AJ89" s="757"/>
      <c r="AK89" s="757"/>
      <c r="AL89" s="757"/>
      <c r="AM89" s="757"/>
      <c r="AN89" s="757"/>
      <c r="AO89" s="757"/>
      <c r="AP89" s="757"/>
      <c r="AQ89" s="757"/>
      <c r="AR89" s="757"/>
      <c r="AS89" s="757"/>
      <c r="AT89" s="757"/>
      <c r="AU89" s="757"/>
      <c r="AV89" s="757"/>
      <c r="AW89" s="757"/>
      <c r="AX89" s="757"/>
      <c r="AY89" s="757"/>
      <c r="AZ89" s="75"/>
      <c r="BA89" s="2"/>
      <c r="BB89" s="2"/>
      <c r="BC89" s="2"/>
      <c r="BD89" s="2"/>
    </row>
    <row r="90" spans="1:56">
      <c r="A90" s="781">
        <v>2</v>
      </c>
      <c r="B90" s="782">
        <v>204</v>
      </c>
      <c r="C90" s="783"/>
      <c r="D90" s="783" t="s">
        <v>258</v>
      </c>
      <c r="E90" s="808">
        <v>546</v>
      </c>
      <c r="F90" s="799"/>
      <c r="G90" s="799"/>
      <c r="H90" s="1592">
        <f t="shared" si="3"/>
        <v>0</v>
      </c>
      <c r="I90" s="754" t="str">
        <f>IFERROR(VLOOKUP(B90,Mychart!$A$125:$B$911,2,FALSE),"-")</f>
        <v>Abdullah Juma - Dar Dubai</v>
      </c>
      <c r="J90" s="753" t="str">
        <f t="shared" si="4"/>
        <v>-</v>
      </c>
      <c r="K90" s="1540">
        <f t="shared" si="5"/>
        <v>1900</v>
      </c>
      <c r="L90" s="757"/>
      <c r="M90" s="757"/>
      <c r="N90" s="757"/>
      <c r="O90" s="757"/>
      <c r="P90" s="757"/>
      <c r="Q90" s="757"/>
      <c r="R90" s="757"/>
      <c r="S90" s="757"/>
      <c r="T90" s="757"/>
      <c r="U90" s="757"/>
      <c r="V90" s="757"/>
      <c r="W90" s="757"/>
      <c r="X90" s="757"/>
      <c r="Y90" s="757"/>
      <c r="Z90" s="757"/>
      <c r="AA90" s="757"/>
      <c r="AB90" s="757"/>
      <c r="AC90" s="757"/>
      <c r="AD90" s="757"/>
      <c r="AE90" s="757"/>
      <c r="AF90" s="757"/>
      <c r="AG90" s="757"/>
      <c r="AH90" s="757"/>
      <c r="AI90" s="757"/>
      <c r="AJ90" s="757"/>
      <c r="AK90" s="757"/>
      <c r="AL90" s="757"/>
      <c r="AM90" s="757"/>
      <c r="AN90" s="757"/>
      <c r="AO90" s="757"/>
      <c r="AP90" s="757"/>
      <c r="AQ90" s="757"/>
      <c r="AR90" s="757"/>
      <c r="AS90" s="757"/>
      <c r="AT90" s="757"/>
      <c r="AU90" s="757"/>
      <c r="AV90" s="757"/>
      <c r="AW90" s="757"/>
      <c r="AX90" s="757"/>
      <c r="AY90" s="757"/>
      <c r="AZ90" s="75"/>
      <c r="BA90" s="2"/>
      <c r="BB90" s="2"/>
      <c r="BC90" s="2"/>
      <c r="BD90" s="2"/>
    </row>
    <row r="91" spans="1:56">
      <c r="A91" s="781">
        <v>2</v>
      </c>
      <c r="B91" s="782">
        <v>204</v>
      </c>
      <c r="C91" s="783">
        <v>44982</v>
      </c>
      <c r="D91" s="785" t="s">
        <v>384</v>
      </c>
      <c r="E91" s="808">
        <v>42903</v>
      </c>
      <c r="F91" s="799"/>
      <c r="G91" s="799"/>
      <c r="H91" s="1592">
        <f t="shared" si="3"/>
        <v>0</v>
      </c>
      <c r="I91" s="754" t="str">
        <f>IFERROR(VLOOKUP(B91,Mychart!$A$125:$B$911,2,FALSE),"-")</f>
        <v>Abdullah Juma - Dar Dubai</v>
      </c>
      <c r="J91" s="753">
        <f t="shared" si="4"/>
        <v>2</v>
      </c>
      <c r="K91" s="1540">
        <f t="shared" si="5"/>
        <v>2023</v>
      </c>
      <c r="L91" s="757"/>
      <c r="M91" s="757"/>
      <c r="N91" s="757"/>
      <c r="O91" s="757"/>
      <c r="P91" s="757"/>
      <c r="Q91" s="757"/>
      <c r="R91" s="757"/>
      <c r="S91" s="757"/>
      <c r="T91" s="757"/>
      <c r="U91" s="757"/>
      <c r="V91" s="757"/>
      <c r="W91" s="757"/>
      <c r="X91" s="757"/>
      <c r="Y91" s="757"/>
      <c r="Z91" s="757"/>
      <c r="AA91" s="757"/>
      <c r="AB91" s="757"/>
      <c r="AC91" s="757"/>
      <c r="AD91" s="757"/>
      <c r="AE91" s="757"/>
      <c r="AF91" s="757"/>
      <c r="AG91" s="757"/>
      <c r="AH91" s="757"/>
      <c r="AI91" s="757"/>
      <c r="AJ91" s="757"/>
      <c r="AK91" s="757"/>
      <c r="AL91" s="757"/>
      <c r="AM91" s="757"/>
      <c r="AN91" s="757"/>
      <c r="AO91" s="757"/>
      <c r="AP91" s="757"/>
      <c r="AQ91" s="757"/>
      <c r="AR91" s="757"/>
      <c r="AS91" s="757"/>
      <c r="AT91" s="757"/>
      <c r="AU91" s="757"/>
      <c r="AV91" s="757"/>
      <c r="AW91" s="757"/>
      <c r="AX91" s="757"/>
      <c r="AY91" s="757"/>
      <c r="AZ91" s="75"/>
      <c r="BA91" s="2"/>
      <c r="BB91" s="2"/>
      <c r="BC91" s="2"/>
      <c r="BD91" s="2"/>
    </row>
    <row r="92" spans="1:56">
      <c r="A92" s="781">
        <v>2</v>
      </c>
      <c r="B92" s="782">
        <v>204</v>
      </c>
      <c r="C92" s="783"/>
      <c r="D92" s="783" t="s">
        <v>393</v>
      </c>
      <c r="E92" s="808">
        <v>2060</v>
      </c>
      <c r="F92" s="799"/>
      <c r="G92" s="799"/>
      <c r="H92" s="1592">
        <f t="shared" si="3"/>
        <v>0</v>
      </c>
      <c r="I92" s="754" t="str">
        <f>IFERROR(VLOOKUP(B92,Mychart!$A$125:$B$911,2,FALSE),"-")</f>
        <v>Abdullah Juma - Dar Dubai</v>
      </c>
      <c r="J92" s="753" t="str">
        <f t="shared" si="4"/>
        <v>-</v>
      </c>
      <c r="K92" s="1540">
        <f t="shared" si="5"/>
        <v>1900</v>
      </c>
      <c r="L92" s="757"/>
      <c r="M92" s="757"/>
      <c r="N92" s="757"/>
      <c r="O92" s="757"/>
      <c r="P92" s="757"/>
      <c r="Q92" s="757"/>
      <c r="R92" s="757"/>
      <c r="S92" s="757"/>
      <c r="T92" s="757"/>
      <c r="U92" s="757"/>
      <c r="V92" s="757"/>
      <c r="W92" s="757"/>
      <c r="X92" s="757"/>
      <c r="Y92" s="757"/>
      <c r="Z92" s="757"/>
      <c r="AA92" s="757"/>
      <c r="AB92" s="757"/>
      <c r="AC92" s="757"/>
      <c r="AD92" s="757"/>
      <c r="AE92" s="757"/>
      <c r="AF92" s="757"/>
      <c r="AG92" s="757"/>
      <c r="AH92" s="757"/>
      <c r="AI92" s="757"/>
      <c r="AJ92" s="757"/>
      <c r="AK92" s="757"/>
      <c r="AL92" s="757"/>
      <c r="AM92" s="757"/>
      <c r="AN92" s="757"/>
      <c r="AO92" s="757"/>
      <c r="AP92" s="757"/>
      <c r="AQ92" s="757"/>
      <c r="AR92" s="757"/>
      <c r="AS92" s="757"/>
      <c r="AT92" s="757"/>
      <c r="AU92" s="757"/>
      <c r="AV92" s="757"/>
      <c r="AW92" s="757"/>
      <c r="AX92" s="757"/>
      <c r="AY92" s="757"/>
      <c r="AZ92" s="75"/>
      <c r="BA92" s="2"/>
      <c r="BB92" s="2"/>
      <c r="BC92" s="2"/>
      <c r="BD92" s="2"/>
    </row>
    <row r="93" spans="1:56">
      <c r="A93" s="781">
        <v>2</v>
      </c>
      <c r="B93" s="782">
        <v>204</v>
      </c>
      <c r="C93" s="783"/>
      <c r="D93" s="783" t="s">
        <v>393</v>
      </c>
      <c r="E93" s="808">
        <v>3712</v>
      </c>
      <c r="F93" s="799"/>
      <c r="G93" s="799"/>
      <c r="H93" s="1592">
        <f t="shared" si="3"/>
        <v>0</v>
      </c>
      <c r="I93" s="754" t="str">
        <f>IFERROR(VLOOKUP(B93,Mychart!$A$125:$B$911,2,FALSE),"-")</f>
        <v>Abdullah Juma - Dar Dubai</v>
      </c>
      <c r="J93" s="753" t="str">
        <f t="shared" si="4"/>
        <v>-</v>
      </c>
      <c r="K93" s="1540">
        <f t="shared" si="5"/>
        <v>1900</v>
      </c>
      <c r="L93" s="757"/>
      <c r="M93" s="757"/>
      <c r="N93" s="757"/>
      <c r="O93" s="757"/>
      <c r="P93" s="757"/>
      <c r="Q93" s="757"/>
      <c r="R93" s="757"/>
      <c r="S93" s="757"/>
      <c r="T93" s="757"/>
      <c r="U93" s="757"/>
      <c r="V93" s="757"/>
      <c r="W93" s="757"/>
      <c r="X93" s="757"/>
      <c r="Y93" s="757"/>
      <c r="Z93" s="757"/>
      <c r="AA93" s="757"/>
      <c r="AB93" s="757"/>
      <c r="AC93" s="757"/>
      <c r="AD93" s="757"/>
      <c r="AE93" s="757"/>
      <c r="AF93" s="757"/>
      <c r="AG93" s="757"/>
      <c r="AH93" s="757"/>
      <c r="AI93" s="757"/>
      <c r="AJ93" s="757"/>
      <c r="AK93" s="757"/>
      <c r="AL93" s="757"/>
      <c r="AM93" s="757"/>
      <c r="AN93" s="757"/>
      <c r="AO93" s="757"/>
      <c r="AP93" s="757"/>
      <c r="AQ93" s="757"/>
      <c r="AR93" s="757"/>
      <c r="AS93" s="757"/>
      <c r="AT93" s="757"/>
      <c r="AU93" s="757"/>
      <c r="AV93" s="757"/>
      <c r="AW93" s="757"/>
      <c r="AX93" s="757"/>
      <c r="AY93" s="757"/>
      <c r="AZ93" s="75"/>
      <c r="BA93" s="2"/>
      <c r="BB93" s="2"/>
      <c r="BC93" s="2"/>
      <c r="BD93" s="2"/>
    </row>
    <row r="94" spans="1:56">
      <c r="A94" s="781">
        <v>2</v>
      </c>
      <c r="B94" s="782">
        <v>204</v>
      </c>
      <c r="C94" s="783">
        <v>45363</v>
      </c>
      <c r="D94" s="781" t="s">
        <v>394</v>
      </c>
      <c r="E94" s="808">
        <v>865</v>
      </c>
      <c r="F94" s="799"/>
      <c r="G94" s="799"/>
      <c r="H94" s="1592">
        <f t="shared" si="3"/>
        <v>0</v>
      </c>
      <c r="I94" s="754" t="str">
        <f>IFERROR(VLOOKUP(B94,Mychart!$A$125:$B$911,2,FALSE),"-")</f>
        <v>Abdullah Juma - Dar Dubai</v>
      </c>
      <c r="J94" s="753">
        <f t="shared" si="4"/>
        <v>3</v>
      </c>
      <c r="K94" s="1540">
        <f t="shared" si="5"/>
        <v>2024</v>
      </c>
      <c r="L94" s="757"/>
      <c r="M94" s="757"/>
      <c r="N94" s="757"/>
      <c r="O94" s="757"/>
      <c r="P94" s="757"/>
      <c r="Q94" s="757"/>
      <c r="R94" s="757"/>
      <c r="S94" s="757"/>
      <c r="T94" s="757"/>
      <c r="U94" s="757"/>
      <c r="V94" s="757"/>
      <c r="W94" s="757"/>
      <c r="X94" s="757"/>
      <c r="Y94" s="757"/>
      <c r="Z94" s="757"/>
      <c r="AA94" s="757"/>
      <c r="AB94" s="757"/>
      <c r="AC94" s="757"/>
      <c r="AD94" s="757"/>
      <c r="AE94" s="757"/>
      <c r="AF94" s="757"/>
      <c r="AG94" s="757"/>
      <c r="AH94" s="757"/>
      <c r="AI94" s="757"/>
      <c r="AJ94" s="757"/>
      <c r="AK94" s="757"/>
      <c r="AL94" s="757"/>
      <c r="AM94" s="757"/>
      <c r="AN94" s="757"/>
      <c r="AO94" s="757"/>
      <c r="AP94" s="757"/>
      <c r="AQ94" s="757"/>
      <c r="AR94" s="757"/>
      <c r="AS94" s="757"/>
      <c r="AT94" s="757"/>
      <c r="AU94" s="757"/>
      <c r="AV94" s="757"/>
      <c r="AW94" s="757"/>
      <c r="AX94" s="757"/>
      <c r="AY94" s="757"/>
      <c r="AZ94" s="75"/>
      <c r="BA94" s="2"/>
      <c r="BB94" s="2"/>
      <c r="BC94" s="2"/>
      <c r="BD94" s="2"/>
    </row>
    <row r="95" spans="1:56">
      <c r="A95" s="781">
        <v>2</v>
      </c>
      <c r="B95" s="782">
        <v>204</v>
      </c>
      <c r="C95" s="783">
        <v>45382</v>
      </c>
      <c r="D95" s="783" t="s">
        <v>393</v>
      </c>
      <c r="E95" s="808">
        <v>1326</v>
      </c>
      <c r="F95" s="799"/>
      <c r="G95" s="799"/>
      <c r="H95" s="1592">
        <f t="shared" si="3"/>
        <v>0</v>
      </c>
      <c r="I95" s="754" t="str">
        <f>IFERROR(VLOOKUP(B95,Mychart!$A$125:$B$911,2,FALSE),"-")</f>
        <v>Abdullah Juma - Dar Dubai</v>
      </c>
      <c r="J95" s="753">
        <f t="shared" si="4"/>
        <v>3</v>
      </c>
      <c r="K95" s="1540">
        <f t="shared" si="5"/>
        <v>2024</v>
      </c>
      <c r="L95" s="757"/>
      <c r="M95" s="757"/>
      <c r="N95" s="757"/>
      <c r="O95" s="757"/>
      <c r="P95" s="757"/>
      <c r="Q95" s="757"/>
      <c r="R95" s="757"/>
      <c r="S95" s="757"/>
      <c r="T95" s="757"/>
      <c r="U95" s="757"/>
      <c r="V95" s="757"/>
      <c r="W95" s="757"/>
      <c r="X95" s="757"/>
      <c r="Y95" s="757"/>
      <c r="Z95" s="757"/>
      <c r="AA95" s="757"/>
      <c r="AB95" s="757"/>
      <c r="AC95" s="757"/>
      <c r="AD95" s="757"/>
      <c r="AE95" s="757"/>
      <c r="AF95" s="757"/>
      <c r="AG95" s="757"/>
      <c r="AH95" s="757"/>
      <c r="AI95" s="757"/>
      <c r="AJ95" s="757"/>
      <c r="AK95" s="757"/>
      <c r="AL95" s="757"/>
      <c r="AM95" s="757"/>
      <c r="AN95" s="757"/>
      <c r="AO95" s="757"/>
      <c r="AP95" s="757"/>
      <c r="AQ95" s="757"/>
      <c r="AR95" s="757"/>
      <c r="AS95" s="757"/>
      <c r="AT95" s="757"/>
      <c r="AU95" s="757"/>
      <c r="AV95" s="757"/>
      <c r="AW95" s="757"/>
      <c r="AX95" s="757"/>
      <c r="AY95" s="757"/>
      <c r="AZ95" s="75"/>
      <c r="BA95" s="2"/>
      <c r="BB95" s="2"/>
      <c r="BC95" s="2"/>
      <c r="BD95" s="2"/>
    </row>
    <row r="96" spans="1:56">
      <c r="A96" s="781">
        <v>2</v>
      </c>
      <c r="B96" s="782">
        <v>204</v>
      </c>
      <c r="C96" s="783">
        <v>45356</v>
      </c>
      <c r="D96" s="783" t="s">
        <v>395</v>
      </c>
      <c r="E96" s="808">
        <v>16634</v>
      </c>
      <c r="F96" s="799"/>
      <c r="G96" s="799"/>
      <c r="H96" s="1592">
        <f t="shared" si="3"/>
        <v>0</v>
      </c>
      <c r="I96" s="754" t="str">
        <f>IFERROR(VLOOKUP(B96,Mychart!$A$125:$B$911,2,FALSE),"-")</f>
        <v>Abdullah Juma - Dar Dubai</v>
      </c>
      <c r="J96" s="753">
        <f t="shared" si="4"/>
        <v>3</v>
      </c>
      <c r="K96" s="1540">
        <f t="shared" si="5"/>
        <v>2024</v>
      </c>
      <c r="L96" s="757"/>
      <c r="M96" s="757"/>
      <c r="N96" s="757"/>
      <c r="O96" s="757"/>
      <c r="P96" s="757"/>
      <c r="Q96" s="757"/>
      <c r="R96" s="757"/>
      <c r="S96" s="757"/>
      <c r="T96" s="757"/>
      <c r="U96" s="757"/>
      <c r="V96" s="757"/>
      <c r="W96" s="757"/>
      <c r="X96" s="757"/>
      <c r="Y96" s="757"/>
      <c r="Z96" s="757"/>
      <c r="AA96" s="757"/>
      <c r="AB96" s="757"/>
      <c r="AC96" s="757"/>
      <c r="AD96" s="757"/>
      <c r="AE96" s="757"/>
      <c r="AF96" s="757"/>
      <c r="AG96" s="757"/>
      <c r="AH96" s="757"/>
      <c r="AI96" s="757"/>
      <c r="AJ96" s="757"/>
      <c r="AK96" s="757"/>
      <c r="AL96" s="757"/>
      <c r="AM96" s="757"/>
      <c r="AN96" s="757"/>
      <c r="AO96" s="757"/>
      <c r="AP96" s="757"/>
      <c r="AQ96" s="757"/>
      <c r="AR96" s="757"/>
      <c r="AS96" s="757"/>
      <c r="AT96" s="757"/>
      <c r="AU96" s="757"/>
      <c r="AV96" s="757"/>
      <c r="AW96" s="757"/>
      <c r="AX96" s="757"/>
      <c r="AY96" s="757"/>
      <c r="AZ96" s="75"/>
      <c r="BA96" s="2"/>
      <c r="BB96" s="2"/>
      <c r="BC96" s="2"/>
      <c r="BD96" s="2"/>
    </row>
    <row r="97" spans="1:56">
      <c r="A97" s="781">
        <v>2</v>
      </c>
      <c r="B97" s="782">
        <v>204</v>
      </c>
      <c r="C97" s="783">
        <v>45402</v>
      </c>
      <c r="D97" s="783" t="s">
        <v>259</v>
      </c>
      <c r="E97" s="808">
        <v>6700</v>
      </c>
      <c r="F97" s="799"/>
      <c r="G97" s="799"/>
      <c r="H97" s="1592">
        <f t="shared" si="3"/>
        <v>0</v>
      </c>
      <c r="I97" s="754" t="str">
        <f>IFERROR(VLOOKUP(B97,Mychart!$A$125:$B$911,2,FALSE),"-")</f>
        <v>Abdullah Juma - Dar Dubai</v>
      </c>
      <c r="J97" s="753">
        <f t="shared" si="4"/>
        <v>4</v>
      </c>
      <c r="K97" s="1540">
        <f t="shared" si="5"/>
        <v>2024</v>
      </c>
      <c r="L97" s="757"/>
      <c r="M97" s="757"/>
      <c r="N97" s="757"/>
      <c r="O97" s="757"/>
      <c r="P97" s="757"/>
      <c r="Q97" s="757"/>
      <c r="R97" s="757"/>
      <c r="S97" s="757"/>
      <c r="T97" s="757"/>
      <c r="U97" s="757"/>
      <c r="V97" s="757"/>
      <c r="W97" s="757"/>
      <c r="X97" s="757"/>
      <c r="Y97" s="757"/>
      <c r="Z97" s="757"/>
      <c r="AA97" s="757"/>
      <c r="AB97" s="757"/>
      <c r="AC97" s="757"/>
      <c r="AD97" s="757"/>
      <c r="AE97" s="757"/>
      <c r="AF97" s="757"/>
      <c r="AG97" s="757"/>
      <c r="AH97" s="757"/>
      <c r="AI97" s="757"/>
      <c r="AJ97" s="757"/>
      <c r="AK97" s="757"/>
      <c r="AL97" s="757"/>
      <c r="AM97" s="757"/>
      <c r="AN97" s="757"/>
      <c r="AO97" s="757"/>
      <c r="AP97" s="757"/>
      <c r="AQ97" s="757"/>
      <c r="AR97" s="757"/>
      <c r="AS97" s="757"/>
      <c r="AT97" s="757"/>
      <c r="AU97" s="757"/>
      <c r="AV97" s="757"/>
      <c r="AW97" s="757"/>
      <c r="AX97" s="757"/>
      <c r="AY97" s="757"/>
      <c r="AZ97" s="75"/>
      <c r="BA97" s="2"/>
      <c r="BB97" s="2"/>
      <c r="BC97" s="2"/>
      <c r="BD97" s="2"/>
    </row>
    <row r="98" spans="1:56">
      <c r="A98" s="781">
        <v>2</v>
      </c>
      <c r="B98" s="782">
        <v>204</v>
      </c>
      <c r="C98" s="783">
        <v>45412</v>
      </c>
      <c r="D98" s="783" t="s">
        <v>393</v>
      </c>
      <c r="E98" s="808">
        <v>218</v>
      </c>
      <c r="F98" s="799"/>
      <c r="G98" s="799"/>
      <c r="H98" s="1592">
        <f t="shared" si="3"/>
        <v>0</v>
      </c>
      <c r="I98" s="754" t="str">
        <f>IFERROR(VLOOKUP(B98,Mychart!$A$125:$B$911,2,FALSE),"-")</f>
        <v>Abdullah Juma - Dar Dubai</v>
      </c>
      <c r="J98" s="753">
        <f t="shared" si="4"/>
        <v>4</v>
      </c>
      <c r="K98" s="1540">
        <f t="shared" si="5"/>
        <v>2024</v>
      </c>
      <c r="L98" s="757"/>
      <c r="M98" s="757"/>
      <c r="N98" s="757"/>
      <c r="O98" s="757"/>
      <c r="P98" s="757"/>
      <c r="Q98" s="757"/>
      <c r="R98" s="757"/>
      <c r="S98" s="757"/>
      <c r="T98" s="757"/>
      <c r="U98" s="757"/>
      <c r="V98" s="757"/>
      <c r="W98" s="757"/>
      <c r="X98" s="757"/>
      <c r="Y98" s="757"/>
      <c r="Z98" s="757"/>
      <c r="AA98" s="757"/>
      <c r="AB98" s="757"/>
      <c r="AC98" s="757"/>
      <c r="AD98" s="757"/>
      <c r="AE98" s="757"/>
      <c r="AF98" s="757"/>
      <c r="AG98" s="757"/>
      <c r="AH98" s="757"/>
      <c r="AI98" s="757"/>
      <c r="AJ98" s="757"/>
      <c r="AK98" s="757"/>
      <c r="AL98" s="757"/>
      <c r="AM98" s="757"/>
      <c r="AN98" s="757"/>
      <c r="AO98" s="757"/>
      <c r="AP98" s="757"/>
      <c r="AQ98" s="757"/>
      <c r="AR98" s="757"/>
      <c r="AS98" s="757"/>
      <c r="AT98" s="757"/>
      <c r="AU98" s="757"/>
      <c r="AV98" s="757"/>
      <c r="AW98" s="757"/>
      <c r="AX98" s="757"/>
      <c r="AY98" s="757"/>
      <c r="AZ98" s="75"/>
      <c r="BA98" s="2"/>
      <c r="BB98" s="2"/>
      <c r="BC98" s="2"/>
      <c r="BD98" s="2"/>
    </row>
    <row r="99" spans="1:56">
      <c r="A99" s="781">
        <v>2</v>
      </c>
      <c r="B99" s="782">
        <v>204</v>
      </c>
      <c r="C99" s="783">
        <v>45442</v>
      </c>
      <c r="D99" s="783" t="s">
        <v>393</v>
      </c>
      <c r="E99" s="808">
        <v>171</v>
      </c>
      <c r="F99" s="799"/>
      <c r="G99" s="799"/>
      <c r="H99" s="1592">
        <f t="shared" si="3"/>
        <v>0</v>
      </c>
      <c r="I99" s="754" t="str">
        <f>IFERROR(VLOOKUP(B99,Mychart!$A$125:$B$911,2,FALSE),"-")</f>
        <v>Abdullah Juma - Dar Dubai</v>
      </c>
      <c r="J99" s="753">
        <f t="shared" si="4"/>
        <v>5</v>
      </c>
      <c r="K99" s="1540">
        <f t="shared" si="5"/>
        <v>2024</v>
      </c>
      <c r="L99" s="757"/>
      <c r="M99" s="757"/>
      <c r="N99" s="757"/>
      <c r="O99" s="757"/>
      <c r="P99" s="757"/>
      <c r="Q99" s="757"/>
      <c r="R99" s="757"/>
      <c r="S99" s="757"/>
      <c r="T99" s="757"/>
      <c r="U99" s="757"/>
      <c r="V99" s="757"/>
      <c r="W99" s="757"/>
      <c r="X99" s="757"/>
      <c r="Y99" s="757"/>
      <c r="Z99" s="757"/>
      <c r="AA99" s="757"/>
      <c r="AB99" s="757"/>
      <c r="AC99" s="757"/>
      <c r="AD99" s="757"/>
      <c r="AE99" s="757"/>
      <c r="AF99" s="757"/>
      <c r="AG99" s="757"/>
      <c r="AH99" s="757"/>
      <c r="AI99" s="757"/>
      <c r="AJ99" s="757"/>
      <c r="AK99" s="757"/>
      <c r="AL99" s="757"/>
      <c r="AM99" s="757"/>
      <c r="AN99" s="757"/>
      <c r="AO99" s="757"/>
      <c r="AP99" s="757"/>
      <c r="AQ99" s="757"/>
      <c r="AR99" s="757"/>
      <c r="AS99" s="757"/>
      <c r="AT99" s="757"/>
      <c r="AU99" s="757"/>
      <c r="AV99" s="757"/>
      <c r="AW99" s="757"/>
      <c r="AX99" s="757"/>
      <c r="AY99" s="757"/>
      <c r="AZ99" s="75"/>
      <c r="BA99" s="2"/>
      <c r="BB99" s="2"/>
      <c r="BC99" s="2"/>
      <c r="BD99" s="2"/>
    </row>
    <row r="100" spans="1:56">
      <c r="A100" s="781">
        <v>1</v>
      </c>
      <c r="B100" s="782">
        <v>277</v>
      </c>
      <c r="C100" s="783">
        <v>45448</v>
      </c>
      <c r="D100" s="786" t="s">
        <v>399</v>
      </c>
      <c r="E100" s="807"/>
      <c r="F100" s="798">
        <v>6750</v>
      </c>
      <c r="G100" s="798">
        <v>337.5</v>
      </c>
      <c r="H100" s="1592">
        <f t="shared" si="3"/>
        <v>7087.5</v>
      </c>
      <c r="I100" s="754" t="str">
        <f>IFERROR(VLOOKUP(B100,Mychart!$A$125:$B$911,2,FALSE),"-")</f>
        <v>ABDULRHMAN ESSA ALI</v>
      </c>
      <c r="J100" s="753">
        <f t="shared" si="4"/>
        <v>6</v>
      </c>
      <c r="K100" s="1540">
        <f t="shared" si="5"/>
        <v>2024</v>
      </c>
      <c r="L100" s="757"/>
      <c r="M100" s="757"/>
      <c r="N100" s="757"/>
      <c r="O100" s="757"/>
      <c r="P100" s="757"/>
      <c r="Q100" s="757"/>
      <c r="R100" s="757"/>
      <c r="S100" s="757"/>
      <c r="T100" s="757"/>
      <c r="U100" s="757"/>
      <c r="V100" s="757"/>
      <c r="W100" s="757"/>
      <c r="X100" s="757"/>
      <c r="Y100" s="757"/>
      <c r="Z100" s="757"/>
      <c r="AA100" s="757"/>
      <c r="AB100" s="757"/>
      <c r="AC100" s="757"/>
      <c r="AD100" s="757"/>
      <c r="AE100" s="757"/>
      <c r="AF100" s="757"/>
      <c r="AG100" s="757"/>
      <c r="AH100" s="757"/>
      <c r="AI100" s="757"/>
      <c r="AJ100" s="757"/>
      <c r="AK100" s="757"/>
      <c r="AL100" s="757"/>
      <c r="AM100" s="757"/>
      <c r="AN100" s="757"/>
      <c r="AO100" s="757"/>
      <c r="AP100" s="757"/>
      <c r="AQ100" s="757"/>
      <c r="AR100" s="757"/>
      <c r="AS100" s="757"/>
      <c r="AT100" s="757"/>
      <c r="AU100" s="757"/>
      <c r="AV100" s="757"/>
      <c r="AW100" s="757"/>
      <c r="AX100" s="757"/>
      <c r="AY100" s="757"/>
      <c r="AZ100" s="75"/>
      <c r="BA100" s="2"/>
      <c r="BB100" s="2"/>
      <c r="BC100" s="2"/>
      <c r="BD100" s="2"/>
    </row>
    <row r="101" spans="1:56">
      <c r="A101" s="781">
        <v>1</v>
      </c>
      <c r="B101" s="782">
        <v>256</v>
      </c>
      <c r="C101" s="783">
        <v>45337</v>
      </c>
      <c r="D101" s="786" t="s">
        <v>404</v>
      </c>
      <c r="E101" s="807"/>
      <c r="F101" s="798">
        <v>45500</v>
      </c>
      <c r="G101" s="798">
        <v>2275</v>
      </c>
      <c r="H101" s="1592">
        <f t="shared" si="3"/>
        <v>47775</v>
      </c>
      <c r="I101" s="754" t="str">
        <f>IFERROR(VLOOKUP(B101,Mychart!$A$125:$B$911,2,FALSE),"-")</f>
        <v>ADNAN DUBAI SKY</v>
      </c>
      <c r="J101" s="753">
        <f t="shared" si="4"/>
        <v>2</v>
      </c>
      <c r="K101" s="1540">
        <f t="shared" si="5"/>
        <v>2024</v>
      </c>
      <c r="L101" s="757"/>
      <c r="M101" s="757"/>
      <c r="N101" s="757"/>
      <c r="O101" s="757"/>
      <c r="P101" s="757"/>
      <c r="Q101" s="757"/>
      <c r="R101" s="757"/>
      <c r="S101" s="757"/>
      <c r="T101" s="757"/>
      <c r="U101" s="757"/>
      <c r="V101" s="757"/>
      <c r="W101" s="757"/>
      <c r="X101" s="757"/>
      <c r="Y101" s="757"/>
      <c r="Z101" s="757"/>
      <c r="AA101" s="757"/>
      <c r="AB101" s="757"/>
      <c r="AC101" s="757"/>
      <c r="AD101" s="757"/>
      <c r="AE101" s="757"/>
      <c r="AF101" s="757"/>
      <c r="AG101" s="757"/>
      <c r="AH101" s="757"/>
      <c r="AI101" s="757"/>
      <c r="AJ101" s="757"/>
      <c r="AK101" s="757"/>
      <c r="AL101" s="757"/>
      <c r="AM101" s="757"/>
      <c r="AN101" s="757"/>
      <c r="AO101" s="757"/>
      <c r="AP101" s="757"/>
      <c r="AQ101" s="757"/>
      <c r="AR101" s="757"/>
      <c r="AS101" s="757"/>
      <c r="AT101" s="757"/>
      <c r="AU101" s="757"/>
      <c r="AV101" s="757"/>
      <c r="AW101" s="757"/>
      <c r="AX101" s="757"/>
      <c r="AY101" s="757"/>
      <c r="AZ101" s="75"/>
      <c r="BA101" s="2"/>
      <c r="BB101" s="2"/>
      <c r="BC101" s="2"/>
      <c r="BD101" s="2"/>
    </row>
    <row r="102" spans="1:56">
      <c r="A102" s="781">
        <v>2</v>
      </c>
      <c r="B102" s="782">
        <v>256</v>
      </c>
      <c r="C102" s="783">
        <v>45347</v>
      </c>
      <c r="D102" s="783" t="s">
        <v>405</v>
      </c>
      <c r="E102" s="808">
        <v>20000</v>
      </c>
      <c r="F102" s="799"/>
      <c r="G102" s="799"/>
      <c r="H102" s="1592">
        <f t="shared" si="3"/>
        <v>0</v>
      </c>
      <c r="I102" s="754" t="str">
        <f>IFERROR(VLOOKUP(B102,Mychart!$A$125:$B$911,2,FALSE),"-")</f>
        <v>ADNAN DUBAI SKY</v>
      </c>
      <c r="J102" s="753">
        <f t="shared" si="4"/>
        <v>2</v>
      </c>
      <c r="K102" s="1540">
        <f t="shared" si="5"/>
        <v>2024</v>
      </c>
      <c r="L102" s="757"/>
      <c r="M102" s="757"/>
      <c r="N102" s="757"/>
      <c r="O102" s="757"/>
      <c r="P102" s="757"/>
      <c r="Q102" s="757"/>
      <c r="R102" s="757"/>
      <c r="S102" s="757"/>
      <c r="T102" s="757"/>
      <c r="U102" s="757"/>
      <c r="V102" s="757"/>
      <c r="W102" s="757"/>
      <c r="X102" s="757"/>
      <c r="Y102" s="757"/>
      <c r="Z102" s="757"/>
      <c r="AA102" s="757"/>
      <c r="AB102" s="757"/>
      <c r="AC102" s="757"/>
      <c r="AD102" s="757"/>
      <c r="AE102" s="757"/>
      <c r="AF102" s="757"/>
      <c r="AG102" s="757"/>
      <c r="AH102" s="757"/>
      <c r="AI102" s="757"/>
      <c r="AJ102" s="757"/>
      <c r="AK102" s="757"/>
      <c r="AL102" s="757"/>
      <c r="AM102" s="757"/>
      <c r="AN102" s="757"/>
      <c r="AO102" s="757"/>
      <c r="AP102" s="757"/>
      <c r="AQ102" s="757"/>
      <c r="AR102" s="757"/>
      <c r="AS102" s="757"/>
      <c r="AT102" s="757"/>
      <c r="AU102" s="757"/>
      <c r="AV102" s="757"/>
      <c r="AW102" s="757"/>
      <c r="AX102" s="757"/>
      <c r="AY102" s="757"/>
      <c r="AZ102" s="75"/>
      <c r="BA102" s="2"/>
      <c r="BB102" s="2"/>
      <c r="BC102" s="2"/>
      <c r="BD102" s="2"/>
    </row>
    <row r="103" spans="1:56">
      <c r="A103" s="781">
        <v>2</v>
      </c>
      <c r="B103" s="782">
        <v>256</v>
      </c>
      <c r="C103" s="783">
        <v>45351</v>
      </c>
      <c r="D103" s="783" t="s">
        <v>177</v>
      </c>
      <c r="E103" s="808">
        <v>46.2</v>
      </c>
      <c r="F103" s="799"/>
      <c r="G103" s="799"/>
      <c r="H103" s="1592">
        <f t="shared" si="3"/>
        <v>0</v>
      </c>
      <c r="I103" s="754" t="str">
        <f>IFERROR(VLOOKUP(B103,Mychart!$A$125:$B$911,2,FALSE),"-")</f>
        <v>ADNAN DUBAI SKY</v>
      </c>
      <c r="J103" s="753">
        <f t="shared" si="4"/>
        <v>2</v>
      </c>
      <c r="K103" s="1540">
        <f t="shared" si="5"/>
        <v>2024</v>
      </c>
      <c r="L103" s="757"/>
      <c r="M103" s="757"/>
      <c r="N103" s="757"/>
      <c r="O103" s="757"/>
      <c r="P103" s="757"/>
      <c r="Q103" s="757"/>
      <c r="R103" s="757"/>
      <c r="S103" s="757"/>
      <c r="T103" s="757"/>
      <c r="U103" s="757"/>
      <c r="V103" s="757"/>
      <c r="W103" s="757"/>
      <c r="X103" s="757"/>
      <c r="Y103" s="757"/>
      <c r="Z103" s="757"/>
      <c r="AA103" s="757"/>
      <c r="AB103" s="757"/>
      <c r="AC103" s="757"/>
      <c r="AD103" s="757"/>
      <c r="AE103" s="757"/>
      <c r="AF103" s="757"/>
      <c r="AG103" s="757"/>
      <c r="AH103" s="757"/>
      <c r="AI103" s="757"/>
      <c r="AJ103" s="757"/>
      <c r="AK103" s="757"/>
      <c r="AL103" s="757"/>
      <c r="AM103" s="757"/>
      <c r="AN103" s="757"/>
      <c r="AO103" s="757"/>
      <c r="AP103" s="757"/>
      <c r="AQ103" s="757"/>
      <c r="AR103" s="757"/>
      <c r="AS103" s="757"/>
      <c r="AT103" s="757"/>
      <c r="AU103" s="757"/>
      <c r="AV103" s="757"/>
      <c r="AW103" s="757"/>
      <c r="AX103" s="757"/>
      <c r="AY103" s="757"/>
      <c r="AZ103" s="75"/>
      <c r="BA103" s="2"/>
      <c r="BB103" s="2"/>
      <c r="BC103" s="2"/>
      <c r="BD103" s="2"/>
    </row>
    <row r="104" spans="1:56">
      <c r="A104" s="781">
        <v>2</v>
      </c>
      <c r="B104" s="782">
        <v>256</v>
      </c>
      <c r="C104" s="783">
        <v>45352</v>
      </c>
      <c r="D104" s="783" t="s">
        <v>406</v>
      </c>
      <c r="E104" s="808">
        <v>1000</v>
      </c>
      <c r="F104" s="799"/>
      <c r="G104" s="799"/>
      <c r="H104" s="1592">
        <f t="shared" si="3"/>
        <v>0</v>
      </c>
      <c r="I104" s="754" t="str">
        <f>IFERROR(VLOOKUP(B104,Mychart!$A$125:$B$911,2,FALSE),"-")</f>
        <v>ADNAN DUBAI SKY</v>
      </c>
      <c r="J104" s="753">
        <f t="shared" si="4"/>
        <v>3</v>
      </c>
      <c r="K104" s="1540">
        <f t="shared" si="5"/>
        <v>2024</v>
      </c>
      <c r="L104" s="757"/>
      <c r="M104" s="757"/>
      <c r="N104" s="757"/>
      <c r="O104" s="757"/>
      <c r="P104" s="757"/>
      <c r="Q104" s="757"/>
      <c r="R104" s="757"/>
      <c r="S104" s="757"/>
      <c r="T104" s="757"/>
      <c r="U104" s="757"/>
      <c r="V104" s="757"/>
      <c r="W104" s="757"/>
      <c r="X104" s="757"/>
      <c r="Y104" s="757"/>
      <c r="Z104" s="757"/>
      <c r="AA104" s="757"/>
      <c r="AB104" s="757"/>
      <c r="AC104" s="757"/>
      <c r="AD104" s="757"/>
      <c r="AE104" s="757"/>
      <c r="AF104" s="757"/>
      <c r="AG104" s="757"/>
      <c r="AH104" s="757"/>
      <c r="AI104" s="757"/>
      <c r="AJ104" s="757"/>
      <c r="AK104" s="757"/>
      <c r="AL104" s="757"/>
      <c r="AM104" s="757"/>
      <c r="AN104" s="757"/>
      <c r="AO104" s="757"/>
      <c r="AP104" s="757"/>
      <c r="AQ104" s="757"/>
      <c r="AR104" s="757"/>
      <c r="AS104" s="757"/>
      <c r="AT104" s="757"/>
      <c r="AU104" s="757"/>
      <c r="AV104" s="757"/>
      <c r="AW104" s="757"/>
      <c r="AX104" s="757"/>
      <c r="AY104" s="757"/>
      <c r="AZ104" s="75"/>
      <c r="BA104" s="2"/>
      <c r="BB104" s="2"/>
      <c r="BC104" s="2"/>
      <c r="BD104" s="2"/>
    </row>
    <row r="105" spans="1:56">
      <c r="A105" s="781">
        <v>2</v>
      </c>
      <c r="B105" s="782">
        <v>256</v>
      </c>
      <c r="C105" s="783">
        <v>45354</v>
      </c>
      <c r="D105" s="783" t="s">
        <v>177</v>
      </c>
      <c r="E105" s="808">
        <v>115</v>
      </c>
      <c r="F105" s="799"/>
      <c r="G105" s="799"/>
      <c r="H105" s="1592">
        <f t="shared" si="3"/>
        <v>0</v>
      </c>
      <c r="I105" s="754" t="str">
        <f>IFERROR(VLOOKUP(B105,Mychart!$A$125:$B$911,2,FALSE),"-")</f>
        <v>ADNAN DUBAI SKY</v>
      </c>
      <c r="J105" s="753">
        <f t="shared" si="4"/>
        <v>3</v>
      </c>
      <c r="K105" s="1540">
        <f t="shared" si="5"/>
        <v>2024</v>
      </c>
      <c r="L105" s="757"/>
      <c r="M105" s="757"/>
      <c r="N105" s="757"/>
      <c r="O105" s="757"/>
      <c r="P105" s="757"/>
      <c r="Q105" s="757"/>
      <c r="R105" s="757"/>
      <c r="S105" s="757"/>
      <c r="T105" s="757"/>
      <c r="U105" s="757"/>
      <c r="V105" s="757"/>
      <c r="W105" s="757"/>
      <c r="X105" s="757"/>
      <c r="Y105" s="757"/>
      <c r="Z105" s="757"/>
      <c r="AA105" s="757"/>
      <c r="AB105" s="757"/>
      <c r="AC105" s="757"/>
      <c r="AD105" s="757"/>
      <c r="AE105" s="757"/>
      <c r="AF105" s="757"/>
      <c r="AG105" s="757"/>
      <c r="AH105" s="757"/>
      <c r="AI105" s="757"/>
      <c r="AJ105" s="757"/>
      <c r="AK105" s="757"/>
      <c r="AL105" s="757"/>
      <c r="AM105" s="757"/>
      <c r="AN105" s="757"/>
      <c r="AO105" s="757"/>
      <c r="AP105" s="757"/>
      <c r="AQ105" s="757"/>
      <c r="AR105" s="757"/>
      <c r="AS105" s="757"/>
      <c r="AT105" s="757"/>
      <c r="AU105" s="757"/>
      <c r="AV105" s="757"/>
      <c r="AW105" s="757"/>
      <c r="AX105" s="757"/>
      <c r="AY105" s="757"/>
      <c r="AZ105" s="75"/>
      <c r="BA105" s="2"/>
      <c r="BB105" s="2"/>
      <c r="BC105" s="2"/>
      <c r="BD105" s="2"/>
    </row>
    <row r="106" spans="1:56">
      <c r="A106" s="781">
        <v>2</v>
      </c>
      <c r="B106" s="782">
        <v>256</v>
      </c>
      <c r="C106" s="783">
        <v>45443</v>
      </c>
      <c r="D106" s="783" t="s">
        <v>177</v>
      </c>
      <c r="E106" s="808">
        <v>142</v>
      </c>
      <c r="F106" s="799"/>
      <c r="G106" s="799"/>
      <c r="H106" s="1592">
        <f t="shared" si="3"/>
        <v>0</v>
      </c>
      <c r="I106" s="754" t="str">
        <f>IFERROR(VLOOKUP(B106,Mychart!$A$125:$B$911,2,FALSE),"-")</f>
        <v>ADNAN DUBAI SKY</v>
      </c>
      <c r="J106" s="753">
        <f t="shared" si="4"/>
        <v>5</v>
      </c>
      <c r="K106" s="1540">
        <f t="shared" si="5"/>
        <v>2024</v>
      </c>
      <c r="L106" s="757"/>
      <c r="M106" s="757"/>
      <c r="N106" s="757"/>
      <c r="O106" s="757"/>
      <c r="P106" s="757"/>
      <c r="Q106" s="757"/>
      <c r="R106" s="757"/>
      <c r="S106" s="757"/>
      <c r="T106" s="757"/>
      <c r="U106" s="757"/>
      <c r="V106" s="757"/>
      <c r="W106" s="757"/>
      <c r="X106" s="757"/>
      <c r="Y106" s="757"/>
      <c r="Z106" s="757"/>
      <c r="AA106" s="757"/>
      <c r="AB106" s="757"/>
      <c r="AC106" s="757"/>
      <c r="AD106" s="757"/>
      <c r="AE106" s="757"/>
      <c r="AF106" s="757"/>
      <c r="AG106" s="757"/>
      <c r="AH106" s="757"/>
      <c r="AI106" s="757"/>
      <c r="AJ106" s="757"/>
      <c r="AK106" s="757"/>
      <c r="AL106" s="757"/>
      <c r="AM106" s="757"/>
      <c r="AN106" s="757"/>
      <c r="AO106" s="757"/>
      <c r="AP106" s="757"/>
      <c r="AQ106" s="757"/>
      <c r="AR106" s="757"/>
      <c r="AS106" s="757"/>
      <c r="AT106" s="757"/>
      <c r="AU106" s="757"/>
      <c r="AV106" s="757"/>
      <c r="AW106" s="757"/>
      <c r="AX106" s="757"/>
      <c r="AY106" s="757"/>
      <c r="AZ106" s="75"/>
      <c r="BA106" s="2"/>
      <c r="BB106" s="2"/>
      <c r="BC106" s="2"/>
      <c r="BD106" s="2"/>
    </row>
    <row r="107" spans="1:56">
      <c r="A107" s="781">
        <v>1</v>
      </c>
      <c r="B107" s="782">
        <v>235</v>
      </c>
      <c r="C107" s="783">
        <v>45082</v>
      </c>
      <c r="D107" s="786" t="s">
        <v>412</v>
      </c>
      <c r="E107" s="807"/>
      <c r="F107" s="798">
        <v>25000</v>
      </c>
      <c r="G107" s="798">
        <v>1250</v>
      </c>
      <c r="H107" s="1592">
        <f t="shared" si="3"/>
        <v>26250</v>
      </c>
      <c r="I107" s="754" t="str">
        <f>IFERROR(VLOOKUP(B107,Mychart!$A$125:$B$911,2,FALSE),"-")</f>
        <v>Ahmed Abdullah Malik</v>
      </c>
      <c r="J107" s="753">
        <f t="shared" si="4"/>
        <v>6</v>
      </c>
      <c r="K107" s="1540">
        <f t="shared" si="5"/>
        <v>2023</v>
      </c>
      <c r="L107" s="757"/>
      <c r="M107" s="757"/>
      <c r="N107" s="757"/>
      <c r="O107" s="757"/>
      <c r="P107" s="757"/>
      <c r="Q107" s="757"/>
      <c r="R107" s="757"/>
      <c r="S107" s="757"/>
      <c r="T107" s="757"/>
      <c r="U107" s="757"/>
      <c r="V107" s="757"/>
      <c r="W107" s="757"/>
      <c r="X107" s="757"/>
      <c r="Y107" s="757"/>
      <c r="Z107" s="757"/>
      <c r="AA107" s="757"/>
      <c r="AB107" s="757"/>
      <c r="AC107" s="757"/>
      <c r="AD107" s="757"/>
      <c r="AE107" s="757"/>
      <c r="AF107" s="757"/>
      <c r="AG107" s="757"/>
      <c r="AH107" s="757"/>
      <c r="AI107" s="757"/>
      <c r="AJ107" s="757"/>
      <c r="AK107" s="757"/>
      <c r="AL107" s="757"/>
      <c r="AM107" s="757"/>
      <c r="AN107" s="757"/>
      <c r="AO107" s="757"/>
      <c r="AP107" s="757"/>
      <c r="AQ107" s="757"/>
      <c r="AR107" s="757"/>
      <c r="AS107" s="757"/>
      <c r="AT107" s="757"/>
      <c r="AU107" s="757"/>
      <c r="AV107" s="757"/>
      <c r="AW107" s="757"/>
      <c r="AX107" s="757"/>
      <c r="AY107" s="757"/>
      <c r="AZ107" s="75"/>
      <c r="BA107" s="2"/>
      <c r="BB107" s="2"/>
      <c r="BC107" s="2"/>
      <c r="BD107" s="2"/>
    </row>
    <row r="108" spans="1:56">
      <c r="A108" s="781">
        <v>2</v>
      </c>
      <c r="B108" s="782">
        <v>235</v>
      </c>
      <c r="C108" s="783">
        <v>45075</v>
      </c>
      <c r="D108" s="783" t="s">
        <v>181</v>
      </c>
      <c r="E108" s="807">
        <v>10000</v>
      </c>
      <c r="F108" s="799"/>
      <c r="G108" s="799"/>
      <c r="H108" s="1592">
        <f t="shared" si="3"/>
        <v>0</v>
      </c>
      <c r="I108" s="754" t="str">
        <f>IFERROR(VLOOKUP(B108,Mychart!$A$125:$B$911,2,FALSE),"-")</f>
        <v>Ahmed Abdullah Malik</v>
      </c>
      <c r="J108" s="753">
        <f t="shared" si="4"/>
        <v>5</v>
      </c>
      <c r="K108" s="1540">
        <f t="shared" si="5"/>
        <v>2023</v>
      </c>
      <c r="L108" s="757"/>
      <c r="M108" s="757"/>
      <c r="N108" s="757"/>
      <c r="O108" s="757"/>
      <c r="P108" s="757"/>
      <c r="Q108" s="757"/>
      <c r="R108" s="757"/>
      <c r="S108" s="757"/>
      <c r="T108" s="757"/>
      <c r="U108" s="757"/>
      <c r="V108" s="757"/>
      <c r="W108" s="757"/>
      <c r="X108" s="757"/>
      <c r="Y108" s="757"/>
      <c r="Z108" s="757"/>
      <c r="AA108" s="757"/>
      <c r="AB108" s="757"/>
      <c r="AC108" s="757"/>
      <c r="AD108" s="757"/>
      <c r="AE108" s="757"/>
      <c r="AF108" s="757"/>
      <c r="AG108" s="757"/>
      <c r="AH108" s="757"/>
      <c r="AI108" s="757"/>
      <c r="AJ108" s="757"/>
      <c r="AK108" s="757"/>
      <c r="AL108" s="757"/>
      <c r="AM108" s="757"/>
      <c r="AN108" s="757"/>
      <c r="AO108" s="757"/>
      <c r="AP108" s="757"/>
      <c r="AQ108" s="757"/>
      <c r="AR108" s="757"/>
      <c r="AS108" s="757"/>
      <c r="AT108" s="757"/>
      <c r="AU108" s="757"/>
      <c r="AV108" s="757"/>
      <c r="AW108" s="757"/>
      <c r="AX108" s="757"/>
      <c r="AY108" s="757"/>
      <c r="AZ108" s="75"/>
      <c r="BA108" s="2"/>
      <c r="BB108" s="2"/>
      <c r="BC108" s="2"/>
      <c r="BD108" s="2"/>
    </row>
    <row r="109" spans="1:56">
      <c r="A109" s="781">
        <v>2</v>
      </c>
      <c r="B109" s="782">
        <v>235</v>
      </c>
      <c r="C109" s="783"/>
      <c r="D109" s="783" t="s">
        <v>178</v>
      </c>
      <c r="E109" s="807">
        <v>36</v>
      </c>
      <c r="F109" s="799"/>
      <c r="G109" s="799"/>
      <c r="H109" s="1592">
        <f t="shared" si="3"/>
        <v>0</v>
      </c>
      <c r="I109" s="754" t="str">
        <f>IFERROR(VLOOKUP(B109,Mychart!$A$125:$B$911,2,FALSE),"-")</f>
        <v>Ahmed Abdullah Malik</v>
      </c>
      <c r="J109" s="753" t="str">
        <f t="shared" si="4"/>
        <v>-</v>
      </c>
      <c r="K109" s="1540">
        <f t="shared" si="5"/>
        <v>1900</v>
      </c>
      <c r="L109" s="757"/>
      <c r="M109" s="757"/>
      <c r="N109" s="757"/>
      <c r="O109" s="757"/>
      <c r="P109" s="757"/>
      <c r="Q109" s="757"/>
      <c r="R109" s="757"/>
      <c r="S109" s="757"/>
      <c r="T109" s="757"/>
      <c r="U109" s="757"/>
      <c r="V109" s="757"/>
      <c r="W109" s="757"/>
      <c r="X109" s="757"/>
      <c r="Y109" s="757"/>
      <c r="Z109" s="757"/>
      <c r="AA109" s="757"/>
      <c r="AB109" s="757"/>
      <c r="AC109" s="757"/>
      <c r="AD109" s="757"/>
      <c r="AE109" s="757"/>
      <c r="AF109" s="757"/>
      <c r="AG109" s="757"/>
      <c r="AH109" s="757"/>
      <c r="AI109" s="757"/>
      <c r="AJ109" s="757"/>
      <c r="AK109" s="757"/>
      <c r="AL109" s="757"/>
      <c r="AM109" s="757"/>
      <c r="AN109" s="757"/>
      <c r="AO109" s="757"/>
      <c r="AP109" s="757"/>
      <c r="AQ109" s="757"/>
      <c r="AR109" s="757"/>
      <c r="AS109" s="757"/>
      <c r="AT109" s="757"/>
      <c r="AU109" s="757"/>
      <c r="AV109" s="757"/>
      <c r="AW109" s="757"/>
      <c r="AX109" s="757"/>
      <c r="AY109" s="757"/>
      <c r="AZ109" s="75"/>
      <c r="BA109" s="2"/>
      <c r="BB109" s="2"/>
      <c r="BC109" s="2"/>
      <c r="BD109" s="2"/>
    </row>
    <row r="110" spans="1:56">
      <c r="A110" s="781">
        <v>2</v>
      </c>
      <c r="B110" s="782">
        <v>235</v>
      </c>
      <c r="C110" s="783"/>
      <c r="D110" s="783" t="s">
        <v>183</v>
      </c>
      <c r="E110" s="807">
        <v>500</v>
      </c>
      <c r="F110" s="799"/>
      <c r="G110" s="799"/>
      <c r="H110" s="1592">
        <f t="shared" si="3"/>
        <v>0</v>
      </c>
      <c r="I110" s="754" t="str">
        <f>IFERROR(VLOOKUP(B110,Mychart!$A$125:$B$911,2,FALSE),"-")</f>
        <v>Ahmed Abdullah Malik</v>
      </c>
      <c r="J110" s="753" t="str">
        <f t="shared" si="4"/>
        <v>-</v>
      </c>
      <c r="K110" s="1540">
        <f t="shared" si="5"/>
        <v>1900</v>
      </c>
      <c r="L110" s="757"/>
      <c r="M110" s="757"/>
      <c r="N110" s="757"/>
      <c r="O110" s="757"/>
      <c r="P110" s="757"/>
      <c r="Q110" s="757"/>
      <c r="R110" s="757"/>
      <c r="S110" s="757"/>
      <c r="T110" s="757"/>
      <c r="U110" s="757"/>
      <c r="V110" s="757"/>
      <c r="W110" s="757"/>
      <c r="X110" s="757"/>
      <c r="Y110" s="757"/>
      <c r="Z110" s="757"/>
      <c r="AA110" s="757"/>
      <c r="AB110" s="757"/>
      <c r="AC110" s="757"/>
      <c r="AD110" s="757"/>
      <c r="AE110" s="757"/>
      <c r="AF110" s="757"/>
      <c r="AG110" s="757"/>
      <c r="AH110" s="757"/>
      <c r="AI110" s="757"/>
      <c r="AJ110" s="757"/>
      <c r="AK110" s="757"/>
      <c r="AL110" s="757"/>
      <c r="AM110" s="757"/>
      <c r="AN110" s="757"/>
      <c r="AO110" s="757"/>
      <c r="AP110" s="757"/>
      <c r="AQ110" s="757"/>
      <c r="AR110" s="757"/>
      <c r="AS110" s="757"/>
      <c r="AT110" s="757"/>
      <c r="AU110" s="757"/>
      <c r="AV110" s="757"/>
      <c r="AW110" s="757"/>
      <c r="AX110" s="757"/>
      <c r="AY110" s="757"/>
      <c r="AZ110" s="75"/>
      <c r="BA110" s="2"/>
      <c r="BB110" s="2"/>
      <c r="BC110" s="2"/>
      <c r="BD110" s="2"/>
    </row>
    <row r="111" spans="1:56">
      <c r="A111" s="781">
        <v>2</v>
      </c>
      <c r="B111" s="782">
        <v>235</v>
      </c>
      <c r="C111" s="783"/>
      <c r="D111" s="783" t="s">
        <v>178</v>
      </c>
      <c r="E111" s="807">
        <v>90</v>
      </c>
      <c r="F111" s="799"/>
      <c r="G111" s="799"/>
      <c r="H111" s="1592">
        <f t="shared" si="3"/>
        <v>0</v>
      </c>
      <c r="I111" s="754" t="str">
        <f>IFERROR(VLOOKUP(B111,Mychart!$A$125:$B$911,2,FALSE),"-")</f>
        <v>Ahmed Abdullah Malik</v>
      </c>
      <c r="J111" s="753" t="str">
        <f t="shared" si="4"/>
        <v>-</v>
      </c>
      <c r="K111" s="1540">
        <f t="shared" si="5"/>
        <v>1900</v>
      </c>
      <c r="L111" s="757"/>
      <c r="M111" s="757"/>
      <c r="N111" s="757"/>
      <c r="O111" s="757"/>
      <c r="P111" s="757"/>
      <c r="Q111" s="757"/>
      <c r="R111" s="757"/>
      <c r="S111" s="757"/>
      <c r="T111" s="757"/>
      <c r="U111" s="757"/>
      <c r="V111" s="757"/>
      <c r="W111" s="757"/>
      <c r="X111" s="757"/>
      <c r="Y111" s="757"/>
      <c r="Z111" s="757"/>
      <c r="AA111" s="757"/>
      <c r="AB111" s="757"/>
      <c r="AC111" s="757"/>
      <c r="AD111" s="757"/>
      <c r="AE111" s="757"/>
      <c r="AF111" s="757"/>
      <c r="AG111" s="757"/>
      <c r="AH111" s="757"/>
      <c r="AI111" s="757"/>
      <c r="AJ111" s="757"/>
      <c r="AK111" s="757"/>
      <c r="AL111" s="757"/>
      <c r="AM111" s="757"/>
      <c r="AN111" s="757"/>
      <c r="AO111" s="757"/>
      <c r="AP111" s="757"/>
      <c r="AQ111" s="757"/>
      <c r="AR111" s="757"/>
      <c r="AS111" s="757"/>
      <c r="AT111" s="757"/>
      <c r="AU111" s="757"/>
      <c r="AV111" s="757"/>
      <c r="AW111" s="757"/>
      <c r="AX111" s="757"/>
      <c r="AY111" s="757"/>
      <c r="AZ111" s="75"/>
      <c r="BA111" s="2"/>
      <c r="BB111" s="2"/>
      <c r="BC111" s="2"/>
      <c r="BD111" s="2"/>
    </row>
    <row r="112" spans="1:56">
      <c r="A112" s="781">
        <v>1</v>
      </c>
      <c r="B112" s="782">
        <v>227</v>
      </c>
      <c r="C112" s="783">
        <v>45018</v>
      </c>
      <c r="D112" s="786" t="s">
        <v>418</v>
      </c>
      <c r="E112" s="807"/>
      <c r="F112" s="798">
        <v>59000</v>
      </c>
      <c r="G112" s="798">
        <v>2950</v>
      </c>
      <c r="H112" s="1592">
        <f t="shared" si="3"/>
        <v>61950</v>
      </c>
      <c r="I112" s="754" t="str">
        <f>IFERROR(VLOOKUP(B112,Mychart!$A$125:$B$911,2,FALSE),"-")</f>
        <v>AHMED SAIF SHAMSI</v>
      </c>
      <c r="J112" s="753">
        <f t="shared" si="4"/>
        <v>4</v>
      </c>
      <c r="K112" s="1540">
        <f t="shared" si="5"/>
        <v>2023</v>
      </c>
      <c r="L112" s="757"/>
      <c r="M112" s="757"/>
      <c r="N112" s="757"/>
      <c r="O112" s="757"/>
      <c r="P112" s="757"/>
      <c r="Q112" s="757"/>
      <c r="R112" s="757"/>
      <c r="S112" s="757"/>
      <c r="T112" s="757"/>
      <c r="U112" s="757"/>
      <c r="V112" s="757"/>
      <c r="W112" s="757"/>
      <c r="X112" s="757"/>
      <c r="Y112" s="757"/>
      <c r="Z112" s="757"/>
      <c r="AA112" s="757"/>
      <c r="AB112" s="757"/>
      <c r="AC112" s="757"/>
      <c r="AD112" s="757"/>
      <c r="AE112" s="757"/>
      <c r="AF112" s="757"/>
      <c r="AG112" s="757"/>
      <c r="AH112" s="757"/>
      <c r="AI112" s="757"/>
      <c r="AJ112" s="757"/>
      <c r="AK112" s="757"/>
      <c r="AL112" s="757"/>
      <c r="AM112" s="757"/>
      <c r="AN112" s="757"/>
      <c r="AO112" s="757"/>
      <c r="AP112" s="757"/>
      <c r="AQ112" s="757"/>
      <c r="AR112" s="757"/>
      <c r="AS112" s="757"/>
      <c r="AT112" s="757"/>
      <c r="AU112" s="757"/>
      <c r="AV112" s="757"/>
      <c r="AW112" s="757"/>
      <c r="AX112" s="757"/>
      <c r="AY112" s="757"/>
      <c r="AZ112" s="75"/>
      <c r="BA112" s="2"/>
      <c r="BB112" s="2"/>
      <c r="BC112" s="2"/>
      <c r="BD112" s="2"/>
    </row>
    <row r="113" spans="1:56">
      <c r="A113" s="781">
        <v>1</v>
      </c>
      <c r="B113" s="782">
        <v>227</v>
      </c>
      <c r="C113" s="783">
        <v>45347</v>
      </c>
      <c r="D113" s="784" t="s">
        <v>419</v>
      </c>
      <c r="E113" s="807"/>
      <c r="F113" s="798">
        <v>117753.33</v>
      </c>
      <c r="G113" s="798">
        <v>5887.6665000000003</v>
      </c>
      <c r="H113" s="1592">
        <f t="shared" si="3"/>
        <v>123640.99650000001</v>
      </c>
      <c r="I113" s="754" t="str">
        <f>IFERROR(VLOOKUP(B113,Mychart!$A$125:$B$911,2,FALSE),"-")</f>
        <v>AHMED SAIF SHAMSI</v>
      </c>
      <c r="J113" s="753">
        <f t="shared" si="4"/>
        <v>2</v>
      </c>
      <c r="K113" s="1540">
        <f t="shared" si="5"/>
        <v>2024</v>
      </c>
      <c r="L113" s="757"/>
      <c r="M113" s="757"/>
      <c r="N113" s="757"/>
      <c r="O113" s="757"/>
      <c r="P113" s="757"/>
      <c r="Q113" s="757"/>
      <c r="R113" s="757"/>
      <c r="S113" s="757"/>
      <c r="T113" s="757"/>
      <c r="U113" s="757"/>
      <c r="V113" s="757"/>
      <c r="W113" s="757"/>
      <c r="X113" s="757"/>
      <c r="Y113" s="757"/>
      <c r="Z113" s="757"/>
      <c r="AA113" s="757"/>
      <c r="AB113" s="757"/>
      <c r="AC113" s="757"/>
      <c r="AD113" s="757"/>
      <c r="AE113" s="757"/>
      <c r="AF113" s="757"/>
      <c r="AG113" s="757"/>
      <c r="AH113" s="757"/>
      <c r="AI113" s="757"/>
      <c r="AJ113" s="757"/>
      <c r="AK113" s="757"/>
      <c r="AL113" s="757"/>
      <c r="AM113" s="757"/>
      <c r="AN113" s="757"/>
      <c r="AO113" s="757"/>
      <c r="AP113" s="757"/>
      <c r="AQ113" s="757"/>
      <c r="AR113" s="757"/>
      <c r="AS113" s="757"/>
      <c r="AT113" s="757"/>
      <c r="AU113" s="757"/>
      <c r="AV113" s="757"/>
      <c r="AW113" s="757"/>
      <c r="AX113" s="757"/>
      <c r="AY113" s="757"/>
      <c r="AZ113" s="75"/>
      <c r="BA113" s="2"/>
      <c r="BB113" s="2"/>
      <c r="BC113" s="2"/>
      <c r="BD113" s="2"/>
    </row>
    <row r="114" spans="1:56">
      <c r="A114" s="781">
        <v>1</v>
      </c>
      <c r="B114" s="782">
        <v>227</v>
      </c>
      <c r="C114" s="783">
        <v>45432</v>
      </c>
      <c r="D114" s="784" t="s">
        <v>420</v>
      </c>
      <c r="E114" s="807"/>
      <c r="F114" s="798">
        <v>107391</v>
      </c>
      <c r="G114" s="798">
        <v>5369.57</v>
      </c>
      <c r="H114" s="1592">
        <f t="shared" si="3"/>
        <v>112760.57</v>
      </c>
      <c r="I114" s="754" t="str">
        <f>IFERROR(VLOOKUP(B114,Mychart!$A$125:$B$911,2,FALSE),"-")</f>
        <v>AHMED SAIF SHAMSI</v>
      </c>
      <c r="J114" s="753">
        <f t="shared" si="4"/>
        <v>5</v>
      </c>
      <c r="K114" s="1540">
        <f t="shared" si="5"/>
        <v>2024</v>
      </c>
      <c r="L114" s="757"/>
      <c r="M114" s="757"/>
      <c r="N114" s="757"/>
      <c r="O114" s="757"/>
      <c r="P114" s="757"/>
      <c r="Q114" s="757"/>
      <c r="R114" s="757"/>
      <c r="S114" s="757"/>
      <c r="T114" s="757"/>
      <c r="U114" s="757"/>
      <c r="V114" s="757"/>
      <c r="W114" s="757"/>
      <c r="X114" s="757"/>
      <c r="Y114" s="757"/>
      <c r="Z114" s="757"/>
      <c r="AA114" s="757"/>
      <c r="AB114" s="757"/>
      <c r="AC114" s="757"/>
      <c r="AD114" s="757"/>
      <c r="AE114" s="757"/>
      <c r="AF114" s="757"/>
      <c r="AG114" s="757"/>
      <c r="AH114" s="757"/>
      <c r="AI114" s="757"/>
      <c r="AJ114" s="757"/>
      <c r="AK114" s="757"/>
      <c r="AL114" s="757"/>
      <c r="AM114" s="757"/>
      <c r="AN114" s="757"/>
      <c r="AO114" s="757"/>
      <c r="AP114" s="757"/>
      <c r="AQ114" s="757"/>
      <c r="AR114" s="757"/>
      <c r="AS114" s="757"/>
      <c r="AT114" s="757"/>
      <c r="AU114" s="757"/>
      <c r="AV114" s="757"/>
      <c r="AW114" s="757"/>
      <c r="AX114" s="757"/>
      <c r="AY114" s="757"/>
      <c r="AZ114" s="75"/>
      <c r="BA114" s="2"/>
      <c r="BB114" s="2"/>
      <c r="BC114" s="2"/>
      <c r="BD114" s="2"/>
    </row>
    <row r="115" spans="1:56">
      <c r="A115" s="781">
        <v>2</v>
      </c>
      <c r="B115" s="782">
        <v>227</v>
      </c>
      <c r="C115" s="783"/>
      <c r="D115" s="783" t="s">
        <v>421</v>
      </c>
      <c r="E115" s="808">
        <v>500</v>
      </c>
      <c r="F115" s="799"/>
      <c r="G115" s="799"/>
      <c r="H115" s="1592">
        <f t="shared" si="3"/>
        <v>0</v>
      </c>
      <c r="I115" s="754" t="str">
        <f>IFERROR(VLOOKUP(B115,Mychart!$A$125:$B$911,2,FALSE),"-")</f>
        <v>AHMED SAIF SHAMSI</v>
      </c>
      <c r="J115" s="753" t="str">
        <f t="shared" si="4"/>
        <v>-</v>
      </c>
      <c r="K115" s="1540">
        <f t="shared" si="5"/>
        <v>1900</v>
      </c>
      <c r="L115" s="757"/>
      <c r="M115" s="757"/>
      <c r="N115" s="757"/>
      <c r="O115" s="757"/>
      <c r="P115" s="757"/>
      <c r="Q115" s="757"/>
      <c r="R115" s="757"/>
      <c r="S115" s="757"/>
      <c r="T115" s="757"/>
      <c r="U115" s="757"/>
      <c r="V115" s="757"/>
      <c r="W115" s="757"/>
      <c r="X115" s="757"/>
      <c r="Y115" s="757"/>
      <c r="Z115" s="757"/>
      <c r="AA115" s="757"/>
      <c r="AB115" s="757"/>
      <c r="AC115" s="757"/>
      <c r="AD115" s="757"/>
      <c r="AE115" s="757"/>
      <c r="AF115" s="757"/>
      <c r="AG115" s="757"/>
      <c r="AH115" s="757"/>
      <c r="AI115" s="757"/>
      <c r="AJ115" s="757"/>
      <c r="AK115" s="757"/>
      <c r="AL115" s="757"/>
      <c r="AM115" s="757"/>
      <c r="AN115" s="757"/>
      <c r="AO115" s="757"/>
      <c r="AP115" s="757"/>
      <c r="AQ115" s="757"/>
      <c r="AR115" s="757"/>
      <c r="AS115" s="757"/>
      <c r="AT115" s="757"/>
      <c r="AU115" s="757"/>
      <c r="AV115" s="757"/>
      <c r="AW115" s="757"/>
      <c r="AX115" s="757"/>
      <c r="AY115" s="757"/>
      <c r="AZ115" s="75"/>
      <c r="BA115" s="2"/>
      <c r="BB115" s="2"/>
      <c r="BC115" s="2"/>
      <c r="BD115" s="2"/>
    </row>
    <row r="116" spans="1:56">
      <c r="A116" s="781">
        <v>2</v>
      </c>
      <c r="B116" s="782">
        <v>227</v>
      </c>
      <c r="C116" s="783">
        <v>45348</v>
      </c>
      <c r="D116" s="783" t="s">
        <v>224</v>
      </c>
      <c r="E116" s="808">
        <v>55718.25</v>
      </c>
      <c r="F116" s="799"/>
      <c r="G116" s="799"/>
      <c r="H116" s="1592">
        <f t="shared" si="3"/>
        <v>0</v>
      </c>
      <c r="I116" s="754" t="str">
        <f>IFERROR(VLOOKUP(B116,Mychart!$A$125:$B$911,2,FALSE),"-")</f>
        <v>AHMED SAIF SHAMSI</v>
      </c>
      <c r="J116" s="753">
        <f t="shared" si="4"/>
        <v>2</v>
      </c>
      <c r="K116" s="1540">
        <f t="shared" si="5"/>
        <v>2024</v>
      </c>
      <c r="L116" s="757"/>
      <c r="M116" s="757"/>
      <c r="N116" s="757"/>
      <c r="O116" s="757"/>
      <c r="P116" s="757"/>
      <c r="Q116" s="757"/>
      <c r="R116" s="757"/>
      <c r="S116" s="757"/>
      <c r="T116" s="757"/>
      <c r="U116" s="757"/>
      <c r="V116" s="757"/>
      <c r="W116" s="757"/>
      <c r="X116" s="757"/>
      <c r="Y116" s="757"/>
      <c r="Z116" s="757"/>
      <c r="AA116" s="757"/>
      <c r="AB116" s="757"/>
      <c r="AC116" s="757"/>
      <c r="AD116" s="757"/>
      <c r="AE116" s="757"/>
      <c r="AF116" s="757"/>
      <c r="AG116" s="757"/>
      <c r="AH116" s="757"/>
      <c r="AI116" s="757"/>
      <c r="AJ116" s="757"/>
      <c r="AK116" s="757"/>
      <c r="AL116" s="757"/>
      <c r="AM116" s="757"/>
      <c r="AN116" s="757"/>
      <c r="AO116" s="757"/>
      <c r="AP116" s="757"/>
      <c r="AQ116" s="757"/>
      <c r="AR116" s="757"/>
      <c r="AS116" s="757"/>
      <c r="AT116" s="757"/>
      <c r="AU116" s="757"/>
      <c r="AV116" s="757"/>
      <c r="AW116" s="757"/>
      <c r="AX116" s="757"/>
      <c r="AY116" s="757"/>
      <c r="AZ116" s="75"/>
      <c r="BA116" s="2"/>
      <c r="BB116" s="2"/>
      <c r="BC116" s="2"/>
      <c r="BD116" s="2"/>
    </row>
    <row r="117" spans="1:56">
      <c r="A117" s="781">
        <v>2</v>
      </c>
      <c r="B117" s="782">
        <v>227</v>
      </c>
      <c r="C117" s="783">
        <v>45350</v>
      </c>
      <c r="D117" s="783" t="s">
        <v>224</v>
      </c>
      <c r="E117" s="808">
        <v>16364.25</v>
      </c>
      <c r="F117" s="799"/>
      <c r="G117" s="799"/>
      <c r="H117" s="1592">
        <f t="shared" si="3"/>
        <v>0</v>
      </c>
      <c r="I117" s="754" t="str">
        <f>IFERROR(VLOOKUP(B117,Mychart!$A$125:$B$911,2,FALSE),"-")</f>
        <v>AHMED SAIF SHAMSI</v>
      </c>
      <c r="J117" s="753">
        <f t="shared" si="4"/>
        <v>2</v>
      </c>
      <c r="K117" s="1540">
        <f t="shared" si="5"/>
        <v>2024</v>
      </c>
      <c r="L117" s="757"/>
      <c r="M117" s="757"/>
      <c r="N117" s="757"/>
      <c r="O117" s="757"/>
      <c r="P117" s="757"/>
      <c r="Q117" s="757"/>
      <c r="R117" s="757"/>
      <c r="S117" s="757"/>
      <c r="T117" s="757"/>
      <c r="U117" s="757"/>
      <c r="V117" s="757"/>
      <c r="W117" s="757"/>
      <c r="X117" s="757"/>
      <c r="Y117" s="757"/>
      <c r="Z117" s="757"/>
      <c r="AA117" s="757"/>
      <c r="AB117" s="757"/>
      <c r="AC117" s="757"/>
      <c r="AD117" s="757"/>
      <c r="AE117" s="757"/>
      <c r="AF117" s="757"/>
      <c r="AG117" s="757"/>
      <c r="AH117" s="757"/>
      <c r="AI117" s="757"/>
      <c r="AJ117" s="757"/>
      <c r="AK117" s="757"/>
      <c r="AL117" s="757"/>
      <c r="AM117" s="757"/>
      <c r="AN117" s="757"/>
      <c r="AO117" s="757"/>
      <c r="AP117" s="757"/>
      <c r="AQ117" s="757"/>
      <c r="AR117" s="757"/>
      <c r="AS117" s="757"/>
      <c r="AT117" s="757"/>
      <c r="AU117" s="757"/>
      <c r="AV117" s="757"/>
      <c r="AW117" s="757"/>
      <c r="AX117" s="757"/>
      <c r="AY117" s="757"/>
      <c r="AZ117" s="75"/>
      <c r="BA117" s="2"/>
      <c r="BB117" s="2"/>
      <c r="BC117" s="2"/>
      <c r="BD117" s="2"/>
    </row>
    <row r="118" spans="1:56">
      <c r="A118" s="781">
        <v>2</v>
      </c>
      <c r="B118" s="782">
        <v>227</v>
      </c>
      <c r="C118" s="783">
        <v>45351</v>
      </c>
      <c r="D118" s="783" t="s">
        <v>177</v>
      </c>
      <c r="E118" s="808">
        <v>21778</v>
      </c>
      <c r="F118" s="799"/>
      <c r="G118" s="799"/>
      <c r="H118" s="1592">
        <f t="shared" si="3"/>
        <v>0</v>
      </c>
      <c r="I118" s="754" t="str">
        <f>IFERROR(VLOOKUP(B118,Mychart!$A$125:$B$911,2,FALSE),"-")</f>
        <v>AHMED SAIF SHAMSI</v>
      </c>
      <c r="J118" s="753">
        <f t="shared" si="4"/>
        <v>2</v>
      </c>
      <c r="K118" s="1540">
        <f t="shared" si="5"/>
        <v>2024</v>
      </c>
      <c r="L118" s="757"/>
      <c r="M118" s="757"/>
      <c r="N118" s="757"/>
      <c r="O118" s="757"/>
      <c r="P118" s="757"/>
      <c r="Q118" s="757"/>
      <c r="R118" s="757"/>
      <c r="S118" s="757"/>
      <c r="T118" s="757"/>
      <c r="U118" s="757"/>
      <c r="V118" s="757"/>
      <c r="W118" s="757"/>
      <c r="X118" s="757"/>
      <c r="Y118" s="757"/>
      <c r="Z118" s="757"/>
      <c r="AA118" s="757"/>
      <c r="AB118" s="757"/>
      <c r="AC118" s="757"/>
      <c r="AD118" s="757"/>
      <c r="AE118" s="757"/>
      <c r="AF118" s="757"/>
      <c r="AG118" s="757"/>
      <c r="AH118" s="757"/>
      <c r="AI118" s="757"/>
      <c r="AJ118" s="757"/>
      <c r="AK118" s="757"/>
      <c r="AL118" s="757"/>
      <c r="AM118" s="757"/>
      <c r="AN118" s="757"/>
      <c r="AO118" s="757"/>
      <c r="AP118" s="757"/>
      <c r="AQ118" s="757"/>
      <c r="AR118" s="757"/>
      <c r="AS118" s="757"/>
      <c r="AT118" s="757"/>
      <c r="AU118" s="757"/>
      <c r="AV118" s="757"/>
      <c r="AW118" s="757"/>
      <c r="AX118" s="757"/>
      <c r="AY118" s="757"/>
      <c r="AZ118" s="75"/>
      <c r="BA118" s="2"/>
      <c r="BB118" s="2"/>
      <c r="BC118" s="2"/>
      <c r="BD118" s="2"/>
    </row>
    <row r="119" spans="1:56">
      <c r="A119" s="781">
        <v>2</v>
      </c>
      <c r="B119" s="782">
        <v>227</v>
      </c>
      <c r="C119" s="783">
        <v>45321</v>
      </c>
      <c r="D119" s="783" t="s">
        <v>394</v>
      </c>
      <c r="E119" s="808">
        <v>532</v>
      </c>
      <c r="F119" s="799"/>
      <c r="G119" s="799"/>
      <c r="H119" s="1592">
        <f t="shared" si="3"/>
        <v>0</v>
      </c>
      <c r="I119" s="754" t="str">
        <f>IFERROR(VLOOKUP(B119,Mychart!$A$125:$B$911,2,FALSE),"-")</f>
        <v>AHMED SAIF SHAMSI</v>
      </c>
      <c r="J119" s="753">
        <f t="shared" si="4"/>
        <v>1</v>
      </c>
      <c r="K119" s="1540">
        <f t="shared" si="5"/>
        <v>2024</v>
      </c>
      <c r="L119" s="757"/>
      <c r="M119" s="757"/>
      <c r="N119" s="757"/>
      <c r="O119" s="757"/>
      <c r="P119" s="757"/>
      <c r="Q119" s="757"/>
      <c r="R119" s="757"/>
      <c r="S119" s="757"/>
      <c r="T119" s="757"/>
      <c r="U119" s="757"/>
      <c r="V119" s="757"/>
      <c r="W119" s="757"/>
      <c r="X119" s="757"/>
      <c r="Y119" s="757"/>
      <c r="Z119" s="757"/>
      <c r="AA119" s="757"/>
      <c r="AB119" s="757"/>
      <c r="AC119" s="757"/>
      <c r="AD119" s="757"/>
      <c r="AE119" s="757"/>
      <c r="AF119" s="757"/>
      <c r="AG119" s="757"/>
      <c r="AH119" s="757"/>
      <c r="AI119" s="757"/>
      <c r="AJ119" s="757"/>
      <c r="AK119" s="757"/>
      <c r="AL119" s="757"/>
      <c r="AM119" s="757"/>
      <c r="AN119" s="757"/>
      <c r="AO119" s="757"/>
      <c r="AP119" s="757"/>
      <c r="AQ119" s="757"/>
      <c r="AR119" s="757"/>
      <c r="AS119" s="757"/>
      <c r="AT119" s="757"/>
      <c r="AU119" s="757"/>
      <c r="AV119" s="757"/>
      <c r="AW119" s="757"/>
      <c r="AX119" s="757"/>
      <c r="AY119" s="757"/>
      <c r="AZ119" s="75"/>
      <c r="BA119" s="2"/>
      <c r="BB119" s="2"/>
      <c r="BC119" s="2"/>
      <c r="BD119" s="2"/>
    </row>
    <row r="120" spans="1:56">
      <c r="A120" s="781">
        <v>2</v>
      </c>
      <c r="B120" s="782">
        <v>227</v>
      </c>
      <c r="C120" s="783">
        <v>45327</v>
      </c>
      <c r="D120" s="783" t="s">
        <v>422</v>
      </c>
      <c r="E120" s="808">
        <v>10500</v>
      </c>
      <c r="F120" s="799"/>
      <c r="G120" s="799"/>
      <c r="H120" s="1592">
        <f t="shared" si="3"/>
        <v>0</v>
      </c>
      <c r="I120" s="754" t="str">
        <f>IFERROR(VLOOKUP(B120,Mychart!$A$125:$B$911,2,FALSE),"-")</f>
        <v>AHMED SAIF SHAMSI</v>
      </c>
      <c r="J120" s="753">
        <f t="shared" si="4"/>
        <v>2</v>
      </c>
      <c r="K120" s="1540">
        <f t="shared" si="5"/>
        <v>2024</v>
      </c>
      <c r="L120" s="757"/>
      <c r="M120" s="757"/>
      <c r="N120" s="757"/>
      <c r="O120" s="757"/>
      <c r="P120" s="757"/>
      <c r="Q120" s="757"/>
      <c r="R120" s="757"/>
      <c r="S120" s="757"/>
      <c r="T120" s="757"/>
      <c r="U120" s="757"/>
      <c r="V120" s="757"/>
      <c r="W120" s="757"/>
      <c r="X120" s="757"/>
      <c r="Y120" s="757"/>
      <c r="Z120" s="757"/>
      <c r="AA120" s="757"/>
      <c r="AB120" s="757"/>
      <c r="AC120" s="757"/>
      <c r="AD120" s="757"/>
      <c r="AE120" s="757"/>
      <c r="AF120" s="757"/>
      <c r="AG120" s="757"/>
      <c r="AH120" s="757"/>
      <c r="AI120" s="757"/>
      <c r="AJ120" s="757"/>
      <c r="AK120" s="757"/>
      <c r="AL120" s="757"/>
      <c r="AM120" s="757"/>
      <c r="AN120" s="757"/>
      <c r="AO120" s="757"/>
      <c r="AP120" s="757"/>
      <c r="AQ120" s="757"/>
      <c r="AR120" s="757"/>
      <c r="AS120" s="757"/>
      <c r="AT120" s="757"/>
      <c r="AU120" s="757"/>
      <c r="AV120" s="757"/>
      <c r="AW120" s="757"/>
      <c r="AX120" s="757"/>
      <c r="AY120" s="757"/>
      <c r="AZ120" s="75"/>
      <c r="BA120" s="2"/>
      <c r="BB120" s="2"/>
      <c r="BC120" s="2"/>
      <c r="BD120" s="2"/>
    </row>
    <row r="121" spans="1:56">
      <c r="A121" s="781">
        <v>2</v>
      </c>
      <c r="B121" s="782">
        <v>227</v>
      </c>
      <c r="C121" s="783">
        <v>45331</v>
      </c>
      <c r="D121" s="783" t="s">
        <v>394</v>
      </c>
      <c r="E121" s="808">
        <v>461.57</v>
      </c>
      <c r="F121" s="799"/>
      <c r="G121" s="799"/>
      <c r="H121" s="1592">
        <f t="shared" si="3"/>
        <v>0</v>
      </c>
      <c r="I121" s="754" t="str">
        <f>IFERROR(VLOOKUP(B121,Mychart!$A$125:$B$911,2,FALSE),"-")</f>
        <v>AHMED SAIF SHAMSI</v>
      </c>
      <c r="J121" s="753">
        <f t="shared" si="4"/>
        <v>2</v>
      </c>
      <c r="K121" s="1540">
        <f t="shared" si="5"/>
        <v>2024</v>
      </c>
      <c r="L121" s="757"/>
      <c r="M121" s="757"/>
      <c r="N121" s="757"/>
      <c r="O121" s="757"/>
      <c r="P121" s="757"/>
      <c r="Q121" s="757"/>
      <c r="R121" s="757"/>
      <c r="S121" s="757"/>
      <c r="T121" s="757"/>
      <c r="U121" s="757"/>
      <c r="V121" s="757"/>
      <c r="W121" s="757"/>
      <c r="X121" s="757"/>
      <c r="Y121" s="757"/>
      <c r="Z121" s="757"/>
      <c r="AA121" s="757"/>
      <c r="AB121" s="757"/>
      <c r="AC121" s="757"/>
      <c r="AD121" s="757"/>
      <c r="AE121" s="757"/>
      <c r="AF121" s="757"/>
      <c r="AG121" s="757"/>
      <c r="AH121" s="757"/>
      <c r="AI121" s="757"/>
      <c r="AJ121" s="757"/>
      <c r="AK121" s="757"/>
      <c r="AL121" s="757"/>
      <c r="AM121" s="757"/>
      <c r="AN121" s="757"/>
      <c r="AO121" s="757"/>
      <c r="AP121" s="757"/>
      <c r="AQ121" s="757"/>
      <c r="AR121" s="757"/>
      <c r="AS121" s="757"/>
      <c r="AT121" s="757"/>
      <c r="AU121" s="757"/>
      <c r="AV121" s="757"/>
      <c r="AW121" s="757"/>
      <c r="AX121" s="757"/>
      <c r="AY121" s="757"/>
      <c r="AZ121" s="75"/>
      <c r="BA121" s="2"/>
      <c r="BB121" s="2"/>
      <c r="BC121" s="2"/>
      <c r="BD121" s="2"/>
    </row>
    <row r="122" spans="1:56">
      <c r="A122" s="781">
        <v>2</v>
      </c>
      <c r="B122" s="782">
        <v>227</v>
      </c>
      <c r="C122" s="783">
        <v>45348</v>
      </c>
      <c r="D122" s="783" t="s">
        <v>394</v>
      </c>
      <c r="E122" s="808">
        <v>638.38</v>
      </c>
      <c r="F122" s="799"/>
      <c r="G122" s="799"/>
      <c r="H122" s="1592">
        <f t="shared" si="3"/>
        <v>0</v>
      </c>
      <c r="I122" s="754" t="str">
        <f>IFERROR(VLOOKUP(B122,Mychart!$A$125:$B$911,2,FALSE),"-")</f>
        <v>AHMED SAIF SHAMSI</v>
      </c>
      <c r="J122" s="753">
        <f t="shared" si="4"/>
        <v>2</v>
      </c>
      <c r="K122" s="1540">
        <f t="shared" si="5"/>
        <v>2024</v>
      </c>
      <c r="L122" s="757"/>
      <c r="M122" s="757"/>
      <c r="N122" s="757"/>
      <c r="O122" s="757"/>
      <c r="P122" s="757"/>
      <c r="Q122" s="757"/>
      <c r="R122" s="757"/>
      <c r="S122" s="757"/>
      <c r="T122" s="757"/>
      <c r="U122" s="757"/>
      <c r="V122" s="757"/>
      <c r="W122" s="757"/>
      <c r="X122" s="757"/>
      <c r="Y122" s="757"/>
      <c r="Z122" s="757"/>
      <c r="AA122" s="757"/>
      <c r="AB122" s="757"/>
      <c r="AC122" s="757"/>
      <c r="AD122" s="757"/>
      <c r="AE122" s="757"/>
      <c r="AF122" s="757"/>
      <c r="AG122" s="757"/>
      <c r="AH122" s="757"/>
      <c r="AI122" s="757"/>
      <c r="AJ122" s="757"/>
      <c r="AK122" s="757"/>
      <c r="AL122" s="757"/>
      <c r="AM122" s="757"/>
      <c r="AN122" s="757"/>
      <c r="AO122" s="757"/>
      <c r="AP122" s="757"/>
      <c r="AQ122" s="757"/>
      <c r="AR122" s="757"/>
      <c r="AS122" s="757"/>
      <c r="AT122" s="757"/>
      <c r="AU122" s="757"/>
      <c r="AV122" s="757"/>
      <c r="AW122" s="757"/>
      <c r="AX122" s="757"/>
      <c r="AY122" s="757"/>
      <c r="AZ122" s="75"/>
      <c r="BA122" s="2"/>
      <c r="BB122" s="2"/>
      <c r="BC122" s="2"/>
      <c r="BD122" s="2"/>
    </row>
    <row r="123" spans="1:56">
      <c r="A123" s="781">
        <v>2</v>
      </c>
      <c r="B123" s="782">
        <v>227</v>
      </c>
      <c r="C123" s="783">
        <v>45377</v>
      </c>
      <c r="D123" s="785" t="s">
        <v>394</v>
      </c>
      <c r="E123" s="808">
        <v>162.97999999999999</v>
      </c>
      <c r="F123" s="799"/>
      <c r="G123" s="799"/>
      <c r="H123" s="1592">
        <f t="shared" si="3"/>
        <v>0</v>
      </c>
      <c r="I123" s="754" t="str">
        <f>IFERROR(VLOOKUP(B123,Mychart!$A$125:$B$911,2,FALSE),"-")</f>
        <v>AHMED SAIF SHAMSI</v>
      </c>
      <c r="J123" s="753">
        <f t="shared" si="4"/>
        <v>3</v>
      </c>
      <c r="K123" s="1540">
        <f t="shared" si="5"/>
        <v>2024</v>
      </c>
      <c r="L123" s="757"/>
      <c r="M123" s="757"/>
      <c r="N123" s="757"/>
      <c r="O123" s="757"/>
      <c r="P123" s="757"/>
      <c r="Q123" s="757"/>
      <c r="R123" s="757"/>
      <c r="S123" s="757"/>
      <c r="T123" s="757"/>
      <c r="U123" s="757"/>
      <c r="V123" s="757"/>
      <c r="W123" s="757"/>
      <c r="X123" s="757"/>
      <c r="Y123" s="757"/>
      <c r="Z123" s="757"/>
      <c r="AA123" s="757"/>
      <c r="AB123" s="757"/>
      <c r="AC123" s="757"/>
      <c r="AD123" s="757"/>
      <c r="AE123" s="757"/>
      <c r="AF123" s="757"/>
      <c r="AG123" s="757"/>
      <c r="AH123" s="757"/>
      <c r="AI123" s="757"/>
      <c r="AJ123" s="757"/>
      <c r="AK123" s="757"/>
      <c r="AL123" s="757"/>
      <c r="AM123" s="757"/>
      <c r="AN123" s="757"/>
      <c r="AO123" s="757"/>
      <c r="AP123" s="757"/>
      <c r="AQ123" s="757"/>
      <c r="AR123" s="757"/>
      <c r="AS123" s="757"/>
      <c r="AT123" s="757"/>
      <c r="AU123" s="757"/>
      <c r="AV123" s="757"/>
      <c r="AW123" s="757"/>
      <c r="AX123" s="757"/>
      <c r="AY123" s="757"/>
      <c r="AZ123" s="75"/>
      <c r="BA123" s="2"/>
      <c r="BB123" s="2"/>
      <c r="BC123" s="2"/>
      <c r="BD123" s="2"/>
    </row>
    <row r="124" spans="1:56">
      <c r="A124" s="781">
        <v>2</v>
      </c>
      <c r="B124" s="782">
        <v>227</v>
      </c>
      <c r="C124" s="783">
        <v>45418</v>
      </c>
      <c r="D124" s="783" t="s">
        <v>224</v>
      </c>
      <c r="E124" s="808">
        <v>57622.95</v>
      </c>
      <c r="F124" s="799"/>
      <c r="G124" s="799"/>
      <c r="H124" s="1592">
        <f t="shared" si="3"/>
        <v>0</v>
      </c>
      <c r="I124" s="754" t="str">
        <f>IFERROR(VLOOKUP(B124,Mychart!$A$125:$B$911,2,FALSE),"-")</f>
        <v>AHMED SAIF SHAMSI</v>
      </c>
      <c r="J124" s="753">
        <f t="shared" si="4"/>
        <v>5</v>
      </c>
      <c r="K124" s="1540">
        <f t="shared" si="5"/>
        <v>2024</v>
      </c>
      <c r="L124" s="757"/>
      <c r="M124" s="757"/>
      <c r="N124" s="757"/>
      <c r="O124" s="757"/>
      <c r="P124" s="757"/>
      <c r="Q124" s="757"/>
      <c r="R124" s="757"/>
      <c r="S124" s="757"/>
      <c r="T124" s="757"/>
      <c r="U124" s="757"/>
      <c r="V124" s="757"/>
      <c r="W124" s="757"/>
      <c r="X124" s="757"/>
      <c r="Y124" s="757"/>
      <c r="Z124" s="757"/>
      <c r="AA124" s="757"/>
      <c r="AB124" s="757"/>
      <c r="AC124" s="757"/>
      <c r="AD124" s="757"/>
      <c r="AE124" s="757"/>
      <c r="AF124" s="757"/>
      <c r="AG124" s="757"/>
      <c r="AH124" s="757"/>
      <c r="AI124" s="757"/>
      <c r="AJ124" s="757"/>
      <c r="AK124" s="757"/>
      <c r="AL124" s="757"/>
      <c r="AM124" s="757"/>
      <c r="AN124" s="757"/>
      <c r="AO124" s="757"/>
      <c r="AP124" s="757"/>
      <c r="AQ124" s="757"/>
      <c r="AR124" s="757"/>
      <c r="AS124" s="757"/>
      <c r="AT124" s="757"/>
      <c r="AU124" s="757"/>
      <c r="AV124" s="757"/>
      <c r="AW124" s="757"/>
      <c r="AX124" s="757"/>
      <c r="AY124" s="757"/>
      <c r="AZ124" s="75"/>
      <c r="BA124" s="2"/>
      <c r="BB124" s="2"/>
      <c r="BC124" s="2"/>
      <c r="BD124" s="2"/>
    </row>
    <row r="125" spans="1:56">
      <c r="A125" s="781">
        <v>2</v>
      </c>
      <c r="B125" s="782">
        <v>227</v>
      </c>
      <c r="C125" s="783">
        <v>45418</v>
      </c>
      <c r="D125" s="783" t="s">
        <v>224</v>
      </c>
      <c r="E125" s="808">
        <v>8914</v>
      </c>
      <c r="F125" s="799"/>
      <c r="G125" s="799"/>
      <c r="H125" s="1592">
        <f t="shared" si="3"/>
        <v>0</v>
      </c>
      <c r="I125" s="754" t="str">
        <f>IFERROR(VLOOKUP(B125,Mychart!$A$125:$B$911,2,FALSE),"-")</f>
        <v>AHMED SAIF SHAMSI</v>
      </c>
      <c r="J125" s="753">
        <f t="shared" si="4"/>
        <v>5</v>
      </c>
      <c r="K125" s="1540">
        <f t="shared" si="5"/>
        <v>2024</v>
      </c>
      <c r="L125" s="757"/>
      <c r="M125" s="757"/>
      <c r="N125" s="757"/>
      <c r="O125" s="757"/>
      <c r="P125" s="757"/>
      <c r="Q125" s="757"/>
      <c r="R125" s="757"/>
      <c r="S125" s="757"/>
      <c r="T125" s="757"/>
      <c r="U125" s="757"/>
      <c r="V125" s="757"/>
      <c r="W125" s="757"/>
      <c r="X125" s="757"/>
      <c r="Y125" s="757"/>
      <c r="Z125" s="757"/>
      <c r="AA125" s="757"/>
      <c r="AB125" s="757"/>
      <c r="AC125" s="757"/>
      <c r="AD125" s="757"/>
      <c r="AE125" s="757"/>
      <c r="AF125" s="757"/>
      <c r="AG125" s="757"/>
      <c r="AH125" s="757"/>
      <c r="AI125" s="757"/>
      <c r="AJ125" s="757"/>
      <c r="AK125" s="757"/>
      <c r="AL125" s="757"/>
      <c r="AM125" s="757"/>
      <c r="AN125" s="757"/>
      <c r="AO125" s="757"/>
      <c r="AP125" s="757"/>
      <c r="AQ125" s="757"/>
      <c r="AR125" s="757"/>
      <c r="AS125" s="757"/>
      <c r="AT125" s="757"/>
      <c r="AU125" s="757"/>
      <c r="AV125" s="757"/>
      <c r="AW125" s="757"/>
      <c r="AX125" s="757"/>
      <c r="AY125" s="757"/>
      <c r="AZ125" s="75"/>
      <c r="BA125" s="2"/>
      <c r="BB125" s="2"/>
      <c r="BC125" s="2"/>
      <c r="BD125" s="2"/>
    </row>
    <row r="126" spans="1:56">
      <c r="A126" s="781">
        <v>2</v>
      </c>
      <c r="B126" s="782">
        <v>227</v>
      </c>
      <c r="C126" s="783">
        <v>45425</v>
      </c>
      <c r="D126" s="783" t="s">
        <v>224</v>
      </c>
      <c r="E126" s="808">
        <v>7685.99</v>
      </c>
      <c r="F126" s="799"/>
      <c r="G126" s="799"/>
      <c r="H126" s="1592">
        <f t="shared" si="3"/>
        <v>0</v>
      </c>
      <c r="I126" s="754" t="str">
        <f>IFERROR(VLOOKUP(B126,Mychart!$A$125:$B$911,2,FALSE),"-")</f>
        <v>AHMED SAIF SHAMSI</v>
      </c>
      <c r="J126" s="753">
        <f t="shared" si="4"/>
        <v>5</v>
      </c>
      <c r="K126" s="1540">
        <f t="shared" si="5"/>
        <v>2024</v>
      </c>
      <c r="L126" s="757"/>
      <c r="M126" s="757"/>
      <c r="N126" s="757"/>
      <c r="O126" s="757"/>
      <c r="P126" s="757"/>
      <c r="Q126" s="757"/>
      <c r="R126" s="757"/>
      <c r="S126" s="757"/>
      <c r="T126" s="757"/>
      <c r="U126" s="757"/>
      <c r="V126" s="757"/>
      <c r="W126" s="757"/>
      <c r="X126" s="757"/>
      <c r="Y126" s="757"/>
      <c r="Z126" s="757"/>
      <c r="AA126" s="757"/>
      <c r="AB126" s="757"/>
      <c r="AC126" s="757"/>
      <c r="AD126" s="757"/>
      <c r="AE126" s="757"/>
      <c r="AF126" s="757"/>
      <c r="AG126" s="757"/>
      <c r="AH126" s="757"/>
      <c r="AI126" s="757"/>
      <c r="AJ126" s="757"/>
      <c r="AK126" s="757"/>
      <c r="AL126" s="757"/>
      <c r="AM126" s="757"/>
      <c r="AN126" s="757"/>
      <c r="AO126" s="757"/>
      <c r="AP126" s="757"/>
      <c r="AQ126" s="757"/>
      <c r="AR126" s="757"/>
      <c r="AS126" s="757"/>
      <c r="AT126" s="757"/>
      <c r="AU126" s="757"/>
      <c r="AV126" s="757"/>
      <c r="AW126" s="757"/>
      <c r="AX126" s="757"/>
      <c r="AY126" s="757"/>
      <c r="AZ126" s="75"/>
      <c r="BA126" s="2"/>
      <c r="BB126" s="2"/>
      <c r="BC126" s="2"/>
      <c r="BD126" s="2"/>
    </row>
    <row r="127" spans="1:56">
      <c r="A127" s="781">
        <v>2</v>
      </c>
      <c r="B127" s="782">
        <v>227</v>
      </c>
      <c r="C127" s="783">
        <v>45412</v>
      </c>
      <c r="D127" s="783" t="s">
        <v>177</v>
      </c>
      <c r="E127" s="808">
        <v>852</v>
      </c>
      <c r="F127" s="799"/>
      <c r="G127" s="799"/>
      <c r="H127" s="1592">
        <f t="shared" si="3"/>
        <v>0</v>
      </c>
      <c r="I127" s="754" t="str">
        <f>IFERROR(VLOOKUP(B127,Mychart!$A$125:$B$911,2,FALSE),"-")</f>
        <v>AHMED SAIF SHAMSI</v>
      </c>
      <c r="J127" s="753">
        <f t="shared" si="4"/>
        <v>4</v>
      </c>
      <c r="K127" s="1540">
        <f t="shared" si="5"/>
        <v>2024</v>
      </c>
      <c r="L127" s="757"/>
      <c r="M127" s="757"/>
      <c r="N127" s="757"/>
      <c r="O127" s="757"/>
      <c r="P127" s="757"/>
      <c r="Q127" s="757"/>
      <c r="R127" s="757"/>
      <c r="S127" s="757"/>
      <c r="T127" s="757"/>
      <c r="U127" s="757"/>
      <c r="V127" s="757"/>
      <c r="W127" s="757"/>
      <c r="X127" s="757"/>
      <c r="Y127" s="757"/>
      <c r="Z127" s="757"/>
      <c r="AA127" s="757"/>
      <c r="AB127" s="757"/>
      <c r="AC127" s="757"/>
      <c r="AD127" s="757"/>
      <c r="AE127" s="757"/>
      <c r="AF127" s="757"/>
      <c r="AG127" s="757"/>
      <c r="AH127" s="757"/>
      <c r="AI127" s="757"/>
      <c r="AJ127" s="757"/>
      <c r="AK127" s="757"/>
      <c r="AL127" s="757"/>
      <c r="AM127" s="757"/>
      <c r="AN127" s="757"/>
      <c r="AO127" s="757"/>
      <c r="AP127" s="757"/>
      <c r="AQ127" s="757"/>
      <c r="AR127" s="757"/>
      <c r="AS127" s="757"/>
      <c r="AT127" s="757"/>
      <c r="AU127" s="757"/>
      <c r="AV127" s="757"/>
      <c r="AW127" s="757"/>
      <c r="AX127" s="757"/>
      <c r="AY127" s="757"/>
      <c r="AZ127" s="75"/>
      <c r="BA127" s="2"/>
      <c r="BB127" s="2"/>
      <c r="BC127" s="2"/>
      <c r="BD127" s="2"/>
    </row>
    <row r="128" spans="1:56">
      <c r="A128" s="781">
        <v>2</v>
      </c>
      <c r="B128" s="782">
        <v>227</v>
      </c>
      <c r="C128" s="783">
        <v>45406</v>
      </c>
      <c r="D128" s="783" t="s">
        <v>394</v>
      </c>
      <c r="E128" s="808">
        <v>1021.65</v>
      </c>
      <c r="F128" s="799"/>
      <c r="G128" s="799"/>
      <c r="H128" s="1592">
        <f t="shared" si="3"/>
        <v>0</v>
      </c>
      <c r="I128" s="754" t="str">
        <f>IFERROR(VLOOKUP(B128,Mychart!$A$125:$B$911,2,FALSE),"-")</f>
        <v>AHMED SAIF SHAMSI</v>
      </c>
      <c r="J128" s="753">
        <f t="shared" si="4"/>
        <v>4</v>
      </c>
      <c r="K128" s="1540">
        <f t="shared" si="5"/>
        <v>2024</v>
      </c>
      <c r="L128" s="757"/>
      <c r="M128" s="757"/>
      <c r="N128" s="757"/>
      <c r="O128" s="757"/>
      <c r="P128" s="757"/>
      <c r="Q128" s="757"/>
      <c r="R128" s="757"/>
      <c r="S128" s="757"/>
      <c r="T128" s="757"/>
      <c r="U128" s="757"/>
      <c r="V128" s="757"/>
      <c r="W128" s="757"/>
      <c r="X128" s="757"/>
      <c r="Y128" s="757"/>
      <c r="Z128" s="757"/>
      <c r="AA128" s="757"/>
      <c r="AB128" s="757"/>
      <c r="AC128" s="757"/>
      <c r="AD128" s="757"/>
      <c r="AE128" s="757"/>
      <c r="AF128" s="757"/>
      <c r="AG128" s="757"/>
      <c r="AH128" s="757"/>
      <c r="AI128" s="757"/>
      <c r="AJ128" s="757"/>
      <c r="AK128" s="757"/>
      <c r="AL128" s="757"/>
      <c r="AM128" s="757"/>
      <c r="AN128" s="757"/>
      <c r="AO128" s="757"/>
      <c r="AP128" s="757"/>
      <c r="AQ128" s="757"/>
      <c r="AR128" s="757"/>
      <c r="AS128" s="757"/>
      <c r="AT128" s="757"/>
      <c r="AU128" s="757"/>
      <c r="AV128" s="757"/>
      <c r="AW128" s="757"/>
      <c r="AX128" s="757"/>
      <c r="AY128" s="757"/>
      <c r="AZ128" s="75"/>
      <c r="BA128" s="2"/>
      <c r="BB128" s="2"/>
      <c r="BC128" s="2"/>
      <c r="BD128" s="2"/>
    </row>
    <row r="129" spans="1:56">
      <c r="A129" s="781">
        <v>2</v>
      </c>
      <c r="B129" s="782">
        <v>227</v>
      </c>
      <c r="C129" s="783">
        <v>45406</v>
      </c>
      <c r="D129" s="783" t="s">
        <v>394</v>
      </c>
      <c r="E129" s="808">
        <v>490.38</v>
      </c>
      <c r="F129" s="799"/>
      <c r="G129" s="799"/>
      <c r="H129" s="1592">
        <f t="shared" si="3"/>
        <v>0</v>
      </c>
      <c r="I129" s="754" t="str">
        <f>IFERROR(VLOOKUP(B129,Mychart!$A$125:$B$911,2,FALSE),"-")</f>
        <v>AHMED SAIF SHAMSI</v>
      </c>
      <c r="J129" s="753">
        <f t="shared" si="4"/>
        <v>4</v>
      </c>
      <c r="K129" s="1540">
        <f t="shared" si="5"/>
        <v>2024</v>
      </c>
      <c r="L129" s="757"/>
      <c r="M129" s="757"/>
      <c r="N129" s="757"/>
      <c r="O129" s="757"/>
      <c r="P129" s="757"/>
      <c r="Q129" s="757"/>
      <c r="R129" s="757"/>
      <c r="S129" s="757"/>
      <c r="T129" s="757"/>
      <c r="U129" s="757"/>
      <c r="V129" s="757"/>
      <c r="W129" s="757"/>
      <c r="X129" s="757"/>
      <c r="Y129" s="757"/>
      <c r="Z129" s="757"/>
      <c r="AA129" s="757"/>
      <c r="AB129" s="757"/>
      <c r="AC129" s="757"/>
      <c r="AD129" s="757"/>
      <c r="AE129" s="757"/>
      <c r="AF129" s="757"/>
      <c r="AG129" s="757"/>
      <c r="AH129" s="757"/>
      <c r="AI129" s="757"/>
      <c r="AJ129" s="757"/>
      <c r="AK129" s="757"/>
      <c r="AL129" s="757"/>
      <c r="AM129" s="757"/>
      <c r="AN129" s="757"/>
      <c r="AO129" s="757"/>
      <c r="AP129" s="757"/>
      <c r="AQ129" s="757"/>
      <c r="AR129" s="757"/>
      <c r="AS129" s="757"/>
      <c r="AT129" s="757"/>
      <c r="AU129" s="757"/>
      <c r="AV129" s="757"/>
      <c r="AW129" s="757"/>
      <c r="AX129" s="757"/>
      <c r="AY129" s="757"/>
      <c r="AZ129" s="75"/>
      <c r="BA129" s="2"/>
      <c r="BB129" s="2"/>
      <c r="BC129" s="2"/>
      <c r="BD129" s="2"/>
    </row>
    <row r="130" spans="1:56">
      <c r="A130" s="781">
        <v>2</v>
      </c>
      <c r="B130" s="782">
        <v>227</v>
      </c>
      <c r="C130" s="783">
        <v>45443</v>
      </c>
      <c r="D130" s="783" t="s">
        <v>177</v>
      </c>
      <c r="E130" s="808">
        <v>4041</v>
      </c>
      <c r="F130" s="799"/>
      <c r="G130" s="799"/>
      <c r="H130" s="1592">
        <f t="shared" si="3"/>
        <v>0</v>
      </c>
      <c r="I130" s="754" t="str">
        <f>IFERROR(VLOOKUP(B130,Mychart!$A$125:$B$911,2,FALSE),"-")</f>
        <v>AHMED SAIF SHAMSI</v>
      </c>
      <c r="J130" s="753">
        <f t="shared" si="4"/>
        <v>5</v>
      </c>
      <c r="K130" s="1540">
        <f t="shared" si="5"/>
        <v>2024</v>
      </c>
      <c r="L130" s="757"/>
      <c r="M130" s="757"/>
      <c r="N130" s="757"/>
      <c r="O130" s="757"/>
      <c r="P130" s="757"/>
      <c r="Q130" s="757"/>
      <c r="R130" s="757"/>
      <c r="S130" s="757"/>
      <c r="T130" s="757"/>
      <c r="U130" s="757"/>
      <c r="V130" s="757"/>
      <c r="W130" s="757"/>
      <c r="X130" s="757"/>
      <c r="Y130" s="757"/>
      <c r="Z130" s="757"/>
      <c r="AA130" s="757"/>
      <c r="AB130" s="757"/>
      <c r="AC130" s="757"/>
      <c r="AD130" s="757"/>
      <c r="AE130" s="757"/>
      <c r="AF130" s="757"/>
      <c r="AG130" s="757"/>
      <c r="AH130" s="757"/>
      <c r="AI130" s="757"/>
      <c r="AJ130" s="757"/>
      <c r="AK130" s="757"/>
      <c r="AL130" s="757"/>
      <c r="AM130" s="757"/>
      <c r="AN130" s="757"/>
      <c r="AO130" s="757"/>
      <c r="AP130" s="757"/>
      <c r="AQ130" s="757"/>
      <c r="AR130" s="757"/>
      <c r="AS130" s="757"/>
      <c r="AT130" s="757"/>
      <c r="AU130" s="757"/>
      <c r="AV130" s="757"/>
      <c r="AW130" s="757"/>
      <c r="AX130" s="757"/>
      <c r="AY130" s="757"/>
      <c r="AZ130" s="75"/>
      <c r="BA130" s="2"/>
      <c r="BB130" s="2"/>
      <c r="BC130" s="2"/>
      <c r="BD130" s="2"/>
    </row>
    <row r="131" spans="1:56">
      <c r="A131" s="781">
        <v>2</v>
      </c>
      <c r="B131" s="782">
        <v>227</v>
      </c>
      <c r="C131" s="783">
        <v>45429</v>
      </c>
      <c r="D131" s="783" t="s">
        <v>394</v>
      </c>
      <c r="E131" s="808">
        <v>557.08999999999992</v>
      </c>
      <c r="F131" s="799"/>
      <c r="G131" s="799"/>
      <c r="H131" s="1592">
        <f t="shared" si="3"/>
        <v>0</v>
      </c>
      <c r="I131" s="754" t="str">
        <f>IFERROR(VLOOKUP(B131,Mychart!$A$125:$B$911,2,FALSE),"-")</f>
        <v>AHMED SAIF SHAMSI</v>
      </c>
      <c r="J131" s="753">
        <f t="shared" si="4"/>
        <v>5</v>
      </c>
      <c r="K131" s="1540">
        <f t="shared" si="5"/>
        <v>2024</v>
      </c>
      <c r="L131" s="757"/>
      <c r="M131" s="757"/>
      <c r="N131" s="757"/>
      <c r="O131" s="757"/>
      <c r="P131" s="757"/>
      <c r="Q131" s="757"/>
      <c r="R131" s="757"/>
      <c r="S131" s="757"/>
      <c r="T131" s="757"/>
      <c r="U131" s="757"/>
      <c r="V131" s="757"/>
      <c r="W131" s="757"/>
      <c r="X131" s="757"/>
      <c r="Y131" s="757"/>
      <c r="Z131" s="757"/>
      <c r="AA131" s="757"/>
      <c r="AB131" s="757"/>
      <c r="AC131" s="757"/>
      <c r="AD131" s="757"/>
      <c r="AE131" s="757"/>
      <c r="AF131" s="757"/>
      <c r="AG131" s="757"/>
      <c r="AH131" s="757"/>
      <c r="AI131" s="757"/>
      <c r="AJ131" s="757"/>
      <c r="AK131" s="757"/>
      <c r="AL131" s="757"/>
      <c r="AM131" s="757"/>
      <c r="AN131" s="757"/>
      <c r="AO131" s="757"/>
      <c r="AP131" s="757"/>
      <c r="AQ131" s="757"/>
      <c r="AR131" s="757"/>
      <c r="AS131" s="757"/>
      <c r="AT131" s="757"/>
      <c r="AU131" s="757"/>
      <c r="AV131" s="757"/>
      <c r="AW131" s="757"/>
      <c r="AX131" s="757"/>
      <c r="AY131" s="757"/>
      <c r="AZ131" s="75"/>
      <c r="BA131" s="2"/>
      <c r="BB131" s="2"/>
      <c r="BC131" s="2"/>
      <c r="BD131" s="2"/>
    </row>
    <row r="132" spans="1:56">
      <c r="A132" s="781">
        <v>2</v>
      </c>
      <c r="B132" s="782">
        <v>227</v>
      </c>
      <c r="C132" s="783">
        <v>45422</v>
      </c>
      <c r="D132" s="783" t="s">
        <v>394</v>
      </c>
      <c r="E132" s="808">
        <v>1039.29</v>
      </c>
      <c r="F132" s="799"/>
      <c r="G132" s="799"/>
      <c r="H132" s="1592">
        <f t="shared" si="3"/>
        <v>0</v>
      </c>
      <c r="I132" s="754" t="str">
        <f>IFERROR(VLOOKUP(B132,Mychart!$A$125:$B$911,2,FALSE),"-")</f>
        <v>AHMED SAIF SHAMSI</v>
      </c>
      <c r="J132" s="753">
        <f t="shared" si="4"/>
        <v>5</v>
      </c>
      <c r="K132" s="1540">
        <f t="shared" si="5"/>
        <v>2024</v>
      </c>
      <c r="L132" s="757"/>
      <c r="M132" s="757"/>
      <c r="N132" s="757"/>
      <c r="O132" s="757"/>
      <c r="P132" s="757"/>
      <c r="Q132" s="757"/>
      <c r="R132" s="757"/>
      <c r="S132" s="757"/>
      <c r="T132" s="757"/>
      <c r="U132" s="757"/>
      <c r="V132" s="757"/>
      <c r="W132" s="757"/>
      <c r="X132" s="757"/>
      <c r="Y132" s="757"/>
      <c r="Z132" s="757"/>
      <c r="AA132" s="757"/>
      <c r="AB132" s="757"/>
      <c r="AC132" s="757"/>
      <c r="AD132" s="757"/>
      <c r="AE132" s="757"/>
      <c r="AF132" s="757"/>
      <c r="AG132" s="757"/>
      <c r="AH132" s="757"/>
      <c r="AI132" s="757"/>
      <c r="AJ132" s="757"/>
      <c r="AK132" s="757"/>
      <c r="AL132" s="757"/>
      <c r="AM132" s="757"/>
      <c r="AN132" s="757"/>
      <c r="AO132" s="757"/>
      <c r="AP132" s="757"/>
      <c r="AQ132" s="757"/>
      <c r="AR132" s="757"/>
      <c r="AS132" s="757"/>
      <c r="AT132" s="757"/>
      <c r="AU132" s="757"/>
      <c r="AV132" s="757"/>
      <c r="AW132" s="757"/>
      <c r="AX132" s="757"/>
      <c r="AY132" s="757"/>
      <c r="AZ132" s="75"/>
      <c r="BA132" s="2"/>
      <c r="BB132" s="2"/>
      <c r="BC132" s="2"/>
      <c r="BD132" s="2"/>
    </row>
    <row r="133" spans="1:56">
      <c r="A133" s="781">
        <v>2</v>
      </c>
      <c r="B133" s="782">
        <v>227</v>
      </c>
      <c r="C133" s="783">
        <v>45510</v>
      </c>
      <c r="D133" s="783" t="s">
        <v>224</v>
      </c>
      <c r="E133" s="808">
        <v>3413.55</v>
      </c>
      <c r="F133" s="799"/>
      <c r="G133" s="799"/>
      <c r="H133" s="1592">
        <f t="shared" si="3"/>
        <v>0</v>
      </c>
      <c r="I133" s="754" t="str">
        <f>IFERROR(VLOOKUP(B133,Mychart!$A$125:$B$911,2,FALSE),"-")</f>
        <v>AHMED SAIF SHAMSI</v>
      </c>
      <c r="J133" s="753">
        <f t="shared" si="4"/>
        <v>8</v>
      </c>
      <c r="K133" s="1540">
        <f t="shared" si="5"/>
        <v>2024</v>
      </c>
      <c r="L133" s="757"/>
      <c r="M133" s="757"/>
      <c r="N133" s="757"/>
      <c r="O133" s="757"/>
      <c r="P133" s="757"/>
      <c r="Q133" s="757"/>
      <c r="R133" s="757"/>
      <c r="S133" s="757"/>
      <c r="T133" s="757"/>
      <c r="U133" s="757"/>
      <c r="V133" s="757"/>
      <c r="W133" s="757"/>
      <c r="X133" s="757"/>
      <c r="Y133" s="757"/>
      <c r="Z133" s="757"/>
      <c r="AA133" s="757"/>
      <c r="AB133" s="757"/>
      <c r="AC133" s="757"/>
      <c r="AD133" s="757"/>
      <c r="AE133" s="757"/>
      <c r="AF133" s="757"/>
      <c r="AG133" s="757"/>
      <c r="AH133" s="757"/>
      <c r="AI133" s="757"/>
      <c r="AJ133" s="757"/>
      <c r="AK133" s="757"/>
      <c r="AL133" s="757"/>
      <c r="AM133" s="757"/>
      <c r="AN133" s="757"/>
      <c r="AO133" s="757"/>
      <c r="AP133" s="757"/>
      <c r="AQ133" s="757"/>
      <c r="AR133" s="757"/>
      <c r="AS133" s="757"/>
      <c r="AT133" s="757"/>
      <c r="AU133" s="757"/>
      <c r="AV133" s="757"/>
      <c r="AW133" s="757"/>
      <c r="AX133" s="757"/>
      <c r="AY133" s="757"/>
      <c r="AZ133" s="75"/>
      <c r="BA133" s="2"/>
      <c r="BB133" s="2"/>
      <c r="BC133" s="2"/>
      <c r="BD133" s="2"/>
    </row>
    <row r="134" spans="1:56">
      <c r="A134" s="781">
        <v>2</v>
      </c>
      <c r="B134" s="782">
        <v>227</v>
      </c>
      <c r="C134" s="783">
        <v>45424</v>
      </c>
      <c r="D134" s="783" t="s">
        <v>394</v>
      </c>
      <c r="E134" s="808">
        <v>243</v>
      </c>
      <c r="F134" s="799"/>
      <c r="G134" s="799"/>
      <c r="H134" s="1592">
        <f t="shared" si="3"/>
        <v>0</v>
      </c>
      <c r="I134" s="754" t="str">
        <f>IFERROR(VLOOKUP(B134,Mychart!$A$125:$B$911,2,FALSE),"-")</f>
        <v>AHMED SAIF SHAMSI</v>
      </c>
      <c r="J134" s="753">
        <f t="shared" si="4"/>
        <v>5</v>
      </c>
      <c r="K134" s="1540">
        <f t="shared" si="5"/>
        <v>2024</v>
      </c>
      <c r="L134" s="757"/>
      <c r="M134" s="757"/>
      <c r="N134" s="757"/>
      <c r="O134" s="757"/>
      <c r="P134" s="757"/>
      <c r="Q134" s="757"/>
      <c r="R134" s="757"/>
      <c r="S134" s="757"/>
      <c r="T134" s="757"/>
      <c r="U134" s="757"/>
      <c r="V134" s="757"/>
      <c r="W134" s="757"/>
      <c r="X134" s="757"/>
      <c r="Y134" s="757"/>
      <c r="Z134" s="757"/>
      <c r="AA134" s="757"/>
      <c r="AB134" s="757"/>
      <c r="AC134" s="757"/>
      <c r="AD134" s="757"/>
      <c r="AE134" s="757"/>
      <c r="AF134" s="757"/>
      <c r="AG134" s="757"/>
      <c r="AH134" s="757"/>
      <c r="AI134" s="757"/>
      <c r="AJ134" s="757"/>
      <c r="AK134" s="757"/>
      <c r="AL134" s="757"/>
      <c r="AM134" s="757"/>
      <c r="AN134" s="757"/>
      <c r="AO134" s="757"/>
      <c r="AP134" s="757"/>
      <c r="AQ134" s="757"/>
      <c r="AR134" s="757"/>
      <c r="AS134" s="757"/>
      <c r="AT134" s="757"/>
      <c r="AU134" s="757"/>
      <c r="AV134" s="757"/>
      <c r="AW134" s="757"/>
      <c r="AX134" s="757"/>
      <c r="AY134" s="757"/>
      <c r="AZ134" s="75"/>
      <c r="BA134" s="2"/>
      <c r="BB134" s="2"/>
      <c r="BC134" s="2"/>
      <c r="BD134" s="2"/>
    </row>
    <row r="135" spans="1:56">
      <c r="A135" s="781">
        <v>2</v>
      </c>
      <c r="B135" s="782">
        <v>227</v>
      </c>
      <c r="C135" s="783" t="s">
        <v>423</v>
      </c>
      <c r="D135" s="783" t="s">
        <v>224</v>
      </c>
      <c r="E135" s="808">
        <v>9219</v>
      </c>
      <c r="F135" s="799"/>
      <c r="G135" s="799"/>
      <c r="H135" s="1592">
        <f t="shared" si="3"/>
        <v>0</v>
      </c>
      <c r="I135" s="754" t="str">
        <f>IFERROR(VLOOKUP(B135,Mychart!$A$125:$B$911,2,FALSE),"-")</f>
        <v>AHMED SAIF SHAMSI</v>
      </c>
      <c r="J135" s="753">
        <f t="shared" si="4"/>
        <v>6</v>
      </c>
      <c r="K135" s="1540">
        <f t="shared" si="5"/>
        <v>2024</v>
      </c>
      <c r="L135" s="757"/>
      <c r="M135" s="757"/>
      <c r="N135" s="757"/>
      <c r="O135" s="757"/>
      <c r="P135" s="757"/>
      <c r="Q135" s="757"/>
      <c r="R135" s="757"/>
      <c r="S135" s="757"/>
      <c r="T135" s="757"/>
      <c r="U135" s="757"/>
      <c r="V135" s="757"/>
      <c r="W135" s="757"/>
      <c r="X135" s="757"/>
      <c r="Y135" s="757"/>
      <c r="Z135" s="757"/>
      <c r="AA135" s="757"/>
      <c r="AB135" s="757"/>
      <c r="AC135" s="757"/>
      <c r="AD135" s="757"/>
      <c r="AE135" s="757"/>
      <c r="AF135" s="757"/>
      <c r="AG135" s="757"/>
      <c r="AH135" s="757"/>
      <c r="AI135" s="757"/>
      <c r="AJ135" s="757"/>
      <c r="AK135" s="757"/>
      <c r="AL135" s="757"/>
      <c r="AM135" s="757"/>
      <c r="AN135" s="757"/>
      <c r="AO135" s="757"/>
      <c r="AP135" s="757"/>
      <c r="AQ135" s="757"/>
      <c r="AR135" s="757"/>
      <c r="AS135" s="757"/>
      <c r="AT135" s="757"/>
      <c r="AU135" s="757"/>
      <c r="AV135" s="757"/>
      <c r="AW135" s="757"/>
      <c r="AX135" s="757"/>
      <c r="AY135" s="757"/>
      <c r="AZ135" s="75"/>
      <c r="BA135" s="2"/>
      <c r="BB135" s="2"/>
      <c r="BC135" s="2"/>
      <c r="BD135" s="2"/>
    </row>
    <row r="136" spans="1:56">
      <c r="A136" s="781">
        <v>1</v>
      </c>
      <c r="B136" s="782">
        <v>214</v>
      </c>
      <c r="C136" s="783">
        <v>44905</v>
      </c>
      <c r="D136" s="786" t="s">
        <v>426</v>
      </c>
      <c r="E136" s="807"/>
      <c r="F136" s="798">
        <v>47619</v>
      </c>
      <c r="G136" s="798">
        <v>2381</v>
      </c>
      <c r="H136" s="1592">
        <f t="shared" si="3"/>
        <v>50000</v>
      </c>
      <c r="I136" s="754" t="str">
        <f>IFERROR(VLOOKUP(B136,Mychart!$A$125:$B$911,2,FALSE),"-")</f>
        <v>ALI SHEHI - EBTESAM</v>
      </c>
      <c r="J136" s="753">
        <f t="shared" si="4"/>
        <v>12</v>
      </c>
      <c r="K136" s="1540">
        <f t="shared" si="5"/>
        <v>2022</v>
      </c>
      <c r="L136" s="757"/>
      <c r="M136" s="757"/>
      <c r="N136" s="757"/>
      <c r="O136" s="757"/>
      <c r="P136" s="757"/>
      <c r="Q136" s="757"/>
      <c r="R136" s="757"/>
      <c r="S136" s="757"/>
      <c r="T136" s="757"/>
      <c r="U136" s="757"/>
      <c r="V136" s="757"/>
      <c r="W136" s="757"/>
      <c r="X136" s="757"/>
      <c r="Y136" s="757"/>
      <c r="Z136" s="757"/>
      <c r="AA136" s="757"/>
      <c r="AB136" s="757"/>
      <c r="AC136" s="757"/>
      <c r="AD136" s="757"/>
      <c r="AE136" s="757"/>
      <c r="AF136" s="757"/>
      <c r="AG136" s="757"/>
      <c r="AH136" s="757"/>
      <c r="AI136" s="757"/>
      <c r="AJ136" s="757"/>
      <c r="AK136" s="757"/>
      <c r="AL136" s="757"/>
      <c r="AM136" s="757"/>
      <c r="AN136" s="757"/>
      <c r="AO136" s="757"/>
      <c r="AP136" s="757"/>
      <c r="AQ136" s="757"/>
      <c r="AR136" s="757"/>
      <c r="AS136" s="757"/>
      <c r="AT136" s="757"/>
      <c r="AU136" s="757"/>
      <c r="AV136" s="757"/>
      <c r="AW136" s="757"/>
      <c r="AX136" s="757"/>
      <c r="AY136" s="757"/>
      <c r="AZ136" s="75"/>
      <c r="BA136" s="2"/>
      <c r="BB136" s="2"/>
      <c r="BC136" s="2"/>
      <c r="BD136" s="2"/>
    </row>
    <row r="137" spans="1:56">
      <c r="A137" s="781">
        <v>1</v>
      </c>
      <c r="B137" s="782">
        <v>214</v>
      </c>
      <c r="C137" s="783">
        <v>44912</v>
      </c>
      <c r="D137" s="784" t="s">
        <v>427</v>
      </c>
      <c r="E137" s="807"/>
      <c r="F137" s="798">
        <v>30000</v>
      </c>
      <c r="G137" s="798"/>
      <c r="H137" s="1592">
        <f t="shared" si="3"/>
        <v>30000</v>
      </c>
      <c r="I137" s="754" t="str">
        <f>IFERROR(VLOOKUP(B137,Mychart!$A$125:$B$911,2,FALSE),"-")</f>
        <v>ALI SHEHI - EBTESAM</v>
      </c>
      <c r="J137" s="753">
        <f t="shared" si="4"/>
        <v>12</v>
      </c>
      <c r="K137" s="1540">
        <f t="shared" si="5"/>
        <v>2022</v>
      </c>
      <c r="L137" s="757"/>
      <c r="M137" s="757"/>
      <c r="N137" s="757"/>
      <c r="O137" s="757"/>
      <c r="P137" s="757"/>
      <c r="Q137" s="757"/>
      <c r="R137" s="757"/>
      <c r="S137" s="757"/>
      <c r="T137" s="757"/>
      <c r="U137" s="757"/>
      <c r="V137" s="757"/>
      <c r="W137" s="757"/>
      <c r="X137" s="757"/>
      <c r="Y137" s="757"/>
      <c r="Z137" s="757"/>
      <c r="AA137" s="757"/>
      <c r="AB137" s="757"/>
      <c r="AC137" s="757"/>
      <c r="AD137" s="757"/>
      <c r="AE137" s="757"/>
      <c r="AF137" s="757"/>
      <c r="AG137" s="757"/>
      <c r="AH137" s="757"/>
      <c r="AI137" s="757"/>
      <c r="AJ137" s="757"/>
      <c r="AK137" s="757"/>
      <c r="AL137" s="757"/>
      <c r="AM137" s="757"/>
      <c r="AN137" s="757"/>
      <c r="AO137" s="757"/>
      <c r="AP137" s="757"/>
      <c r="AQ137" s="757"/>
      <c r="AR137" s="757"/>
      <c r="AS137" s="757"/>
      <c r="AT137" s="757"/>
      <c r="AU137" s="757"/>
      <c r="AV137" s="757"/>
      <c r="AW137" s="757"/>
      <c r="AX137" s="757"/>
      <c r="AY137" s="757"/>
      <c r="AZ137" s="75"/>
      <c r="BA137" s="2"/>
      <c r="BB137" s="2"/>
      <c r="BC137" s="2"/>
      <c r="BD137" s="2"/>
    </row>
    <row r="138" spans="1:56">
      <c r="A138" s="781">
        <v>1</v>
      </c>
      <c r="B138" s="782">
        <v>214</v>
      </c>
      <c r="C138" s="783">
        <v>45465</v>
      </c>
      <c r="D138" s="784" t="s">
        <v>420</v>
      </c>
      <c r="E138" s="807"/>
      <c r="F138" s="798">
        <v>13581</v>
      </c>
      <c r="G138" s="798">
        <v>2179</v>
      </c>
      <c r="H138" s="1592">
        <f t="shared" si="3"/>
        <v>15760</v>
      </c>
      <c r="I138" s="754" t="str">
        <f>IFERROR(VLOOKUP(B138,Mychart!$A$125:$B$911,2,FALSE),"-")</f>
        <v>ALI SHEHI - EBTESAM</v>
      </c>
      <c r="J138" s="753">
        <f t="shared" si="4"/>
        <v>6</v>
      </c>
      <c r="K138" s="1540">
        <f t="shared" si="5"/>
        <v>2024</v>
      </c>
      <c r="L138" s="757"/>
      <c r="M138" s="757"/>
      <c r="N138" s="757"/>
      <c r="O138" s="757"/>
      <c r="P138" s="757"/>
      <c r="Q138" s="757"/>
      <c r="R138" s="757"/>
      <c r="S138" s="757"/>
      <c r="T138" s="757"/>
      <c r="U138" s="757"/>
      <c r="V138" s="757"/>
      <c r="W138" s="757"/>
      <c r="X138" s="757"/>
      <c r="Y138" s="757"/>
      <c r="Z138" s="757"/>
      <c r="AA138" s="757"/>
      <c r="AB138" s="757"/>
      <c r="AC138" s="757"/>
      <c r="AD138" s="757"/>
      <c r="AE138" s="757"/>
      <c r="AF138" s="757"/>
      <c r="AG138" s="757"/>
      <c r="AH138" s="757"/>
      <c r="AI138" s="757"/>
      <c r="AJ138" s="757"/>
      <c r="AK138" s="757"/>
      <c r="AL138" s="757"/>
      <c r="AM138" s="757"/>
      <c r="AN138" s="757"/>
      <c r="AO138" s="757"/>
      <c r="AP138" s="757"/>
      <c r="AQ138" s="757"/>
      <c r="AR138" s="757"/>
      <c r="AS138" s="757"/>
      <c r="AT138" s="757"/>
      <c r="AU138" s="757"/>
      <c r="AV138" s="757"/>
      <c r="AW138" s="757"/>
      <c r="AX138" s="757"/>
      <c r="AY138" s="757"/>
      <c r="AZ138" s="75"/>
      <c r="BA138" s="2"/>
      <c r="BB138" s="2"/>
      <c r="BC138" s="2"/>
      <c r="BD138" s="2"/>
    </row>
    <row r="139" spans="1:56">
      <c r="A139" s="781">
        <v>2</v>
      </c>
      <c r="B139" s="782">
        <v>214</v>
      </c>
      <c r="C139" s="783"/>
      <c r="D139" s="783" t="s">
        <v>428</v>
      </c>
      <c r="E139" s="808">
        <v>21157</v>
      </c>
      <c r="F139" s="799"/>
      <c r="G139" s="799"/>
      <c r="H139" s="1592">
        <f t="shared" ref="H139:H202" si="6">F139+G139</f>
        <v>0</v>
      </c>
      <c r="I139" s="754" t="str">
        <f>IFERROR(VLOOKUP(B139,Mychart!$A$125:$B$911,2,FALSE),"-")</f>
        <v>ALI SHEHI - EBTESAM</v>
      </c>
      <c r="J139" s="753" t="str">
        <f t="shared" ref="J139:J202" si="7">IF(C139&lt;&gt;"", MONTH(C139),"-")</f>
        <v>-</v>
      </c>
      <c r="K139" s="1540">
        <f t="shared" ref="K139:K202" si="8">YEAR(C139)</f>
        <v>1900</v>
      </c>
      <c r="L139" s="757"/>
      <c r="M139" s="757"/>
      <c r="N139" s="757"/>
      <c r="O139" s="757"/>
      <c r="P139" s="757"/>
      <c r="Q139" s="757"/>
      <c r="R139" s="757"/>
      <c r="S139" s="757"/>
      <c r="T139" s="757"/>
      <c r="U139" s="757"/>
      <c r="V139" s="757"/>
      <c r="W139" s="757"/>
      <c r="X139" s="757"/>
      <c r="Y139" s="757"/>
      <c r="Z139" s="757"/>
      <c r="AA139" s="757"/>
      <c r="AB139" s="757"/>
      <c r="AC139" s="757"/>
      <c r="AD139" s="757"/>
      <c r="AE139" s="757"/>
      <c r="AF139" s="757"/>
      <c r="AG139" s="757"/>
      <c r="AH139" s="757"/>
      <c r="AI139" s="757"/>
      <c r="AJ139" s="757"/>
      <c r="AK139" s="757"/>
      <c r="AL139" s="757"/>
      <c r="AM139" s="757"/>
      <c r="AN139" s="757"/>
      <c r="AO139" s="757"/>
      <c r="AP139" s="757"/>
      <c r="AQ139" s="757"/>
      <c r="AR139" s="757"/>
      <c r="AS139" s="757"/>
      <c r="AT139" s="757"/>
      <c r="AU139" s="757"/>
      <c r="AV139" s="757"/>
      <c r="AW139" s="757"/>
      <c r="AX139" s="757"/>
      <c r="AY139" s="757"/>
      <c r="AZ139" s="75"/>
      <c r="BA139" s="2"/>
      <c r="BB139" s="2"/>
      <c r="BC139" s="2"/>
      <c r="BD139" s="2"/>
    </row>
    <row r="140" spans="1:56">
      <c r="A140" s="781">
        <v>2</v>
      </c>
      <c r="B140" s="782">
        <v>214</v>
      </c>
      <c r="C140" s="783"/>
      <c r="D140" s="783" t="s">
        <v>428</v>
      </c>
      <c r="E140" s="808">
        <v>5260</v>
      </c>
      <c r="F140" s="799"/>
      <c r="G140" s="799"/>
      <c r="H140" s="1592">
        <f t="shared" si="6"/>
        <v>0</v>
      </c>
      <c r="I140" s="754" t="str">
        <f>IFERROR(VLOOKUP(B140,Mychart!$A$125:$B$911,2,FALSE),"-")</f>
        <v>ALI SHEHI - EBTESAM</v>
      </c>
      <c r="J140" s="753" t="str">
        <f t="shared" si="7"/>
        <v>-</v>
      </c>
      <c r="K140" s="1540">
        <f t="shared" si="8"/>
        <v>1900</v>
      </c>
      <c r="L140" s="757"/>
      <c r="M140" s="757"/>
      <c r="N140" s="757"/>
      <c r="O140" s="757"/>
      <c r="P140" s="757"/>
      <c r="Q140" s="757"/>
      <c r="R140" s="757"/>
      <c r="S140" s="757"/>
      <c r="T140" s="757"/>
      <c r="U140" s="757"/>
      <c r="V140" s="757"/>
      <c r="W140" s="757"/>
      <c r="X140" s="757"/>
      <c r="Y140" s="757"/>
      <c r="Z140" s="757"/>
      <c r="AA140" s="757"/>
      <c r="AB140" s="757"/>
      <c r="AC140" s="757"/>
      <c r="AD140" s="757"/>
      <c r="AE140" s="757"/>
      <c r="AF140" s="757"/>
      <c r="AG140" s="757"/>
      <c r="AH140" s="757"/>
      <c r="AI140" s="757"/>
      <c r="AJ140" s="757"/>
      <c r="AK140" s="757"/>
      <c r="AL140" s="757"/>
      <c r="AM140" s="757"/>
      <c r="AN140" s="757"/>
      <c r="AO140" s="757"/>
      <c r="AP140" s="757"/>
      <c r="AQ140" s="757"/>
      <c r="AR140" s="757"/>
      <c r="AS140" s="757"/>
      <c r="AT140" s="757"/>
      <c r="AU140" s="757"/>
      <c r="AV140" s="757"/>
      <c r="AW140" s="757"/>
      <c r="AX140" s="757"/>
      <c r="AY140" s="757"/>
      <c r="AZ140" s="75"/>
      <c r="BA140" s="2"/>
      <c r="BB140" s="2"/>
      <c r="BC140" s="2"/>
      <c r="BD140" s="2"/>
    </row>
    <row r="141" spans="1:56">
      <c r="A141" s="781">
        <v>2</v>
      </c>
      <c r="B141" s="782">
        <v>214</v>
      </c>
      <c r="C141" s="783"/>
      <c r="D141" s="783" t="s">
        <v>428</v>
      </c>
      <c r="E141" s="808">
        <v>3034</v>
      </c>
      <c r="F141" s="799"/>
      <c r="G141" s="799"/>
      <c r="H141" s="1592">
        <f t="shared" si="6"/>
        <v>0</v>
      </c>
      <c r="I141" s="754" t="str">
        <f>IFERROR(VLOOKUP(B141,Mychart!$A$125:$B$911,2,FALSE),"-")</f>
        <v>ALI SHEHI - EBTESAM</v>
      </c>
      <c r="J141" s="753" t="str">
        <f t="shared" si="7"/>
        <v>-</v>
      </c>
      <c r="K141" s="1540">
        <f t="shared" si="8"/>
        <v>1900</v>
      </c>
      <c r="L141" s="757"/>
      <c r="M141" s="757"/>
      <c r="N141" s="757"/>
      <c r="O141" s="757"/>
      <c r="P141" s="757"/>
      <c r="Q141" s="757"/>
      <c r="R141" s="757"/>
      <c r="S141" s="757"/>
      <c r="T141" s="757"/>
      <c r="U141" s="757"/>
      <c r="V141" s="757"/>
      <c r="W141" s="757"/>
      <c r="X141" s="757"/>
      <c r="Y141" s="757"/>
      <c r="Z141" s="757"/>
      <c r="AA141" s="757"/>
      <c r="AB141" s="757"/>
      <c r="AC141" s="757"/>
      <c r="AD141" s="757"/>
      <c r="AE141" s="757"/>
      <c r="AF141" s="757"/>
      <c r="AG141" s="757"/>
      <c r="AH141" s="757"/>
      <c r="AI141" s="757"/>
      <c r="AJ141" s="757"/>
      <c r="AK141" s="757"/>
      <c r="AL141" s="757"/>
      <c r="AM141" s="757"/>
      <c r="AN141" s="757"/>
      <c r="AO141" s="757"/>
      <c r="AP141" s="757"/>
      <c r="AQ141" s="757"/>
      <c r="AR141" s="757"/>
      <c r="AS141" s="757"/>
      <c r="AT141" s="757"/>
      <c r="AU141" s="757"/>
      <c r="AV141" s="757"/>
      <c r="AW141" s="757"/>
      <c r="AX141" s="757"/>
      <c r="AY141" s="757"/>
      <c r="AZ141" s="75"/>
      <c r="BA141" s="2"/>
      <c r="BB141" s="2"/>
      <c r="BC141" s="2"/>
      <c r="BD141" s="2"/>
    </row>
    <row r="142" spans="1:56">
      <c r="A142" s="781">
        <v>2</v>
      </c>
      <c r="B142" s="782">
        <v>214</v>
      </c>
      <c r="C142" s="783"/>
      <c r="D142" s="783" t="s">
        <v>178</v>
      </c>
      <c r="E142" s="808">
        <v>4626</v>
      </c>
      <c r="F142" s="799"/>
      <c r="G142" s="799"/>
      <c r="H142" s="1592">
        <f t="shared" si="6"/>
        <v>0</v>
      </c>
      <c r="I142" s="754" t="str">
        <f>IFERROR(VLOOKUP(B142,Mychart!$A$125:$B$911,2,FALSE),"-")</f>
        <v>ALI SHEHI - EBTESAM</v>
      </c>
      <c r="J142" s="753" t="str">
        <f t="shared" si="7"/>
        <v>-</v>
      </c>
      <c r="K142" s="1540">
        <f t="shared" si="8"/>
        <v>1900</v>
      </c>
      <c r="L142" s="757"/>
      <c r="M142" s="757"/>
      <c r="N142" s="757"/>
      <c r="O142" s="757"/>
      <c r="P142" s="757"/>
      <c r="Q142" s="757"/>
      <c r="R142" s="757"/>
      <c r="S142" s="757"/>
      <c r="T142" s="757"/>
      <c r="U142" s="757"/>
      <c r="V142" s="757"/>
      <c r="W142" s="757"/>
      <c r="X142" s="757"/>
      <c r="Y142" s="757"/>
      <c r="Z142" s="757"/>
      <c r="AA142" s="757"/>
      <c r="AB142" s="757"/>
      <c r="AC142" s="757"/>
      <c r="AD142" s="757"/>
      <c r="AE142" s="757"/>
      <c r="AF142" s="757"/>
      <c r="AG142" s="757"/>
      <c r="AH142" s="757"/>
      <c r="AI142" s="757"/>
      <c r="AJ142" s="757"/>
      <c r="AK142" s="757"/>
      <c r="AL142" s="757"/>
      <c r="AM142" s="757"/>
      <c r="AN142" s="757"/>
      <c r="AO142" s="757"/>
      <c r="AP142" s="757"/>
      <c r="AQ142" s="757"/>
      <c r="AR142" s="757"/>
      <c r="AS142" s="757"/>
      <c r="AT142" s="757"/>
      <c r="AU142" s="757"/>
      <c r="AV142" s="757"/>
      <c r="AW142" s="757"/>
      <c r="AX142" s="757"/>
      <c r="AY142" s="757"/>
      <c r="AZ142" s="75"/>
      <c r="BA142" s="2"/>
      <c r="BB142" s="2"/>
      <c r="BC142" s="2"/>
      <c r="BD142" s="2"/>
    </row>
    <row r="143" spans="1:56">
      <c r="A143" s="781">
        <v>2</v>
      </c>
      <c r="B143" s="782">
        <v>214</v>
      </c>
      <c r="C143" s="783"/>
      <c r="D143" s="783" t="s">
        <v>428</v>
      </c>
      <c r="E143" s="808">
        <v>2352</v>
      </c>
      <c r="F143" s="799"/>
      <c r="G143" s="799"/>
      <c r="H143" s="1592">
        <f t="shared" si="6"/>
        <v>0</v>
      </c>
      <c r="I143" s="754" t="str">
        <f>IFERROR(VLOOKUP(B143,Mychart!$A$125:$B$911,2,FALSE),"-")</f>
        <v>ALI SHEHI - EBTESAM</v>
      </c>
      <c r="J143" s="753" t="str">
        <f t="shared" si="7"/>
        <v>-</v>
      </c>
      <c r="K143" s="1540">
        <f t="shared" si="8"/>
        <v>1900</v>
      </c>
      <c r="L143" s="757"/>
      <c r="M143" s="757"/>
      <c r="N143" s="757"/>
      <c r="O143" s="757"/>
      <c r="P143" s="757"/>
      <c r="Q143" s="757"/>
      <c r="R143" s="757"/>
      <c r="S143" s="757"/>
      <c r="T143" s="757"/>
      <c r="U143" s="757"/>
      <c r="V143" s="757"/>
      <c r="W143" s="757"/>
      <c r="X143" s="757"/>
      <c r="Y143" s="757"/>
      <c r="Z143" s="757"/>
      <c r="AA143" s="757"/>
      <c r="AB143" s="757"/>
      <c r="AC143" s="757"/>
      <c r="AD143" s="757"/>
      <c r="AE143" s="757"/>
      <c r="AF143" s="757"/>
      <c r="AG143" s="757"/>
      <c r="AH143" s="757"/>
      <c r="AI143" s="757"/>
      <c r="AJ143" s="757"/>
      <c r="AK143" s="757"/>
      <c r="AL143" s="757"/>
      <c r="AM143" s="757"/>
      <c r="AN143" s="757"/>
      <c r="AO143" s="757"/>
      <c r="AP143" s="757"/>
      <c r="AQ143" s="757"/>
      <c r="AR143" s="757"/>
      <c r="AS143" s="757"/>
      <c r="AT143" s="757"/>
      <c r="AU143" s="757"/>
      <c r="AV143" s="757"/>
      <c r="AW143" s="757"/>
      <c r="AX143" s="757"/>
      <c r="AY143" s="757"/>
      <c r="AZ143" s="75"/>
      <c r="BA143" s="2"/>
      <c r="BB143" s="2"/>
      <c r="BC143" s="2"/>
      <c r="BD143" s="2"/>
    </row>
    <row r="144" spans="1:56">
      <c r="A144" s="781">
        <v>2</v>
      </c>
      <c r="B144" s="782">
        <v>214</v>
      </c>
      <c r="C144" s="783"/>
      <c r="D144" s="783" t="s">
        <v>258</v>
      </c>
      <c r="E144" s="808">
        <v>138</v>
      </c>
      <c r="F144" s="799"/>
      <c r="G144" s="799"/>
      <c r="H144" s="1592">
        <f t="shared" si="6"/>
        <v>0</v>
      </c>
      <c r="I144" s="754" t="str">
        <f>IFERROR(VLOOKUP(B144,Mychart!$A$125:$B$911,2,FALSE),"-")</f>
        <v>ALI SHEHI - EBTESAM</v>
      </c>
      <c r="J144" s="753" t="str">
        <f t="shared" si="7"/>
        <v>-</v>
      </c>
      <c r="K144" s="1540">
        <f t="shared" si="8"/>
        <v>1900</v>
      </c>
      <c r="L144" s="757"/>
      <c r="M144" s="757"/>
      <c r="N144" s="757"/>
      <c r="O144" s="757"/>
      <c r="P144" s="757"/>
      <c r="Q144" s="757"/>
      <c r="R144" s="757"/>
      <c r="S144" s="757"/>
      <c r="T144" s="757"/>
      <c r="U144" s="757"/>
      <c r="V144" s="757"/>
      <c r="W144" s="757"/>
      <c r="X144" s="757"/>
      <c r="Y144" s="757"/>
      <c r="Z144" s="757"/>
      <c r="AA144" s="757"/>
      <c r="AB144" s="757"/>
      <c r="AC144" s="757"/>
      <c r="AD144" s="757"/>
      <c r="AE144" s="757"/>
      <c r="AF144" s="757"/>
      <c r="AG144" s="757"/>
      <c r="AH144" s="757"/>
      <c r="AI144" s="757"/>
      <c r="AJ144" s="757"/>
      <c r="AK144" s="757"/>
      <c r="AL144" s="757"/>
      <c r="AM144" s="757"/>
      <c r="AN144" s="757"/>
      <c r="AO144" s="757"/>
      <c r="AP144" s="757"/>
      <c r="AQ144" s="757"/>
      <c r="AR144" s="757"/>
      <c r="AS144" s="757"/>
      <c r="AT144" s="757"/>
      <c r="AU144" s="757"/>
      <c r="AV144" s="757"/>
      <c r="AW144" s="757"/>
      <c r="AX144" s="757"/>
      <c r="AY144" s="757"/>
      <c r="AZ144" s="75"/>
      <c r="BA144" s="2"/>
      <c r="BB144" s="2"/>
      <c r="BC144" s="2"/>
      <c r="BD144" s="2"/>
    </row>
    <row r="145" spans="1:56">
      <c r="A145" s="781">
        <v>2</v>
      </c>
      <c r="B145" s="782">
        <v>214</v>
      </c>
      <c r="C145" s="783"/>
      <c r="D145" s="783" t="s">
        <v>258</v>
      </c>
      <c r="E145" s="808">
        <v>1884</v>
      </c>
      <c r="F145" s="799"/>
      <c r="G145" s="799"/>
      <c r="H145" s="1592">
        <f t="shared" si="6"/>
        <v>0</v>
      </c>
      <c r="I145" s="754" t="str">
        <f>IFERROR(VLOOKUP(B145,Mychart!$A$125:$B$911,2,FALSE),"-")</f>
        <v>ALI SHEHI - EBTESAM</v>
      </c>
      <c r="J145" s="753" t="str">
        <f t="shared" si="7"/>
        <v>-</v>
      </c>
      <c r="K145" s="1540">
        <f t="shared" si="8"/>
        <v>1900</v>
      </c>
      <c r="L145" s="757"/>
      <c r="M145" s="757"/>
      <c r="N145" s="757"/>
      <c r="O145" s="757"/>
      <c r="P145" s="757"/>
      <c r="Q145" s="757"/>
      <c r="R145" s="757"/>
      <c r="S145" s="757"/>
      <c r="T145" s="757"/>
      <c r="U145" s="757"/>
      <c r="V145" s="757"/>
      <c r="W145" s="757"/>
      <c r="X145" s="757"/>
      <c r="Y145" s="757"/>
      <c r="Z145" s="757"/>
      <c r="AA145" s="757"/>
      <c r="AB145" s="757"/>
      <c r="AC145" s="757"/>
      <c r="AD145" s="757"/>
      <c r="AE145" s="757"/>
      <c r="AF145" s="757"/>
      <c r="AG145" s="757"/>
      <c r="AH145" s="757"/>
      <c r="AI145" s="757"/>
      <c r="AJ145" s="757"/>
      <c r="AK145" s="757"/>
      <c r="AL145" s="757"/>
      <c r="AM145" s="757"/>
      <c r="AN145" s="757"/>
      <c r="AO145" s="757"/>
      <c r="AP145" s="757"/>
      <c r="AQ145" s="757"/>
      <c r="AR145" s="757"/>
      <c r="AS145" s="757"/>
      <c r="AT145" s="757"/>
      <c r="AU145" s="757"/>
      <c r="AV145" s="757"/>
      <c r="AW145" s="757"/>
      <c r="AX145" s="757"/>
      <c r="AY145" s="757"/>
      <c r="AZ145" s="75"/>
      <c r="BA145" s="2"/>
      <c r="BB145" s="2"/>
      <c r="BC145" s="2"/>
      <c r="BD145" s="2"/>
    </row>
    <row r="146" spans="1:56">
      <c r="A146" s="781">
        <v>2</v>
      </c>
      <c r="B146" s="782">
        <v>214</v>
      </c>
      <c r="C146" s="783"/>
      <c r="D146" s="783" t="s">
        <v>258</v>
      </c>
      <c r="E146" s="808">
        <v>671</v>
      </c>
      <c r="F146" s="799"/>
      <c r="G146" s="799"/>
      <c r="H146" s="1592">
        <f t="shared" si="6"/>
        <v>0</v>
      </c>
      <c r="I146" s="754" t="str">
        <f>IFERROR(VLOOKUP(B146,Mychart!$A$125:$B$911,2,FALSE),"-")</f>
        <v>ALI SHEHI - EBTESAM</v>
      </c>
      <c r="J146" s="753" t="str">
        <f t="shared" si="7"/>
        <v>-</v>
      </c>
      <c r="K146" s="1540">
        <f t="shared" si="8"/>
        <v>1900</v>
      </c>
      <c r="L146" s="757"/>
      <c r="M146" s="757"/>
      <c r="N146" s="757"/>
      <c r="O146" s="757"/>
      <c r="P146" s="757"/>
      <c r="Q146" s="757"/>
      <c r="R146" s="757"/>
      <c r="S146" s="757"/>
      <c r="T146" s="757"/>
      <c r="U146" s="757"/>
      <c r="V146" s="757"/>
      <c r="W146" s="757"/>
      <c r="X146" s="757"/>
      <c r="Y146" s="757"/>
      <c r="Z146" s="757"/>
      <c r="AA146" s="757"/>
      <c r="AB146" s="757"/>
      <c r="AC146" s="757"/>
      <c r="AD146" s="757"/>
      <c r="AE146" s="757"/>
      <c r="AF146" s="757"/>
      <c r="AG146" s="757"/>
      <c r="AH146" s="757"/>
      <c r="AI146" s="757"/>
      <c r="AJ146" s="757"/>
      <c r="AK146" s="757"/>
      <c r="AL146" s="757"/>
      <c r="AM146" s="757"/>
      <c r="AN146" s="757"/>
      <c r="AO146" s="757"/>
      <c r="AP146" s="757"/>
      <c r="AQ146" s="757"/>
      <c r="AR146" s="757"/>
      <c r="AS146" s="757"/>
      <c r="AT146" s="757"/>
      <c r="AU146" s="757"/>
      <c r="AV146" s="757"/>
      <c r="AW146" s="757"/>
      <c r="AX146" s="757"/>
      <c r="AY146" s="757"/>
      <c r="AZ146" s="75"/>
      <c r="BA146" s="2"/>
      <c r="BB146" s="2"/>
      <c r="BC146" s="2"/>
      <c r="BD146" s="2"/>
    </row>
    <row r="147" spans="1:56">
      <c r="A147" s="781">
        <v>2</v>
      </c>
      <c r="B147" s="782">
        <v>214</v>
      </c>
      <c r="C147" s="783"/>
      <c r="D147" s="783" t="s">
        <v>429</v>
      </c>
      <c r="E147" s="808">
        <v>4620</v>
      </c>
      <c r="F147" s="799"/>
      <c r="G147" s="799"/>
      <c r="H147" s="1592">
        <f t="shared" si="6"/>
        <v>0</v>
      </c>
      <c r="I147" s="754" t="str">
        <f>IFERROR(VLOOKUP(B147,Mychart!$A$125:$B$911,2,FALSE),"-")</f>
        <v>ALI SHEHI - EBTESAM</v>
      </c>
      <c r="J147" s="753" t="str">
        <f t="shared" si="7"/>
        <v>-</v>
      </c>
      <c r="K147" s="1540">
        <f t="shared" si="8"/>
        <v>1900</v>
      </c>
      <c r="L147" s="757"/>
      <c r="M147" s="757"/>
      <c r="N147" s="757"/>
      <c r="O147" s="757"/>
      <c r="P147" s="757"/>
      <c r="Q147" s="757"/>
      <c r="R147" s="757"/>
      <c r="S147" s="757"/>
      <c r="T147" s="757"/>
      <c r="U147" s="757"/>
      <c r="V147" s="757"/>
      <c r="W147" s="757"/>
      <c r="X147" s="757"/>
      <c r="Y147" s="757"/>
      <c r="Z147" s="757"/>
      <c r="AA147" s="757"/>
      <c r="AB147" s="757"/>
      <c r="AC147" s="757"/>
      <c r="AD147" s="757"/>
      <c r="AE147" s="757"/>
      <c r="AF147" s="757"/>
      <c r="AG147" s="757"/>
      <c r="AH147" s="757"/>
      <c r="AI147" s="757"/>
      <c r="AJ147" s="757"/>
      <c r="AK147" s="757"/>
      <c r="AL147" s="757"/>
      <c r="AM147" s="757"/>
      <c r="AN147" s="757"/>
      <c r="AO147" s="757"/>
      <c r="AP147" s="757"/>
      <c r="AQ147" s="757"/>
      <c r="AR147" s="757"/>
      <c r="AS147" s="757"/>
      <c r="AT147" s="757"/>
      <c r="AU147" s="757"/>
      <c r="AV147" s="757"/>
      <c r="AW147" s="757"/>
      <c r="AX147" s="757"/>
      <c r="AY147" s="757"/>
      <c r="AZ147" s="75"/>
      <c r="BA147" s="2"/>
      <c r="BB147" s="2"/>
      <c r="BC147" s="2"/>
      <c r="BD147" s="2"/>
    </row>
    <row r="148" spans="1:56">
      <c r="A148" s="781">
        <v>2</v>
      </c>
      <c r="B148" s="782">
        <v>214</v>
      </c>
      <c r="C148" s="783"/>
      <c r="D148" s="783" t="s">
        <v>430</v>
      </c>
      <c r="E148" s="808">
        <v>8867</v>
      </c>
      <c r="F148" s="799"/>
      <c r="G148" s="799"/>
      <c r="H148" s="1592">
        <f t="shared" si="6"/>
        <v>0</v>
      </c>
      <c r="I148" s="754" t="str">
        <f>IFERROR(VLOOKUP(B148,Mychart!$A$125:$B$911,2,FALSE),"-")</f>
        <v>ALI SHEHI - EBTESAM</v>
      </c>
      <c r="J148" s="753" t="str">
        <f t="shared" si="7"/>
        <v>-</v>
      </c>
      <c r="K148" s="1540">
        <f t="shared" si="8"/>
        <v>1900</v>
      </c>
      <c r="L148" s="757"/>
      <c r="M148" s="757"/>
      <c r="N148" s="757"/>
      <c r="O148" s="757"/>
      <c r="P148" s="757"/>
      <c r="Q148" s="757"/>
      <c r="R148" s="757"/>
      <c r="S148" s="757"/>
      <c r="T148" s="757"/>
      <c r="U148" s="757"/>
      <c r="V148" s="757"/>
      <c r="W148" s="757"/>
      <c r="X148" s="757"/>
      <c r="Y148" s="757"/>
      <c r="Z148" s="757"/>
      <c r="AA148" s="757"/>
      <c r="AB148" s="757"/>
      <c r="AC148" s="757"/>
      <c r="AD148" s="757"/>
      <c r="AE148" s="757"/>
      <c r="AF148" s="757"/>
      <c r="AG148" s="757"/>
      <c r="AH148" s="757"/>
      <c r="AI148" s="757"/>
      <c r="AJ148" s="757"/>
      <c r="AK148" s="757"/>
      <c r="AL148" s="757"/>
      <c r="AM148" s="757"/>
      <c r="AN148" s="757"/>
      <c r="AO148" s="757"/>
      <c r="AP148" s="757"/>
      <c r="AQ148" s="757"/>
      <c r="AR148" s="757"/>
      <c r="AS148" s="757"/>
      <c r="AT148" s="757"/>
      <c r="AU148" s="757"/>
      <c r="AV148" s="757"/>
      <c r="AW148" s="757"/>
      <c r="AX148" s="757"/>
      <c r="AY148" s="757"/>
      <c r="AZ148" s="75"/>
      <c r="BA148" s="2"/>
      <c r="BB148" s="2"/>
      <c r="BC148" s="2"/>
      <c r="BD148" s="2"/>
    </row>
    <row r="149" spans="1:56">
      <c r="A149" s="781">
        <v>2</v>
      </c>
      <c r="B149" s="782">
        <v>214</v>
      </c>
      <c r="C149" s="783"/>
      <c r="D149" s="783" t="s">
        <v>431</v>
      </c>
      <c r="E149" s="808">
        <v>1400</v>
      </c>
      <c r="F149" s="799"/>
      <c r="G149" s="799"/>
      <c r="H149" s="1592">
        <f t="shared" si="6"/>
        <v>0</v>
      </c>
      <c r="I149" s="754" t="str">
        <f>IFERROR(VLOOKUP(B149,Mychart!$A$125:$B$911,2,FALSE),"-")</f>
        <v>ALI SHEHI - EBTESAM</v>
      </c>
      <c r="J149" s="753" t="str">
        <f t="shared" si="7"/>
        <v>-</v>
      </c>
      <c r="K149" s="1540">
        <f t="shared" si="8"/>
        <v>1900</v>
      </c>
      <c r="L149" s="757"/>
      <c r="M149" s="757"/>
      <c r="N149" s="757"/>
      <c r="O149" s="757"/>
      <c r="P149" s="757"/>
      <c r="Q149" s="757"/>
      <c r="R149" s="757"/>
      <c r="S149" s="757"/>
      <c r="T149" s="757"/>
      <c r="U149" s="757"/>
      <c r="V149" s="757"/>
      <c r="W149" s="757"/>
      <c r="X149" s="757"/>
      <c r="Y149" s="757"/>
      <c r="Z149" s="757"/>
      <c r="AA149" s="757"/>
      <c r="AB149" s="757"/>
      <c r="AC149" s="757"/>
      <c r="AD149" s="757"/>
      <c r="AE149" s="757"/>
      <c r="AF149" s="757"/>
      <c r="AG149" s="757"/>
      <c r="AH149" s="757"/>
      <c r="AI149" s="757"/>
      <c r="AJ149" s="757"/>
      <c r="AK149" s="757"/>
      <c r="AL149" s="757"/>
      <c r="AM149" s="757"/>
      <c r="AN149" s="757"/>
      <c r="AO149" s="757"/>
      <c r="AP149" s="757"/>
      <c r="AQ149" s="757"/>
      <c r="AR149" s="757"/>
      <c r="AS149" s="757"/>
      <c r="AT149" s="757"/>
      <c r="AU149" s="757"/>
      <c r="AV149" s="757"/>
      <c r="AW149" s="757"/>
      <c r="AX149" s="757"/>
      <c r="AY149" s="757"/>
      <c r="AZ149" s="75"/>
      <c r="BA149" s="2"/>
      <c r="BB149" s="2"/>
      <c r="BC149" s="2"/>
      <c r="BD149" s="2"/>
    </row>
    <row r="150" spans="1:56">
      <c r="A150" s="781">
        <v>2</v>
      </c>
      <c r="B150" s="782">
        <v>214</v>
      </c>
      <c r="C150" s="783"/>
      <c r="D150" s="783" t="s">
        <v>432</v>
      </c>
      <c r="E150" s="808">
        <v>500</v>
      </c>
      <c r="F150" s="799"/>
      <c r="G150" s="799"/>
      <c r="H150" s="1592">
        <f t="shared" si="6"/>
        <v>0</v>
      </c>
      <c r="I150" s="754" t="str">
        <f>IFERROR(VLOOKUP(B150,Mychart!$A$125:$B$911,2,FALSE),"-")</f>
        <v>ALI SHEHI - EBTESAM</v>
      </c>
      <c r="J150" s="753" t="str">
        <f t="shared" si="7"/>
        <v>-</v>
      </c>
      <c r="K150" s="1540">
        <f t="shared" si="8"/>
        <v>1900</v>
      </c>
      <c r="L150" s="757"/>
      <c r="M150" s="757"/>
      <c r="N150" s="757"/>
      <c r="O150" s="757"/>
      <c r="P150" s="757"/>
      <c r="Q150" s="757"/>
      <c r="R150" s="757"/>
      <c r="S150" s="757"/>
      <c r="T150" s="757"/>
      <c r="U150" s="757"/>
      <c r="V150" s="757"/>
      <c r="W150" s="757"/>
      <c r="X150" s="757"/>
      <c r="Y150" s="757"/>
      <c r="Z150" s="757"/>
      <c r="AA150" s="757"/>
      <c r="AB150" s="757"/>
      <c r="AC150" s="757"/>
      <c r="AD150" s="757"/>
      <c r="AE150" s="757"/>
      <c r="AF150" s="757"/>
      <c r="AG150" s="757"/>
      <c r="AH150" s="757"/>
      <c r="AI150" s="757"/>
      <c r="AJ150" s="757"/>
      <c r="AK150" s="757"/>
      <c r="AL150" s="757"/>
      <c r="AM150" s="757"/>
      <c r="AN150" s="757"/>
      <c r="AO150" s="757"/>
      <c r="AP150" s="757"/>
      <c r="AQ150" s="757"/>
      <c r="AR150" s="757"/>
      <c r="AS150" s="757"/>
      <c r="AT150" s="757"/>
      <c r="AU150" s="757"/>
      <c r="AV150" s="757"/>
      <c r="AW150" s="757"/>
      <c r="AX150" s="757"/>
      <c r="AY150" s="757"/>
      <c r="AZ150" s="75"/>
      <c r="BA150" s="2"/>
      <c r="BB150" s="2"/>
      <c r="BC150" s="2"/>
      <c r="BD150" s="2"/>
    </row>
    <row r="151" spans="1:56">
      <c r="A151" s="781">
        <v>2</v>
      </c>
      <c r="B151" s="782">
        <v>214</v>
      </c>
      <c r="C151" s="783"/>
      <c r="D151" s="783" t="s">
        <v>178</v>
      </c>
      <c r="E151" s="808">
        <v>3221</v>
      </c>
      <c r="F151" s="799"/>
      <c r="G151" s="799"/>
      <c r="H151" s="1592">
        <f t="shared" si="6"/>
        <v>0</v>
      </c>
      <c r="I151" s="754" t="str">
        <f>IFERROR(VLOOKUP(B151,Mychart!$A$125:$B$911,2,FALSE),"-")</f>
        <v>ALI SHEHI - EBTESAM</v>
      </c>
      <c r="J151" s="753" t="str">
        <f t="shared" si="7"/>
        <v>-</v>
      </c>
      <c r="K151" s="1540">
        <f t="shared" si="8"/>
        <v>1900</v>
      </c>
      <c r="L151" s="757"/>
      <c r="M151" s="757"/>
      <c r="N151" s="757"/>
      <c r="O151" s="757"/>
      <c r="P151" s="757"/>
      <c r="Q151" s="757"/>
      <c r="R151" s="757"/>
      <c r="S151" s="757"/>
      <c r="T151" s="757"/>
      <c r="U151" s="757"/>
      <c r="V151" s="757"/>
      <c r="W151" s="757"/>
      <c r="X151" s="757"/>
      <c r="Y151" s="757"/>
      <c r="Z151" s="757"/>
      <c r="AA151" s="757"/>
      <c r="AB151" s="757"/>
      <c r="AC151" s="757"/>
      <c r="AD151" s="757"/>
      <c r="AE151" s="757"/>
      <c r="AF151" s="757"/>
      <c r="AG151" s="757"/>
      <c r="AH151" s="757"/>
      <c r="AI151" s="757"/>
      <c r="AJ151" s="757"/>
      <c r="AK151" s="757"/>
      <c r="AL151" s="757"/>
      <c r="AM151" s="757"/>
      <c r="AN151" s="757"/>
      <c r="AO151" s="757"/>
      <c r="AP151" s="757"/>
      <c r="AQ151" s="757"/>
      <c r="AR151" s="757"/>
      <c r="AS151" s="757"/>
      <c r="AT151" s="757"/>
      <c r="AU151" s="757"/>
      <c r="AV151" s="757"/>
      <c r="AW151" s="757"/>
      <c r="AX151" s="757"/>
      <c r="AY151" s="757"/>
      <c r="AZ151" s="75"/>
      <c r="BA151" s="2"/>
      <c r="BB151" s="2"/>
      <c r="BC151" s="2"/>
      <c r="BD151" s="2"/>
    </row>
    <row r="152" spans="1:56">
      <c r="A152" s="781">
        <v>2</v>
      </c>
      <c r="B152" s="782">
        <v>214</v>
      </c>
      <c r="C152" s="783"/>
      <c r="D152" s="783" t="s">
        <v>430</v>
      </c>
      <c r="E152" s="808">
        <v>4767</v>
      </c>
      <c r="F152" s="799"/>
      <c r="G152" s="799"/>
      <c r="H152" s="1592">
        <f t="shared" si="6"/>
        <v>0</v>
      </c>
      <c r="I152" s="754" t="str">
        <f>IFERROR(VLOOKUP(B152,Mychart!$A$125:$B$911,2,FALSE),"-")</f>
        <v>ALI SHEHI - EBTESAM</v>
      </c>
      <c r="J152" s="753" t="str">
        <f t="shared" si="7"/>
        <v>-</v>
      </c>
      <c r="K152" s="1540">
        <f t="shared" si="8"/>
        <v>1900</v>
      </c>
      <c r="L152" s="757"/>
      <c r="M152" s="757"/>
      <c r="N152" s="757"/>
      <c r="O152" s="757"/>
      <c r="P152" s="757"/>
      <c r="Q152" s="757"/>
      <c r="R152" s="757"/>
      <c r="S152" s="757"/>
      <c r="T152" s="757"/>
      <c r="U152" s="757"/>
      <c r="V152" s="757"/>
      <c r="W152" s="757"/>
      <c r="X152" s="757"/>
      <c r="Y152" s="757"/>
      <c r="Z152" s="757"/>
      <c r="AA152" s="757"/>
      <c r="AB152" s="757"/>
      <c r="AC152" s="757"/>
      <c r="AD152" s="757"/>
      <c r="AE152" s="757"/>
      <c r="AF152" s="757"/>
      <c r="AG152" s="757"/>
      <c r="AH152" s="757"/>
      <c r="AI152" s="757"/>
      <c r="AJ152" s="757"/>
      <c r="AK152" s="757"/>
      <c r="AL152" s="757"/>
      <c r="AM152" s="757"/>
      <c r="AN152" s="757"/>
      <c r="AO152" s="757"/>
      <c r="AP152" s="757"/>
      <c r="AQ152" s="757"/>
      <c r="AR152" s="757"/>
      <c r="AS152" s="757"/>
      <c r="AT152" s="757"/>
      <c r="AU152" s="757"/>
      <c r="AV152" s="757"/>
      <c r="AW152" s="757"/>
      <c r="AX152" s="757"/>
      <c r="AY152" s="757"/>
      <c r="AZ152" s="75"/>
      <c r="BA152" s="2"/>
      <c r="BB152" s="2"/>
      <c r="BC152" s="2"/>
      <c r="BD152" s="2"/>
    </row>
    <row r="153" spans="1:56">
      <c r="A153" s="781">
        <v>2</v>
      </c>
      <c r="B153" s="782">
        <v>214</v>
      </c>
      <c r="C153" s="783">
        <v>45443</v>
      </c>
      <c r="D153" s="783" t="s">
        <v>177</v>
      </c>
      <c r="E153" s="808">
        <v>762</v>
      </c>
      <c r="F153" s="799"/>
      <c r="G153" s="799"/>
      <c r="H153" s="1592">
        <f t="shared" si="6"/>
        <v>0</v>
      </c>
      <c r="I153" s="754" t="str">
        <f>IFERROR(VLOOKUP(B153,Mychart!$A$125:$B$911,2,FALSE),"-")</f>
        <v>ALI SHEHI - EBTESAM</v>
      </c>
      <c r="J153" s="753">
        <f t="shared" si="7"/>
        <v>5</v>
      </c>
      <c r="K153" s="1540">
        <f t="shared" si="8"/>
        <v>2024</v>
      </c>
      <c r="L153" s="757"/>
      <c r="M153" s="757"/>
      <c r="N153" s="757"/>
      <c r="O153" s="757"/>
      <c r="P153" s="757"/>
      <c r="Q153" s="757"/>
      <c r="R153" s="757"/>
      <c r="S153" s="757"/>
      <c r="T153" s="757"/>
      <c r="U153" s="757"/>
      <c r="V153" s="757"/>
      <c r="W153" s="757"/>
      <c r="X153" s="757"/>
      <c r="Y153" s="757"/>
      <c r="Z153" s="757"/>
      <c r="AA153" s="757"/>
      <c r="AB153" s="757"/>
      <c r="AC153" s="757"/>
      <c r="AD153" s="757"/>
      <c r="AE153" s="757"/>
      <c r="AF153" s="757"/>
      <c r="AG153" s="757"/>
      <c r="AH153" s="757"/>
      <c r="AI153" s="757"/>
      <c r="AJ153" s="757"/>
      <c r="AK153" s="757"/>
      <c r="AL153" s="757"/>
      <c r="AM153" s="757"/>
      <c r="AN153" s="757"/>
      <c r="AO153" s="757"/>
      <c r="AP153" s="757"/>
      <c r="AQ153" s="757"/>
      <c r="AR153" s="757"/>
      <c r="AS153" s="757"/>
      <c r="AT153" s="757"/>
      <c r="AU153" s="757"/>
      <c r="AV153" s="757"/>
      <c r="AW153" s="757"/>
      <c r="AX153" s="757"/>
      <c r="AY153" s="757"/>
      <c r="AZ153" s="75"/>
      <c r="BA153" s="2"/>
      <c r="BB153" s="2"/>
      <c r="BC153" s="2"/>
      <c r="BD153" s="2"/>
    </row>
    <row r="154" spans="1:56">
      <c r="A154" s="781">
        <v>1</v>
      </c>
      <c r="B154" s="782">
        <v>242</v>
      </c>
      <c r="C154" s="783">
        <v>45203</v>
      </c>
      <c r="D154" s="786" t="s">
        <v>442</v>
      </c>
      <c r="E154" s="807"/>
      <c r="F154" s="798">
        <v>21000</v>
      </c>
      <c r="G154" s="798">
        <v>1050</v>
      </c>
      <c r="H154" s="1592">
        <f t="shared" si="6"/>
        <v>22050</v>
      </c>
      <c r="I154" s="754" t="str">
        <f>IFERROR(VLOOKUP(B154,Mychart!$A$125:$B$911,2,FALSE),"-")</f>
        <v>AMMAR - ARCHPIX</v>
      </c>
      <c r="J154" s="753">
        <f t="shared" si="7"/>
        <v>10</v>
      </c>
      <c r="K154" s="1540">
        <f t="shared" si="8"/>
        <v>2023</v>
      </c>
      <c r="L154" s="757"/>
      <c r="M154" s="757"/>
      <c r="N154" s="757"/>
      <c r="O154" s="757"/>
      <c r="P154" s="757"/>
      <c r="Q154" s="757"/>
      <c r="R154" s="757"/>
      <c r="S154" s="757"/>
      <c r="T154" s="757"/>
      <c r="U154" s="757"/>
      <c r="V154" s="757"/>
      <c r="W154" s="757"/>
      <c r="X154" s="757"/>
      <c r="Y154" s="757"/>
      <c r="Z154" s="757"/>
      <c r="AA154" s="757"/>
      <c r="AB154" s="757"/>
      <c r="AC154" s="757"/>
      <c r="AD154" s="757"/>
      <c r="AE154" s="757"/>
      <c r="AF154" s="757"/>
      <c r="AG154" s="757"/>
      <c r="AH154" s="757"/>
      <c r="AI154" s="757"/>
      <c r="AJ154" s="757"/>
      <c r="AK154" s="757"/>
      <c r="AL154" s="757"/>
      <c r="AM154" s="757"/>
      <c r="AN154" s="757"/>
      <c r="AO154" s="757"/>
      <c r="AP154" s="757"/>
      <c r="AQ154" s="757"/>
      <c r="AR154" s="757"/>
      <c r="AS154" s="757"/>
      <c r="AT154" s="757"/>
      <c r="AU154" s="757"/>
      <c r="AV154" s="757"/>
      <c r="AW154" s="757"/>
      <c r="AX154" s="757"/>
      <c r="AY154" s="757"/>
      <c r="AZ154" s="75"/>
      <c r="BA154" s="2"/>
      <c r="BB154" s="2"/>
      <c r="BC154" s="2"/>
      <c r="BD154" s="2"/>
    </row>
    <row r="155" spans="1:56">
      <c r="A155" s="781">
        <v>1</v>
      </c>
      <c r="B155" s="782">
        <v>242</v>
      </c>
      <c r="C155" s="783">
        <v>45428</v>
      </c>
      <c r="D155" s="784" t="s">
        <v>443</v>
      </c>
      <c r="E155" s="807"/>
      <c r="F155" s="798">
        <v>80850</v>
      </c>
      <c r="G155" s="798">
        <v>4042.5</v>
      </c>
      <c r="H155" s="1592">
        <f t="shared" si="6"/>
        <v>84892.5</v>
      </c>
      <c r="I155" s="754" t="str">
        <f>IFERROR(VLOOKUP(B155,Mychart!$A$125:$B$911,2,FALSE),"-")</f>
        <v>AMMAR - ARCHPIX</v>
      </c>
      <c r="J155" s="753">
        <f t="shared" si="7"/>
        <v>5</v>
      </c>
      <c r="K155" s="1540">
        <f t="shared" si="8"/>
        <v>2024</v>
      </c>
      <c r="L155" s="757"/>
      <c r="M155" s="757"/>
      <c r="N155" s="757"/>
      <c r="O155" s="757"/>
      <c r="P155" s="757"/>
      <c r="Q155" s="757"/>
      <c r="R155" s="757"/>
      <c r="S155" s="757"/>
      <c r="T155" s="757"/>
      <c r="U155" s="757"/>
      <c r="V155" s="757"/>
      <c r="W155" s="757"/>
      <c r="X155" s="757"/>
      <c r="Y155" s="757"/>
      <c r="Z155" s="757"/>
      <c r="AA155" s="757"/>
      <c r="AB155" s="757"/>
      <c r="AC155" s="757"/>
      <c r="AD155" s="757"/>
      <c r="AE155" s="757"/>
      <c r="AF155" s="757"/>
      <c r="AG155" s="757"/>
      <c r="AH155" s="757"/>
      <c r="AI155" s="757"/>
      <c r="AJ155" s="757"/>
      <c r="AK155" s="757"/>
      <c r="AL155" s="757"/>
      <c r="AM155" s="757"/>
      <c r="AN155" s="757"/>
      <c r="AO155" s="757"/>
      <c r="AP155" s="757"/>
      <c r="AQ155" s="757"/>
      <c r="AR155" s="757"/>
      <c r="AS155" s="757"/>
      <c r="AT155" s="757"/>
      <c r="AU155" s="757"/>
      <c r="AV155" s="757"/>
      <c r="AW155" s="757"/>
      <c r="AX155" s="757"/>
      <c r="AY155" s="757"/>
      <c r="AZ155" s="75"/>
      <c r="BA155" s="2"/>
      <c r="BB155" s="2"/>
      <c r="BC155" s="2"/>
      <c r="BD155" s="2"/>
    </row>
    <row r="156" spans="1:56">
      <c r="A156" s="781">
        <v>2</v>
      </c>
      <c r="B156" s="782">
        <v>242</v>
      </c>
      <c r="C156" s="783"/>
      <c r="D156" s="783" t="s">
        <v>444</v>
      </c>
      <c r="E156" s="808">
        <v>10500</v>
      </c>
      <c r="F156" s="799"/>
      <c r="G156" s="799"/>
      <c r="H156" s="1592">
        <f t="shared" si="6"/>
        <v>0</v>
      </c>
      <c r="I156" s="754" t="str">
        <f>IFERROR(VLOOKUP(B156,Mychart!$A$125:$B$911,2,FALSE),"-")</f>
        <v>AMMAR - ARCHPIX</v>
      </c>
      <c r="J156" s="753" t="str">
        <f t="shared" si="7"/>
        <v>-</v>
      </c>
      <c r="K156" s="1540">
        <f t="shared" si="8"/>
        <v>1900</v>
      </c>
      <c r="L156" s="757"/>
      <c r="M156" s="757"/>
      <c r="N156" s="757"/>
      <c r="O156" s="757"/>
      <c r="P156" s="757"/>
      <c r="Q156" s="757"/>
      <c r="R156" s="757"/>
      <c r="S156" s="757"/>
      <c r="T156" s="757"/>
      <c r="U156" s="757"/>
      <c r="V156" s="757"/>
      <c r="W156" s="757"/>
      <c r="X156" s="757"/>
      <c r="Y156" s="757"/>
      <c r="Z156" s="757"/>
      <c r="AA156" s="757"/>
      <c r="AB156" s="757"/>
      <c r="AC156" s="757"/>
      <c r="AD156" s="757"/>
      <c r="AE156" s="757"/>
      <c r="AF156" s="757"/>
      <c r="AG156" s="757"/>
      <c r="AH156" s="757"/>
      <c r="AI156" s="757"/>
      <c r="AJ156" s="757"/>
      <c r="AK156" s="757"/>
      <c r="AL156" s="757"/>
      <c r="AM156" s="757"/>
      <c r="AN156" s="757"/>
      <c r="AO156" s="757"/>
      <c r="AP156" s="757"/>
      <c r="AQ156" s="757"/>
      <c r="AR156" s="757"/>
      <c r="AS156" s="757"/>
      <c r="AT156" s="757"/>
      <c r="AU156" s="757"/>
      <c r="AV156" s="757"/>
      <c r="AW156" s="757"/>
      <c r="AX156" s="757"/>
      <c r="AY156" s="757"/>
      <c r="AZ156" s="75"/>
      <c r="BA156" s="2"/>
      <c r="BB156" s="2"/>
      <c r="BC156" s="2"/>
      <c r="BD156" s="2"/>
    </row>
    <row r="157" spans="1:56">
      <c r="A157" s="781">
        <v>2</v>
      </c>
      <c r="B157" s="782">
        <v>242</v>
      </c>
      <c r="C157" s="783"/>
      <c r="D157" s="783" t="s">
        <v>445</v>
      </c>
      <c r="E157" s="808">
        <v>2000</v>
      </c>
      <c r="F157" s="799"/>
      <c r="G157" s="799"/>
      <c r="H157" s="1592">
        <f t="shared" si="6"/>
        <v>0</v>
      </c>
      <c r="I157" s="754" t="str">
        <f>IFERROR(VLOOKUP(B157,Mychart!$A$125:$B$911,2,FALSE),"-")</f>
        <v>AMMAR - ARCHPIX</v>
      </c>
      <c r="J157" s="753" t="str">
        <f t="shared" si="7"/>
        <v>-</v>
      </c>
      <c r="K157" s="1540">
        <f t="shared" si="8"/>
        <v>1900</v>
      </c>
      <c r="L157" s="757"/>
      <c r="M157" s="757"/>
      <c r="N157" s="757"/>
      <c r="O157" s="757"/>
      <c r="P157" s="757"/>
      <c r="Q157" s="757"/>
      <c r="R157" s="757"/>
      <c r="S157" s="757"/>
      <c r="T157" s="757"/>
      <c r="U157" s="757"/>
      <c r="V157" s="757"/>
      <c r="W157" s="757"/>
      <c r="X157" s="757"/>
      <c r="Y157" s="757"/>
      <c r="Z157" s="757"/>
      <c r="AA157" s="757"/>
      <c r="AB157" s="757"/>
      <c r="AC157" s="757"/>
      <c r="AD157" s="757"/>
      <c r="AE157" s="757"/>
      <c r="AF157" s="757"/>
      <c r="AG157" s="757"/>
      <c r="AH157" s="757"/>
      <c r="AI157" s="757"/>
      <c r="AJ157" s="757"/>
      <c r="AK157" s="757"/>
      <c r="AL157" s="757"/>
      <c r="AM157" s="757"/>
      <c r="AN157" s="757"/>
      <c r="AO157" s="757"/>
      <c r="AP157" s="757"/>
      <c r="AQ157" s="757"/>
      <c r="AR157" s="757"/>
      <c r="AS157" s="757"/>
      <c r="AT157" s="757"/>
      <c r="AU157" s="757"/>
      <c r="AV157" s="757"/>
      <c r="AW157" s="757"/>
      <c r="AX157" s="757"/>
      <c r="AY157" s="757"/>
      <c r="AZ157" s="75"/>
      <c r="BA157" s="2"/>
      <c r="BB157" s="2"/>
      <c r="BC157" s="2"/>
      <c r="BD157" s="2"/>
    </row>
    <row r="158" spans="1:56">
      <c r="A158" s="781">
        <v>2</v>
      </c>
      <c r="B158" s="782">
        <v>242</v>
      </c>
      <c r="C158" s="783"/>
      <c r="D158" s="783" t="s">
        <v>184</v>
      </c>
      <c r="E158" s="808">
        <v>1000</v>
      </c>
      <c r="F158" s="799"/>
      <c r="G158" s="799"/>
      <c r="H158" s="1592">
        <f t="shared" si="6"/>
        <v>0</v>
      </c>
      <c r="I158" s="754" t="str">
        <f>IFERROR(VLOOKUP(B158,Mychart!$A$125:$B$911,2,FALSE),"-")</f>
        <v>AMMAR - ARCHPIX</v>
      </c>
      <c r="J158" s="753" t="str">
        <f t="shared" si="7"/>
        <v>-</v>
      </c>
      <c r="K158" s="1540">
        <f t="shared" si="8"/>
        <v>1900</v>
      </c>
      <c r="L158" s="757"/>
      <c r="M158" s="757"/>
      <c r="N158" s="757"/>
      <c r="O158" s="757"/>
      <c r="P158" s="757"/>
      <c r="Q158" s="757"/>
      <c r="R158" s="757"/>
      <c r="S158" s="757"/>
      <c r="T158" s="757"/>
      <c r="U158" s="757"/>
      <c r="V158" s="757"/>
      <c r="W158" s="757"/>
      <c r="X158" s="757"/>
      <c r="Y158" s="757"/>
      <c r="Z158" s="757"/>
      <c r="AA158" s="757"/>
      <c r="AB158" s="757"/>
      <c r="AC158" s="757"/>
      <c r="AD158" s="757"/>
      <c r="AE158" s="757"/>
      <c r="AF158" s="757"/>
      <c r="AG158" s="757"/>
      <c r="AH158" s="757"/>
      <c r="AI158" s="757"/>
      <c r="AJ158" s="757"/>
      <c r="AK158" s="757"/>
      <c r="AL158" s="757"/>
      <c r="AM158" s="757"/>
      <c r="AN158" s="757"/>
      <c r="AO158" s="757"/>
      <c r="AP158" s="757"/>
      <c r="AQ158" s="757"/>
      <c r="AR158" s="757"/>
      <c r="AS158" s="757"/>
      <c r="AT158" s="757"/>
      <c r="AU158" s="757"/>
      <c r="AV158" s="757"/>
      <c r="AW158" s="757"/>
      <c r="AX158" s="757"/>
      <c r="AY158" s="757"/>
      <c r="AZ158" s="75"/>
      <c r="BA158" s="2"/>
      <c r="BB158" s="2"/>
      <c r="BC158" s="2"/>
      <c r="BD158" s="2"/>
    </row>
    <row r="159" spans="1:56">
      <c r="A159" s="781">
        <v>2</v>
      </c>
      <c r="B159" s="782">
        <v>242</v>
      </c>
      <c r="C159" s="783">
        <v>45404</v>
      </c>
      <c r="D159" s="783" t="s">
        <v>258</v>
      </c>
      <c r="E159" s="808">
        <v>7657.71</v>
      </c>
      <c r="F159" s="799"/>
      <c r="G159" s="799"/>
      <c r="H159" s="1592">
        <f t="shared" si="6"/>
        <v>0</v>
      </c>
      <c r="I159" s="754" t="str">
        <f>IFERROR(VLOOKUP(B159,Mychart!$A$125:$B$911,2,FALSE),"-")</f>
        <v>AMMAR - ARCHPIX</v>
      </c>
      <c r="J159" s="753">
        <f t="shared" si="7"/>
        <v>4</v>
      </c>
      <c r="K159" s="1540">
        <f t="shared" si="8"/>
        <v>2024</v>
      </c>
      <c r="L159" s="757"/>
      <c r="M159" s="757"/>
      <c r="N159" s="757"/>
      <c r="O159" s="757"/>
      <c r="P159" s="757"/>
      <c r="Q159" s="757"/>
      <c r="R159" s="757"/>
      <c r="S159" s="757"/>
      <c r="T159" s="757"/>
      <c r="U159" s="757"/>
      <c r="V159" s="757"/>
      <c r="W159" s="757"/>
      <c r="X159" s="757"/>
      <c r="Y159" s="757"/>
      <c r="Z159" s="757"/>
      <c r="AA159" s="757"/>
      <c r="AB159" s="757"/>
      <c r="AC159" s="757"/>
      <c r="AD159" s="757"/>
      <c r="AE159" s="757"/>
      <c r="AF159" s="757"/>
      <c r="AG159" s="757"/>
      <c r="AH159" s="757"/>
      <c r="AI159" s="757"/>
      <c r="AJ159" s="757"/>
      <c r="AK159" s="757"/>
      <c r="AL159" s="757"/>
      <c r="AM159" s="757"/>
      <c r="AN159" s="757"/>
      <c r="AO159" s="757"/>
      <c r="AP159" s="757"/>
      <c r="AQ159" s="757"/>
      <c r="AR159" s="757"/>
      <c r="AS159" s="757"/>
      <c r="AT159" s="757"/>
      <c r="AU159" s="757"/>
      <c r="AV159" s="757"/>
      <c r="AW159" s="757"/>
      <c r="AX159" s="757"/>
      <c r="AY159" s="757"/>
      <c r="AZ159" s="75"/>
      <c r="BA159" s="2"/>
      <c r="BB159" s="2"/>
      <c r="BC159" s="2"/>
      <c r="BD159" s="2"/>
    </row>
    <row r="160" spans="1:56">
      <c r="A160" s="781">
        <v>2</v>
      </c>
      <c r="B160" s="782">
        <v>242</v>
      </c>
      <c r="C160" s="783">
        <v>45412</v>
      </c>
      <c r="D160" s="783" t="s">
        <v>177</v>
      </c>
      <c r="E160" s="808">
        <v>6028</v>
      </c>
      <c r="F160" s="799"/>
      <c r="G160" s="799"/>
      <c r="H160" s="1592">
        <f t="shared" si="6"/>
        <v>0</v>
      </c>
      <c r="I160" s="754" t="str">
        <f>IFERROR(VLOOKUP(B160,Mychart!$A$125:$B$911,2,FALSE),"-")</f>
        <v>AMMAR - ARCHPIX</v>
      </c>
      <c r="J160" s="753">
        <f t="shared" si="7"/>
        <v>4</v>
      </c>
      <c r="K160" s="1540">
        <f t="shared" si="8"/>
        <v>2024</v>
      </c>
      <c r="L160" s="757"/>
      <c r="M160" s="757"/>
      <c r="N160" s="757"/>
      <c r="O160" s="757"/>
      <c r="P160" s="757"/>
      <c r="Q160" s="757"/>
      <c r="R160" s="757"/>
      <c r="S160" s="757"/>
      <c r="T160" s="757"/>
      <c r="U160" s="757"/>
      <c r="V160" s="757"/>
      <c r="W160" s="757"/>
      <c r="X160" s="757"/>
      <c r="Y160" s="757"/>
      <c r="Z160" s="757"/>
      <c r="AA160" s="757"/>
      <c r="AB160" s="757"/>
      <c r="AC160" s="757"/>
      <c r="AD160" s="757"/>
      <c r="AE160" s="757"/>
      <c r="AF160" s="757"/>
      <c r="AG160" s="757"/>
      <c r="AH160" s="757"/>
      <c r="AI160" s="757"/>
      <c r="AJ160" s="757"/>
      <c r="AK160" s="757"/>
      <c r="AL160" s="757"/>
      <c r="AM160" s="757"/>
      <c r="AN160" s="757"/>
      <c r="AO160" s="757"/>
      <c r="AP160" s="757"/>
      <c r="AQ160" s="757"/>
      <c r="AR160" s="757"/>
      <c r="AS160" s="757"/>
      <c r="AT160" s="757"/>
      <c r="AU160" s="757"/>
      <c r="AV160" s="757"/>
      <c r="AW160" s="757"/>
      <c r="AX160" s="757"/>
      <c r="AY160" s="757"/>
      <c r="AZ160" s="75"/>
      <c r="BA160" s="2"/>
      <c r="BB160" s="2"/>
      <c r="BC160" s="2"/>
      <c r="BD160" s="2"/>
    </row>
    <row r="161" spans="1:56">
      <c r="A161" s="781">
        <v>2</v>
      </c>
      <c r="B161" s="782">
        <v>242</v>
      </c>
      <c r="C161" s="783">
        <v>45434</v>
      </c>
      <c r="D161" s="783" t="s">
        <v>224</v>
      </c>
      <c r="E161" s="808">
        <v>35306.25</v>
      </c>
      <c r="F161" s="799"/>
      <c r="G161" s="799"/>
      <c r="H161" s="1592">
        <f t="shared" si="6"/>
        <v>0</v>
      </c>
      <c r="I161" s="754" t="str">
        <f>IFERROR(VLOOKUP(B161,Mychart!$A$125:$B$911,2,FALSE),"-")</f>
        <v>AMMAR - ARCHPIX</v>
      </c>
      <c r="J161" s="753">
        <f t="shared" si="7"/>
        <v>5</v>
      </c>
      <c r="K161" s="1540">
        <f t="shared" si="8"/>
        <v>2024</v>
      </c>
      <c r="L161" s="757"/>
      <c r="M161" s="757"/>
      <c r="N161" s="757"/>
      <c r="O161" s="757"/>
      <c r="P161" s="757"/>
      <c r="Q161" s="757"/>
      <c r="R161" s="757"/>
      <c r="S161" s="757"/>
      <c r="T161" s="757"/>
      <c r="U161" s="757"/>
      <c r="V161" s="757"/>
      <c r="W161" s="757"/>
      <c r="X161" s="757"/>
      <c r="Y161" s="757"/>
      <c r="Z161" s="757"/>
      <c r="AA161" s="757"/>
      <c r="AB161" s="757"/>
      <c r="AC161" s="757"/>
      <c r="AD161" s="757"/>
      <c r="AE161" s="757"/>
      <c r="AF161" s="757"/>
      <c r="AG161" s="757"/>
      <c r="AH161" s="757"/>
      <c r="AI161" s="757"/>
      <c r="AJ161" s="757"/>
      <c r="AK161" s="757"/>
      <c r="AL161" s="757"/>
      <c r="AM161" s="757"/>
      <c r="AN161" s="757"/>
      <c r="AO161" s="757"/>
      <c r="AP161" s="757"/>
      <c r="AQ161" s="757"/>
      <c r="AR161" s="757"/>
      <c r="AS161" s="757"/>
      <c r="AT161" s="757"/>
      <c r="AU161" s="757"/>
      <c r="AV161" s="757"/>
      <c r="AW161" s="757"/>
      <c r="AX161" s="757"/>
      <c r="AY161" s="757"/>
      <c r="AZ161" s="75"/>
      <c r="BA161" s="2"/>
      <c r="BB161" s="2"/>
      <c r="BC161" s="2"/>
      <c r="BD161" s="2"/>
    </row>
    <row r="162" spans="1:56">
      <c r="A162" s="781">
        <v>2</v>
      </c>
      <c r="B162" s="782">
        <v>242</v>
      </c>
      <c r="C162" s="783">
        <v>45443</v>
      </c>
      <c r="D162" s="783" t="s">
        <v>177</v>
      </c>
      <c r="E162" s="808">
        <v>1026</v>
      </c>
      <c r="F162" s="799"/>
      <c r="G162" s="799"/>
      <c r="H162" s="1592">
        <f t="shared" si="6"/>
        <v>0</v>
      </c>
      <c r="I162" s="754" t="str">
        <f>IFERROR(VLOOKUP(B162,Mychart!$A$125:$B$911,2,FALSE),"-")</f>
        <v>AMMAR - ARCHPIX</v>
      </c>
      <c r="J162" s="753">
        <f t="shared" si="7"/>
        <v>5</v>
      </c>
      <c r="K162" s="1540">
        <f t="shared" si="8"/>
        <v>2024</v>
      </c>
      <c r="L162" s="757"/>
      <c r="M162" s="757"/>
      <c r="N162" s="757"/>
      <c r="O162" s="757"/>
      <c r="P162" s="757"/>
      <c r="Q162" s="757"/>
      <c r="R162" s="757"/>
      <c r="S162" s="757"/>
      <c r="T162" s="757"/>
      <c r="U162" s="757"/>
      <c r="V162" s="757"/>
      <c r="W162" s="757"/>
      <c r="X162" s="757"/>
      <c r="Y162" s="757"/>
      <c r="Z162" s="757"/>
      <c r="AA162" s="757"/>
      <c r="AB162" s="757"/>
      <c r="AC162" s="757"/>
      <c r="AD162" s="757"/>
      <c r="AE162" s="757"/>
      <c r="AF162" s="757"/>
      <c r="AG162" s="757"/>
      <c r="AH162" s="757"/>
      <c r="AI162" s="757"/>
      <c r="AJ162" s="757"/>
      <c r="AK162" s="757"/>
      <c r="AL162" s="757"/>
      <c r="AM162" s="757"/>
      <c r="AN162" s="757"/>
      <c r="AO162" s="757"/>
      <c r="AP162" s="757"/>
      <c r="AQ162" s="757"/>
      <c r="AR162" s="757"/>
      <c r="AS162" s="757"/>
      <c r="AT162" s="757"/>
      <c r="AU162" s="757"/>
      <c r="AV162" s="757"/>
      <c r="AW162" s="757"/>
      <c r="AX162" s="757"/>
      <c r="AY162" s="757"/>
      <c r="AZ162" s="75"/>
      <c r="BA162" s="2"/>
      <c r="BB162" s="2"/>
      <c r="BC162" s="2"/>
      <c r="BD162" s="2"/>
    </row>
    <row r="163" spans="1:56">
      <c r="A163" s="781">
        <v>2</v>
      </c>
      <c r="B163" s="782">
        <v>242</v>
      </c>
      <c r="C163" s="783" t="s">
        <v>446</v>
      </c>
      <c r="D163" s="785" t="s">
        <v>191</v>
      </c>
      <c r="E163" s="808">
        <v>142</v>
      </c>
      <c r="F163" s="799"/>
      <c r="G163" s="799"/>
      <c r="H163" s="1592">
        <f t="shared" si="6"/>
        <v>0</v>
      </c>
      <c r="I163" s="754" t="str">
        <f>IFERROR(VLOOKUP(B163,Mychart!$A$125:$B$911,2,FALSE),"-")</f>
        <v>AMMAR - ARCHPIX</v>
      </c>
      <c r="J163" s="753">
        <f t="shared" si="7"/>
        <v>1</v>
      </c>
      <c r="K163" s="1540">
        <f t="shared" si="8"/>
        <v>2024</v>
      </c>
      <c r="L163" s="757"/>
      <c r="M163" s="757"/>
      <c r="N163" s="757"/>
      <c r="O163" s="757"/>
      <c r="P163" s="757"/>
      <c r="Q163" s="757"/>
      <c r="R163" s="757"/>
      <c r="S163" s="757"/>
      <c r="T163" s="757"/>
      <c r="U163" s="757"/>
      <c r="V163" s="757"/>
      <c r="W163" s="757"/>
      <c r="X163" s="757"/>
      <c r="Y163" s="757"/>
      <c r="Z163" s="757"/>
      <c r="AA163" s="757"/>
      <c r="AB163" s="757"/>
      <c r="AC163" s="757"/>
      <c r="AD163" s="757"/>
      <c r="AE163" s="757"/>
      <c r="AF163" s="757"/>
      <c r="AG163" s="757"/>
      <c r="AH163" s="757"/>
      <c r="AI163" s="757"/>
      <c r="AJ163" s="757"/>
      <c r="AK163" s="757"/>
      <c r="AL163" s="757"/>
      <c r="AM163" s="757"/>
      <c r="AN163" s="757"/>
      <c r="AO163" s="757"/>
      <c r="AP163" s="757"/>
      <c r="AQ163" s="757"/>
      <c r="AR163" s="757"/>
      <c r="AS163" s="757"/>
      <c r="AT163" s="757"/>
      <c r="AU163" s="757"/>
      <c r="AV163" s="757"/>
      <c r="AW163" s="757"/>
      <c r="AX163" s="757"/>
      <c r="AY163" s="757"/>
      <c r="AZ163" s="75"/>
      <c r="BA163" s="2"/>
      <c r="BB163" s="2"/>
      <c r="BC163" s="2"/>
      <c r="BD163" s="2"/>
    </row>
    <row r="164" spans="1:56">
      <c r="A164" s="781">
        <v>1</v>
      </c>
      <c r="B164" s="782">
        <v>262</v>
      </c>
      <c r="C164" s="783">
        <v>45356</v>
      </c>
      <c r="D164" s="786" t="s">
        <v>450</v>
      </c>
      <c r="E164" s="807"/>
      <c r="F164" s="798">
        <v>15300</v>
      </c>
      <c r="G164" s="798">
        <v>765</v>
      </c>
      <c r="H164" s="1592">
        <f t="shared" si="6"/>
        <v>16065</v>
      </c>
      <c r="I164" s="754" t="str">
        <f>IFERROR(VLOOKUP(B164,Mychart!$A$125:$B$911,2,FALSE),"-")</f>
        <v>Amna Ahmed</v>
      </c>
      <c r="J164" s="753">
        <f t="shared" si="7"/>
        <v>3</v>
      </c>
      <c r="K164" s="1540">
        <f t="shared" si="8"/>
        <v>2024</v>
      </c>
      <c r="L164" s="757"/>
      <c r="M164" s="757"/>
      <c r="N164" s="757"/>
      <c r="O164" s="757"/>
      <c r="P164" s="757"/>
      <c r="Q164" s="757"/>
      <c r="R164" s="757"/>
      <c r="S164" s="757"/>
      <c r="T164" s="757"/>
      <c r="U164" s="757"/>
      <c r="V164" s="757"/>
      <c r="W164" s="757"/>
      <c r="X164" s="757"/>
      <c r="Y164" s="757"/>
      <c r="Z164" s="757"/>
      <c r="AA164" s="757"/>
      <c r="AB164" s="757"/>
      <c r="AC164" s="757"/>
      <c r="AD164" s="757"/>
      <c r="AE164" s="757"/>
      <c r="AF164" s="757"/>
      <c r="AG164" s="757"/>
      <c r="AH164" s="757"/>
      <c r="AI164" s="757"/>
      <c r="AJ164" s="757"/>
      <c r="AK164" s="757"/>
      <c r="AL164" s="757"/>
      <c r="AM164" s="757"/>
      <c r="AN164" s="757"/>
      <c r="AO164" s="757"/>
      <c r="AP164" s="757"/>
      <c r="AQ164" s="757"/>
      <c r="AR164" s="757"/>
      <c r="AS164" s="757"/>
      <c r="AT164" s="757"/>
      <c r="AU164" s="757"/>
      <c r="AV164" s="757"/>
      <c r="AW164" s="757"/>
      <c r="AX164" s="757"/>
      <c r="AY164" s="757"/>
      <c r="AZ164" s="75"/>
      <c r="BA164" s="2"/>
      <c r="BB164" s="2"/>
      <c r="BC164" s="2"/>
      <c r="BD164" s="2"/>
    </row>
    <row r="165" spans="1:56">
      <c r="A165" s="781">
        <v>1</v>
      </c>
      <c r="B165" s="782">
        <v>262</v>
      </c>
      <c r="C165" s="783" t="s">
        <v>451</v>
      </c>
      <c r="D165" s="784" t="s">
        <v>452</v>
      </c>
      <c r="E165" s="807"/>
      <c r="F165" s="798">
        <v>136935</v>
      </c>
      <c r="G165" s="798"/>
      <c r="H165" s="1592">
        <f t="shared" si="6"/>
        <v>136935</v>
      </c>
      <c r="I165" s="754" t="str">
        <f>IFERROR(VLOOKUP(B165,Mychart!$A$125:$B$911,2,FALSE),"-")</f>
        <v>Amna Ahmed</v>
      </c>
      <c r="J165" s="753">
        <f t="shared" si="7"/>
        <v>4</v>
      </c>
      <c r="K165" s="1540">
        <f t="shared" si="8"/>
        <v>2024</v>
      </c>
      <c r="L165" s="757"/>
      <c r="M165" s="757"/>
      <c r="N165" s="757"/>
      <c r="O165" s="757"/>
      <c r="P165" s="757"/>
      <c r="Q165" s="757"/>
      <c r="R165" s="757"/>
      <c r="S165" s="757"/>
      <c r="T165" s="757"/>
      <c r="U165" s="757"/>
      <c r="V165" s="757"/>
      <c r="W165" s="757"/>
      <c r="X165" s="757"/>
      <c r="Y165" s="757"/>
      <c r="Z165" s="757"/>
      <c r="AA165" s="757"/>
      <c r="AB165" s="757"/>
      <c r="AC165" s="757"/>
      <c r="AD165" s="757"/>
      <c r="AE165" s="757"/>
      <c r="AF165" s="757"/>
      <c r="AG165" s="757"/>
      <c r="AH165" s="757"/>
      <c r="AI165" s="757"/>
      <c r="AJ165" s="757"/>
      <c r="AK165" s="757"/>
      <c r="AL165" s="757"/>
      <c r="AM165" s="757"/>
      <c r="AN165" s="757"/>
      <c r="AO165" s="757"/>
      <c r="AP165" s="757"/>
      <c r="AQ165" s="757"/>
      <c r="AR165" s="757"/>
      <c r="AS165" s="757"/>
      <c r="AT165" s="757"/>
      <c r="AU165" s="757"/>
      <c r="AV165" s="757"/>
      <c r="AW165" s="757"/>
      <c r="AX165" s="757"/>
      <c r="AY165" s="757"/>
      <c r="AZ165" s="75"/>
      <c r="BA165" s="2"/>
      <c r="BB165" s="2"/>
      <c r="BC165" s="2"/>
      <c r="BD165" s="2"/>
    </row>
    <row r="166" spans="1:56">
      <c r="A166" s="781">
        <v>2</v>
      </c>
      <c r="B166" s="782">
        <v>262</v>
      </c>
      <c r="C166" s="783">
        <v>45356</v>
      </c>
      <c r="D166" s="783" t="s">
        <v>453</v>
      </c>
      <c r="E166" s="808">
        <v>7000</v>
      </c>
      <c r="F166" s="799"/>
      <c r="G166" s="799"/>
      <c r="H166" s="1592">
        <f t="shared" si="6"/>
        <v>0</v>
      </c>
      <c r="I166" s="754" t="str">
        <f>IFERROR(VLOOKUP(B166,Mychart!$A$125:$B$911,2,FALSE),"-")</f>
        <v>Amna Ahmed</v>
      </c>
      <c r="J166" s="753">
        <f t="shared" si="7"/>
        <v>3</v>
      </c>
      <c r="K166" s="1540">
        <f t="shared" si="8"/>
        <v>2024</v>
      </c>
      <c r="L166" s="757"/>
      <c r="M166" s="757"/>
      <c r="N166" s="757"/>
      <c r="O166" s="757"/>
      <c r="P166" s="757"/>
      <c r="Q166" s="757"/>
      <c r="R166" s="757"/>
      <c r="S166" s="757"/>
      <c r="T166" s="757"/>
      <c r="U166" s="757"/>
      <c r="V166" s="757"/>
      <c r="W166" s="757"/>
      <c r="X166" s="757"/>
      <c r="Y166" s="757"/>
      <c r="Z166" s="757"/>
      <c r="AA166" s="757"/>
      <c r="AB166" s="757"/>
      <c r="AC166" s="757"/>
      <c r="AD166" s="757"/>
      <c r="AE166" s="757"/>
      <c r="AF166" s="757"/>
      <c r="AG166" s="757"/>
      <c r="AH166" s="757"/>
      <c r="AI166" s="757"/>
      <c r="AJ166" s="757"/>
      <c r="AK166" s="757"/>
      <c r="AL166" s="757"/>
      <c r="AM166" s="757"/>
      <c r="AN166" s="757"/>
      <c r="AO166" s="757"/>
      <c r="AP166" s="757"/>
      <c r="AQ166" s="757"/>
      <c r="AR166" s="757"/>
      <c r="AS166" s="757"/>
      <c r="AT166" s="757"/>
      <c r="AU166" s="757"/>
      <c r="AV166" s="757"/>
      <c r="AW166" s="757"/>
      <c r="AX166" s="757"/>
      <c r="AY166" s="757"/>
      <c r="AZ166" s="75"/>
      <c r="BA166" s="2"/>
      <c r="BB166" s="2"/>
      <c r="BC166" s="2"/>
      <c r="BD166" s="2"/>
    </row>
    <row r="167" spans="1:56">
      <c r="A167" s="781">
        <v>2</v>
      </c>
      <c r="B167" s="782">
        <v>262</v>
      </c>
      <c r="C167" s="783">
        <v>45412</v>
      </c>
      <c r="D167" s="783" t="s">
        <v>177</v>
      </c>
      <c r="E167" s="808">
        <v>60</v>
      </c>
      <c r="F167" s="799"/>
      <c r="G167" s="799"/>
      <c r="H167" s="1592">
        <f t="shared" si="6"/>
        <v>0</v>
      </c>
      <c r="I167" s="754" t="str">
        <f>IFERROR(VLOOKUP(B167,Mychart!$A$125:$B$911,2,FALSE),"-")</f>
        <v>Amna Ahmed</v>
      </c>
      <c r="J167" s="753">
        <f t="shared" si="7"/>
        <v>4</v>
      </c>
      <c r="K167" s="1540">
        <f t="shared" si="8"/>
        <v>2024</v>
      </c>
      <c r="L167" s="757"/>
      <c r="M167" s="757"/>
      <c r="N167" s="757"/>
      <c r="O167" s="757"/>
      <c r="P167" s="757"/>
      <c r="Q167" s="757"/>
      <c r="R167" s="757"/>
      <c r="S167" s="757"/>
      <c r="T167" s="757"/>
      <c r="U167" s="757"/>
      <c r="V167" s="757"/>
      <c r="W167" s="757"/>
      <c r="X167" s="757"/>
      <c r="Y167" s="757"/>
      <c r="Z167" s="757"/>
      <c r="AA167" s="757"/>
      <c r="AB167" s="757"/>
      <c r="AC167" s="757"/>
      <c r="AD167" s="757"/>
      <c r="AE167" s="757"/>
      <c r="AF167" s="757"/>
      <c r="AG167" s="757"/>
      <c r="AH167" s="757"/>
      <c r="AI167" s="757"/>
      <c r="AJ167" s="757"/>
      <c r="AK167" s="757"/>
      <c r="AL167" s="757"/>
      <c r="AM167" s="757"/>
      <c r="AN167" s="757"/>
      <c r="AO167" s="757"/>
      <c r="AP167" s="757"/>
      <c r="AQ167" s="757"/>
      <c r="AR167" s="757"/>
      <c r="AS167" s="757"/>
      <c r="AT167" s="757"/>
      <c r="AU167" s="757"/>
      <c r="AV167" s="757"/>
      <c r="AW167" s="757"/>
      <c r="AX167" s="757"/>
      <c r="AY167" s="757"/>
      <c r="AZ167" s="75"/>
      <c r="BA167" s="2"/>
      <c r="BB167" s="2"/>
      <c r="BC167" s="2"/>
      <c r="BD167" s="2"/>
    </row>
    <row r="168" spans="1:56">
      <c r="A168" s="781">
        <v>2</v>
      </c>
      <c r="B168" s="782">
        <v>262</v>
      </c>
      <c r="C168" s="783" t="s">
        <v>454</v>
      </c>
      <c r="D168" s="783" t="s">
        <v>176</v>
      </c>
      <c r="E168" s="808">
        <v>500</v>
      </c>
      <c r="F168" s="799"/>
      <c r="G168" s="799"/>
      <c r="H168" s="1592">
        <f t="shared" si="6"/>
        <v>0</v>
      </c>
      <c r="I168" s="754" t="str">
        <f>IFERROR(VLOOKUP(B168,Mychart!$A$125:$B$911,2,FALSE),"-")</f>
        <v>Amna Ahmed</v>
      </c>
      <c r="J168" s="753">
        <f t="shared" si="7"/>
        <v>3</v>
      </c>
      <c r="K168" s="1540">
        <f t="shared" si="8"/>
        <v>2024</v>
      </c>
      <c r="L168" s="757"/>
      <c r="M168" s="757"/>
      <c r="N168" s="757"/>
      <c r="O168" s="757"/>
      <c r="P168" s="757"/>
      <c r="Q168" s="757"/>
      <c r="R168" s="757"/>
      <c r="S168" s="757"/>
      <c r="T168" s="757"/>
      <c r="U168" s="757"/>
      <c r="V168" s="757"/>
      <c r="W168" s="757"/>
      <c r="X168" s="757"/>
      <c r="Y168" s="757"/>
      <c r="Z168" s="757"/>
      <c r="AA168" s="757"/>
      <c r="AB168" s="757"/>
      <c r="AC168" s="757"/>
      <c r="AD168" s="757"/>
      <c r="AE168" s="757"/>
      <c r="AF168" s="757"/>
      <c r="AG168" s="757"/>
      <c r="AH168" s="757"/>
      <c r="AI168" s="757"/>
      <c r="AJ168" s="757"/>
      <c r="AK168" s="757"/>
      <c r="AL168" s="757"/>
      <c r="AM168" s="757"/>
      <c r="AN168" s="757"/>
      <c r="AO168" s="757"/>
      <c r="AP168" s="757"/>
      <c r="AQ168" s="757"/>
      <c r="AR168" s="757"/>
      <c r="AS168" s="757"/>
      <c r="AT168" s="757"/>
      <c r="AU168" s="757"/>
      <c r="AV168" s="757"/>
      <c r="AW168" s="757"/>
      <c r="AX168" s="757"/>
      <c r="AY168" s="757"/>
      <c r="AZ168" s="75"/>
      <c r="BA168" s="2"/>
      <c r="BB168" s="2"/>
      <c r="BC168" s="2"/>
      <c r="BD168" s="2"/>
    </row>
    <row r="169" spans="1:56">
      <c r="A169" s="781">
        <v>2</v>
      </c>
      <c r="B169" s="782">
        <v>262</v>
      </c>
      <c r="C169" s="783">
        <v>45422</v>
      </c>
      <c r="D169" s="783" t="s">
        <v>258</v>
      </c>
      <c r="E169" s="808">
        <v>6830.88</v>
      </c>
      <c r="F169" s="799"/>
      <c r="G169" s="799"/>
      <c r="H169" s="1592">
        <f t="shared" si="6"/>
        <v>0</v>
      </c>
      <c r="I169" s="754" t="str">
        <f>IFERROR(VLOOKUP(B169,Mychart!$A$125:$B$911,2,FALSE),"-")</f>
        <v>Amna Ahmed</v>
      </c>
      <c r="J169" s="753">
        <f t="shared" si="7"/>
        <v>5</v>
      </c>
      <c r="K169" s="1540">
        <f t="shared" si="8"/>
        <v>2024</v>
      </c>
      <c r="L169" s="757"/>
      <c r="M169" s="757"/>
      <c r="N169" s="757"/>
      <c r="O169" s="757"/>
      <c r="P169" s="757"/>
      <c r="Q169" s="757"/>
      <c r="R169" s="757"/>
      <c r="S169" s="757"/>
      <c r="T169" s="757"/>
      <c r="U169" s="757"/>
      <c r="V169" s="757"/>
      <c r="W169" s="757"/>
      <c r="X169" s="757"/>
      <c r="Y169" s="757"/>
      <c r="Z169" s="757"/>
      <c r="AA169" s="757"/>
      <c r="AB169" s="757"/>
      <c r="AC169" s="757"/>
      <c r="AD169" s="757"/>
      <c r="AE169" s="757"/>
      <c r="AF169" s="757"/>
      <c r="AG169" s="757"/>
      <c r="AH169" s="757"/>
      <c r="AI169" s="757"/>
      <c r="AJ169" s="757"/>
      <c r="AK169" s="757"/>
      <c r="AL169" s="757"/>
      <c r="AM169" s="757"/>
      <c r="AN169" s="757"/>
      <c r="AO169" s="757"/>
      <c r="AP169" s="757"/>
      <c r="AQ169" s="757"/>
      <c r="AR169" s="757"/>
      <c r="AS169" s="757"/>
      <c r="AT169" s="757"/>
      <c r="AU169" s="757"/>
      <c r="AV169" s="757"/>
      <c r="AW169" s="757"/>
      <c r="AX169" s="757"/>
      <c r="AY169" s="757"/>
      <c r="AZ169" s="75"/>
      <c r="BA169" s="2"/>
      <c r="BB169" s="2"/>
      <c r="BC169" s="2"/>
      <c r="BD169" s="2"/>
    </row>
    <row r="170" spans="1:56">
      <c r="A170" s="781">
        <v>2</v>
      </c>
      <c r="B170" s="782">
        <v>262</v>
      </c>
      <c r="C170" s="783">
        <v>45443</v>
      </c>
      <c r="D170" s="783" t="s">
        <v>177</v>
      </c>
      <c r="E170" s="808">
        <v>5141</v>
      </c>
      <c r="F170" s="799"/>
      <c r="G170" s="799"/>
      <c r="H170" s="1592">
        <f t="shared" si="6"/>
        <v>0</v>
      </c>
      <c r="I170" s="754" t="str">
        <f>IFERROR(VLOOKUP(B170,Mychart!$A$125:$B$911,2,FALSE),"-")</f>
        <v>Amna Ahmed</v>
      </c>
      <c r="J170" s="753">
        <f t="shared" si="7"/>
        <v>5</v>
      </c>
      <c r="K170" s="1540">
        <f t="shared" si="8"/>
        <v>2024</v>
      </c>
      <c r="L170" s="757"/>
      <c r="M170" s="757"/>
      <c r="N170" s="757"/>
      <c r="O170" s="757"/>
      <c r="P170" s="757"/>
      <c r="Q170" s="757"/>
      <c r="R170" s="757"/>
      <c r="S170" s="757"/>
      <c r="T170" s="757"/>
      <c r="U170" s="757"/>
      <c r="V170" s="757"/>
      <c r="W170" s="757"/>
      <c r="X170" s="757"/>
      <c r="Y170" s="757"/>
      <c r="Z170" s="757"/>
      <c r="AA170" s="757"/>
      <c r="AB170" s="757"/>
      <c r="AC170" s="757"/>
      <c r="AD170" s="757"/>
      <c r="AE170" s="757"/>
      <c r="AF170" s="757"/>
      <c r="AG170" s="757"/>
      <c r="AH170" s="757"/>
      <c r="AI170" s="757"/>
      <c r="AJ170" s="757"/>
      <c r="AK170" s="757"/>
      <c r="AL170" s="757"/>
      <c r="AM170" s="757"/>
      <c r="AN170" s="757"/>
      <c r="AO170" s="757"/>
      <c r="AP170" s="757"/>
      <c r="AQ170" s="757"/>
      <c r="AR170" s="757"/>
      <c r="AS170" s="757"/>
      <c r="AT170" s="757"/>
      <c r="AU170" s="757"/>
      <c r="AV170" s="757"/>
      <c r="AW170" s="757"/>
      <c r="AX170" s="757"/>
      <c r="AY170" s="757"/>
      <c r="AZ170" s="75"/>
      <c r="BA170" s="2"/>
      <c r="BB170" s="2"/>
      <c r="BC170" s="2"/>
      <c r="BD170" s="2"/>
    </row>
    <row r="171" spans="1:56">
      <c r="A171" s="781">
        <v>2</v>
      </c>
      <c r="B171" s="782">
        <v>262</v>
      </c>
      <c r="C171" s="783">
        <v>45448</v>
      </c>
      <c r="D171" s="783" t="s">
        <v>224</v>
      </c>
      <c r="E171" s="808">
        <v>26056</v>
      </c>
      <c r="F171" s="799"/>
      <c r="G171" s="799"/>
      <c r="H171" s="1592">
        <f t="shared" si="6"/>
        <v>0</v>
      </c>
      <c r="I171" s="754" t="str">
        <f>IFERROR(VLOOKUP(B171,Mychart!$A$125:$B$911,2,FALSE),"-")</f>
        <v>Amna Ahmed</v>
      </c>
      <c r="J171" s="753">
        <f t="shared" si="7"/>
        <v>6</v>
      </c>
      <c r="K171" s="1540">
        <f t="shared" si="8"/>
        <v>2024</v>
      </c>
      <c r="L171" s="757"/>
      <c r="M171" s="757"/>
      <c r="N171" s="757"/>
      <c r="O171" s="757"/>
      <c r="P171" s="757"/>
      <c r="Q171" s="757"/>
      <c r="R171" s="757"/>
      <c r="S171" s="757"/>
      <c r="T171" s="757"/>
      <c r="U171" s="757"/>
      <c r="V171" s="757"/>
      <c r="W171" s="757"/>
      <c r="X171" s="757"/>
      <c r="Y171" s="757"/>
      <c r="Z171" s="757"/>
      <c r="AA171" s="757"/>
      <c r="AB171" s="757"/>
      <c r="AC171" s="757"/>
      <c r="AD171" s="757"/>
      <c r="AE171" s="757"/>
      <c r="AF171" s="757"/>
      <c r="AG171" s="757"/>
      <c r="AH171" s="757"/>
      <c r="AI171" s="757"/>
      <c r="AJ171" s="757"/>
      <c r="AK171" s="757"/>
      <c r="AL171" s="757"/>
      <c r="AM171" s="757"/>
      <c r="AN171" s="757"/>
      <c r="AO171" s="757"/>
      <c r="AP171" s="757"/>
      <c r="AQ171" s="757"/>
      <c r="AR171" s="757"/>
      <c r="AS171" s="757"/>
      <c r="AT171" s="757"/>
      <c r="AU171" s="757"/>
      <c r="AV171" s="757"/>
      <c r="AW171" s="757"/>
      <c r="AX171" s="757"/>
      <c r="AY171" s="757"/>
      <c r="AZ171" s="75"/>
      <c r="BA171" s="2"/>
      <c r="BB171" s="2"/>
      <c r="BC171" s="2"/>
      <c r="BD171" s="2"/>
    </row>
    <row r="172" spans="1:56">
      <c r="A172" s="781">
        <v>2</v>
      </c>
      <c r="B172" s="782">
        <v>262</v>
      </c>
      <c r="C172" s="783">
        <v>45388</v>
      </c>
      <c r="D172" s="783" t="s">
        <v>455</v>
      </c>
      <c r="E172" s="808">
        <v>5000</v>
      </c>
      <c r="F172" s="799"/>
      <c r="G172" s="799"/>
      <c r="H172" s="1592">
        <f t="shared" si="6"/>
        <v>0</v>
      </c>
      <c r="I172" s="754" t="str">
        <f>IFERROR(VLOOKUP(B172,Mychart!$A$125:$B$911,2,FALSE),"-")</f>
        <v>Amna Ahmed</v>
      </c>
      <c r="J172" s="753">
        <f t="shared" si="7"/>
        <v>4</v>
      </c>
      <c r="K172" s="1540">
        <f t="shared" si="8"/>
        <v>2024</v>
      </c>
      <c r="L172" s="757"/>
      <c r="M172" s="757"/>
      <c r="N172" s="757"/>
      <c r="O172" s="757"/>
      <c r="P172" s="757"/>
      <c r="Q172" s="757"/>
      <c r="R172" s="757"/>
      <c r="S172" s="757"/>
      <c r="T172" s="757"/>
      <c r="U172" s="757"/>
      <c r="V172" s="757"/>
      <c r="W172" s="757"/>
      <c r="X172" s="757"/>
      <c r="Y172" s="757"/>
      <c r="Z172" s="757"/>
      <c r="AA172" s="757"/>
      <c r="AB172" s="757"/>
      <c r="AC172" s="757"/>
      <c r="AD172" s="757"/>
      <c r="AE172" s="757"/>
      <c r="AF172" s="757"/>
      <c r="AG172" s="757"/>
      <c r="AH172" s="757"/>
      <c r="AI172" s="757"/>
      <c r="AJ172" s="757"/>
      <c r="AK172" s="757"/>
      <c r="AL172" s="757"/>
      <c r="AM172" s="757"/>
      <c r="AN172" s="757"/>
      <c r="AO172" s="757"/>
      <c r="AP172" s="757"/>
      <c r="AQ172" s="757"/>
      <c r="AR172" s="757"/>
      <c r="AS172" s="757"/>
      <c r="AT172" s="757"/>
      <c r="AU172" s="757"/>
      <c r="AV172" s="757"/>
      <c r="AW172" s="757"/>
      <c r="AX172" s="757"/>
      <c r="AY172" s="757"/>
      <c r="AZ172" s="75"/>
      <c r="BA172" s="2"/>
      <c r="BB172" s="2"/>
      <c r="BC172" s="2"/>
      <c r="BD172" s="2"/>
    </row>
    <row r="173" spans="1:56">
      <c r="A173" s="781">
        <v>1</v>
      </c>
      <c r="B173" s="782">
        <v>261</v>
      </c>
      <c r="C173" s="783">
        <v>45373</v>
      </c>
      <c r="D173" s="786" t="s">
        <v>450</v>
      </c>
      <c r="E173" s="807"/>
      <c r="F173" s="798">
        <v>34500</v>
      </c>
      <c r="G173" s="798">
        <v>1725</v>
      </c>
      <c r="H173" s="1592">
        <f t="shared" si="6"/>
        <v>36225</v>
      </c>
      <c r="I173" s="754" t="str">
        <f>IFERROR(VLOOKUP(B173,Mychart!$A$125:$B$911,2,FALSE),"-")</f>
        <v>AREEFA AREEJ</v>
      </c>
      <c r="J173" s="753">
        <f t="shared" si="7"/>
        <v>3</v>
      </c>
      <c r="K173" s="1540">
        <f t="shared" si="8"/>
        <v>2024</v>
      </c>
      <c r="L173" s="757"/>
      <c r="M173" s="757"/>
      <c r="N173" s="757"/>
      <c r="O173" s="757"/>
      <c r="P173" s="757"/>
      <c r="Q173" s="757"/>
      <c r="R173" s="757"/>
      <c r="S173" s="757"/>
      <c r="T173" s="757"/>
      <c r="U173" s="757"/>
      <c r="V173" s="757"/>
      <c r="W173" s="757"/>
      <c r="X173" s="757"/>
      <c r="Y173" s="757"/>
      <c r="Z173" s="757"/>
      <c r="AA173" s="757"/>
      <c r="AB173" s="757"/>
      <c r="AC173" s="757"/>
      <c r="AD173" s="757"/>
      <c r="AE173" s="757"/>
      <c r="AF173" s="757"/>
      <c r="AG173" s="757"/>
      <c r="AH173" s="757"/>
      <c r="AI173" s="757"/>
      <c r="AJ173" s="757"/>
      <c r="AK173" s="757"/>
      <c r="AL173" s="757"/>
      <c r="AM173" s="757"/>
      <c r="AN173" s="757"/>
      <c r="AO173" s="757"/>
      <c r="AP173" s="757"/>
      <c r="AQ173" s="757"/>
      <c r="AR173" s="757"/>
      <c r="AS173" s="757"/>
      <c r="AT173" s="757"/>
      <c r="AU173" s="757"/>
      <c r="AV173" s="757"/>
      <c r="AW173" s="757"/>
      <c r="AX173" s="757"/>
      <c r="AY173" s="757"/>
      <c r="AZ173" s="75"/>
      <c r="BA173" s="2"/>
      <c r="BB173" s="2"/>
      <c r="BC173" s="2"/>
      <c r="BD173" s="2"/>
    </row>
    <row r="174" spans="1:56">
      <c r="A174" s="781">
        <v>2</v>
      </c>
      <c r="B174" s="782">
        <v>261</v>
      </c>
      <c r="C174" s="783">
        <v>45373</v>
      </c>
      <c r="D174" s="783" t="s">
        <v>368</v>
      </c>
      <c r="E174" s="808">
        <v>15000</v>
      </c>
      <c r="F174" s="799"/>
      <c r="G174" s="799"/>
      <c r="H174" s="1592">
        <f t="shared" si="6"/>
        <v>0</v>
      </c>
      <c r="I174" s="754" t="str">
        <f>IFERROR(VLOOKUP(B174,Mychart!$A$125:$B$911,2,FALSE),"-")</f>
        <v>AREEFA AREEJ</v>
      </c>
      <c r="J174" s="753">
        <f t="shared" si="7"/>
        <v>3</v>
      </c>
      <c r="K174" s="1540">
        <f t="shared" si="8"/>
        <v>2024</v>
      </c>
      <c r="L174" s="757"/>
      <c r="M174" s="757"/>
      <c r="N174" s="757"/>
      <c r="O174" s="757"/>
      <c r="P174" s="757"/>
      <c r="Q174" s="757"/>
      <c r="R174" s="757"/>
      <c r="S174" s="757"/>
      <c r="T174" s="757"/>
      <c r="U174" s="757"/>
      <c r="V174" s="757"/>
      <c r="W174" s="757"/>
      <c r="X174" s="757"/>
      <c r="Y174" s="757"/>
      <c r="Z174" s="757"/>
      <c r="AA174" s="757"/>
      <c r="AB174" s="757"/>
      <c r="AC174" s="757"/>
      <c r="AD174" s="757"/>
      <c r="AE174" s="757"/>
      <c r="AF174" s="757"/>
      <c r="AG174" s="757"/>
      <c r="AH174" s="757"/>
      <c r="AI174" s="757"/>
      <c r="AJ174" s="757"/>
      <c r="AK174" s="757"/>
      <c r="AL174" s="757"/>
      <c r="AM174" s="757"/>
      <c r="AN174" s="757"/>
      <c r="AO174" s="757"/>
      <c r="AP174" s="757"/>
      <c r="AQ174" s="757"/>
      <c r="AR174" s="757"/>
      <c r="AS174" s="757"/>
      <c r="AT174" s="757"/>
      <c r="AU174" s="757"/>
      <c r="AV174" s="757"/>
      <c r="AW174" s="757"/>
      <c r="AX174" s="757"/>
      <c r="AY174" s="757"/>
      <c r="AZ174" s="75"/>
      <c r="BA174" s="2"/>
      <c r="BB174" s="2"/>
      <c r="BC174" s="2"/>
      <c r="BD174" s="2"/>
    </row>
    <row r="175" spans="1:56">
      <c r="A175" s="781">
        <v>2</v>
      </c>
      <c r="B175" s="782">
        <v>261</v>
      </c>
      <c r="C175" s="783">
        <v>45401</v>
      </c>
      <c r="D175" s="783" t="s">
        <v>176</v>
      </c>
      <c r="E175" s="808">
        <v>750</v>
      </c>
      <c r="F175" s="799"/>
      <c r="G175" s="799"/>
      <c r="H175" s="1592">
        <f t="shared" si="6"/>
        <v>0</v>
      </c>
      <c r="I175" s="754" t="str">
        <f>IFERROR(VLOOKUP(B175,Mychart!$A$125:$B$911,2,FALSE),"-")</f>
        <v>AREEFA AREEJ</v>
      </c>
      <c r="J175" s="753">
        <f t="shared" si="7"/>
        <v>4</v>
      </c>
      <c r="K175" s="1540">
        <f t="shared" si="8"/>
        <v>2024</v>
      </c>
      <c r="L175" s="757"/>
      <c r="M175" s="757"/>
      <c r="N175" s="757"/>
      <c r="O175" s="757"/>
      <c r="P175" s="757"/>
      <c r="Q175" s="757"/>
      <c r="R175" s="757"/>
      <c r="S175" s="757"/>
      <c r="T175" s="757"/>
      <c r="U175" s="757"/>
      <c r="V175" s="757"/>
      <c r="W175" s="757"/>
      <c r="X175" s="757"/>
      <c r="Y175" s="757"/>
      <c r="Z175" s="757"/>
      <c r="AA175" s="757"/>
      <c r="AB175" s="757"/>
      <c r="AC175" s="757"/>
      <c r="AD175" s="757"/>
      <c r="AE175" s="757"/>
      <c r="AF175" s="757"/>
      <c r="AG175" s="757"/>
      <c r="AH175" s="757"/>
      <c r="AI175" s="757"/>
      <c r="AJ175" s="757"/>
      <c r="AK175" s="757"/>
      <c r="AL175" s="757"/>
      <c r="AM175" s="757"/>
      <c r="AN175" s="757"/>
      <c r="AO175" s="757"/>
      <c r="AP175" s="757"/>
      <c r="AQ175" s="757"/>
      <c r="AR175" s="757"/>
      <c r="AS175" s="757"/>
      <c r="AT175" s="757"/>
      <c r="AU175" s="757"/>
      <c r="AV175" s="757"/>
      <c r="AW175" s="757"/>
      <c r="AX175" s="757"/>
      <c r="AY175" s="757"/>
      <c r="AZ175" s="75"/>
      <c r="BA175" s="2"/>
      <c r="BB175" s="2"/>
      <c r="BC175" s="2"/>
      <c r="BD175" s="2"/>
    </row>
    <row r="176" spans="1:56">
      <c r="A176" s="781">
        <v>1</v>
      </c>
      <c r="B176" s="782">
        <v>202</v>
      </c>
      <c r="C176" s="783">
        <v>44660</v>
      </c>
      <c r="D176" s="786" t="s">
        <v>464</v>
      </c>
      <c r="E176" s="807"/>
      <c r="F176" s="798">
        <v>28250</v>
      </c>
      <c r="G176" s="798">
        <v>1412.5</v>
      </c>
      <c r="H176" s="1592">
        <f t="shared" si="6"/>
        <v>29662.5</v>
      </c>
      <c r="I176" s="754" t="str">
        <f>IFERROR(VLOOKUP(B176,Mychart!$A$125:$B$911,2,FALSE),"-")</f>
        <v>AHMED HELAL - ERTIKAZ</v>
      </c>
      <c r="J176" s="753">
        <f t="shared" si="7"/>
        <v>4</v>
      </c>
      <c r="K176" s="1540">
        <f t="shared" si="8"/>
        <v>2022</v>
      </c>
      <c r="L176" s="757"/>
      <c r="M176" s="757"/>
      <c r="N176" s="757"/>
      <c r="O176" s="757"/>
      <c r="P176" s="757"/>
      <c r="Q176" s="757"/>
      <c r="R176" s="757"/>
      <c r="S176" s="757"/>
      <c r="T176" s="757"/>
      <c r="U176" s="757"/>
      <c r="V176" s="757"/>
      <c r="W176" s="757"/>
      <c r="X176" s="757"/>
      <c r="Y176" s="757"/>
      <c r="Z176" s="757"/>
      <c r="AA176" s="757"/>
      <c r="AB176" s="757"/>
      <c r="AC176" s="757"/>
      <c r="AD176" s="757"/>
      <c r="AE176" s="757"/>
      <c r="AF176" s="757"/>
      <c r="AG176" s="757"/>
      <c r="AH176" s="757"/>
      <c r="AI176" s="757"/>
      <c r="AJ176" s="757"/>
      <c r="AK176" s="757"/>
      <c r="AL176" s="757"/>
      <c r="AM176" s="757"/>
      <c r="AN176" s="757"/>
      <c r="AO176" s="757"/>
      <c r="AP176" s="757"/>
      <c r="AQ176" s="757"/>
      <c r="AR176" s="757"/>
      <c r="AS176" s="757"/>
      <c r="AT176" s="757"/>
      <c r="AU176" s="757"/>
      <c r="AV176" s="757"/>
      <c r="AW176" s="757"/>
      <c r="AX176" s="757"/>
      <c r="AY176" s="757"/>
      <c r="AZ176" s="75"/>
      <c r="BA176" s="2"/>
      <c r="BB176" s="2"/>
      <c r="BC176" s="2"/>
      <c r="BD176" s="2"/>
    </row>
    <row r="177" spans="1:56">
      <c r="A177" s="781">
        <v>1</v>
      </c>
      <c r="B177" s="782">
        <v>202</v>
      </c>
      <c r="C177" s="783">
        <v>44772</v>
      </c>
      <c r="D177" s="784" t="s">
        <v>465</v>
      </c>
      <c r="E177" s="807"/>
      <c r="F177" s="798">
        <v>261904.76</v>
      </c>
      <c r="G177" s="798">
        <v>13095.238000000001</v>
      </c>
      <c r="H177" s="1592">
        <f t="shared" si="6"/>
        <v>274999.99800000002</v>
      </c>
      <c r="I177" s="754" t="str">
        <f>IFERROR(VLOOKUP(B177,Mychart!$A$125:$B$911,2,FALSE),"-")</f>
        <v>AHMED HELAL - ERTIKAZ</v>
      </c>
      <c r="J177" s="753">
        <f t="shared" si="7"/>
        <v>7</v>
      </c>
      <c r="K177" s="1540">
        <f t="shared" si="8"/>
        <v>2022</v>
      </c>
      <c r="L177" s="757"/>
      <c r="M177" s="757"/>
      <c r="N177" s="757"/>
      <c r="O177" s="757"/>
      <c r="P177" s="757"/>
      <c r="Q177" s="757"/>
      <c r="R177" s="757"/>
      <c r="S177" s="757"/>
      <c r="T177" s="757"/>
      <c r="U177" s="757"/>
      <c r="V177" s="757"/>
      <c r="W177" s="757"/>
      <c r="X177" s="757"/>
      <c r="Y177" s="757"/>
      <c r="Z177" s="757"/>
      <c r="AA177" s="757"/>
      <c r="AB177" s="757"/>
      <c r="AC177" s="757"/>
      <c r="AD177" s="757"/>
      <c r="AE177" s="757"/>
      <c r="AF177" s="757"/>
      <c r="AG177" s="757"/>
      <c r="AH177" s="757"/>
      <c r="AI177" s="757"/>
      <c r="AJ177" s="757"/>
      <c r="AK177" s="757"/>
      <c r="AL177" s="757"/>
      <c r="AM177" s="757"/>
      <c r="AN177" s="757"/>
      <c r="AO177" s="757"/>
      <c r="AP177" s="757"/>
      <c r="AQ177" s="757"/>
      <c r="AR177" s="757"/>
      <c r="AS177" s="757"/>
      <c r="AT177" s="757"/>
      <c r="AU177" s="757"/>
      <c r="AV177" s="757"/>
      <c r="AW177" s="757"/>
      <c r="AX177" s="757"/>
      <c r="AY177" s="757"/>
      <c r="AZ177" s="75"/>
      <c r="BA177" s="2"/>
      <c r="BB177" s="2"/>
      <c r="BC177" s="2"/>
      <c r="BD177" s="2"/>
    </row>
    <row r="178" spans="1:56">
      <c r="A178" s="781">
        <v>1</v>
      </c>
      <c r="B178" s="782">
        <v>202</v>
      </c>
      <c r="C178" s="783">
        <v>44898</v>
      </c>
      <c r="D178" s="784" t="s">
        <v>466</v>
      </c>
      <c r="E178" s="807"/>
      <c r="F178" s="798">
        <v>76275</v>
      </c>
      <c r="G178" s="798">
        <v>3813.75</v>
      </c>
      <c r="H178" s="1592">
        <f t="shared" si="6"/>
        <v>80088.75</v>
      </c>
      <c r="I178" s="754" t="str">
        <f>IFERROR(VLOOKUP(B178,Mychart!$A$125:$B$911,2,FALSE),"-")</f>
        <v>AHMED HELAL - ERTIKAZ</v>
      </c>
      <c r="J178" s="753">
        <f t="shared" si="7"/>
        <v>12</v>
      </c>
      <c r="K178" s="1540">
        <f t="shared" si="8"/>
        <v>2022</v>
      </c>
      <c r="L178" s="757"/>
      <c r="M178" s="757"/>
      <c r="N178" s="757"/>
      <c r="O178" s="757"/>
      <c r="P178" s="757"/>
      <c r="Q178" s="757"/>
      <c r="R178" s="757"/>
      <c r="S178" s="757"/>
      <c r="T178" s="757"/>
      <c r="U178" s="757"/>
      <c r="V178" s="757"/>
      <c r="W178" s="757"/>
      <c r="X178" s="757"/>
      <c r="Y178" s="757"/>
      <c r="Z178" s="757"/>
      <c r="AA178" s="757"/>
      <c r="AB178" s="757"/>
      <c r="AC178" s="757"/>
      <c r="AD178" s="757"/>
      <c r="AE178" s="757"/>
      <c r="AF178" s="757"/>
      <c r="AG178" s="757"/>
      <c r="AH178" s="757"/>
      <c r="AI178" s="757"/>
      <c r="AJ178" s="757"/>
      <c r="AK178" s="757"/>
      <c r="AL178" s="757"/>
      <c r="AM178" s="757"/>
      <c r="AN178" s="757"/>
      <c r="AO178" s="757"/>
      <c r="AP178" s="757"/>
      <c r="AQ178" s="757"/>
      <c r="AR178" s="757"/>
      <c r="AS178" s="757"/>
      <c r="AT178" s="757"/>
      <c r="AU178" s="757"/>
      <c r="AV178" s="757"/>
      <c r="AW178" s="757"/>
      <c r="AX178" s="757"/>
      <c r="AY178" s="757"/>
      <c r="AZ178" s="75"/>
      <c r="BA178" s="2"/>
      <c r="BB178" s="2"/>
      <c r="BC178" s="2"/>
      <c r="BD178" s="2"/>
    </row>
    <row r="179" spans="1:56">
      <c r="A179" s="781">
        <v>1</v>
      </c>
      <c r="B179" s="782">
        <v>202</v>
      </c>
      <c r="C179" s="783">
        <v>44895</v>
      </c>
      <c r="D179" s="784" t="s">
        <v>467</v>
      </c>
      <c r="E179" s="807"/>
      <c r="F179" s="798">
        <v>100000</v>
      </c>
      <c r="G179" s="798">
        <v>5000</v>
      </c>
      <c r="H179" s="1592">
        <f t="shared" si="6"/>
        <v>105000</v>
      </c>
      <c r="I179" s="754" t="str">
        <f>IFERROR(VLOOKUP(B179,Mychart!$A$125:$B$911,2,FALSE),"-")</f>
        <v>AHMED HELAL - ERTIKAZ</v>
      </c>
      <c r="J179" s="753">
        <f t="shared" si="7"/>
        <v>11</v>
      </c>
      <c r="K179" s="1540">
        <f t="shared" si="8"/>
        <v>2022</v>
      </c>
      <c r="L179" s="757"/>
      <c r="M179" s="757"/>
      <c r="N179" s="757"/>
      <c r="O179" s="757"/>
      <c r="P179" s="757"/>
      <c r="Q179" s="757"/>
      <c r="R179" s="757"/>
      <c r="S179" s="757"/>
      <c r="T179" s="757"/>
      <c r="U179" s="757"/>
      <c r="V179" s="757"/>
      <c r="W179" s="757"/>
      <c r="X179" s="757"/>
      <c r="Y179" s="757"/>
      <c r="Z179" s="757"/>
      <c r="AA179" s="757"/>
      <c r="AB179" s="757"/>
      <c r="AC179" s="757"/>
      <c r="AD179" s="757"/>
      <c r="AE179" s="757"/>
      <c r="AF179" s="757"/>
      <c r="AG179" s="757"/>
      <c r="AH179" s="757"/>
      <c r="AI179" s="757"/>
      <c r="AJ179" s="757"/>
      <c r="AK179" s="757"/>
      <c r="AL179" s="757"/>
      <c r="AM179" s="757"/>
      <c r="AN179" s="757"/>
      <c r="AO179" s="757"/>
      <c r="AP179" s="757"/>
      <c r="AQ179" s="757"/>
      <c r="AR179" s="757"/>
      <c r="AS179" s="757"/>
      <c r="AT179" s="757"/>
      <c r="AU179" s="757"/>
      <c r="AV179" s="757"/>
      <c r="AW179" s="757"/>
      <c r="AX179" s="757"/>
      <c r="AY179" s="757"/>
      <c r="AZ179" s="75"/>
      <c r="BA179" s="2"/>
      <c r="BB179" s="2"/>
      <c r="BC179" s="2"/>
      <c r="BD179" s="2"/>
    </row>
    <row r="180" spans="1:56">
      <c r="A180" s="781">
        <v>1</v>
      </c>
      <c r="B180" s="782">
        <v>202</v>
      </c>
      <c r="C180" s="783">
        <v>45066</v>
      </c>
      <c r="D180" s="784" t="s">
        <v>468</v>
      </c>
      <c r="E180" s="807"/>
      <c r="F180" s="798">
        <v>34216.5</v>
      </c>
      <c r="G180" s="798">
        <v>1710.825</v>
      </c>
      <c r="H180" s="1592">
        <f t="shared" si="6"/>
        <v>35927.324999999997</v>
      </c>
      <c r="I180" s="754" t="str">
        <f>IFERROR(VLOOKUP(B180,Mychart!$A$125:$B$911,2,FALSE),"-")</f>
        <v>AHMED HELAL - ERTIKAZ</v>
      </c>
      <c r="J180" s="753">
        <f t="shared" si="7"/>
        <v>5</v>
      </c>
      <c r="K180" s="1540">
        <f t="shared" si="8"/>
        <v>2023</v>
      </c>
      <c r="L180" s="757"/>
      <c r="M180" s="757"/>
      <c r="N180" s="757"/>
      <c r="O180" s="757"/>
      <c r="P180" s="757"/>
      <c r="Q180" s="757"/>
      <c r="R180" s="757"/>
      <c r="S180" s="757"/>
      <c r="T180" s="757"/>
      <c r="U180" s="757"/>
      <c r="V180" s="757"/>
      <c r="W180" s="757"/>
      <c r="X180" s="757"/>
      <c r="Y180" s="757"/>
      <c r="Z180" s="757"/>
      <c r="AA180" s="757"/>
      <c r="AB180" s="757"/>
      <c r="AC180" s="757"/>
      <c r="AD180" s="757"/>
      <c r="AE180" s="757"/>
      <c r="AF180" s="757"/>
      <c r="AG180" s="757"/>
      <c r="AH180" s="757"/>
      <c r="AI180" s="757"/>
      <c r="AJ180" s="757"/>
      <c r="AK180" s="757"/>
      <c r="AL180" s="757"/>
      <c r="AM180" s="757"/>
      <c r="AN180" s="757"/>
      <c r="AO180" s="757"/>
      <c r="AP180" s="757"/>
      <c r="AQ180" s="757"/>
      <c r="AR180" s="757"/>
      <c r="AS180" s="757"/>
      <c r="AT180" s="757"/>
      <c r="AU180" s="757"/>
      <c r="AV180" s="757"/>
      <c r="AW180" s="757"/>
      <c r="AX180" s="757"/>
      <c r="AY180" s="757"/>
      <c r="AZ180" s="75"/>
      <c r="BA180" s="2"/>
      <c r="BB180" s="2"/>
      <c r="BC180" s="2"/>
      <c r="BD180" s="2"/>
    </row>
    <row r="181" spans="1:56">
      <c r="A181" s="781">
        <v>1</v>
      </c>
      <c r="B181" s="782">
        <v>202</v>
      </c>
      <c r="C181" s="783">
        <v>45066</v>
      </c>
      <c r="D181" s="784" t="s">
        <v>469</v>
      </c>
      <c r="E181" s="807"/>
      <c r="F181" s="798">
        <v>30000</v>
      </c>
      <c r="G181" s="798"/>
      <c r="H181" s="1592">
        <f t="shared" si="6"/>
        <v>30000</v>
      </c>
      <c r="I181" s="754" t="str">
        <f>IFERROR(VLOOKUP(B181,Mychart!$A$125:$B$911,2,FALSE),"-")</f>
        <v>AHMED HELAL - ERTIKAZ</v>
      </c>
      <c r="J181" s="753">
        <f t="shared" si="7"/>
        <v>5</v>
      </c>
      <c r="K181" s="1540">
        <f t="shared" si="8"/>
        <v>2023</v>
      </c>
      <c r="L181" s="757"/>
      <c r="M181" s="757"/>
      <c r="N181" s="757"/>
      <c r="O181" s="757"/>
      <c r="P181" s="757"/>
      <c r="Q181" s="757"/>
      <c r="R181" s="757"/>
      <c r="S181" s="757"/>
      <c r="T181" s="757"/>
      <c r="U181" s="757"/>
      <c r="V181" s="757"/>
      <c r="W181" s="757"/>
      <c r="X181" s="757"/>
      <c r="Y181" s="757"/>
      <c r="Z181" s="757"/>
      <c r="AA181" s="757"/>
      <c r="AB181" s="757"/>
      <c r="AC181" s="757"/>
      <c r="AD181" s="757"/>
      <c r="AE181" s="757"/>
      <c r="AF181" s="757"/>
      <c r="AG181" s="757"/>
      <c r="AH181" s="757"/>
      <c r="AI181" s="757"/>
      <c r="AJ181" s="757"/>
      <c r="AK181" s="757"/>
      <c r="AL181" s="757"/>
      <c r="AM181" s="757"/>
      <c r="AN181" s="757"/>
      <c r="AO181" s="757"/>
      <c r="AP181" s="757"/>
      <c r="AQ181" s="757"/>
      <c r="AR181" s="757"/>
      <c r="AS181" s="757"/>
      <c r="AT181" s="757"/>
      <c r="AU181" s="757"/>
      <c r="AV181" s="757"/>
      <c r="AW181" s="757"/>
      <c r="AX181" s="757"/>
      <c r="AY181" s="757"/>
      <c r="AZ181" s="75"/>
      <c r="BA181" s="2"/>
      <c r="BB181" s="2"/>
      <c r="BC181" s="2"/>
      <c r="BD181" s="2"/>
    </row>
    <row r="182" spans="1:56">
      <c r="A182" s="781">
        <v>1</v>
      </c>
      <c r="B182" s="782">
        <v>202</v>
      </c>
      <c r="C182" s="783">
        <v>45164</v>
      </c>
      <c r="D182" s="784" t="s">
        <v>470</v>
      </c>
      <c r="E182" s="807"/>
      <c r="F182" s="798">
        <v>20000</v>
      </c>
      <c r="G182" s="798"/>
      <c r="H182" s="1592">
        <f t="shared" si="6"/>
        <v>20000</v>
      </c>
      <c r="I182" s="754" t="str">
        <f>IFERROR(VLOOKUP(B182,Mychart!$A$125:$B$911,2,FALSE),"-")</f>
        <v>AHMED HELAL - ERTIKAZ</v>
      </c>
      <c r="J182" s="753">
        <f t="shared" si="7"/>
        <v>8</v>
      </c>
      <c r="K182" s="1540">
        <f t="shared" si="8"/>
        <v>2023</v>
      </c>
      <c r="L182" s="757"/>
      <c r="M182" s="757"/>
      <c r="N182" s="757"/>
      <c r="O182" s="757"/>
      <c r="P182" s="757"/>
      <c r="Q182" s="757"/>
      <c r="R182" s="757"/>
      <c r="S182" s="757"/>
      <c r="T182" s="757"/>
      <c r="U182" s="757"/>
      <c r="V182" s="757"/>
      <c r="W182" s="757"/>
      <c r="X182" s="757"/>
      <c r="Y182" s="757"/>
      <c r="Z182" s="757"/>
      <c r="AA182" s="757"/>
      <c r="AB182" s="757"/>
      <c r="AC182" s="757"/>
      <c r="AD182" s="757"/>
      <c r="AE182" s="757"/>
      <c r="AF182" s="757"/>
      <c r="AG182" s="757"/>
      <c r="AH182" s="757"/>
      <c r="AI182" s="757"/>
      <c r="AJ182" s="757"/>
      <c r="AK182" s="757"/>
      <c r="AL182" s="757"/>
      <c r="AM182" s="757"/>
      <c r="AN182" s="757"/>
      <c r="AO182" s="757"/>
      <c r="AP182" s="757"/>
      <c r="AQ182" s="757"/>
      <c r="AR182" s="757"/>
      <c r="AS182" s="757"/>
      <c r="AT182" s="757"/>
      <c r="AU182" s="757"/>
      <c r="AV182" s="757"/>
      <c r="AW182" s="757"/>
      <c r="AX182" s="757"/>
      <c r="AY182" s="757"/>
      <c r="AZ182" s="75"/>
      <c r="BA182" s="2"/>
      <c r="BB182" s="2"/>
      <c r="BC182" s="2"/>
      <c r="BD182" s="2"/>
    </row>
    <row r="183" spans="1:56">
      <c r="A183" s="781">
        <v>1</v>
      </c>
      <c r="B183" s="782">
        <v>202</v>
      </c>
      <c r="C183" s="783">
        <v>45240</v>
      </c>
      <c r="D183" s="784" t="s">
        <v>471</v>
      </c>
      <c r="E183" s="807"/>
      <c r="F183" s="798">
        <v>16104</v>
      </c>
      <c r="G183" s="798">
        <v>3305</v>
      </c>
      <c r="H183" s="1592">
        <f t="shared" si="6"/>
        <v>19409</v>
      </c>
      <c r="I183" s="754" t="str">
        <f>IFERROR(VLOOKUP(B183,Mychart!$A$125:$B$911,2,FALSE),"-")</f>
        <v>AHMED HELAL - ERTIKAZ</v>
      </c>
      <c r="J183" s="753">
        <f t="shared" si="7"/>
        <v>11</v>
      </c>
      <c r="K183" s="1540">
        <f t="shared" si="8"/>
        <v>2023</v>
      </c>
      <c r="L183" s="757"/>
      <c r="M183" s="757"/>
      <c r="N183" s="757"/>
      <c r="O183" s="757"/>
      <c r="P183" s="757"/>
      <c r="Q183" s="757"/>
      <c r="R183" s="757"/>
      <c r="S183" s="757"/>
      <c r="T183" s="757"/>
      <c r="U183" s="757"/>
      <c r="V183" s="757"/>
      <c r="W183" s="757"/>
      <c r="X183" s="757"/>
      <c r="Y183" s="757"/>
      <c r="Z183" s="757"/>
      <c r="AA183" s="757"/>
      <c r="AB183" s="757"/>
      <c r="AC183" s="757"/>
      <c r="AD183" s="757"/>
      <c r="AE183" s="757"/>
      <c r="AF183" s="757"/>
      <c r="AG183" s="757"/>
      <c r="AH183" s="757"/>
      <c r="AI183" s="757"/>
      <c r="AJ183" s="757"/>
      <c r="AK183" s="757"/>
      <c r="AL183" s="757"/>
      <c r="AM183" s="757"/>
      <c r="AN183" s="757"/>
      <c r="AO183" s="757"/>
      <c r="AP183" s="757"/>
      <c r="AQ183" s="757"/>
      <c r="AR183" s="757"/>
      <c r="AS183" s="757"/>
      <c r="AT183" s="757"/>
      <c r="AU183" s="757"/>
      <c r="AV183" s="757"/>
      <c r="AW183" s="757"/>
      <c r="AX183" s="757"/>
      <c r="AY183" s="757"/>
      <c r="AZ183" s="75"/>
      <c r="BA183" s="2"/>
      <c r="BB183" s="2"/>
      <c r="BC183" s="2"/>
      <c r="BD183" s="2"/>
    </row>
    <row r="184" spans="1:56">
      <c r="A184" s="781">
        <v>2</v>
      </c>
      <c r="B184" s="782">
        <v>202</v>
      </c>
      <c r="C184" s="783"/>
      <c r="D184" s="783" t="s">
        <v>188</v>
      </c>
      <c r="E184" s="808">
        <v>1000</v>
      </c>
      <c r="F184" s="799"/>
      <c r="G184" s="799"/>
      <c r="H184" s="1592">
        <f t="shared" si="6"/>
        <v>0</v>
      </c>
      <c r="I184" s="754" t="str">
        <f>IFERROR(VLOOKUP(B184,Mychart!$A$125:$B$911,2,FALSE),"-")</f>
        <v>AHMED HELAL - ERTIKAZ</v>
      </c>
      <c r="J184" s="753" t="str">
        <f t="shared" si="7"/>
        <v>-</v>
      </c>
      <c r="K184" s="1540">
        <f t="shared" si="8"/>
        <v>1900</v>
      </c>
      <c r="L184" s="757"/>
      <c r="M184" s="757"/>
      <c r="N184" s="757"/>
      <c r="O184" s="757"/>
      <c r="P184" s="757"/>
      <c r="Q184" s="757"/>
      <c r="R184" s="757"/>
      <c r="S184" s="757"/>
      <c r="T184" s="757"/>
      <c r="U184" s="757"/>
      <c r="V184" s="757"/>
      <c r="W184" s="757"/>
      <c r="X184" s="757"/>
      <c r="Y184" s="757"/>
      <c r="Z184" s="757"/>
      <c r="AA184" s="757"/>
      <c r="AB184" s="757"/>
      <c r="AC184" s="757"/>
      <c r="AD184" s="757"/>
      <c r="AE184" s="757"/>
      <c r="AF184" s="757"/>
      <c r="AG184" s="757"/>
      <c r="AH184" s="757"/>
      <c r="AI184" s="757"/>
      <c r="AJ184" s="757"/>
      <c r="AK184" s="757"/>
      <c r="AL184" s="757"/>
      <c r="AM184" s="757"/>
      <c r="AN184" s="757"/>
      <c r="AO184" s="757"/>
      <c r="AP184" s="757"/>
      <c r="AQ184" s="757"/>
      <c r="AR184" s="757"/>
      <c r="AS184" s="757"/>
      <c r="AT184" s="757"/>
      <c r="AU184" s="757"/>
      <c r="AV184" s="757"/>
      <c r="AW184" s="757"/>
      <c r="AX184" s="757"/>
      <c r="AY184" s="757"/>
      <c r="AZ184" s="75"/>
      <c r="BA184" s="2"/>
      <c r="BB184" s="2"/>
      <c r="BC184" s="2"/>
      <c r="BD184" s="2"/>
    </row>
    <row r="185" spans="1:56">
      <c r="A185" s="781">
        <v>2</v>
      </c>
      <c r="B185" s="782">
        <v>202</v>
      </c>
      <c r="C185" s="783"/>
      <c r="D185" s="783" t="s">
        <v>178</v>
      </c>
      <c r="E185" s="808">
        <v>73</v>
      </c>
      <c r="F185" s="799"/>
      <c r="G185" s="799"/>
      <c r="H185" s="1592">
        <f t="shared" si="6"/>
        <v>0</v>
      </c>
      <c r="I185" s="754" t="str">
        <f>IFERROR(VLOOKUP(B185,Mychart!$A$125:$B$911,2,FALSE),"-")</f>
        <v>AHMED HELAL - ERTIKAZ</v>
      </c>
      <c r="J185" s="753" t="str">
        <f t="shared" si="7"/>
        <v>-</v>
      </c>
      <c r="K185" s="1540">
        <f t="shared" si="8"/>
        <v>1900</v>
      </c>
      <c r="L185" s="757"/>
      <c r="M185" s="757"/>
      <c r="N185" s="757"/>
      <c r="O185" s="757"/>
      <c r="P185" s="757"/>
      <c r="Q185" s="757"/>
      <c r="R185" s="757"/>
      <c r="S185" s="757"/>
      <c r="T185" s="757"/>
      <c r="U185" s="757"/>
      <c r="V185" s="757"/>
      <c r="W185" s="757"/>
      <c r="X185" s="757"/>
      <c r="Y185" s="757"/>
      <c r="Z185" s="757"/>
      <c r="AA185" s="757"/>
      <c r="AB185" s="757"/>
      <c r="AC185" s="757"/>
      <c r="AD185" s="757"/>
      <c r="AE185" s="757"/>
      <c r="AF185" s="757"/>
      <c r="AG185" s="757"/>
      <c r="AH185" s="757"/>
      <c r="AI185" s="757"/>
      <c r="AJ185" s="757"/>
      <c r="AK185" s="757"/>
      <c r="AL185" s="757"/>
      <c r="AM185" s="757"/>
      <c r="AN185" s="757"/>
      <c r="AO185" s="757"/>
      <c r="AP185" s="757"/>
      <c r="AQ185" s="757"/>
      <c r="AR185" s="757"/>
      <c r="AS185" s="757"/>
      <c r="AT185" s="757"/>
      <c r="AU185" s="757"/>
      <c r="AV185" s="757"/>
      <c r="AW185" s="757"/>
      <c r="AX185" s="757"/>
      <c r="AY185" s="757"/>
      <c r="AZ185" s="75"/>
      <c r="BA185" s="2"/>
      <c r="BB185" s="2"/>
      <c r="BC185" s="2"/>
      <c r="BD185" s="2"/>
    </row>
    <row r="186" spans="1:56">
      <c r="A186" s="781">
        <v>2</v>
      </c>
      <c r="B186" s="782">
        <v>202</v>
      </c>
      <c r="C186" s="783"/>
      <c r="D186" s="783" t="s">
        <v>472</v>
      </c>
      <c r="E186" s="808">
        <v>157000</v>
      </c>
      <c r="F186" s="799"/>
      <c r="G186" s="799"/>
      <c r="H186" s="1592">
        <f t="shared" si="6"/>
        <v>0</v>
      </c>
      <c r="I186" s="754" t="str">
        <f>IFERROR(VLOOKUP(B186,Mychart!$A$125:$B$911,2,FALSE),"-")</f>
        <v>AHMED HELAL - ERTIKAZ</v>
      </c>
      <c r="J186" s="753" t="str">
        <f t="shared" si="7"/>
        <v>-</v>
      </c>
      <c r="K186" s="1540">
        <f t="shared" si="8"/>
        <v>1900</v>
      </c>
      <c r="L186" s="757"/>
      <c r="M186" s="757"/>
      <c r="N186" s="757"/>
      <c r="O186" s="757"/>
      <c r="P186" s="757"/>
      <c r="Q186" s="757"/>
      <c r="R186" s="757"/>
      <c r="S186" s="757"/>
      <c r="T186" s="757"/>
      <c r="U186" s="757"/>
      <c r="V186" s="757"/>
      <c r="W186" s="757"/>
      <c r="X186" s="757"/>
      <c r="Y186" s="757"/>
      <c r="Z186" s="757"/>
      <c r="AA186" s="757"/>
      <c r="AB186" s="757"/>
      <c r="AC186" s="757"/>
      <c r="AD186" s="757"/>
      <c r="AE186" s="757"/>
      <c r="AF186" s="757"/>
      <c r="AG186" s="757"/>
      <c r="AH186" s="757"/>
      <c r="AI186" s="757"/>
      <c r="AJ186" s="757"/>
      <c r="AK186" s="757"/>
      <c r="AL186" s="757"/>
      <c r="AM186" s="757"/>
      <c r="AN186" s="757"/>
      <c r="AO186" s="757"/>
      <c r="AP186" s="757"/>
      <c r="AQ186" s="757"/>
      <c r="AR186" s="757"/>
      <c r="AS186" s="757"/>
      <c r="AT186" s="757"/>
      <c r="AU186" s="757"/>
      <c r="AV186" s="757"/>
      <c r="AW186" s="757"/>
      <c r="AX186" s="757"/>
      <c r="AY186" s="757"/>
      <c r="AZ186" s="75"/>
      <c r="BA186" s="2"/>
      <c r="BB186" s="2"/>
      <c r="BC186" s="2"/>
      <c r="BD186" s="2"/>
    </row>
    <row r="187" spans="1:56">
      <c r="A187" s="781">
        <v>2</v>
      </c>
      <c r="B187" s="782">
        <v>202</v>
      </c>
      <c r="C187" s="783"/>
      <c r="D187" s="783" t="s">
        <v>473</v>
      </c>
      <c r="E187" s="808">
        <v>620</v>
      </c>
      <c r="F187" s="799"/>
      <c r="G187" s="799"/>
      <c r="H187" s="1592">
        <f t="shared" si="6"/>
        <v>0</v>
      </c>
      <c r="I187" s="754" t="str">
        <f>IFERROR(VLOOKUP(B187,Mychart!$A$125:$B$911,2,FALSE),"-")</f>
        <v>AHMED HELAL - ERTIKAZ</v>
      </c>
      <c r="J187" s="753" t="str">
        <f t="shared" si="7"/>
        <v>-</v>
      </c>
      <c r="K187" s="1540">
        <f t="shared" si="8"/>
        <v>1900</v>
      </c>
      <c r="L187" s="757"/>
      <c r="M187" s="757"/>
      <c r="N187" s="757"/>
      <c r="O187" s="757"/>
      <c r="P187" s="757"/>
      <c r="Q187" s="757"/>
      <c r="R187" s="757"/>
      <c r="S187" s="757"/>
      <c r="T187" s="757"/>
      <c r="U187" s="757"/>
      <c r="V187" s="757"/>
      <c r="W187" s="757"/>
      <c r="X187" s="757"/>
      <c r="Y187" s="757"/>
      <c r="Z187" s="757"/>
      <c r="AA187" s="757"/>
      <c r="AB187" s="757"/>
      <c r="AC187" s="757"/>
      <c r="AD187" s="757"/>
      <c r="AE187" s="757"/>
      <c r="AF187" s="757"/>
      <c r="AG187" s="757"/>
      <c r="AH187" s="757"/>
      <c r="AI187" s="757"/>
      <c r="AJ187" s="757"/>
      <c r="AK187" s="757"/>
      <c r="AL187" s="757"/>
      <c r="AM187" s="757"/>
      <c r="AN187" s="757"/>
      <c r="AO187" s="757"/>
      <c r="AP187" s="757"/>
      <c r="AQ187" s="757"/>
      <c r="AR187" s="757"/>
      <c r="AS187" s="757"/>
      <c r="AT187" s="757"/>
      <c r="AU187" s="757"/>
      <c r="AV187" s="757"/>
      <c r="AW187" s="757"/>
      <c r="AX187" s="757"/>
      <c r="AY187" s="757"/>
      <c r="AZ187" s="75"/>
      <c r="BA187" s="2"/>
      <c r="BB187" s="2"/>
      <c r="BC187" s="2"/>
      <c r="BD187" s="2"/>
    </row>
    <row r="188" spans="1:56">
      <c r="A188" s="781">
        <v>2</v>
      </c>
      <c r="B188" s="782">
        <v>202</v>
      </c>
      <c r="C188" s="783"/>
      <c r="D188" s="783" t="s">
        <v>472</v>
      </c>
      <c r="E188" s="808">
        <v>63200</v>
      </c>
      <c r="F188" s="799"/>
      <c r="G188" s="799"/>
      <c r="H188" s="1592">
        <f t="shared" si="6"/>
        <v>0</v>
      </c>
      <c r="I188" s="754" t="str">
        <f>IFERROR(VLOOKUP(B188,Mychart!$A$125:$B$911,2,FALSE),"-")</f>
        <v>AHMED HELAL - ERTIKAZ</v>
      </c>
      <c r="J188" s="753" t="str">
        <f t="shared" si="7"/>
        <v>-</v>
      </c>
      <c r="K188" s="1540">
        <f t="shared" si="8"/>
        <v>1900</v>
      </c>
      <c r="L188" s="757"/>
      <c r="M188" s="757"/>
      <c r="N188" s="757"/>
      <c r="O188" s="757"/>
      <c r="P188" s="757"/>
      <c r="Q188" s="757"/>
      <c r="R188" s="757"/>
      <c r="S188" s="757"/>
      <c r="T188" s="757"/>
      <c r="U188" s="757"/>
      <c r="V188" s="757"/>
      <c r="W188" s="757"/>
      <c r="X188" s="757"/>
      <c r="Y188" s="757"/>
      <c r="Z188" s="757"/>
      <c r="AA188" s="757"/>
      <c r="AB188" s="757"/>
      <c r="AC188" s="757"/>
      <c r="AD188" s="757"/>
      <c r="AE188" s="757"/>
      <c r="AF188" s="757"/>
      <c r="AG188" s="757"/>
      <c r="AH188" s="757"/>
      <c r="AI188" s="757"/>
      <c r="AJ188" s="757"/>
      <c r="AK188" s="757"/>
      <c r="AL188" s="757"/>
      <c r="AM188" s="757"/>
      <c r="AN188" s="757"/>
      <c r="AO188" s="757"/>
      <c r="AP188" s="757"/>
      <c r="AQ188" s="757"/>
      <c r="AR188" s="757"/>
      <c r="AS188" s="757"/>
      <c r="AT188" s="757"/>
      <c r="AU188" s="757"/>
      <c r="AV188" s="757"/>
      <c r="AW188" s="757"/>
      <c r="AX188" s="757"/>
      <c r="AY188" s="757"/>
      <c r="AZ188" s="75"/>
      <c r="BA188" s="2"/>
      <c r="BB188" s="2"/>
      <c r="BC188" s="2"/>
      <c r="BD188" s="2"/>
    </row>
    <row r="189" spans="1:56">
      <c r="A189" s="781">
        <v>2</v>
      </c>
      <c r="B189" s="782">
        <v>202</v>
      </c>
      <c r="C189" s="783"/>
      <c r="D189" s="783" t="s">
        <v>178</v>
      </c>
      <c r="E189" s="808">
        <v>11922</v>
      </c>
      <c r="F189" s="799"/>
      <c r="G189" s="799"/>
      <c r="H189" s="1592">
        <f t="shared" si="6"/>
        <v>0</v>
      </c>
      <c r="I189" s="754" t="str">
        <f>IFERROR(VLOOKUP(B189,Mychart!$A$125:$B$911,2,FALSE),"-")</f>
        <v>AHMED HELAL - ERTIKAZ</v>
      </c>
      <c r="J189" s="753" t="str">
        <f t="shared" si="7"/>
        <v>-</v>
      </c>
      <c r="K189" s="1540">
        <f t="shared" si="8"/>
        <v>1900</v>
      </c>
      <c r="L189" s="757"/>
      <c r="M189" s="757"/>
      <c r="N189" s="757"/>
      <c r="O189" s="757"/>
      <c r="P189" s="757"/>
      <c r="Q189" s="757"/>
      <c r="R189" s="757"/>
      <c r="S189" s="757"/>
      <c r="T189" s="757"/>
      <c r="U189" s="757"/>
      <c r="V189" s="757"/>
      <c r="W189" s="757"/>
      <c r="X189" s="757"/>
      <c r="Y189" s="757"/>
      <c r="Z189" s="757"/>
      <c r="AA189" s="757"/>
      <c r="AB189" s="757"/>
      <c r="AC189" s="757"/>
      <c r="AD189" s="757"/>
      <c r="AE189" s="757"/>
      <c r="AF189" s="757"/>
      <c r="AG189" s="757"/>
      <c r="AH189" s="757"/>
      <c r="AI189" s="757"/>
      <c r="AJ189" s="757"/>
      <c r="AK189" s="757"/>
      <c r="AL189" s="757"/>
      <c r="AM189" s="757"/>
      <c r="AN189" s="757"/>
      <c r="AO189" s="757"/>
      <c r="AP189" s="757"/>
      <c r="AQ189" s="757"/>
      <c r="AR189" s="757"/>
      <c r="AS189" s="757"/>
      <c r="AT189" s="757"/>
      <c r="AU189" s="757"/>
      <c r="AV189" s="757"/>
      <c r="AW189" s="757"/>
      <c r="AX189" s="757"/>
      <c r="AY189" s="757"/>
      <c r="AZ189" s="75"/>
      <c r="BA189" s="2"/>
      <c r="BB189" s="2"/>
      <c r="BC189" s="2"/>
      <c r="BD189" s="2"/>
    </row>
    <row r="190" spans="1:56">
      <c r="A190" s="781">
        <v>2</v>
      </c>
      <c r="B190" s="782">
        <v>202</v>
      </c>
      <c r="C190" s="783"/>
      <c r="D190" s="783" t="s">
        <v>258</v>
      </c>
      <c r="E190" s="808">
        <v>4533</v>
      </c>
      <c r="F190" s="799"/>
      <c r="G190" s="799"/>
      <c r="H190" s="1592">
        <f t="shared" si="6"/>
        <v>0</v>
      </c>
      <c r="I190" s="754" t="str">
        <f>IFERROR(VLOOKUP(B190,Mychart!$A$125:$B$911,2,FALSE),"-")</f>
        <v>AHMED HELAL - ERTIKAZ</v>
      </c>
      <c r="J190" s="753" t="str">
        <f t="shared" si="7"/>
        <v>-</v>
      </c>
      <c r="K190" s="1540">
        <f t="shared" si="8"/>
        <v>1900</v>
      </c>
      <c r="L190" s="757"/>
      <c r="M190" s="757"/>
      <c r="N190" s="757"/>
      <c r="O190" s="757"/>
      <c r="P190" s="757"/>
      <c r="Q190" s="757"/>
      <c r="R190" s="757"/>
      <c r="S190" s="757"/>
      <c r="T190" s="757"/>
      <c r="U190" s="757"/>
      <c r="V190" s="757"/>
      <c r="W190" s="757"/>
      <c r="X190" s="757"/>
      <c r="Y190" s="757"/>
      <c r="Z190" s="757"/>
      <c r="AA190" s="757"/>
      <c r="AB190" s="757"/>
      <c r="AC190" s="757"/>
      <c r="AD190" s="757"/>
      <c r="AE190" s="757"/>
      <c r="AF190" s="757"/>
      <c r="AG190" s="757"/>
      <c r="AH190" s="757"/>
      <c r="AI190" s="757"/>
      <c r="AJ190" s="757"/>
      <c r="AK190" s="757"/>
      <c r="AL190" s="757"/>
      <c r="AM190" s="757"/>
      <c r="AN190" s="757"/>
      <c r="AO190" s="757"/>
      <c r="AP190" s="757"/>
      <c r="AQ190" s="757"/>
      <c r="AR190" s="757"/>
      <c r="AS190" s="757"/>
      <c r="AT190" s="757"/>
      <c r="AU190" s="757"/>
      <c r="AV190" s="757"/>
      <c r="AW190" s="757"/>
      <c r="AX190" s="757"/>
      <c r="AY190" s="757"/>
      <c r="AZ190" s="75"/>
      <c r="BA190" s="2"/>
      <c r="BB190" s="2"/>
      <c r="BC190" s="2"/>
      <c r="BD190" s="2"/>
    </row>
    <row r="191" spans="1:56">
      <c r="A191" s="781">
        <v>2</v>
      </c>
      <c r="B191" s="782">
        <v>202</v>
      </c>
      <c r="C191" s="783"/>
      <c r="D191" s="785" t="s">
        <v>178</v>
      </c>
      <c r="E191" s="808">
        <v>4635</v>
      </c>
      <c r="F191" s="799"/>
      <c r="G191" s="799"/>
      <c r="H191" s="1592">
        <f t="shared" si="6"/>
        <v>0</v>
      </c>
      <c r="I191" s="754" t="str">
        <f>IFERROR(VLOOKUP(B191,Mychart!$A$125:$B$911,2,FALSE),"-")</f>
        <v>AHMED HELAL - ERTIKAZ</v>
      </c>
      <c r="J191" s="753" t="str">
        <f t="shared" si="7"/>
        <v>-</v>
      </c>
      <c r="K191" s="1540">
        <f t="shared" si="8"/>
        <v>1900</v>
      </c>
      <c r="L191" s="757"/>
      <c r="M191" s="757"/>
      <c r="N191" s="757"/>
      <c r="O191" s="757"/>
      <c r="P191" s="757"/>
      <c r="Q191" s="757"/>
      <c r="R191" s="757"/>
      <c r="S191" s="757"/>
      <c r="T191" s="757"/>
      <c r="U191" s="757"/>
      <c r="V191" s="757"/>
      <c r="W191" s="757"/>
      <c r="X191" s="757"/>
      <c r="Y191" s="757"/>
      <c r="Z191" s="757"/>
      <c r="AA191" s="757"/>
      <c r="AB191" s="757"/>
      <c r="AC191" s="757"/>
      <c r="AD191" s="757"/>
      <c r="AE191" s="757"/>
      <c r="AF191" s="757"/>
      <c r="AG191" s="757"/>
      <c r="AH191" s="757"/>
      <c r="AI191" s="757"/>
      <c r="AJ191" s="757"/>
      <c r="AK191" s="757"/>
      <c r="AL191" s="757"/>
      <c r="AM191" s="757"/>
      <c r="AN191" s="757"/>
      <c r="AO191" s="757"/>
      <c r="AP191" s="757"/>
      <c r="AQ191" s="757"/>
      <c r="AR191" s="757"/>
      <c r="AS191" s="757"/>
      <c r="AT191" s="757"/>
      <c r="AU191" s="757"/>
      <c r="AV191" s="757"/>
      <c r="AW191" s="757"/>
      <c r="AX191" s="757"/>
      <c r="AY191" s="757"/>
      <c r="AZ191" s="75"/>
      <c r="BA191" s="2"/>
      <c r="BB191" s="2"/>
      <c r="BC191" s="2"/>
      <c r="BD191" s="2"/>
    </row>
    <row r="192" spans="1:56">
      <c r="A192" s="781">
        <v>2</v>
      </c>
      <c r="B192" s="782">
        <v>202</v>
      </c>
      <c r="C192" s="783"/>
      <c r="D192" s="783" t="s">
        <v>258</v>
      </c>
      <c r="E192" s="808">
        <v>17500</v>
      </c>
      <c r="F192" s="799"/>
      <c r="G192" s="799"/>
      <c r="H192" s="1592">
        <f t="shared" si="6"/>
        <v>0</v>
      </c>
      <c r="I192" s="754" t="str">
        <f>IFERROR(VLOOKUP(B192,Mychart!$A$125:$B$911,2,FALSE),"-")</f>
        <v>AHMED HELAL - ERTIKAZ</v>
      </c>
      <c r="J192" s="753" t="str">
        <f t="shared" si="7"/>
        <v>-</v>
      </c>
      <c r="K192" s="1540">
        <f t="shared" si="8"/>
        <v>1900</v>
      </c>
      <c r="L192" s="757"/>
      <c r="M192" s="757"/>
      <c r="N192" s="757"/>
      <c r="O192" s="757"/>
      <c r="P192" s="757"/>
      <c r="Q192" s="757"/>
      <c r="R192" s="757"/>
      <c r="S192" s="757"/>
      <c r="T192" s="757"/>
      <c r="U192" s="757"/>
      <c r="V192" s="757"/>
      <c r="W192" s="757"/>
      <c r="X192" s="757"/>
      <c r="Y192" s="757"/>
      <c r="Z192" s="757"/>
      <c r="AA192" s="757"/>
      <c r="AB192" s="757"/>
      <c r="AC192" s="757"/>
      <c r="AD192" s="757"/>
      <c r="AE192" s="757"/>
      <c r="AF192" s="757"/>
      <c r="AG192" s="757"/>
      <c r="AH192" s="757"/>
      <c r="AI192" s="757"/>
      <c r="AJ192" s="757"/>
      <c r="AK192" s="757"/>
      <c r="AL192" s="757"/>
      <c r="AM192" s="757"/>
      <c r="AN192" s="757"/>
      <c r="AO192" s="757"/>
      <c r="AP192" s="757"/>
      <c r="AQ192" s="757"/>
      <c r="AR192" s="757"/>
      <c r="AS192" s="757"/>
      <c r="AT192" s="757"/>
      <c r="AU192" s="757"/>
      <c r="AV192" s="757"/>
      <c r="AW192" s="757"/>
      <c r="AX192" s="757"/>
      <c r="AY192" s="757"/>
      <c r="AZ192" s="75"/>
      <c r="BA192" s="2"/>
      <c r="BB192" s="2"/>
      <c r="BC192" s="2"/>
      <c r="BD192" s="2"/>
    </row>
    <row r="193" spans="1:56">
      <c r="A193" s="781">
        <v>2</v>
      </c>
      <c r="B193" s="782">
        <v>202</v>
      </c>
      <c r="C193" s="783"/>
      <c r="D193" s="785" t="s">
        <v>178</v>
      </c>
      <c r="E193" s="808">
        <v>3606</v>
      </c>
      <c r="F193" s="799"/>
      <c r="G193" s="799"/>
      <c r="H193" s="1592">
        <f t="shared" si="6"/>
        <v>0</v>
      </c>
      <c r="I193" s="754" t="str">
        <f>IFERROR(VLOOKUP(B193,Mychart!$A$125:$B$911,2,FALSE),"-")</f>
        <v>AHMED HELAL - ERTIKAZ</v>
      </c>
      <c r="J193" s="753" t="str">
        <f t="shared" si="7"/>
        <v>-</v>
      </c>
      <c r="K193" s="1540">
        <f t="shared" si="8"/>
        <v>1900</v>
      </c>
      <c r="L193" s="757"/>
      <c r="M193" s="757"/>
      <c r="N193" s="757"/>
      <c r="O193" s="757"/>
      <c r="P193" s="757"/>
      <c r="Q193" s="757"/>
      <c r="R193" s="757"/>
      <c r="S193" s="757"/>
      <c r="T193" s="757"/>
      <c r="U193" s="757"/>
      <c r="V193" s="757"/>
      <c r="W193" s="757"/>
      <c r="X193" s="757"/>
      <c r="Y193" s="757"/>
      <c r="Z193" s="757"/>
      <c r="AA193" s="757"/>
      <c r="AB193" s="757"/>
      <c r="AC193" s="757"/>
      <c r="AD193" s="757"/>
      <c r="AE193" s="757"/>
      <c r="AF193" s="757"/>
      <c r="AG193" s="757"/>
      <c r="AH193" s="757"/>
      <c r="AI193" s="757"/>
      <c r="AJ193" s="757"/>
      <c r="AK193" s="757"/>
      <c r="AL193" s="757"/>
      <c r="AM193" s="757"/>
      <c r="AN193" s="757"/>
      <c r="AO193" s="757"/>
      <c r="AP193" s="757"/>
      <c r="AQ193" s="757"/>
      <c r="AR193" s="757"/>
      <c r="AS193" s="757"/>
      <c r="AT193" s="757"/>
      <c r="AU193" s="757"/>
      <c r="AV193" s="757"/>
      <c r="AW193" s="757"/>
      <c r="AX193" s="757"/>
      <c r="AY193" s="757"/>
      <c r="AZ193" s="75"/>
      <c r="BA193" s="2"/>
      <c r="BB193" s="2"/>
      <c r="BC193" s="2"/>
      <c r="BD193" s="2"/>
    </row>
    <row r="194" spans="1:56">
      <c r="A194" s="781">
        <v>2</v>
      </c>
      <c r="B194" s="782">
        <v>202</v>
      </c>
      <c r="C194" s="783"/>
      <c r="D194" s="783" t="s">
        <v>258</v>
      </c>
      <c r="E194" s="808">
        <v>1475</v>
      </c>
      <c r="F194" s="799"/>
      <c r="G194" s="799"/>
      <c r="H194" s="1592">
        <f t="shared" si="6"/>
        <v>0</v>
      </c>
      <c r="I194" s="754" t="str">
        <f>IFERROR(VLOOKUP(B194,Mychart!$A$125:$B$911,2,FALSE),"-")</f>
        <v>AHMED HELAL - ERTIKAZ</v>
      </c>
      <c r="J194" s="753" t="str">
        <f t="shared" si="7"/>
        <v>-</v>
      </c>
      <c r="K194" s="1540">
        <f t="shared" si="8"/>
        <v>1900</v>
      </c>
      <c r="L194" s="757"/>
      <c r="M194" s="757"/>
      <c r="N194" s="757"/>
      <c r="O194" s="757"/>
      <c r="P194" s="757"/>
      <c r="Q194" s="757"/>
      <c r="R194" s="757"/>
      <c r="S194" s="757"/>
      <c r="T194" s="757"/>
      <c r="U194" s="757"/>
      <c r="V194" s="757"/>
      <c r="W194" s="757"/>
      <c r="X194" s="757"/>
      <c r="Y194" s="757"/>
      <c r="Z194" s="757"/>
      <c r="AA194" s="757"/>
      <c r="AB194" s="757"/>
      <c r="AC194" s="757"/>
      <c r="AD194" s="757"/>
      <c r="AE194" s="757"/>
      <c r="AF194" s="757"/>
      <c r="AG194" s="757"/>
      <c r="AH194" s="757"/>
      <c r="AI194" s="757"/>
      <c r="AJ194" s="757"/>
      <c r="AK194" s="757"/>
      <c r="AL194" s="757"/>
      <c r="AM194" s="757"/>
      <c r="AN194" s="757"/>
      <c r="AO194" s="757"/>
      <c r="AP194" s="757"/>
      <c r="AQ194" s="757"/>
      <c r="AR194" s="757"/>
      <c r="AS194" s="757"/>
      <c r="AT194" s="757"/>
      <c r="AU194" s="757"/>
      <c r="AV194" s="757"/>
      <c r="AW194" s="757"/>
      <c r="AX194" s="757"/>
      <c r="AY194" s="757"/>
      <c r="AZ194" s="75"/>
      <c r="BA194" s="2"/>
      <c r="BB194" s="2"/>
      <c r="BC194" s="2"/>
      <c r="BD194" s="2"/>
    </row>
    <row r="195" spans="1:56">
      <c r="A195" s="781">
        <v>2</v>
      </c>
      <c r="B195" s="782">
        <v>202</v>
      </c>
      <c r="C195" s="783"/>
      <c r="D195" s="783" t="s">
        <v>258</v>
      </c>
      <c r="E195" s="808">
        <v>1306</v>
      </c>
      <c r="F195" s="799"/>
      <c r="G195" s="799"/>
      <c r="H195" s="1592">
        <f t="shared" si="6"/>
        <v>0</v>
      </c>
      <c r="I195" s="754" t="str">
        <f>IFERROR(VLOOKUP(B195,Mychart!$A$125:$B$911,2,FALSE),"-")</f>
        <v>AHMED HELAL - ERTIKAZ</v>
      </c>
      <c r="J195" s="753" t="str">
        <f t="shared" si="7"/>
        <v>-</v>
      </c>
      <c r="K195" s="1540">
        <f t="shared" si="8"/>
        <v>1900</v>
      </c>
      <c r="L195" s="757"/>
      <c r="M195" s="757"/>
      <c r="N195" s="757"/>
      <c r="O195" s="757"/>
      <c r="P195" s="757"/>
      <c r="Q195" s="757"/>
      <c r="R195" s="757"/>
      <c r="S195" s="757"/>
      <c r="T195" s="757"/>
      <c r="U195" s="757"/>
      <c r="V195" s="757"/>
      <c r="W195" s="757"/>
      <c r="X195" s="757"/>
      <c r="Y195" s="757"/>
      <c r="Z195" s="757"/>
      <c r="AA195" s="757"/>
      <c r="AB195" s="757"/>
      <c r="AC195" s="757"/>
      <c r="AD195" s="757"/>
      <c r="AE195" s="757"/>
      <c r="AF195" s="757"/>
      <c r="AG195" s="757"/>
      <c r="AH195" s="757"/>
      <c r="AI195" s="757"/>
      <c r="AJ195" s="757"/>
      <c r="AK195" s="757"/>
      <c r="AL195" s="757"/>
      <c r="AM195" s="757"/>
      <c r="AN195" s="757"/>
      <c r="AO195" s="757"/>
      <c r="AP195" s="757"/>
      <c r="AQ195" s="757"/>
      <c r="AR195" s="757"/>
      <c r="AS195" s="757"/>
      <c r="AT195" s="757"/>
      <c r="AU195" s="757"/>
      <c r="AV195" s="757"/>
      <c r="AW195" s="757"/>
      <c r="AX195" s="757"/>
      <c r="AY195" s="757"/>
      <c r="AZ195" s="75"/>
      <c r="BA195" s="2"/>
      <c r="BB195" s="2"/>
      <c r="BC195" s="2"/>
      <c r="BD195" s="2"/>
    </row>
    <row r="196" spans="1:56">
      <c r="A196" s="781">
        <v>2</v>
      </c>
      <c r="B196" s="782">
        <v>202</v>
      </c>
      <c r="C196" s="783"/>
      <c r="D196" s="785" t="s">
        <v>178</v>
      </c>
      <c r="E196" s="808">
        <v>13625</v>
      </c>
      <c r="F196" s="799"/>
      <c r="G196" s="799"/>
      <c r="H196" s="1592">
        <f t="shared" si="6"/>
        <v>0</v>
      </c>
      <c r="I196" s="754" t="str">
        <f>IFERROR(VLOOKUP(B196,Mychart!$A$125:$B$911,2,FALSE),"-")</f>
        <v>AHMED HELAL - ERTIKAZ</v>
      </c>
      <c r="J196" s="753" t="str">
        <f t="shared" si="7"/>
        <v>-</v>
      </c>
      <c r="K196" s="1540">
        <f t="shared" si="8"/>
        <v>1900</v>
      </c>
      <c r="L196" s="757"/>
      <c r="M196" s="757"/>
      <c r="N196" s="757"/>
      <c r="O196" s="757"/>
      <c r="P196" s="757"/>
      <c r="Q196" s="757"/>
      <c r="R196" s="757"/>
      <c r="S196" s="757"/>
      <c r="T196" s="757"/>
      <c r="U196" s="757"/>
      <c r="V196" s="757"/>
      <c r="W196" s="757"/>
      <c r="X196" s="757"/>
      <c r="Y196" s="757"/>
      <c r="Z196" s="757"/>
      <c r="AA196" s="757"/>
      <c r="AB196" s="757"/>
      <c r="AC196" s="757"/>
      <c r="AD196" s="757"/>
      <c r="AE196" s="757"/>
      <c r="AF196" s="757"/>
      <c r="AG196" s="757"/>
      <c r="AH196" s="757"/>
      <c r="AI196" s="757"/>
      <c r="AJ196" s="757"/>
      <c r="AK196" s="757"/>
      <c r="AL196" s="757"/>
      <c r="AM196" s="757"/>
      <c r="AN196" s="757"/>
      <c r="AO196" s="757"/>
      <c r="AP196" s="757"/>
      <c r="AQ196" s="757"/>
      <c r="AR196" s="757"/>
      <c r="AS196" s="757"/>
      <c r="AT196" s="757"/>
      <c r="AU196" s="757"/>
      <c r="AV196" s="757"/>
      <c r="AW196" s="757"/>
      <c r="AX196" s="757"/>
      <c r="AY196" s="757"/>
      <c r="AZ196" s="75"/>
      <c r="BA196" s="2"/>
      <c r="BB196" s="2"/>
      <c r="BC196" s="2"/>
      <c r="BD196" s="2"/>
    </row>
    <row r="197" spans="1:56">
      <c r="A197" s="781">
        <v>2</v>
      </c>
      <c r="B197" s="782">
        <v>202</v>
      </c>
      <c r="C197" s="783"/>
      <c r="D197" s="783" t="s">
        <v>472</v>
      </c>
      <c r="E197" s="808">
        <v>95600</v>
      </c>
      <c r="F197" s="799"/>
      <c r="G197" s="799"/>
      <c r="H197" s="1592">
        <f t="shared" si="6"/>
        <v>0</v>
      </c>
      <c r="I197" s="754" t="str">
        <f>IFERROR(VLOOKUP(B197,Mychart!$A$125:$B$911,2,FALSE),"-")</f>
        <v>AHMED HELAL - ERTIKAZ</v>
      </c>
      <c r="J197" s="753" t="str">
        <f t="shared" si="7"/>
        <v>-</v>
      </c>
      <c r="K197" s="1540">
        <f t="shared" si="8"/>
        <v>1900</v>
      </c>
      <c r="L197" s="757"/>
      <c r="M197" s="757"/>
      <c r="N197" s="757"/>
      <c r="O197" s="757"/>
      <c r="P197" s="757"/>
      <c r="Q197" s="757"/>
      <c r="R197" s="757"/>
      <c r="S197" s="757"/>
      <c r="T197" s="757"/>
      <c r="U197" s="757"/>
      <c r="V197" s="757"/>
      <c r="W197" s="757"/>
      <c r="X197" s="757"/>
      <c r="Y197" s="757"/>
      <c r="Z197" s="757"/>
      <c r="AA197" s="757"/>
      <c r="AB197" s="757"/>
      <c r="AC197" s="757"/>
      <c r="AD197" s="757"/>
      <c r="AE197" s="757"/>
      <c r="AF197" s="757"/>
      <c r="AG197" s="757"/>
      <c r="AH197" s="757"/>
      <c r="AI197" s="757"/>
      <c r="AJ197" s="757"/>
      <c r="AK197" s="757"/>
      <c r="AL197" s="757"/>
      <c r="AM197" s="757"/>
      <c r="AN197" s="757"/>
      <c r="AO197" s="757"/>
      <c r="AP197" s="757"/>
      <c r="AQ197" s="757"/>
      <c r="AR197" s="757"/>
      <c r="AS197" s="757"/>
      <c r="AT197" s="757"/>
      <c r="AU197" s="757"/>
      <c r="AV197" s="757"/>
      <c r="AW197" s="757"/>
      <c r="AX197" s="757"/>
      <c r="AY197" s="757"/>
      <c r="AZ197" s="75"/>
      <c r="BA197" s="2"/>
      <c r="BB197" s="2"/>
      <c r="BC197" s="2"/>
      <c r="BD197" s="2"/>
    </row>
    <row r="198" spans="1:56">
      <c r="A198" s="781">
        <v>2</v>
      </c>
      <c r="B198" s="782">
        <v>202</v>
      </c>
      <c r="C198" s="783"/>
      <c r="D198" s="783" t="s">
        <v>258</v>
      </c>
      <c r="E198" s="808">
        <v>3540</v>
      </c>
      <c r="F198" s="799"/>
      <c r="G198" s="799"/>
      <c r="H198" s="1592">
        <f t="shared" si="6"/>
        <v>0</v>
      </c>
      <c r="I198" s="754" t="str">
        <f>IFERROR(VLOOKUP(B198,Mychart!$A$125:$B$911,2,FALSE),"-")</f>
        <v>AHMED HELAL - ERTIKAZ</v>
      </c>
      <c r="J198" s="753" t="str">
        <f t="shared" si="7"/>
        <v>-</v>
      </c>
      <c r="K198" s="1540">
        <f t="shared" si="8"/>
        <v>1900</v>
      </c>
      <c r="L198" s="757"/>
      <c r="M198" s="757"/>
      <c r="N198" s="757"/>
      <c r="O198" s="757"/>
      <c r="P198" s="757"/>
      <c r="Q198" s="757"/>
      <c r="R198" s="757"/>
      <c r="S198" s="757"/>
      <c r="T198" s="757"/>
      <c r="U198" s="757"/>
      <c r="V198" s="757"/>
      <c r="W198" s="757"/>
      <c r="X198" s="757"/>
      <c r="Y198" s="757"/>
      <c r="Z198" s="757"/>
      <c r="AA198" s="757"/>
      <c r="AB198" s="757"/>
      <c r="AC198" s="757"/>
      <c r="AD198" s="757"/>
      <c r="AE198" s="757"/>
      <c r="AF198" s="757"/>
      <c r="AG198" s="757"/>
      <c r="AH198" s="757"/>
      <c r="AI198" s="757"/>
      <c r="AJ198" s="757"/>
      <c r="AK198" s="757"/>
      <c r="AL198" s="757"/>
      <c r="AM198" s="757"/>
      <c r="AN198" s="757"/>
      <c r="AO198" s="757"/>
      <c r="AP198" s="757"/>
      <c r="AQ198" s="757"/>
      <c r="AR198" s="757"/>
      <c r="AS198" s="757"/>
      <c r="AT198" s="757"/>
      <c r="AU198" s="757"/>
      <c r="AV198" s="757"/>
      <c r="AW198" s="757"/>
      <c r="AX198" s="757"/>
      <c r="AY198" s="757"/>
      <c r="AZ198" s="75"/>
      <c r="BA198" s="2"/>
      <c r="BB198" s="2"/>
      <c r="BC198" s="2"/>
      <c r="BD198" s="2"/>
    </row>
    <row r="199" spans="1:56">
      <c r="A199" s="781">
        <v>2</v>
      </c>
      <c r="B199" s="782">
        <v>202</v>
      </c>
      <c r="C199" s="783"/>
      <c r="D199" s="783" t="s">
        <v>258</v>
      </c>
      <c r="E199" s="808">
        <v>2112</v>
      </c>
      <c r="F199" s="799"/>
      <c r="G199" s="799"/>
      <c r="H199" s="1592">
        <f t="shared" si="6"/>
        <v>0</v>
      </c>
      <c r="I199" s="754" t="str">
        <f>IFERROR(VLOOKUP(B199,Mychart!$A$125:$B$911,2,FALSE),"-")</f>
        <v>AHMED HELAL - ERTIKAZ</v>
      </c>
      <c r="J199" s="753" t="str">
        <f t="shared" si="7"/>
        <v>-</v>
      </c>
      <c r="K199" s="1540">
        <f t="shared" si="8"/>
        <v>1900</v>
      </c>
      <c r="L199" s="757"/>
      <c r="M199" s="757"/>
      <c r="N199" s="757"/>
      <c r="O199" s="757"/>
      <c r="P199" s="757"/>
      <c r="Q199" s="757"/>
      <c r="R199" s="757"/>
      <c r="S199" s="757"/>
      <c r="T199" s="757"/>
      <c r="U199" s="757"/>
      <c r="V199" s="757"/>
      <c r="W199" s="757"/>
      <c r="X199" s="757"/>
      <c r="Y199" s="757"/>
      <c r="Z199" s="757"/>
      <c r="AA199" s="757"/>
      <c r="AB199" s="757"/>
      <c r="AC199" s="757"/>
      <c r="AD199" s="757"/>
      <c r="AE199" s="757"/>
      <c r="AF199" s="757"/>
      <c r="AG199" s="757"/>
      <c r="AH199" s="757"/>
      <c r="AI199" s="757"/>
      <c r="AJ199" s="757"/>
      <c r="AK199" s="757"/>
      <c r="AL199" s="757"/>
      <c r="AM199" s="757"/>
      <c r="AN199" s="757"/>
      <c r="AO199" s="757"/>
      <c r="AP199" s="757"/>
      <c r="AQ199" s="757"/>
      <c r="AR199" s="757"/>
      <c r="AS199" s="757"/>
      <c r="AT199" s="757"/>
      <c r="AU199" s="757"/>
      <c r="AV199" s="757"/>
      <c r="AW199" s="757"/>
      <c r="AX199" s="757"/>
      <c r="AY199" s="757"/>
      <c r="AZ199" s="75"/>
      <c r="BA199" s="2"/>
      <c r="BB199" s="2"/>
      <c r="BC199" s="2"/>
      <c r="BD199" s="2"/>
    </row>
    <row r="200" spans="1:56">
      <c r="A200" s="781">
        <v>2</v>
      </c>
      <c r="B200" s="782">
        <v>202</v>
      </c>
      <c r="C200" s="783"/>
      <c r="D200" s="783" t="s">
        <v>258</v>
      </c>
      <c r="E200" s="808">
        <v>274</v>
      </c>
      <c r="F200" s="799"/>
      <c r="G200" s="799"/>
      <c r="H200" s="1592">
        <f t="shared" si="6"/>
        <v>0</v>
      </c>
      <c r="I200" s="754" t="str">
        <f>IFERROR(VLOOKUP(B200,Mychart!$A$125:$B$911,2,FALSE),"-")</f>
        <v>AHMED HELAL - ERTIKAZ</v>
      </c>
      <c r="J200" s="753" t="str">
        <f t="shared" si="7"/>
        <v>-</v>
      </c>
      <c r="K200" s="1540">
        <f t="shared" si="8"/>
        <v>1900</v>
      </c>
      <c r="L200" s="757"/>
      <c r="M200" s="757"/>
      <c r="N200" s="757"/>
      <c r="O200" s="757"/>
      <c r="P200" s="757"/>
      <c r="Q200" s="757"/>
      <c r="R200" s="757"/>
      <c r="S200" s="757"/>
      <c r="T200" s="757"/>
      <c r="U200" s="757"/>
      <c r="V200" s="757"/>
      <c r="W200" s="757"/>
      <c r="X200" s="757"/>
      <c r="Y200" s="757"/>
      <c r="Z200" s="757"/>
      <c r="AA200" s="757"/>
      <c r="AB200" s="757"/>
      <c r="AC200" s="757"/>
      <c r="AD200" s="757"/>
      <c r="AE200" s="757"/>
      <c r="AF200" s="757"/>
      <c r="AG200" s="757"/>
      <c r="AH200" s="757"/>
      <c r="AI200" s="757"/>
      <c r="AJ200" s="757"/>
      <c r="AK200" s="757"/>
      <c r="AL200" s="757"/>
      <c r="AM200" s="757"/>
      <c r="AN200" s="757"/>
      <c r="AO200" s="757"/>
      <c r="AP200" s="757"/>
      <c r="AQ200" s="757"/>
      <c r="AR200" s="757"/>
      <c r="AS200" s="757"/>
      <c r="AT200" s="757"/>
      <c r="AU200" s="757"/>
      <c r="AV200" s="757"/>
      <c r="AW200" s="757"/>
      <c r="AX200" s="757"/>
      <c r="AY200" s="757"/>
      <c r="AZ200" s="75"/>
      <c r="BA200" s="2"/>
      <c r="BB200" s="2"/>
      <c r="BC200" s="2"/>
      <c r="BD200" s="2"/>
    </row>
    <row r="201" spans="1:56">
      <c r="A201" s="781">
        <v>2</v>
      </c>
      <c r="B201" s="782">
        <v>202</v>
      </c>
      <c r="C201" s="783"/>
      <c r="D201" s="783" t="s">
        <v>258</v>
      </c>
      <c r="E201" s="808">
        <v>88</v>
      </c>
      <c r="F201" s="799"/>
      <c r="G201" s="799"/>
      <c r="H201" s="1592">
        <f t="shared" si="6"/>
        <v>0</v>
      </c>
      <c r="I201" s="754" t="str">
        <f>IFERROR(VLOOKUP(B201,Mychart!$A$125:$B$911,2,FALSE),"-")</f>
        <v>AHMED HELAL - ERTIKAZ</v>
      </c>
      <c r="J201" s="753" t="str">
        <f t="shared" si="7"/>
        <v>-</v>
      </c>
      <c r="K201" s="1540">
        <f t="shared" si="8"/>
        <v>1900</v>
      </c>
      <c r="L201" s="757"/>
      <c r="M201" s="757"/>
      <c r="N201" s="757"/>
      <c r="O201" s="757"/>
      <c r="P201" s="757"/>
      <c r="Q201" s="757"/>
      <c r="R201" s="757"/>
      <c r="S201" s="757"/>
      <c r="T201" s="757"/>
      <c r="U201" s="757"/>
      <c r="V201" s="757"/>
      <c r="W201" s="757"/>
      <c r="X201" s="757"/>
      <c r="Y201" s="757"/>
      <c r="Z201" s="757"/>
      <c r="AA201" s="757"/>
      <c r="AB201" s="757"/>
      <c r="AC201" s="757"/>
      <c r="AD201" s="757"/>
      <c r="AE201" s="757"/>
      <c r="AF201" s="757"/>
      <c r="AG201" s="757"/>
      <c r="AH201" s="757"/>
      <c r="AI201" s="757"/>
      <c r="AJ201" s="757"/>
      <c r="AK201" s="757"/>
      <c r="AL201" s="757"/>
      <c r="AM201" s="757"/>
      <c r="AN201" s="757"/>
      <c r="AO201" s="757"/>
      <c r="AP201" s="757"/>
      <c r="AQ201" s="757"/>
      <c r="AR201" s="757"/>
      <c r="AS201" s="757"/>
      <c r="AT201" s="757"/>
      <c r="AU201" s="757"/>
      <c r="AV201" s="757"/>
      <c r="AW201" s="757"/>
      <c r="AX201" s="757"/>
      <c r="AY201" s="757"/>
      <c r="AZ201" s="75"/>
      <c r="BA201" s="2"/>
      <c r="BB201" s="2"/>
      <c r="BC201" s="2"/>
      <c r="BD201" s="2"/>
    </row>
    <row r="202" spans="1:56">
      <c r="A202" s="781">
        <v>2</v>
      </c>
      <c r="B202" s="782">
        <v>202</v>
      </c>
      <c r="C202" s="783"/>
      <c r="D202" s="785" t="s">
        <v>178</v>
      </c>
      <c r="E202" s="808">
        <v>7832</v>
      </c>
      <c r="F202" s="799"/>
      <c r="G202" s="799"/>
      <c r="H202" s="1592">
        <f t="shared" si="6"/>
        <v>0</v>
      </c>
      <c r="I202" s="754" t="str">
        <f>IFERROR(VLOOKUP(B202,Mychart!$A$125:$B$911,2,FALSE),"-")</f>
        <v>AHMED HELAL - ERTIKAZ</v>
      </c>
      <c r="J202" s="753" t="str">
        <f t="shared" si="7"/>
        <v>-</v>
      </c>
      <c r="K202" s="1540">
        <f t="shared" si="8"/>
        <v>1900</v>
      </c>
      <c r="L202" s="757"/>
      <c r="M202" s="757"/>
      <c r="N202" s="757"/>
      <c r="O202" s="757"/>
      <c r="P202" s="757"/>
      <c r="Q202" s="757"/>
      <c r="R202" s="757"/>
      <c r="S202" s="757"/>
      <c r="T202" s="757"/>
      <c r="U202" s="757"/>
      <c r="V202" s="757"/>
      <c r="W202" s="757"/>
      <c r="X202" s="757"/>
      <c r="Y202" s="757"/>
      <c r="Z202" s="757"/>
      <c r="AA202" s="757"/>
      <c r="AB202" s="757"/>
      <c r="AC202" s="757"/>
      <c r="AD202" s="757"/>
      <c r="AE202" s="757"/>
      <c r="AF202" s="757"/>
      <c r="AG202" s="757"/>
      <c r="AH202" s="757"/>
      <c r="AI202" s="757"/>
      <c r="AJ202" s="757"/>
      <c r="AK202" s="757"/>
      <c r="AL202" s="757"/>
      <c r="AM202" s="757"/>
      <c r="AN202" s="757"/>
      <c r="AO202" s="757"/>
      <c r="AP202" s="757"/>
      <c r="AQ202" s="757"/>
      <c r="AR202" s="757"/>
      <c r="AS202" s="757"/>
      <c r="AT202" s="757"/>
      <c r="AU202" s="757"/>
      <c r="AV202" s="757"/>
      <c r="AW202" s="757"/>
      <c r="AX202" s="757"/>
      <c r="AY202" s="757"/>
      <c r="AZ202" s="75"/>
      <c r="BA202" s="2"/>
      <c r="BB202" s="2"/>
      <c r="BC202" s="2"/>
      <c r="BD202" s="2"/>
    </row>
    <row r="203" spans="1:56">
      <c r="A203" s="781">
        <v>2</v>
      </c>
      <c r="B203" s="782">
        <v>202</v>
      </c>
      <c r="C203" s="783"/>
      <c r="D203" s="783" t="s">
        <v>258</v>
      </c>
      <c r="E203" s="808">
        <v>372</v>
      </c>
      <c r="F203" s="799"/>
      <c r="G203" s="799"/>
      <c r="H203" s="1592">
        <f t="shared" ref="H203:H266" si="9">F203+G203</f>
        <v>0</v>
      </c>
      <c r="I203" s="754" t="str">
        <f>IFERROR(VLOOKUP(B203,Mychart!$A$125:$B$911,2,FALSE),"-")</f>
        <v>AHMED HELAL - ERTIKAZ</v>
      </c>
      <c r="J203" s="753" t="str">
        <f t="shared" ref="J203:J266" si="10">IF(C203&lt;&gt;"", MONTH(C203),"-")</f>
        <v>-</v>
      </c>
      <c r="K203" s="1540">
        <f t="shared" ref="K203:K266" si="11">YEAR(C203)</f>
        <v>1900</v>
      </c>
      <c r="L203" s="757"/>
      <c r="M203" s="757"/>
      <c r="N203" s="757"/>
      <c r="O203" s="757"/>
      <c r="P203" s="757"/>
      <c r="Q203" s="757"/>
      <c r="R203" s="757"/>
      <c r="S203" s="757"/>
      <c r="T203" s="757"/>
      <c r="U203" s="757"/>
      <c r="V203" s="757"/>
      <c r="W203" s="757"/>
      <c r="X203" s="757"/>
      <c r="Y203" s="757"/>
      <c r="Z203" s="757"/>
      <c r="AA203" s="757"/>
      <c r="AB203" s="757"/>
      <c r="AC203" s="757"/>
      <c r="AD203" s="757"/>
      <c r="AE203" s="757"/>
      <c r="AF203" s="757"/>
      <c r="AG203" s="757"/>
      <c r="AH203" s="757"/>
      <c r="AI203" s="757"/>
      <c r="AJ203" s="757"/>
      <c r="AK203" s="757"/>
      <c r="AL203" s="757"/>
      <c r="AM203" s="757"/>
      <c r="AN203" s="757"/>
      <c r="AO203" s="757"/>
      <c r="AP203" s="757"/>
      <c r="AQ203" s="757"/>
      <c r="AR203" s="757"/>
      <c r="AS203" s="757"/>
      <c r="AT203" s="757"/>
      <c r="AU203" s="757"/>
      <c r="AV203" s="757"/>
      <c r="AW203" s="757"/>
      <c r="AX203" s="757"/>
      <c r="AY203" s="757"/>
      <c r="AZ203" s="75"/>
      <c r="BA203" s="2"/>
      <c r="BB203" s="2"/>
      <c r="BC203" s="2"/>
      <c r="BD203" s="2"/>
    </row>
    <row r="204" spans="1:56">
      <c r="A204" s="781">
        <v>2</v>
      </c>
      <c r="B204" s="782">
        <v>202</v>
      </c>
      <c r="C204" s="783"/>
      <c r="D204" s="783" t="s">
        <v>258</v>
      </c>
      <c r="E204" s="808">
        <v>325</v>
      </c>
      <c r="F204" s="799"/>
      <c r="G204" s="799"/>
      <c r="H204" s="1592">
        <f t="shared" si="9"/>
        <v>0</v>
      </c>
      <c r="I204" s="754" t="str">
        <f>IFERROR(VLOOKUP(B204,Mychart!$A$125:$B$911,2,FALSE),"-")</f>
        <v>AHMED HELAL - ERTIKAZ</v>
      </c>
      <c r="J204" s="753" t="str">
        <f t="shared" si="10"/>
        <v>-</v>
      </c>
      <c r="K204" s="1540">
        <f t="shared" si="11"/>
        <v>1900</v>
      </c>
      <c r="L204" s="757"/>
      <c r="M204" s="757"/>
      <c r="N204" s="757"/>
      <c r="O204" s="757"/>
      <c r="P204" s="757"/>
      <c r="Q204" s="757"/>
      <c r="R204" s="757"/>
      <c r="S204" s="757"/>
      <c r="T204" s="757"/>
      <c r="U204" s="757"/>
      <c r="V204" s="757"/>
      <c r="W204" s="757"/>
      <c r="X204" s="757"/>
      <c r="Y204" s="757"/>
      <c r="Z204" s="757"/>
      <c r="AA204" s="757"/>
      <c r="AB204" s="757"/>
      <c r="AC204" s="757"/>
      <c r="AD204" s="757"/>
      <c r="AE204" s="757"/>
      <c r="AF204" s="757"/>
      <c r="AG204" s="757"/>
      <c r="AH204" s="757"/>
      <c r="AI204" s="757"/>
      <c r="AJ204" s="757"/>
      <c r="AK204" s="757"/>
      <c r="AL204" s="757"/>
      <c r="AM204" s="757"/>
      <c r="AN204" s="757"/>
      <c r="AO204" s="757"/>
      <c r="AP204" s="757"/>
      <c r="AQ204" s="757"/>
      <c r="AR204" s="757"/>
      <c r="AS204" s="757"/>
      <c r="AT204" s="757"/>
      <c r="AU204" s="757"/>
      <c r="AV204" s="757"/>
      <c r="AW204" s="757"/>
      <c r="AX204" s="757"/>
      <c r="AY204" s="757"/>
      <c r="AZ204" s="75"/>
      <c r="BA204" s="2"/>
      <c r="BB204" s="2"/>
      <c r="BC204" s="2"/>
      <c r="BD204" s="2"/>
    </row>
    <row r="205" spans="1:56">
      <c r="A205" s="781">
        <v>2</v>
      </c>
      <c r="B205" s="782">
        <v>202</v>
      </c>
      <c r="C205" s="783"/>
      <c r="D205" s="785" t="s">
        <v>178</v>
      </c>
      <c r="E205" s="808">
        <v>278</v>
      </c>
      <c r="F205" s="799"/>
      <c r="G205" s="799"/>
      <c r="H205" s="1592">
        <f t="shared" si="9"/>
        <v>0</v>
      </c>
      <c r="I205" s="754" t="str">
        <f>IFERROR(VLOOKUP(B205,Mychart!$A$125:$B$911,2,FALSE),"-")</f>
        <v>AHMED HELAL - ERTIKAZ</v>
      </c>
      <c r="J205" s="753" t="str">
        <f t="shared" si="10"/>
        <v>-</v>
      </c>
      <c r="K205" s="1540">
        <f t="shared" si="11"/>
        <v>1900</v>
      </c>
      <c r="L205" s="757"/>
      <c r="M205" s="757"/>
      <c r="N205" s="757"/>
      <c r="O205" s="757"/>
      <c r="P205" s="757"/>
      <c r="Q205" s="757"/>
      <c r="R205" s="757"/>
      <c r="S205" s="757"/>
      <c r="T205" s="757"/>
      <c r="U205" s="757"/>
      <c r="V205" s="757"/>
      <c r="W205" s="757"/>
      <c r="X205" s="757"/>
      <c r="Y205" s="757"/>
      <c r="Z205" s="757"/>
      <c r="AA205" s="757"/>
      <c r="AB205" s="757"/>
      <c r="AC205" s="757"/>
      <c r="AD205" s="757"/>
      <c r="AE205" s="757"/>
      <c r="AF205" s="757"/>
      <c r="AG205" s="757"/>
      <c r="AH205" s="757"/>
      <c r="AI205" s="757"/>
      <c r="AJ205" s="757"/>
      <c r="AK205" s="757"/>
      <c r="AL205" s="757"/>
      <c r="AM205" s="757"/>
      <c r="AN205" s="757"/>
      <c r="AO205" s="757"/>
      <c r="AP205" s="757"/>
      <c r="AQ205" s="757"/>
      <c r="AR205" s="757"/>
      <c r="AS205" s="757"/>
      <c r="AT205" s="757"/>
      <c r="AU205" s="757"/>
      <c r="AV205" s="757"/>
      <c r="AW205" s="757"/>
      <c r="AX205" s="757"/>
      <c r="AY205" s="757"/>
      <c r="AZ205" s="75"/>
      <c r="BA205" s="2"/>
      <c r="BB205" s="2"/>
      <c r="BC205" s="2"/>
      <c r="BD205" s="2"/>
    </row>
    <row r="206" spans="1:56">
      <c r="A206" s="781">
        <v>2</v>
      </c>
      <c r="B206" s="782">
        <v>202</v>
      </c>
      <c r="C206" s="783"/>
      <c r="D206" s="785" t="s">
        <v>380</v>
      </c>
      <c r="E206" s="808">
        <v>393</v>
      </c>
      <c r="F206" s="799"/>
      <c r="G206" s="799"/>
      <c r="H206" s="1592">
        <f t="shared" si="9"/>
        <v>0</v>
      </c>
      <c r="I206" s="754" t="str">
        <f>IFERROR(VLOOKUP(B206,Mychart!$A$125:$B$911,2,FALSE),"-")</f>
        <v>AHMED HELAL - ERTIKAZ</v>
      </c>
      <c r="J206" s="753" t="str">
        <f t="shared" si="10"/>
        <v>-</v>
      </c>
      <c r="K206" s="1540">
        <f t="shared" si="11"/>
        <v>1900</v>
      </c>
      <c r="L206" s="757"/>
      <c r="M206" s="757"/>
      <c r="N206" s="757"/>
      <c r="O206" s="757"/>
      <c r="P206" s="757"/>
      <c r="Q206" s="757"/>
      <c r="R206" s="757"/>
      <c r="S206" s="757"/>
      <c r="T206" s="757"/>
      <c r="U206" s="757"/>
      <c r="V206" s="757"/>
      <c r="W206" s="757"/>
      <c r="X206" s="757"/>
      <c r="Y206" s="757"/>
      <c r="Z206" s="757"/>
      <c r="AA206" s="757"/>
      <c r="AB206" s="757"/>
      <c r="AC206" s="757"/>
      <c r="AD206" s="757"/>
      <c r="AE206" s="757"/>
      <c r="AF206" s="757"/>
      <c r="AG206" s="757"/>
      <c r="AH206" s="757"/>
      <c r="AI206" s="757"/>
      <c r="AJ206" s="757"/>
      <c r="AK206" s="757"/>
      <c r="AL206" s="757"/>
      <c r="AM206" s="757"/>
      <c r="AN206" s="757"/>
      <c r="AO206" s="757"/>
      <c r="AP206" s="757"/>
      <c r="AQ206" s="757"/>
      <c r="AR206" s="757"/>
      <c r="AS206" s="757"/>
      <c r="AT206" s="757"/>
      <c r="AU206" s="757"/>
      <c r="AV206" s="757"/>
      <c r="AW206" s="757"/>
      <c r="AX206" s="757"/>
      <c r="AY206" s="757"/>
      <c r="AZ206" s="75"/>
      <c r="BA206" s="2"/>
      <c r="BB206" s="2"/>
      <c r="BC206" s="2"/>
      <c r="BD206" s="2"/>
    </row>
    <row r="207" spans="1:56">
      <c r="A207" s="781">
        <v>2</v>
      </c>
      <c r="B207" s="782">
        <v>202</v>
      </c>
      <c r="C207" s="783"/>
      <c r="D207" s="785" t="s">
        <v>380</v>
      </c>
      <c r="E207" s="808">
        <v>1913</v>
      </c>
      <c r="F207" s="799"/>
      <c r="G207" s="799"/>
      <c r="H207" s="1592">
        <f t="shared" si="9"/>
        <v>0</v>
      </c>
      <c r="I207" s="754" t="str">
        <f>IFERROR(VLOOKUP(B207,Mychart!$A$125:$B$911,2,FALSE),"-")</f>
        <v>AHMED HELAL - ERTIKAZ</v>
      </c>
      <c r="J207" s="753" t="str">
        <f t="shared" si="10"/>
        <v>-</v>
      </c>
      <c r="K207" s="1540">
        <f t="shared" si="11"/>
        <v>1900</v>
      </c>
      <c r="L207" s="757"/>
      <c r="M207" s="757"/>
      <c r="N207" s="757"/>
      <c r="O207" s="757"/>
      <c r="P207" s="757"/>
      <c r="Q207" s="757"/>
      <c r="R207" s="757"/>
      <c r="S207" s="757"/>
      <c r="T207" s="757"/>
      <c r="U207" s="757"/>
      <c r="V207" s="757"/>
      <c r="W207" s="757"/>
      <c r="X207" s="757"/>
      <c r="Y207" s="757"/>
      <c r="Z207" s="757"/>
      <c r="AA207" s="757"/>
      <c r="AB207" s="757"/>
      <c r="AC207" s="757"/>
      <c r="AD207" s="757"/>
      <c r="AE207" s="757"/>
      <c r="AF207" s="757"/>
      <c r="AG207" s="757"/>
      <c r="AH207" s="757"/>
      <c r="AI207" s="757"/>
      <c r="AJ207" s="757"/>
      <c r="AK207" s="757"/>
      <c r="AL207" s="757"/>
      <c r="AM207" s="757"/>
      <c r="AN207" s="757"/>
      <c r="AO207" s="757"/>
      <c r="AP207" s="757"/>
      <c r="AQ207" s="757"/>
      <c r="AR207" s="757"/>
      <c r="AS207" s="757"/>
      <c r="AT207" s="757"/>
      <c r="AU207" s="757"/>
      <c r="AV207" s="757"/>
      <c r="AW207" s="757"/>
      <c r="AX207" s="757"/>
      <c r="AY207" s="757"/>
      <c r="AZ207" s="75"/>
      <c r="BA207" s="2"/>
      <c r="BB207" s="2"/>
      <c r="BC207" s="2"/>
      <c r="BD207" s="2"/>
    </row>
    <row r="208" spans="1:56">
      <c r="A208" s="781">
        <v>2</v>
      </c>
      <c r="B208" s="782">
        <v>202</v>
      </c>
      <c r="C208" s="783">
        <v>44996</v>
      </c>
      <c r="D208" s="785" t="s">
        <v>474</v>
      </c>
      <c r="E208" s="808">
        <v>5200</v>
      </c>
      <c r="F208" s="799"/>
      <c r="G208" s="799"/>
      <c r="H208" s="1592">
        <f t="shared" si="9"/>
        <v>0</v>
      </c>
      <c r="I208" s="754" t="str">
        <f>IFERROR(VLOOKUP(B208,Mychart!$A$125:$B$911,2,FALSE),"-")</f>
        <v>AHMED HELAL - ERTIKAZ</v>
      </c>
      <c r="J208" s="753">
        <f t="shared" si="10"/>
        <v>3</v>
      </c>
      <c r="K208" s="1540">
        <f t="shared" si="11"/>
        <v>2023</v>
      </c>
      <c r="L208" s="757"/>
      <c r="M208" s="757"/>
      <c r="N208" s="757"/>
      <c r="O208" s="757"/>
      <c r="P208" s="757"/>
      <c r="Q208" s="757"/>
      <c r="R208" s="757"/>
      <c r="S208" s="757"/>
      <c r="T208" s="757"/>
      <c r="U208" s="757"/>
      <c r="V208" s="757"/>
      <c r="W208" s="757"/>
      <c r="X208" s="757"/>
      <c r="Y208" s="757"/>
      <c r="Z208" s="757"/>
      <c r="AA208" s="757"/>
      <c r="AB208" s="757"/>
      <c r="AC208" s="757"/>
      <c r="AD208" s="757"/>
      <c r="AE208" s="757"/>
      <c r="AF208" s="757"/>
      <c r="AG208" s="757"/>
      <c r="AH208" s="757"/>
      <c r="AI208" s="757"/>
      <c r="AJ208" s="757"/>
      <c r="AK208" s="757"/>
      <c r="AL208" s="757"/>
      <c r="AM208" s="757"/>
      <c r="AN208" s="757"/>
      <c r="AO208" s="757"/>
      <c r="AP208" s="757"/>
      <c r="AQ208" s="757"/>
      <c r="AR208" s="757"/>
      <c r="AS208" s="757"/>
      <c r="AT208" s="757"/>
      <c r="AU208" s="757"/>
      <c r="AV208" s="757"/>
      <c r="AW208" s="757"/>
      <c r="AX208" s="757"/>
      <c r="AY208" s="757"/>
      <c r="AZ208" s="75"/>
      <c r="BA208" s="2"/>
      <c r="BB208" s="2"/>
      <c r="BC208" s="2"/>
      <c r="BD208" s="2"/>
    </row>
    <row r="209" spans="1:56">
      <c r="A209" s="781">
        <v>2</v>
      </c>
      <c r="B209" s="782">
        <v>202</v>
      </c>
      <c r="C209" s="783"/>
      <c r="D209" s="785" t="s">
        <v>178</v>
      </c>
      <c r="E209" s="808">
        <v>7287</v>
      </c>
      <c r="F209" s="799"/>
      <c r="G209" s="799"/>
      <c r="H209" s="1592">
        <f t="shared" si="9"/>
        <v>0</v>
      </c>
      <c r="I209" s="754" t="str">
        <f>IFERROR(VLOOKUP(B209,Mychart!$A$125:$B$911,2,FALSE),"-")</f>
        <v>AHMED HELAL - ERTIKAZ</v>
      </c>
      <c r="J209" s="753" t="str">
        <f t="shared" si="10"/>
        <v>-</v>
      </c>
      <c r="K209" s="1540">
        <f t="shared" si="11"/>
        <v>1900</v>
      </c>
      <c r="L209" s="757"/>
      <c r="M209" s="757"/>
      <c r="N209" s="757"/>
      <c r="O209" s="757"/>
      <c r="P209" s="757"/>
      <c r="Q209" s="757"/>
      <c r="R209" s="757"/>
      <c r="S209" s="757"/>
      <c r="T209" s="757"/>
      <c r="U209" s="757"/>
      <c r="V209" s="757"/>
      <c r="W209" s="757"/>
      <c r="X209" s="757"/>
      <c r="Y209" s="757"/>
      <c r="Z209" s="757"/>
      <c r="AA209" s="757"/>
      <c r="AB209" s="757"/>
      <c r="AC209" s="757"/>
      <c r="AD209" s="757"/>
      <c r="AE209" s="757"/>
      <c r="AF209" s="757"/>
      <c r="AG209" s="757"/>
      <c r="AH209" s="757"/>
      <c r="AI209" s="757"/>
      <c r="AJ209" s="757"/>
      <c r="AK209" s="757"/>
      <c r="AL209" s="757"/>
      <c r="AM209" s="757"/>
      <c r="AN209" s="757"/>
      <c r="AO209" s="757"/>
      <c r="AP209" s="757"/>
      <c r="AQ209" s="757"/>
      <c r="AR209" s="757"/>
      <c r="AS209" s="757"/>
      <c r="AT209" s="757"/>
      <c r="AU209" s="757"/>
      <c r="AV209" s="757"/>
      <c r="AW209" s="757"/>
      <c r="AX209" s="757"/>
      <c r="AY209" s="757"/>
      <c r="AZ209" s="75"/>
      <c r="BA209" s="2"/>
      <c r="BB209" s="2"/>
      <c r="BC209" s="2"/>
      <c r="BD209" s="2"/>
    </row>
    <row r="210" spans="1:56">
      <c r="A210" s="781">
        <v>2</v>
      </c>
      <c r="B210" s="782">
        <v>202</v>
      </c>
      <c r="C210" s="783"/>
      <c r="D210" s="785" t="s">
        <v>178</v>
      </c>
      <c r="E210" s="808">
        <v>4072</v>
      </c>
      <c r="F210" s="799"/>
      <c r="G210" s="799"/>
      <c r="H210" s="1592">
        <f t="shared" si="9"/>
        <v>0</v>
      </c>
      <c r="I210" s="754" t="str">
        <f>IFERROR(VLOOKUP(B210,Mychart!$A$125:$B$911,2,FALSE),"-")</f>
        <v>AHMED HELAL - ERTIKAZ</v>
      </c>
      <c r="J210" s="753" t="str">
        <f t="shared" si="10"/>
        <v>-</v>
      </c>
      <c r="K210" s="1540">
        <f t="shared" si="11"/>
        <v>1900</v>
      </c>
      <c r="L210" s="757"/>
      <c r="M210" s="757"/>
      <c r="N210" s="757"/>
      <c r="O210" s="757"/>
      <c r="P210" s="757"/>
      <c r="Q210" s="757"/>
      <c r="R210" s="757"/>
      <c r="S210" s="757"/>
      <c r="T210" s="757"/>
      <c r="U210" s="757"/>
      <c r="V210" s="757"/>
      <c r="W210" s="757"/>
      <c r="X210" s="757"/>
      <c r="Y210" s="757"/>
      <c r="Z210" s="757"/>
      <c r="AA210" s="757"/>
      <c r="AB210" s="757"/>
      <c r="AC210" s="757"/>
      <c r="AD210" s="757"/>
      <c r="AE210" s="757"/>
      <c r="AF210" s="757"/>
      <c r="AG210" s="757"/>
      <c r="AH210" s="757"/>
      <c r="AI210" s="757"/>
      <c r="AJ210" s="757"/>
      <c r="AK210" s="757"/>
      <c r="AL210" s="757"/>
      <c r="AM210" s="757"/>
      <c r="AN210" s="757"/>
      <c r="AO210" s="757"/>
      <c r="AP210" s="757"/>
      <c r="AQ210" s="757"/>
      <c r="AR210" s="757"/>
      <c r="AS210" s="757"/>
      <c r="AT210" s="757"/>
      <c r="AU210" s="757"/>
      <c r="AV210" s="757"/>
      <c r="AW210" s="757"/>
      <c r="AX210" s="757"/>
      <c r="AY210" s="757"/>
      <c r="AZ210" s="75"/>
      <c r="BA210" s="2"/>
      <c r="BB210" s="2"/>
      <c r="BC210" s="2"/>
      <c r="BD210" s="2"/>
    </row>
    <row r="211" spans="1:56">
      <c r="A211" s="781">
        <v>2</v>
      </c>
      <c r="B211" s="782">
        <v>202</v>
      </c>
      <c r="C211" s="783"/>
      <c r="D211" s="785" t="s">
        <v>380</v>
      </c>
      <c r="E211" s="808">
        <v>2010</v>
      </c>
      <c r="F211" s="799"/>
      <c r="G211" s="799"/>
      <c r="H211" s="1592">
        <f t="shared" si="9"/>
        <v>0</v>
      </c>
      <c r="I211" s="754" t="str">
        <f>IFERROR(VLOOKUP(B211,Mychart!$A$125:$B$911,2,FALSE),"-")</f>
        <v>AHMED HELAL - ERTIKAZ</v>
      </c>
      <c r="J211" s="753" t="str">
        <f t="shared" si="10"/>
        <v>-</v>
      </c>
      <c r="K211" s="1540">
        <f t="shared" si="11"/>
        <v>1900</v>
      </c>
      <c r="L211" s="757"/>
      <c r="M211" s="757"/>
      <c r="N211" s="757"/>
      <c r="O211" s="757"/>
      <c r="P211" s="757"/>
      <c r="Q211" s="757"/>
      <c r="R211" s="757"/>
      <c r="S211" s="757"/>
      <c r="T211" s="757"/>
      <c r="U211" s="757"/>
      <c r="V211" s="757"/>
      <c r="W211" s="757"/>
      <c r="X211" s="757"/>
      <c r="Y211" s="757"/>
      <c r="Z211" s="757"/>
      <c r="AA211" s="757"/>
      <c r="AB211" s="757"/>
      <c r="AC211" s="757"/>
      <c r="AD211" s="757"/>
      <c r="AE211" s="757"/>
      <c r="AF211" s="757"/>
      <c r="AG211" s="757"/>
      <c r="AH211" s="757"/>
      <c r="AI211" s="757"/>
      <c r="AJ211" s="757"/>
      <c r="AK211" s="757"/>
      <c r="AL211" s="757"/>
      <c r="AM211" s="757"/>
      <c r="AN211" s="757"/>
      <c r="AO211" s="757"/>
      <c r="AP211" s="757"/>
      <c r="AQ211" s="757"/>
      <c r="AR211" s="757"/>
      <c r="AS211" s="757"/>
      <c r="AT211" s="757"/>
      <c r="AU211" s="757"/>
      <c r="AV211" s="757"/>
      <c r="AW211" s="757"/>
      <c r="AX211" s="757"/>
      <c r="AY211" s="757"/>
      <c r="AZ211" s="75"/>
      <c r="BA211" s="2"/>
      <c r="BB211" s="2"/>
      <c r="BC211" s="2"/>
      <c r="BD211" s="2"/>
    </row>
    <row r="212" spans="1:56">
      <c r="A212" s="781">
        <v>2</v>
      </c>
      <c r="B212" s="782">
        <v>202</v>
      </c>
      <c r="C212" s="783"/>
      <c r="D212" s="785" t="s">
        <v>380</v>
      </c>
      <c r="E212" s="808">
        <v>106</v>
      </c>
      <c r="F212" s="799"/>
      <c r="G212" s="799"/>
      <c r="H212" s="1592">
        <f t="shared" si="9"/>
        <v>0</v>
      </c>
      <c r="I212" s="754" t="str">
        <f>IFERROR(VLOOKUP(B212,Mychart!$A$125:$B$911,2,FALSE),"-")</f>
        <v>AHMED HELAL - ERTIKAZ</v>
      </c>
      <c r="J212" s="753" t="str">
        <f t="shared" si="10"/>
        <v>-</v>
      </c>
      <c r="K212" s="1540">
        <f t="shared" si="11"/>
        <v>1900</v>
      </c>
      <c r="L212" s="757"/>
      <c r="M212" s="757"/>
      <c r="N212" s="757"/>
      <c r="O212" s="757"/>
      <c r="P212" s="757"/>
      <c r="Q212" s="757"/>
      <c r="R212" s="757"/>
      <c r="S212" s="757"/>
      <c r="T212" s="757"/>
      <c r="U212" s="757"/>
      <c r="V212" s="757"/>
      <c r="W212" s="757"/>
      <c r="X212" s="757"/>
      <c r="Y212" s="757"/>
      <c r="Z212" s="757"/>
      <c r="AA212" s="757"/>
      <c r="AB212" s="757"/>
      <c r="AC212" s="757"/>
      <c r="AD212" s="757"/>
      <c r="AE212" s="757"/>
      <c r="AF212" s="757"/>
      <c r="AG212" s="757"/>
      <c r="AH212" s="757"/>
      <c r="AI212" s="757"/>
      <c r="AJ212" s="757"/>
      <c r="AK212" s="757"/>
      <c r="AL212" s="757"/>
      <c r="AM212" s="757"/>
      <c r="AN212" s="757"/>
      <c r="AO212" s="757"/>
      <c r="AP212" s="757"/>
      <c r="AQ212" s="757"/>
      <c r="AR212" s="757"/>
      <c r="AS212" s="757"/>
      <c r="AT212" s="757"/>
      <c r="AU212" s="757"/>
      <c r="AV212" s="757"/>
      <c r="AW212" s="757"/>
      <c r="AX212" s="757"/>
      <c r="AY212" s="757"/>
      <c r="AZ212" s="75"/>
      <c r="BA212" s="2"/>
      <c r="BB212" s="2"/>
      <c r="BC212" s="2"/>
      <c r="BD212" s="2"/>
    </row>
    <row r="213" spans="1:56">
      <c r="A213" s="781">
        <v>2</v>
      </c>
      <c r="B213" s="782">
        <v>202</v>
      </c>
      <c r="C213" s="783"/>
      <c r="D213" s="785" t="s">
        <v>178</v>
      </c>
      <c r="E213" s="808">
        <v>1382</v>
      </c>
      <c r="F213" s="799"/>
      <c r="G213" s="799"/>
      <c r="H213" s="1592">
        <f t="shared" si="9"/>
        <v>0</v>
      </c>
      <c r="I213" s="754" t="str">
        <f>IFERROR(VLOOKUP(B213,Mychart!$A$125:$B$911,2,FALSE),"-")</f>
        <v>AHMED HELAL - ERTIKAZ</v>
      </c>
      <c r="J213" s="753" t="str">
        <f t="shared" si="10"/>
        <v>-</v>
      </c>
      <c r="K213" s="1540">
        <f t="shared" si="11"/>
        <v>1900</v>
      </c>
      <c r="L213" s="757"/>
      <c r="M213" s="757"/>
      <c r="N213" s="757"/>
      <c r="O213" s="757"/>
      <c r="P213" s="757"/>
      <c r="Q213" s="757"/>
      <c r="R213" s="757"/>
      <c r="S213" s="757"/>
      <c r="T213" s="757"/>
      <c r="U213" s="757"/>
      <c r="V213" s="757"/>
      <c r="W213" s="757"/>
      <c r="X213" s="757"/>
      <c r="Y213" s="757"/>
      <c r="Z213" s="757"/>
      <c r="AA213" s="757"/>
      <c r="AB213" s="757"/>
      <c r="AC213" s="757"/>
      <c r="AD213" s="757"/>
      <c r="AE213" s="757"/>
      <c r="AF213" s="757"/>
      <c r="AG213" s="757"/>
      <c r="AH213" s="757"/>
      <c r="AI213" s="757"/>
      <c r="AJ213" s="757"/>
      <c r="AK213" s="757"/>
      <c r="AL213" s="757"/>
      <c r="AM213" s="757"/>
      <c r="AN213" s="757"/>
      <c r="AO213" s="757"/>
      <c r="AP213" s="757"/>
      <c r="AQ213" s="757"/>
      <c r="AR213" s="757"/>
      <c r="AS213" s="757"/>
      <c r="AT213" s="757"/>
      <c r="AU213" s="757"/>
      <c r="AV213" s="757"/>
      <c r="AW213" s="757"/>
      <c r="AX213" s="757"/>
      <c r="AY213" s="757"/>
      <c r="AZ213" s="75"/>
      <c r="BA213" s="2"/>
      <c r="BB213" s="2"/>
      <c r="BC213" s="2"/>
      <c r="BD213" s="2"/>
    </row>
    <row r="214" spans="1:56">
      <c r="A214" s="781">
        <v>2</v>
      </c>
      <c r="B214" s="782">
        <v>202</v>
      </c>
      <c r="C214" s="783">
        <v>45076</v>
      </c>
      <c r="D214" s="785" t="s">
        <v>475</v>
      </c>
      <c r="E214" s="808">
        <v>4515</v>
      </c>
      <c r="F214" s="799"/>
      <c r="G214" s="799"/>
      <c r="H214" s="1592">
        <f t="shared" si="9"/>
        <v>0</v>
      </c>
      <c r="I214" s="754" t="str">
        <f>IFERROR(VLOOKUP(B214,Mychart!$A$125:$B$911,2,FALSE),"-")</f>
        <v>AHMED HELAL - ERTIKAZ</v>
      </c>
      <c r="J214" s="753">
        <f t="shared" si="10"/>
        <v>5</v>
      </c>
      <c r="K214" s="1540">
        <f t="shared" si="11"/>
        <v>2023</v>
      </c>
      <c r="L214" s="757"/>
      <c r="M214" s="757"/>
      <c r="N214" s="757"/>
      <c r="O214" s="757"/>
      <c r="P214" s="757"/>
      <c r="Q214" s="757"/>
      <c r="R214" s="757"/>
      <c r="S214" s="757"/>
      <c r="T214" s="757"/>
      <c r="U214" s="757"/>
      <c r="V214" s="757"/>
      <c r="W214" s="757"/>
      <c r="X214" s="757"/>
      <c r="Y214" s="757"/>
      <c r="Z214" s="757"/>
      <c r="AA214" s="757"/>
      <c r="AB214" s="757"/>
      <c r="AC214" s="757"/>
      <c r="AD214" s="757"/>
      <c r="AE214" s="757"/>
      <c r="AF214" s="757"/>
      <c r="AG214" s="757"/>
      <c r="AH214" s="757"/>
      <c r="AI214" s="757"/>
      <c r="AJ214" s="757"/>
      <c r="AK214" s="757"/>
      <c r="AL214" s="757"/>
      <c r="AM214" s="757"/>
      <c r="AN214" s="757"/>
      <c r="AO214" s="757"/>
      <c r="AP214" s="757"/>
      <c r="AQ214" s="757"/>
      <c r="AR214" s="757"/>
      <c r="AS214" s="757"/>
      <c r="AT214" s="757"/>
      <c r="AU214" s="757"/>
      <c r="AV214" s="757"/>
      <c r="AW214" s="757"/>
      <c r="AX214" s="757"/>
      <c r="AY214" s="757"/>
      <c r="AZ214" s="75"/>
      <c r="BA214" s="2"/>
      <c r="BB214" s="2"/>
      <c r="BC214" s="2"/>
      <c r="BD214" s="2"/>
    </row>
    <row r="215" spans="1:56">
      <c r="A215" s="781">
        <v>2</v>
      </c>
      <c r="B215" s="782">
        <v>202</v>
      </c>
      <c r="C215" s="783"/>
      <c r="D215" s="785" t="s">
        <v>380</v>
      </c>
      <c r="E215" s="808">
        <v>5400</v>
      </c>
      <c r="F215" s="799"/>
      <c r="G215" s="799"/>
      <c r="H215" s="1592">
        <f t="shared" si="9"/>
        <v>0</v>
      </c>
      <c r="I215" s="754" t="str">
        <f>IFERROR(VLOOKUP(B215,Mychart!$A$125:$B$911,2,FALSE),"-")</f>
        <v>AHMED HELAL - ERTIKAZ</v>
      </c>
      <c r="J215" s="753" t="str">
        <f t="shared" si="10"/>
        <v>-</v>
      </c>
      <c r="K215" s="1540">
        <f t="shared" si="11"/>
        <v>1900</v>
      </c>
      <c r="L215" s="757"/>
      <c r="M215" s="757"/>
      <c r="N215" s="757"/>
      <c r="O215" s="757"/>
      <c r="P215" s="757"/>
      <c r="Q215" s="757"/>
      <c r="R215" s="757"/>
      <c r="S215" s="757"/>
      <c r="T215" s="757"/>
      <c r="U215" s="757"/>
      <c r="V215" s="757"/>
      <c r="W215" s="757"/>
      <c r="X215" s="757"/>
      <c r="Y215" s="757"/>
      <c r="Z215" s="757"/>
      <c r="AA215" s="757"/>
      <c r="AB215" s="757"/>
      <c r="AC215" s="757"/>
      <c r="AD215" s="757"/>
      <c r="AE215" s="757"/>
      <c r="AF215" s="757"/>
      <c r="AG215" s="757"/>
      <c r="AH215" s="757"/>
      <c r="AI215" s="757"/>
      <c r="AJ215" s="757"/>
      <c r="AK215" s="757"/>
      <c r="AL215" s="757"/>
      <c r="AM215" s="757"/>
      <c r="AN215" s="757"/>
      <c r="AO215" s="757"/>
      <c r="AP215" s="757"/>
      <c r="AQ215" s="757"/>
      <c r="AR215" s="757"/>
      <c r="AS215" s="757"/>
      <c r="AT215" s="757"/>
      <c r="AU215" s="757"/>
      <c r="AV215" s="757"/>
      <c r="AW215" s="757"/>
      <c r="AX215" s="757"/>
      <c r="AY215" s="757"/>
      <c r="AZ215" s="75"/>
      <c r="BA215" s="2"/>
      <c r="BB215" s="2"/>
      <c r="BC215" s="2"/>
      <c r="BD215" s="2"/>
    </row>
    <row r="216" spans="1:56">
      <c r="A216" s="781">
        <v>2</v>
      </c>
      <c r="B216" s="782">
        <v>202</v>
      </c>
      <c r="C216" s="783"/>
      <c r="D216" s="785" t="s">
        <v>178</v>
      </c>
      <c r="E216" s="808">
        <v>698</v>
      </c>
      <c r="F216" s="799"/>
      <c r="G216" s="799"/>
      <c r="H216" s="1592">
        <f t="shared" si="9"/>
        <v>0</v>
      </c>
      <c r="I216" s="754" t="str">
        <f>IFERROR(VLOOKUP(B216,Mychart!$A$125:$B$911,2,FALSE),"-")</f>
        <v>AHMED HELAL - ERTIKAZ</v>
      </c>
      <c r="J216" s="753" t="str">
        <f t="shared" si="10"/>
        <v>-</v>
      </c>
      <c r="K216" s="1540">
        <f t="shared" si="11"/>
        <v>1900</v>
      </c>
      <c r="L216" s="757"/>
      <c r="M216" s="757"/>
      <c r="N216" s="757"/>
      <c r="O216" s="757"/>
      <c r="P216" s="757"/>
      <c r="Q216" s="757"/>
      <c r="R216" s="757"/>
      <c r="S216" s="757"/>
      <c r="T216" s="757"/>
      <c r="U216" s="757"/>
      <c r="V216" s="757"/>
      <c r="W216" s="757"/>
      <c r="X216" s="757"/>
      <c r="Y216" s="757"/>
      <c r="Z216" s="757"/>
      <c r="AA216" s="757"/>
      <c r="AB216" s="757"/>
      <c r="AC216" s="757"/>
      <c r="AD216" s="757"/>
      <c r="AE216" s="757"/>
      <c r="AF216" s="757"/>
      <c r="AG216" s="757"/>
      <c r="AH216" s="757"/>
      <c r="AI216" s="757"/>
      <c r="AJ216" s="757"/>
      <c r="AK216" s="757"/>
      <c r="AL216" s="757"/>
      <c r="AM216" s="757"/>
      <c r="AN216" s="757"/>
      <c r="AO216" s="757"/>
      <c r="AP216" s="757"/>
      <c r="AQ216" s="757"/>
      <c r="AR216" s="757"/>
      <c r="AS216" s="757"/>
      <c r="AT216" s="757"/>
      <c r="AU216" s="757"/>
      <c r="AV216" s="757"/>
      <c r="AW216" s="757"/>
      <c r="AX216" s="757"/>
      <c r="AY216" s="757"/>
      <c r="AZ216" s="75"/>
      <c r="BA216" s="2"/>
      <c r="BB216" s="2"/>
      <c r="BC216" s="2"/>
      <c r="BD216" s="2"/>
    </row>
    <row r="217" spans="1:56">
      <c r="A217" s="781">
        <v>2</v>
      </c>
      <c r="B217" s="782">
        <v>202</v>
      </c>
      <c r="C217" s="783"/>
      <c r="D217" s="785" t="s">
        <v>431</v>
      </c>
      <c r="E217" s="808">
        <v>18000</v>
      </c>
      <c r="F217" s="799"/>
      <c r="G217" s="799"/>
      <c r="H217" s="1592">
        <f t="shared" si="9"/>
        <v>0</v>
      </c>
      <c r="I217" s="754" t="str">
        <f>IFERROR(VLOOKUP(B217,Mychart!$A$125:$B$911,2,FALSE),"-")</f>
        <v>AHMED HELAL - ERTIKAZ</v>
      </c>
      <c r="J217" s="753" t="str">
        <f t="shared" si="10"/>
        <v>-</v>
      </c>
      <c r="K217" s="1540">
        <f t="shared" si="11"/>
        <v>1900</v>
      </c>
      <c r="L217" s="757"/>
      <c r="M217" s="757"/>
      <c r="N217" s="757"/>
      <c r="O217" s="757"/>
      <c r="P217" s="757"/>
      <c r="Q217" s="757"/>
      <c r="R217" s="757"/>
      <c r="S217" s="757"/>
      <c r="T217" s="757"/>
      <c r="U217" s="757"/>
      <c r="V217" s="757"/>
      <c r="W217" s="757"/>
      <c r="X217" s="757"/>
      <c r="Y217" s="757"/>
      <c r="Z217" s="757"/>
      <c r="AA217" s="757"/>
      <c r="AB217" s="757"/>
      <c r="AC217" s="757"/>
      <c r="AD217" s="757"/>
      <c r="AE217" s="757"/>
      <c r="AF217" s="757"/>
      <c r="AG217" s="757"/>
      <c r="AH217" s="757"/>
      <c r="AI217" s="757"/>
      <c r="AJ217" s="757"/>
      <c r="AK217" s="757"/>
      <c r="AL217" s="757"/>
      <c r="AM217" s="757"/>
      <c r="AN217" s="757"/>
      <c r="AO217" s="757"/>
      <c r="AP217" s="757"/>
      <c r="AQ217" s="757"/>
      <c r="AR217" s="757"/>
      <c r="AS217" s="757"/>
      <c r="AT217" s="757"/>
      <c r="AU217" s="757"/>
      <c r="AV217" s="757"/>
      <c r="AW217" s="757"/>
      <c r="AX217" s="757"/>
      <c r="AY217" s="757"/>
      <c r="AZ217" s="75"/>
      <c r="BA217" s="2"/>
      <c r="BB217" s="2"/>
      <c r="BC217" s="2"/>
      <c r="BD217" s="2"/>
    </row>
    <row r="218" spans="1:56">
      <c r="A218" s="781">
        <v>2</v>
      </c>
      <c r="B218" s="782">
        <v>202</v>
      </c>
      <c r="C218" s="783"/>
      <c r="D218" s="785" t="s">
        <v>178</v>
      </c>
      <c r="E218" s="808">
        <v>148</v>
      </c>
      <c r="F218" s="799"/>
      <c r="G218" s="799"/>
      <c r="H218" s="1592">
        <f t="shared" si="9"/>
        <v>0</v>
      </c>
      <c r="I218" s="754" t="str">
        <f>IFERROR(VLOOKUP(B218,Mychart!$A$125:$B$911,2,FALSE),"-")</f>
        <v>AHMED HELAL - ERTIKAZ</v>
      </c>
      <c r="J218" s="753" t="str">
        <f t="shared" si="10"/>
        <v>-</v>
      </c>
      <c r="K218" s="1540">
        <f t="shared" si="11"/>
        <v>1900</v>
      </c>
      <c r="L218" s="757"/>
      <c r="M218" s="757"/>
      <c r="N218" s="757"/>
      <c r="O218" s="757"/>
      <c r="P218" s="757"/>
      <c r="Q218" s="757"/>
      <c r="R218" s="757"/>
      <c r="S218" s="757"/>
      <c r="T218" s="757"/>
      <c r="U218" s="757"/>
      <c r="V218" s="757"/>
      <c r="W218" s="757"/>
      <c r="X218" s="757"/>
      <c r="Y218" s="757"/>
      <c r="Z218" s="757"/>
      <c r="AA218" s="757"/>
      <c r="AB218" s="757"/>
      <c r="AC218" s="757"/>
      <c r="AD218" s="757"/>
      <c r="AE218" s="757"/>
      <c r="AF218" s="757"/>
      <c r="AG218" s="757"/>
      <c r="AH218" s="757"/>
      <c r="AI218" s="757"/>
      <c r="AJ218" s="757"/>
      <c r="AK218" s="757"/>
      <c r="AL218" s="757"/>
      <c r="AM218" s="757"/>
      <c r="AN218" s="757"/>
      <c r="AO218" s="757"/>
      <c r="AP218" s="757"/>
      <c r="AQ218" s="757"/>
      <c r="AR218" s="757"/>
      <c r="AS218" s="757"/>
      <c r="AT218" s="757"/>
      <c r="AU218" s="757"/>
      <c r="AV218" s="757"/>
      <c r="AW218" s="757"/>
      <c r="AX218" s="757"/>
      <c r="AY218" s="757"/>
      <c r="AZ218" s="75"/>
      <c r="BA218" s="2"/>
      <c r="BB218" s="2"/>
      <c r="BC218" s="2"/>
      <c r="BD218" s="2"/>
    </row>
    <row r="219" spans="1:56">
      <c r="A219" s="781">
        <v>2</v>
      </c>
      <c r="B219" s="782">
        <v>202</v>
      </c>
      <c r="C219" s="783"/>
      <c r="D219" s="785" t="s">
        <v>476</v>
      </c>
      <c r="E219" s="808">
        <v>3450</v>
      </c>
      <c r="F219" s="799"/>
      <c r="G219" s="799"/>
      <c r="H219" s="1592">
        <f t="shared" si="9"/>
        <v>0</v>
      </c>
      <c r="I219" s="754" t="str">
        <f>IFERROR(VLOOKUP(B219,Mychart!$A$125:$B$911,2,FALSE),"-")</f>
        <v>AHMED HELAL - ERTIKAZ</v>
      </c>
      <c r="J219" s="753" t="str">
        <f t="shared" si="10"/>
        <v>-</v>
      </c>
      <c r="K219" s="1540">
        <f t="shared" si="11"/>
        <v>1900</v>
      </c>
      <c r="L219" s="757"/>
      <c r="M219" s="757"/>
      <c r="N219" s="757"/>
      <c r="O219" s="757"/>
      <c r="P219" s="757"/>
      <c r="Q219" s="757"/>
      <c r="R219" s="757"/>
      <c r="S219" s="757"/>
      <c r="T219" s="757"/>
      <c r="U219" s="757"/>
      <c r="V219" s="757"/>
      <c r="W219" s="757"/>
      <c r="X219" s="757"/>
      <c r="Y219" s="757"/>
      <c r="Z219" s="757"/>
      <c r="AA219" s="757"/>
      <c r="AB219" s="757"/>
      <c r="AC219" s="757"/>
      <c r="AD219" s="757"/>
      <c r="AE219" s="757"/>
      <c r="AF219" s="757"/>
      <c r="AG219" s="757"/>
      <c r="AH219" s="757"/>
      <c r="AI219" s="757"/>
      <c r="AJ219" s="757"/>
      <c r="AK219" s="757"/>
      <c r="AL219" s="757"/>
      <c r="AM219" s="757"/>
      <c r="AN219" s="757"/>
      <c r="AO219" s="757"/>
      <c r="AP219" s="757"/>
      <c r="AQ219" s="757"/>
      <c r="AR219" s="757"/>
      <c r="AS219" s="757"/>
      <c r="AT219" s="757"/>
      <c r="AU219" s="757"/>
      <c r="AV219" s="757"/>
      <c r="AW219" s="757"/>
      <c r="AX219" s="757"/>
      <c r="AY219" s="757"/>
      <c r="AZ219" s="75"/>
      <c r="BA219" s="2"/>
      <c r="BB219" s="2"/>
      <c r="BC219" s="2"/>
      <c r="BD219" s="2"/>
    </row>
    <row r="220" spans="1:56">
      <c r="A220" s="781">
        <v>2</v>
      </c>
      <c r="B220" s="782">
        <v>202</v>
      </c>
      <c r="C220" s="783"/>
      <c r="D220" s="785" t="s">
        <v>178</v>
      </c>
      <c r="E220" s="808">
        <v>10379</v>
      </c>
      <c r="F220" s="799"/>
      <c r="G220" s="799"/>
      <c r="H220" s="1592">
        <f t="shared" si="9"/>
        <v>0</v>
      </c>
      <c r="I220" s="754" t="str">
        <f>IFERROR(VLOOKUP(B220,Mychart!$A$125:$B$911,2,FALSE),"-")</f>
        <v>AHMED HELAL - ERTIKAZ</v>
      </c>
      <c r="J220" s="753" t="str">
        <f t="shared" si="10"/>
        <v>-</v>
      </c>
      <c r="K220" s="1540">
        <f t="shared" si="11"/>
        <v>1900</v>
      </c>
      <c r="L220" s="757"/>
      <c r="M220" s="757"/>
      <c r="N220" s="757"/>
      <c r="O220" s="757"/>
      <c r="P220" s="757"/>
      <c r="Q220" s="757"/>
      <c r="R220" s="757"/>
      <c r="S220" s="757"/>
      <c r="T220" s="757"/>
      <c r="U220" s="757"/>
      <c r="V220" s="757"/>
      <c r="W220" s="757"/>
      <c r="X220" s="757"/>
      <c r="Y220" s="757"/>
      <c r="Z220" s="757"/>
      <c r="AA220" s="757"/>
      <c r="AB220" s="757"/>
      <c r="AC220" s="757"/>
      <c r="AD220" s="757"/>
      <c r="AE220" s="757"/>
      <c r="AF220" s="757"/>
      <c r="AG220" s="757"/>
      <c r="AH220" s="757"/>
      <c r="AI220" s="757"/>
      <c r="AJ220" s="757"/>
      <c r="AK220" s="757"/>
      <c r="AL220" s="757"/>
      <c r="AM220" s="757"/>
      <c r="AN220" s="757"/>
      <c r="AO220" s="757"/>
      <c r="AP220" s="757"/>
      <c r="AQ220" s="757"/>
      <c r="AR220" s="757"/>
      <c r="AS220" s="757"/>
      <c r="AT220" s="757"/>
      <c r="AU220" s="757"/>
      <c r="AV220" s="757"/>
      <c r="AW220" s="757"/>
      <c r="AX220" s="757"/>
      <c r="AY220" s="757"/>
      <c r="AZ220" s="75"/>
      <c r="BA220" s="2"/>
      <c r="BB220" s="2"/>
      <c r="BC220" s="2"/>
      <c r="BD220" s="2"/>
    </row>
    <row r="221" spans="1:56">
      <c r="A221" s="781">
        <v>2</v>
      </c>
      <c r="B221" s="782">
        <v>202</v>
      </c>
      <c r="C221" s="783"/>
      <c r="D221" s="785" t="s">
        <v>477</v>
      </c>
      <c r="E221" s="808">
        <v>8000</v>
      </c>
      <c r="F221" s="799"/>
      <c r="G221" s="799"/>
      <c r="H221" s="1592">
        <f t="shared" si="9"/>
        <v>0</v>
      </c>
      <c r="I221" s="754" t="str">
        <f>IFERROR(VLOOKUP(B221,Mychart!$A$125:$B$911,2,FALSE),"-")</f>
        <v>AHMED HELAL - ERTIKAZ</v>
      </c>
      <c r="J221" s="753" t="str">
        <f t="shared" si="10"/>
        <v>-</v>
      </c>
      <c r="K221" s="1540">
        <f t="shared" si="11"/>
        <v>1900</v>
      </c>
      <c r="L221" s="757"/>
      <c r="M221" s="757"/>
      <c r="N221" s="757"/>
      <c r="O221" s="757"/>
      <c r="P221" s="757"/>
      <c r="Q221" s="757"/>
      <c r="R221" s="757"/>
      <c r="S221" s="757"/>
      <c r="T221" s="757"/>
      <c r="U221" s="757"/>
      <c r="V221" s="757"/>
      <c r="W221" s="757"/>
      <c r="X221" s="757"/>
      <c r="Y221" s="757"/>
      <c r="Z221" s="757"/>
      <c r="AA221" s="757"/>
      <c r="AB221" s="757"/>
      <c r="AC221" s="757"/>
      <c r="AD221" s="757"/>
      <c r="AE221" s="757"/>
      <c r="AF221" s="757"/>
      <c r="AG221" s="757"/>
      <c r="AH221" s="757"/>
      <c r="AI221" s="757"/>
      <c r="AJ221" s="757"/>
      <c r="AK221" s="757"/>
      <c r="AL221" s="757"/>
      <c r="AM221" s="757"/>
      <c r="AN221" s="757"/>
      <c r="AO221" s="757"/>
      <c r="AP221" s="757"/>
      <c r="AQ221" s="757"/>
      <c r="AR221" s="757"/>
      <c r="AS221" s="757"/>
      <c r="AT221" s="757"/>
      <c r="AU221" s="757"/>
      <c r="AV221" s="757"/>
      <c r="AW221" s="757"/>
      <c r="AX221" s="757"/>
      <c r="AY221" s="757"/>
      <c r="AZ221" s="75"/>
      <c r="BA221" s="2"/>
      <c r="BB221" s="2"/>
      <c r="BC221" s="2"/>
      <c r="BD221" s="2"/>
    </row>
    <row r="222" spans="1:56">
      <c r="A222" s="781">
        <v>2</v>
      </c>
      <c r="B222" s="782">
        <v>202</v>
      </c>
      <c r="C222" s="783"/>
      <c r="D222" s="785" t="s">
        <v>477</v>
      </c>
      <c r="E222" s="808">
        <v>5000</v>
      </c>
      <c r="F222" s="799"/>
      <c r="G222" s="799"/>
      <c r="H222" s="1592">
        <f t="shared" si="9"/>
        <v>0</v>
      </c>
      <c r="I222" s="754" t="str">
        <f>IFERROR(VLOOKUP(B222,Mychart!$A$125:$B$911,2,FALSE),"-")</f>
        <v>AHMED HELAL - ERTIKAZ</v>
      </c>
      <c r="J222" s="753" t="str">
        <f t="shared" si="10"/>
        <v>-</v>
      </c>
      <c r="K222" s="1540">
        <f t="shared" si="11"/>
        <v>1900</v>
      </c>
      <c r="L222" s="757"/>
      <c r="M222" s="757"/>
      <c r="N222" s="757"/>
      <c r="O222" s="757"/>
      <c r="P222" s="757"/>
      <c r="Q222" s="757"/>
      <c r="R222" s="757"/>
      <c r="S222" s="757"/>
      <c r="T222" s="757"/>
      <c r="U222" s="757"/>
      <c r="V222" s="757"/>
      <c r="W222" s="757"/>
      <c r="X222" s="757"/>
      <c r="Y222" s="757"/>
      <c r="Z222" s="757"/>
      <c r="AA222" s="757"/>
      <c r="AB222" s="757"/>
      <c r="AC222" s="757"/>
      <c r="AD222" s="757"/>
      <c r="AE222" s="757"/>
      <c r="AF222" s="757"/>
      <c r="AG222" s="757"/>
      <c r="AH222" s="757"/>
      <c r="AI222" s="757"/>
      <c r="AJ222" s="757"/>
      <c r="AK222" s="757"/>
      <c r="AL222" s="757"/>
      <c r="AM222" s="757"/>
      <c r="AN222" s="757"/>
      <c r="AO222" s="757"/>
      <c r="AP222" s="757"/>
      <c r="AQ222" s="757"/>
      <c r="AR222" s="757"/>
      <c r="AS222" s="757"/>
      <c r="AT222" s="757"/>
      <c r="AU222" s="757"/>
      <c r="AV222" s="757"/>
      <c r="AW222" s="757"/>
      <c r="AX222" s="757"/>
      <c r="AY222" s="757"/>
      <c r="AZ222" s="75"/>
      <c r="BA222" s="2"/>
      <c r="BB222" s="2"/>
      <c r="BC222" s="2"/>
      <c r="BD222" s="2"/>
    </row>
    <row r="223" spans="1:56">
      <c r="A223" s="781">
        <v>2</v>
      </c>
      <c r="B223" s="782">
        <v>202</v>
      </c>
      <c r="C223" s="783"/>
      <c r="D223" s="785" t="s">
        <v>477</v>
      </c>
      <c r="E223" s="808">
        <v>4000</v>
      </c>
      <c r="F223" s="799"/>
      <c r="G223" s="799"/>
      <c r="H223" s="1592">
        <f t="shared" si="9"/>
        <v>0</v>
      </c>
      <c r="I223" s="754" t="str">
        <f>IFERROR(VLOOKUP(B223,Mychart!$A$125:$B$911,2,FALSE),"-")</f>
        <v>AHMED HELAL - ERTIKAZ</v>
      </c>
      <c r="J223" s="753" t="str">
        <f t="shared" si="10"/>
        <v>-</v>
      </c>
      <c r="K223" s="1540">
        <f t="shared" si="11"/>
        <v>1900</v>
      </c>
      <c r="L223" s="757"/>
      <c r="M223" s="757"/>
      <c r="N223" s="757"/>
      <c r="O223" s="757"/>
      <c r="P223" s="757"/>
      <c r="Q223" s="757"/>
      <c r="R223" s="757"/>
      <c r="S223" s="757"/>
      <c r="T223" s="757"/>
      <c r="U223" s="757"/>
      <c r="V223" s="757"/>
      <c r="W223" s="757"/>
      <c r="X223" s="757"/>
      <c r="Y223" s="757"/>
      <c r="Z223" s="757"/>
      <c r="AA223" s="757"/>
      <c r="AB223" s="757"/>
      <c r="AC223" s="757"/>
      <c r="AD223" s="757"/>
      <c r="AE223" s="757"/>
      <c r="AF223" s="757"/>
      <c r="AG223" s="757"/>
      <c r="AH223" s="757"/>
      <c r="AI223" s="757"/>
      <c r="AJ223" s="757"/>
      <c r="AK223" s="757"/>
      <c r="AL223" s="757"/>
      <c r="AM223" s="757"/>
      <c r="AN223" s="757"/>
      <c r="AO223" s="757"/>
      <c r="AP223" s="757"/>
      <c r="AQ223" s="757"/>
      <c r="AR223" s="757"/>
      <c r="AS223" s="757"/>
      <c r="AT223" s="757"/>
      <c r="AU223" s="757"/>
      <c r="AV223" s="757"/>
      <c r="AW223" s="757"/>
      <c r="AX223" s="757"/>
      <c r="AY223" s="757"/>
      <c r="AZ223" s="75"/>
      <c r="BA223" s="2"/>
      <c r="BB223" s="2"/>
      <c r="BC223" s="2"/>
      <c r="BD223" s="2"/>
    </row>
    <row r="224" spans="1:56">
      <c r="A224" s="781">
        <v>2</v>
      </c>
      <c r="B224" s="782">
        <v>202</v>
      </c>
      <c r="C224" s="783"/>
      <c r="D224" s="785" t="s">
        <v>178</v>
      </c>
      <c r="E224" s="808">
        <v>1216</v>
      </c>
      <c r="F224" s="799"/>
      <c r="G224" s="799"/>
      <c r="H224" s="1592">
        <f t="shared" si="9"/>
        <v>0</v>
      </c>
      <c r="I224" s="754" t="str">
        <f>IFERROR(VLOOKUP(B224,Mychart!$A$125:$B$911,2,FALSE),"-")</f>
        <v>AHMED HELAL - ERTIKAZ</v>
      </c>
      <c r="J224" s="753" t="str">
        <f t="shared" si="10"/>
        <v>-</v>
      </c>
      <c r="K224" s="1540">
        <f t="shared" si="11"/>
        <v>1900</v>
      </c>
      <c r="L224" s="757"/>
      <c r="M224" s="757"/>
      <c r="N224" s="757"/>
      <c r="O224" s="757"/>
      <c r="P224" s="757"/>
      <c r="Q224" s="757"/>
      <c r="R224" s="757"/>
      <c r="S224" s="757"/>
      <c r="T224" s="757"/>
      <c r="U224" s="757"/>
      <c r="V224" s="757"/>
      <c r="W224" s="757"/>
      <c r="X224" s="757"/>
      <c r="Y224" s="757"/>
      <c r="Z224" s="757"/>
      <c r="AA224" s="757"/>
      <c r="AB224" s="757"/>
      <c r="AC224" s="757"/>
      <c r="AD224" s="757"/>
      <c r="AE224" s="757"/>
      <c r="AF224" s="757"/>
      <c r="AG224" s="757"/>
      <c r="AH224" s="757"/>
      <c r="AI224" s="757"/>
      <c r="AJ224" s="757"/>
      <c r="AK224" s="757"/>
      <c r="AL224" s="757"/>
      <c r="AM224" s="757"/>
      <c r="AN224" s="757"/>
      <c r="AO224" s="757"/>
      <c r="AP224" s="757"/>
      <c r="AQ224" s="757"/>
      <c r="AR224" s="757"/>
      <c r="AS224" s="757"/>
      <c r="AT224" s="757"/>
      <c r="AU224" s="757"/>
      <c r="AV224" s="757"/>
      <c r="AW224" s="757"/>
      <c r="AX224" s="757"/>
      <c r="AY224" s="757"/>
      <c r="AZ224" s="75"/>
      <c r="BA224" s="2"/>
      <c r="BB224" s="2"/>
      <c r="BC224" s="2"/>
      <c r="BD224" s="2"/>
    </row>
    <row r="225" spans="1:56">
      <c r="A225" s="781">
        <v>2</v>
      </c>
      <c r="B225" s="782">
        <v>202</v>
      </c>
      <c r="C225" s="783"/>
      <c r="D225" s="785" t="s">
        <v>478</v>
      </c>
      <c r="E225" s="808">
        <v>350</v>
      </c>
      <c r="F225" s="799"/>
      <c r="G225" s="799"/>
      <c r="H225" s="1592">
        <f t="shared" si="9"/>
        <v>0</v>
      </c>
      <c r="I225" s="754" t="str">
        <f>IFERROR(VLOOKUP(B225,Mychart!$A$125:$B$911,2,FALSE),"-")</f>
        <v>AHMED HELAL - ERTIKAZ</v>
      </c>
      <c r="J225" s="753" t="str">
        <f t="shared" si="10"/>
        <v>-</v>
      </c>
      <c r="K225" s="1540">
        <f t="shared" si="11"/>
        <v>1900</v>
      </c>
      <c r="L225" s="757"/>
      <c r="M225" s="757"/>
      <c r="N225" s="757"/>
      <c r="O225" s="757"/>
      <c r="P225" s="757"/>
      <c r="Q225" s="757"/>
      <c r="R225" s="757"/>
      <c r="S225" s="757"/>
      <c r="T225" s="757"/>
      <c r="U225" s="757"/>
      <c r="V225" s="757"/>
      <c r="W225" s="757"/>
      <c r="X225" s="757"/>
      <c r="Y225" s="757"/>
      <c r="Z225" s="757"/>
      <c r="AA225" s="757"/>
      <c r="AB225" s="757"/>
      <c r="AC225" s="757"/>
      <c r="AD225" s="757"/>
      <c r="AE225" s="757"/>
      <c r="AF225" s="757"/>
      <c r="AG225" s="757"/>
      <c r="AH225" s="757"/>
      <c r="AI225" s="757"/>
      <c r="AJ225" s="757"/>
      <c r="AK225" s="757"/>
      <c r="AL225" s="757"/>
      <c r="AM225" s="757"/>
      <c r="AN225" s="757"/>
      <c r="AO225" s="757"/>
      <c r="AP225" s="757"/>
      <c r="AQ225" s="757"/>
      <c r="AR225" s="757"/>
      <c r="AS225" s="757"/>
      <c r="AT225" s="757"/>
      <c r="AU225" s="757"/>
      <c r="AV225" s="757"/>
      <c r="AW225" s="757"/>
      <c r="AX225" s="757"/>
      <c r="AY225" s="757"/>
      <c r="AZ225" s="75"/>
      <c r="BA225" s="2"/>
      <c r="BB225" s="2"/>
      <c r="BC225" s="2"/>
      <c r="BD225" s="2"/>
    </row>
    <row r="226" spans="1:56">
      <c r="A226" s="781">
        <v>2</v>
      </c>
      <c r="B226" s="782">
        <v>202</v>
      </c>
      <c r="C226" s="783"/>
      <c r="D226" s="785" t="s">
        <v>380</v>
      </c>
      <c r="E226" s="808">
        <v>465</v>
      </c>
      <c r="F226" s="799"/>
      <c r="G226" s="799"/>
      <c r="H226" s="1592">
        <f t="shared" si="9"/>
        <v>0</v>
      </c>
      <c r="I226" s="754" t="str">
        <f>IFERROR(VLOOKUP(B226,Mychart!$A$125:$B$911,2,FALSE),"-")</f>
        <v>AHMED HELAL - ERTIKAZ</v>
      </c>
      <c r="J226" s="753" t="str">
        <f t="shared" si="10"/>
        <v>-</v>
      </c>
      <c r="K226" s="1540">
        <f t="shared" si="11"/>
        <v>1900</v>
      </c>
      <c r="L226" s="757"/>
      <c r="M226" s="757"/>
      <c r="N226" s="757"/>
      <c r="O226" s="757"/>
      <c r="P226" s="757"/>
      <c r="Q226" s="757"/>
      <c r="R226" s="757"/>
      <c r="S226" s="757"/>
      <c r="T226" s="757"/>
      <c r="U226" s="757"/>
      <c r="V226" s="757"/>
      <c r="W226" s="757"/>
      <c r="X226" s="757"/>
      <c r="Y226" s="757"/>
      <c r="Z226" s="757"/>
      <c r="AA226" s="757"/>
      <c r="AB226" s="757"/>
      <c r="AC226" s="757"/>
      <c r="AD226" s="757"/>
      <c r="AE226" s="757"/>
      <c r="AF226" s="757"/>
      <c r="AG226" s="757"/>
      <c r="AH226" s="757"/>
      <c r="AI226" s="757"/>
      <c r="AJ226" s="757"/>
      <c r="AK226" s="757"/>
      <c r="AL226" s="757"/>
      <c r="AM226" s="757"/>
      <c r="AN226" s="757"/>
      <c r="AO226" s="757"/>
      <c r="AP226" s="757"/>
      <c r="AQ226" s="757"/>
      <c r="AR226" s="757"/>
      <c r="AS226" s="757"/>
      <c r="AT226" s="757"/>
      <c r="AU226" s="757"/>
      <c r="AV226" s="757"/>
      <c r="AW226" s="757"/>
      <c r="AX226" s="757"/>
      <c r="AY226" s="757"/>
      <c r="AZ226" s="75"/>
      <c r="BA226" s="2"/>
      <c r="BB226" s="2"/>
      <c r="BC226" s="2"/>
      <c r="BD226" s="2"/>
    </row>
    <row r="227" spans="1:56">
      <c r="A227" s="781">
        <v>2</v>
      </c>
      <c r="B227" s="782">
        <v>202</v>
      </c>
      <c r="C227" s="783"/>
      <c r="D227" s="785" t="s">
        <v>178</v>
      </c>
      <c r="E227" s="808">
        <v>2034</v>
      </c>
      <c r="F227" s="799"/>
      <c r="G227" s="799"/>
      <c r="H227" s="1592">
        <f t="shared" si="9"/>
        <v>0</v>
      </c>
      <c r="I227" s="754" t="str">
        <f>IFERROR(VLOOKUP(B227,Mychart!$A$125:$B$911,2,FALSE),"-")</f>
        <v>AHMED HELAL - ERTIKAZ</v>
      </c>
      <c r="J227" s="753" t="str">
        <f t="shared" si="10"/>
        <v>-</v>
      </c>
      <c r="K227" s="1540">
        <f t="shared" si="11"/>
        <v>1900</v>
      </c>
      <c r="L227" s="757"/>
      <c r="M227" s="757"/>
      <c r="N227" s="757"/>
      <c r="O227" s="757"/>
      <c r="P227" s="757"/>
      <c r="Q227" s="757"/>
      <c r="R227" s="757"/>
      <c r="S227" s="757"/>
      <c r="T227" s="757"/>
      <c r="U227" s="757"/>
      <c r="V227" s="757"/>
      <c r="W227" s="757"/>
      <c r="X227" s="757"/>
      <c r="Y227" s="757"/>
      <c r="Z227" s="757"/>
      <c r="AA227" s="757"/>
      <c r="AB227" s="757"/>
      <c r="AC227" s="757"/>
      <c r="AD227" s="757"/>
      <c r="AE227" s="757"/>
      <c r="AF227" s="757"/>
      <c r="AG227" s="757"/>
      <c r="AH227" s="757"/>
      <c r="AI227" s="757"/>
      <c r="AJ227" s="757"/>
      <c r="AK227" s="757"/>
      <c r="AL227" s="757"/>
      <c r="AM227" s="757"/>
      <c r="AN227" s="757"/>
      <c r="AO227" s="757"/>
      <c r="AP227" s="757"/>
      <c r="AQ227" s="757"/>
      <c r="AR227" s="757"/>
      <c r="AS227" s="757"/>
      <c r="AT227" s="757"/>
      <c r="AU227" s="757"/>
      <c r="AV227" s="757"/>
      <c r="AW227" s="757"/>
      <c r="AX227" s="757"/>
      <c r="AY227" s="757"/>
      <c r="AZ227" s="75"/>
      <c r="BA227" s="2"/>
      <c r="BB227" s="2"/>
      <c r="BC227" s="2"/>
      <c r="BD227" s="2"/>
    </row>
    <row r="228" spans="1:56">
      <c r="A228" s="781">
        <v>2</v>
      </c>
      <c r="B228" s="782">
        <v>202</v>
      </c>
      <c r="C228" s="783"/>
      <c r="D228" s="785" t="s">
        <v>178</v>
      </c>
      <c r="E228" s="808">
        <v>161</v>
      </c>
      <c r="F228" s="799"/>
      <c r="G228" s="799"/>
      <c r="H228" s="1592">
        <f t="shared" si="9"/>
        <v>0</v>
      </c>
      <c r="I228" s="754" t="str">
        <f>IFERROR(VLOOKUP(B228,Mychart!$A$125:$B$911,2,FALSE),"-")</f>
        <v>AHMED HELAL - ERTIKAZ</v>
      </c>
      <c r="J228" s="753" t="str">
        <f t="shared" si="10"/>
        <v>-</v>
      </c>
      <c r="K228" s="1540">
        <f t="shared" si="11"/>
        <v>1900</v>
      </c>
      <c r="L228" s="757"/>
      <c r="M228" s="757"/>
      <c r="N228" s="757"/>
      <c r="O228" s="757"/>
      <c r="P228" s="757"/>
      <c r="Q228" s="757"/>
      <c r="R228" s="757"/>
      <c r="S228" s="757"/>
      <c r="T228" s="757"/>
      <c r="U228" s="757"/>
      <c r="V228" s="757"/>
      <c r="W228" s="757"/>
      <c r="X228" s="757"/>
      <c r="Y228" s="757"/>
      <c r="Z228" s="757"/>
      <c r="AA228" s="757"/>
      <c r="AB228" s="757"/>
      <c r="AC228" s="757"/>
      <c r="AD228" s="757"/>
      <c r="AE228" s="757"/>
      <c r="AF228" s="757"/>
      <c r="AG228" s="757"/>
      <c r="AH228" s="757"/>
      <c r="AI228" s="757"/>
      <c r="AJ228" s="757"/>
      <c r="AK228" s="757"/>
      <c r="AL228" s="757"/>
      <c r="AM228" s="757"/>
      <c r="AN228" s="757"/>
      <c r="AO228" s="757"/>
      <c r="AP228" s="757"/>
      <c r="AQ228" s="757"/>
      <c r="AR228" s="757"/>
      <c r="AS228" s="757"/>
      <c r="AT228" s="757"/>
      <c r="AU228" s="757"/>
      <c r="AV228" s="757"/>
      <c r="AW228" s="757"/>
      <c r="AX228" s="757"/>
      <c r="AY228" s="757"/>
      <c r="AZ228" s="75"/>
      <c r="BA228" s="2"/>
      <c r="BB228" s="2"/>
      <c r="BC228" s="2"/>
      <c r="BD228" s="2"/>
    </row>
    <row r="229" spans="1:56">
      <c r="A229" s="781">
        <v>2</v>
      </c>
      <c r="B229" s="782">
        <v>202</v>
      </c>
      <c r="C229" s="783"/>
      <c r="D229" s="785" t="s">
        <v>479</v>
      </c>
      <c r="E229" s="808">
        <v>1890</v>
      </c>
      <c r="F229" s="799"/>
      <c r="G229" s="799"/>
      <c r="H229" s="1592">
        <f t="shared" si="9"/>
        <v>0</v>
      </c>
      <c r="I229" s="754" t="str">
        <f>IFERROR(VLOOKUP(B229,Mychart!$A$125:$B$911,2,FALSE),"-")</f>
        <v>AHMED HELAL - ERTIKAZ</v>
      </c>
      <c r="J229" s="753" t="str">
        <f t="shared" si="10"/>
        <v>-</v>
      </c>
      <c r="K229" s="1540">
        <f t="shared" si="11"/>
        <v>1900</v>
      </c>
      <c r="L229" s="757"/>
      <c r="M229" s="757"/>
      <c r="N229" s="757"/>
      <c r="O229" s="757"/>
      <c r="P229" s="757"/>
      <c r="Q229" s="757"/>
      <c r="R229" s="757"/>
      <c r="S229" s="757"/>
      <c r="T229" s="757"/>
      <c r="U229" s="757"/>
      <c r="V229" s="757"/>
      <c r="W229" s="757"/>
      <c r="X229" s="757"/>
      <c r="Y229" s="757"/>
      <c r="Z229" s="757"/>
      <c r="AA229" s="757"/>
      <c r="AB229" s="757"/>
      <c r="AC229" s="757"/>
      <c r="AD229" s="757"/>
      <c r="AE229" s="757"/>
      <c r="AF229" s="757"/>
      <c r="AG229" s="757"/>
      <c r="AH229" s="757"/>
      <c r="AI229" s="757"/>
      <c r="AJ229" s="757"/>
      <c r="AK229" s="757"/>
      <c r="AL229" s="757"/>
      <c r="AM229" s="757"/>
      <c r="AN229" s="757"/>
      <c r="AO229" s="757"/>
      <c r="AP229" s="757"/>
      <c r="AQ229" s="757"/>
      <c r="AR229" s="757"/>
      <c r="AS229" s="757"/>
      <c r="AT229" s="757"/>
      <c r="AU229" s="757"/>
      <c r="AV229" s="757"/>
      <c r="AW229" s="757"/>
      <c r="AX229" s="757"/>
      <c r="AY229" s="757"/>
      <c r="AZ229" s="75"/>
      <c r="BA229" s="2"/>
      <c r="BB229" s="2"/>
      <c r="BC229" s="2"/>
      <c r="BD229" s="2"/>
    </row>
    <row r="230" spans="1:56">
      <c r="A230" s="781">
        <v>2</v>
      </c>
      <c r="B230" s="782">
        <v>202</v>
      </c>
      <c r="C230" s="783"/>
      <c r="D230" s="785" t="s">
        <v>380</v>
      </c>
      <c r="E230" s="808">
        <v>1050</v>
      </c>
      <c r="F230" s="799"/>
      <c r="G230" s="799"/>
      <c r="H230" s="1592">
        <f t="shared" si="9"/>
        <v>0</v>
      </c>
      <c r="I230" s="754" t="str">
        <f>IFERROR(VLOOKUP(B230,Mychart!$A$125:$B$911,2,FALSE),"-")</f>
        <v>AHMED HELAL - ERTIKAZ</v>
      </c>
      <c r="J230" s="753" t="str">
        <f t="shared" si="10"/>
        <v>-</v>
      </c>
      <c r="K230" s="1540">
        <f t="shared" si="11"/>
        <v>1900</v>
      </c>
      <c r="L230" s="757"/>
      <c r="M230" s="757"/>
      <c r="N230" s="757"/>
      <c r="O230" s="757"/>
      <c r="P230" s="757"/>
      <c r="Q230" s="757"/>
      <c r="R230" s="757"/>
      <c r="S230" s="757"/>
      <c r="T230" s="757"/>
      <c r="U230" s="757"/>
      <c r="V230" s="757"/>
      <c r="W230" s="757"/>
      <c r="X230" s="757"/>
      <c r="Y230" s="757"/>
      <c r="Z230" s="757"/>
      <c r="AA230" s="757"/>
      <c r="AB230" s="757"/>
      <c r="AC230" s="757"/>
      <c r="AD230" s="757"/>
      <c r="AE230" s="757"/>
      <c r="AF230" s="757"/>
      <c r="AG230" s="757"/>
      <c r="AH230" s="757"/>
      <c r="AI230" s="757"/>
      <c r="AJ230" s="757"/>
      <c r="AK230" s="757"/>
      <c r="AL230" s="757"/>
      <c r="AM230" s="757"/>
      <c r="AN230" s="757"/>
      <c r="AO230" s="757"/>
      <c r="AP230" s="757"/>
      <c r="AQ230" s="757"/>
      <c r="AR230" s="757"/>
      <c r="AS230" s="757"/>
      <c r="AT230" s="757"/>
      <c r="AU230" s="757"/>
      <c r="AV230" s="757"/>
      <c r="AW230" s="757"/>
      <c r="AX230" s="757"/>
      <c r="AY230" s="757"/>
      <c r="AZ230" s="75"/>
      <c r="BA230" s="2"/>
      <c r="BB230" s="2"/>
      <c r="BC230" s="2"/>
      <c r="BD230" s="2"/>
    </row>
    <row r="231" spans="1:56">
      <c r="A231" s="781">
        <v>2</v>
      </c>
      <c r="B231" s="782">
        <v>202</v>
      </c>
      <c r="C231" s="783"/>
      <c r="D231" s="785" t="s">
        <v>480</v>
      </c>
      <c r="E231" s="808">
        <v>630</v>
      </c>
      <c r="F231" s="799"/>
      <c r="G231" s="799"/>
      <c r="H231" s="1592">
        <f t="shared" si="9"/>
        <v>0</v>
      </c>
      <c r="I231" s="754" t="str">
        <f>IFERROR(VLOOKUP(B231,Mychart!$A$125:$B$911,2,FALSE),"-")</f>
        <v>AHMED HELAL - ERTIKAZ</v>
      </c>
      <c r="J231" s="753" t="str">
        <f t="shared" si="10"/>
        <v>-</v>
      </c>
      <c r="K231" s="1540">
        <f t="shared" si="11"/>
        <v>1900</v>
      </c>
      <c r="L231" s="757"/>
      <c r="M231" s="757"/>
      <c r="N231" s="757"/>
      <c r="O231" s="757"/>
      <c r="P231" s="757"/>
      <c r="Q231" s="757"/>
      <c r="R231" s="757"/>
      <c r="S231" s="757"/>
      <c r="T231" s="757"/>
      <c r="U231" s="757"/>
      <c r="V231" s="757"/>
      <c r="W231" s="757"/>
      <c r="X231" s="757"/>
      <c r="Y231" s="757"/>
      <c r="Z231" s="757"/>
      <c r="AA231" s="757"/>
      <c r="AB231" s="757"/>
      <c r="AC231" s="757"/>
      <c r="AD231" s="757"/>
      <c r="AE231" s="757"/>
      <c r="AF231" s="757"/>
      <c r="AG231" s="757"/>
      <c r="AH231" s="757"/>
      <c r="AI231" s="757"/>
      <c r="AJ231" s="757"/>
      <c r="AK231" s="757"/>
      <c r="AL231" s="757"/>
      <c r="AM231" s="757"/>
      <c r="AN231" s="757"/>
      <c r="AO231" s="757"/>
      <c r="AP231" s="757"/>
      <c r="AQ231" s="757"/>
      <c r="AR231" s="757"/>
      <c r="AS231" s="757"/>
      <c r="AT231" s="757"/>
      <c r="AU231" s="757"/>
      <c r="AV231" s="757"/>
      <c r="AW231" s="757"/>
      <c r="AX231" s="757"/>
      <c r="AY231" s="757"/>
      <c r="AZ231" s="75"/>
      <c r="BA231" s="2"/>
      <c r="BB231" s="2"/>
      <c r="BC231" s="2"/>
      <c r="BD231" s="2"/>
    </row>
    <row r="232" spans="1:56">
      <c r="A232" s="781">
        <v>2</v>
      </c>
      <c r="B232" s="782">
        <v>202</v>
      </c>
      <c r="C232" s="783">
        <v>45260</v>
      </c>
      <c r="D232" s="785" t="s">
        <v>178</v>
      </c>
      <c r="E232" s="808">
        <v>2716</v>
      </c>
      <c r="F232" s="799"/>
      <c r="G232" s="799"/>
      <c r="H232" s="1592">
        <f t="shared" si="9"/>
        <v>0</v>
      </c>
      <c r="I232" s="754" t="str">
        <f>IFERROR(VLOOKUP(B232,Mychart!$A$125:$B$911,2,FALSE),"-")</f>
        <v>AHMED HELAL - ERTIKAZ</v>
      </c>
      <c r="J232" s="753">
        <f t="shared" si="10"/>
        <v>11</v>
      </c>
      <c r="K232" s="1540">
        <f t="shared" si="11"/>
        <v>2023</v>
      </c>
      <c r="L232" s="757"/>
      <c r="M232" s="757"/>
      <c r="N232" s="757"/>
      <c r="O232" s="757"/>
      <c r="P232" s="757"/>
      <c r="Q232" s="757"/>
      <c r="R232" s="757"/>
      <c r="S232" s="757"/>
      <c r="T232" s="757"/>
      <c r="U232" s="757"/>
      <c r="V232" s="757"/>
      <c r="W232" s="757"/>
      <c r="X232" s="757"/>
      <c r="Y232" s="757"/>
      <c r="Z232" s="757"/>
      <c r="AA232" s="757"/>
      <c r="AB232" s="757"/>
      <c r="AC232" s="757"/>
      <c r="AD232" s="757"/>
      <c r="AE232" s="757"/>
      <c r="AF232" s="757"/>
      <c r="AG232" s="757"/>
      <c r="AH232" s="757"/>
      <c r="AI232" s="757"/>
      <c r="AJ232" s="757"/>
      <c r="AK232" s="757"/>
      <c r="AL232" s="757"/>
      <c r="AM232" s="757"/>
      <c r="AN232" s="757"/>
      <c r="AO232" s="757"/>
      <c r="AP232" s="757"/>
      <c r="AQ232" s="757"/>
      <c r="AR232" s="757"/>
      <c r="AS232" s="757"/>
      <c r="AT232" s="757"/>
      <c r="AU232" s="757"/>
      <c r="AV232" s="757"/>
      <c r="AW232" s="757"/>
      <c r="AX232" s="757"/>
      <c r="AY232" s="757"/>
      <c r="AZ232" s="75"/>
      <c r="BA232" s="2"/>
      <c r="BB232" s="2"/>
      <c r="BC232" s="2"/>
      <c r="BD232" s="2"/>
    </row>
    <row r="233" spans="1:56">
      <c r="A233" s="781">
        <v>2</v>
      </c>
      <c r="B233" s="782">
        <v>202</v>
      </c>
      <c r="C233" s="783"/>
      <c r="D233" s="785" t="s">
        <v>380</v>
      </c>
      <c r="E233" s="808">
        <v>544.97</v>
      </c>
      <c r="F233" s="799"/>
      <c r="G233" s="799"/>
      <c r="H233" s="1592">
        <f t="shared" si="9"/>
        <v>0</v>
      </c>
      <c r="I233" s="754" t="str">
        <f>IFERROR(VLOOKUP(B233,Mychart!$A$125:$B$911,2,FALSE),"-")</f>
        <v>AHMED HELAL - ERTIKAZ</v>
      </c>
      <c r="J233" s="753" t="str">
        <f t="shared" si="10"/>
        <v>-</v>
      </c>
      <c r="K233" s="1540">
        <f t="shared" si="11"/>
        <v>1900</v>
      </c>
      <c r="L233" s="757"/>
      <c r="M233" s="757"/>
      <c r="N233" s="757"/>
      <c r="O233" s="757"/>
      <c r="P233" s="757"/>
      <c r="Q233" s="757"/>
      <c r="R233" s="757"/>
      <c r="S233" s="757"/>
      <c r="T233" s="757"/>
      <c r="U233" s="757"/>
      <c r="V233" s="757"/>
      <c r="W233" s="757"/>
      <c r="X233" s="757"/>
      <c r="Y233" s="757"/>
      <c r="Z233" s="757"/>
      <c r="AA233" s="757"/>
      <c r="AB233" s="757"/>
      <c r="AC233" s="757"/>
      <c r="AD233" s="757"/>
      <c r="AE233" s="757"/>
      <c r="AF233" s="757"/>
      <c r="AG233" s="757"/>
      <c r="AH233" s="757"/>
      <c r="AI233" s="757"/>
      <c r="AJ233" s="757"/>
      <c r="AK233" s="757"/>
      <c r="AL233" s="757"/>
      <c r="AM233" s="757"/>
      <c r="AN233" s="757"/>
      <c r="AO233" s="757"/>
      <c r="AP233" s="757"/>
      <c r="AQ233" s="757"/>
      <c r="AR233" s="757"/>
      <c r="AS233" s="757"/>
      <c r="AT233" s="757"/>
      <c r="AU233" s="757"/>
      <c r="AV233" s="757"/>
      <c r="AW233" s="757"/>
      <c r="AX233" s="757"/>
      <c r="AY233" s="757"/>
      <c r="AZ233" s="75"/>
      <c r="BA233" s="2"/>
      <c r="BB233" s="2"/>
      <c r="BC233" s="2"/>
      <c r="BD233" s="2"/>
    </row>
    <row r="234" spans="1:56">
      <c r="A234" s="781">
        <v>2</v>
      </c>
      <c r="B234" s="782">
        <v>202</v>
      </c>
      <c r="C234" s="783">
        <v>45291</v>
      </c>
      <c r="D234" s="785" t="s">
        <v>178</v>
      </c>
      <c r="E234" s="808">
        <v>349</v>
      </c>
      <c r="F234" s="799"/>
      <c r="G234" s="799"/>
      <c r="H234" s="1592">
        <f t="shared" si="9"/>
        <v>0</v>
      </c>
      <c r="I234" s="754" t="str">
        <f>IFERROR(VLOOKUP(B234,Mychart!$A$125:$B$911,2,FALSE),"-")</f>
        <v>AHMED HELAL - ERTIKAZ</v>
      </c>
      <c r="J234" s="753">
        <f t="shared" si="10"/>
        <v>12</v>
      </c>
      <c r="K234" s="1540">
        <f t="shared" si="11"/>
        <v>2023</v>
      </c>
      <c r="L234" s="757"/>
      <c r="M234" s="757"/>
      <c r="N234" s="757"/>
      <c r="O234" s="757"/>
      <c r="P234" s="757"/>
      <c r="Q234" s="757"/>
      <c r="R234" s="757"/>
      <c r="S234" s="757"/>
      <c r="T234" s="757"/>
      <c r="U234" s="757"/>
      <c r="V234" s="757"/>
      <c r="W234" s="757"/>
      <c r="X234" s="757"/>
      <c r="Y234" s="757"/>
      <c r="Z234" s="757"/>
      <c r="AA234" s="757"/>
      <c r="AB234" s="757"/>
      <c r="AC234" s="757"/>
      <c r="AD234" s="757"/>
      <c r="AE234" s="757"/>
      <c r="AF234" s="757"/>
      <c r="AG234" s="757"/>
      <c r="AH234" s="757"/>
      <c r="AI234" s="757"/>
      <c r="AJ234" s="757"/>
      <c r="AK234" s="757"/>
      <c r="AL234" s="757"/>
      <c r="AM234" s="757"/>
      <c r="AN234" s="757"/>
      <c r="AO234" s="757"/>
      <c r="AP234" s="757"/>
      <c r="AQ234" s="757"/>
      <c r="AR234" s="757"/>
      <c r="AS234" s="757"/>
      <c r="AT234" s="757"/>
      <c r="AU234" s="757"/>
      <c r="AV234" s="757"/>
      <c r="AW234" s="757"/>
      <c r="AX234" s="757"/>
      <c r="AY234" s="757"/>
      <c r="AZ234" s="75"/>
      <c r="BA234" s="2"/>
      <c r="BB234" s="2"/>
      <c r="BC234" s="2"/>
      <c r="BD234" s="2"/>
    </row>
    <row r="235" spans="1:56">
      <c r="A235" s="781">
        <v>2</v>
      </c>
      <c r="B235" s="782">
        <v>202</v>
      </c>
      <c r="C235" s="783" t="s">
        <v>481</v>
      </c>
      <c r="D235" s="785" t="s">
        <v>474</v>
      </c>
      <c r="E235" s="808">
        <v>237</v>
      </c>
      <c r="F235" s="799"/>
      <c r="G235" s="799"/>
      <c r="H235" s="1592">
        <f t="shared" si="9"/>
        <v>0</v>
      </c>
      <c r="I235" s="754" t="str">
        <f>IFERROR(VLOOKUP(B235,Mychart!$A$125:$B$911,2,FALSE),"-")</f>
        <v>AHMED HELAL - ERTIKAZ</v>
      </c>
      <c r="J235" s="753">
        <f t="shared" si="10"/>
        <v>11</v>
      </c>
      <c r="K235" s="1540">
        <f t="shared" si="11"/>
        <v>2023</v>
      </c>
      <c r="L235" s="757"/>
      <c r="M235" s="757"/>
      <c r="N235" s="757"/>
      <c r="O235" s="757"/>
      <c r="P235" s="757"/>
      <c r="Q235" s="757"/>
      <c r="R235" s="757"/>
      <c r="S235" s="757"/>
      <c r="T235" s="757"/>
      <c r="U235" s="757"/>
      <c r="V235" s="757"/>
      <c r="W235" s="757"/>
      <c r="X235" s="757"/>
      <c r="Y235" s="757"/>
      <c r="Z235" s="757"/>
      <c r="AA235" s="757"/>
      <c r="AB235" s="757"/>
      <c r="AC235" s="757"/>
      <c r="AD235" s="757"/>
      <c r="AE235" s="757"/>
      <c r="AF235" s="757"/>
      <c r="AG235" s="757"/>
      <c r="AH235" s="757"/>
      <c r="AI235" s="757"/>
      <c r="AJ235" s="757"/>
      <c r="AK235" s="757"/>
      <c r="AL235" s="757"/>
      <c r="AM235" s="757"/>
      <c r="AN235" s="757"/>
      <c r="AO235" s="757"/>
      <c r="AP235" s="757"/>
      <c r="AQ235" s="757"/>
      <c r="AR235" s="757"/>
      <c r="AS235" s="757"/>
      <c r="AT235" s="757"/>
      <c r="AU235" s="757"/>
      <c r="AV235" s="757"/>
      <c r="AW235" s="757"/>
      <c r="AX235" s="757"/>
      <c r="AY235" s="757"/>
      <c r="AZ235" s="75"/>
      <c r="BA235" s="2"/>
      <c r="BB235" s="2"/>
      <c r="BC235" s="2"/>
      <c r="BD235" s="2"/>
    </row>
    <row r="236" spans="1:56">
      <c r="A236" s="781">
        <v>1</v>
      </c>
      <c r="B236" s="782">
        <v>253</v>
      </c>
      <c r="C236" s="783">
        <v>45372</v>
      </c>
      <c r="D236" s="786" t="s">
        <v>399</v>
      </c>
      <c r="E236" s="807"/>
      <c r="F236" s="798">
        <v>9524</v>
      </c>
      <c r="G236" s="798">
        <v>476</v>
      </c>
      <c r="H236" s="1592">
        <f t="shared" si="9"/>
        <v>10000</v>
      </c>
      <c r="I236" s="754" t="str">
        <f>IFERROR(VLOOKUP(B236,Mychart!$A$125:$B$911,2,FALSE),"-")</f>
        <v>SHIHAB ALNAB</v>
      </c>
      <c r="J236" s="753">
        <f t="shared" si="10"/>
        <v>3</v>
      </c>
      <c r="K236" s="1540">
        <f t="shared" si="11"/>
        <v>2024</v>
      </c>
      <c r="L236" s="757"/>
      <c r="M236" s="757"/>
      <c r="N236" s="757"/>
      <c r="O236" s="757"/>
      <c r="P236" s="757"/>
      <c r="Q236" s="757"/>
      <c r="R236" s="757"/>
      <c r="S236" s="757"/>
      <c r="T236" s="757"/>
      <c r="U236" s="757"/>
      <c r="V236" s="757"/>
      <c r="W236" s="757"/>
      <c r="X236" s="757"/>
      <c r="Y236" s="757"/>
      <c r="Z236" s="757"/>
      <c r="AA236" s="757"/>
      <c r="AB236" s="757"/>
      <c r="AC236" s="757"/>
      <c r="AD236" s="757"/>
      <c r="AE236" s="757"/>
      <c r="AF236" s="757"/>
      <c r="AG236" s="757"/>
      <c r="AH236" s="757"/>
      <c r="AI236" s="757"/>
      <c r="AJ236" s="757"/>
      <c r="AK236" s="757"/>
      <c r="AL236" s="757"/>
      <c r="AM236" s="757"/>
      <c r="AN236" s="757"/>
      <c r="AO236" s="757"/>
      <c r="AP236" s="757"/>
      <c r="AQ236" s="757"/>
      <c r="AR236" s="757"/>
      <c r="AS236" s="757"/>
      <c r="AT236" s="757"/>
      <c r="AU236" s="757"/>
      <c r="AV236" s="757"/>
      <c r="AW236" s="757"/>
      <c r="AX236" s="757"/>
      <c r="AY236" s="757"/>
      <c r="AZ236" s="75"/>
      <c r="BA236" s="2"/>
      <c r="BB236" s="2"/>
      <c r="BC236" s="2"/>
      <c r="BD236" s="2"/>
    </row>
    <row r="237" spans="1:56">
      <c r="A237" s="781">
        <v>1</v>
      </c>
      <c r="B237" s="782">
        <v>253</v>
      </c>
      <c r="C237" s="783">
        <v>45383</v>
      </c>
      <c r="D237" s="784" t="s">
        <v>487</v>
      </c>
      <c r="E237" s="807"/>
      <c r="F237" s="798">
        <v>18375</v>
      </c>
      <c r="G237" s="798">
        <v>918.75</v>
      </c>
      <c r="H237" s="1592">
        <f t="shared" si="9"/>
        <v>19293.75</v>
      </c>
      <c r="I237" s="754" t="str">
        <f>IFERROR(VLOOKUP(B237,Mychart!$A$125:$B$911,2,FALSE),"-")</f>
        <v>SHIHAB ALNAB</v>
      </c>
      <c r="J237" s="753">
        <f t="shared" si="10"/>
        <v>4</v>
      </c>
      <c r="K237" s="1540">
        <f t="shared" si="11"/>
        <v>2024</v>
      </c>
      <c r="L237" s="757"/>
      <c r="M237" s="757"/>
      <c r="N237" s="757"/>
      <c r="O237" s="757"/>
      <c r="P237" s="757"/>
      <c r="Q237" s="757"/>
      <c r="R237" s="757"/>
      <c r="S237" s="757"/>
      <c r="T237" s="757"/>
      <c r="U237" s="757"/>
      <c r="V237" s="757"/>
      <c r="W237" s="757"/>
      <c r="X237" s="757"/>
      <c r="Y237" s="757"/>
      <c r="Z237" s="757"/>
      <c r="AA237" s="757"/>
      <c r="AB237" s="757"/>
      <c r="AC237" s="757"/>
      <c r="AD237" s="757"/>
      <c r="AE237" s="757"/>
      <c r="AF237" s="757"/>
      <c r="AG237" s="757"/>
      <c r="AH237" s="757"/>
      <c r="AI237" s="757"/>
      <c r="AJ237" s="757"/>
      <c r="AK237" s="757"/>
      <c r="AL237" s="757"/>
      <c r="AM237" s="757"/>
      <c r="AN237" s="757"/>
      <c r="AO237" s="757"/>
      <c r="AP237" s="757"/>
      <c r="AQ237" s="757"/>
      <c r="AR237" s="757"/>
      <c r="AS237" s="757"/>
      <c r="AT237" s="757"/>
      <c r="AU237" s="757"/>
      <c r="AV237" s="757"/>
      <c r="AW237" s="757"/>
      <c r="AX237" s="757"/>
      <c r="AY237" s="757"/>
      <c r="AZ237" s="75"/>
      <c r="BA237" s="2"/>
      <c r="BB237" s="2"/>
      <c r="BC237" s="2"/>
      <c r="BD237" s="2"/>
    </row>
    <row r="238" spans="1:56">
      <c r="A238" s="781">
        <v>2</v>
      </c>
      <c r="B238" s="782">
        <v>253</v>
      </c>
      <c r="C238" s="783">
        <v>45285</v>
      </c>
      <c r="D238" s="783" t="s">
        <v>488</v>
      </c>
      <c r="E238" s="808">
        <v>400</v>
      </c>
      <c r="F238" s="799"/>
      <c r="G238" s="799"/>
      <c r="H238" s="1592">
        <f t="shared" si="9"/>
        <v>0</v>
      </c>
      <c r="I238" s="754" t="str">
        <f>IFERROR(VLOOKUP(B238,Mychart!$A$125:$B$911,2,FALSE),"-")</f>
        <v>SHIHAB ALNAB</v>
      </c>
      <c r="J238" s="753">
        <f t="shared" si="10"/>
        <v>12</v>
      </c>
      <c r="K238" s="1540">
        <f t="shared" si="11"/>
        <v>2023</v>
      </c>
      <c r="L238" s="757"/>
      <c r="M238" s="757"/>
      <c r="N238" s="757"/>
      <c r="O238" s="757"/>
      <c r="P238" s="757"/>
      <c r="Q238" s="757"/>
      <c r="R238" s="757"/>
      <c r="S238" s="757"/>
      <c r="T238" s="757"/>
      <c r="U238" s="757"/>
      <c r="V238" s="757"/>
      <c r="W238" s="757"/>
      <c r="X238" s="757"/>
      <c r="Y238" s="757"/>
      <c r="Z238" s="757"/>
      <c r="AA238" s="757"/>
      <c r="AB238" s="757"/>
      <c r="AC238" s="757"/>
      <c r="AD238" s="757"/>
      <c r="AE238" s="757"/>
      <c r="AF238" s="757"/>
      <c r="AG238" s="757"/>
      <c r="AH238" s="757"/>
      <c r="AI238" s="757"/>
      <c r="AJ238" s="757"/>
      <c r="AK238" s="757"/>
      <c r="AL238" s="757"/>
      <c r="AM238" s="757"/>
      <c r="AN238" s="757"/>
      <c r="AO238" s="757"/>
      <c r="AP238" s="757"/>
      <c r="AQ238" s="757"/>
      <c r="AR238" s="757"/>
      <c r="AS238" s="757"/>
      <c r="AT238" s="757"/>
      <c r="AU238" s="757"/>
      <c r="AV238" s="757"/>
      <c r="AW238" s="757"/>
      <c r="AX238" s="757"/>
      <c r="AY238" s="757"/>
      <c r="AZ238" s="75"/>
      <c r="BA238" s="2"/>
      <c r="BB238" s="2"/>
      <c r="BC238" s="2"/>
      <c r="BD238" s="2"/>
    </row>
    <row r="239" spans="1:56">
      <c r="A239" s="781">
        <v>2</v>
      </c>
      <c r="B239" s="782">
        <v>253</v>
      </c>
      <c r="C239" s="783">
        <v>45376</v>
      </c>
      <c r="D239" s="783" t="s">
        <v>228</v>
      </c>
      <c r="E239" s="808">
        <v>1019.6</v>
      </c>
      <c r="F239" s="799"/>
      <c r="G239" s="799"/>
      <c r="H239" s="1592">
        <f t="shared" si="9"/>
        <v>0</v>
      </c>
      <c r="I239" s="754" t="str">
        <f>IFERROR(VLOOKUP(B239,Mychart!$A$125:$B$911,2,FALSE),"-")</f>
        <v>SHIHAB ALNAB</v>
      </c>
      <c r="J239" s="753">
        <f t="shared" si="10"/>
        <v>3</v>
      </c>
      <c r="K239" s="1540">
        <f t="shared" si="11"/>
        <v>2024</v>
      </c>
      <c r="L239" s="757"/>
      <c r="M239" s="757"/>
      <c r="N239" s="757"/>
      <c r="O239" s="757"/>
      <c r="P239" s="757"/>
      <c r="Q239" s="757"/>
      <c r="R239" s="757"/>
      <c r="S239" s="757"/>
      <c r="T239" s="757"/>
      <c r="U239" s="757"/>
      <c r="V239" s="757"/>
      <c r="W239" s="757"/>
      <c r="X239" s="757"/>
      <c r="Y239" s="757"/>
      <c r="Z239" s="757"/>
      <c r="AA239" s="757"/>
      <c r="AB239" s="757"/>
      <c r="AC239" s="757"/>
      <c r="AD239" s="757"/>
      <c r="AE239" s="757"/>
      <c r="AF239" s="757"/>
      <c r="AG239" s="757"/>
      <c r="AH239" s="757"/>
      <c r="AI239" s="757"/>
      <c r="AJ239" s="757"/>
      <c r="AK239" s="757"/>
      <c r="AL239" s="757"/>
      <c r="AM239" s="757"/>
      <c r="AN239" s="757"/>
      <c r="AO239" s="757"/>
      <c r="AP239" s="757"/>
      <c r="AQ239" s="757"/>
      <c r="AR239" s="757"/>
      <c r="AS239" s="757"/>
      <c r="AT239" s="757"/>
      <c r="AU239" s="757"/>
      <c r="AV239" s="757"/>
      <c r="AW239" s="757"/>
      <c r="AX239" s="757"/>
      <c r="AY239" s="757"/>
      <c r="AZ239" s="75"/>
      <c r="BA239" s="2"/>
      <c r="BB239" s="2"/>
      <c r="BC239" s="2"/>
      <c r="BD239" s="2"/>
    </row>
    <row r="240" spans="1:56">
      <c r="A240" s="781">
        <v>2</v>
      </c>
      <c r="B240" s="782">
        <v>253</v>
      </c>
      <c r="C240" s="783">
        <v>45387</v>
      </c>
      <c r="D240" s="783" t="s">
        <v>224</v>
      </c>
      <c r="E240" s="808">
        <v>7187.25</v>
      </c>
      <c r="F240" s="799"/>
      <c r="G240" s="799"/>
      <c r="H240" s="1592">
        <f t="shared" si="9"/>
        <v>0</v>
      </c>
      <c r="I240" s="754" t="str">
        <f>IFERROR(VLOOKUP(B240,Mychart!$A$125:$B$911,2,FALSE),"-")</f>
        <v>SHIHAB ALNAB</v>
      </c>
      <c r="J240" s="753">
        <f t="shared" si="10"/>
        <v>4</v>
      </c>
      <c r="K240" s="1540">
        <f t="shared" si="11"/>
        <v>2024</v>
      </c>
      <c r="L240" s="757"/>
      <c r="M240" s="757"/>
      <c r="N240" s="757"/>
      <c r="O240" s="757"/>
      <c r="P240" s="757"/>
      <c r="Q240" s="757"/>
      <c r="R240" s="757"/>
      <c r="S240" s="757"/>
      <c r="T240" s="757"/>
      <c r="U240" s="757"/>
      <c r="V240" s="757"/>
      <c r="W240" s="757"/>
      <c r="X240" s="757"/>
      <c r="Y240" s="757"/>
      <c r="Z240" s="757"/>
      <c r="AA240" s="757"/>
      <c r="AB240" s="757"/>
      <c r="AC240" s="757"/>
      <c r="AD240" s="757"/>
      <c r="AE240" s="757"/>
      <c r="AF240" s="757"/>
      <c r="AG240" s="757"/>
      <c r="AH240" s="757"/>
      <c r="AI240" s="757"/>
      <c r="AJ240" s="757"/>
      <c r="AK240" s="757"/>
      <c r="AL240" s="757"/>
      <c r="AM240" s="757"/>
      <c r="AN240" s="757"/>
      <c r="AO240" s="757"/>
      <c r="AP240" s="757"/>
      <c r="AQ240" s="757"/>
      <c r="AR240" s="757"/>
      <c r="AS240" s="757"/>
      <c r="AT240" s="757"/>
      <c r="AU240" s="757"/>
      <c r="AV240" s="757"/>
      <c r="AW240" s="757"/>
      <c r="AX240" s="757"/>
      <c r="AY240" s="757"/>
      <c r="AZ240" s="75"/>
      <c r="BA240" s="2"/>
      <c r="BB240" s="2"/>
      <c r="BC240" s="2"/>
      <c r="BD240" s="2"/>
    </row>
    <row r="241" spans="1:56">
      <c r="A241" s="781">
        <v>2</v>
      </c>
      <c r="B241" s="782">
        <v>253</v>
      </c>
      <c r="C241" s="783">
        <v>45382</v>
      </c>
      <c r="D241" s="783" t="s">
        <v>177</v>
      </c>
      <c r="E241" s="808">
        <v>2782</v>
      </c>
      <c r="F241" s="799"/>
      <c r="G241" s="799"/>
      <c r="H241" s="1592">
        <f t="shared" si="9"/>
        <v>0</v>
      </c>
      <c r="I241" s="754" t="str">
        <f>IFERROR(VLOOKUP(B241,Mychart!$A$125:$B$911,2,FALSE),"-")</f>
        <v>SHIHAB ALNAB</v>
      </c>
      <c r="J241" s="753">
        <f t="shared" si="10"/>
        <v>3</v>
      </c>
      <c r="K241" s="1540">
        <f t="shared" si="11"/>
        <v>2024</v>
      </c>
      <c r="L241" s="757"/>
      <c r="M241" s="757"/>
      <c r="N241" s="757"/>
      <c r="O241" s="757"/>
      <c r="P241" s="757"/>
      <c r="Q241" s="757"/>
      <c r="R241" s="757"/>
      <c r="S241" s="757"/>
      <c r="T241" s="757"/>
      <c r="U241" s="757"/>
      <c r="V241" s="757"/>
      <c r="W241" s="757"/>
      <c r="X241" s="757"/>
      <c r="Y241" s="757"/>
      <c r="Z241" s="757"/>
      <c r="AA241" s="757"/>
      <c r="AB241" s="757"/>
      <c r="AC241" s="757"/>
      <c r="AD241" s="757"/>
      <c r="AE241" s="757"/>
      <c r="AF241" s="757"/>
      <c r="AG241" s="757"/>
      <c r="AH241" s="757"/>
      <c r="AI241" s="757"/>
      <c r="AJ241" s="757"/>
      <c r="AK241" s="757"/>
      <c r="AL241" s="757"/>
      <c r="AM241" s="757"/>
      <c r="AN241" s="757"/>
      <c r="AO241" s="757"/>
      <c r="AP241" s="757"/>
      <c r="AQ241" s="757"/>
      <c r="AR241" s="757"/>
      <c r="AS241" s="757"/>
      <c r="AT241" s="757"/>
      <c r="AU241" s="757"/>
      <c r="AV241" s="757"/>
      <c r="AW241" s="757"/>
      <c r="AX241" s="757"/>
      <c r="AY241" s="757"/>
      <c r="AZ241" s="75"/>
      <c r="BA241" s="2"/>
      <c r="BB241" s="2"/>
      <c r="BC241" s="2"/>
      <c r="BD241" s="2"/>
    </row>
    <row r="242" spans="1:56">
      <c r="A242" s="781">
        <v>2</v>
      </c>
      <c r="B242" s="782">
        <v>253</v>
      </c>
      <c r="C242" s="783">
        <v>45412</v>
      </c>
      <c r="D242" s="783" t="s">
        <v>177</v>
      </c>
      <c r="E242" s="808">
        <v>1156</v>
      </c>
      <c r="F242" s="799"/>
      <c r="G242" s="799"/>
      <c r="H242" s="1592">
        <f t="shared" si="9"/>
        <v>0</v>
      </c>
      <c r="I242" s="754" t="str">
        <f>IFERROR(VLOOKUP(B242,Mychart!$A$125:$B$911,2,FALSE),"-")</f>
        <v>SHIHAB ALNAB</v>
      </c>
      <c r="J242" s="753">
        <f t="shared" si="10"/>
        <v>4</v>
      </c>
      <c r="K242" s="1540">
        <f t="shared" si="11"/>
        <v>2024</v>
      </c>
      <c r="L242" s="757"/>
      <c r="M242" s="757"/>
      <c r="N242" s="757"/>
      <c r="O242" s="757"/>
      <c r="P242" s="757"/>
      <c r="Q242" s="757"/>
      <c r="R242" s="757"/>
      <c r="S242" s="757"/>
      <c r="T242" s="757"/>
      <c r="U242" s="757"/>
      <c r="V242" s="757"/>
      <c r="W242" s="757"/>
      <c r="X242" s="757"/>
      <c r="Y242" s="757"/>
      <c r="Z242" s="757"/>
      <c r="AA242" s="757"/>
      <c r="AB242" s="757"/>
      <c r="AC242" s="757"/>
      <c r="AD242" s="757"/>
      <c r="AE242" s="757"/>
      <c r="AF242" s="757"/>
      <c r="AG242" s="757"/>
      <c r="AH242" s="757"/>
      <c r="AI242" s="757"/>
      <c r="AJ242" s="757"/>
      <c r="AK242" s="757"/>
      <c r="AL242" s="757"/>
      <c r="AM242" s="757"/>
      <c r="AN242" s="757"/>
      <c r="AO242" s="757"/>
      <c r="AP242" s="757"/>
      <c r="AQ242" s="757"/>
      <c r="AR242" s="757"/>
      <c r="AS242" s="757"/>
      <c r="AT242" s="757"/>
      <c r="AU242" s="757"/>
      <c r="AV242" s="757"/>
      <c r="AW242" s="757"/>
      <c r="AX242" s="757"/>
      <c r="AY242" s="757"/>
      <c r="AZ242" s="75"/>
      <c r="BA242" s="2"/>
      <c r="BB242" s="2"/>
      <c r="BC242" s="2"/>
      <c r="BD242" s="2"/>
    </row>
    <row r="243" spans="1:56">
      <c r="A243" s="781">
        <v>1</v>
      </c>
      <c r="B243" s="782">
        <v>222</v>
      </c>
      <c r="C243" s="783">
        <v>44958</v>
      </c>
      <c r="D243" s="786" t="s">
        <v>494</v>
      </c>
      <c r="E243" s="807"/>
      <c r="F243" s="798">
        <v>25500</v>
      </c>
      <c r="G243" s="798">
        <v>1275</v>
      </c>
      <c r="H243" s="1592">
        <f t="shared" si="9"/>
        <v>26775</v>
      </c>
      <c r="I243" s="754" t="str">
        <f>IFERROR(VLOOKUP(B243,Mychart!$A$125:$B$911,2,FALSE),"-")</f>
        <v>SAMAH - ARCHPIX</v>
      </c>
      <c r="J243" s="753">
        <f t="shared" si="10"/>
        <v>2</v>
      </c>
      <c r="K243" s="1540">
        <f t="shared" si="11"/>
        <v>2023</v>
      </c>
      <c r="L243" s="757"/>
      <c r="M243" s="757"/>
      <c r="N243" s="757"/>
      <c r="O243" s="757"/>
      <c r="P243" s="757"/>
      <c r="Q243" s="757"/>
      <c r="R243" s="757"/>
      <c r="S243" s="757"/>
      <c r="T243" s="757"/>
      <c r="U243" s="757"/>
      <c r="V243" s="757"/>
      <c r="W243" s="757"/>
      <c r="X243" s="757"/>
      <c r="Y243" s="757"/>
      <c r="Z243" s="757"/>
      <c r="AA243" s="757"/>
      <c r="AB243" s="757"/>
      <c r="AC243" s="757"/>
      <c r="AD243" s="757"/>
      <c r="AE243" s="757"/>
      <c r="AF243" s="757"/>
      <c r="AG243" s="757"/>
      <c r="AH243" s="757"/>
      <c r="AI243" s="757"/>
      <c r="AJ243" s="757"/>
      <c r="AK243" s="757"/>
      <c r="AL243" s="757"/>
      <c r="AM243" s="757"/>
      <c r="AN243" s="757"/>
      <c r="AO243" s="757"/>
      <c r="AP243" s="757"/>
      <c r="AQ243" s="757"/>
      <c r="AR243" s="757"/>
      <c r="AS243" s="757"/>
      <c r="AT243" s="757"/>
      <c r="AU243" s="757"/>
      <c r="AV243" s="757"/>
      <c r="AW243" s="757"/>
      <c r="AX243" s="757"/>
      <c r="AY243" s="757"/>
      <c r="AZ243" s="75"/>
      <c r="BA243" s="2"/>
      <c r="BB243" s="2"/>
      <c r="BC243" s="2"/>
      <c r="BD243" s="2"/>
    </row>
    <row r="244" spans="1:56">
      <c r="A244" s="781">
        <v>1</v>
      </c>
      <c r="B244" s="782">
        <v>222</v>
      </c>
      <c r="C244" s="783">
        <v>45283</v>
      </c>
      <c r="D244" s="784" t="s">
        <v>495</v>
      </c>
      <c r="E244" s="807"/>
      <c r="F244" s="798">
        <v>68000</v>
      </c>
      <c r="G244" s="798">
        <v>3400</v>
      </c>
      <c r="H244" s="1592">
        <f t="shared" si="9"/>
        <v>71400</v>
      </c>
      <c r="I244" s="754" t="str">
        <f>IFERROR(VLOOKUP(B244,Mychart!$A$125:$B$911,2,FALSE),"-")</f>
        <v>SAMAH - ARCHPIX</v>
      </c>
      <c r="J244" s="753">
        <f t="shared" si="10"/>
        <v>12</v>
      </c>
      <c r="K244" s="1540">
        <f t="shared" si="11"/>
        <v>2023</v>
      </c>
      <c r="L244" s="757"/>
      <c r="M244" s="757"/>
      <c r="N244" s="757"/>
      <c r="O244" s="757"/>
      <c r="P244" s="757"/>
      <c r="Q244" s="757"/>
      <c r="R244" s="757"/>
      <c r="S244" s="757"/>
      <c r="T244" s="757"/>
      <c r="U244" s="757"/>
      <c r="V244" s="757"/>
      <c r="W244" s="757"/>
      <c r="X244" s="757"/>
      <c r="Y244" s="757"/>
      <c r="Z244" s="757"/>
      <c r="AA244" s="757"/>
      <c r="AB244" s="757"/>
      <c r="AC244" s="757"/>
      <c r="AD244" s="757"/>
      <c r="AE244" s="757"/>
      <c r="AF244" s="757"/>
      <c r="AG244" s="757"/>
      <c r="AH244" s="757"/>
      <c r="AI244" s="757"/>
      <c r="AJ244" s="757"/>
      <c r="AK244" s="757"/>
      <c r="AL244" s="757"/>
      <c r="AM244" s="757"/>
      <c r="AN244" s="757"/>
      <c r="AO244" s="757"/>
      <c r="AP244" s="757"/>
      <c r="AQ244" s="757"/>
      <c r="AR244" s="757"/>
      <c r="AS244" s="757"/>
      <c r="AT244" s="757"/>
      <c r="AU244" s="757"/>
      <c r="AV244" s="757"/>
      <c r="AW244" s="757"/>
      <c r="AX244" s="757"/>
      <c r="AY244" s="757"/>
      <c r="AZ244" s="75"/>
      <c r="BA244" s="2"/>
      <c r="BB244" s="2"/>
      <c r="BC244" s="2"/>
      <c r="BD244" s="2"/>
    </row>
    <row r="245" spans="1:56">
      <c r="A245" s="781">
        <v>1</v>
      </c>
      <c r="B245" s="782">
        <v>222</v>
      </c>
      <c r="C245" s="783">
        <v>45361</v>
      </c>
      <c r="D245" s="784" t="s">
        <v>496</v>
      </c>
      <c r="E245" s="807"/>
      <c r="F245" s="798">
        <v>62016</v>
      </c>
      <c r="G245" s="798">
        <v>3100.8</v>
      </c>
      <c r="H245" s="1592">
        <f t="shared" si="9"/>
        <v>65116.800000000003</v>
      </c>
      <c r="I245" s="754" t="str">
        <f>IFERROR(VLOOKUP(B245,Mychart!$A$125:$B$911,2,FALSE),"-")</f>
        <v>SAMAH - ARCHPIX</v>
      </c>
      <c r="J245" s="753">
        <f t="shared" si="10"/>
        <v>3</v>
      </c>
      <c r="K245" s="1540">
        <f t="shared" si="11"/>
        <v>2024</v>
      </c>
      <c r="L245" s="757"/>
      <c r="M245" s="757"/>
      <c r="N245" s="757"/>
      <c r="O245" s="757"/>
      <c r="P245" s="757"/>
      <c r="Q245" s="757"/>
      <c r="R245" s="757"/>
      <c r="S245" s="757"/>
      <c r="T245" s="757"/>
      <c r="U245" s="757"/>
      <c r="V245" s="757"/>
      <c r="W245" s="757"/>
      <c r="X245" s="757"/>
      <c r="Y245" s="757"/>
      <c r="Z245" s="757"/>
      <c r="AA245" s="757"/>
      <c r="AB245" s="757"/>
      <c r="AC245" s="757"/>
      <c r="AD245" s="757"/>
      <c r="AE245" s="757"/>
      <c r="AF245" s="757"/>
      <c r="AG245" s="757"/>
      <c r="AH245" s="757"/>
      <c r="AI245" s="757"/>
      <c r="AJ245" s="757"/>
      <c r="AK245" s="757"/>
      <c r="AL245" s="757"/>
      <c r="AM245" s="757"/>
      <c r="AN245" s="757"/>
      <c r="AO245" s="757"/>
      <c r="AP245" s="757"/>
      <c r="AQ245" s="757"/>
      <c r="AR245" s="757"/>
      <c r="AS245" s="757"/>
      <c r="AT245" s="757"/>
      <c r="AU245" s="757"/>
      <c r="AV245" s="757"/>
      <c r="AW245" s="757"/>
      <c r="AX245" s="757"/>
      <c r="AY245" s="757"/>
      <c r="AZ245" s="75"/>
      <c r="BA245" s="2"/>
      <c r="BB245" s="2"/>
      <c r="BC245" s="2"/>
      <c r="BD245" s="2"/>
    </row>
    <row r="246" spans="1:56">
      <c r="A246" s="781">
        <v>2</v>
      </c>
      <c r="B246" s="782">
        <v>222</v>
      </c>
      <c r="C246" s="783">
        <v>44958</v>
      </c>
      <c r="D246" s="783" t="s">
        <v>497</v>
      </c>
      <c r="E246" s="808">
        <v>10500</v>
      </c>
      <c r="F246" s="798"/>
      <c r="G246" s="799"/>
      <c r="H246" s="1592">
        <f t="shared" si="9"/>
        <v>0</v>
      </c>
      <c r="I246" s="754" t="str">
        <f>IFERROR(VLOOKUP(B246,Mychart!$A$125:$B$911,2,FALSE),"-")</f>
        <v>SAMAH - ARCHPIX</v>
      </c>
      <c r="J246" s="753">
        <f t="shared" si="10"/>
        <v>2</v>
      </c>
      <c r="K246" s="1540">
        <f t="shared" si="11"/>
        <v>2023</v>
      </c>
      <c r="L246" s="757"/>
      <c r="M246" s="757"/>
      <c r="N246" s="757"/>
      <c r="O246" s="757"/>
      <c r="P246" s="757"/>
      <c r="Q246" s="757"/>
      <c r="R246" s="757"/>
      <c r="S246" s="757"/>
      <c r="T246" s="757"/>
      <c r="U246" s="757"/>
      <c r="V246" s="757"/>
      <c r="W246" s="757"/>
      <c r="X246" s="757"/>
      <c r="Y246" s="757"/>
      <c r="Z246" s="757"/>
      <c r="AA246" s="757"/>
      <c r="AB246" s="757"/>
      <c r="AC246" s="757"/>
      <c r="AD246" s="757"/>
      <c r="AE246" s="757"/>
      <c r="AF246" s="757"/>
      <c r="AG246" s="757"/>
      <c r="AH246" s="757"/>
      <c r="AI246" s="757"/>
      <c r="AJ246" s="757"/>
      <c r="AK246" s="757"/>
      <c r="AL246" s="757"/>
      <c r="AM246" s="757"/>
      <c r="AN246" s="757"/>
      <c r="AO246" s="757"/>
      <c r="AP246" s="757"/>
      <c r="AQ246" s="757"/>
      <c r="AR246" s="757"/>
      <c r="AS246" s="757"/>
      <c r="AT246" s="757"/>
      <c r="AU246" s="757"/>
      <c r="AV246" s="757"/>
      <c r="AW246" s="757"/>
      <c r="AX246" s="757"/>
      <c r="AY246" s="757"/>
      <c r="AZ246" s="75"/>
      <c r="BA246" s="2"/>
      <c r="BB246" s="2"/>
      <c r="BC246" s="2"/>
      <c r="BD246" s="2"/>
    </row>
    <row r="247" spans="1:56">
      <c r="A247" s="781">
        <v>2</v>
      </c>
      <c r="B247" s="782">
        <v>222</v>
      </c>
      <c r="C247" s="783"/>
      <c r="D247" s="783" t="s">
        <v>177</v>
      </c>
      <c r="E247" s="808">
        <v>33</v>
      </c>
      <c r="F247" s="798"/>
      <c r="G247" s="799"/>
      <c r="H247" s="1592">
        <f t="shared" si="9"/>
        <v>0</v>
      </c>
      <c r="I247" s="754" t="str">
        <f>IFERROR(VLOOKUP(B247,Mychart!$A$125:$B$911,2,FALSE),"-")</f>
        <v>SAMAH - ARCHPIX</v>
      </c>
      <c r="J247" s="753" t="str">
        <f t="shared" si="10"/>
        <v>-</v>
      </c>
      <c r="K247" s="1540">
        <f t="shared" si="11"/>
        <v>1900</v>
      </c>
      <c r="L247" s="757"/>
      <c r="M247" s="757"/>
      <c r="N247" s="757"/>
      <c r="O247" s="757"/>
      <c r="P247" s="757"/>
      <c r="Q247" s="757"/>
      <c r="R247" s="757"/>
      <c r="S247" s="757"/>
      <c r="T247" s="757"/>
      <c r="U247" s="757"/>
      <c r="V247" s="757"/>
      <c r="W247" s="757"/>
      <c r="X247" s="757"/>
      <c r="Y247" s="757"/>
      <c r="Z247" s="757"/>
      <c r="AA247" s="757"/>
      <c r="AB247" s="757"/>
      <c r="AC247" s="757"/>
      <c r="AD247" s="757"/>
      <c r="AE247" s="757"/>
      <c r="AF247" s="757"/>
      <c r="AG247" s="757"/>
      <c r="AH247" s="757"/>
      <c r="AI247" s="757"/>
      <c r="AJ247" s="757"/>
      <c r="AK247" s="757"/>
      <c r="AL247" s="757"/>
      <c r="AM247" s="757"/>
      <c r="AN247" s="757"/>
      <c r="AO247" s="757"/>
      <c r="AP247" s="757"/>
      <c r="AQ247" s="757"/>
      <c r="AR247" s="757"/>
      <c r="AS247" s="757"/>
      <c r="AT247" s="757"/>
      <c r="AU247" s="757"/>
      <c r="AV247" s="757"/>
      <c r="AW247" s="757"/>
      <c r="AX247" s="757"/>
      <c r="AY247" s="757"/>
      <c r="AZ247" s="75"/>
      <c r="BA247" s="2"/>
      <c r="BB247" s="2"/>
      <c r="BC247" s="2"/>
      <c r="BD247" s="2"/>
    </row>
    <row r="248" spans="1:56">
      <c r="A248" s="781">
        <v>2</v>
      </c>
      <c r="B248" s="782">
        <v>222</v>
      </c>
      <c r="C248" s="783"/>
      <c r="D248" s="783" t="s">
        <v>498</v>
      </c>
      <c r="E248" s="808">
        <v>2000</v>
      </c>
      <c r="F248" s="798"/>
      <c r="G248" s="799"/>
      <c r="H248" s="1592">
        <f t="shared" si="9"/>
        <v>0</v>
      </c>
      <c r="I248" s="754" t="str">
        <f>IFERROR(VLOOKUP(B248,Mychart!$A$125:$B$911,2,FALSE),"-")</f>
        <v>SAMAH - ARCHPIX</v>
      </c>
      <c r="J248" s="753" t="str">
        <f t="shared" si="10"/>
        <v>-</v>
      </c>
      <c r="K248" s="1540">
        <f t="shared" si="11"/>
        <v>1900</v>
      </c>
      <c r="L248" s="757"/>
      <c r="M248" s="757"/>
      <c r="N248" s="757"/>
      <c r="O248" s="757"/>
      <c r="P248" s="757"/>
      <c r="Q248" s="757"/>
      <c r="R248" s="757"/>
      <c r="S248" s="757"/>
      <c r="T248" s="757"/>
      <c r="U248" s="757"/>
      <c r="V248" s="757"/>
      <c r="W248" s="757"/>
      <c r="X248" s="757"/>
      <c r="Y248" s="757"/>
      <c r="Z248" s="757"/>
      <c r="AA248" s="757"/>
      <c r="AB248" s="757"/>
      <c r="AC248" s="757"/>
      <c r="AD248" s="757"/>
      <c r="AE248" s="757"/>
      <c r="AF248" s="757"/>
      <c r="AG248" s="757"/>
      <c r="AH248" s="757"/>
      <c r="AI248" s="757"/>
      <c r="AJ248" s="757"/>
      <c r="AK248" s="757"/>
      <c r="AL248" s="757"/>
      <c r="AM248" s="757"/>
      <c r="AN248" s="757"/>
      <c r="AO248" s="757"/>
      <c r="AP248" s="757"/>
      <c r="AQ248" s="757"/>
      <c r="AR248" s="757"/>
      <c r="AS248" s="757"/>
      <c r="AT248" s="757"/>
      <c r="AU248" s="757"/>
      <c r="AV248" s="757"/>
      <c r="AW248" s="757"/>
      <c r="AX248" s="757"/>
      <c r="AY248" s="757"/>
      <c r="AZ248" s="75"/>
      <c r="BA248" s="2"/>
      <c r="BB248" s="2"/>
      <c r="BC248" s="2"/>
      <c r="BD248" s="2"/>
    </row>
    <row r="249" spans="1:56">
      <c r="A249" s="781">
        <v>2</v>
      </c>
      <c r="B249" s="782">
        <v>222</v>
      </c>
      <c r="C249" s="783"/>
      <c r="D249" s="783" t="s">
        <v>499</v>
      </c>
      <c r="E249" s="808">
        <v>600</v>
      </c>
      <c r="F249" s="798"/>
      <c r="G249" s="799"/>
      <c r="H249" s="1592">
        <f t="shared" si="9"/>
        <v>0</v>
      </c>
      <c r="I249" s="754" t="str">
        <f>IFERROR(VLOOKUP(B249,Mychart!$A$125:$B$911,2,FALSE),"-")</f>
        <v>SAMAH - ARCHPIX</v>
      </c>
      <c r="J249" s="753" t="str">
        <f t="shared" si="10"/>
        <v>-</v>
      </c>
      <c r="K249" s="1540">
        <f t="shared" si="11"/>
        <v>1900</v>
      </c>
      <c r="L249" s="757"/>
      <c r="M249" s="757"/>
      <c r="N249" s="757"/>
      <c r="O249" s="757"/>
      <c r="P249" s="757"/>
      <c r="Q249" s="757"/>
      <c r="R249" s="757"/>
      <c r="S249" s="757"/>
      <c r="T249" s="757"/>
      <c r="U249" s="757"/>
      <c r="V249" s="757"/>
      <c r="W249" s="757"/>
      <c r="X249" s="757"/>
      <c r="Y249" s="757"/>
      <c r="Z249" s="757"/>
      <c r="AA249" s="757"/>
      <c r="AB249" s="757"/>
      <c r="AC249" s="757"/>
      <c r="AD249" s="757"/>
      <c r="AE249" s="757"/>
      <c r="AF249" s="757"/>
      <c r="AG249" s="757"/>
      <c r="AH249" s="757"/>
      <c r="AI249" s="757"/>
      <c r="AJ249" s="757"/>
      <c r="AK249" s="757"/>
      <c r="AL249" s="757"/>
      <c r="AM249" s="757"/>
      <c r="AN249" s="757"/>
      <c r="AO249" s="757"/>
      <c r="AP249" s="757"/>
      <c r="AQ249" s="757"/>
      <c r="AR249" s="757"/>
      <c r="AS249" s="757"/>
      <c r="AT249" s="757"/>
      <c r="AU249" s="757"/>
      <c r="AV249" s="757"/>
      <c r="AW249" s="757"/>
      <c r="AX249" s="757"/>
      <c r="AY249" s="757"/>
      <c r="AZ249" s="75"/>
      <c r="BA249" s="2"/>
      <c r="BB249" s="2"/>
      <c r="BC249" s="2"/>
      <c r="BD249" s="2"/>
    </row>
    <row r="250" spans="1:56">
      <c r="A250" s="781">
        <v>2</v>
      </c>
      <c r="B250" s="782">
        <v>222</v>
      </c>
      <c r="C250" s="783"/>
      <c r="D250" s="783" t="s">
        <v>177</v>
      </c>
      <c r="E250" s="808">
        <v>73</v>
      </c>
      <c r="F250" s="798"/>
      <c r="G250" s="799"/>
      <c r="H250" s="1592">
        <f t="shared" si="9"/>
        <v>0</v>
      </c>
      <c r="I250" s="754" t="str">
        <f>IFERROR(VLOOKUP(B250,Mychart!$A$125:$B$911,2,FALSE),"-")</f>
        <v>SAMAH - ARCHPIX</v>
      </c>
      <c r="J250" s="753" t="str">
        <f t="shared" si="10"/>
        <v>-</v>
      </c>
      <c r="K250" s="1540">
        <f t="shared" si="11"/>
        <v>1900</v>
      </c>
      <c r="L250" s="757"/>
      <c r="M250" s="757"/>
      <c r="N250" s="757"/>
      <c r="O250" s="757"/>
      <c r="P250" s="757"/>
      <c r="Q250" s="757"/>
      <c r="R250" s="757"/>
      <c r="S250" s="757"/>
      <c r="T250" s="757"/>
      <c r="U250" s="757"/>
      <c r="V250" s="757"/>
      <c r="W250" s="757"/>
      <c r="X250" s="757"/>
      <c r="Y250" s="757"/>
      <c r="Z250" s="757"/>
      <c r="AA250" s="757"/>
      <c r="AB250" s="757"/>
      <c r="AC250" s="757"/>
      <c r="AD250" s="757"/>
      <c r="AE250" s="757"/>
      <c r="AF250" s="757"/>
      <c r="AG250" s="757"/>
      <c r="AH250" s="757"/>
      <c r="AI250" s="757"/>
      <c r="AJ250" s="757"/>
      <c r="AK250" s="757"/>
      <c r="AL250" s="757"/>
      <c r="AM250" s="757"/>
      <c r="AN250" s="757"/>
      <c r="AO250" s="757"/>
      <c r="AP250" s="757"/>
      <c r="AQ250" s="757"/>
      <c r="AR250" s="757"/>
      <c r="AS250" s="757"/>
      <c r="AT250" s="757"/>
      <c r="AU250" s="757"/>
      <c r="AV250" s="757"/>
      <c r="AW250" s="757"/>
      <c r="AX250" s="757"/>
      <c r="AY250" s="757"/>
      <c r="AZ250" s="75"/>
      <c r="BA250" s="2"/>
      <c r="BB250" s="2"/>
      <c r="BC250" s="2"/>
      <c r="BD250" s="2"/>
    </row>
    <row r="251" spans="1:56">
      <c r="A251" s="781">
        <v>2</v>
      </c>
      <c r="B251" s="782">
        <v>222</v>
      </c>
      <c r="C251" s="783"/>
      <c r="D251" s="783" t="s">
        <v>177</v>
      </c>
      <c r="E251" s="808">
        <v>391</v>
      </c>
      <c r="F251" s="798"/>
      <c r="G251" s="799"/>
      <c r="H251" s="1592">
        <f t="shared" si="9"/>
        <v>0</v>
      </c>
      <c r="I251" s="754" t="str">
        <f>IFERROR(VLOOKUP(B251,Mychart!$A$125:$B$911,2,FALSE),"-")</f>
        <v>SAMAH - ARCHPIX</v>
      </c>
      <c r="J251" s="753" t="str">
        <f t="shared" si="10"/>
        <v>-</v>
      </c>
      <c r="K251" s="1540">
        <f t="shared" si="11"/>
        <v>1900</v>
      </c>
      <c r="L251" s="757"/>
      <c r="M251" s="757"/>
      <c r="N251" s="757"/>
      <c r="O251" s="757"/>
      <c r="P251" s="757"/>
      <c r="Q251" s="757"/>
      <c r="R251" s="757"/>
      <c r="S251" s="757"/>
      <c r="T251" s="757"/>
      <c r="U251" s="757"/>
      <c r="V251" s="757"/>
      <c r="W251" s="757"/>
      <c r="X251" s="757"/>
      <c r="Y251" s="757"/>
      <c r="Z251" s="757"/>
      <c r="AA251" s="757"/>
      <c r="AB251" s="757"/>
      <c r="AC251" s="757"/>
      <c r="AD251" s="757"/>
      <c r="AE251" s="757"/>
      <c r="AF251" s="757"/>
      <c r="AG251" s="757"/>
      <c r="AH251" s="757"/>
      <c r="AI251" s="757"/>
      <c r="AJ251" s="757"/>
      <c r="AK251" s="757"/>
      <c r="AL251" s="757"/>
      <c r="AM251" s="757"/>
      <c r="AN251" s="757"/>
      <c r="AO251" s="757"/>
      <c r="AP251" s="757"/>
      <c r="AQ251" s="757"/>
      <c r="AR251" s="757"/>
      <c r="AS251" s="757"/>
      <c r="AT251" s="757"/>
      <c r="AU251" s="757"/>
      <c r="AV251" s="757"/>
      <c r="AW251" s="757"/>
      <c r="AX251" s="757"/>
      <c r="AY251" s="757"/>
      <c r="AZ251" s="75"/>
      <c r="BA251" s="2"/>
      <c r="BB251" s="2"/>
      <c r="BC251" s="2"/>
      <c r="BD251" s="2"/>
    </row>
    <row r="252" spans="1:56">
      <c r="A252" s="781">
        <v>2</v>
      </c>
      <c r="B252" s="782">
        <v>222</v>
      </c>
      <c r="C252" s="783">
        <v>45226</v>
      </c>
      <c r="D252" s="783" t="s">
        <v>258</v>
      </c>
      <c r="E252" s="808">
        <v>4762</v>
      </c>
      <c r="F252" s="798"/>
      <c r="G252" s="799"/>
      <c r="H252" s="1592">
        <f t="shared" si="9"/>
        <v>0</v>
      </c>
      <c r="I252" s="754" t="str">
        <f>IFERROR(VLOOKUP(B252,Mychart!$A$125:$B$911,2,FALSE),"-")</f>
        <v>SAMAH - ARCHPIX</v>
      </c>
      <c r="J252" s="753">
        <f t="shared" si="10"/>
        <v>10</v>
      </c>
      <c r="K252" s="1540">
        <f t="shared" si="11"/>
        <v>2023</v>
      </c>
      <c r="L252" s="757"/>
      <c r="M252" s="757"/>
      <c r="N252" s="757"/>
      <c r="O252" s="757"/>
      <c r="P252" s="757"/>
      <c r="Q252" s="757"/>
      <c r="R252" s="757"/>
      <c r="S252" s="757"/>
      <c r="T252" s="757"/>
      <c r="U252" s="757"/>
      <c r="V252" s="757"/>
      <c r="W252" s="757"/>
      <c r="X252" s="757"/>
      <c r="Y252" s="757"/>
      <c r="Z252" s="757"/>
      <c r="AA252" s="757"/>
      <c r="AB252" s="757"/>
      <c r="AC252" s="757"/>
      <c r="AD252" s="757"/>
      <c r="AE252" s="757"/>
      <c r="AF252" s="757"/>
      <c r="AG252" s="757"/>
      <c r="AH252" s="757"/>
      <c r="AI252" s="757"/>
      <c r="AJ252" s="757"/>
      <c r="AK252" s="757"/>
      <c r="AL252" s="757"/>
      <c r="AM252" s="757"/>
      <c r="AN252" s="757"/>
      <c r="AO252" s="757"/>
      <c r="AP252" s="757"/>
      <c r="AQ252" s="757"/>
      <c r="AR252" s="757"/>
      <c r="AS252" s="757"/>
      <c r="AT252" s="757"/>
      <c r="AU252" s="757"/>
      <c r="AV252" s="757"/>
      <c r="AW252" s="757"/>
      <c r="AX252" s="757"/>
      <c r="AY252" s="757"/>
      <c r="AZ252" s="75"/>
      <c r="BA252" s="2"/>
      <c r="BB252" s="2"/>
      <c r="BC252" s="2"/>
      <c r="BD252" s="2"/>
    </row>
    <row r="253" spans="1:56">
      <c r="A253" s="781">
        <v>2</v>
      </c>
      <c r="B253" s="782">
        <v>222</v>
      </c>
      <c r="C253" s="783"/>
      <c r="D253" s="783" t="s">
        <v>177</v>
      </c>
      <c r="E253" s="808">
        <v>4972</v>
      </c>
      <c r="F253" s="798"/>
      <c r="G253" s="799"/>
      <c r="H253" s="1592">
        <f t="shared" si="9"/>
        <v>0</v>
      </c>
      <c r="I253" s="754" t="str">
        <f>IFERROR(VLOOKUP(B253,Mychart!$A$125:$B$911,2,FALSE),"-")</f>
        <v>SAMAH - ARCHPIX</v>
      </c>
      <c r="J253" s="753" t="str">
        <f t="shared" si="10"/>
        <v>-</v>
      </c>
      <c r="K253" s="1540">
        <f t="shared" si="11"/>
        <v>1900</v>
      </c>
      <c r="L253" s="757"/>
      <c r="M253" s="757"/>
      <c r="N253" s="757"/>
      <c r="O253" s="757"/>
      <c r="P253" s="757"/>
      <c r="Q253" s="757"/>
      <c r="R253" s="757"/>
      <c r="S253" s="757"/>
      <c r="T253" s="757"/>
      <c r="U253" s="757"/>
      <c r="V253" s="757"/>
      <c r="W253" s="757"/>
      <c r="X253" s="757"/>
      <c r="Y253" s="757"/>
      <c r="Z253" s="757"/>
      <c r="AA253" s="757"/>
      <c r="AB253" s="757"/>
      <c r="AC253" s="757"/>
      <c r="AD253" s="757"/>
      <c r="AE253" s="757"/>
      <c r="AF253" s="757"/>
      <c r="AG253" s="757"/>
      <c r="AH253" s="757"/>
      <c r="AI253" s="757"/>
      <c r="AJ253" s="757"/>
      <c r="AK253" s="757"/>
      <c r="AL253" s="757"/>
      <c r="AM253" s="757"/>
      <c r="AN253" s="757"/>
      <c r="AO253" s="757"/>
      <c r="AP253" s="757"/>
      <c r="AQ253" s="757"/>
      <c r="AR253" s="757"/>
      <c r="AS253" s="757"/>
      <c r="AT253" s="757"/>
      <c r="AU253" s="757"/>
      <c r="AV253" s="757"/>
      <c r="AW253" s="757"/>
      <c r="AX253" s="757"/>
      <c r="AY253" s="757"/>
      <c r="AZ253" s="75"/>
      <c r="BA253" s="2"/>
      <c r="BB253" s="2"/>
      <c r="BC253" s="2"/>
      <c r="BD253" s="2"/>
    </row>
    <row r="254" spans="1:56">
      <c r="A254" s="781">
        <v>2</v>
      </c>
      <c r="B254" s="782">
        <v>222</v>
      </c>
      <c r="C254" s="783"/>
      <c r="D254" s="783" t="s">
        <v>380</v>
      </c>
      <c r="E254" s="808">
        <v>197.4</v>
      </c>
      <c r="F254" s="798"/>
      <c r="G254" s="799"/>
      <c r="H254" s="1592">
        <f t="shared" si="9"/>
        <v>0</v>
      </c>
      <c r="I254" s="754" t="str">
        <f>IFERROR(VLOOKUP(B254,Mychart!$A$125:$B$911,2,FALSE),"-")</f>
        <v>SAMAH - ARCHPIX</v>
      </c>
      <c r="J254" s="753" t="str">
        <f t="shared" si="10"/>
        <v>-</v>
      </c>
      <c r="K254" s="1540">
        <f t="shared" si="11"/>
        <v>1900</v>
      </c>
      <c r="L254" s="757"/>
      <c r="M254" s="757"/>
      <c r="N254" s="757"/>
      <c r="O254" s="757"/>
      <c r="P254" s="757"/>
      <c r="Q254" s="757"/>
      <c r="R254" s="757"/>
      <c r="S254" s="757"/>
      <c r="T254" s="757"/>
      <c r="U254" s="757"/>
      <c r="V254" s="757"/>
      <c r="W254" s="757"/>
      <c r="X254" s="757"/>
      <c r="Y254" s="757"/>
      <c r="Z254" s="757"/>
      <c r="AA254" s="757"/>
      <c r="AB254" s="757"/>
      <c r="AC254" s="757"/>
      <c r="AD254" s="757"/>
      <c r="AE254" s="757"/>
      <c r="AF254" s="757"/>
      <c r="AG254" s="757"/>
      <c r="AH254" s="757"/>
      <c r="AI254" s="757"/>
      <c r="AJ254" s="757"/>
      <c r="AK254" s="757"/>
      <c r="AL254" s="757"/>
      <c r="AM254" s="757"/>
      <c r="AN254" s="757"/>
      <c r="AO254" s="757"/>
      <c r="AP254" s="757"/>
      <c r="AQ254" s="757"/>
      <c r="AR254" s="757"/>
      <c r="AS254" s="757"/>
      <c r="AT254" s="757"/>
      <c r="AU254" s="757"/>
      <c r="AV254" s="757"/>
      <c r="AW254" s="757"/>
      <c r="AX254" s="757"/>
      <c r="AY254" s="757"/>
      <c r="AZ254" s="75"/>
      <c r="BA254" s="2"/>
      <c r="BB254" s="2"/>
      <c r="BC254" s="2"/>
      <c r="BD254" s="2"/>
    </row>
    <row r="255" spans="1:56">
      <c r="A255" s="781">
        <v>2</v>
      </c>
      <c r="B255" s="782">
        <v>222</v>
      </c>
      <c r="C255" s="783"/>
      <c r="D255" s="783" t="s">
        <v>380</v>
      </c>
      <c r="E255" s="808">
        <v>345.43</v>
      </c>
      <c r="F255" s="798"/>
      <c r="G255" s="799"/>
      <c r="H255" s="1592">
        <f t="shared" si="9"/>
        <v>0</v>
      </c>
      <c r="I255" s="754" t="str">
        <f>IFERROR(VLOOKUP(B255,Mychart!$A$125:$B$911,2,FALSE),"-")</f>
        <v>SAMAH - ARCHPIX</v>
      </c>
      <c r="J255" s="753" t="str">
        <f t="shared" si="10"/>
        <v>-</v>
      </c>
      <c r="K255" s="1540">
        <f t="shared" si="11"/>
        <v>1900</v>
      </c>
      <c r="L255" s="757"/>
      <c r="M255" s="757"/>
      <c r="N255" s="757"/>
      <c r="O255" s="757"/>
      <c r="P255" s="757"/>
      <c r="Q255" s="757"/>
      <c r="R255" s="757"/>
      <c r="S255" s="757"/>
      <c r="T255" s="757"/>
      <c r="U255" s="757"/>
      <c r="V255" s="757"/>
      <c r="W255" s="757"/>
      <c r="X255" s="757"/>
      <c r="Y255" s="757"/>
      <c r="Z255" s="757"/>
      <c r="AA255" s="757"/>
      <c r="AB255" s="757"/>
      <c r="AC255" s="757"/>
      <c r="AD255" s="757"/>
      <c r="AE255" s="757"/>
      <c r="AF255" s="757"/>
      <c r="AG255" s="757"/>
      <c r="AH255" s="757"/>
      <c r="AI255" s="757"/>
      <c r="AJ255" s="757"/>
      <c r="AK255" s="757"/>
      <c r="AL255" s="757"/>
      <c r="AM255" s="757"/>
      <c r="AN255" s="757"/>
      <c r="AO255" s="757"/>
      <c r="AP255" s="757"/>
      <c r="AQ255" s="757"/>
      <c r="AR255" s="757"/>
      <c r="AS255" s="757"/>
      <c r="AT255" s="757"/>
      <c r="AU255" s="757"/>
      <c r="AV255" s="757"/>
      <c r="AW255" s="757"/>
      <c r="AX255" s="757"/>
      <c r="AY255" s="757"/>
      <c r="AZ255" s="75"/>
      <c r="BA255" s="2"/>
      <c r="BB255" s="2"/>
      <c r="BC255" s="2"/>
      <c r="BD255" s="2"/>
    </row>
    <row r="256" spans="1:56">
      <c r="A256" s="781">
        <v>2</v>
      </c>
      <c r="B256" s="782">
        <v>222</v>
      </c>
      <c r="C256" s="783">
        <v>45260</v>
      </c>
      <c r="D256" s="783" t="s">
        <v>177</v>
      </c>
      <c r="E256" s="808">
        <v>386</v>
      </c>
      <c r="F256" s="798"/>
      <c r="G256" s="799"/>
      <c r="H256" s="1592">
        <f t="shared" si="9"/>
        <v>0</v>
      </c>
      <c r="I256" s="754" t="str">
        <f>IFERROR(VLOOKUP(B256,Mychart!$A$125:$B$911,2,FALSE),"-")</f>
        <v>SAMAH - ARCHPIX</v>
      </c>
      <c r="J256" s="753">
        <f t="shared" si="10"/>
        <v>11</v>
      </c>
      <c r="K256" s="1540">
        <f t="shared" si="11"/>
        <v>2023</v>
      </c>
      <c r="L256" s="757"/>
      <c r="M256" s="757"/>
      <c r="N256" s="757"/>
      <c r="O256" s="757"/>
      <c r="P256" s="757"/>
      <c r="Q256" s="757"/>
      <c r="R256" s="757"/>
      <c r="S256" s="757"/>
      <c r="T256" s="757"/>
      <c r="U256" s="757"/>
      <c r="V256" s="757"/>
      <c r="W256" s="757"/>
      <c r="X256" s="757"/>
      <c r="Y256" s="757"/>
      <c r="Z256" s="757"/>
      <c r="AA256" s="757"/>
      <c r="AB256" s="757"/>
      <c r="AC256" s="757"/>
      <c r="AD256" s="757"/>
      <c r="AE256" s="757"/>
      <c r="AF256" s="757"/>
      <c r="AG256" s="757"/>
      <c r="AH256" s="757"/>
      <c r="AI256" s="757"/>
      <c r="AJ256" s="757"/>
      <c r="AK256" s="757"/>
      <c r="AL256" s="757"/>
      <c r="AM256" s="757"/>
      <c r="AN256" s="757"/>
      <c r="AO256" s="757"/>
      <c r="AP256" s="757"/>
      <c r="AQ256" s="757"/>
      <c r="AR256" s="757"/>
      <c r="AS256" s="757"/>
      <c r="AT256" s="757"/>
      <c r="AU256" s="757"/>
      <c r="AV256" s="757"/>
      <c r="AW256" s="757"/>
      <c r="AX256" s="757"/>
      <c r="AY256" s="757"/>
      <c r="AZ256" s="75"/>
      <c r="BA256" s="2"/>
      <c r="BB256" s="2"/>
      <c r="BC256" s="2"/>
      <c r="BD256" s="2"/>
    </row>
    <row r="257" spans="1:56">
      <c r="A257" s="781">
        <v>2</v>
      </c>
      <c r="B257" s="782">
        <v>222</v>
      </c>
      <c r="C257" s="783">
        <v>45291</v>
      </c>
      <c r="D257" s="783" t="s">
        <v>177</v>
      </c>
      <c r="E257" s="808">
        <v>4461</v>
      </c>
      <c r="F257" s="798"/>
      <c r="G257" s="799"/>
      <c r="H257" s="1592">
        <f t="shared" si="9"/>
        <v>0</v>
      </c>
      <c r="I257" s="754" t="str">
        <f>IFERROR(VLOOKUP(B257,Mychart!$A$125:$B$911,2,FALSE),"-")</f>
        <v>SAMAH - ARCHPIX</v>
      </c>
      <c r="J257" s="753">
        <f t="shared" si="10"/>
        <v>12</v>
      </c>
      <c r="K257" s="1540">
        <f t="shared" si="11"/>
        <v>2023</v>
      </c>
      <c r="L257" s="757"/>
      <c r="M257" s="757"/>
      <c r="N257" s="757"/>
      <c r="O257" s="757"/>
      <c r="P257" s="757"/>
      <c r="Q257" s="757"/>
      <c r="R257" s="757"/>
      <c r="S257" s="757"/>
      <c r="T257" s="757"/>
      <c r="U257" s="757"/>
      <c r="V257" s="757"/>
      <c r="W257" s="757"/>
      <c r="X257" s="757"/>
      <c r="Y257" s="757"/>
      <c r="Z257" s="757"/>
      <c r="AA257" s="757"/>
      <c r="AB257" s="757"/>
      <c r="AC257" s="757"/>
      <c r="AD257" s="757"/>
      <c r="AE257" s="757"/>
      <c r="AF257" s="757"/>
      <c r="AG257" s="757"/>
      <c r="AH257" s="757"/>
      <c r="AI257" s="757"/>
      <c r="AJ257" s="757"/>
      <c r="AK257" s="757"/>
      <c r="AL257" s="757"/>
      <c r="AM257" s="757"/>
      <c r="AN257" s="757"/>
      <c r="AO257" s="757"/>
      <c r="AP257" s="757"/>
      <c r="AQ257" s="757"/>
      <c r="AR257" s="757"/>
      <c r="AS257" s="757"/>
      <c r="AT257" s="757"/>
      <c r="AU257" s="757"/>
      <c r="AV257" s="757"/>
      <c r="AW257" s="757"/>
      <c r="AX257" s="757"/>
      <c r="AY257" s="757"/>
      <c r="AZ257" s="75"/>
      <c r="BA257" s="2"/>
      <c r="BB257" s="2"/>
      <c r="BC257" s="2"/>
      <c r="BD257" s="2"/>
    </row>
    <row r="258" spans="1:56">
      <c r="A258" s="781">
        <v>2</v>
      </c>
      <c r="B258" s="782">
        <v>222</v>
      </c>
      <c r="C258" s="783">
        <v>45295</v>
      </c>
      <c r="D258" s="783" t="s">
        <v>224</v>
      </c>
      <c r="E258" s="808">
        <v>31946.25</v>
      </c>
      <c r="F258" s="798"/>
      <c r="G258" s="799"/>
      <c r="H258" s="1592">
        <f t="shared" si="9"/>
        <v>0</v>
      </c>
      <c r="I258" s="754" t="str">
        <f>IFERROR(VLOOKUP(B258,Mychart!$A$125:$B$911,2,FALSE),"-")</f>
        <v>SAMAH - ARCHPIX</v>
      </c>
      <c r="J258" s="753">
        <f t="shared" si="10"/>
        <v>1</v>
      </c>
      <c r="K258" s="1540">
        <f t="shared" si="11"/>
        <v>2024</v>
      </c>
      <c r="L258" s="757"/>
      <c r="M258" s="757"/>
      <c r="N258" s="757"/>
      <c r="O258" s="757"/>
      <c r="P258" s="757"/>
      <c r="Q258" s="757"/>
      <c r="R258" s="757"/>
      <c r="S258" s="757"/>
      <c r="T258" s="757"/>
      <c r="U258" s="757"/>
      <c r="V258" s="757"/>
      <c r="W258" s="757"/>
      <c r="X258" s="757"/>
      <c r="Y258" s="757"/>
      <c r="Z258" s="757"/>
      <c r="AA258" s="757"/>
      <c r="AB258" s="757"/>
      <c r="AC258" s="757"/>
      <c r="AD258" s="757"/>
      <c r="AE258" s="757"/>
      <c r="AF258" s="757"/>
      <c r="AG258" s="757"/>
      <c r="AH258" s="757"/>
      <c r="AI258" s="757"/>
      <c r="AJ258" s="757"/>
      <c r="AK258" s="757"/>
      <c r="AL258" s="757"/>
      <c r="AM258" s="757"/>
      <c r="AN258" s="757"/>
      <c r="AO258" s="757"/>
      <c r="AP258" s="757"/>
      <c r="AQ258" s="757"/>
      <c r="AR258" s="757"/>
      <c r="AS258" s="757"/>
      <c r="AT258" s="757"/>
      <c r="AU258" s="757"/>
      <c r="AV258" s="757"/>
      <c r="AW258" s="757"/>
      <c r="AX258" s="757"/>
      <c r="AY258" s="757"/>
      <c r="AZ258" s="75"/>
      <c r="BA258" s="2"/>
      <c r="BB258" s="2"/>
      <c r="BC258" s="2"/>
      <c r="BD258" s="2"/>
    </row>
    <row r="259" spans="1:56">
      <c r="A259" s="781">
        <v>2</v>
      </c>
      <c r="B259" s="782">
        <v>222</v>
      </c>
      <c r="C259" s="783">
        <v>45351</v>
      </c>
      <c r="D259" s="783" t="s">
        <v>224</v>
      </c>
      <c r="E259" s="808">
        <v>5517.75</v>
      </c>
      <c r="F259" s="798"/>
      <c r="G259" s="799"/>
      <c r="H259" s="1592">
        <f t="shared" si="9"/>
        <v>0</v>
      </c>
      <c r="I259" s="754" t="str">
        <f>IFERROR(VLOOKUP(B259,Mychart!$A$125:$B$911,2,FALSE),"-")</f>
        <v>SAMAH - ARCHPIX</v>
      </c>
      <c r="J259" s="753">
        <f t="shared" si="10"/>
        <v>2</v>
      </c>
      <c r="K259" s="1540">
        <f t="shared" si="11"/>
        <v>2024</v>
      </c>
      <c r="L259" s="757"/>
      <c r="M259" s="757"/>
      <c r="N259" s="757"/>
      <c r="O259" s="757"/>
      <c r="P259" s="757"/>
      <c r="Q259" s="757"/>
      <c r="R259" s="757"/>
      <c r="S259" s="757"/>
      <c r="T259" s="757"/>
      <c r="U259" s="757"/>
      <c r="V259" s="757"/>
      <c r="W259" s="757"/>
      <c r="X259" s="757"/>
      <c r="Y259" s="757"/>
      <c r="Z259" s="757"/>
      <c r="AA259" s="757"/>
      <c r="AB259" s="757"/>
      <c r="AC259" s="757"/>
      <c r="AD259" s="757"/>
      <c r="AE259" s="757"/>
      <c r="AF259" s="757"/>
      <c r="AG259" s="757"/>
      <c r="AH259" s="757"/>
      <c r="AI259" s="757"/>
      <c r="AJ259" s="757"/>
      <c r="AK259" s="757"/>
      <c r="AL259" s="757"/>
      <c r="AM259" s="757"/>
      <c r="AN259" s="757"/>
      <c r="AO259" s="757"/>
      <c r="AP259" s="757"/>
      <c r="AQ259" s="757"/>
      <c r="AR259" s="757"/>
      <c r="AS259" s="757"/>
      <c r="AT259" s="757"/>
      <c r="AU259" s="757"/>
      <c r="AV259" s="757"/>
      <c r="AW259" s="757"/>
      <c r="AX259" s="757"/>
      <c r="AY259" s="757"/>
      <c r="AZ259" s="75"/>
      <c r="BA259" s="2"/>
      <c r="BB259" s="2"/>
      <c r="BC259" s="2"/>
      <c r="BD259" s="2"/>
    </row>
    <row r="260" spans="1:56">
      <c r="A260" s="781">
        <v>2</v>
      </c>
      <c r="B260" s="782">
        <v>222</v>
      </c>
      <c r="C260" s="783">
        <v>45351</v>
      </c>
      <c r="D260" s="783" t="s">
        <v>177</v>
      </c>
      <c r="E260" s="808">
        <v>339</v>
      </c>
      <c r="F260" s="798"/>
      <c r="G260" s="799"/>
      <c r="H260" s="1592">
        <f t="shared" si="9"/>
        <v>0</v>
      </c>
      <c r="I260" s="754" t="str">
        <f>IFERROR(VLOOKUP(B260,Mychart!$A$125:$B$911,2,FALSE),"-")</f>
        <v>SAMAH - ARCHPIX</v>
      </c>
      <c r="J260" s="753">
        <f t="shared" si="10"/>
        <v>2</v>
      </c>
      <c r="K260" s="1540">
        <f t="shared" si="11"/>
        <v>2024</v>
      </c>
      <c r="L260" s="757"/>
      <c r="M260" s="757"/>
      <c r="N260" s="757"/>
      <c r="O260" s="757"/>
      <c r="P260" s="757"/>
      <c r="Q260" s="757"/>
      <c r="R260" s="757"/>
      <c r="S260" s="757"/>
      <c r="T260" s="757"/>
      <c r="U260" s="757"/>
      <c r="V260" s="757"/>
      <c r="W260" s="757"/>
      <c r="X260" s="757"/>
      <c r="Y260" s="757"/>
      <c r="Z260" s="757"/>
      <c r="AA260" s="757"/>
      <c r="AB260" s="757"/>
      <c r="AC260" s="757"/>
      <c r="AD260" s="757"/>
      <c r="AE260" s="757"/>
      <c r="AF260" s="757"/>
      <c r="AG260" s="757"/>
      <c r="AH260" s="757"/>
      <c r="AI260" s="757"/>
      <c r="AJ260" s="757"/>
      <c r="AK260" s="757"/>
      <c r="AL260" s="757"/>
      <c r="AM260" s="757"/>
      <c r="AN260" s="757"/>
      <c r="AO260" s="757"/>
      <c r="AP260" s="757"/>
      <c r="AQ260" s="757"/>
      <c r="AR260" s="757"/>
      <c r="AS260" s="757"/>
      <c r="AT260" s="757"/>
      <c r="AU260" s="757"/>
      <c r="AV260" s="757"/>
      <c r="AW260" s="757"/>
      <c r="AX260" s="757"/>
      <c r="AY260" s="757"/>
      <c r="AZ260" s="75"/>
      <c r="BA260" s="2"/>
      <c r="BB260" s="2"/>
      <c r="BC260" s="2"/>
      <c r="BD260" s="2"/>
    </row>
    <row r="261" spans="1:56">
      <c r="A261" s="781">
        <v>2</v>
      </c>
      <c r="B261" s="782">
        <v>222</v>
      </c>
      <c r="C261" s="783">
        <v>45369</v>
      </c>
      <c r="D261" s="783" t="s">
        <v>224</v>
      </c>
      <c r="E261" s="808">
        <v>48657</v>
      </c>
      <c r="F261" s="798"/>
      <c r="G261" s="799"/>
      <c r="H261" s="1592">
        <f t="shared" si="9"/>
        <v>0</v>
      </c>
      <c r="I261" s="754" t="str">
        <f>IFERROR(VLOOKUP(B261,Mychart!$A$125:$B$911,2,FALSE),"-")</f>
        <v>SAMAH - ARCHPIX</v>
      </c>
      <c r="J261" s="753">
        <f t="shared" si="10"/>
        <v>3</v>
      </c>
      <c r="K261" s="1540">
        <f t="shared" si="11"/>
        <v>2024</v>
      </c>
      <c r="L261" s="757"/>
      <c r="M261" s="757"/>
      <c r="N261" s="757"/>
      <c r="O261" s="757"/>
      <c r="P261" s="757"/>
      <c r="Q261" s="757"/>
      <c r="R261" s="757"/>
      <c r="S261" s="757"/>
      <c r="T261" s="757"/>
      <c r="U261" s="757"/>
      <c r="V261" s="757"/>
      <c r="W261" s="757"/>
      <c r="X261" s="757"/>
      <c r="Y261" s="757"/>
      <c r="Z261" s="757"/>
      <c r="AA261" s="757"/>
      <c r="AB261" s="757"/>
      <c r="AC261" s="757"/>
      <c r="AD261" s="757"/>
      <c r="AE261" s="757"/>
      <c r="AF261" s="757"/>
      <c r="AG261" s="757"/>
      <c r="AH261" s="757"/>
      <c r="AI261" s="757"/>
      <c r="AJ261" s="757"/>
      <c r="AK261" s="757"/>
      <c r="AL261" s="757"/>
      <c r="AM261" s="757"/>
      <c r="AN261" s="757"/>
      <c r="AO261" s="757"/>
      <c r="AP261" s="757"/>
      <c r="AQ261" s="757"/>
      <c r="AR261" s="757"/>
      <c r="AS261" s="757"/>
      <c r="AT261" s="757"/>
      <c r="AU261" s="757"/>
      <c r="AV261" s="757"/>
      <c r="AW261" s="757"/>
      <c r="AX261" s="757"/>
      <c r="AY261" s="757"/>
      <c r="AZ261" s="75"/>
      <c r="BA261" s="2"/>
      <c r="BB261" s="2"/>
      <c r="BC261" s="2"/>
      <c r="BD261" s="2"/>
    </row>
    <row r="262" spans="1:56">
      <c r="A262" s="781">
        <v>2</v>
      </c>
      <c r="B262" s="782">
        <v>222</v>
      </c>
      <c r="C262" s="783">
        <v>45363</v>
      </c>
      <c r="D262" s="783" t="s">
        <v>500</v>
      </c>
      <c r="E262" s="808">
        <v>3500.36</v>
      </c>
      <c r="F262" s="798"/>
      <c r="G262" s="799"/>
      <c r="H262" s="1592">
        <f t="shared" si="9"/>
        <v>0</v>
      </c>
      <c r="I262" s="754" t="str">
        <f>IFERROR(VLOOKUP(B262,Mychart!$A$125:$B$911,2,FALSE),"-")</f>
        <v>SAMAH - ARCHPIX</v>
      </c>
      <c r="J262" s="753">
        <f t="shared" si="10"/>
        <v>3</v>
      </c>
      <c r="K262" s="1540">
        <f t="shared" si="11"/>
        <v>2024</v>
      </c>
      <c r="L262" s="757"/>
      <c r="M262" s="757"/>
      <c r="N262" s="757"/>
      <c r="O262" s="757"/>
      <c r="P262" s="757"/>
      <c r="Q262" s="757"/>
      <c r="R262" s="757"/>
      <c r="S262" s="757"/>
      <c r="T262" s="757"/>
      <c r="U262" s="757"/>
      <c r="V262" s="757"/>
      <c r="W262" s="757"/>
      <c r="X262" s="757"/>
      <c r="Y262" s="757"/>
      <c r="Z262" s="757"/>
      <c r="AA262" s="757"/>
      <c r="AB262" s="757"/>
      <c r="AC262" s="757"/>
      <c r="AD262" s="757"/>
      <c r="AE262" s="757"/>
      <c r="AF262" s="757"/>
      <c r="AG262" s="757"/>
      <c r="AH262" s="757"/>
      <c r="AI262" s="757"/>
      <c r="AJ262" s="757"/>
      <c r="AK262" s="757"/>
      <c r="AL262" s="757"/>
      <c r="AM262" s="757"/>
      <c r="AN262" s="757"/>
      <c r="AO262" s="757"/>
      <c r="AP262" s="757"/>
      <c r="AQ262" s="757"/>
      <c r="AR262" s="757"/>
      <c r="AS262" s="757"/>
      <c r="AT262" s="757"/>
      <c r="AU262" s="757"/>
      <c r="AV262" s="757"/>
      <c r="AW262" s="757"/>
      <c r="AX262" s="757"/>
      <c r="AY262" s="757"/>
      <c r="AZ262" s="75"/>
      <c r="BA262" s="2"/>
      <c r="BB262" s="2"/>
      <c r="BC262" s="2"/>
      <c r="BD262" s="2"/>
    </row>
    <row r="263" spans="1:56">
      <c r="A263" s="781">
        <v>2</v>
      </c>
      <c r="B263" s="782">
        <v>222</v>
      </c>
      <c r="C263" s="783">
        <v>45382</v>
      </c>
      <c r="D263" s="783" t="s">
        <v>177</v>
      </c>
      <c r="E263" s="808">
        <v>1328</v>
      </c>
      <c r="F263" s="798"/>
      <c r="G263" s="799"/>
      <c r="H263" s="1592">
        <f t="shared" si="9"/>
        <v>0</v>
      </c>
      <c r="I263" s="754" t="str">
        <f>IFERROR(VLOOKUP(B263,Mychart!$A$125:$B$911,2,FALSE),"-")</f>
        <v>SAMAH - ARCHPIX</v>
      </c>
      <c r="J263" s="753">
        <f t="shared" si="10"/>
        <v>3</v>
      </c>
      <c r="K263" s="1540">
        <f t="shared" si="11"/>
        <v>2024</v>
      </c>
      <c r="L263" s="757"/>
      <c r="M263" s="757"/>
      <c r="N263" s="757"/>
      <c r="O263" s="757"/>
      <c r="P263" s="757"/>
      <c r="Q263" s="757"/>
      <c r="R263" s="757"/>
      <c r="S263" s="757"/>
      <c r="T263" s="757"/>
      <c r="U263" s="757"/>
      <c r="V263" s="757"/>
      <c r="W263" s="757"/>
      <c r="X263" s="757"/>
      <c r="Y263" s="757"/>
      <c r="Z263" s="757"/>
      <c r="AA263" s="757"/>
      <c r="AB263" s="757"/>
      <c r="AC263" s="757"/>
      <c r="AD263" s="757"/>
      <c r="AE263" s="757"/>
      <c r="AF263" s="757"/>
      <c r="AG263" s="757"/>
      <c r="AH263" s="757"/>
      <c r="AI263" s="757"/>
      <c r="AJ263" s="757"/>
      <c r="AK263" s="757"/>
      <c r="AL263" s="757"/>
      <c r="AM263" s="757"/>
      <c r="AN263" s="757"/>
      <c r="AO263" s="757"/>
      <c r="AP263" s="757"/>
      <c r="AQ263" s="757"/>
      <c r="AR263" s="757"/>
      <c r="AS263" s="757"/>
      <c r="AT263" s="757"/>
      <c r="AU263" s="757"/>
      <c r="AV263" s="757"/>
      <c r="AW263" s="757"/>
      <c r="AX263" s="757"/>
      <c r="AY263" s="757"/>
      <c r="AZ263" s="75"/>
      <c r="BA263" s="2"/>
      <c r="BB263" s="2"/>
      <c r="BC263" s="2"/>
      <c r="BD263" s="2"/>
    </row>
    <row r="264" spans="1:56">
      <c r="A264" s="781">
        <v>2</v>
      </c>
      <c r="B264" s="782">
        <v>222</v>
      </c>
      <c r="C264" s="783">
        <v>45398</v>
      </c>
      <c r="D264" s="783" t="s">
        <v>224</v>
      </c>
      <c r="E264" s="808">
        <v>7392</v>
      </c>
      <c r="F264" s="798"/>
      <c r="G264" s="799"/>
      <c r="H264" s="1592">
        <f t="shared" si="9"/>
        <v>0</v>
      </c>
      <c r="I264" s="754" t="str">
        <f>IFERROR(VLOOKUP(B264,Mychart!$A$125:$B$911,2,FALSE),"-")</f>
        <v>SAMAH - ARCHPIX</v>
      </c>
      <c r="J264" s="753">
        <f t="shared" si="10"/>
        <v>4</v>
      </c>
      <c r="K264" s="1540">
        <f t="shared" si="11"/>
        <v>2024</v>
      </c>
      <c r="L264" s="757"/>
      <c r="M264" s="757"/>
      <c r="N264" s="757"/>
      <c r="O264" s="757"/>
      <c r="P264" s="757"/>
      <c r="Q264" s="757"/>
      <c r="R264" s="757"/>
      <c r="S264" s="757"/>
      <c r="T264" s="757"/>
      <c r="U264" s="757"/>
      <c r="V264" s="757"/>
      <c r="W264" s="757"/>
      <c r="X264" s="757"/>
      <c r="Y264" s="757"/>
      <c r="Z264" s="757"/>
      <c r="AA264" s="757"/>
      <c r="AB264" s="757"/>
      <c r="AC264" s="757"/>
      <c r="AD264" s="757"/>
      <c r="AE264" s="757"/>
      <c r="AF264" s="757"/>
      <c r="AG264" s="757"/>
      <c r="AH264" s="757"/>
      <c r="AI264" s="757"/>
      <c r="AJ264" s="757"/>
      <c r="AK264" s="757"/>
      <c r="AL264" s="757"/>
      <c r="AM264" s="757"/>
      <c r="AN264" s="757"/>
      <c r="AO264" s="757"/>
      <c r="AP264" s="757"/>
      <c r="AQ264" s="757"/>
      <c r="AR264" s="757"/>
      <c r="AS264" s="757"/>
      <c r="AT264" s="757"/>
      <c r="AU264" s="757"/>
      <c r="AV264" s="757"/>
      <c r="AW264" s="757"/>
      <c r="AX264" s="757"/>
      <c r="AY264" s="757"/>
      <c r="AZ264" s="75"/>
      <c r="BA264" s="2"/>
      <c r="BB264" s="2"/>
      <c r="BC264" s="2"/>
      <c r="BD264" s="2"/>
    </row>
    <row r="265" spans="1:56">
      <c r="A265" s="781">
        <v>2</v>
      </c>
      <c r="B265" s="782">
        <v>222</v>
      </c>
      <c r="C265" s="783">
        <v>45412</v>
      </c>
      <c r="D265" s="783" t="s">
        <v>177</v>
      </c>
      <c r="E265" s="808">
        <v>789</v>
      </c>
      <c r="F265" s="798"/>
      <c r="G265" s="799"/>
      <c r="H265" s="1592">
        <f t="shared" si="9"/>
        <v>0</v>
      </c>
      <c r="I265" s="754" t="str">
        <f>IFERROR(VLOOKUP(B265,Mychart!$A$125:$B$911,2,FALSE),"-")</f>
        <v>SAMAH - ARCHPIX</v>
      </c>
      <c r="J265" s="753">
        <f t="shared" si="10"/>
        <v>4</v>
      </c>
      <c r="K265" s="1540">
        <f t="shared" si="11"/>
        <v>2024</v>
      </c>
      <c r="L265" s="757"/>
      <c r="M265" s="757"/>
      <c r="N265" s="757"/>
      <c r="O265" s="757"/>
      <c r="P265" s="757"/>
      <c r="Q265" s="757"/>
      <c r="R265" s="757"/>
      <c r="S265" s="757"/>
      <c r="T265" s="757"/>
      <c r="U265" s="757"/>
      <c r="V265" s="757"/>
      <c r="W265" s="757"/>
      <c r="X265" s="757"/>
      <c r="Y265" s="757"/>
      <c r="Z265" s="757"/>
      <c r="AA265" s="757"/>
      <c r="AB265" s="757"/>
      <c r="AC265" s="757"/>
      <c r="AD265" s="757"/>
      <c r="AE265" s="757"/>
      <c r="AF265" s="757"/>
      <c r="AG265" s="757"/>
      <c r="AH265" s="757"/>
      <c r="AI265" s="757"/>
      <c r="AJ265" s="757"/>
      <c r="AK265" s="757"/>
      <c r="AL265" s="757"/>
      <c r="AM265" s="757"/>
      <c r="AN265" s="757"/>
      <c r="AO265" s="757"/>
      <c r="AP265" s="757"/>
      <c r="AQ265" s="757"/>
      <c r="AR265" s="757"/>
      <c r="AS265" s="757"/>
      <c r="AT265" s="757"/>
      <c r="AU265" s="757"/>
      <c r="AV265" s="757"/>
      <c r="AW265" s="757"/>
      <c r="AX265" s="757"/>
      <c r="AY265" s="757"/>
      <c r="AZ265" s="75"/>
      <c r="BA265" s="2"/>
      <c r="BB265" s="2"/>
      <c r="BC265" s="2"/>
      <c r="BD265" s="2"/>
    </row>
    <row r="266" spans="1:56">
      <c r="A266" s="781">
        <v>2</v>
      </c>
      <c r="B266" s="782">
        <v>222</v>
      </c>
      <c r="C266" s="783">
        <v>45257</v>
      </c>
      <c r="D266" s="783" t="s">
        <v>380</v>
      </c>
      <c r="E266" s="808">
        <v>302</v>
      </c>
      <c r="F266" s="798"/>
      <c r="G266" s="799"/>
      <c r="H266" s="1592">
        <f t="shared" si="9"/>
        <v>0</v>
      </c>
      <c r="I266" s="754" t="str">
        <f>IFERROR(VLOOKUP(B266,Mychart!$A$125:$B$911,2,FALSE),"-")</f>
        <v>SAMAH - ARCHPIX</v>
      </c>
      <c r="J266" s="753">
        <f t="shared" si="10"/>
        <v>11</v>
      </c>
      <c r="K266" s="1540">
        <f t="shared" si="11"/>
        <v>2023</v>
      </c>
      <c r="L266" s="757"/>
      <c r="M266" s="757"/>
      <c r="N266" s="757"/>
      <c r="O266" s="757"/>
      <c r="P266" s="757"/>
      <c r="Q266" s="757"/>
      <c r="R266" s="757"/>
      <c r="S266" s="757"/>
      <c r="T266" s="757"/>
      <c r="U266" s="757"/>
      <c r="V266" s="757"/>
      <c r="W266" s="757"/>
      <c r="X266" s="757"/>
      <c r="Y266" s="757"/>
      <c r="Z266" s="757"/>
      <c r="AA266" s="757"/>
      <c r="AB266" s="757"/>
      <c r="AC266" s="757"/>
      <c r="AD266" s="757"/>
      <c r="AE266" s="757"/>
      <c r="AF266" s="757"/>
      <c r="AG266" s="757"/>
      <c r="AH266" s="757"/>
      <c r="AI266" s="757"/>
      <c r="AJ266" s="757"/>
      <c r="AK266" s="757"/>
      <c r="AL266" s="757"/>
      <c r="AM266" s="757"/>
      <c r="AN266" s="757"/>
      <c r="AO266" s="757"/>
      <c r="AP266" s="757"/>
      <c r="AQ266" s="757"/>
      <c r="AR266" s="757"/>
      <c r="AS266" s="757"/>
      <c r="AT266" s="757"/>
      <c r="AU266" s="757"/>
      <c r="AV266" s="757"/>
      <c r="AW266" s="757"/>
      <c r="AX266" s="757"/>
      <c r="AY266" s="757"/>
      <c r="AZ266" s="75"/>
      <c r="BA266" s="2"/>
      <c r="BB266" s="2"/>
      <c r="BC266" s="2"/>
      <c r="BD266" s="2"/>
    </row>
    <row r="267" spans="1:56">
      <c r="A267" s="781">
        <v>2</v>
      </c>
      <c r="B267" s="782">
        <v>222</v>
      </c>
      <c r="C267" s="783">
        <v>45444</v>
      </c>
      <c r="D267" s="783" t="s">
        <v>380</v>
      </c>
      <c r="E267" s="808">
        <v>518</v>
      </c>
      <c r="F267" s="798"/>
      <c r="G267" s="799"/>
      <c r="H267" s="1592">
        <f t="shared" ref="H267:H330" si="12">F267+G267</f>
        <v>0</v>
      </c>
      <c r="I267" s="754" t="str">
        <f>IFERROR(VLOOKUP(B267,Mychart!$A$125:$B$911,2,FALSE),"-")</f>
        <v>SAMAH - ARCHPIX</v>
      </c>
      <c r="J267" s="753">
        <f t="shared" ref="J267:J330" si="13">IF(C267&lt;&gt;"", MONTH(C267),"-")</f>
        <v>6</v>
      </c>
      <c r="K267" s="1540">
        <f t="shared" ref="K267:K330" si="14">YEAR(C267)</f>
        <v>2024</v>
      </c>
      <c r="L267" s="757"/>
      <c r="M267" s="757"/>
      <c r="N267" s="757"/>
      <c r="O267" s="757"/>
      <c r="P267" s="757"/>
      <c r="Q267" s="757"/>
      <c r="R267" s="757"/>
      <c r="S267" s="757"/>
      <c r="T267" s="757"/>
      <c r="U267" s="757"/>
      <c r="V267" s="757"/>
      <c r="W267" s="757"/>
      <c r="X267" s="757"/>
      <c r="Y267" s="757"/>
      <c r="Z267" s="757"/>
      <c r="AA267" s="757"/>
      <c r="AB267" s="757"/>
      <c r="AC267" s="757"/>
      <c r="AD267" s="757"/>
      <c r="AE267" s="757"/>
      <c r="AF267" s="757"/>
      <c r="AG267" s="757"/>
      <c r="AH267" s="757"/>
      <c r="AI267" s="757"/>
      <c r="AJ267" s="757"/>
      <c r="AK267" s="757"/>
      <c r="AL267" s="757"/>
      <c r="AM267" s="757"/>
      <c r="AN267" s="757"/>
      <c r="AO267" s="757"/>
      <c r="AP267" s="757"/>
      <c r="AQ267" s="757"/>
      <c r="AR267" s="757"/>
      <c r="AS267" s="757"/>
      <c r="AT267" s="757"/>
      <c r="AU267" s="757"/>
      <c r="AV267" s="757"/>
      <c r="AW267" s="757"/>
      <c r="AX267" s="757"/>
      <c r="AY267" s="757"/>
      <c r="AZ267" s="75"/>
      <c r="BA267" s="2"/>
      <c r="BB267" s="2"/>
      <c r="BC267" s="2"/>
      <c r="BD267" s="2"/>
    </row>
    <row r="268" spans="1:56">
      <c r="A268" s="781">
        <v>2</v>
      </c>
      <c r="B268" s="782">
        <v>222</v>
      </c>
      <c r="C268" s="783">
        <v>45536</v>
      </c>
      <c r="D268" s="783" t="s">
        <v>380</v>
      </c>
      <c r="E268" s="808">
        <v>165</v>
      </c>
      <c r="F268" s="798"/>
      <c r="G268" s="799"/>
      <c r="H268" s="1592">
        <f t="shared" si="12"/>
        <v>0</v>
      </c>
      <c r="I268" s="754" t="str">
        <f>IFERROR(VLOOKUP(B268,Mychart!$A$125:$B$911,2,FALSE),"-")</f>
        <v>SAMAH - ARCHPIX</v>
      </c>
      <c r="J268" s="753">
        <f t="shared" si="13"/>
        <v>9</v>
      </c>
      <c r="K268" s="1540">
        <f t="shared" si="14"/>
        <v>2024</v>
      </c>
      <c r="L268" s="757"/>
      <c r="M268" s="757"/>
      <c r="N268" s="757"/>
      <c r="O268" s="757"/>
      <c r="P268" s="757"/>
      <c r="Q268" s="757"/>
      <c r="R268" s="757"/>
      <c r="S268" s="757"/>
      <c r="T268" s="757"/>
      <c r="U268" s="757"/>
      <c r="V268" s="757"/>
      <c r="W268" s="757"/>
      <c r="X268" s="757"/>
      <c r="Y268" s="757"/>
      <c r="Z268" s="757"/>
      <c r="AA268" s="757"/>
      <c r="AB268" s="757"/>
      <c r="AC268" s="757"/>
      <c r="AD268" s="757"/>
      <c r="AE268" s="757"/>
      <c r="AF268" s="757"/>
      <c r="AG268" s="757"/>
      <c r="AH268" s="757"/>
      <c r="AI268" s="757"/>
      <c r="AJ268" s="757"/>
      <c r="AK268" s="757"/>
      <c r="AL268" s="757"/>
      <c r="AM268" s="757"/>
      <c r="AN268" s="757"/>
      <c r="AO268" s="757"/>
      <c r="AP268" s="757"/>
      <c r="AQ268" s="757"/>
      <c r="AR268" s="757"/>
      <c r="AS268" s="757"/>
      <c r="AT268" s="757"/>
      <c r="AU268" s="757"/>
      <c r="AV268" s="757"/>
      <c r="AW268" s="757"/>
      <c r="AX268" s="757"/>
      <c r="AY268" s="757"/>
      <c r="AZ268" s="75"/>
      <c r="BA268" s="2"/>
      <c r="BB268" s="2"/>
      <c r="BC268" s="2"/>
      <c r="BD268" s="2"/>
    </row>
    <row r="269" spans="1:56">
      <c r="A269" s="781">
        <v>2</v>
      </c>
      <c r="B269" s="782">
        <v>222</v>
      </c>
      <c r="C269" s="783" t="s">
        <v>446</v>
      </c>
      <c r="D269" s="783" t="s">
        <v>191</v>
      </c>
      <c r="E269" s="808">
        <v>4265</v>
      </c>
      <c r="F269" s="798"/>
      <c r="G269" s="799"/>
      <c r="H269" s="1592">
        <f t="shared" si="12"/>
        <v>0</v>
      </c>
      <c r="I269" s="754" t="str">
        <f>IFERROR(VLOOKUP(B269,Mychart!$A$125:$B$911,2,FALSE),"-")</f>
        <v>SAMAH - ARCHPIX</v>
      </c>
      <c r="J269" s="753">
        <f t="shared" si="13"/>
        <v>1</v>
      </c>
      <c r="K269" s="1540">
        <f t="shared" si="14"/>
        <v>2024</v>
      </c>
      <c r="L269" s="757"/>
      <c r="M269" s="757"/>
      <c r="N269" s="757"/>
      <c r="O269" s="757"/>
      <c r="P269" s="757"/>
      <c r="Q269" s="757"/>
      <c r="R269" s="757"/>
      <c r="S269" s="757"/>
      <c r="T269" s="757"/>
      <c r="U269" s="757"/>
      <c r="V269" s="757"/>
      <c r="W269" s="757"/>
      <c r="X269" s="757"/>
      <c r="Y269" s="757"/>
      <c r="Z269" s="757"/>
      <c r="AA269" s="757"/>
      <c r="AB269" s="757"/>
      <c r="AC269" s="757"/>
      <c r="AD269" s="757"/>
      <c r="AE269" s="757"/>
      <c r="AF269" s="757"/>
      <c r="AG269" s="757"/>
      <c r="AH269" s="757"/>
      <c r="AI269" s="757"/>
      <c r="AJ269" s="757"/>
      <c r="AK269" s="757"/>
      <c r="AL269" s="757"/>
      <c r="AM269" s="757"/>
      <c r="AN269" s="757"/>
      <c r="AO269" s="757"/>
      <c r="AP269" s="757"/>
      <c r="AQ269" s="757"/>
      <c r="AR269" s="757"/>
      <c r="AS269" s="757"/>
      <c r="AT269" s="757"/>
      <c r="AU269" s="757"/>
      <c r="AV269" s="757"/>
      <c r="AW269" s="757"/>
      <c r="AX269" s="757"/>
      <c r="AY269" s="757"/>
      <c r="AZ269" s="75"/>
      <c r="BA269" s="2"/>
      <c r="BB269" s="2"/>
      <c r="BC269" s="2"/>
      <c r="BD269" s="2"/>
    </row>
    <row r="270" spans="1:56">
      <c r="A270" s="781">
        <v>1</v>
      </c>
      <c r="B270" s="782">
        <v>221</v>
      </c>
      <c r="C270" s="783">
        <v>44955</v>
      </c>
      <c r="D270" s="786" t="s">
        <v>506</v>
      </c>
      <c r="E270" s="807"/>
      <c r="F270" s="798">
        <v>20250</v>
      </c>
      <c r="G270" s="798">
        <v>1012.5</v>
      </c>
      <c r="H270" s="1592">
        <f t="shared" si="12"/>
        <v>21262.5</v>
      </c>
      <c r="I270" s="754" t="str">
        <f>IFERROR(VLOOKUP(B270,Mychart!$A$125:$B$911,2,FALSE),"-")</f>
        <v>SAEED - ARCHPIX</v>
      </c>
      <c r="J270" s="753">
        <f t="shared" si="13"/>
        <v>1</v>
      </c>
      <c r="K270" s="1540">
        <f t="shared" si="14"/>
        <v>2023</v>
      </c>
      <c r="L270" s="757"/>
      <c r="M270" s="757"/>
      <c r="N270" s="757"/>
      <c r="O270" s="757"/>
      <c r="P270" s="757"/>
      <c r="Q270" s="757"/>
      <c r="R270" s="757"/>
      <c r="S270" s="757"/>
      <c r="T270" s="757"/>
      <c r="U270" s="757"/>
      <c r="V270" s="757"/>
      <c r="W270" s="757"/>
      <c r="X270" s="757"/>
      <c r="Y270" s="757"/>
      <c r="Z270" s="757"/>
      <c r="AA270" s="757"/>
      <c r="AB270" s="757"/>
      <c r="AC270" s="757"/>
      <c r="AD270" s="757"/>
      <c r="AE270" s="757"/>
      <c r="AF270" s="757"/>
      <c r="AG270" s="757"/>
      <c r="AH270" s="757"/>
      <c r="AI270" s="757"/>
      <c r="AJ270" s="757"/>
      <c r="AK270" s="757"/>
      <c r="AL270" s="757"/>
      <c r="AM270" s="757"/>
      <c r="AN270" s="757"/>
      <c r="AO270" s="757"/>
      <c r="AP270" s="757"/>
      <c r="AQ270" s="757"/>
      <c r="AR270" s="757"/>
      <c r="AS270" s="757"/>
      <c r="AT270" s="757"/>
      <c r="AU270" s="757"/>
      <c r="AV270" s="757"/>
      <c r="AW270" s="757"/>
      <c r="AX270" s="757"/>
      <c r="AY270" s="757"/>
      <c r="AZ270" s="75"/>
      <c r="BA270" s="2"/>
      <c r="BB270" s="2"/>
      <c r="BC270" s="2"/>
      <c r="BD270" s="2"/>
    </row>
    <row r="271" spans="1:56">
      <c r="A271" s="781">
        <v>1</v>
      </c>
      <c r="B271" s="782">
        <v>221</v>
      </c>
      <c r="C271" s="783">
        <v>45150</v>
      </c>
      <c r="D271" s="784" t="s">
        <v>507</v>
      </c>
      <c r="E271" s="807"/>
      <c r="F271" s="798">
        <v>50625</v>
      </c>
      <c r="G271" s="798">
        <v>2531.25</v>
      </c>
      <c r="H271" s="1592">
        <f t="shared" si="12"/>
        <v>53156.25</v>
      </c>
      <c r="I271" s="754" t="str">
        <f>IFERROR(VLOOKUP(B271,Mychart!$A$125:$B$911,2,FALSE),"-")</f>
        <v>SAEED - ARCHPIX</v>
      </c>
      <c r="J271" s="753">
        <f t="shared" si="13"/>
        <v>8</v>
      </c>
      <c r="K271" s="1540">
        <f t="shared" si="14"/>
        <v>2023</v>
      </c>
      <c r="L271" s="757"/>
      <c r="M271" s="757"/>
      <c r="N271" s="757"/>
      <c r="O271" s="757"/>
      <c r="P271" s="757"/>
      <c r="Q271" s="757"/>
      <c r="R271" s="757"/>
      <c r="S271" s="757"/>
      <c r="T271" s="757"/>
      <c r="U271" s="757"/>
      <c r="V271" s="757"/>
      <c r="W271" s="757"/>
      <c r="X271" s="757"/>
      <c r="Y271" s="757"/>
      <c r="Z271" s="757"/>
      <c r="AA271" s="757"/>
      <c r="AB271" s="757"/>
      <c r="AC271" s="757"/>
      <c r="AD271" s="757"/>
      <c r="AE271" s="757"/>
      <c r="AF271" s="757"/>
      <c r="AG271" s="757"/>
      <c r="AH271" s="757"/>
      <c r="AI271" s="757"/>
      <c r="AJ271" s="757"/>
      <c r="AK271" s="757"/>
      <c r="AL271" s="757"/>
      <c r="AM271" s="757"/>
      <c r="AN271" s="757"/>
      <c r="AO271" s="757"/>
      <c r="AP271" s="757"/>
      <c r="AQ271" s="757"/>
      <c r="AR271" s="757"/>
      <c r="AS271" s="757"/>
      <c r="AT271" s="757"/>
      <c r="AU271" s="757"/>
      <c r="AV271" s="757"/>
      <c r="AW271" s="757"/>
      <c r="AX271" s="757"/>
      <c r="AY271" s="757"/>
      <c r="AZ271" s="75"/>
      <c r="BA271" s="2"/>
      <c r="BB271" s="2"/>
      <c r="BC271" s="2"/>
      <c r="BD271" s="2"/>
    </row>
    <row r="272" spans="1:56">
      <c r="A272" s="781">
        <v>1</v>
      </c>
      <c r="B272" s="782">
        <v>221</v>
      </c>
      <c r="C272" s="783">
        <v>45406</v>
      </c>
      <c r="D272" s="790" t="s">
        <v>508</v>
      </c>
      <c r="E272" s="807"/>
      <c r="F272" s="798">
        <v>50761</v>
      </c>
      <c r="G272" s="798">
        <v>2538.0500000000002</v>
      </c>
      <c r="H272" s="1592">
        <f t="shared" si="12"/>
        <v>53299.05</v>
      </c>
      <c r="I272" s="754" t="str">
        <f>IFERROR(VLOOKUP(B272,Mychart!$A$125:$B$911,2,FALSE),"-")</f>
        <v>SAEED - ARCHPIX</v>
      </c>
      <c r="J272" s="753">
        <f t="shared" si="13"/>
        <v>4</v>
      </c>
      <c r="K272" s="1540">
        <f t="shared" si="14"/>
        <v>2024</v>
      </c>
      <c r="L272" s="757"/>
      <c r="M272" s="757"/>
      <c r="N272" s="757"/>
      <c r="O272" s="757"/>
      <c r="P272" s="757"/>
      <c r="Q272" s="757"/>
      <c r="R272" s="757"/>
      <c r="S272" s="757"/>
      <c r="T272" s="757"/>
      <c r="U272" s="757"/>
      <c r="V272" s="757"/>
      <c r="W272" s="757"/>
      <c r="X272" s="757"/>
      <c r="Y272" s="757"/>
      <c r="Z272" s="757"/>
      <c r="AA272" s="757"/>
      <c r="AB272" s="757"/>
      <c r="AC272" s="757"/>
      <c r="AD272" s="757"/>
      <c r="AE272" s="757"/>
      <c r="AF272" s="757"/>
      <c r="AG272" s="757"/>
      <c r="AH272" s="757"/>
      <c r="AI272" s="757"/>
      <c r="AJ272" s="757"/>
      <c r="AK272" s="757"/>
      <c r="AL272" s="757"/>
      <c r="AM272" s="757"/>
      <c r="AN272" s="757"/>
      <c r="AO272" s="757"/>
      <c r="AP272" s="757"/>
      <c r="AQ272" s="757"/>
      <c r="AR272" s="757"/>
      <c r="AS272" s="757"/>
      <c r="AT272" s="757"/>
      <c r="AU272" s="757"/>
      <c r="AV272" s="757"/>
      <c r="AW272" s="757"/>
      <c r="AX272" s="757"/>
      <c r="AY272" s="757"/>
      <c r="AZ272" s="75"/>
      <c r="BA272" s="2"/>
      <c r="BB272" s="2"/>
      <c r="BC272" s="2"/>
      <c r="BD272" s="2"/>
    </row>
    <row r="273" spans="1:56">
      <c r="A273" s="781">
        <v>2</v>
      </c>
      <c r="B273" s="782">
        <v>221</v>
      </c>
      <c r="C273" s="783">
        <v>44955</v>
      </c>
      <c r="D273" s="783" t="s">
        <v>509</v>
      </c>
      <c r="E273" s="804">
        <v>10500</v>
      </c>
      <c r="F273" s="799"/>
      <c r="G273" s="799"/>
      <c r="H273" s="1592">
        <f t="shared" si="12"/>
        <v>0</v>
      </c>
      <c r="I273" s="754" t="str">
        <f>IFERROR(VLOOKUP(B273,Mychart!$A$125:$B$911,2,FALSE),"-")</f>
        <v>SAEED - ARCHPIX</v>
      </c>
      <c r="J273" s="753">
        <f t="shared" si="13"/>
        <v>1</v>
      </c>
      <c r="K273" s="1540">
        <f t="shared" si="14"/>
        <v>2023</v>
      </c>
      <c r="L273" s="757"/>
      <c r="M273" s="757"/>
      <c r="N273" s="757"/>
      <c r="O273" s="757"/>
      <c r="P273" s="757"/>
      <c r="Q273" s="757"/>
      <c r="R273" s="757"/>
      <c r="S273" s="757"/>
      <c r="T273" s="757"/>
      <c r="U273" s="757"/>
      <c r="V273" s="757"/>
      <c r="W273" s="757"/>
      <c r="X273" s="757"/>
      <c r="Y273" s="757"/>
      <c r="Z273" s="757"/>
      <c r="AA273" s="757"/>
      <c r="AB273" s="757"/>
      <c r="AC273" s="757"/>
      <c r="AD273" s="757"/>
      <c r="AE273" s="757"/>
      <c r="AF273" s="757"/>
      <c r="AG273" s="757"/>
      <c r="AH273" s="757"/>
      <c r="AI273" s="757"/>
      <c r="AJ273" s="757"/>
      <c r="AK273" s="757"/>
      <c r="AL273" s="757"/>
      <c r="AM273" s="757"/>
      <c r="AN273" s="757"/>
      <c r="AO273" s="757"/>
      <c r="AP273" s="757"/>
      <c r="AQ273" s="757"/>
      <c r="AR273" s="757"/>
      <c r="AS273" s="757"/>
      <c r="AT273" s="757"/>
      <c r="AU273" s="757"/>
      <c r="AV273" s="757"/>
      <c r="AW273" s="757"/>
      <c r="AX273" s="757"/>
      <c r="AY273" s="757"/>
      <c r="AZ273" s="75"/>
      <c r="BA273" s="2"/>
      <c r="BB273" s="2"/>
      <c r="BC273" s="2"/>
      <c r="BD273" s="2"/>
    </row>
    <row r="274" spans="1:56">
      <c r="A274" s="781">
        <v>2</v>
      </c>
      <c r="B274" s="782">
        <v>221</v>
      </c>
      <c r="C274" s="783"/>
      <c r="D274" s="783" t="s">
        <v>177</v>
      </c>
      <c r="E274" s="804">
        <v>31</v>
      </c>
      <c r="F274" s="799"/>
      <c r="G274" s="799"/>
      <c r="H274" s="1592">
        <f t="shared" si="12"/>
        <v>0</v>
      </c>
      <c r="I274" s="754" t="str">
        <f>IFERROR(VLOOKUP(B274,Mychart!$A$125:$B$911,2,FALSE),"-")</f>
        <v>SAEED - ARCHPIX</v>
      </c>
      <c r="J274" s="753" t="str">
        <f t="shared" si="13"/>
        <v>-</v>
      </c>
      <c r="K274" s="1540">
        <f t="shared" si="14"/>
        <v>1900</v>
      </c>
      <c r="L274" s="757"/>
      <c r="M274" s="757"/>
      <c r="N274" s="757"/>
      <c r="O274" s="757"/>
      <c r="P274" s="757"/>
      <c r="Q274" s="757"/>
      <c r="R274" s="757"/>
      <c r="S274" s="757"/>
      <c r="T274" s="757"/>
      <c r="U274" s="757"/>
      <c r="V274" s="757"/>
      <c r="W274" s="757"/>
      <c r="X274" s="757"/>
      <c r="Y274" s="757"/>
      <c r="Z274" s="757"/>
      <c r="AA274" s="757"/>
      <c r="AB274" s="757"/>
      <c r="AC274" s="757"/>
      <c r="AD274" s="757"/>
      <c r="AE274" s="757"/>
      <c r="AF274" s="757"/>
      <c r="AG274" s="757"/>
      <c r="AH274" s="757"/>
      <c r="AI274" s="757"/>
      <c r="AJ274" s="757"/>
      <c r="AK274" s="757"/>
      <c r="AL274" s="757"/>
      <c r="AM274" s="757"/>
      <c r="AN274" s="757"/>
      <c r="AO274" s="757"/>
      <c r="AP274" s="757"/>
      <c r="AQ274" s="757"/>
      <c r="AR274" s="757"/>
      <c r="AS274" s="757"/>
      <c r="AT274" s="757"/>
      <c r="AU274" s="757"/>
      <c r="AV274" s="757"/>
      <c r="AW274" s="757"/>
      <c r="AX274" s="757"/>
      <c r="AY274" s="757"/>
      <c r="AZ274" s="75"/>
      <c r="BA274" s="2"/>
      <c r="BB274" s="2"/>
      <c r="BC274" s="2"/>
      <c r="BD274" s="2"/>
    </row>
    <row r="275" spans="1:56">
      <c r="A275" s="781">
        <v>2</v>
      </c>
      <c r="B275" s="782">
        <v>221</v>
      </c>
      <c r="C275" s="783"/>
      <c r="D275" s="783" t="s">
        <v>177</v>
      </c>
      <c r="E275" s="804">
        <v>172</v>
      </c>
      <c r="F275" s="799"/>
      <c r="G275" s="799"/>
      <c r="H275" s="1592">
        <f t="shared" si="12"/>
        <v>0</v>
      </c>
      <c r="I275" s="754" t="str">
        <f>IFERROR(VLOOKUP(B275,Mychart!$A$125:$B$911,2,FALSE),"-")</f>
        <v>SAEED - ARCHPIX</v>
      </c>
      <c r="J275" s="753" t="str">
        <f t="shared" si="13"/>
        <v>-</v>
      </c>
      <c r="K275" s="1540">
        <f t="shared" si="14"/>
        <v>1900</v>
      </c>
      <c r="L275" s="757"/>
      <c r="M275" s="757"/>
      <c r="N275" s="757"/>
      <c r="O275" s="757"/>
      <c r="P275" s="757"/>
      <c r="Q275" s="757"/>
      <c r="R275" s="757"/>
      <c r="S275" s="757"/>
      <c r="T275" s="757"/>
      <c r="U275" s="757"/>
      <c r="V275" s="757"/>
      <c r="W275" s="757"/>
      <c r="X275" s="757"/>
      <c r="Y275" s="757"/>
      <c r="Z275" s="757"/>
      <c r="AA275" s="757"/>
      <c r="AB275" s="757"/>
      <c r="AC275" s="757"/>
      <c r="AD275" s="757"/>
      <c r="AE275" s="757"/>
      <c r="AF275" s="757"/>
      <c r="AG275" s="757"/>
      <c r="AH275" s="757"/>
      <c r="AI275" s="757"/>
      <c r="AJ275" s="757"/>
      <c r="AK275" s="757"/>
      <c r="AL275" s="757"/>
      <c r="AM275" s="757"/>
      <c r="AN275" s="757"/>
      <c r="AO275" s="757"/>
      <c r="AP275" s="757"/>
      <c r="AQ275" s="757"/>
      <c r="AR275" s="757"/>
      <c r="AS275" s="757"/>
      <c r="AT275" s="757"/>
      <c r="AU275" s="757"/>
      <c r="AV275" s="757"/>
      <c r="AW275" s="757"/>
      <c r="AX275" s="757"/>
      <c r="AY275" s="757"/>
      <c r="AZ275" s="75"/>
      <c r="BA275" s="2"/>
      <c r="BB275" s="2"/>
      <c r="BC275" s="2"/>
      <c r="BD275" s="2"/>
    </row>
    <row r="276" spans="1:56">
      <c r="A276" s="781">
        <v>2</v>
      </c>
      <c r="B276" s="782">
        <v>221</v>
      </c>
      <c r="C276" s="783"/>
      <c r="D276" s="783" t="s">
        <v>258</v>
      </c>
      <c r="E276" s="804">
        <v>4853</v>
      </c>
      <c r="F276" s="799"/>
      <c r="G276" s="799"/>
      <c r="H276" s="1592">
        <f t="shared" si="12"/>
        <v>0</v>
      </c>
      <c r="I276" s="754" t="str">
        <f>IFERROR(VLOOKUP(B276,Mychart!$A$125:$B$911,2,FALSE),"-")</f>
        <v>SAEED - ARCHPIX</v>
      </c>
      <c r="J276" s="753" t="str">
        <f t="shared" si="13"/>
        <v>-</v>
      </c>
      <c r="K276" s="1540">
        <f t="shared" si="14"/>
        <v>1900</v>
      </c>
      <c r="L276" s="757"/>
      <c r="M276" s="757"/>
      <c r="N276" s="757"/>
      <c r="O276" s="757"/>
      <c r="P276" s="757"/>
      <c r="Q276" s="757"/>
      <c r="R276" s="757"/>
      <c r="S276" s="757"/>
      <c r="T276" s="757"/>
      <c r="U276" s="757"/>
      <c r="V276" s="757"/>
      <c r="W276" s="757"/>
      <c r="X276" s="757"/>
      <c r="Y276" s="757"/>
      <c r="Z276" s="757"/>
      <c r="AA276" s="757"/>
      <c r="AB276" s="757"/>
      <c r="AC276" s="757"/>
      <c r="AD276" s="757"/>
      <c r="AE276" s="757"/>
      <c r="AF276" s="757"/>
      <c r="AG276" s="757"/>
      <c r="AH276" s="757"/>
      <c r="AI276" s="757"/>
      <c r="AJ276" s="757"/>
      <c r="AK276" s="757"/>
      <c r="AL276" s="757"/>
      <c r="AM276" s="757"/>
      <c r="AN276" s="757"/>
      <c r="AO276" s="757"/>
      <c r="AP276" s="757"/>
      <c r="AQ276" s="757"/>
      <c r="AR276" s="757"/>
      <c r="AS276" s="757"/>
      <c r="AT276" s="757"/>
      <c r="AU276" s="757"/>
      <c r="AV276" s="757"/>
      <c r="AW276" s="757"/>
      <c r="AX276" s="757"/>
      <c r="AY276" s="757"/>
      <c r="AZ276" s="75"/>
      <c r="BA276" s="2"/>
      <c r="BB276" s="2"/>
      <c r="BC276" s="2"/>
      <c r="BD276" s="2"/>
    </row>
    <row r="277" spans="1:56">
      <c r="A277" s="781">
        <v>2</v>
      </c>
      <c r="B277" s="782">
        <v>221</v>
      </c>
      <c r="C277" s="783"/>
      <c r="D277" s="783" t="s">
        <v>177</v>
      </c>
      <c r="E277" s="804">
        <v>4542</v>
      </c>
      <c r="F277" s="799"/>
      <c r="G277" s="799"/>
      <c r="H277" s="1592">
        <f t="shared" si="12"/>
        <v>0</v>
      </c>
      <c r="I277" s="754" t="str">
        <f>IFERROR(VLOOKUP(B277,Mychart!$A$125:$B$911,2,FALSE),"-")</f>
        <v>SAEED - ARCHPIX</v>
      </c>
      <c r="J277" s="753" t="str">
        <f t="shared" si="13"/>
        <v>-</v>
      </c>
      <c r="K277" s="1540">
        <f t="shared" si="14"/>
        <v>1900</v>
      </c>
      <c r="L277" s="757"/>
      <c r="M277" s="757"/>
      <c r="N277" s="757"/>
      <c r="O277" s="757"/>
      <c r="P277" s="757"/>
      <c r="Q277" s="757"/>
      <c r="R277" s="757"/>
      <c r="S277" s="757"/>
      <c r="T277" s="757"/>
      <c r="U277" s="757"/>
      <c r="V277" s="757"/>
      <c r="W277" s="757"/>
      <c r="X277" s="757"/>
      <c r="Y277" s="757"/>
      <c r="Z277" s="757"/>
      <c r="AA277" s="757"/>
      <c r="AB277" s="757"/>
      <c r="AC277" s="757"/>
      <c r="AD277" s="757"/>
      <c r="AE277" s="757"/>
      <c r="AF277" s="757"/>
      <c r="AG277" s="757"/>
      <c r="AH277" s="757"/>
      <c r="AI277" s="757"/>
      <c r="AJ277" s="757"/>
      <c r="AK277" s="757"/>
      <c r="AL277" s="757"/>
      <c r="AM277" s="757"/>
      <c r="AN277" s="757"/>
      <c r="AO277" s="757"/>
      <c r="AP277" s="757"/>
      <c r="AQ277" s="757"/>
      <c r="AR277" s="757"/>
      <c r="AS277" s="757"/>
      <c r="AT277" s="757"/>
      <c r="AU277" s="757"/>
      <c r="AV277" s="757"/>
      <c r="AW277" s="757"/>
      <c r="AX277" s="757"/>
      <c r="AY277" s="757"/>
      <c r="AZ277" s="75"/>
      <c r="BA277" s="2"/>
      <c r="BB277" s="2"/>
      <c r="BC277" s="2"/>
      <c r="BD277" s="2"/>
    </row>
    <row r="278" spans="1:56">
      <c r="A278" s="781">
        <v>2</v>
      </c>
      <c r="B278" s="782">
        <v>221</v>
      </c>
      <c r="C278" s="783"/>
      <c r="D278" s="783" t="s">
        <v>1882</v>
      </c>
      <c r="E278" s="804">
        <v>25840</v>
      </c>
      <c r="F278" s="799"/>
      <c r="G278" s="799"/>
      <c r="H278" s="1592">
        <f t="shared" si="12"/>
        <v>0</v>
      </c>
      <c r="I278" s="754" t="str">
        <f>IFERROR(VLOOKUP(B278,Mychart!$A$125:$B$911,2,FALSE),"-")</f>
        <v>SAEED - ARCHPIX</v>
      </c>
      <c r="J278" s="753" t="str">
        <f t="shared" si="13"/>
        <v>-</v>
      </c>
      <c r="K278" s="1540">
        <f t="shared" si="14"/>
        <v>1900</v>
      </c>
      <c r="L278" s="757"/>
      <c r="M278" s="757"/>
      <c r="N278" s="757"/>
      <c r="O278" s="757"/>
      <c r="P278" s="757"/>
      <c r="Q278" s="757"/>
      <c r="R278" s="757"/>
      <c r="S278" s="757"/>
      <c r="T278" s="757"/>
      <c r="U278" s="757"/>
      <c r="V278" s="757"/>
      <c r="W278" s="757"/>
      <c r="X278" s="757"/>
      <c r="Y278" s="757"/>
      <c r="Z278" s="757"/>
      <c r="AA278" s="757"/>
      <c r="AB278" s="757"/>
      <c r="AC278" s="757"/>
      <c r="AD278" s="757"/>
      <c r="AE278" s="757"/>
      <c r="AF278" s="757"/>
      <c r="AG278" s="757"/>
      <c r="AH278" s="757"/>
      <c r="AI278" s="757"/>
      <c r="AJ278" s="757"/>
      <c r="AK278" s="757"/>
      <c r="AL278" s="757"/>
      <c r="AM278" s="757"/>
      <c r="AN278" s="757"/>
      <c r="AO278" s="757"/>
      <c r="AP278" s="757"/>
      <c r="AQ278" s="757"/>
      <c r="AR278" s="757"/>
      <c r="AS278" s="757"/>
      <c r="AT278" s="757"/>
      <c r="AU278" s="757"/>
      <c r="AV278" s="757"/>
      <c r="AW278" s="757"/>
      <c r="AX278" s="757"/>
      <c r="AY278" s="757"/>
      <c r="AZ278" s="75"/>
      <c r="BA278" s="2"/>
      <c r="BB278" s="2"/>
      <c r="BC278" s="2"/>
      <c r="BD278" s="2"/>
    </row>
    <row r="279" spans="1:56">
      <c r="A279" s="781">
        <v>2</v>
      </c>
      <c r="B279" s="782">
        <v>221</v>
      </c>
      <c r="C279" s="783"/>
      <c r="D279" s="783" t="s">
        <v>177</v>
      </c>
      <c r="E279" s="804">
        <v>51</v>
      </c>
      <c r="F279" s="799"/>
      <c r="G279" s="799"/>
      <c r="H279" s="1592">
        <f t="shared" si="12"/>
        <v>0</v>
      </c>
      <c r="I279" s="754" t="str">
        <f>IFERROR(VLOOKUP(B279,Mychart!$A$125:$B$911,2,FALSE),"-")</f>
        <v>SAEED - ARCHPIX</v>
      </c>
      <c r="J279" s="753" t="str">
        <f t="shared" si="13"/>
        <v>-</v>
      </c>
      <c r="K279" s="1540">
        <f t="shared" si="14"/>
        <v>1900</v>
      </c>
      <c r="L279" s="757"/>
      <c r="M279" s="757"/>
      <c r="N279" s="757"/>
      <c r="O279" s="757"/>
      <c r="P279" s="757"/>
      <c r="Q279" s="757"/>
      <c r="R279" s="757"/>
      <c r="S279" s="757"/>
      <c r="T279" s="757"/>
      <c r="U279" s="757"/>
      <c r="V279" s="757"/>
      <c r="W279" s="757"/>
      <c r="X279" s="757"/>
      <c r="Y279" s="757"/>
      <c r="Z279" s="757"/>
      <c r="AA279" s="757"/>
      <c r="AB279" s="757"/>
      <c r="AC279" s="757"/>
      <c r="AD279" s="757"/>
      <c r="AE279" s="757"/>
      <c r="AF279" s="757"/>
      <c r="AG279" s="757"/>
      <c r="AH279" s="757"/>
      <c r="AI279" s="757"/>
      <c r="AJ279" s="757"/>
      <c r="AK279" s="757"/>
      <c r="AL279" s="757"/>
      <c r="AM279" s="757"/>
      <c r="AN279" s="757"/>
      <c r="AO279" s="757"/>
      <c r="AP279" s="757"/>
      <c r="AQ279" s="757"/>
      <c r="AR279" s="757"/>
      <c r="AS279" s="757"/>
      <c r="AT279" s="757"/>
      <c r="AU279" s="757"/>
      <c r="AV279" s="757"/>
      <c r="AW279" s="757"/>
      <c r="AX279" s="757"/>
      <c r="AY279" s="757"/>
      <c r="AZ279" s="75"/>
      <c r="BA279" s="2"/>
      <c r="BB279" s="2"/>
      <c r="BC279" s="2"/>
      <c r="BD279" s="2"/>
    </row>
    <row r="280" spans="1:56">
      <c r="A280" s="781">
        <v>2</v>
      </c>
      <c r="B280" s="782">
        <v>221</v>
      </c>
      <c r="C280" s="783"/>
      <c r="D280" s="785" t="s">
        <v>177</v>
      </c>
      <c r="E280" s="804">
        <v>5394</v>
      </c>
      <c r="F280" s="799"/>
      <c r="G280" s="799"/>
      <c r="H280" s="1592">
        <f t="shared" si="12"/>
        <v>0</v>
      </c>
      <c r="I280" s="754" t="str">
        <f>IFERROR(VLOOKUP(B280,Mychart!$A$125:$B$911,2,FALSE),"-")</f>
        <v>SAEED - ARCHPIX</v>
      </c>
      <c r="J280" s="753" t="str">
        <f t="shared" si="13"/>
        <v>-</v>
      </c>
      <c r="K280" s="1540">
        <f t="shared" si="14"/>
        <v>1900</v>
      </c>
      <c r="L280" s="757"/>
      <c r="M280" s="757"/>
      <c r="N280" s="757"/>
      <c r="O280" s="757"/>
      <c r="P280" s="757"/>
      <c r="Q280" s="757"/>
      <c r="R280" s="757"/>
      <c r="S280" s="757"/>
      <c r="T280" s="757"/>
      <c r="U280" s="757"/>
      <c r="V280" s="757"/>
      <c r="W280" s="757"/>
      <c r="X280" s="757"/>
      <c r="Y280" s="757"/>
      <c r="Z280" s="757"/>
      <c r="AA280" s="757"/>
      <c r="AB280" s="757"/>
      <c r="AC280" s="757"/>
      <c r="AD280" s="757"/>
      <c r="AE280" s="757"/>
      <c r="AF280" s="757"/>
      <c r="AG280" s="757"/>
      <c r="AH280" s="757"/>
      <c r="AI280" s="757"/>
      <c r="AJ280" s="757"/>
      <c r="AK280" s="757"/>
      <c r="AL280" s="757"/>
      <c r="AM280" s="757"/>
      <c r="AN280" s="757"/>
      <c r="AO280" s="757"/>
      <c r="AP280" s="757"/>
      <c r="AQ280" s="757"/>
      <c r="AR280" s="757"/>
      <c r="AS280" s="757"/>
      <c r="AT280" s="757"/>
      <c r="AU280" s="757"/>
      <c r="AV280" s="757"/>
      <c r="AW280" s="757"/>
      <c r="AX280" s="757"/>
      <c r="AY280" s="757"/>
      <c r="AZ280" s="75"/>
      <c r="BA280" s="2"/>
      <c r="BB280" s="2"/>
      <c r="BC280" s="2"/>
      <c r="BD280" s="2"/>
    </row>
    <row r="281" spans="1:56">
      <c r="A281" s="781">
        <v>2</v>
      </c>
      <c r="B281" s="782">
        <v>221</v>
      </c>
      <c r="C281" s="783"/>
      <c r="D281" s="783" t="s">
        <v>380</v>
      </c>
      <c r="E281" s="804">
        <v>1693</v>
      </c>
      <c r="F281" s="799"/>
      <c r="G281" s="799"/>
      <c r="H281" s="1592">
        <f t="shared" si="12"/>
        <v>0</v>
      </c>
      <c r="I281" s="754" t="str">
        <f>IFERROR(VLOOKUP(B281,Mychart!$A$125:$B$911,2,FALSE),"-")</f>
        <v>SAEED - ARCHPIX</v>
      </c>
      <c r="J281" s="753" t="str">
        <f t="shared" si="13"/>
        <v>-</v>
      </c>
      <c r="K281" s="1540">
        <f t="shared" si="14"/>
        <v>1900</v>
      </c>
      <c r="L281" s="757"/>
      <c r="M281" s="757"/>
      <c r="N281" s="757"/>
      <c r="O281" s="757"/>
      <c r="P281" s="757"/>
      <c r="Q281" s="757"/>
      <c r="R281" s="757"/>
      <c r="S281" s="757"/>
      <c r="T281" s="757"/>
      <c r="U281" s="757"/>
      <c r="V281" s="757"/>
      <c r="W281" s="757"/>
      <c r="X281" s="757"/>
      <c r="Y281" s="757"/>
      <c r="Z281" s="757"/>
      <c r="AA281" s="757"/>
      <c r="AB281" s="757"/>
      <c r="AC281" s="757"/>
      <c r="AD281" s="757"/>
      <c r="AE281" s="757"/>
      <c r="AF281" s="757"/>
      <c r="AG281" s="757"/>
      <c r="AH281" s="757"/>
      <c r="AI281" s="757"/>
      <c r="AJ281" s="757"/>
      <c r="AK281" s="757"/>
      <c r="AL281" s="757"/>
      <c r="AM281" s="757"/>
      <c r="AN281" s="757"/>
      <c r="AO281" s="757"/>
      <c r="AP281" s="757"/>
      <c r="AQ281" s="757"/>
      <c r="AR281" s="757"/>
      <c r="AS281" s="757"/>
      <c r="AT281" s="757"/>
      <c r="AU281" s="757"/>
      <c r="AV281" s="757"/>
      <c r="AW281" s="757"/>
      <c r="AX281" s="757"/>
      <c r="AY281" s="757"/>
      <c r="AZ281" s="75"/>
      <c r="BA281" s="2"/>
      <c r="BB281" s="2"/>
      <c r="BC281" s="2"/>
      <c r="BD281" s="2"/>
    </row>
    <row r="282" spans="1:56">
      <c r="A282" s="781">
        <v>2</v>
      </c>
      <c r="B282" s="782">
        <v>221</v>
      </c>
      <c r="C282" s="783"/>
      <c r="D282" s="783" t="s">
        <v>176</v>
      </c>
      <c r="E282" s="804">
        <v>600</v>
      </c>
      <c r="F282" s="799"/>
      <c r="G282" s="799"/>
      <c r="H282" s="1592">
        <f t="shared" si="12"/>
        <v>0</v>
      </c>
      <c r="I282" s="754" t="str">
        <f>IFERROR(VLOOKUP(B282,Mychart!$A$125:$B$911,2,FALSE),"-")</f>
        <v>SAEED - ARCHPIX</v>
      </c>
      <c r="J282" s="753" t="str">
        <f t="shared" si="13"/>
        <v>-</v>
      </c>
      <c r="K282" s="1540">
        <f t="shared" si="14"/>
        <v>1900</v>
      </c>
      <c r="L282" s="757"/>
      <c r="M282" s="757"/>
      <c r="N282" s="757"/>
      <c r="O282" s="757"/>
      <c r="P282" s="757"/>
      <c r="Q282" s="757"/>
      <c r="R282" s="757"/>
      <c r="S282" s="757"/>
      <c r="T282" s="757"/>
      <c r="U282" s="757"/>
      <c r="V282" s="757"/>
      <c r="W282" s="757"/>
      <c r="X282" s="757"/>
      <c r="Y282" s="757"/>
      <c r="Z282" s="757"/>
      <c r="AA282" s="757"/>
      <c r="AB282" s="757"/>
      <c r="AC282" s="757"/>
      <c r="AD282" s="757"/>
      <c r="AE282" s="757"/>
      <c r="AF282" s="757"/>
      <c r="AG282" s="757"/>
      <c r="AH282" s="757"/>
      <c r="AI282" s="757"/>
      <c r="AJ282" s="757"/>
      <c r="AK282" s="757"/>
      <c r="AL282" s="757"/>
      <c r="AM282" s="757"/>
      <c r="AN282" s="757"/>
      <c r="AO282" s="757"/>
      <c r="AP282" s="757"/>
      <c r="AQ282" s="757"/>
      <c r="AR282" s="757"/>
      <c r="AS282" s="757"/>
      <c r="AT282" s="757"/>
      <c r="AU282" s="757"/>
      <c r="AV282" s="757"/>
      <c r="AW282" s="757"/>
      <c r="AX282" s="757"/>
      <c r="AY282" s="757"/>
      <c r="AZ282" s="75"/>
      <c r="BA282" s="2"/>
      <c r="BB282" s="2"/>
      <c r="BC282" s="2"/>
      <c r="BD282" s="2"/>
    </row>
    <row r="283" spans="1:56">
      <c r="A283" s="781">
        <v>2</v>
      </c>
      <c r="B283" s="782">
        <v>221</v>
      </c>
      <c r="C283" s="783"/>
      <c r="D283" s="785" t="s">
        <v>177</v>
      </c>
      <c r="E283" s="804">
        <v>3035</v>
      </c>
      <c r="F283" s="799"/>
      <c r="G283" s="799"/>
      <c r="H283" s="1592">
        <f t="shared" si="12"/>
        <v>0</v>
      </c>
      <c r="I283" s="754" t="str">
        <f>IFERROR(VLOOKUP(B283,Mychart!$A$125:$B$911,2,FALSE),"-")</f>
        <v>SAEED - ARCHPIX</v>
      </c>
      <c r="J283" s="753" t="str">
        <f t="shared" si="13"/>
        <v>-</v>
      </c>
      <c r="K283" s="1540">
        <f t="shared" si="14"/>
        <v>1900</v>
      </c>
      <c r="L283" s="757"/>
      <c r="M283" s="757"/>
      <c r="N283" s="757"/>
      <c r="O283" s="757"/>
      <c r="P283" s="757"/>
      <c r="Q283" s="757"/>
      <c r="R283" s="757"/>
      <c r="S283" s="757"/>
      <c r="T283" s="757"/>
      <c r="U283" s="757"/>
      <c r="V283" s="757"/>
      <c r="W283" s="757"/>
      <c r="X283" s="757"/>
      <c r="Y283" s="757"/>
      <c r="Z283" s="757"/>
      <c r="AA283" s="757"/>
      <c r="AB283" s="757"/>
      <c r="AC283" s="757"/>
      <c r="AD283" s="757"/>
      <c r="AE283" s="757"/>
      <c r="AF283" s="757"/>
      <c r="AG283" s="757"/>
      <c r="AH283" s="757"/>
      <c r="AI283" s="757"/>
      <c r="AJ283" s="757"/>
      <c r="AK283" s="757"/>
      <c r="AL283" s="757"/>
      <c r="AM283" s="757"/>
      <c r="AN283" s="757"/>
      <c r="AO283" s="757"/>
      <c r="AP283" s="757"/>
      <c r="AQ283" s="757"/>
      <c r="AR283" s="757"/>
      <c r="AS283" s="757"/>
      <c r="AT283" s="757"/>
      <c r="AU283" s="757"/>
      <c r="AV283" s="757"/>
      <c r="AW283" s="757"/>
      <c r="AX283" s="757"/>
      <c r="AY283" s="757"/>
      <c r="AZ283" s="75"/>
      <c r="BA283" s="2"/>
      <c r="BB283" s="2"/>
      <c r="BC283" s="2"/>
      <c r="BD283" s="2"/>
    </row>
    <row r="284" spans="1:56">
      <c r="A284" s="781">
        <v>2</v>
      </c>
      <c r="B284" s="782">
        <v>221</v>
      </c>
      <c r="C284" s="783">
        <v>45351</v>
      </c>
      <c r="D284" s="783" t="s">
        <v>510</v>
      </c>
      <c r="E284" s="804">
        <v>11151</v>
      </c>
      <c r="F284" s="799"/>
      <c r="G284" s="799"/>
      <c r="H284" s="1592">
        <f t="shared" si="12"/>
        <v>0</v>
      </c>
      <c r="I284" s="754" t="str">
        <f>IFERROR(VLOOKUP(B284,Mychart!$A$125:$B$911,2,FALSE),"-")</f>
        <v>SAEED - ARCHPIX</v>
      </c>
      <c r="J284" s="753">
        <f t="shared" si="13"/>
        <v>2</v>
      </c>
      <c r="K284" s="1540">
        <f t="shared" si="14"/>
        <v>2024</v>
      </c>
      <c r="L284" s="757"/>
      <c r="M284" s="757"/>
      <c r="N284" s="757"/>
      <c r="O284" s="757"/>
      <c r="P284" s="757"/>
      <c r="Q284" s="757"/>
      <c r="R284" s="757"/>
      <c r="S284" s="757"/>
      <c r="T284" s="757"/>
      <c r="U284" s="757"/>
      <c r="V284" s="757"/>
      <c r="W284" s="757"/>
      <c r="X284" s="757"/>
      <c r="Y284" s="757"/>
      <c r="Z284" s="757"/>
      <c r="AA284" s="757"/>
      <c r="AB284" s="757"/>
      <c r="AC284" s="757"/>
      <c r="AD284" s="757"/>
      <c r="AE284" s="757"/>
      <c r="AF284" s="757"/>
      <c r="AG284" s="757"/>
      <c r="AH284" s="757"/>
      <c r="AI284" s="757"/>
      <c r="AJ284" s="757"/>
      <c r="AK284" s="757"/>
      <c r="AL284" s="757"/>
      <c r="AM284" s="757"/>
      <c r="AN284" s="757"/>
      <c r="AO284" s="757"/>
      <c r="AP284" s="757"/>
      <c r="AQ284" s="757"/>
      <c r="AR284" s="757"/>
      <c r="AS284" s="757"/>
      <c r="AT284" s="757"/>
      <c r="AU284" s="757"/>
      <c r="AV284" s="757"/>
      <c r="AW284" s="757"/>
      <c r="AX284" s="757"/>
      <c r="AY284" s="757"/>
      <c r="AZ284" s="75"/>
      <c r="BA284" s="2"/>
      <c r="BB284" s="2"/>
      <c r="BC284" s="2"/>
      <c r="BD284" s="2"/>
    </row>
    <row r="285" spans="1:56">
      <c r="A285" s="781">
        <v>2</v>
      </c>
      <c r="B285" s="782">
        <v>221</v>
      </c>
      <c r="C285" s="783">
        <v>45411</v>
      </c>
      <c r="D285" s="783" t="s">
        <v>510</v>
      </c>
      <c r="E285" s="804">
        <v>34403</v>
      </c>
      <c r="F285" s="799"/>
      <c r="G285" s="799"/>
      <c r="H285" s="1592">
        <f t="shared" si="12"/>
        <v>0</v>
      </c>
      <c r="I285" s="754" t="str">
        <f>IFERROR(VLOOKUP(B285,Mychart!$A$125:$B$911,2,FALSE),"-")</f>
        <v>SAEED - ARCHPIX</v>
      </c>
      <c r="J285" s="753">
        <f t="shared" si="13"/>
        <v>4</v>
      </c>
      <c r="K285" s="1540">
        <f t="shared" si="14"/>
        <v>2024</v>
      </c>
      <c r="L285" s="757"/>
      <c r="M285" s="757"/>
      <c r="N285" s="757"/>
      <c r="O285" s="757"/>
      <c r="P285" s="757"/>
      <c r="Q285" s="757"/>
      <c r="R285" s="757"/>
      <c r="S285" s="757"/>
      <c r="T285" s="757"/>
      <c r="U285" s="757"/>
      <c r="V285" s="757"/>
      <c r="W285" s="757"/>
      <c r="X285" s="757"/>
      <c r="Y285" s="757"/>
      <c r="Z285" s="757"/>
      <c r="AA285" s="757"/>
      <c r="AB285" s="757"/>
      <c r="AC285" s="757"/>
      <c r="AD285" s="757"/>
      <c r="AE285" s="757"/>
      <c r="AF285" s="757"/>
      <c r="AG285" s="757"/>
      <c r="AH285" s="757"/>
      <c r="AI285" s="757"/>
      <c r="AJ285" s="757"/>
      <c r="AK285" s="757"/>
      <c r="AL285" s="757"/>
      <c r="AM285" s="757"/>
      <c r="AN285" s="757"/>
      <c r="AO285" s="757"/>
      <c r="AP285" s="757"/>
      <c r="AQ285" s="757"/>
      <c r="AR285" s="757"/>
      <c r="AS285" s="757"/>
      <c r="AT285" s="757"/>
      <c r="AU285" s="757"/>
      <c r="AV285" s="757"/>
      <c r="AW285" s="757"/>
      <c r="AX285" s="757"/>
      <c r="AY285" s="757"/>
      <c r="AZ285" s="75"/>
      <c r="BA285" s="2"/>
      <c r="BB285" s="2"/>
      <c r="BC285" s="2"/>
      <c r="BD285" s="2"/>
    </row>
    <row r="286" spans="1:56">
      <c r="A286" s="781">
        <v>2</v>
      </c>
      <c r="B286" s="782">
        <v>221</v>
      </c>
      <c r="C286" s="783">
        <v>45412</v>
      </c>
      <c r="D286" s="783" t="s">
        <v>177</v>
      </c>
      <c r="E286" s="804">
        <v>300</v>
      </c>
      <c r="F286" s="799"/>
      <c r="G286" s="799"/>
      <c r="H286" s="1592">
        <f t="shared" si="12"/>
        <v>0</v>
      </c>
      <c r="I286" s="754" t="str">
        <f>IFERROR(VLOOKUP(B286,Mychart!$A$125:$B$911,2,FALSE),"-")</f>
        <v>SAEED - ARCHPIX</v>
      </c>
      <c r="J286" s="753">
        <f t="shared" si="13"/>
        <v>4</v>
      </c>
      <c r="K286" s="1540">
        <f t="shared" si="14"/>
        <v>2024</v>
      </c>
      <c r="L286" s="757"/>
      <c r="M286" s="757"/>
      <c r="N286" s="757"/>
      <c r="O286" s="757"/>
      <c r="P286" s="757"/>
      <c r="Q286" s="757"/>
      <c r="R286" s="757"/>
      <c r="S286" s="757"/>
      <c r="T286" s="757"/>
      <c r="U286" s="757"/>
      <c r="V286" s="757"/>
      <c r="W286" s="757"/>
      <c r="X286" s="757"/>
      <c r="Y286" s="757"/>
      <c r="Z286" s="757"/>
      <c r="AA286" s="757"/>
      <c r="AB286" s="757"/>
      <c r="AC286" s="757"/>
      <c r="AD286" s="757"/>
      <c r="AE286" s="757"/>
      <c r="AF286" s="757"/>
      <c r="AG286" s="757"/>
      <c r="AH286" s="757"/>
      <c r="AI286" s="757"/>
      <c r="AJ286" s="757"/>
      <c r="AK286" s="757"/>
      <c r="AL286" s="757"/>
      <c r="AM286" s="757"/>
      <c r="AN286" s="757"/>
      <c r="AO286" s="757"/>
      <c r="AP286" s="757"/>
      <c r="AQ286" s="757"/>
      <c r="AR286" s="757"/>
      <c r="AS286" s="757"/>
      <c r="AT286" s="757"/>
      <c r="AU286" s="757"/>
      <c r="AV286" s="757"/>
      <c r="AW286" s="757"/>
      <c r="AX286" s="757"/>
      <c r="AY286" s="757"/>
      <c r="AZ286" s="75"/>
      <c r="BA286" s="2"/>
      <c r="BB286" s="2"/>
      <c r="BC286" s="2"/>
      <c r="BD286" s="2"/>
    </row>
    <row r="287" spans="1:56">
      <c r="A287" s="781">
        <v>2</v>
      </c>
      <c r="B287" s="782">
        <v>221</v>
      </c>
      <c r="C287" s="783">
        <v>45428</v>
      </c>
      <c r="D287" s="783" t="s">
        <v>510</v>
      </c>
      <c r="E287" s="804">
        <v>4940</v>
      </c>
      <c r="F287" s="799"/>
      <c r="G287" s="799"/>
      <c r="H287" s="1592">
        <f t="shared" si="12"/>
        <v>0</v>
      </c>
      <c r="I287" s="754" t="str">
        <f>IFERROR(VLOOKUP(B287,Mychart!$A$125:$B$911,2,FALSE),"-")</f>
        <v>SAEED - ARCHPIX</v>
      </c>
      <c r="J287" s="753">
        <f t="shared" si="13"/>
        <v>5</v>
      </c>
      <c r="K287" s="1540">
        <f t="shared" si="14"/>
        <v>2024</v>
      </c>
      <c r="L287" s="757"/>
      <c r="M287" s="757"/>
      <c r="N287" s="757"/>
      <c r="O287" s="757"/>
      <c r="P287" s="757"/>
      <c r="Q287" s="757"/>
      <c r="R287" s="757"/>
      <c r="S287" s="757"/>
      <c r="T287" s="757"/>
      <c r="U287" s="757"/>
      <c r="V287" s="757"/>
      <c r="W287" s="757"/>
      <c r="X287" s="757"/>
      <c r="Y287" s="757"/>
      <c r="Z287" s="757"/>
      <c r="AA287" s="757"/>
      <c r="AB287" s="757"/>
      <c r="AC287" s="757"/>
      <c r="AD287" s="757"/>
      <c r="AE287" s="757"/>
      <c r="AF287" s="757"/>
      <c r="AG287" s="757"/>
      <c r="AH287" s="757"/>
      <c r="AI287" s="757"/>
      <c r="AJ287" s="757"/>
      <c r="AK287" s="757"/>
      <c r="AL287" s="757"/>
      <c r="AM287" s="757"/>
      <c r="AN287" s="757"/>
      <c r="AO287" s="757"/>
      <c r="AP287" s="757"/>
      <c r="AQ287" s="757"/>
      <c r="AR287" s="757"/>
      <c r="AS287" s="757"/>
      <c r="AT287" s="757"/>
      <c r="AU287" s="757"/>
      <c r="AV287" s="757"/>
      <c r="AW287" s="757"/>
      <c r="AX287" s="757"/>
      <c r="AY287" s="757"/>
      <c r="AZ287" s="75"/>
      <c r="BA287" s="2"/>
      <c r="BB287" s="2"/>
      <c r="BC287" s="2"/>
      <c r="BD287" s="2"/>
    </row>
    <row r="288" spans="1:56">
      <c r="A288" s="781">
        <v>2</v>
      </c>
      <c r="B288" s="782">
        <v>221</v>
      </c>
      <c r="C288" s="783">
        <v>45442</v>
      </c>
      <c r="D288" s="783" t="s">
        <v>177</v>
      </c>
      <c r="E288" s="804">
        <v>2934</v>
      </c>
      <c r="F288" s="799"/>
      <c r="G288" s="799"/>
      <c r="H288" s="1592">
        <f t="shared" si="12"/>
        <v>0</v>
      </c>
      <c r="I288" s="754" t="str">
        <f>IFERROR(VLOOKUP(B288,Mychart!$A$125:$B$911,2,FALSE),"-")</f>
        <v>SAEED - ARCHPIX</v>
      </c>
      <c r="J288" s="753">
        <f t="shared" si="13"/>
        <v>5</v>
      </c>
      <c r="K288" s="1540">
        <f t="shared" si="14"/>
        <v>2024</v>
      </c>
      <c r="L288" s="757"/>
      <c r="M288" s="757"/>
      <c r="N288" s="757"/>
      <c r="O288" s="757"/>
      <c r="P288" s="757"/>
      <c r="Q288" s="757"/>
      <c r="R288" s="757"/>
      <c r="S288" s="757"/>
      <c r="T288" s="757"/>
      <c r="U288" s="757"/>
      <c r="V288" s="757"/>
      <c r="W288" s="757"/>
      <c r="X288" s="757"/>
      <c r="Y288" s="757"/>
      <c r="Z288" s="757"/>
      <c r="AA288" s="757"/>
      <c r="AB288" s="757"/>
      <c r="AC288" s="757"/>
      <c r="AD288" s="757"/>
      <c r="AE288" s="757"/>
      <c r="AF288" s="757"/>
      <c r="AG288" s="757"/>
      <c r="AH288" s="757"/>
      <c r="AI288" s="757"/>
      <c r="AJ288" s="757"/>
      <c r="AK288" s="757"/>
      <c r="AL288" s="757"/>
      <c r="AM288" s="757"/>
      <c r="AN288" s="757"/>
      <c r="AO288" s="757"/>
      <c r="AP288" s="757"/>
      <c r="AQ288" s="757"/>
      <c r="AR288" s="757"/>
      <c r="AS288" s="757"/>
      <c r="AT288" s="757"/>
      <c r="AU288" s="757"/>
      <c r="AV288" s="757"/>
      <c r="AW288" s="757"/>
      <c r="AX288" s="757"/>
      <c r="AY288" s="757"/>
      <c r="AZ288" s="75"/>
      <c r="BA288" s="2"/>
      <c r="BB288" s="2"/>
      <c r="BC288" s="2"/>
      <c r="BD288" s="2"/>
    </row>
    <row r="289" spans="1:56">
      <c r="A289" s="781">
        <v>1</v>
      </c>
      <c r="B289" s="782">
        <v>251</v>
      </c>
      <c r="C289" s="783">
        <v>45276</v>
      </c>
      <c r="D289" s="786" t="s">
        <v>517</v>
      </c>
      <c r="E289" s="807"/>
      <c r="F289" s="798">
        <v>34000</v>
      </c>
      <c r="G289" s="798">
        <v>1700</v>
      </c>
      <c r="H289" s="1592">
        <f t="shared" si="12"/>
        <v>35700</v>
      </c>
      <c r="I289" s="754" t="str">
        <f>IFERROR(VLOOKUP(B289,Mychart!$A$125:$B$911,2,FALSE),"-")</f>
        <v>RASHED SALEM. JUMAIRAH</v>
      </c>
      <c r="J289" s="753">
        <f t="shared" si="13"/>
        <v>12</v>
      </c>
      <c r="K289" s="1540">
        <f t="shared" si="14"/>
        <v>2023</v>
      </c>
      <c r="L289" s="757"/>
      <c r="M289" s="757"/>
      <c r="N289" s="757"/>
      <c r="O289" s="757"/>
      <c r="P289" s="757"/>
      <c r="Q289" s="757"/>
      <c r="R289" s="757"/>
      <c r="S289" s="757"/>
      <c r="T289" s="757"/>
      <c r="U289" s="757"/>
      <c r="V289" s="757"/>
      <c r="W289" s="757"/>
      <c r="X289" s="757"/>
      <c r="Y289" s="757"/>
      <c r="Z289" s="757"/>
      <c r="AA289" s="757"/>
      <c r="AB289" s="757"/>
      <c r="AC289" s="757"/>
      <c r="AD289" s="757"/>
      <c r="AE289" s="757"/>
      <c r="AF289" s="757"/>
      <c r="AG289" s="757"/>
      <c r="AH289" s="757"/>
      <c r="AI289" s="757"/>
      <c r="AJ289" s="757"/>
      <c r="AK289" s="757"/>
      <c r="AL289" s="757"/>
      <c r="AM289" s="757"/>
      <c r="AN289" s="757"/>
      <c r="AO289" s="757"/>
      <c r="AP289" s="757"/>
      <c r="AQ289" s="757"/>
      <c r="AR289" s="757"/>
      <c r="AS289" s="757"/>
      <c r="AT289" s="757"/>
      <c r="AU289" s="757"/>
      <c r="AV289" s="757"/>
      <c r="AW289" s="757"/>
      <c r="AX289" s="757"/>
      <c r="AY289" s="757"/>
      <c r="AZ289" s="75"/>
      <c r="BA289" s="2"/>
      <c r="BB289" s="2"/>
      <c r="BC289" s="2"/>
      <c r="BD289" s="2"/>
    </row>
    <row r="290" spans="1:56">
      <c r="A290" s="781">
        <v>1</v>
      </c>
      <c r="B290" s="782">
        <v>251</v>
      </c>
      <c r="C290" s="783">
        <v>45442</v>
      </c>
      <c r="D290" s="784" t="s">
        <v>518</v>
      </c>
      <c r="E290" s="807"/>
      <c r="F290" s="798">
        <v>51000</v>
      </c>
      <c r="G290" s="798">
        <v>2550</v>
      </c>
      <c r="H290" s="1592">
        <f t="shared" si="12"/>
        <v>53550</v>
      </c>
      <c r="I290" s="754" t="str">
        <f>IFERROR(VLOOKUP(B290,Mychart!$A$125:$B$911,2,FALSE),"-")</f>
        <v>RASHED SALEM. JUMAIRAH</v>
      </c>
      <c r="J290" s="753">
        <f t="shared" si="13"/>
        <v>5</v>
      </c>
      <c r="K290" s="1540">
        <f t="shared" si="14"/>
        <v>2024</v>
      </c>
      <c r="L290" s="757"/>
      <c r="M290" s="757"/>
      <c r="N290" s="757"/>
      <c r="O290" s="757"/>
      <c r="P290" s="757"/>
      <c r="Q290" s="757"/>
      <c r="R290" s="757"/>
      <c r="S290" s="757"/>
      <c r="T290" s="757"/>
      <c r="U290" s="757"/>
      <c r="V290" s="757"/>
      <c r="W290" s="757"/>
      <c r="X290" s="757"/>
      <c r="Y290" s="757"/>
      <c r="Z290" s="757"/>
      <c r="AA290" s="757"/>
      <c r="AB290" s="757"/>
      <c r="AC290" s="757"/>
      <c r="AD290" s="757"/>
      <c r="AE290" s="757"/>
      <c r="AF290" s="757"/>
      <c r="AG290" s="757"/>
      <c r="AH290" s="757"/>
      <c r="AI290" s="757"/>
      <c r="AJ290" s="757"/>
      <c r="AK290" s="757"/>
      <c r="AL290" s="757"/>
      <c r="AM290" s="757"/>
      <c r="AN290" s="757"/>
      <c r="AO290" s="757"/>
      <c r="AP290" s="757"/>
      <c r="AQ290" s="757"/>
      <c r="AR290" s="757"/>
      <c r="AS290" s="757"/>
      <c r="AT290" s="757"/>
      <c r="AU290" s="757"/>
      <c r="AV290" s="757"/>
      <c r="AW290" s="757"/>
      <c r="AX290" s="757"/>
      <c r="AY290" s="757"/>
      <c r="AZ290" s="75"/>
      <c r="BA290" s="2"/>
      <c r="BB290" s="2"/>
      <c r="BC290" s="2"/>
      <c r="BD290" s="2"/>
    </row>
    <row r="291" spans="1:56">
      <c r="A291" s="781">
        <v>2</v>
      </c>
      <c r="B291" s="782">
        <v>251</v>
      </c>
      <c r="C291" s="783">
        <v>45277</v>
      </c>
      <c r="D291" s="783" t="s">
        <v>368</v>
      </c>
      <c r="E291" s="808">
        <v>5000</v>
      </c>
      <c r="F291" s="799"/>
      <c r="G291" s="799"/>
      <c r="H291" s="1592">
        <f t="shared" si="12"/>
        <v>0</v>
      </c>
      <c r="I291" s="754" t="str">
        <f>IFERROR(VLOOKUP(B291,Mychart!$A$125:$B$911,2,FALSE),"-")</f>
        <v>RASHED SALEM. JUMAIRAH</v>
      </c>
      <c r="J291" s="753">
        <f t="shared" si="13"/>
        <v>12</v>
      </c>
      <c r="K291" s="1540">
        <f t="shared" si="14"/>
        <v>2023</v>
      </c>
      <c r="L291" s="757"/>
      <c r="M291" s="757"/>
      <c r="N291" s="757"/>
      <c r="O291" s="757"/>
      <c r="P291" s="757"/>
      <c r="Q291" s="757"/>
      <c r="R291" s="757"/>
      <c r="S291" s="757"/>
      <c r="T291" s="757"/>
      <c r="U291" s="757"/>
      <c r="V291" s="757"/>
      <c r="W291" s="757"/>
      <c r="X291" s="757"/>
      <c r="Y291" s="757"/>
      <c r="Z291" s="757"/>
      <c r="AA291" s="757"/>
      <c r="AB291" s="757"/>
      <c r="AC291" s="757"/>
      <c r="AD291" s="757"/>
      <c r="AE291" s="757"/>
      <c r="AF291" s="757"/>
      <c r="AG291" s="757"/>
      <c r="AH291" s="757"/>
      <c r="AI291" s="757"/>
      <c r="AJ291" s="757"/>
      <c r="AK291" s="757"/>
      <c r="AL291" s="757"/>
      <c r="AM291" s="757"/>
      <c r="AN291" s="757"/>
      <c r="AO291" s="757"/>
      <c r="AP291" s="757"/>
      <c r="AQ291" s="757"/>
      <c r="AR291" s="757"/>
      <c r="AS291" s="757"/>
      <c r="AT291" s="757"/>
      <c r="AU291" s="757"/>
      <c r="AV291" s="757"/>
      <c r="AW291" s="757"/>
      <c r="AX291" s="757"/>
      <c r="AY291" s="757"/>
      <c r="AZ291" s="75"/>
      <c r="BA291" s="2"/>
      <c r="BB291" s="2"/>
      <c r="BC291" s="2"/>
      <c r="BD291" s="2"/>
    </row>
    <row r="292" spans="1:56">
      <c r="A292" s="781">
        <v>2</v>
      </c>
      <c r="B292" s="782">
        <v>251</v>
      </c>
      <c r="C292" s="783">
        <v>45291</v>
      </c>
      <c r="D292" s="783" t="s">
        <v>178</v>
      </c>
      <c r="E292" s="808">
        <v>9235</v>
      </c>
      <c r="F292" s="799"/>
      <c r="G292" s="799"/>
      <c r="H292" s="1592">
        <f t="shared" si="12"/>
        <v>0</v>
      </c>
      <c r="I292" s="754" t="str">
        <f>IFERROR(VLOOKUP(B292,Mychart!$A$125:$B$911,2,FALSE),"-")</f>
        <v>RASHED SALEM. JUMAIRAH</v>
      </c>
      <c r="J292" s="753">
        <f t="shared" si="13"/>
        <v>12</v>
      </c>
      <c r="K292" s="1540">
        <f t="shared" si="14"/>
        <v>2023</v>
      </c>
      <c r="L292" s="757"/>
      <c r="M292" s="757"/>
      <c r="N292" s="757"/>
      <c r="O292" s="757"/>
      <c r="P292" s="757"/>
      <c r="Q292" s="757"/>
      <c r="R292" s="757"/>
      <c r="S292" s="757"/>
      <c r="T292" s="757"/>
      <c r="U292" s="757"/>
      <c r="V292" s="757"/>
      <c r="W292" s="757"/>
      <c r="X292" s="757"/>
      <c r="Y292" s="757"/>
      <c r="Z292" s="757"/>
      <c r="AA292" s="757"/>
      <c r="AB292" s="757"/>
      <c r="AC292" s="757"/>
      <c r="AD292" s="757"/>
      <c r="AE292" s="757"/>
      <c r="AF292" s="757"/>
      <c r="AG292" s="757"/>
      <c r="AH292" s="757"/>
      <c r="AI292" s="757"/>
      <c r="AJ292" s="757"/>
      <c r="AK292" s="757"/>
      <c r="AL292" s="757"/>
      <c r="AM292" s="757"/>
      <c r="AN292" s="757"/>
      <c r="AO292" s="757"/>
      <c r="AP292" s="757"/>
      <c r="AQ292" s="757"/>
      <c r="AR292" s="757"/>
      <c r="AS292" s="757"/>
      <c r="AT292" s="757"/>
      <c r="AU292" s="757"/>
      <c r="AV292" s="757"/>
      <c r="AW292" s="757"/>
      <c r="AX292" s="757"/>
      <c r="AY292" s="757"/>
      <c r="AZ292" s="75"/>
      <c r="BA292" s="2"/>
      <c r="BB292" s="2"/>
      <c r="BC292" s="2"/>
      <c r="BD292" s="2"/>
    </row>
    <row r="293" spans="1:56">
      <c r="A293" s="781">
        <v>2</v>
      </c>
      <c r="B293" s="782">
        <v>251</v>
      </c>
      <c r="C293" s="783">
        <v>45293</v>
      </c>
      <c r="D293" s="783" t="s">
        <v>258</v>
      </c>
      <c r="E293" s="808">
        <v>4800.24</v>
      </c>
      <c r="F293" s="799"/>
      <c r="G293" s="799"/>
      <c r="H293" s="1592">
        <f t="shared" si="12"/>
        <v>0</v>
      </c>
      <c r="I293" s="754" t="str">
        <f>IFERROR(VLOOKUP(B293,Mychart!$A$125:$B$911,2,FALSE),"-")</f>
        <v>RASHED SALEM. JUMAIRAH</v>
      </c>
      <c r="J293" s="753">
        <f t="shared" si="13"/>
        <v>1</v>
      </c>
      <c r="K293" s="1540">
        <f t="shared" si="14"/>
        <v>2024</v>
      </c>
      <c r="L293" s="757"/>
      <c r="M293" s="757"/>
      <c r="N293" s="757"/>
      <c r="O293" s="757"/>
      <c r="P293" s="757"/>
      <c r="Q293" s="757"/>
      <c r="R293" s="757"/>
      <c r="S293" s="757"/>
      <c r="T293" s="757"/>
      <c r="U293" s="757"/>
      <c r="V293" s="757"/>
      <c r="W293" s="757"/>
      <c r="X293" s="757"/>
      <c r="Y293" s="757"/>
      <c r="Z293" s="757"/>
      <c r="AA293" s="757"/>
      <c r="AB293" s="757"/>
      <c r="AC293" s="757"/>
      <c r="AD293" s="757"/>
      <c r="AE293" s="757"/>
      <c r="AF293" s="757"/>
      <c r="AG293" s="757"/>
      <c r="AH293" s="757"/>
      <c r="AI293" s="757"/>
      <c r="AJ293" s="757"/>
      <c r="AK293" s="757"/>
      <c r="AL293" s="757"/>
      <c r="AM293" s="757"/>
      <c r="AN293" s="757"/>
      <c r="AO293" s="757"/>
      <c r="AP293" s="757"/>
      <c r="AQ293" s="757"/>
      <c r="AR293" s="757"/>
      <c r="AS293" s="757"/>
      <c r="AT293" s="757"/>
      <c r="AU293" s="757"/>
      <c r="AV293" s="757"/>
      <c r="AW293" s="757"/>
      <c r="AX293" s="757"/>
      <c r="AY293" s="757"/>
      <c r="AZ293" s="75"/>
      <c r="BA293" s="2"/>
      <c r="BB293" s="2"/>
      <c r="BC293" s="2"/>
      <c r="BD293" s="2"/>
    </row>
    <row r="294" spans="1:56">
      <c r="A294" s="781">
        <v>2</v>
      </c>
      <c r="B294" s="782">
        <v>251</v>
      </c>
      <c r="C294" s="783">
        <v>45322</v>
      </c>
      <c r="D294" s="783" t="s">
        <v>178</v>
      </c>
      <c r="E294" s="808">
        <v>852</v>
      </c>
      <c r="F294" s="799"/>
      <c r="G294" s="799"/>
      <c r="H294" s="1592">
        <f t="shared" si="12"/>
        <v>0</v>
      </c>
      <c r="I294" s="754" t="str">
        <f>IFERROR(VLOOKUP(B294,Mychart!$A$125:$B$911,2,FALSE),"-")</f>
        <v>RASHED SALEM. JUMAIRAH</v>
      </c>
      <c r="J294" s="753">
        <f t="shared" si="13"/>
        <v>1</v>
      </c>
      <c r="K294" s="1540">
        <f t="shared" si="14"/>
        <v>2024</v>
      </c>
      <c r="L294" s="757"/>
      <c r="M294" s="757"/>
      <c r="N294" s="757"/>
      <c r="O294" s="757"/>
      <c r="P294" s="757"/>
      <c r="Q294" s="757"/>
      <c r="R294" s="757"/>
      <c r="S294" s="757"/>
      <c r="T294" s="757"/>
      <c r="U294" s="757"/>
      <c r="V294" s="757"/>
      <c r="W294" s="757"/>
      <c r="X294" s="757"/>
      <c r="Y294" s="757"/>
      <c r="Z294" s="757"/>
      <c r="AA294" s="757"/>
      <c r="AB294" s="757"/>
      <c r="AC294" s="757"/>
      <c r="AD294" s="757"/>
      <c r="AE294" s="757"/>
      <c r="AF294" s="757"/>
      <c r="AG294" s="757"/>
      <c r="AH294" s="757"/>
      <c r="AI294" s="757"/>
      <c r="AJ294" s="757"/>
      <c r="AK294" s="757"/>
      <c r="AL294" s="757"/>
      <c r="AM294" s="757"/>
      <c r="AN294" s="757"/>
      <c r="AO294" s="757"/>
      <c r="AP294" s="757"/>
      <c r="AQ294" s="757"/>
      <c r="AR294" s="757"/>
      <c r="AS294" s="757"/>
      <c r="AT294" s="757"/>
      <c r="AU294" s="757"/>
      <c r="AV294" s="757"/>
      <c r="AW294" s="757"/>
      <c r="AX294" s="757"/>
      <c r="AY294" s="757"/>
      <c r="AZ294" s="75"/>
      <c r="BA294" s="2"/>
      <c r="BB294" s="2"/>
      <c r="BC294" s="2"/>
      <c r="BD294" s="2"/>
    </row>
    <row r="295" spans="1:56">
      <c r="A295" s="781">
        <v>2</v>
      </c>
      <c r="B295" s="782">
        <v>251</v>
      </c>
      <c r="C295" s="783">
        <v>45442</v>
      </c>
      <c r="D295" s="783" t="s">
        <v>177</v>
      </c>
      <c r="E295" s="808">
        <v>1360</v>
      </c>
      <c r="F295" s="799"/>
      <c r="G295" s="799"/>
      <c r="H295" s="1592">
        <f t="shared" si="12"/>
        <v>0</v>
      </c>
      <c r="I295" s="754" t="str">
        <f>IFERROR(VLOOKUP(B295,Mychart!$A$125:$B$911,2,FALSE),"-")</f>
        <v>RASHED SALEM. JUMAIRAH</v>
      </c>
      <c r="J295" s="753">
        <f t="shared" si="13"/>
        <v>5</v>
      </c>
      <c r="K295" s="1540">
        <f t="shared" si="14"/>
        <v>2024</v>
      </c>
      <c r="L295" s="757"/>
      <c r="M295" s="757"/>
      <c r="N295" s="757"/>
      <c r="O295" s="757"/>
      <c r="P295" s="757"/>
      <c r="Q295" s="757"/>
      <c r="R295" s="757"/>
      <c r="S295" s="757"/>
      <c r="T295" s="757"/>
      <c r="U295" s="757"/>
      <c r="V295" s="757"/>
      <c r="W295" s="757"/>
      <c r="X295" s="757"/>
      <c r="Y295" s="757"/>
      <c r="Z295" s="757"/>
      <c r="AA295" s="757"/>
      <c r="AB295" s="757"/>
      <c r="AC295" s="757"/>
      <c r="AD295" s="757"/>
      <c r="AE295" s="757"/>
      <c r="AF295" s="757"/>
      <c r="AG295" s="757"/>
      <c r="AH295" s="757"/>
      <c r="AI295" s="757"/>
      <c r="AJ295" s="757"/>
      <c r="AK295" s="757"/>
      <c r="AL295" s="757"/>
      <c r="AM295" s="757"/>
      <c r="AN295" s="757"/>
      <c r="AO295" s="757"/>
      <c r="AP295" s="757"/>
      <c r="AQ295" s="757"/>
      <c r="AR295" s="757"/>
      <c r="AS295" s="757"/>
      <c r="AT295" s="757"/>
      <c r="AU295" s="757"/>
      <c r="AV295" s="757"/>
      <c r="AW295" s="757"/>
      <c r="AX295" s="757"/>
      <c r="AY295" s="757"/>
      <c r="AZ295" s="75"/>
      <c r="BA295" s="2"/>
      <c r="BB295" s="2"/>
      <c r="BC295" s="2"/>
      <c r="BD295" s="2"/>
    </row>
    <row r="296" spans="1:56">
      <c r="A296" s="781">
        <v>2</v>
      </c>
      <c r="B296" s="782">
        <v>251</v>
      </c>
      <c r="C296" s="783">
        <v>45448</v>
      </c>
      <c r="D296" s="783" t="s">
        <v>224</v>
      </c>
      <c r="E296" s="808">
        <v>32776</v>
      </c>
      <c r="F296" s="799"/>
      <c r="G296" s="799"/>
      <c r="H296" s="1592">
        <f t="shared" si="12"/>
        <v>0</v>
      </c>
      <c r="I296" s="754" t="str">
        <f>IFERROR(VLOOKUP(B296,Mychart!$A$125:$B$911,2,FALSE),"-")</f>
        <v>RASHED SALEM. JUMAIRAH</v>
      </c>
      <c r="J296" s="753">
        <f t="shared" si="13"/>
        <v>6</v>
      </c>
      <c r="K296" s="1540">
        <f t="shared" si="14"/>
        <v>2024</v>
      </c>
      <c r="L296" s="757"/>
      <c r="M296" s="757"/>
      <c r="N296" s="757"/>
      <c r="O296" s="757"/>
      <c r="P296" s="757"/>
      <c r="Q296" s="757"/>
      <c r="R296" s="757"/>
      <c r="S296" s="757"/>
      <c r="T296" s="757"/>
      <c r="U296" s="757"/>
      <c r="V296" s="757"/>
      <c r="W296" s="757"/>
      <c r="X296" s="757"/>
      <c r="Y296" s="757"/>
      <c r="Z296" s="757"/>
      <c r="AA296" s="757"/>
      <c r="AB296" s="757"/>
      <c r="AC296" s="757"/>
      <c r="AD296" s="757"/>
      <c r="AE296" s="757"/>
      <c r="AF296" s="757"/>
      <c r="AG296" s="757"/>
      <c r="AH296" s="757"/>
      <c r="AI296" s="757"/>
      <c r="AJ296" s="757"/>
      <c r="AK296" s="757"/>
      <c r="AL296" s="757"/>
      <c r="AM296" s="757"/>
      <c r="AN296" s="757"/>
      <c r="AO296" s="757"/>
      <c r="AP296" s="757"/>
      <c r="AQ296" s="757"/>
      <c r="AR296" s="757"/>
      <c r="AS296" s="757"/>
      <c r="AT296" s="757"/>
      <c r="AU296" s="757"/>
      <c r="AV296" s="757"/>
      <c r="AW296" s="757"/>
      <c r="AX296" s="757"/>
      <c r="AY296" s="757"/>
      <c r="AZ296" s="75"/>
      <c r="BA296" s="2"/>
      <c r="BB296" s="2"/>
      <c r="BC296" s="2"/>
      <c r="BD296" s="2"/>
    </row>
    <row r="297" spans="1:56">
      <c r="A297" s="781">
        <v>2</v>
      </c>
      <c r="B297" s="782">
        <v>251</v>
      </c>
      <c r="C297" s="783">
        <v>45431</v>
      </c>
      <c r="D297" s="783" t="s">
        <v>394</v>
      </c>
      <c r="E297" s="808">
        <v>89.039999999999992</v>
      </c>
      <c r="F297" s="799"/>
      <c r="G297" s="799"/>
      <c r="H297" s="1592">
        <f t="shared" si="12"/>
        <v>0</v>
      </c>
      <c r="I297" s="754" t="str">
        <f>IFERROR(VLOOKUP(B297,Mychart!$A$125:$B$911,2,FALSE),"-")</f>
        <v>RASHED SALEM. JUMAIRAH</v>
      </c>
      <c r="J297" s="753">
        <f t="shared" si="13"/>
        <v>5</v>
      </c>
      <c r="K297" s="1540">
        <f t="shared" si="14"/>
        <v>2024</v>
      </c>
      <c r="L297" s="757"/>
      <c r="M297" s="757"/>
      <c r="N297" s="757"/>
      <c r="O297" s="757"/>
      <c r="P297" s="757"/>
      <c r="Q297" s="757"/>
      <c r="R297" s="757"/>
      <c r="S297" s="757"/>
      <c r="T297" s="757"/>
      <c r="U297" s="757"/>
      <c r="V297" s="757"/>
      <c r="W297" s="757"/>
      <c r="X297" s="757"/>
      <c r="Y297" s="757"/>
      <c r="Z297" s="757"/>
      <c r="AA297" s="757"/>
      <c r="AB297" s="757"/>
      <c r="AC297" s="757"/>
      <c r="AD297" s="757"/>
      <c r="AE297" s="757"/>
      <c r="AF297" s="757"/>
      <c r="AG297" s="757"/>
      <c r="AH297" s="757"/>
      <c r="AI297" s="757"/>
      <c r="AJ297" s="757"/>
      <c r="AK297" s="757"/>
      <c r="AL297" s="757"/>
      <c r="AM297" s="757"/>
      <c r="AN297" s="757"/>
      <c r="AO297" s="757"/>
      <c r="AP297" s="757"/>
      <c r="AQ297" s="757"/>
      <c r="AR297" s="757"/>
      <c r="AS297" s="757"/>
      <c r="AT297" s="757"/>
      <c r="AU297" s="757"/>
      <c r="AV297" s="757"/>
      <c r="AW297" s="757"/>
      <c r="AX297" s="757"/>
      <c r="AY297" s="757"/>
      <c r="AZ297" s="75"/>
      <c r="BA297" s="2"/>
      <c r="BB297" s="2"/>
      <c r="BC297" s="2"/>
      <c r="BD297" s="2"/>
    </row>
    <row r="298" spans="1:56">
      <c r="A298" s="781">
        <v>2</v>
      </c>
      <c r="B298" s="782">
        <v>251</v>
      </c>
      <c r="C298" s="783">
        <v>45419</v>
      </c>
      <c r="D298" s="783" t="s">
        <v>394</v>
      </c>
      <c r="E298" s="808">
        <v>626.73</v>
      </c>
      <c r="F298" s="799"/>
      <c r="G298" s="799"/>
      <c r="H298" s="1592">
        <f t="shared" si="12"/>
        <v>0</v>
      </c>
      <c r="I298" s="754" t="str">
        <f>IFERROR(VLOOKUP(B298,Mychart!$A$125:$B$911,2,FALSE),"-")</f>
        <v>RASHED SALEM. JUMAIRAH</v>
      </c>
      <c r="J298" s="753">
        <f t="shared" si="13"/>
        <v>5</v>
      </c>
      <c r="K298" s="1540">
        <f t="shared" si="14"/>
        <v>2024</v>
      </c>
      <c r="L298" s="757"/>
      <c r="M298" s="757"/>
      <c r="N298" s="757"/>
      <c r="O298" s="757"/>
      <c r="P298" s="757"/>
      <c r="Q298" s="757"/>
      <c r="R298" s="757"/>
      <c r="S298" s="757"/>
      <c r="T298" s="757"/>
      <c r="U298" s="757"/>
      <c r="V298" s="757"/>
      <c r="W298" s="757"/>
      <c r="X298" s="757"/>
      <c r="Y298" s="757"/>
      <c r="Z298" s="757"/>
      <c r="AA298" s="757"/>
      <c r="AB298" s="757"/>
      <c r="AC298" s="757"/>
      <c r="AD298" s="757"/>
      <c r="AE298" s="757"/>
      <c r="AF298" s="757"/>
      <c r="AG298" s="757"/>
      <c r="AH298" s="757"/>
      <c r="AI298" s="757"/>
      <c r="AJ298" s="757"/>
      <c r="AK298" s="757"/>
      <c r="AL298" s="757"/>
      <c r="AM298" s="757"/>
      <c r="AN298" s="757"/>
      <c r="AO298" s="757"/>
      <c r="AP298" s="757"/>
      <c r="AQ298" s="757"/>
      <c r="AR298" s="757"/>
      <c r="AS298" s="757"/>
      <c r="AT298" s="757"/>
      <c r="AU298" s="757"/>
      <c r="AV298" s="757"/>
      <c r="AW298" s="757"/>
      <c r="AX298" s="757"/>
      <c r="AY298" s="757"/>
      <c r="AZ298" s="75"/>
      <c r="BA298" s="2"/>
      <c r="BB298" s="2"/>
      <c r="BC298" s="2"/>
      <c r="BD298" s="2"/>
    </row>
    <row r="299" spans="1:56">
      <c r="A299" s="781">
        <v>2</v>
      </c>
      <c r="B299" s="782">
        <v>251</v>
      </c>
      <c r="C299" s="783"/>
      <c r="D299" s="783" t="s">
        <v>499</v>
      </c>
      <c r="E299" s="808">
        <v>700</v>
      </c>
      <c r="F299" s="799"/>
      <c r="G299" s="799"/>
      <c r="H299" s="1592">
        <f t="shared" si="12"/>
        <v>0</v>
      </c>
      <c r="I299" s="754" t="str">
        <f>IFERROR(VLOOKUP(B299,Mychart!$A$125:$B$911,2,FALSE),"-")</f>
        <v>RASHED SALEM. JUMAIRAH</v>
      </c>
      <c r="J299" s="753" t="str">
        <f t="shared" si="13"/>
        <v>-</v>
      </c>
      <c r="K299" s="1540">
        <f t="shared" si="14"/>
        <v>1900</v>
      </c>
      <c r="L299" s="757"/>
      <c r="M299" s="757"/>
      <c r="N299" s="757"/>
      <c r="O299" s="757"/>
      <c r="P299" s="757"/>
      <c r="Q299" s="757"/>
      <c r="R299" s="757"/>
      <c r="S299" s="757"/>
      <c r="T299" s="757"/>
      <c r="U299" s="757"/>
      <c r="V299" s="757"/>
      <c r="W299" s="757"/>
      <c r="X299" s="757"/>
      <c r="Y299" s="757"/>
      <c r="Z299" s="757"/>
      <c r="AA299" s="757"/>
      <c r="AB299" s="757"/>
      <c r="AC299" s="757"/>
      <c r="AD299" s="757"/>
      <c r="AE299" s="757"/>
      <c r="AF299" s="757"/>
      <c r="AG299" s="757"/>
      <c r="AH299" s="757"/>
      <c r="AI299" s="757"/>
      <c r="AJ299" s="757"/>
      <c r="AK299" s="757"/>
      <c r="AL299" s="757"/>
      <c r="AM299" s="757"/>
      <c r="AN299" s="757"/>
      <c r="AO299" s="757"/>
      <c r="AP299" s="757"/>
      <c r="AQ299" s="757"/>
      <c r="AR299" s="757"/>
      <c r="AS299" s="757"/>
      <c r="AT299" s="757"/>
      <c r="AU299" s="757"/>
      <c r="AV299" s="757"/>
      <c r="AW299" s="757"/>
      <c r="AX299" s="757"/>
      <c r="AY299" s="757"/>
      <c r="AZ299" s="75"/>
      <c r="BA299" s="2"/>
      <c r="BB299" s="2"/>
      <c r="BC299" s="2"/>
      <c r="BD299" s="2"/>
    </row>
    <row r="300" spans="1:56">
      <c r="A300" s="781">
        <v>1</v>
      </c>
      <c r="B300" s="782">
        <v>236</v>
      </c>
      <c r="C300" s="783">
        <v>45129</v>
      </c>
      <c r="D300" s="786" t="s">
        <v>524</v>
      </c>
      <c r="E300" s="807"/>
      <c r="F300" s="798">
        <v>27000</v>
      </c>
      <c r="G300" s="798">
        <v>1350</v>
      </c>
      <c r="H300" s="1592">
        <f t="shared" si="12"/>
        <v>28350</v>
      </c>
      <c r="I300" s="754" t="str">
        <f>IFERROR(VLOOKUP(B300,Mychart!$A$125:$B$911,2,FALSE),"-")</f>
        <v>RASHED MARZOKI</v>
      </c>
      <c r="J300" s="753">
        <f t="shared" si="13"/>
        <v>7</v>
      </c>
      <c r="K300" s="1540">
        <f t="shared" si="14"/>
        <v>2023</v>
      </c>
      <c r="L300" s="757"/>
      <c r="M300" s="757"/>
      <c r="N300" s="757"/>
      <c r="O300" s="757"/>
      <c r="P300" s="757"/>
      <c r="Q300" s="757"/>
      <c r="R300" s="757"/>
      <c r="S300" s="757"/>
      <c r="T300" s="757"/>
      <c r="U300" s="757"/>
      <c r="V300" s="757"/>
      <c r="W300" s="757"/>
      <c r="X300" s="757"/>
      <c r="Y300" s="757"/>
      <c r="Z300" s="757"/>
      <c r="AA300" s="757"/>
      <c r="AB300" s="757"/>
      <c r="AC300" s="757"/>
      <c r="AD300" s="757"/>
      <c r="AE300" s="757"/>
      <c r="AF300" s="757"/>
      <c r="AG300" s="757"/>
      <c r="AH300" s="757"/>
      <c r="AI300" s="757"/>
      <c r="AJ300" s="757"/>
      <c r="AK300" s="757"/>
      <c r="AL300" s="757"/>
      <c r="AM300" s="757"/>
      <c r="AN300" s="757"/>
      <c r="AO300" s="757"/>
      <c r="AP300" s="757"/>
      <c r="AQ300" s="757"/>
      <c r="AR300" s="757"/>
      <c r="AS300" s="757"/>
      <c r="AT300" s="757"/>
      <c r="AU300" s="757"/>
      <c r="AV300" s="757"/>
      <c r="AW300" s="757"/>
      <c r="AX300" s="757"/>
      <c r="AY300" s="757"/>
      <c r="AZ300" s="75"/>
      <c r="BA300" s="2"/>
      <c r="BB300" s="2"/>
      <c r="BC300" s="2"/>
      <c r="BD300" s="2"/>
    </row>
    <row r="301" spans="1:56">
      <c r="A301" s="781">
        <v>2</v>
      </c>
      <c r="B301" s="782">
        <v>236</v>
      </c>
      <c r="C301" s="783">
        <v>45135</v>
      </c>
      <c r="D301" s="783" t="s">
        <v>258</v>
      </c>
      <c r="E301" s="808">
        <v>3943</v>
      </c>
      <c r="F301" s="799"/>
      <c r="G301" s="799"/>
      <c r="H301" s="1592">
        <f t="shared" si="12"/>
        <v>0</v>
      </c>
      <c r="I301" s="754" t="str">
        <f>IFERROR(VLOOKUP(B301,Mychart!$A$125:$B$911,2,FALSE),"-")</f>
        <v>RASHED MARZOKI</v>
      </c>
      <c r="J301" s="753">
        <f t="shared" si="13"/>
        <v>7</v>
      </c>
      <c r="K301" s="1540">
        <f t="shared" si="14"/>
        <v>2023</v>
      </c>
      <c r="L301" s="757"/>
      <c r="M301" s="757"/>
      <c r="N301" s="757"/>
      <c r="O301" s="757"/>
      <c r="P301" s="757"/>
      <c r="Q301" s="757"/>
      <c r="R301" s="757"/>
      <c r="S301" s="757"/>
      <c r="T301" s="757"/>
      <c r="U301" s="757"/>
      <c r="V301" s="757"/>
      <c r="W301" s="757"/>
      <c r="X301" s="757"/>
      <c r="Y301" s="757"/>
      <c r="Z301" s="757"/>
      <c r="AA301" s="757"/>
      <c r="AB301" s="757"/>
      <c r="AC301" s="757"/>
      <c r="AD301" s="757"/>
      <c r="AE301" s="757"/>
      <c r="AF301" s="757"/>
      <c r="AG301" s="757"/>
      <c r="AH301" s="757"/>
      <c r="AI301" s="757"/>
      <c r="AJ301" s="757"/>
      <c r="AK301" s="757"/>
      <c r="AL301" s="757"/>
      <c r="AM301" s="757"/>
      <c r="AN301" s="757"/>
      <c r="AO301" s="757"/>
      <c r="AP301" s="757"/>
      <c r="AQ301" s="757"/>
      <c r="AR301" s="757"/>
      <c r="AS301" s="757"/>
      <c r="AT301" s="757"/>
      <c r="AU301" s="757"/>
      <c r="AV301" s="757"/>
      <c r="AW301" s="757"/>
      <c r="AX301" s="757"/>
      <c r="AY301" s="757"/>
      <c r="AZ301" s="75"/>
      <c r="BA301" s="2"/>
      <c r="BB301" s="2"/>
      <c r="BC301" s="2"/>
      <c r="BD301" s="2"/>
    </row>
    <row r="302" spans="1:56">
      <c r="A302" s="781">
        <v>2</v>
      </c>
      <c r="B302" s="782">
        <v>236</v>
      </c>
      <c r="C302" s="783">
        <v>45132</v>
      </c>
      <c r="D302" s="783" t="s">
        <v>181</v>
      </c>
      <c r="E302" s="808">
        <v>6750</v>
      </c>
      <c r="F302" s="799"/>
      <c r="G302" s="799"/>
      <c r="H302" s="1592">
        <f t="shared" si="12"/>
        <v>0</v>
      </c>
      <c r="I302" s="754" t="str">
        <f>IFERROR(VLOOKUP(B302,Mychart!$A$125:$B$911,2,FALSE),"-")</f>
        <v>RASHED MARZOKI</v>
      </c>
      <c r="J302" s="753">
        <f t="shared" si="13"/>
        <v>7</v>
      </c>
      <c r="K302" s="1540">
        <f t="shared" si="14"/>
        <v>2023</v>
      </c>
      <c r="L302" s="757"/>
      <c r="M302" s="757"/>
      <c r="N302" s="757"/>
      <c r="O302" s="757"/>
      <c r="P302" s="757"/>
      <c r="Q302" s="757"/>
      <c r="R302" s="757"/>
      <c r="S302" s="757"/>
      <c r="T302" s="757"/>
      <c r="U302" s="757"/>
      <c r="V302" s="757"/>
      <c r="W302" s="757"/>
      <c r="X302" s="757"/>
      <c r="Y302" s="757"/>
      <c r="Z302" s="757"/>
      <c r="AA302" s="757"/>
      <c r="AB302" s="757"/>
      <c r="AC302" s="757"/>
      <c r="AD302" s="757"/>
      <c r="AE302" s="757"/>
      <c r="AF302" s="757"/>
      <c r="AG302" s="757"/>
      <c r="AH302" s="757"/>
      <c r="AI302" s="757"/>
      <c r="AJ302" s="757"/>
      <c r="AK302" s="757"/>
      <c r="AL302" s="757"/>
      <c r="AM302" s="757"/>
      <c r="AN302" s="757"/>
      <c r="AO302" s="757"/>
      <c r="AP302" s="757"/>
      <c r="AQ302" s="757"/>
      <c r="AR302" s="757"/>
      <c r="AS302" s="757"/>
      <c r="AT302" s="757"/>
      <c r="AU302" s="757"/>
      <c r="AV302" s="757"/>
      <c r="AW302" s="757"/>
      <c r="AX302" s="757"/>
      <c r="AY302" s="757"/>
      <c r="AZ302" s="75"/>
      <c r="BA302" s="2"/>
      <c r="BB302" s="2"/>
      <c r="BC302" s="2"/>
      <c r="BD302" s="2"/>
    </row>
    <row r="303" spans="1:56">
      <c r="A303" s="781">
        <v>2</v>
      </c>
      <c r="B303" s="782">
        <v>236</v>
      </c>
      <c r="C303" s="783"/>
      <c r="D303" s="783" t="s">
        <v>183</v>
      </c>
      <c r="E303" s="808">
        <v>500</v>
      </c>
      <c r="F303" s="799"/>
      <c r="G303" s="799"/>
      <c r="H303" s="1592">
        <f t="shared" si="12"/>
        <v>0</v>
      </c>
      <c r="I303" s="754" t="str">
        <f>IFERROR(VLOOKUP(B303,Mychart!$A$125:$B$911,2,FALSE),"-")</f>
        <v>RASHED MARZOKI</v>
      </c>
      <c r="J303" s="753" t="str">
        <f t="shared" si="13"/>
        <v>-</v>
      </c>
      <c r="K303" s="1540">
        <f t="shared" si="14"/>
        <v>1900</v>
      </c>
      <c r="L303" s="757"/>
      <c r="M303" s="757"/>
      <c r="N303" s="757"/>
      <c r="O303" s="757"/>
      <c r="P303" s="757"/>
      <c r="Q303" s="757"/>
      <c r="R303" s="757"/>
      <c r="S303" s="757"/>
      <c r="T303" s="757"/>
      <c r="U303" s="757"/>
      <c r="V303" s="757"/>
      <c r="W303" s="757"/>
      <c r="X303" s="757"/>
      <c r="Y303" s="757"/>
      <c r="Z303" s="757"/>
      <c r="AA303" s="757"/>
      <c r="AB303" s="757"/>
      <c r="AC303" s="757"/>
      <c r="AD303" s="757"/>
      <c r="AE303" s="757"/>
      <c r="AF303" s="757"/>
      <c r="AG303" s="757"/>
      <c r="AH303" s="757"/>
      <c r="AI303" s="757"/>
      <c r="AJ303" s="757"/>
      <c r="AK303" s="757"/>
      <c r="AL303" s="757"/>
      <c r="AM303" s="757"/>
      <c r="AN303" s="757"/>
      <c r="AO303" s="757"/>
      <c r="AP303" s="757"/>
      <c r="AQ303" s="757"/>
      <c r="AR303" s="757"/>
      <c r="AS303" s="757"/>
      <c r="AT303" s="757"/>
      <c r="AU303" s="757"/>
      <c r="AV303" s="757"/>
      <c r="AW303" s="757"/>
      <c r="AX303" s="757"/>
      <c r="AY303" s="757"/>
      <c r="AZ303" s="75"/>
      <c r="BA303" s="2"/>
      <c r="BB303" s="2"/>
      <c r="BC303" s="2"/>
      <c r="BD303" s="2"/>
    </row>
    <row r="304" spans="1:56">
      <c r="A304" s="781">
        <v>2</v>
      </c>
      <c r="B304" s="782">
        <v>236</v>
      </c>
      <c r="C304" s="783"/>
      <c r="D304" s="783" t="s">
        <v>178</v>
      </c>
      <c r="E304" s="808">
        <v>185</v>
      </c>
      <c r="F304" s="799"/>
      <c r="G304" s="799"/>
      <c r="H304" s="1592">
        <f t="shared" si="12"/>
        <v>0</v>
      </c>
      <c r="I304" s="754" t="str">
        <f>IFERROR(VLOOKUP(B304,Mychart!$A$125:$B$911,2,FALSE),"-")</f>
        <v>RASHED MARZOKI</v>
      </c>
      <c r="J304" s="753" t="str">
        <f t="shared" si="13"/>
        <v>-</v>
      </c>
      <c r="K304" s="1540">
        <f t="shared" si="14"/>
        <v>1900</v>
      </c>
      <c r="L304" s="757"/>
      <c r="M304" s="757"/>
      <c r="N304" s="757"/>
      <c r="O304" s="757"/>
      <c r="P304" s="757"/>
      <c r="Q304" s="757"/>
      <c r="R304" s="757"/>
      <c r="S304" s="757"/>
      <c r="T304" s="757"/>
      <c r="U304" s="757"/>
      <c r="V304" s="757"/>
      <c r="W304" s="757"/>
      <c r="X304" s="757"/>
      <c r="Y304" s="757"/>
      <c r="Z304" s="757"/>
      <c r="AA304" s="757"/>
      <c r="AB304" s="757"/>
      <c r="AC304" s="757"/>
      <c r="AD304" s="757"/>
      <c r="AE304" s="757"/>
      <c r="AF304" s="757"/>
      <c r="AG304" s="757"/>
      <c r="AH304" s="757"/>
      <c r="AI304" s="757"/>
      <c r="AJ304" s="757"/>
      <c r="AK304" s="757"/>
      <c r="AL304" s="757"/>
      <c r="AM304" s="757"/>
      <c r="AN304" s="757"/>
      <c r="AO304" s="757"/>
      <c r="AP304" s="757"/>
      <c r="AQ304" s="757"/>
      <c r="AR304" s="757"/>
      <c r="AS304" s="757"/>
      <c r="AT304" s="757"/>
      <c r="AU304" s="757"/>
      <c r="AV304" s="757"/>
      <c r="AW304" s="757"/>
      <c r="AX304" s="757"/>
      <c r="AY304" s="757"/>
      <c r="AZ304" s="75"/>
      <c r="BA304" s="2"/>
      <c r="BB304" s="2"/>
      <c r="BC304" s="2"/>
      <c r="BD304" s="2"/>
    </row>
    <row r="305" spans="1:56">
      <c r="A305" s="781">
        <v>2</v>
      </c>
      <c r="B305" s="782">
        <v>236</v>
      </c>
      <c r="C305" s="783">
        <v>45197</v>
      </c>
      <c r="D305" s="783" t="s">
        <v>380</v>
      </c>
      <c r="E305" s="808">
        <v>906</v>
      </c>
      <c r="F305" s="799"/>
      <c r="G305" s="799"/>
      <c r="H305" s="1592">
        <f t="shared" si="12"/>
        <v>0</v>
      </c>
      <c r="I305" s="754" t="str">
        <f>IFERROR(VLOOKUP(B305,Mychart!$A$125:$B$911,2,FALSE),"-")</f>
        <v>RASHED MARZOKI</v>
      </c>
      <c r="J305" s="753">
        <f t="shared" si="13"/>
        <v>9</v>
      </c>
      <c r="K305" s="1540">
        <f t="shared" si="14"/>
        <v>2023</v>
      </c>
      <c r="L305" s="757"/>
      <c r="M305" s="757"/>
      <c r="N305" s="757"/>
      <c r="O305" s="757"/>
      <c r="P305" s="757"/>
      <c r="Q305" s="757"/>
      <c r="R305" s="757"/>
      <c r="S305" s="757"/>
      <c r="T305" s="757"/>
      <c r="U305" s="757"/>
      <c r="V305" s="757"/>
      <c r="W305" s="757"/>
      <c r="X305" s="757"/>
      <c r="Y305" s="757"/>
      <c r="Z305" s="757"/>
      <c r="AA305" s="757"/>
      <c r="AB305" s="757"/>
      <c r="AC305" s="757"/>
      <c r="AD305" s="757"/>
      <c r="AE305" s="757"/>
      <c r="AF305" s="757"/>
      <c r="AG305" s="757"/>
      <c r="AH305" s="757"/>
      <c r="AI305" s="757"/>
      <c r="AJ305" s="757"/>
      <c r="AK305" s="757"/>
      <c r="AL305" s="757"/>
      <c r="AM305" s="757"/>
      <c r="AN305" s="757"/>
      <c r="AO305" s="757"/>
      <c r="AP305" s="757"/>
      <c r="AQ305" s="757"/>
      <c r="AR305" s="757"/>
      <c r="AS305" s="757"/>
      <c r="AT305" s="757"/>
      <c r="AU305" s="757"/>
      <c r="AV305" s="757"/>
      <c r="AW305" s="757"/>
      <c r="AX305" s="757"/>
      <c r="AY305" s="757"/>
      <c r="AZ305" s="75"/>
      <c r="BA305" s="2"/>
      <c r="BB305" s="2"/>
      <c r="BC305" s="2"/>
      <c r="BD305" s="2"/>
    </row>
    <row r="306" spans="1:56">
      <c r="A306" s="781">
        <v>2</v>
      </c>
      <c r="B306" s="782">
        <v>236</v>
      </c>
      <c r="C306" s="783">
        <v>45208</v>
      </c>
      <c r="D306" s="783" t="s">
        <v>178</v>
      </c>
      <c r="E306" s="808">
        <v>1271</v>
      </c>
      <c r="F306" s="799"/>
      <c r="G306" s="799"/>
      <c r="H306" s="1592">
        <f t="shared" si="12"/>
        <v>0</v>
      </c>
      <c r="I306" s="754" t="str">
        <f>IFERROR(VLOOKUP(B306,Mychart!$A$125:$B$911,2,FALSE),"-")</f>
        <v>RASHED MARZOKI</v>
      </c>
      <c r="J306" s="753">
        <f t="shared" si="13"/>
        <v>10</v>
      </c>
      <c r="K306" s="1540">
        <f t="shared" si="14"/>
        <v>2023</v>
      </c>
      <c r="L306" s="757"/>
      <c r="M306" s="757"/>
      <c r="N306" s="757"/>
      <c r="O306" s="757"/>
      <c r="P306" s="757"/>
      <c r="Q306" s="757"/>
      <c r="R306" s="757"/>
      <c r="S306" s="757"/>
      <c r="T306" s="757"/>
      <c r="U306" s="757"/>
      <c r="V306" s="757"/>
      <c r="W306" s="757"/>
      <c r="X306" s="757"/>
      <c r="Y306" s="757"/>
      <c r="Z306" s="757"/>
      <c r="AA306" s="757"/>
      <c r="AB306" s="757"/>
      <c r="AC306" s="757"/>
      <c r="AD306" s="757"/>
      <c r="AE306" s="757"/>
      <c r="AF306" s="757"/>
      <c r="AG306" s="757"/>
      <c r="AH306" s="757"/>
      <c r="AI306" s="757"/>
      <c r="AJ306" s="757"/>
      <c r="AK306" s="757"/>
      <c r="AL306" s="757"/>
      <c r="AM306" s="757"/>
      <c r="AN306" s="757"/>
      <c r="AO306" s="757"/>
      <c r="AP306" s="757"/>
      <c r="AQ306" s="757"/>
      <c r="AR306" s="757"/>
      <c r="AS306" s="757"/>
      <c r="AT306" s="757"/>
      <c r="AU306" s="757"/>
      <c r="AV306" s="757"/>
      <c r="AW306" s="757"/>
      <c r="AX306" s="757"/>
      <c r="AY306" s="757"/>
      <c r="AZ306" s="75"/>
      <c r="BA306" s="2"/>
      <c r="BB306" s="2"/>
      <c r="BC306" s="2"/>
      <c r="BD306" s="2"/>
    </row>
    <row r="307" spans="1:56">
      <c r="A307" s="781">
        <v>2</v>
      </c>
      <c r="B307" s="782">
        <v>236</v>
      </c>
      <c r="C307" s="783"/>
      <c r="D307" s="783" t="s">
        <v>178</v>
      </c>
      <c r="E307" s="808">
        <v>3930</v>
      </c>
      <c r="F307" s="799"/>
      <c r="G307" s="799"/>
      <c r="H307" s="1592">
        <f t="shared" si="12"/>
        <v>0</v>
      </c>
      <c r="I307" s="754" t="str">
        <f>IFERROR(VLOOKUP(B307,Mychart!$A$125:$B$911,2,FALSE),"-")</f>
        <v>RASHED MARZOKI</v>
      </c>
      <c r="J307" s="753" t="str">
        <f t="shared" si="13"/>
        <v>-</v>
      </c>
      <c r="K307" s="1540">
        <f t="shared" si="14"/>
        <v>1900</v>
      </c>
      <c r="L307" s="757"/>
      <c r="M307" s="757"/>
      <c r="N307" s="757"/>
      <c r="O307" s="757"/>
      <c r="P307" s="757"/>
      <c r="Q307" s="757"/>
      <c r="R307" s="757"/>
      <c r="S307" s="757"/>
      <c r="T307" s="757"/>
      <c r="U307" s="757"/>
      <c r="V307" s="757"/>
      <c r="W307" s="757"/>
      <c r="X307" s="757"/>
      <c r="Y307" s="757"/>
      <c r="Z307" s="757"/>
      <c r="AA307" s="757"/>
      <c r="AB307" s="757"/>
      <c r="AC307" s="757"/>
      <c r="AD307" s="757"/>
      <c r="AE307" s="757"/>
      <c r="AF307" s="757"/>
      <c r="AG307" s="757"/>
      <c r="AH307" s="757"/>
      <c r="AI307" s="757"/>
      <c r="AJ307" s="757"/>
      <c r="AK307" s="757"/>
      <c r="AL307" s="757"/>
      <c r="AM307" s="757"/>
      <c r="AN307" s="757"/>
      <c r="AO307" s="757"/>
      <c r="AP307" s="757"/>
      <c r="AQ307" s="757"/>
      <c r="AR307" s="757"/>
      <c r="AS307" s="757"/>
      <c r="AT307" s="757"/>
      <c r="AU307" s="757"/>
      <c r="AV307" s="757"/>
      <c r="AW307" s="757"/>
      <c r="AX307" s="757"/>
      <c r="AY307" s="757"/>
      <c r="AZ307" s="75"/>
      <c r="BA307" s="2"/>
      <c r="BB307" s="2"/>
      <c r="BC307" s="2"/>
      <c r="BD307" s="2"/>
    </row>
    <row r="308" spans="1:56">
      <c r="A308" s="781">
        <v>2</v>
      </c>
      <c r="B308" s="782">
        <v>236</v>
      </c>
      <c r="C308" s="783">
        <v>45211</v>
      </c>
      <c r="D308" s="783" t="s">
        <v>380</v>
      </c>
      <c r="E308" s="808">
        <v>144</v>
      </c>
      <c r="F308" s="799"/>
      <c r="G308" s="799"/>
      <c r="H308" s="1592">
        <f t="shared" si="12"/>
        <v>0</v>
      </c>
      <c r="I308" s="754" t="str">
        <f>IFERROR(VLOOKUP(B308,Mychart!$A$125:$B$911,2,FALSE),"-")</f>
        <v>RASHED MARZOKI</v>
      </c>
      <c r="J308" s="753">
        <f t="shared" si="13"/>
        <v>10</v>
      </c>
      <c r="K308" s="1540">
        <f t="shared" si="14"/>
        <v>2023</v>
      </c>
      <c r="L308" s="757"/>
      <c r="M308" s="757"/>
      <c r="N308" s="757"/>
      <c r="O308" s="757"/>
      <c r="P308" s="757"/>
      <c r="Q308" s="757"/>
      <c r="R308" s="757"/>
      <c r="S308" s="757"/>
      <c r="T308" s="757"/>
      <c r="U308" s="757"/>
      <c r="V308" s="757"/>
      <c r="W308" s="757"/>
      <c r="X308" s="757"/>
      <c r="Y308" s="757"/>
      <c r="Z308" s="757"/>
      <c r="AA308" s="757"/>
      <c r="AB308" s="757"/>
      <c r="AC308" s="757"/>
      <c r="AD308" s="757"/>
      <c r="AE308" s="757"/>
      <c r="AF308" s="757"/>
      <c r="AG308" s="757"/>
      <c r="AH308" s="757"/>
      <c r="AI308" s="757"/>
      <c r="AJ308" s="757"/>
      <c r="AK308" s="757"/>
      <c r="AL308" s="757"/>
      <c r="AM308" s="757"/>
      <c r="AN308" s="757"/>
      <c r="AO308" s="757"/>
      <c r="AP308" s="757"/>
      <c r="AQ308" s="757"/>
      <c r="AR308" s="757"/>
      <c r="AS308" s="757"/>
      <c r="AT308" s="757"/>
      <c r="AU308" s="757"/>
      <c r="AV308" s="757"/>
      <c r="AW308" s="757"/>
      <c r="AX308" s="757"/>
      <c r="AY308" s="757"/>
      <c r="AZ308" s="75"/>
      <c r="BA308" s="2"/>
      <c r="BB308" s="2"/>
      <c r="BC308" s="2"/>
      <c r="BD308" s="2"/>
    </row>
    <row r="309" spans="1:56">
      <c r="A309" s="781">
        <v>2</v>
      </c>
      <c r="B309" s="782">
        <v>236</v>
      </c>
      <c r="C309" s="783">
        <v>45291</v>
      </c>
      <c r="D309" s="783" t="s">
        <v>178</v>
      </c>
      <c r="E309" s="808">
        <v>1899</v>
      </c>
      <c r="F309" s="799"/>
      <c r="G309" s="799"/>
      <c r="H309" s="1592">
        <f t="shared" si="12"/>
        <v>0</v>
      </c>
      <c r="I309" s="754" t="str">
        <f>IFERROR(VLOOKUP(B309,Mychart!$A$125:$B$911,2,FALSE),"-")</f>
        <v>RASHED MARZOKI</v>
      </c>
      <c r="J309" s="753">
        <f t="shared" si="13"/>
        <v>12</v>
      </c>
      <c r="K309" s="1540">
        <f t="shared" si="14"/>
        <v>2023</v>
      </c>
      <c r="L309" s="757"/>
      <c r="M309" s="757"/>
      <c r="N309" s="757"/>
      <c r="O309" s="757"/>
      <c r="P309" s="757"/>
      <c r="Q309" s="757"/>
      <c r="R309" s="757"/>
      <c r="S309" s="757"/>
      <c r="T309" s="757"/>
      <c r="U309" s="757"/>
      <c r="V309" s="757"/>
      <c r="W309" s="757"/>
      <c r="X309" s="757"/>
      <c r="Y309" s="757"/>
      <c r="Z309" s="757"/>
      <c r="AA309" s="757"/>
      <c r="AB309" s="757"/>
      <c r="AC309" s="757"/>
      <c r="AD309" s="757"/>
      <c r="AE309" s="757"/>
      <c r="AF309" s="757"/>
      <c r="AG309" s="757"/>
      <c r="AH309" s="757"/>
      <c r="AI309" s="757"/>
      <c r="AJ309" s="757"/>
      <c r="AK309" s="757"/>
      <c r="AL309" s="757"/>
      <c r="AM309" s="757"/>
      <c r="AN309" s="757"/>
      <c r="AO309" s="757"/>
      <c r="AP309" s="757"/>
      <c r="AQ309" s="757"/>
      <c r="AR309" s="757"/>
      <c r="AS309" s="757"/>
      <c r="AT309" s="757"/>
      <c r="AU309" s="757"/>
      <c r="AV309" s="757"/>
      <c r="AW309" s="757"/>
      <c r="AX309" s="757"/>
      <c r="AY309" s="757"/>
      <c r="AZ309" s="75"/>
      <c r="BA309" s="2"/>
      <c r="BB309" s="2"/>
      <c r="BC309" s="2"/>
      <c r="BD309" s="2"/>
    </row>
    <row r="310" spans="1:56">
      <c r="A310" s="781">
        <v>1</v>
      </c>
      <c r="B310" s="782">
        <v>264</v>
      </c>
      <c r="C310" s="783">
        <v>45374</v>
      </c>
      <c r="D310" s="786" t="s">
        <v>399</v>
      </c>
      <c r="E310" s="807"/>
      <c r="F310" s="798">
        <v>28571.43</v>
      </c>
      <c r="G310" s="798">
        <v>1428.5715</v>
      </c>
      <c r="H310" s="1592">
        <f t="shared" si="12"/>
        <v>30000.001499999998</v>
      </c>
      <c r="I310" s="754" t="str">
        <f>IFERROR(VLOOKUP(B310,Mychart!$A$125:$B$911,2,FALSE),"-")</f>
        <v>Rashed khalifa abid</v>
      </c>
      <c r="J310" s="753">
        <f t="shared" si="13"/>
        <v>3</v>
      </c>
      <c r="K310" s="1540">
        <f t="shared" si="14"/>
        <v>2024</v>
      </c>
      <c r="L310" s="757"/>
      <c r="M310" s="757"/>
      <c r="N310" s="757"/>
      <c r="O310" s="757"/>
      <c r="P310" s="757"/>
      <c r="Q310" s="757"/>
      <c r="R310" s="757"/>
      <c r="S310" s="757"/>
      <c r="T310" s="757"/>
      <c r="U310" s="757"/>
      <c r="V310" s="757"/>
      <c r="W310" s="757"/>
      <c r="X310" s="757"/>
      <c r="Y310" s="757"/>
      <c r="Z310" s="757"/>
      <c r="AA310" s="757"/>
      <c r="AB310" s="757"/>
      <c r="AC310" s="757"/>
      <c r="AD310" s="757"/>
      <c r="AE310" s="757"/>
      <c r="AF310" s="757"/>
      <c r="AG310" s="757"/>
      <c r="AH310" s="757"/>
      <c r="AI310" s="757"/>
      <c r="AJ310" s="757"/>
      <c r="AK310" s="757"/>
      <c r="AL310" s="757"/>
      <c r="AM310" s="757"/>
      <c r="AN310" s="757"/>
      <c r="AO310" s="757"/>
      <c r="AP310" s="757"/>
      <c r="AQ310" s="757"/>
      <c r="AR310" s="757"/>
      <c r="AS310" s="757"/>
      <c r="AT310" s="757"/>
      <c r="AU310" s="757"/>
      <c r="AV310" s="757"/>
      <c r="AW310" s="757"/>
      <c r="AX310" s="757"/>
      <c r="AY310" s="757"/>
      <c r="AZ310" s="75"/>
      <c r="BA310" s="2"/>
      <c r="BB310" s="2"/>
      <c r="BC310" s="2"/>
      <c r="BD310" s="2"/>
    </row>
    <row r="311" spans="1:56">
      <c r="A311" s="781">
        <v>2</v>
      </c>
      <c r="B311" s="782">
        <v>264</v>
      </c>
      <c r="C311" s="783">
        <v>45401</v>
      </c>
      <c r="D311" s="783" t="s">
        <v>176</v>
      </c>
      <c r="E311" s="808">
        <v>500</v>
      </c>
      <c r="F311" s="799"/>
      <c r="G311" s="799"/>
      <c r="H311" s="1592">
        <f t="shared" si="12"/>
        <v>0</v>
      </c>
      <c r="I311" s="754" t="str">
        <f>IFERROR(VLOOKUP(B311,Mychart!$A$125:$B$911,2,FALSE),"-")</f>
        <v>Rashed khalifa abid</v>
      </c>
      <c r="J311" s="753">
        <f t="shared" si="13"/>
        <v>4</v>
      </c>
      <c r="K311" s="1540">
        <f t="shared" si="14"/>
        <v>2024</v>
      </c>
      <c r="L311" s="757"/>
      <c r="M311" s="757"/>
      <c r="N311" s="757"/>
      <c r="O311" s="757"/>
      <c r="P311" s="757"/>
      <c r="Q311" s="757"/>
      <c r="R311" s="757"/>
      <c r="S311" s="757"/>
      <c r="T311" s="757"/>
      <c r="U311" s="757"/>
      <c r="V311" s="757"/>
      <c r="W311" s="757"/>
      <c r="X311" s="757"/>
      <c r="Y311" s="757"/>
      <c r="Z311" s="757"/>
      <c r="AA311" s="757"/>
      <c r="AB311" s="757"/>
      <c r="AC311" s="757"/>
      <c r="AD311" s="757"/>
      <c r="AE311" s="757"/>
      <c r="AF311" s="757"/>
      <c r="AG311" s="757"/>
      <c r="AH311" s="757"/>
      <c r="AI311" s="757"/>
      <c r="AJ311" s="757"/>
      <c r="AK311" s="757"/>
      <c r="AL311" s="757"/>
      <c r="AM311" s="757"/>
      <c r="AN311" s="757"/>
      <c r="AO311" s="757"/>
      <c r="AP311" s="757"/>
      <c r="AQ311" s="757"/>
      <c r="AR311" s="757"/>
      <c r="AS311" s="757"/>
      <c r="AT311" s="757"/>
      <c r="AU311" s="757"/>
      <c r="AV311" s="757"/>
      <c r="AW311" s="757"/>
      <c r="AX311" s="757"/>
      <c r="AY311" s="757"/>
      <c r="AZ311" s="75"/>
      <c r="BA311" s="2"/>
      <c r="BB311" s="2"/>
      <c r="BC311" s="2"/>
      <c r="BD311" s="2"/>
    </row>
    <row r="312" spans="1:56">
      <c r="A312" s="781">
        <v>1</v>
      </c>
      <c r="B312" s="782">
        <v>218</v>
      </c>
      <c r="C312" s="783">
        <v>44919</v>
      </c>
      <c r="D312" s="786" t="s">
        <v>534</v>
      </c>
      <c r="E312" s="807"/>
      <c r="F312" s="798">
        <v>32000</v>
      </c>
      <c r="G312" s="798">
        <v>1600</v>
      </c>
      <c r="H312" s="1592">
        <f t="shared" si="12"/>
        <v>33600</v>
      </c>
      <c r="I312" s="754" t="str">
        <f>IFERROR(VLOOKUP(B312,Mychart!$A$125:$B$911,2,FALSE),"-")</f>
        <v>RASHED FALASI - AREEJ</v>
      </c>
      <c r="J312" s="753">
        <f t="shared" si="13"/>
        <v>12</v>
      </c>
      <c r="K312" s="1540">
        <f t="shared" si="14"/>
        <v>2022</v>
      </c>
      <c r="L312" s="757"/>
      <c r="M312" s="757"/>
      <c r="N312" s="757"/>
      <c r="O312" s="757"/>
      <c r="P312" s="757"/>
      <c r="Q312" s="757"/>
      <c r="R312" s="757"/>
      <c r="S312" s="757"/>
      <c r="T312" s="757"/>
      <c r="U312" s="757"/>
      <c r="V312" s="757"/>
      <c r="W312" s="757"/>
      <c r="X312" s="757"/>
      <c r="Y312" s="757"/>
      <c r="Z312" s="757"/>
      <c r="AA312" s="757"/>
      <c r="AB312" s="757"/>
      <c r="AC312" s="757"/>
      <c r="AD312" s="757"/>
      <c r="AE312" s="757"/>
      <c r="AF312" s="757"/>
      <c r="AG312" s="757"/>
      <c r="AH312" s="757"/>
      <c r="AI312" s="757"/>
      <c r="AJ312" s="757"/>
      <c r="AK312" s="757"/>
      <c r="AL312" s="757"/>
      <c r="AM312" s="757"/>
      <c r="AN312" s="757"/>
      <c r="AO312" s="757"/>
      <c r="AP312" s="757"/>
      <c r="AQ312" s="757"/>
      <c r="AR312" s="757"/>
      <c r="AS312" s="757"/>
      <c r="AT312" s="757"/>
      <c r="AU312" s="757"/>
      <c r="AV312" s="757"/>
      <c r="AW312" s="757"/>
      <c r="AX312" s="757"/>
      <c r="AY312" s="757"/>
      <c r="AZ312" s="75"/>
      <c r="BA312" s="2"/>
      <c r="BB312" s="2"/>
      <c r="BC312" s="2"/>
      <c r="BD312" s="2"/>
    </row>
    <row r="313" spans="1:56">
      <c r="A313" s="781">
        <v>1</v>
      </c>
      <c r="B313" s="782">
        <v>218</v>
      </c>
      <c r="C313" s="783">
        <v>45055</v>
      </c>
      <c r="D313" s="784" t="s">
        <v>535</v>
      </c>
      <c r="E313" s="807"/>
      <c r="F313" s="798">
        <v>58500</v>
      </c>
      <c r="G313" s="798">
        <v>2925</v>
      </c>
      <c r="H313" s="1592">
        <f t="shared" si="12"/>
        <v>61425</v>
      </c>
      <c r="I313" s="754" t="str">
        <f>IFERROR(VLOOKUP(B313,Mychart!$A$125:$B$911,2,FALSE),"-")</f>
        <v>RASHED FALASI - AREEJ</v>
      </c>
      <c r="J313" s="753">
        <f t="shared" si="13"/>
        <v>5</v>
      </c>
      <c r="K313" s="1540">
        <f t="shared" si="14"/>
        <v>2023</v>
      </c>
      <c r="L313" s="757"/>
      <c r="M313" s="757"/>
      <c r="N313" s="757"/>
      <c r="O313" s="757"/>
      <c r="P313" s="757"/>
      <c r="Q313" s="757"/>
      <c r="R313" s="757"/>
      <c r="S313" s="757"/>
      <c r="T313" s="757"/>
      <c r="U313" s="757"/>
      <c r="V313" s="757"/>
      <c r="W313" s="757"/>
      <c r="X313" s="757"/>
      <c r="Y313" s="757"/>
      <c r="Z313" s="757"/>
      <c r="AA313" s="757"/>
      <c r="AB313" s="757"/>
      <c r="AC313" s="757"/>
      <c r="AD313" s="757"/>
      <c r="AE313" s="757"/>
      <c r="AF313" s="757"/>
      <c r="AG313" s="757"/>
      <c r="AH313" s="757"/>
      <c r="AI313" s="757"/>
      <c r="AJ313" s="757"/>
      <c r="AK313" s="757"/>
      <c r="AL313" s="757"/>
      <c r="AM313" s="757"/>
      <c r="AN313" s="757"/>
      <c r="AO313" s="757"/>
      <c r="AP313" s="757"/>
      <c r="AQ313" s="757"/>
      <c r="AR313" s="757"/>
      <c r="AS313" s="757"/>
      <c r="AT313" s="757"/>
      <c r="AU313" s="757"/>
      <c r="AV313" s="757"/>
      <c r="AW313" s="757"/>
      <c r="AX313" s="757"/>
      <c r="AY313" s="757"/>
      <c r="AZ313" s="75"/>
      <c r="BA313" s="2"/>
      <c r="BB313" s="2"/>
      <c r="BC313" s="2"/>
      <c r="BD313" s="2"/>
    </row>
    <row r="314" spans="1:56">
      <c r="A314" s="781">
        <v>1</v>
      </c>
      <c r="B314" s="782">
        <v>218</v>
      </c>
      <c r="C314" s="783">
        <v>45346</v>
      </c>
      <c r="D314" s="784" t="s">
        <v>536</v>
      </c>
      <c r="E314" s="807"/>
      <c r="F314" s="798">
        <v>40000</v>
      </c>
      <c r="G314" s="798">
        <v>2000</v>
      </c>
      <c r="H314" s="1592">
        <f t="shared" si="12"/>
        <v>42000</v>
      </c>
      <c r="I314" s="754" t="str">
        <f>IFERROR(VLOOKUP(B314,Mychart!$A$125:$B$911,2,FALSE),"-")</f>
        <v>RASHED FALASI - AREEJ</v>
      </c>
      <c r="J314" s="753">
        <f t="shared" si="13"/>
        <v>2</v>
      </c>
      <c r="K314" s="1540">
        <f t="shared" si="14"/>
        <v>2024</v>
      </c>
      <c r="L314" s="757"/>
      <c r="M314" s="757"/>
      <c r="N314" s="757"/>
      <c r="O314" s="757"/>
      <c r="P314" s="757"/>
      <c r="Q314" s="757"/>
      <c r="R314" s="757"/>
      <c r="S314" s="757"/>
      <c r="T314" s="757"/>
      <c r="U314" s="757"/>
      <c r="V314" s="757"/>
      <c r="W314" s="757"/>
      <c r="X314" s="757"/>
      <c r="Y314" s="757"/>
      <c r="Z314" s="757"/>
      <c r="AA314" s="757"/>
      <c r="AB314" s="757"/>
      <c r="AC314" s="757"/>
      <c r="AD314" s="757"/>
      <c r="AE314" s="757"/>
      <c r="AF314" s="757"/>
      <c r="AG314" s="757"/>
      <c r="AH314" s="757"/>
      <c r="AI314" s="757"/>
      <c r="AJ314" s="757"/>
      <c r="AK314" s="757"/>
      <c r="AL314" s="757"/>
      <c r="AM314" s="757"/>
      <c r="AN314" s="757"/>
      <c r="AO314" s="757"/>
      <c r="AP314" s="757"/>
      <c r="AQ314" s="757"/>
      <c r="AR314" s="757"/>
      <c r="AS314" s="757"/>
      <c r="AT314" s="757"/>
      <c r="AU314" s="757"/>
      <c r="AV314" s="757"/>
      <c r="AW314" s="757"/>
      <c r="AX314" s="757"/>
      <c r="AY314" s="757"/>
      <c r="AZ314" s="75"/>
      <c r="BA314" s="2"/>
      <c r="BB314" s="2"/>
      <c r="BC314" s="2"/>
      <c r="BD314" s="2"/>
    </row>
    <row r="315" spans="1:56">
      <c r="A315" s="781">
        <v>1</v>
      </c>
      <c r="B315" s="782">
        <v>218</v>
      </c>
      <c r="C315" s="783">
        <v>45425</v>
      </c>
      <c r="D315" s="784" t="s">
        <v>537</v>
      </c>
      <c r="E315" s="807"/>
      <c r="F315" s="798">
        <v>21644.76</v>
      </c>
      <c r="G315" s="798">
        <v>1082.2379999999998</v>
      </c>
      <c r="H315" s="1592">
        <f t="shared" si="12"/>
        <v>22726.998</v>
      </c>
      <c r="I315" s="754" t="str">
        <f>IFERROR(VLOOKUP(B315,Mychart!$A$125:$B$911,2,FALSE),"-")</f>
        <v>RASHED FALASI - AREEJ</v>
      </c>
      <c r="J315" s="753">
        <f t="shared" si="13"/>
        <v>5</v>
      </c>
      <c r="K315" s="1540">
        <f t="shared" si="14"/>
        <v>2024</v>
      </c>
      <c r="L315" s="757"/>
      <c r="M315" s="757"/>
      <c r="N315" s="757"/>
      <c r="O315" s="757"/>
      <c r="P315" s="757"/>
      <c r="Q315" s="757"/>
      <c r="R315" s="757"/>
      <c r="S315" s="757"/>
      <c r="T315" s="757"/>
      <c r="U315" s="757"/>
      <c r="V315" s="757"/>
      <c r="W315" s="757"/>
      <c r="X315" s="757"/>
      <c r="Y315" s="757"/>
      <c r="Z315" s="757"/>
      <c r="AA315" s="757"/>
      <c r="AB315" s="757"/>
      <c r="AC315" s="757"/>
      <c r="AD315" s="757"/>
      <c r="AE315" s="757"/>
      <c r="AF315" s="757"/>
      <c r="AG315" s="757"/>
      <c r="AH315" s="757"/>
      <c r="AI315" s="757"/>
      <c r="AJ315" s="757"/>
      <c r="AK315" s="757"/>
      <c r="AL315" s="757"/>
      <c r="AM315" s="757"/>
      <c r="AN315" s="757"/>
      <c r="AO315" s="757"/>
      <c r="AP315" s="757"/>
      <c r="AQ315" s="757"/>
      <c r="AR315" s="757"/>
      <c r="AS315" s="757"/>
      <c r="AT315" s="757"/>
      <c r="AU315" s="757"/>
      <c r="AV315" s="757"/>
      <c r="AW315" s="757"/>
      <c r="AX315" s="757"/>
      <c r="AY315" s="757"/>
      <c r="AZ315" s="75"/>
      <c r="BA315" s="2"/>
      <c r="BB315" s="2"/>
      <c r="BC315" s="2"/>
      <c r="BD315" s="2"/>
    </row>
    <row r="316" spans="1:56">
      <c r="A316" s="781">
        <v>2</v>
      </c>
      <c r="B316" s="782">
        <v>218</v>
      </c>
      <c r="C316" s="783">
        <v>44919</v>
      </c>
      <c r="D316" s="783" t="s">
        <v>538</v>
      </c>
      <c r="E316" s="808">
        <v>8000</v>
      </c>
      <c r="F316" s="799"/>
      <c r="G316" s="799"/>
      <c r="H316" s="1592">
        <f t="shared" si="12"/>
        <v>0</v>
      </c>
      <c r="I316" s="754" t="str">
        <f>IFERROR(VLOOKUP(B316,Mychart!$A$125:$B$911,2,FALSE),"-")</f>
        <v>RASHED FALASI - AREEJ</v>
      </c>
      <c r="J316" s="753">
        <f t="shared" si="13"/>
        <v>12</v>
      </c>
      <c r="K316" s="1540">
        <f t="shared" si="14"/>
        <v>2022</v>
      </c>
      <c r="L316" s="757"/>
      <c r="M316" s="757"/>
      <c r="N316" s="757"/>
      <c r="O316" s="757"/>
      <c r="P316" s="757"/>
      <c r="Q316" s="757"/>
      <c r="R316" s="757"/>
      <c r="S316" s="757"/>
      <c r="T316" s="757"/>
      <c r="U316" s="757"/>
      <c r="V316" s="757"/>
      <c r="W316" s="757"/>
      <c r="X316" s="757"/>
      <c r="Y316" s="757"/>
      <c r="Z316" s="757"/>
      <c r="AA316" s="757"/>
      <c r="AB316" s="757"/>
      <c r="AC316" s="757"/>
      <c r="AD316" s="757"/>
      <c r="AE316" s="757"/>
      <c r="AF316" s="757"/>
      <c r="AG316" s="757"/>
      <c r="AH316" s="757"/>
      <c r="AI316" s="757"/>
      <c r="AJ316" s="757"/>
      <c r="AK316" s="757"/>
      <c r="AL316" s="757"/>
      <c r="AM316" s="757"/>
      <c r="AN316" s="757"/>
      <c r="AO316" s="757"/>
      <c r="AP316" s="757"/>
      <c r="AQ316" s="757"/>
      <c r="AR316" s="757"/>
      <c r="AS316" s="757"/>
      <c r="AT316" s="757"/>
      <c r="AU316" s="757"/>
      <c r="AV316" s="757"/>
      <c r="AW316" s="757"/>
      <c r="AX316" s="757"/>
      <c r="AY316" s="757"/>
      <c r="AZ316" s="75"/>
      <c r="BA316" s="2"/>
      <c r="BB316" s="2"/>
      <c r="BC316" s="2"/>
      <c r="BD316" s="2"/>
    </row>
    <row r="317" spans="1:56">
      <c r="A317" s="781">
        <v>2</v>
      </c>
      <c r="B317" s="782">
        <v>218</v>
      </c>
      <c r="C317" s="783"/>
      <c r="D317" s="783" t="s">
        <v>177</v>
      </c>
      <c r="E317" s="808">
        <v>952</v>
      </c>
      <c r="F317" s="799"/>
      <c r="G317" s="799"/>
      <c r="H317" s="1592">
        <f t="shared" si="12"/>
        <v>0</v>
      </c>
      <c r="I317" s="754" t="str">
        <f>IFERROR(VLOOKUP(B317,Mychart!$A$125:$B$911,2,FALSE),"-")</f>
        <v>RASHED FALASI - AREEJ</v>
      </c>
      <c r="J317" s="753" t="str">
        <f t="shared" si="13"/>
        <v>-</v>
      </c>
      <c r="K317" s="1540">
        <f t="shared" si="14"/>
        <v>1900</v>
      </c>
      <c r="L317" s="757"/>
      <c r="M317" s="757"/>
      <c r="N317" s="757"/>
      <c r="O317" s="757"/>
      <c r="P317" s="757"/>
      <c r="Q317" s="757"/>
      <c r="R317" s="757"/>
      <c r="S317" s="757"/>
      <c r="T317" s="757"/>
      <c r="U317" s="757"/>
      <c r="V317" s="757"/>
      <c r="W317" s="757"/>
      <c r="X317" s="757"/>
      <c r="Y317" s="757"/>
      <c r="Z317" s="757"/>
      <c r="AA317" s="757"/>
      <c r="AB317" s="757"/>
      <c r="AC317" s="757"/>
      <c r="AD317" s="757"/>
      <c r="AE317" s="757"/>
      <c r="AF317" s="757"/>
      <c r="AG317" s="757"/>
      <c r="AH317" s="757"/>
      <c r="AI317" s="757"/>
      <c r="AJ317" s="757"/>
      <c r="AK317" s="757"/>
      <c r="AL317" s="757"/>
      <c r="AM317" s="757"/>
      <c r="AN317" s="757"/>
      <c r="AO317" s="757"/>
      <c r="AP317" s="757"/>
      <c r="AQ317" s="757"/>
      <c r="AR317" s="757"/>
      <c r="AS317" s="757"/>
      <c r="AT317" s="757"/>
      <c r="AU317" s="757"/>
      <c r="AV317" s="757"/>
      <c r="AW317" s="757"/>
      <c r="AX317" s="757"/>
      <c r="AY317" s="757"/>
      <c r="AZ317" s="75"/>
      <c r="BA317" s="2"/>
      <c r="BB317" s="2"/>
      <c r="BC317" s="2"/>
      <c r="BD317" s="2"/>
    </row>
    <row r="318" spans="1:56">
      <c r="A318" s="781">
        <v>2</v>
      </c>
      <c r="B318" s="782">
        <v>218</v>
      </c>
      <c r="C318" s="783"/>
      <c r="D318" s="783" t="s">
        <v>258</v>
      </c>
      <c r="E318" s="808">
        <v>5500</v>
      </c>
      <c r="F318" s="799"/>
      <c r="G318" s="799"/>
      <c r="H318" s="1592">
        <f t="shared" si="12"/>
        <v>0</v>
      </c>
      <c r="I318" s="754" t="str">
        <f>IFERROR(VLOOKUP(B318,Mychart!$A$125:$B$911,2,FALSE),"-")</f>
        <v>RASHED FALASI - AREEJ</v>
      </c>
      <c r="J318" s="753" t="str">
        <f t="shared" si="13"/>
        <v>-</v>
      </c>
      <c r="K318" s="1540">
        <f t="shared" si="14"/>
        <v>1900</v>
      </c>
      <c r="L318" s="757"/>
      <c r="M318" s="757"/>
      <c r="N318" s="757"/>
      <c r="O318" s="757"/>
      <c r="P318" s="757"/>
      <c r="Q318" s="757"/>
      <c r="R318" s="757"/>
      <c r="S318" s="757"/>
      <c r="T318" s="757"/>
      <c r="U318" s="757"/>
      <c r="V318" s="757"/>
      <c r="W318" s="757"/>
      <c r="X318" s="757"/>
      <c r="Y318" s="757"/>
      <c r="Z318" s="757"/>
      <c r="AA318" s="757"/>
      <c r="AB318" s="757"/>
      <c r="AC318" s="757"/>
      <c r="AD318" s="757"/>
      <c r="AE318" s="757"/>
      <c r="AF318" s="757"/>
      <c r="AG318" s="757"/>
      <c r="AH318" s="757"/>
      <c r="AI318" s="757"/>
      <c r="AJ318" s="757"/>
      <c r="AK318" s="757"/>
      <c r="AL318" s="757"/>
      <c r="AM318" s="757"/>
      <c r="AN318" s="757"/>
      <c r="AO318" s="757"/>
      <c r="AP318" s="757"/>
      <c r="AQ318" s="757"/>
      <c r="AR318" s="757"/>
      <c r="AS318" s="757"/>
      <c r="AT318" s="757"/>
      <c r="AU318" s="757"/>
      <c r="AV318" s="757"/>
      <c r="AW318" s="757"/>
      <c r="AX318" s="757"/>
      <c r="AY318" s="757"/>
      <c r="AZ318" s="75"/>
      <c r="BA318" s="2"/>
      <c r="BB318" s="2"/>
      <c r="BC318" s="2"/>
      <c r="BD318" s="2"/>
    </row>
    <row r="319" spans="1:56">
      <c r="A319" s="781">
        <v>2</v>
      </c>
      <c r="B319" s="782">
        <v>218</v>
      </c>
      <c r="C319" s="783">
        <v>45068</v>
      </c>
      <c r="D319" s="783" t="s">
        <v>224</v>
      </c>
      <c r="E319" s="808">
        <v>10657</v>
      </c>
      <c r="F319" s="799"/>
      <c r="G319" s="799"/>
      <c r="H319" s="1592">
        <f t="shared" si="12"/>
        <v>0</v>
      </c>
      <c r="I319" s="754" t="str">
        <f>IFERROR(VLOOKUP(B319,Mychart!$A$125:$B$911,2,FALSE),"-")</f>
        <v>RASHED FALASI - AREEJ</v>
      </c>
      <c r="J319" s="753">
        <f t="shared" si="13"/>
        <v>5</v>
      </c>
      <c r="K319" s="1540">
        <f t="shared" si="14"/>
        <v>2023</v>
      </c>
      <c r="L319" s="757"/>
      <c r="M319" s="757"/>
      <c r="N319" s="757"/>
      <c r="O319" s="757"/>
      <c r="P319" s="757"/>
      <c r="Q319" s="757"/>
      <c r="R319" s="757"/>
      <c r="S319" s="757"/>
      <c r="T319" s="757"/>
      <c r="U319" s="757"/>
      <c r="V319" s="757"/>
      <c r="W319" s="757"/>
      <c r="X319" s="757"/>
      <c r="Y319" s="757"/>
      <c r="Z319" s="757"/>
      <c r="AA319" s="757"/>
      <c r="AB319" s="757"/>
      <c r="AC319" s="757"/>
      <c r="AD319" s="757"/>
      <c r="AE319" s="757"/>
      <c r="AF319" s="757"/>
      <c r="AG319" s="757"/>
      <c r="AH319" s="757"/>
      <c r="AI319" s="757"/>
      <c r="AJ319" s="757"/>
      <c r="AK319" s="757"/>
      <c r="AL319" s="757"/>
      <c r="AM319" s="757"/>
      <c r="AN319" s="757"/>
      <c r="AO319" s="757"/>
      <c r="AP319" s="757"/>
      <c r="AQ319" s="757"/>
      <c r="AR319" s="757"/>
      <c r="AS319" s="757"/>
      <c r="AT319" s="757"/>
      <c r="AU319" s="757"/>
      <c r="AV319" s="757"/>
      <c r="AW319" s="757"/>
      <c r="AX319" s="757"/>
      <c r="AY319" s="757"/>
      <c r="AZ319" s="75"/>
      <c r="BA319" s="2"/>
      <c r="BB319" s="2"/>
      <c r="BC319" s="2"/>
      <c r="BD319" s="2"/>
    </row>
    <row r="320" spans="1:56">
      <c r="A320" s="781">
        <v>2</v>
      </c>
      <c r="B320" s="782">
        <v>218</v>
      </c>
      <c r="C320" s="783">
        <v>45075</v>
      </c>
      <c r="D320" s="783" t="s">
        <v>224</v>
      </c>
      <c r="E320" s="808">
        <v>25877.25</v>
      </c>
      <c r="F320" s="799"/>
      <c r="G320" s="799"/>
      <c r="H320" s="1592">
        <f t="shared" si="12"/>
        <v>0</v>
      </c>
      <c r="I320" s="754" t="str">
        <f>IFERROR(VLOOKUP(B320,Mychart!$A$125:$B$911,2,FALSE),"-")</f>
        <v>RASHED FALASI - AREEJ</v>
      </c>
      <c r="J320" s="753">
        <f t="shared" si="13"/>
        <v>5</v>
      </c>
      <c r="K320" s="1540">
        <f t="shared" si="14"/>
        <v>2023</v>
      </c>
      <c r="L320" s="757"/>
      <c r="M320" s="757"/>
      <c r="N320" s="757"/>
      <c r="O320" s="757"/>
      <c r="P320" s="757"/>
      <c r="Q320" s="757"/>
      <c r="R320" s="757"/>
      <c r="S320" s="757"/>
      <c r="T320" s="757"/>
      <c r="U320" s="757"/>
      <c r="V320" s="757"/>
      <c r="W320" s="757"/>
      <c r="X320" s="757"/>
      <c r="Y320" s="757"/>
      <c r="Z320" s="757"/>
      <c r="AA320" s="757"/>
      <c r="AB320" s="757"/>
      <c r="AC320" s="757"/>
      <c r="AD320" s="757"/>
      <c r="AE320" s="757"/>
      <c r="AF320" s="757"/>
      <c r="AG320" s="757"/>
      <c r="AH320" s="757"/>
      <c r="AI320" s="757"/>
      <c r="AJ320" s="757"/>
      <c r="AK320" s="757"/>
      <c r="AL320" s="757"/>
      <c r="AM320" s="757"/>
      <c r="AN320" s="757"/>
      <c r="AO320" s="757"/>
      <c r="AP320" s="757"/>
      <c r="AQ320" s="757"/>
      <c r="AR320" s="757"/>
      <c r="AS320" s="757"/>
      <c r="AT320" s="757"/>
      <c r="AU320" s="757"/>
      <c r="AV320" s="757"/>
      <c r="AW320" s="757"/>
      <c r="AX320" s="757"/>
      <c r="AY320" s="757"/>
      <c r="AZ320" s="75"/>
      <c r="BA320" s="2"/>
      <c r="BB320" s="2"/>
      <c r="BC320" s="2"/>
      <c r="BD320" s="2"/>
    </row>
    <row r="321" spans="1:56">
      <c r="A321" s="781">
        <v>2</v>
      </c>
      <c r="B321" s="782">
        <v>218</v>
      </c>
      <c r="C321" s="783"/>
      <c r="D321" s="783" t="s">
        <v>499</v>
      </c>
      <c r="E321" s="808">
        <v>500</v>
      </c>
      <c r="F321" s="799"/>
      <c r="G321" s="799"/>
      <c r="H321" s="1592">
        <f t="shared" si="12"/>
        <v>0</v>
      </c>
      <c r="I321" s="754" t="str">
        <f>IFERROR(VLOOKUP(B321,Mychart!$A$125:$B$911,2,FALSE),"-")</f>
        <v>RASHED FALASI - AREEJ</v>
      </c>
      <c r="J321" s="753" t="str">
        <f t="shared" si="13"/>
        <v>-</v>
      </c>
      <c r="K321" s="1540">
        <f t="shared" si="14"/>
        <v>1900</v>
      </c>
      <c r="L321" s="757"/>
      <c r="M321" s="757"/>
      <c r="N321" s="757"/>
      <c r="O321" s="757"/>
      <c r="P321" s="757"/>
      <c r="Q321" s="757"/>
      <c r="R321" s="757"/>
      <c r="S321" s="757"/>
      <c r="T321" s="757"/>
      <c r="U321" s="757"/>
      <c r="V321" s="757"/>
      <c r="W321" s="757"/>
      <c r="X321" s="757"/>
      <c r="Y321" s="757"/>
      <c r="Z321" s="757"/>
      <c r="AA321" s="757"/>
      <c r="AB321" s="757"/>
      <c r="AC321" s="757"/>
      <c r="AD321" s="757"/>
      <c r="AE321" s="757"/>
      <c r="AF321" s="757"/>
      <c r="AG321" s="757"/>
      <c r="AH321" s="757"/>
      <c r="AI321" s="757"/>
      <c r="AJ321" s="757"/>
      <c r="AK321" s="757"/>
      <c r="AL321" s="757"/>
      <c r="AM321" s="757"/>
      <c r="AN321" s="757"/>
      <c r="AO321" s="757"/>
      <c r="AP321" s="757"/>
      <c r="AQ321" s="757"/>
      <c r="AR321" s="757"/>
      <c r="AS321" s="757"/>
      <c r="AT321" s="757"/>
      <c r="AU321" s="757"/>
      <c r="AV321" s="757"/>
      <c r="AW321" s="757"/>
      <c r="AX321" s="757"/>
      <c r="AY321" s="757"/>
      <c r="AZ321" s="75"/>
      <c r="BA321" s="2"/>
      <c r="BB321" s="2"/>
      <c r="BC321" s="2"/>
      <c r="BD321" s="2"/>
    </row>
    <row r="322" spans="1:56">
      <c r="A322" s="781">
        <v>2</v>
      </c>
      <c r="B322" s="782">
        <v>218</v>
      </c>
      <c r="C322" s="783"/>
      <c r="D322" s="783" t="s">
        <v>177</v>
      </c>
      <c r="E322" s="808">
        <v>4367</v>
      </c>
      <c r="F322" s="799"/>
      <c r="G322" s="799"/>
      <c r="H322" s="1592">
        <f t="shared" si="12"/>
        <v>0</v>
      </c>
      <c r="I322" s="754" t="str">
        <f>IFERROR(VLOOKUP(B322,Mychart!$A$125:$B$911,2,FALSE),"-")</f>
        <v>RASHED FALASI - AREEJ</v>
      </c>
      <c r="J322" s="753" t="str">
        <f t="shared" si="13"/>
        <v>-</v>
      </c>
      <c r="K322" s="1540">
        <f t="shared" si="14"/>
        <v>1900</v>
      </c>
      <c r="L322" s="757"/>
      <c r="M322" s="757"/>
      <c r="N322" s="757"/>
      <c r="O322" s="757"/>
      <c r="P322" s="757"/>
      <c r="Q322" s="757"/>
      <c r="R322" s="757"/>
      <c r="S322" s="757"/>
      <c r="T322" s="757"/>
      <c r="U322" s="757"/>
      <c r="V322" s="757"/>
      <c r="W322" s="757"/>
      <c r="X322" s="757"/>
      <c r="Y322" s="757"/>
      <c r="Z322" s="757"/>
      <c r="AA322" s="757"/>
      <c r="AB322" s="757"/>
      <c r="AC322" s="757"/>
      <c r="AD322" s="757"/>
      <c r="AE322" s="757"/>
      <c r="AF322" s="757"/>
      <c r="AG322" s="757"/>
      <c r="AH322" s="757"/>
      <c r="AI322" s="757"/>
      <c r="AJ322" s="757"/>
      <c r="AK322" s="757"/>
      <c r="AL322" s="757"/>
      <c r="AM322" s="757"/>
      <c r="AN322" s="757"/>
      <c r="AO322" s="757"/>
      <c r="AP322" s="757"/>
      <c r="AQ322" s="757"/>
      <c r="AR322" s="757"/>
      <c r="AS322" s="757"/>
      <c r="AT322" s="757"/>
      <c r="AU322" s="757"/>
      <c r="AV322" s="757"/>
      <c r="AW322" s="757"/>
      <c r="AX322" s="757"/>
      <c r="AY322" s="757"/>
      <c r="AZ322" s="75"/>
      <c r="BA322" s="2"/>
      <c r="BB322" s="2"/>
      <c r="BC322" s="2"/>
      <c r="BD322" s="2"/>
    </row>
    <row r="323" spans="1:56">
      <c r="A323" s="781">
        <v>2</v>
      </c>
      <c r="B323" s="782">
        <v>218</v>
      </c>
      <c r="C323" s="783"/>
      <c r="D323" s="783" t="s">
        <v>177</v>
      </c>
      <c r="E323" s="808">
        <v>453</v>
      </c>
      <c r="F323" s="799"/>
      <c r="G323" s="799"/>
      <c r="H323" s="1592">
        <f t="shared" si="12"/>
        <v>0</v>
      </c>
      <c r="I323" s="754" t="str">
        <f>IFERROR(VLOOKUP(B323,Mychart!$A$125:$B$911,2,FALSE),"-")</f>
        <v>RASHED FALASI - AREEJ</v>
      </c>
      <c r="J323" s="753" t="str">
        <f t="shared" si="13"/>
        <v>-</v>
      </c>
      <c r="K323" s="1540">
        <f t="shared" si="14"/>
        <v>1900</v>
      </c>
      <c r="L323" s="757"/>
      <c r="M323" s="757"/>
      <c r="N323" s="757"/>
      <c r="O323" s="757"/>
      <c r="P323" s="757"/>
      <c r="Q323" s="757"/>
      <c r="R323" s="757"/>
      <c r="S323" s="757"/>
      <c r="T323" s="757"/>
      <c r="U323" s="757"/>
      <c r="V323" s="757"/>
      <c r="W323" s="757"/>
      <c r="X323" s="757"/>
      <c r="Y323" s="757"/>
      <c r="Z323" s="757"/>
      <c r="AA323" s="757"/>
      <c r="AB323" s="757"/>
      <c r="AC323" s="757"/>
      <c r="AD323" s="757"/>
      <c r="AE323" s="757"/>
      <c r="AF323" s="757"/>
      <c r="AG323" s="757"/>
      <c r="AH323" s="757"/>
      <c r="AI323" s="757"/>
      <c r="AJ323" s="757"/>
      <c r="AK323" s="757"/>
      <c r="AL323" s="757"/>
      <c r="AM323" s="757"/>
      <c r="AN323" s="757"/>
      <c r="AO323" s="757"/>
      <c r="AP323" s="757"/>
      <c r="AQ323" s="757"/>
      <c r="AR323" s="757"/>
      <c r="AS323" s="757"/>
      <c r="AT323" s="757"/>
      <c r="AU323" s="757"/>
      <c r="AV323" s="757"/>
      <c r="AW323" s="757"/>
      <c r="AX323" s="757"/>
      <c r="AY323" s="757"/>
      <c r="AZ323" s="75"/>
      <c r="BA323" s="2"/>
      <c r="BB323" s="2"/>
      <c r="BC323" s="2"/>
      <c r="BD323" s="2"/>
    </row>
    <row r="324" spans="1:56">
      <c r="A324" s="781">
        <v>2</v>
      </c>
      <c r="B324" s="782">
        <v>218</v>
      </c>
      <c r="C324" s="783">
        <v>45208</v>
      </c>
      <c r="D324" s="783" t="s">
        <v>177</v>
      </c>
      <c r="E324" s="808">
        <v>3361</v>
      </c>
      <c r="F324" s="799"/>
      <c r="G324" s="799"/>
      <c r="H324" s="1592">
        <f t="shared" si="12"/>
        <v>0</v>
      </c>
      <c r="I324" s="754" t="str">
        <f>IFERROR(VLOOKUP(B324,Mychart!$A$125:$B$911,2,FALSE),"-")</f>
        <v>RASHED FALASI - AREEJ</v>
      </c>
      <c r="J324" s="753">
        <f t="shared" si="13"/>
        <v>10</v>
      </c>
      <c r="K324" s="1540">
        <f t="shared" si="14"/>
        <v>2023</v>
      </c>
      <c r="L324" s="757"/>
      <c r="M324" s="757"/>
      <c r="N324" s="757"/>
      <c r="O324" s="757"/>
      <c r="P324" s="757"/>
      <c r="Q324" s="757"/>
      <c r="R324" s="757"/>
      <c r="S324" s="757"/>
      <c r="T324" s="757"/>
      <c r="U324" s="757"/>
      <c r="V324" s="757"/>
      <c r="W324" s="757"/>
      <c r="X324" s="757"/>
      <c r="Y324" s="757"/>
      <c r="Z324" s="757"/>
      <c r="AA324" s="757"/>
      <c r="AB324" s="757"/>
      <c r="AC324" s="757"/>
      <c r="AD324" s="757"/>
      <c r="AE324" s="757"/>
      <c r="AF324" s="757"/>
      <c r="AG324" s="757"/>
      <c r="AH324" s="757"/>
      <c r="AI324" s="757"/>
      <c r="AJ324" s="757"/>
      <c r="AK324" s="757"/>
      <c r="AL324" s="757"/>
      <c r="AM324" s="757"/>
      <c r="AN324" s="757"/>
      <c r="AO324" s="757"/>
      <c r="AP324" s="757"/>
      <c r="AQ324" s="757"/>
      <c r="AR324" s="757"/>
      <c r="AS324" s="757"/>
      <c r="AT324" s="757"/>
      <c r="AU324" s="757"/>
      <c r="AV324" s="757"/>
      <c r="AW324" s="757"/>
      <c r="AX324" s="757"/>
      <c r="AY324" s="757"/>
      <c r="AZ324" s="75"/>
      <c r="BA324" s="2"/>
      <c r="BB324" s="2"/>
      <c r="BC324" s="2"/>
      <c r="BD324" s="2"/>
    </row>
    <row r="325" spans="1:56">
      <c r="A325" s="781">
        <v>2</v>
      </c>
      <c r="B325" s="782">
        <v>218</v>
      </c>
      <c r="C325" s="783"/>
      <c r="D325" s="783" t="s">
        <v>539</v>
      </c>
      <c r="E325" s="808">
        <v>1362</v>
      </c>
      <c r="F325" s="799"/>
      <c r="G325" s="799"/>
      <c r="H325" s="1592">
        <f t="shared" si="12"/>
        <v>0</v>
      </c>
      <c r="I325" s="754" t="str">
        <f>IFERROR(VLOOKUP(B325,Mychart!$A$125:$B$911,2,FALSE),"-")</f>
        <v>RASHED FALASI - AREEJ</v>
      </c>
      <c r="J325" s="753" t="str">
        <f t="shared" si="13"/>
        <v>-</v>
      </c>
      <c r="K325" s="1540">
        <f t="shared" si="14"/>
        <v>1900</v>
      </c>
      <c r="L325" s="757"/>
      <c r="M325" s="757"/>
      <c r="N325" s="757"/>
      <c r="O325" s="757"/>
      <c r="P325" s="757"/>
      <c r="Q325" s="757"/>
      <c r="R325" s="757"/>
      <c r="S325" s="757"/>
      <c r="T325" s="757"/>
      <c r="U325" s="757"/>
      <c r="V325" s="757"/>
      <c r="W325" s="757"/>
      <c r="X325" s="757"/>
      <c r="Y325" s="757"/>
      <c r="Z325" s="757"/>
      <c r="AA325" s="757"/>
      <c r="AB325" s="757"/>
      <c r="AC325" s="757"/>
      <c r="AD325" s="757"/>
      <c r="AE325" s="757"/>
      <c r="AF325" s="757"/>
      <c r="AG325" s="757"/>
      <c r="AH325" s="757"/>
      <c r="AI325" s="757"/>
      <c r="AJ325" s="757"/>
      <c r="AK325" s="757"/>
      <c r="AL325" s="757"/>
      <c r="AM325" s="757"/>
      <c r="AN325" s="757"/>
      <c r="AO325" s="757"/>
      <c r="AP325" s="757"/>
      <c r="AQ325" s="757"/>
      <c r="AR325" s="757"/>
      <c r="AS325" s="757"/>
      <c r="AT325" s="757"/>
      <c r="AU325" s="757"/>
      <c r="AV325" s="757"/>
      <c r="AW325" s="757"/>
      <c r="AX325" s="757"/>
      <c r="AY325" s="757"/>
      <c r="AZ325" s="75"/>
      <c r="BA325" s="2"/>
      <c r="BB325" s="2"/>
      <c r="BC325" s="2"/>
      <c r="BD325" s="2"/>
    </row>
    <row r="326" spans="1:56">
      <c r="A326" s="781">
        <v>2</v>
      </c>
      <c r="B326" s="782">
        <v>218</v>
      </c>
      <c r="C326" s="783">
        <v>45295</v>
      </c>
      <c r="D326" s="783" t="s">
        <v>177</v>
      </c>
      <c r="E326" s="808">
        <v>57</v>
      </c>
      <c r="F326" s="799"/>
      <c r="G326" s="799"/>
      <c r="H326" s="1592">
        <f t="shared" si="12"/>
        <v>0</v>
      </c>
      <c r="I326" s="754" t="str">
        <f>IFERROR(VLOOKUP(B326,Mychart!$A$125:$B$911,2,FALSE),"-")</f>
        <v>RASHED FALASI - AREEJ</v>
      </c>
      <c r="J326" s="753">
        <f t="shared" si="13"/>
        <v>1</v>
      </c>
      <c r="K326" s="1540">
        <f t="shared" si="14"/>
        <v>2024</v>
      </c>
      <c r="L326" s="757"/>
      <c r="M326" s="757"/>
      <c r="N326" s="757"/>
      <c r="O326" s="757"/>
      <c r="P326" s="757"/>
      <c r="Q326" s="757"/>
      <c r="R326" s="757"/>
      <c r="S326" s="757"/>
      <c r="T326" s="757"/>
      <c r="U326" s="757"/>
      <c r="V326" s="757"/>
      <c r="W326" s="757"/>
      <c r="X326" s="757"/>
      <c r="Y326" s="757"/>
      <c r="Z326" s="757"/>
      <c r="AA326" s="757"/>
      <c r="AB326" s="757"/>
      <c r="AC326" s="757"/>
      <c r="AD326" s="757"/>
      <c r="AE326" s="757"/>
      <c r="AF326" s="757"/>
      <c r="AG326" s="757"/>
      <c r="AH326" s="757"/>
      <c r="AI326" s="757"/>
      <c r="AJ326" s="757"/>
      <c r="AK326" s="757"/>
      <c r="AL326" s="757"/>
      <c r="AM326" s="757"/>
      <c r="AN326" s="757"/>
      <c r="AO326" s="757"/>
      <c r="AP326" s="757"/>
      <c r="AQ326" s="757"/>
      <c r="AR326" s="757"/>
      <c r="AS326" s="757"/>
      <c r="AT326" s="757"/>
      <c r="AU326" s="757"/>
      <c r="AV326" s="757"/>
      <c r="AW326" s="757"/>
      <c r="AX326" s="757"/>
      <c r="AY326" s="757"/>
      <c r="AZ326" s="75"/>
      <c r="BA326" s="2"/>
      <c r="BB326" s="2"/>
      <c r="BC326" s="2"/>
      <c r="BD326" s="2"/>
    </row>
    <row r="327" spans="1:56">
      <c r="A327" s="781">
        <v>2</v>
      </c>
      <c r="B327" s="782">
        <v>218</v>
      </c>
      <c r="C327" s="783">
        <v>45351</v>
      </c>
      <c r="D327" s="783" t="s">
        <v>224</v>
      </c>
      <c r="E327" s="808">
        <v>38367</v>
      </c>
      <c r="F327" s="799"/>
      <c r="G327" s="799"/>
      <c r="H327" s="1592">
        <f t="shared" si="12"/>
        <v>0</v>
      </c>
      <c r="I327" s="754" t="str">
        <f>IFERROR(VLOOKUP(B327,Mychart!$A$125:$B$911,2,FALSE),"-")</f>
        <v>RASHED FALASI - AREEJ</v>
      </c>
      <c r="J327" s="753">
        <f t="shared" si="13"/>
        <v>2</v>
      </c>
      <c r="K327" s="1540">
        <f t="shared" si="14"/>
        <v>2024</v>
      </c>
      <c r="L327" s="757"/>
      <c r="M327" s="757"/>
      <c r="N327" s="757"/>
      <c r="O327" s="757"/>
      <c r="P327" s="757"/>
      <c r="Q327" s="757"/>
      <c r="R327" s="757"/>
      <c r="S327" s="757"/>
      <c r="T327" s="757"/>
      <c r="U327" s="757"/>
      <c r="V327" s="757"/>
      <c r="W327" s="757"/>
      <c r="X327" s="757"/>
      <c r="Y327" s="757"/>
      <c r="Z327" s="757"/>
      <c r="AA327" s="757"/>
      <c r="AB327" s="757"/>
      <c r="AC327" s="757"/>
      <c r="AD327" s="757"/>
      <c r="AE327" s="757"/>
      <c r="AF327" s="757"/>
      <c r="AG327" s="757"/>
      <c r="AH327" s="757"/>
      <c r="AI327" s="757"/>
      <c r="AJ327" s="757"/>
      <c r="AK327" s="757"/>
      <c r="AL327" s="757"/>
      <c r="AM327" s="757"/>
      <c r="AN327" s="757"/>
      <c r="AO327" s="757"/>
      <c r="AP327" s="757"/>
      <c r="AQ327" s="757"/>
      <c r="AR327" s="757"/>
      <c r="AS327" s="757"/>
      <c r="AT327" s="757"/>
      <c r="AU327" s="757"/>
      <c r="AV327" s="757"/>
      <c r="AW327" s="757"/>
      <c r="AX327" s="757"/>
      <c r="AY327" s="757"/>
      <c r="AZ327" s="75"/>
      <c r="BA327" s="2"/>
      <c r="BB327" s="2"/>
      <c r="BC327" s="2"/>
      <c r="BD327" s="2"/>
    </row>
    <row r="328" spans="1:56">
      <c r="A328" s="781">
        <v>2</v>
      </c>
      <c r="B328" s="782">
        <v>218</v>
      </c>
      <c r="C328" s="783">
        <v>45432</v>
      </c>
      <c r="D328" s="783" t="s">
        <v>224</v>
      </c>
      <c r="E328" s="808">
        <v>9901</v>
      </c>
      <c r="F328" s="799"/>
      <c r="G328" s="799"/>
      <c r="H328" s="1592">
        <f t="shared" si="12"/>
        <v>0</v>
      </c>
      <c r="I328" s="754" t="str">
        <f>IFERROR(VLOOKUP(B328,Mychart!$A$125:$B$911,2,FALSE),"-")</f>
        <v>RASHED FALASI - AREEJ</v>
      </c>
      <c r="J328" s="753">
        <f t="shared" si="13"/>
        <v>5</v>
      </c>
      <c r="K328" s="1540">
        <f t="shared" si="14"/>
        <v>2024</v>
      </c>
      <c r="L328" s="757"/>
      <c r="M328" s="757"/>
      <c r="N328" s="757"/>
      <c r="O328" s="757"/>
      <c r="P328" s="757"/>
      <c r="Q328" s="757"/>
      <c r="R328" s="757"/>
      <c r="S328" s="757"/>
      <c r="T328" s="757"/>
      <c r="U328" s="757"/>
      <c r="V328" s="757"/>
      <c r="W328" s="757"/>
      <c r="X328" s="757"/>
      <c r="Y328" s="757"/>
      <c r="Z328" s="757"/>
      <c r="AA328" s="757"/>
      <c r="AB328" s="757"/>
      <c r="AC328" s="757"/>
      <c r="AD328" s="757"/>
      <c r="AE328" s="757"/>
      <c r="AF328" s="757"/>
      <c r="AG328" s="757"/>
      <c r="AH328" s="757"/>
      <c r="AI328" s="757"/>
      <c r="AJ328" s="757"/>
      <c r="AK328" s="757"/>
      <c r="AL328" s="757"/>
      <c r="AM328" s="757"/>
      <c r="AN328" s="757"/>
      <c r="AO328" s="757"/>
      <c r="AP328" s="757"/>
      <c r="AQ328" s="757"/>
      <c r="AR328" s="757"/>
      <c r="AS328" s="757"/>
      <c r="AT328" s="757"/>
      <c r="AU328" s="757"/>
      <c r="AV328" s="757"/>
      <c r="AW328" s="757"/>
      <c r="AX328" s="757"/>
      <c r="AY328" s="757"/>
      <c r="AZ328" s="75"/>
      <c r="BA328" s="2"/>
      <c r="BB328" s="2"/>
      <c r="BC328" s="2"/>
      <c r="BD328" s="2"/>
    </row>
    <row r="329" spans="1:56">
      <c r="A329" s="781">
        <v>2</v>
      </c>
      <c r="B329" s="782">
        <v>218</v>
      </c>
      <c r="C329" s="783">
        <v>45443</v>
      </c>
      <c r="D329" s="783" t="s">
        <v>177</v>
      </c>
      <c r="E329" s="808">
        <v>600</v>
      </c>
      <c r="F329" s="799"/>
      <c r="G329" s="799"/>
      <c r="H329" s="1592">
        <f t="shared" si="12"/>
        <v>0</v>
      </c>
      <c r="I329" s="754" t="str">
        <f>IFERROR(VLOOKUP(B329,Mychart!$A$125:$B$911,2,FALSE),"-")</f>
        <v>RASHED FALASI - AREEJ</v>
      </c>
      <c r="J329" s="753">
        <f t="shared" si="13"/>
        <v>5</v>
      </c>
      <c r="K329" s="1540">
        <f t="shared" si="14"/>
        <v>2024</v>
      </c>
      <c r="L329" s="757"/>
      <c r="M329" s="757"/>
      <c r="N329" s="757"/>
      <c r="O329" s="757"/>
      <c r="P329" s="757"/>
      <c r="Q329" s="757"/>
      <c r="R329" s="757"/>
      <c r="S329" s="757"/>
      <c r="T329" s="757"/>
      <c r="U329" s="757"/>
      <c r="V329" s="757"/>
      <c r="W329" s="757"/>
      <c r="X329" s="757"/>
      <c r="Y329" s="757"/>
      <c r="Z329" s="757"/>
      <c r="AA329" s="757"/>
      <c r="AB329" s="757"/>
      <c r="AC329" s="757"/>
      <c r="AD329" s="757"/>
      <c r="AE329" s="757"/>
      <c r="AF329" s="757"/>
      <c r="AG329" s="757"/>
      <c r="AH329" s="757"/>
      <c r="AI329" s="757"/>
      <c r="AJ329" s="757"/>
      <c r="AK329" s="757"/>
      <c r="AL329" s="757"/>
      <c r="AM329" s="757"/>
      <c r="AN329" s="757"/>
      <c r="AO329" s="757"/>
      <c r="AP329" s="757"/>
      <c r="AQ329" s="757"/>
      <c r="AR329" s="757"/>
      <c r="AS329" s="757"/>
      <c r="AT329" s="757"/>
      <c r="AU329" s="757"/>
      <c r="AV329" s="757"/>
      <c r="AW329" s="757"/>
      <c r="AX329" s="757"/>
      <c r="AY329" s="757"/>
      <c r="AZ329" s="75"/>
      <c r="BA329" s="2"/>
      <c r="BB329" s="2"/>
      <c r="BC329" s="2"/>
      <c r="BD329" s="2"/>
    </row>
    <row r="330" spans="1:56">
      <c r="A330" s="781">
        <v>2</v>
      </c>
      <c r="B330" s="782">
        <v>218</v>
      </c>
      <c r="C330" s="783" t="s">
        <v>423</v>
      </c>
      <c r="D330" s="783" t="s">
        <v>224</v>
      </c>
      <c r="E330" s="808">
        <v>5543.99</v>
      </c>
      <c r="F330" s="799"/>
      <c r="G330" s="799"/>
      <c r="H330" s="1592">
        <f t="shared" si="12"/>
        <v>0</v>
      </c>
      <c r="I330" s="754" t="str">
        <f>IFERROR(VLOOKUP(B330,Mychart!$A$125:$B$911,2,FALSE),"-")</f>
        <v>RASHED FALASI - AREEJ</v>
      </c>
      <c r="J330" s="753">
        <f t="shared" si="13"/>
        <v>6</v>
      </c>
      <c r="K330" s="1540">
        <f t="shared" si="14"/>
        <v>2024</v>
      </c>
      <c r="L330" s="757"/>
      <c r="M330" s="757"/>
      <c r="N330" s="757"/>
      <c r="O330" s="757"/>
      <c r="P330" s="757"/>
      <c r="Q330" s="757"/>
      <c r="R330" s="757"/>
      <c r="S330" s="757"/>
      <c r="T330" s="757"/>
      <c r="U330" s="757"/>
      <c r="V330" s="757"/>
      <c r="W330" s="757"/>
      <c r="X330" s="757"/>
      <c r="Y330" s="757"/>
      <c r="Z330" s="757"/>
      <c r="AA330" s="757"/>
      <c r="AB330" s="757"/>
      <c r="AC330" s="757"/>
      <c r="AD330" s="757"/>
      <c r="AE330" s="757"/>
      <c r="AF330" s="757"/>
      <c r="AG330" s="757"/>
      <c r="AH330" s="757"/>
      <c r="AI330" s="757"/>
      <c r="AJ330" s="757"/>
      <c r="AK330" s="757"/>
      <c r="AL330" s="757"/>
      <c r="AM330" s="757"/>
      <c r="AN330" s="757"/>
      <c r="AO330" s="757"/>
      <c r="AP330" s="757"/>
      <c r="AQ330" s="757"/>
      <c r="AR330" s="757"/>
      <c r="AS330" s="757"/>
      <c r="AT330" s="757"/>
      <c r="AU330" s="757"/>
      <c r="AV330" s="757"/>
      <c r="AW330" s="757"/>
      <c r="AX330" s="757"/>
      <c r="AY330" s="757"/>
      <c r="AZ330" s="75"/>
      <c r="BA330" s="2"/>
      <c r="BB330" s="2"/>
      <c r="BC330" s="2"/>
      <c r="BD330" s="2"/>
    </row>
    <row r="331" spans="1:56">
      <c r="A331" s="781">
        <v>1</v>
      </c>
      <c r="B331" s="782">
        <v>197</v>
      </c>
      <c r="C331" s="783">
        <v>44630</v>
      </c>
      <c r="D331" s="786" t="s">
        <v>545</v>
      </c>
      <c r="E331" s="807"/>
      <c r="F331" s="798">
        <v>44047.619047619046</v>
      </c>
      <c r="G331" s="798">
        <v>2202.3809523809523</v>
      </c>
      <c r="H331" s="1592">
        <f t="shared" ref="H331:H394" si="15">F331+G331</f>
        <v>46250</v>
      </c>
      <c r="I331" s="754" t="str">
        <f>IFERROR(VLOOKUP(B331,Mychart!$A$125:$B$911,2,FALSE),"-")</f>
        <v>OSMAN AHLI</v>
      </c>
      <c r="J331" s="753">
        <f t="shared" ref="J331:J394" si="16">IF(C331&lt;&gt;"", MONTH(C331),"-")</f>
        <v>3</v>
      </c>
      <c r="K331" s="1540">
        <f t="shared" ref="K331:K394" si="17">YEAR(C331)</f>
        <v>2022</v>
      </c>
      <c r="L331" s="757"/>
      <c r="M331" s="757"/>
      <c r="N331" s="757"/>
      <c r="O331" s="757"/>
      <c r="P331" s="757"/>
      <c r="Q331" s="757"/>
      <c r="R331" s="757"/>
      <c r="S331" s="757"/>
      <c r="T331" s="757"/>
      <c r="U331" s="757"/>
      <c r="V331" s="757"/>
      <c r="W331" s="757"/>
      <c r="X331" s="757"/>
      <c r="Y331" s="757"/>
      <c r="Z331" s="757"/>
      <c r="AA331" s="757"/>
      <c r="AB331" s="757"/>
      <c r="AC331" s="757"/>
      <c r="AD331" s="757"/>
      <c r="AE331" s="757"/>
      <c r="AF331" s="757"/>
      <c r="AG331" s="757"/>
      <c r="AH331" s="757"/>
      <c r="AI331" s="757"/>
      <c r="AJ331" s="757"/>
      <c r="AK331" s="757"/>
      <c r="AL331" s="757"/>
      <c r="AM331" s="757"/>
      <c r="AN331" s="757"/>
      <c r="AO331" s="757"/>
      <c r="AP331" s="757"/>
      <c r="AQ331" s="757"/>
      <c r="AR331" s="757"/>
      <c r="AS331" s="757"/>
      <c r="AT331" s="757"/>
      <c r="AU331" s="757"/>
      <c r="AV331" s="757"/>
      <c r="AW331" s="757"/>
      <c r="AX331" s="757"/>
      <c r="AY331" s="757"/>
      <c r="AZ331" s="75"/>
      <c r="BA331" s="2"/>
      <c r="BB331" s="2"/>
      <c r="BC331" s="2"/>
      <c r="BD331" s="2"/>
    </row>
    <row r="332" spans="1:56">
      <c r="A332" s="781">
        <v>1</v>
      </c>
      <c r="B332" s="782">
        <v>197</v>
      </c>
      <c r="C332" s="783">
        <v>44901</v>
      </c>
      <c r="D332" s="784" t="s">
        <v>546</v>
      </c>
      <c r="E332" s="807"/>
      <c r="F332" s="798">
        <v>30000</v>
      </c>
      <c r="G332" s="798"/>
      <c r="H332" s="1592">
        <f t="shared" si="15"/>
        <v>30000</v>
      </c>
      <c r="I332" s="754" t="str">
        <f>IFERROR(VLOOKUP(B332,Mychart!$A$125:$B$911,2,FALSE),"-")</f>
        <v>OSMAN AHLI</v>
      </c>
      <c r="J332" s="753">
        <f t="shared" si="16"/>
        <v>12</v>
      </c>
      <c r="K332" s="1540">
        <f t="shared" si="17"/>
        <v>2022</v>
      </c>
      <c r="L332" s="757"/>
      <c r="M332" s="757"/>
      <c r="N332" s="757"/>
      <c r="O332" s="757"/>
      <c r="P332" s="757"/>
      <c r="Q332" s="757"/>
      <c r="R332" s="757"/>
      <c r="S332" s="757"/>
      <c r="T332" s="757"/>
      <c r="U332" s="757"/>
      <c r="V332" s="757"/>
      <c r="W332" s="757"/>
      <c r="X332" s="757"/>
      <c r="Y332" s="757"/>
      <c r="Z332" s="757"/>
      <c r="AA332" s="757"/>
      <c r="AB332" s="757"/>
      <c r="AC332" s="757"/>
      <c r="AD332" s="757"/>
      <c r="AE332" s="757"/>
      <c r="AF332" s="757"/>
      <c r="AG332" s="757"/>
      <c r="AH332" s="757"/>
      <c r="AI332" s="757"/>
      <c r="AJ332" s="757"/>
      <c r="AK332" s="757"/>
      <c r="AL332" s="757"/>
      <c r="AM332" s="757"/>
      <c r="AN332" s="757"/>
      <c r="AO332" s="757"/>
      <c r="AP332" s="757"/>
      <c r="AQ332" s="757"/>
      <c r="AR332" s="757"/>
      <c r="AS332" s="757"/>
      <c r="AT332" s="757"/>
      <c r="AU332" s="757"/>
      <c r="AV332" s="757"/>
      <c r="AW332" s="757"/>
      <c r="AX332" s="757"/>
      <c r="AY332" s="757"/>
      <c r="AZ332" s="75"/>
      <c r="BA332" s="2"/>
      <c r="BB332" s="2"/>
      <c r="BC332" s="2"/>
      <c r="BD332" s="2"/>
    </row>
    <row r="333" spans="1:56">
      <c r="A333" s="781">
        <v>1</v>
      </c>
      <c r="B333" s="782">
        <v>197</v>
      </c>
      <c r="C333" s="783">
        <v>44931</v>
      </c>
      <c r="D333" s="784" t="s">
        <v>547</v>
      </c>
      <c r="E333" s="807"/>
      <c r="F333" s="798">
        <v>20000</v>
      </c>
      <c r="G333" s="798"/>
      <c r="H333" s="1592">
        <f t="shared" si="15"/>
        <v>20000</v>
      </c>
      <c r="I333" s="754" t="str">
        <f>IFERROR(VLOOKUP(B333,Mychart!$A$125:$B$911,2,FALSE),"-")</f>
        <v>OSMAN AHLI</v>
      </c>
      <c r="J333" s="753">
        <f t="shared" si="16"/>
        <v>1</v>
      </c>
      <c r="K333" s="1540">
        <f t="shared" si="17"/>
        <v>2023</v>
      </c>
      <c r="L333" s="757"/>
      <c r="M333" s="757"/>
      <c r="N333" s="757"/>
      <c r="O333" s="757"/>
      <c r="P333" s="757"/>
      <c r="Q333" s="757"/>
      <c r="R333" s="757"/>
      <c r="S333" s="757"/>
      <c r="T333" s="757"/>
      <c r="U333" s="757"/>
      <c r="V333" s="757"/>
      <c r="W333" s="757"/>
      <c r="X333" s="757"/>
      <c r="Y333" s="757"/>
      <c r="Z333" s="757"/>
      <c r="AA333" s="757"/>
      <c r="AB333" s="757"/>
      <c r="AC333" s="757"/>
      <c r="AD333" s="757"/>
      <c r="AE333" s="757"/>
      <c r="AF333" s="757"/>
      <c r="AG333" s="757"/>
      <c r="AH333" s="757"/>
      <c r="AI333" s="757"/>
      <c r="AJ333" s="757"/>
      <c r="AK333" s="757"/>
      <c r="AL333" s="757"/>
      <c r="AM333" s="757"/>
      <c r="AN333" s="757"/>
      <c r="AO333" s="757"/>
      <c r="AP333" s="757"/>
      <c r="AQ333" s="757"/>
      <c r="AR333" s="757"/>
      <c r="AS333" s="757"/>
      <c r="AT333" s="757"/>
      <c r="AU333" s="757"/>
      <c r="AV333" s="757"/>
      <c r="AW333" s="757"/>
      <c r="AX333" s="757"/>
      <c r="AY333" s="757"/>
      <c r="AZ333" s="75"/>
      <c r="BA333" s="2"/>
      <c r="BB333" s="2"/>
      <c r="BC333" s="2"/>
      <c r="BD333" s="2"/>
    </row>
    <row r="334" spans="1:56">
      <c r="A334" s="781">
        <v>1</v>
      </c>
      <c r="B334" s="782">
        <v>197</v>
      </c>
      <c r="C334" s="783">
        <v>44965</v>
      </c>
      <c r="D334" s="784" t="s">
        <v>548</v>
      </c>
      <c r="E334" s="807"/>
      <c r="F334" s="798">
        <v>20000</v>
      </c>
      <c r="G334" s="798"/>
      <c r="H334" s="1592">
        <f t="shared" si="15"/>
        <v>20000</v>
      </c>
      <c r="I334" s="754" t="str">
        <f>IFERROR(VLOOKUP(B334,Mychart!$A$125:$B$911,2,FALSE),"-")</f>
        <v>OSMAN AHLI</v>
      </c>
      <c r="J334" s="753">
        <f t="shared" si="16"/>
        <v>2</v>
      </c>
      <c r="K334" s="1540">
        <f t="shared" si="17"/>
        <v>2023</v>
      </c>
      <c r="L334" s="757"/>
      <c r="M334" s="757"/>
      <c r="N334" s="757"/>
      <c r="O334" s="757"/>
      <c r="P334" s="757"/>
      <c r="Q334" s="757"/>
      <c r="R334" s="757"/>
      <c r="S334" s="757"/>
      <c r="T334" s="757"/>
      <c r="U334" s="757"/>
      <c r="V334" s="757"/>
      <c r="W334" s="757"/>
      <c r="X334" s="757"/>
      <c r="Y334" s="757"/>
      <c r="Z334" s="757"/>
      <c r="AA334" s="757"/>
      <c r="AB334" s="757"/>
      <c r="AC334" s="757"/>
      <c r="AD334" s="757"/>
      <c r="AE334" s="757"/>
      <c r="AF334" s="757"/>
      <c r="AG334" s="757"/>
      <c r="AH334" s="757"/>
      <c r="AI334" s="757"/>
      <c r="AJ334" s="757"/>
      <c r="AK334" s="757"/>
      <c r="AL334" s="757"/>
      <c r="AM334" s="757"/>
      <c r="AN334" s="757"/>
      <c r="AO334" s="757"/>
      <c r="AP334" s="757"/>
      <c r="AQ334" s="757"/>
      <c r="AR334" s="757"/>
      <c r="AS334" s="757"/>
      <c r="AT334" s="757"/>
      <c r="AU334" s="757"/>
      <c r="AV334" s="757"/>
      <c r="AW334" s="757"/>
      <c r="AX334" s="757"/>
      <c r="AY334" s="757"/>
      <c r="AZ334" s="75"/>
      <c r="BA334" s="2"/>
      <c r="BB334" s="2"/>
      <c r="BC334" s="2"/>
      <c r="BD334" s="2"/>
    </row>
    <row r="335" spans="1:56">
      <c r="A335" s="781">
        <v>1</v>
      </c>
      <c r="B335" s="782">
        <v>197</v>
      </c>
      <c r="C335" s="783">
        <v>44987</v>
      </c>
      <c r="D335" s="784" t="s">
        <v>549</v>
      </c>
      <c r="E335" s="807"/>
      <c r="F335" s="798">
        <v>20000</v>
      </c>
      <c r="G335" s="798"/>
      <c r="H335" s="1592">
        <f t="shared" si="15"/>
        <v>20000</v>
      </c>
      <c r="I335" s="754" t="str">
        <f>IFERROR(VLOOKUP(B335,Mychart!$A$125:$B$911,2,FALSE),"-")</f>
        <v>OSMAN AHLI</v>
      </c>
      <c r="J335" s="753">
        <f t="shared" si="16"/>
        <v>3</v>
      </c>
      <c r="K335" s="1540">
        <f t="shared" si="17"/>
        <v>2023</v>
      </c>
      <c r="L335" s="757"/>
      <c r="M335" s="757"/>
      <c r="N335" s="757"/>
      <c r="O335" s="757"/>
      <c r="P335" s="757"/>
      <c r="Q335" s="757"/>
      <c r="R335" s="757"/>
      <c r="S335" s="757"/>
      <c r="T335" s="757"/>
      <c r="U335" s="757"/>
      <c r="V335" s="757"/>
      <c r="W335" s="757"/>
      <c r="X335" s="757"/>
      <c r="Y335" s="757"/>
      <c r="Z335" s="757"/>
      <c r="AA335" s="757"/>
      <c r="AB335" s="757"/>
      <c r="AC335" s="757"/>
      <c r="AD335" s="757"/>
      <c r="AE335" s="757"/>
      <c r="AF335" s="757"/>
      <c r="AG335" s="757"/>
      <c r="AH335" s="757"/>
      <c r="AI335" s="757"/>
      <c r="AJ335" s="757"/>
      <c r="AK335" s="757"/>
      <c r="AL335" s="757"/>
      <c r="AM335" s="757"/>
      <c r="AN335" s="757"/>
      <c r="AO335" s="757"/>
      <c r="AP335" s="757"/>
      <c r="AQ335" s="757"/>
      <c r="AR335" s="757"/>
      <c r="AS335" s="757"/>
      <c r="AT335" s="757"/>
      <c r="AU335" s="757"/>
      <c r="AV335" s="757"/>
      <c r="AW335" s="757"/>
      <c r="AX335" s="757"/>
      <c r="AY335" s="757"/>
      <c r="AZ335" s="75"/>
      <c r="BA335" s="2"/>
      <c r="BB335" s="2"/>
      <c r="BC335" s="2"/>
      <c r="BD335" s="2"/>
    </row>
    <row r="336" spans="1:56">
      <c r="A336" s="781">
        <v>1</v>
      </c>
      <c r="B336" s="782">
        <v>197</v>
      </c>
      <c r="C336" s="783">
        <v>45041</v>
      </c>
      <c r="D336" s="784" t="s">
        <v>550</v>
      </c>
      <c r="E336" s="807"/>
      <c r="F336" s="798">
        <v>15000</v>
      </c>
      <c r="G336" s="798"/>
      <c r="H336" s="1592">
        <f t="shared" si="15"/>
        <v>15000</v>
      </c>
      <c r="I336" s="754" t="str">
        <f>IFERROR(VLOOKUP(B336,Mychart!$A$125:$B$911,2,FALSE),"-")</f>
        <v>OSMAN AHLI</v>
      </c>
      <c r="J336" s="753">
        <f t="shared" si="16"/>
        <v>4</v>
      </c>
      <c r="K336" s="1540">
        <f t="shared" si="17"/>
        <v>2023</v>
      </c>
      <c r="L336" s="757"/>
      <c r="M336" s="757"/>
      <c r="N336" s="757"/>
      <c r="O336" s="757"/>
      <c r="P336" s="757"/>
      <c r="Q336" s="757"/>
      <c r="R336" s="757"/>
      <c r="S336" s="757"/>
      <c r="T336" s="757"/>
      <c r="U336" s="757"/>
      <c r="V336" s="757"/>
      <c r="W336" s="757"/>
      <c r="X336" s="757"/>
      <c r="Y336" s="757"/>
      <c r="Z336" s="757"/>
      <c r="AA336" s="757"/>
      <c r="AB336" s="757"/>
      <c r="AC336" s="757"/>
      <c r="AD336" s="757"/>
      <c r="AE336" s="757"/>
      <c r="AF336" s="757"/>
      <c r="AG336" s="757"/>
      <c r="AH336" s="757"/>
      <c r="AI336" s="757"/>
      <c r="AJ336" s="757"/>
      <c r="AK336" s="757"/>
      <c r="AL336" s="757"/>
      <c r="AM336" s="757"/>
      <c r="AN336" s="757"/>
      <c r="AO336" s="757"/>
      <c r="AP336" s="757"/>
      <c r="AQ336" s="757"/>
      <c r="AR336" s="757"/>
      <c r="AS336" s="757"/>
      <c r="AT336" s="757"/>
      <c r="AU336" s="757"/>
      <c r="AV336" s="757"/>
      <c r="AW336" s="757"/>
      <c r="AX336" s="757"/>
      <c r="AY336" s="757"/>
      <c r="AZ336" s="75"/>
      <c r="BA336" s="2"/>
      <c r="BB336" s="2"/>
      <c r="BC336" s="2"/>
      <c r="BD336" s="2"/>
    </row>
    <row r="337" spans="1:56">
      <c r="A337" s="781">
        <v>1</v>
      </c>
      <c r="B337" s="782">
        <v>197</v>
      </c>
      <c r="C337" s="783" t="s">
        <v>423</v>
      </c>
      <c r="D337" s="784" t="s">
        <v>551</v>
      </c>
      <c r="E337" s="807"/>
      <c r="F337" s="800">
        <v>20000</v>
      </c>
      <c r="G337" s="800"/>
      <c r="H337" s="1592">
        <f t="shared" si="15"/>
        <v>20000</v>
      </c>
      <c r="I337" s="754" t="str">
        <f>IFERROR(VLOOKUP(B337,Mychart!$A$125:$B$911,2,FALSE),"-")</f>
        <v>OSMAN AHLI</v>
      </c>
      <c r="J337" s="753">
        <f t="shared" si="16"/>
        <v>6</v>
      </c>
      <c r="K337" s="1540">
        <f t="shared" si="17"/>
        <v>2024</v>
      </c>
      <c r="L337" s="757"/>
      <c r="M337" s="757"/>
      <c r="N337" s="757"/>
      <c r="O337" s="757"/>
      <c r="P337" s="757"/>
      <c r="Q337" s="757"/>
      <c r="R337" s="757"/>
      <c r="S337" s="757"/>
      <c r="T337" s="757"/>
      <c r="U337" s="757"/>
      <c r="V337" s="757"/>
      <c r="W337" s="757"/>
      <c r="X337" s="757"/>
      <c r="Y337" s="757"/>
      <c r="Z337" s="757"/>
      <c r="AA337" s="757"/>
      <c r="AB337" s="757"/>
      <c r="AC337" s="757"/>
      <c r="AD337" s="757"/>
      <c r="AE337" s="757"/>
      <c r="AF337" s="757"/>
      <c r="AG337" s="757"/>
      <c r="AH337" s="757"/>
      <c r="AI337" s="757"/>
      <c r="AJ337" s="757"/>
      <c r="AK337" s="757"/>
      <c r="AL337" s="757"/>
      <c r="AM337" s="757"/>
      <c r="AN337" s="757"/>
      <c r="AO337" s="757"/>
      <c r="AP337" s="757"/>
      <c r="AQ337" s="757"/>
      <c r="AR337" s="757"/>
      <c r="AS337" s="757"/>
      <c r="AT337" s="757"/>
      <c r="AU337" s="757"/>
      <c r="AV337" s="757"/>
      <c r="AW337" s="757"/>
      <c r="AX337" s="757"/>
      <c r="AY337" s="757"/>
      <c r="AZ337" s="75"/>
      <c r="BA337" s="2"/>
      <c r="BB337" s="2"/>
      <c r="BC337" s="2"/>
      <c r="BD337" s="2"/>
    </row>
    <row r="338" spans="1:56">
      <c r="A338" s="781">
        <v>2</v>
      </c>
      <c r="B338" s="782">
        <v>197</v>
      </c>
      <c r="C338" s="783">
        <v>44636</v>
      </c>
      <c r="D338" s="783" t="s">
        <v>225</v>
      </c>
      <c r="E338" s="808">
        <v>9000</v>
      </c>
      <c r="F338" s="799"/>
      <c r="G338" s="799"/>
      <c r="H338" s="1592">
        <f t="shared" si="15"/>
        <v>0</v>
      </c>
      <c r="I338" s="754" t="str">
        <f>IFERROR(VLOOKUP(B338,Mychart!$A$125:$B$911,2,FALSE),"-")</f>
        <v>OSMAN AHLI</v>
      </c>
      <c r="J338" s="753">
        <f t="shared" si="16"/>
        <v>3</v>
      </c>
      <c r="K338" s="1540">
        <f t="shared" si="17"/>
        <v>2022</v>
      </c>
      <c r="L338" s="757"/>
      <c r="M338" s="757"/>
      <c r="N338" s="757"/>
      <c r="O338" s="757"/>
      <c r="P338" s="757"/>
      <c r="Q338" s="757"/>
      <c r="R338" s="757"/>
      <c r="S338" s="757"/>
      <c r="T338" s="757"/>
      <c r="U338" s="757"/>
      <c r="V338" s="757"/>
      <c r="W338" s="757"/>
      <c r="X338" s="757"/>
      <c r="Y338" s="757"/>
      <c r="Z338" s="757"/>
      <c r="AA338" s="757"/>
      <c r="AB338" s="757"/>
      <c r="AC338" s="757"/>
      <c r="AD338" s="757"/>
      <c r="AE338" s="757"/>
      <c r="AF338" s="757"/>
      <c r="AG338" s="757"/>
      <c r="AH338" s="757"/>
      <c r="AI338" s="757"/>
      <c r="AJ338" s="757"/>
      <c r="AK338" s="757"/>
      <c r="AL338" s="757"/>
      <c r="AM338" s="757"/>
      <c r="AN338" s="757"/>
      <c r="AO338" s="757"/>
      <c r="AP338" s="757"/>
      <c r="AQ338" s="757"/>
      <c r="AR338" s="757"/>
      <c r="AS338" s="757"/>
      <c r="AT338" s="757"/>
      <c r="AU338" s="757"/>
      <c r="AV338" s="757"/>
      <c r="AW338" s="757"/>
      <c r="AX338" s="757"/>
      <c r="AY338" s="757"/>
      <c r="AZ338" s="75"/>
      <c r="BA338" s="2"/>
      <c r="BB338" s="2"/>
      <c r="BC338" s="2"/>
      <c r="BD338" s="2"/>
    </row>
    <row r="339" spans="1:56">
      <c r="A339" s="781">
        <v>2</v>
      </c>
      <c r="B339" s="782">
        <v>197</v>
      </c>
      <c r="C339" s="783"/>
      <c r="D339" s="783" t="s">
        <v>188</v>
      </c>
      <c r="E339" s="808">
        <v>500</v>
      </c>
      <c r="F339" s="799"/>
      <c r="G339" s="799"/>
      <c r="H339" s="1592">
        <f t="shared" si="15"/>
        <v>0</v>
      </c>
      <c r="I339" s="754" t="str">
        <f>IFERROR(VLOOKUP(B339,Mychart!$A$125:$B$911,2,FALSE),"-")</f>
        <v>OSMAN AHLI</v>
      </c>
      <c r="J339" s="753" t="str">
        <f t="shared" si="16"/>
        <v>-</v>
      </c>
      <c r="K339" s="1540">
        <f t="shared" si="17"/>
        <v>1900</v>
      </c>
      <c r="L339" s="757"/>
      <c r="M339" s="757"/>
      <c r="N339" s="757"/>
      <c r="O339" s="757"/>
      <c r="P339" s="757"/>
      <c r="Q339" s="757"/>
      <c r="R339" s="757"/>
      <c r="S339" s="757"/>
      <c r="T339" s="757"/>
      <c r="U339" s="757"/>
      <c r="V339" s="757"/>
      <c r="W339" s="757"/>
      <c r="X339" s="757"/>
      <c r="Y339" s="757"/>
      <c r="Z339" s="757"/>
      <c r="AA339" s="757"/>
      <c r="AB339" s="757"/>
      <c r="AC339" s="757"/>
      <c r="AD339" s="757"/>
      <c r="AE339" s="757"/>
      <c r="AF339" s="757"/>
      <c r="AG339" s="757"/>
      <c r="AH339" s="757"/>
      <c r="AI339" s="757"/>
      <c r="AJ339" s="757"/>
      <c r="AK339" s="757"/>
      <c r="AL339" s="757"/>
      <c r="AM339" s="757"/>
      <c r="AN339" s="757"/>
      <c r="AO339" s="757"/>
      <c r="AP339" s="757"/>
      <c r="AQ339" s="757"/>
      <c r="AR339" s="757"/>
      <c r="AS339" s="757"/>
      <c r="AT339" s="757"/>
      <c r="AU339" s="757"/>
      <c r="AV339" s="757"/>
      <c r="AW339" s="757"/>
      <c r="AX339" s="757"/>
      <c r="AY339" s="757"/>
      <c r="AZ339" s="75"/>
      <c r="BA339" s="2"/>
      <c r="BB339" s="2"/>
      <c r="BC339" s="2"/>
      <c r="BD339" s="2"/>
    </row>
    <row r="340" spans="1:56">
      <c r="A340" s="781">
        <v>2</v>
      </c>
      <c r="B340" s="782">
        <v>197</v>
      </c>
      <c r="C340" s="783">
        <v>44742</v>
      </c>
      <c r="D340" s="783" t="s">
        <v>383</v>
      </c>
      <c r="E340" s="808">
        <v>19950</v>
      </c>
      <c r="F340" s="799"/>
      <c r="G340" s="799"/>
      <c r="H340" s="1592">
        <f t="shared" si="15"/>
        <v>0</v>
      </c>
      <c r="I340" s="754" t="str">
        <f>IFERROR(VLOOKUP(B340,Mychart!$A$125:$B$911,2,FALSE),"-")</f>
        <v>OSMAN AHLI</v>
      </c>
      <c r="J340" s="753">
        <f t="shared" si="16"/>
        <v>6</v>
      </c>
      <c r="K340" s="1540">
        <f t="shared" si="17"/>
        <v>2022</v>
      </c>
      <c r="L340" s="757"/>
      <c r="M340" s="757"/>
      <c r="N340" s="757"/>
      <c r="O340" s="757"/>
      <c r="P340" s="757"/>
      <c r="Q340" s="757"/>
      <c r="R340" s="757"/>
      <c r="S340" s="757"/>
      <c r="T340" s="757"/>
      <c r="U340" s="757"/>
      <c r="V340" s="757"/>
      <c r="W340" s="757"/>
      <c r="X340" s="757"/>
      <c r="Y340" s="757"/>
      <c r="Z340" s="757"/>
      <c r="AA340" s="757"/>
      <c r="AB340" s="757"/>
      <c r="AC340" s="757"/>
      <c r="AD340" s="757"/>
      <c r="AE340" s="757"/>
      <c r="AF340" s="757"/>
      <c r="AG340" s="757"/>
      <c r="AH340" s="757"/>
      <c r="AI340" s="757"/>
      <c r="AJ340" s="757"/>
      <c r="AK340" s="757"/>
      <c r="AL340" s="757"/>
      <c r="AM340" s="757"/>
      <c r="AN340" s="757"/>
      <c r="AO340" s="757"/>
      <c r="AP340" s="757"/>
      <c r="AQ340" s="757"/>
      <c r="AR340" s="757"/>
      <c r="AS340" s="757"/>
      <c r="AT340" s="757"/>
      <c r="AU340" s="757"/>
      <c r="AV340" s="757"/>
      <c r="AW340" s="757"/>
      <c r="AX340" s="757"/>
      <c r="AY340" s="757"/>
      <c r="AZ340" s="75"/>
      <c r="BA340" s="2"/>
      <c r="BB340" s="2"/>
      <c r="BC340" s="2"/>
      <c r="BD340" s="2"/>
    </row>
    <row r="341" spans="1:56">
      <c r="A341" s="781">
        <v>2</v>
      </c>
      <c r="B341" s="782">
        <v>197</v>
      </c>
      <c r="C341" s="783"/>
      <c r="D341" s="783" t="s">
        <v>552</v>
      </c>
      <c r="E341" s="808">
        <v>1890</v>
      </c>
      <c r="F341" s="799"/>
      <c r="G341" s="799"/>
      <c r="H341" s="1592">
        <f t="shared" si="15"/>
        <v>0</v>
      </c>
      <c r="I341" s="754" t="str">
        <f>IFERROR(VLOOKUP(B341,Mychart!$A$125:$B$911,2,FALSE),"-")</f>
        <v>OSMAN AHLI</v>
      </c>
      <c r="J341" s="753" t="str">
        <f t="shared" si="16"/>
        <v>-</v>
      </c>
      <c r="K341" s="1540">
        <f t="shared" si="17"/>
        <v>1900</v>
      </c>
      <c r="L341" s="757"/>
      <c r="M341" s="757"/>
      <c r="N341" s="757"/>
      <c r="O341" s="757"/>
      <c r="P341" s="757"/>
      <c r="Q341" s="757"/>
      <c r="R341" s="757"/>
      <c r="S341" s="757"/>
      <c r="T341" s="757"/>
      <c r="U341" s="757"/>
      <c r="V341" s="757"/>
      <c r="W341" s="757"/>
      <c r="X341" s="757"/>
      <c r="Y341" s="757"/>
      <c r="Z341" s="757"/>
      <c r="AA341" s="757"/>
      <c r="AB341" s="757"/>
      <c r="AC341" s="757"/>
      <c r="AD341" s="757"/>
      <c r="AE341" s="757"/>
      <c r="AF341" s="757"/>
      <c r="AG341" s="757"/>
      <c r="AH341" s="757"/>
      <c r="AI341" s="757"/>
      <c r="AJ341" s="757"/>
      <c r="AK341" s="757"/>
      <c r="AL341" s="757"/>
      <c r="AM341" s="757"/>
      <c r="AN341" s="757"/>
      <c r="AO341" s="757"/>
      <c r="AP341" s="757"/>
      <c r="AQ341" s="757"/>
      <c r="AR341" s="757"/>
      <c r="AS341" s="757"/>
      <c r="AT341" s="757"/>
      <c r="AU341" s="757"/>
      <c r="AV341" s="757"/>
      <c r="AW341" s="757"/>
      <c r="AX341" s="757"/>
      <c r="AY341" s="757"/>
      <c r="AZ341" s="75"/>
      <c r="BA341" s="2"/>
      <c r="BB341" s="2"/>
      <c r="BC341" s="2"/>
      <c r="BD341" s="2"/>
    </row>
    <row r="342" spans="1:56">
      <c r="A342" s="781">
        <v>2</v>
      </c>
      <c r="B342" s="782">
        <v>197</v>
      </c>
      <c r="C342" s="783"/>
      <c r="D342" s="783" t="s">
        <v>553</v>
      </c>
      <c r="E342" s="808">
        <v>176</v>
      </c>
      <c r="F342" s="799"/>
      <c r="G342" s="799"/>
      <c r="H342" s="1592">
        <f t="shared" si="15"/>
        <v>0</v>
      </c>
      <c r="I342" s="754" t="str">
        <f>IFERROR(VLOOKUP(B342,Mychart!$A$125:$B$911,2,FALSE),"-")</f>
        <v>OSMAN AHLI</v>
      </c>
      <c r="J342" s="753" t="str">
        <f t="shared" si="16"/>
        <v>-</v>
      </c>
      <c r="K342" s="1540">
        <f t="shared" si="17"/>
        <v>1900</v>
      </c>
      <c r="L342" s="757"/>
      <c r="M342" s="757"/>
      <c r="N342" s="757"/>
      <c r="O342" s="757"/>
      <c r="P342" s="757"/>
      <c r="Q342" s="757"/>
      <c r="R342" s="757"/>
      <c r="S342" s="757"/>
      <c r="T342" s="757"/>
      <c r="U342" s="757"/>
      <c r="V342" s="757"/>
      <c r="W342" s="757"/>
      <c r="X342" s="757"/>
      <c r="Y342" s="757"/>
      <c r="Z342" s="757"/>
      <c r="AA342" s="757"/>
      <c r="AB342" s="757"/>
      <c r="AC342" s="757"/>
      <c r="AD342" s="757"/>
      <c r="AE342" s="757"/>
      <c r="AF342" s="757"/>
      <c r="AG342" s="757"/>
      <c r="AH342" s="757"/>
      <c r="AI342" s="757"/>
      <c r="AJ342" s="757"/>
      <c r="AK342" s="757"/>
      <c r="AL342" s="757"/>
      <c r="AM342" s="757"/>
      <c r="AN342" s="757"/>
      <c r="AO342" s="757"/>
      <c r="AP342" s="757"/>
      <c r="AQ342" s="757"/>
      <c r="AR342" s="757"/>
      <c r="AS342" s="757"/>
      <c r="AT342" s="757"/>
      <c r="AU342" s="757"/>
      <c r="AV342" s="757"/>
      <c r="AW342" s="757"/>
      <c r="AX342" s="757"/>
      <c r="AY342" s="757"/>
      <c r="AZ342" s="75"/>
      <c r="BA342" s="2"/>
      <c r="BB342" s="2"/>
      <c r="BC342" s="2"/>
      <c r="BD342" s="2"/>
    </row>
    <row r="343" spans="1:56">
      <c r="A343" s="781">
        <v>2</v>
      </c>
      <c r="B343" s="782">
        <v>197</v>
      </c>
      <c r="C343" s="783"/>
      <c r="D343" s="783" t="s">
        <v>553</v>
      </c>
      <c r="E343" s="808">
        <v>6004</v>
      </c>
      <c r="F343" s="799"/>
      <c r="G343" s="799"/>
      <c r="H343" s="1592">
        <f t="shared" si="15"/>
        <v>0</v>
      </c>
      <c r="I343" s="754" t="str">
        <f>IFERROR(VLOOKUP(B343,Mychart!$A$125:$B$911,2,FALSE),"-")</f>
        <v>OSMAN AHLI</v>
      </c>
      <c r="J343" s="753" t="str">
        <f t="shared" si="16"/>
        <v>-</v>
      </c>
      <c r="K343" s="1540">
        <f t="shared" si="17"/>
        <v>1900</v>
      </c>
      <c r="L343" s="757"/>
      <c r="M343" s="757"/>
      <c r="N343" s="757"/>
      <c r="O343" s="757"/>
      <c r="P343" s="757"/>
      <c r="Q343" s="757"/>
      <c r="R343" s="757"/>
      <c r="S343" s="757"/>
      <c r="T343" s="757"/>
      <c r="U343" s="757"/>
      <c r="V343" s="757"/>
      <c r="W343" s="757"/>
      <c r="X343" s="757"/>
      <c r="Y343" s="757"/>
      <c r="Z343" s="757"/>
      <c r="AA343" s="757"/>
      <c r="AB343" s="757"/>
      <c r="AC343" s="757"/>
      <c r="AD343" s="757"/>
      <c r="AE343" s="757"/>
      <c r="AF343" s="757"/>
      <c r="AG343" s="757"/>
      <c r="AH343" s="757"/>
      <c r="AI343" s="757"/>
      <c r="AJ343" s="757"/>
      <c r="AK343" s="757"/>
      <c r="AL343" s="757"/>
      <c r="AM343" s="757"/>
      <c r="AN343" s="757"/>
      <c r="AO343" s="757"/>
      <c r="AP343" s="757"/>
      <c r="AQ343" s="757"/>
      <c r="AR343" s="757"/>
      <c r="AS343" s="757"/>
      <c r="AT343" s="757"/>
      <c r="AU343" s="757"/>
      <c r="AV343" s="757"/>
      <c r="AW343" s="757"/>
      <c r="AX343" s="757"/>
      <c r="AY343" s="757"/>
      <c r="AZ343" s="75"/>
      <c r="BA343" s="2"/>
      <c r="BB343" s="2"/>
      <c r="BC343" s="2"/>
      <c r="BD343" s="2"/>
    </row>
    <row r="344" spans="1:56">
      <c r="A344" s="781">
        <v>2</v>
      </c>
      <c r="B344" s="782">
        <v>197</v>
      </c>
      <c r="C344" s="783"/>
      <c r="D344" s="783" t="s">
        <v>383</v>
      </c>
      <c r="E344" s="808">
        <v>13466.25</v>
      </c>
      <c r="F344" s="799"/>
      <c r="G344" s="799"/>
      <c r="H344" s="1592">
        <f t="shared" si="15"/>
        <v>0</v>
      </c>
      <c r="I344" s="754" t="str">
        <f>IFERROR(VLOOKUP(B344,Mychart!$A$125:$B$911,2,FALSE),"-")</f>
        <v>OSMAN AHLI</v>
      </c>
      <c r="J344" s="753" t="str">
        <f t="shared" si="16"/>
        <v>-</v>
      </c>
      <c r="K344" s="1540">
        <f t="shared" si="17"/>
        <v>1900</v>
      </c>
      <c r="L344" s="757"/>
      <c r="M344" s="757"/>
      <c r="N344" s="757"/>
      <c r="O344" s="757"/>
      <c r="P344" s="757"/>
      <c r="Q344" s="757"/>
      <c r="R344" s="757"/>
      <c r="S344" s="757"/>
      <c r="T344" s="757"/>
      <c r="U344" s="757"/>
      <c r="V344" s="757"/>
      <c r="W344" s="757"/>
      <c r="X344" s="757"/>
      <c r="Y344" s="757"/>
      <c r="Z344" s="757"/>
      <c r="AA344" s="757"/>
      <c r="AB344" s="757"/>
      <c r="AC344" s="757"/>
      <c r="AD344" s="757"/>
      <c r="AE344" s="757"/>
      <c r="AF344" s="757"/>
      <c r="AG344" s="757"/>
      <c r="AH344" s="757"/>
      <c r="AI344" s="757"/>
      <c r="AJ344" s="757"/>
      <c r="AK344" s="757"/>
      <c r="AL344" s="757"/>
      <c r="AM344" s="757"/>
      <c r="AN344" s="757"/>
      <c r="AO344" s="757"/>
      <c r="AP344" s="757"/>
      <c r="AQ344" s="757"/>
      <c r="AR344" s="757"/>
      <c r="AS344" s="757"/>
      <c r="AT344" s="757"/>
      <c r="AU344" s="757"/>
      <c r="AV344" s="757"/>
      <c r="AW344" s="757"/>
      <c r="AX344" s="757"/>
      <c r="AY344" s="757"/>
      <c r="AZ344" s="75"/>
      <c r="BA344" s="2"/>
      <c r="BB344" s="2"/>
      <c r="BC344" s="2"/>
      <c r="BD344" s="2"/>
    </row>
    <row r="345" spans="1:56">
      <c r="A345" s="781">
        <v>2</v>
      </c>
      <c r="B345" s="782">
        <v>197</v>
      </c>
      <c r="C345" s="783">
        <v>44914</v>
      </c>
      <c r="D345" s="785" t="s">
        <v>258</v>
      </c>
      <c r="E345" s="808">
        <v>8673</v>
      </c>
      <c r="F345" s="799"/>
      <c r="G345" s="799"/>
      <c r="H345" s="1592">
        <f t="shared" si="15"/>
        <v>0</v>
      </c>
      <c r="I345" s="754" t="str">
        <f>IFERROR(VLOOKUP(B345,Mychart!$A$125:$B$911,2,FALSE),"-")</f>
        <v>OSMAN AHLI</v>
      </c>
      <c r="J345" s="753">
        <f t="shared" si="16"/>
        <v>12</v>
      </c>
      <c r="K345" s="1540">
        <f t="shared" si="17"/>
        <v>2022</v>
      </c>
      <c r="L345" s="757"/>
      <c r="M345" s="757"/>
      <c r="N345" s="757"/>
      <c r="O345" s="757"/>
      <c r="P345" s="757"/>
      <c r="Q345" s="757"/>
      <c r="R345" s="757"/>
      <c r="S345" s="757"/>
      <c r="T345" s="757"/>
      <c r="U345" s="757"/>
      <c r="V345" s="757"/>
      <c r="W345" s="757"/>
      <c r="X345" s="757"/>
      <c r="Y345" s="757"/>
      <c r="Z345" s="757"/>
      <c r="AA345" s="757"/>
      <c r="AB345" s="757"/>
      <c r="AC345" s="757"/>
      <c r="AD345" s="757"/>
      <c r="AE345" s="757"/>
      <c r="AF345" s="757"/>
      <c r="AG345" s="757"/>
      <c r="AH345" s="757"/>
      <c r="AI345" s="757"/>
      <c r="AJ345" s="757"/>
      <c r="AK345" s="757"/>
      <c r="AL345" s="757"/>
      <c r="AM345" s="757"/>
      <c r="AN345" s="757"/>
      <c r="AO345" s="757"/>
      <c r="AP345" s="757"/>
      <c r="AQ345" s="757"/>
      <c r="AR345" s="757"/>
      <c r="AS345" s="757"/>
      <c r="AT345" s="757"/>
      <c r="AU345" s="757"/>
      <c r="AV345" s="757"/>
      <c r="AW345" s="757"/>
      <c r="AX345" s="757"/>
      <c r="AY345" s="757"/>
      <c r="AZ345" s="75"/>
      <c r="BA345" s="2"/>
      <c r="BB345" s="2"/>
      <c r="BC345" s="2"/>
      <c r="BD345" s="2"/>
    </row>
    <row r="346" spans="1:56">
      <c r="A346" s="781">
        <v>2</v>
      </c>
      <c r="B346" s="782">
        <v>197</v>
      </c>
      <c r="C346" s="783"/>
      <c r="D346" s="783" t="s">
        <v>383</v>
      </c>
      <c r="E346" s="808">
        <v>2472.15</v>
      </c>
      <c r="F346" s="799"/>
      <c r="G346" s="799"/>
      <c r="H346" s="1592">
        <f t="shared" si="15"/>
        <v>0</v>
      </c>
      <c r="I346" s="754" t="str">
        <f>IFERROR(VLOOKUP(B346,Mychart!$A$125:$B$911,2,FALSE),"-")</f>
        <v>OSMAN AHLI</v>
      </c>
      <c r="J346" s="753" t="str">
        <f t="shared" si="16"/>
        <v>-</v>
      </c>
      <c r="K346" s="1540">
        <f t="shared" si="17"/>
        <v>1900</v>
      </c>
      <c r="L346" s="757"/>
      <c r="M346" s="757"/>
      <c r="N346" s="757"/>
      <c r="O346" s="757"/>
      <c r="P346" s="757"/>
      <c r="Q346" s="757"/>
      <c r="R346" s="757"/>
      <c r="S346" s="757"/>
      <c r="T346" s="757"/>
      <c r="U346" s="757"/>
      <c r="V346" s="757"/>
      <c r="W346" s="757"/>
      <c r="X346" s="757"/>
      <c r="Y346" s="757"/>
      <c r="Z346" s="757"/>
      <c r="AA346" s="757"/>
      <c r="AB346" s="757"/>
      <c r="AC346" s="757"/>
      <c r="AD346" s="757"/>
      <c r="AE346" s="757"/>
      <c r="AF346" s="757"/>
      <c r="AG346" s="757"/>
      <c r="AH346" s="757"/>
      <c r="AI346" s="757"/>
      <c r="AJ346" s="757"/>
      <c r="AK346" s="757"/>
      <c r="AL346" s="757"/>
      <c r="AM346" s="757"/>
      <c r="AN346" s="757"/>
      <c r="AO346" s="757"/>
      <c r="AP346" s="757"/>
      <c r="AQ346" s="757"/>
      <c r="AR346" s="757"/>
      <c r="AS346" s="757"/>
      <c r="AT346" s="757"/>
      <c r="AU346" s="757"/>
      <c r="AV346" s="757"/>
      <c r="AW346" s="757"/>
      <c r="AX346" s="757"/>
      <c r="AY346" s="757"/>
      <c r="AZ346" s="75"/>
      <c r="BA346" s="2"/>
      <c r="BB346" s="2"/>
      <c r="BC346" s="2"/>
      <c r="BD346" s="2"/>
    </row>
    <row r="347" spans="1:56">
      <c r="A347" s="781">
        <v>2</v>
      </c>
      <c r="B347" s="782">
        <v>197</v>
      </c>
      <c r="C347" s="783"/>
      <c r="D347" s="783" t="s">
        <v>553</v>
      </c>
      <c r="E347" s="808">
        <v>611</v>
      </c>
      <c r="F347" s="799"/>
      <c r="G347" s="799"/>
      <c r="H347" s="1592">
        <f t="shared" si="15"/>
        <v>0</v>
      </c>
      <c r="I347" s="754" t="str">
        <f>IFERROR(VLOOKUP(B347,Mychart!$A$125:$B$911,2,FALSE),"-")</f>
        <v>OSMAN AHLI</v>
      </c>
      <c r="J347" s="753" t="str">
        <f t="shared" si="16"/>
        <v>-</v>
      </c>
      <c r="K347" s="1540">
        <f t="shared" si="17"/>
        <v>1900</v>
      </c>
      <c r="L347" s="757"/>
      <c r="M347" s="757"/>
      <c r="N347" s="757"/>
      <c r="O347" s="757"/>
      <c r="P347" s="757"/>
      <c r="Q347" s="757"/>
      <c r="R347" s="757"/>
      <c r="S347" s="757"/>
      <c r="T347" s="757"/>
      <c r="U347" s="757"/>
      <c r="V347" s="757"/>
      <c r="W347" s="757"/>
      <c r="X347" s="757"/>
      <c r="Y347" s="757"/>
      <c r="Z347" s="757"/>
      <c r="AA347" s="757"/>
      <c r="AB347" s="757"/>
      <c r="AC347" s="757"/>
      <c r="AD347" s="757"/>
      <c r="AE347" s="757"/>
      <c r="AF347" s="757"/>
      <c r="AG347" s="757"/>
      <c r="AH347" s="757"/>
      <c r="AI347" s="757"/>
      <c r="AJ347" s="757"/>
      <c r="AK347" s="757"/>
      <c r="AL347" s="757"/>
      <c r="AM347" s="757"/>
      <c r="AN347" s="757"/>
      <c r="AO347" s="757"/>
      <c r="AP347" s="757"/>
      <c r="AQ347" s="757"/>
      <c r="AR347" s="757"/>
      <c r="AS347" s="757"/>
      <c r="AT347" s="757"/>
      <c r="AU347" s="757"/>
      <c r="AV347" s="757"/>
      <c r="AW347" s="757"/>
      <c r="AX347" s="757"/>
      <c r="AY347" s="757"/>
      <c r="AZ347" s="75"/>
      <c r="BA347" s="2"/>
      <c r="BB347" s="2"/>
      <c r="BC347" s="2"/>
      <c r="BD347" s="2"/>
    </row>
    <row r="348" spans="1:56">
      <c r="A348" s="781">
        <v>2</v>
      </c>
      <c r="B348" s="782">
        <v>197</v>
      </c>
      <c r="C348" s="783"/>
      <c r="D348" s="783" t="s">
        <v>553</v>
      </c>
      <c r="E348" s="808">
        <v>6208</v>
      </c>
      <c r="F348" s="799"/>
      <c r="G348" s="799"/>
      <c r="H348" s="1592">
        <f t="shared" si="15"/>
        <v>0</v>
      </c>
      <c r="I348" s="754" t="str">
        <f>IFERROR(VLOOKUP(B348,Mychart!$A$125:$B$911,2,FALSE),"-")</f>
        <v>OSMAN AHLI</v>
      </c>
      <c r="J348" s="753" t="str">
        <f t="shared" si="16"/>
        <v>-</v>
      </c>
      <c r="K348" s="1540">
        <f t="shared" si="17"/>
        <v>1900</v>
      </c>
      <c r="L348" s="757"/>
      <c r="M348" s="757"/>
      <c r="N348" s="757"/>
      <c r="O348" s="757"/>
      <c r="P348" s="757"/>
      <c r="Q348" s="757"/>
      <c r="R348" s="757"/>
      <c r="S348" s="757"/>
      <c r="T348" s="757"/>
      <c r="U348" s="757"/>
      <c r="V348" s="757"/>
      <c r="W348" s="757"/>
      <c r="X348" s="757"/>
      <c r="Y348" s="757"/>
      <c r="Z348" s="757"/>
      <c r="AA348" s="757"/>
      <c r="AB348" s="757"/>
      <c r="AC348" s="757"/>
      <c r="AD348" s="757"/>
      <c r="AE348" s="757"/>
      <c r="AF348" s="757"/>
      <c r="AG348" s="757"/>
      <c r="AH348" s="757"/>
      <c r="AI348" s="757"/>
      <c r="AJ348" s="757"/>
      <c r="AK348" s="757"/>
      <c r="AL348" s="757"/>
      <c r="AM348" s="757"/>
      <c r="AN348" s="757"/>
      <c r="AO348" s="757"/>
      <c r="AP348" s="757"/>
      <c r="AQ348" s="757"/>
      <c r="AR348" s="757"/>
      <c r="AS348" s="757"/>
      <c r="AT348" s="757"/>
      <c r="AU348" s="757"/>
      <c r="AV348" s="757"/>
      <c r="AW348" s="757"/>
      <c r="AX348" s="757"/>
      <c r="AY348" s="757"/>
      <c r="AZ348" s="75"/>
      <c r="BA348" s="2"/>
      <c r="BB348" s="2"/>
      <c r="BC348" s="2"/>
      <c r="BD348" s="2"/>
    </row>
    <row r="349" spans="1:56">
      <c r="A349" s="781">
        <v>2</v>
      </c>
      <c r="B349" s="782">
        <v>197</v>
      </c>
      <c r="C349" s="783"/>
      <c r="D349" s="783" t="s">
        <v>383</v>
      </c>
      <c r="E349" s="808">
        <v>41380</v>
      </c>
      <c r="F349" s="799"/>
      <c r="G349" s="799"/>
      <c r="H349" s="1592">
        <f t="shared" si="15"/>
        <v>0</v>
      </c>
      <c r="I349" s="754" t="str">
        <f>IFERROR(VLOOKUP(B349,Mychart!$A$125:$B$911,2,FALSE),"-")</f>
        <v>OSMAN AHLI</v>
      </c>
      <c r="J349" s="753" t="str">
        <f t="shared" si="16"/>
        <v>-</v>
      </c>
      <c r="K349" s="1540">
        <f t="shared" si="17"/>
        <v>1900</v>
      </c>
      <c r="L349" s="757"/>
      <c r="M349" s="757"/>
      <c r="N349" s="757"/>
      <c r="O349" s="757"/>
      <c r="P349" s="757"/>
      <c r="Q349" s="757"/>
      <c r="R349" s="757"/>
      <c r="S349" s="757"/>
      <c r="T349" s="757"/>
      <c r="U349" s="757"/>
      <c r="V349" s="757"/>
      <c r="W349" s="757"/>
      <c r="X349" s="757"/>
      <c r="Y349" s="757"/>
      <c r="Z349" s="757"/>
      <c r="AA349" s="757"/>
      <c r="AB349" s="757"/>
      <c r="AC349" s="757"/>
      <c r="AD349" s="757"/>
      <c r="AE349" s="757"/>
      <c r="AF349" s="757"/>
      <c r="AG349" s="757"/>
      <c r="AH349" s="757"/>
      <c r="AI349" s="757"/>
      <c r="AJ349" s="757"/>
      <c r="AK349" s="757"/>
      <c r="AL349" s="757"/>
      <c r="AM349" s="757"/>
      <c r="AN349" s="757"/>
      <c r="AO349" s="757"/>
      <c r="AP349" s="757"/>
      <c r="AQ349" s="757"/>
      <c r="AR349" s="757"/>
      <c r="AS349" s="757"/>
      <c r="AT349" s="757"/>
      <c r="AU349" s="757"/>
      <c r="AV349" s="757"/>
      <c r="AW349" s="757"/>
      <c r="AX349" s="757"/>
      <c r="AY349" s="757"/>
      <c r="AZ349" s="75"/>
      <c r="BA349" s="2"/>
      <c r="BB349" s="2"/>
      <c r="BC349" s="2"/>
      <c r="BD349" s="2"/>
    </row>
    <row r="350" spans="1:56">
      <c r="A350" s="781">
        <v>2</v>
      </c>
      <c r="B350" s="782">
        <v>197</v>
      </c>
      <c r="C350" s="783"/>
      <c r="D350" s="783" t="s">
        <v>277</v>
      </c>
      <c r="E350" s="808">
        <v>-1890</v>
      </c>
      <c r="F350" s="799"/>
      <c r="G350" s="799"/>
      <c r="H350" s="1592">
        <f t="shared" si="15"/>
        <v>0</v>
      </c>
      <c r="I350" s="754" t="str">
        <f>IFERROR(VLOOKUP(B350,Mychart!$A$125:$B$911,2,FALSE),"-")</f>
        <v>OSMAN AHLI</v>
      </c>
      <c r="J350" s="753" t="str">
        <f t="shared" si="16"/>
        <v>-</v>
      </c>
      <c r="K350" s="1540">
        <f t="shared" si="17"/>
        <v>1900</v>
      </c>
      <c r="L350" s="757"/>
      <c r="M350" s="757"/>
      <c r="N350" s="757"/>
      <c r="O350" s="757"/>
      <c r="P350" s="757"/>
      <c r="Q350" s="757"/>
      <c r="R350" s="757"/>
      <c r="S350" s="757"/>
      <c r="T350" s="757"/>
      <c r="U350" s="757"/>
      <c r="V350" s="757"/>
      <c r="W350" s="757"/>
      <c r="X350" s="757"/>
      <c r="Y350" s="757"/>
      <c r="Z350" s="757"/>
      <c r="AA350" s="757"/>
      <c r="AB350" s="757"/>
      <c r="AC350" s="757"/>
      <c r="AD350" s="757"/>
      <c r="AE350" s="757"/>
      <c r="AF350" s="757"/>
      <c r="AG350" s="757"/>
      <c r="AH350" s="757"/>
      <c r="AI350" s="757"/>
      <c r="AJ350" s="757"/>
      <c r="AK350" s="757"/>
      <c r="AL350" s="757"/>
      <c r="AM350" s="757"/>
      <c r="AN350" s="757"/>
      <c r="AO350" s="757"/>
      <c r="AP350" s="757"/>
      <c r="AQ350" s="757"/>
      <c r="AR350" s="757"/>
      <c r="AS350" s="757"/>
      <c r="AT350" s="757"/>
      <c r="AU350" s="757"/>
      <c r="AV350" s="757"/>
      <c r="AW350" s="757"/>
      <c r="AX350" s="757"/>
      <c r="AY350" s="757"/>
      <c r="AZ350" s="75"/>
      <c r="BA350" s="2"/>
      <c r="BB350" s="2"/>
      <c r="BC350" s="2"/>
      <c r="BD350" s="2"/>
    </row>
    <row r="351" spans="1:56">
      <c r="A351" s="781">
        <v>2</v>
      </c>
      <c r="B351" s="782">
        <v>197</v>
      </c>
      <c r="C351" s="783">
        <v>45479</v>
      </c>
      <c r="D351" s="783" t="s">
        <v>383</v>
      </c>
      <c r="E351" s="808">
        <v>3412.5</v>
      </c>
      <c r="F351" s="799"/>
      <c r="G351" s="799"/>
      <c r="H351" s="1592">
        <f t="shared" si="15"/>
        <v>0</v>
      </c>
      <c r="I351" s="754" t="str">
        <f>IFERROR(VLOOKUP(B351,Mychart!$A$125:$B$911,2,FALSE),"-")</f>
        <v>OSMAN AHLI</v>
      </c>
      <c r="J351" s="753">
        <f t="shared" si="16"/>
        <v>7</v>
      </c>
      <c r="K351" s="1540">
        <f t="shared" si="17"/>
        <v>2024</v>
      </c>
      <c r="L351" s="757"/>
      <c r="M351" s="757"/>
      <c r="N351" s="757"/>
      <c r="O351" s="757"/>
      <c r="P351" s="757"/>
      <c r="Q351" s="757"/>
      <c r="R351" s="757"/>
      <c r="S351" s="757"/>
      <c r="T351" s="757"/>
      <c r="U351" s="757"/>
      <c r="V351" s="757"/>
      <c r="W351" s="757"/>
      <c r="X351" s="757"/>
      <c r="Y351" s="757"/>
      <c r="Z351" s="757"/>
      <c r="AA351" s="757"/>
      <c r="AB351" s="757"/>
      <c r="AC351" s="757"/>
      <c r="AD351" s="757"/>
      <c r="AE351" s="757"/>
      <c r="AF351" s="757"/>
      <c r="AG351" s="757"/>
      <c r="AH351" s="757"/>
      <c r="AI351" s="757"/>
      <c r="AJ351" s="757"/>
      <c r="AK351" s="757"/>
      <c r="AL351" s="757"/>
      <c r="AM351" s="757"/>
      <c r="AN351" s="757"/>
      <c r="AO351" s="757"/>
      <c r="AP351" s="757"/>
      <c r="AQ351" s="757"/>
      <c r="AR351" s="757"/>
      <c r="AS351" s="757"/>
      <c r="AT351" s="757"/>
      <c r="AU351" s="757"/>
      <c r="AV351" s="757"/>
      <c r="AW351" s="757"/>
      <c r="AX351" s="757"/>
      <c r="AY351" s="757"/>
      <c r="AZ351" s="75"/>
      <c r="BA351" s="2"/>
      <c r="BB351" s="2"/>
      <c r="BC351" s="2"/>
      <c r="BD351" s="2"/>
    </row>
    <row r="352" spans="1:56">
      <c r="A352" s="781">
        <v>2</v>
      </c>
      <c r="B352" s="782">
        <v>197</v>
      </c>
      <c r="C352" s="783">
        <v>45449</v>
      </c>
      <c r="D352" s="783" t="s">
        <v>383</v>
      </c>
      <c r="E352" s="808">
        <v>5517.74</v>
      </c>
      <c r="F352" s="799"/>
      <c r="G352" s="799"/>
      <c r="H352" s="1592">
        <f t="shared" si="15"/>
        <v>0</v>
      </c>
      <c r="I352" s="754" t="str">
        <f>IFERROR(VLOOKUP(B352,Mychart!$A$125:$B$911,2,FALSE),"-")</f>
        <v>OSMAN AHLI</v>
      </c>
      <c r="J352" s="753">
        <f t="shared" si="16"/>
        <v>6</v>
      </c>
      <c r="K352" s="1540">
        <f t="shared" si="17"/>
        <v>2024</v>
      </c>
      <c r="L352" s="757"/>
      <c r="M352" s="757"/>
      <c r="N352" s="757"/>
      <c r="O352" s="757"/>
      <c r="P352" s="757"/>
      <c r="Q352" s="757"/>
      <c r="R352" s="757"/>
      <c r="S352" s="757"/>
      <c r="T352" s="757"/>
      <c r="U352" s="757"/>
      <c r="V352" s="757"/>
      <c r="W352" s="757"/>
      <c r="X352" s="757"/>
      <c r="Y352" s="757"/>
      <c r="Z352" s="757"/>
      <c r="AA352" s="757"/>
      <c r="AB352" s="757"/>
      <c r="AC352" s="757"/>
      <c r="AD352" s="757"/>
      <c r="AE352" s="757"/>
      <c r="AF352" s="757"/>
      <c r="AG352" s="757"/>
      <c r="AH352" s="757"/>
      <c r="AI352" s="757"/>
      <c r="AJ352" s="757"/>
      <c r="AK352" s="757"/>
      <c r="AL352" s="757"/>
      <c r="AM352" s="757"/>
      <c r="AN352" s="757"/>
      <c r="AO352" s="757"/>
      <c r="AP352" s="757"/>
      <c r="AQ352" s="757"/>
      <c r="AR352" s="757"/>
      <c r="AS352" s="757"/>
      <c r="AT352" s="757"/>
      <c r="AU352" s="757"/>
      <c r="AV352" s="757"/>
      <c r="AW352" s="757"/>
      <c r="AX352" s="757"/>
      <c r="AY352" s="757"/>
      <c r="AZ352" s="75"/>
      <c r="BA352" s="2"/>
      <c r="BB352" s="2"/>
      <c r="BC352" s="2"/>
      <c r="BD352" s="2"/>
    </row>
    <row r="353" spans="1:56">
      <c r="A353" s="781">
        <v>1</v>
      </c>
      <c r="B353" s="782">
        <v>246</v>
      </c>
      <c r="C353" s="783">
        <v>45250</v>
      </c>
      <c r="D353" s="786" t="s">
        <v>559</v>
      </c>
      <c r="E353" s="807"/>
      <c r="F353" s="798">
        <v>27000</v>
      </c>
      <c r="G353" s="798">
        <v>1350</v>
      </c>
      <c r="H353" s="1592">
        <f t="shared" si="15"/>
        <v>28350</v>
      </c>
      <c r="I353" s="754" t="str">
        <f>IFERROR(VLOOKUP(B353,Mychart!$A$125:$B$911,2,FALSE),"-")</f>
        <v>Marzok Almatroshi - Archpix</v>
      </c>
      <c r="J353" s="753">
        <f t="shared" si="16"/>
        <v>11</v>
      </c>
      <c r="K353" s="1540">
        <f t="shared" si="17"/>
        <v>2023</v>
      </c>
      <c r="L353" s="757"/>
      <c r="M353" s="757"/>
      <c r="N353" s="757"/>
      <c r="O353" s="757"/>
      <c r="P353" s="757"/>
      <c r="Q353" s="757"/>
      <c r="R353" s="757"/>
      <c r="S353" s="757"/>
      <c r="T353" s="757"/>
      <c r="U353" s="757"/>
      <c r="V353" s="757"/>
      <c r="W353" s="757"/>
      <c r="X353" s="757"/>
      <c r="Y353" s="757"/>
      <c r="Z353" s="757"/>
      <c r="AA353" s="757"/>
      <c r="AB353" s="757"/>
      <c r="AC353" s="757"/>
      <c r="AD353" s="757"/>
      <c r="AE353" s="757"/>
      <c r="AF353" s="757"/>
      <c r="AG353" s="757"/>
      <c r="AH353" s="757"/>
      <c r="AI353" s="757"/>
      <c r="AJ353" s="757"/>
      <c r="AK353" s="757"/>
      <c r="AL353" s="757"/>
      <c r="AM353" s="757"/>
      <c r="AN353" s="757"/>
      <c r="AO353" s="757"/>
      <c r="AP353" s="757"/>
      <c r="AQ353" s="757"/>
      <c r="AR353" s="757"/>
      <c r="AS353" s="757"/>
      <c r="AT353" s="757"/>
      <c r="AU353" s="757"/>
      <c r="AV353" s="757"/>
      <c r="AW353" s="757"/>
      <c r="AX353" s="757"/>
      <c r="AY353" s="757"/>
      <c r="AZ353" s="75"/>
      <c r="BA353" s="2"/>
      <c r="BB353" s="2"/>
      <c r="BC353" s="2"/>
      <c r="BD353" s="2"/>
    </row>
    <row r="354" spans="1:56">
      <c r="A354" s="781">
        <v>1</v>
      </c>
      <c r="B354" s="782">
        <v>246</v>
      </c>
      <c r="C354" s="783">
        <v>45427</v>
      </c>
      <c r="D354" s="784" t="s">
        <v>560</v>
      </c>
      <c r="E354" s="807"/>
      <c r="F354" s="798">
        <v>72000</v>
      </c>
      <c r="G354" s="798">
        <v>3600</v>
      </c>
      <c r="H354" s="1592">
        <f t="shared" si="15"/>
        <v>75600</v>
      </c>
      <c r="I354" s="754" t="str">
        <f>IFERROR(VLOOKUP(B354,Mychart!$A$125:$B$911,2,FALSE),"-")</f>
        <v>Marzok Almatroshi - Archpix</v>
      </c>
      <c r="J354" s="753">
        <f t="shared" si="16"/>
        <v>5</v>
      </c>
      <c r="K354" s="1540">
        <f t="shared" si="17"/>
        <v>2024</v>
      </c>
      <c r="L354" s="757"/>
      <c r="M354" s="757"/>
      <c r="N354" s="757"/>
      <c r="O354" s="757"/>
      <c r="P354" s="757"/>
      <c r="Q354" s="757"/>
      <c r="R354" s="757"/>
      <c r="S354" s="757"/>
      <c r="T354" s="757"/>
      <c r="U354" s="757"/>
      <c r="V354" s="757"/>
      <c r="W354" s="757"/>
      <c r="X354" s="757"/>
      <c r="Y354" s="757"/>
      <c r="Z354" s="757"/>
      <c r="AA354" s="757"/>
      <c r="AB354" s="757"/>
      <c r="AC354" s="757"/>
      <c r="AD354" s="757"/>
      <c r="AE354" s="757"/>
      <c r="AF354" s="757"/>
      <c r="AG354" s="757"/>
      <c r="AH354" s="757"/>
      <c r="AI354" s="757"/>
      <c r="AJ354" s="757"/>
      <c r="AK354" s="757"/>
      <c r="AL354" s="757"/>
      <c r="AM354" s="757"/>
      <c r="AN354" s="757"/>
      <c r="AO354" s="757"/>
      <c r="AP354" s="757"/>
      <c r="AQ354" s="757"/>
      <c r="AR354" s="757"/>
      <c r="AS354" s="757"/>
      <c r="AT354" s="757"/>
      <c r="AU354" s="757"/>
      <c r="AV354" s="757"/>
      <c r="AW354" s="757"/>
      <c r="AX354" s="757"/>
      <c r="AY354" s="757"/>
      <c r="AZ354" s="75"/>
      <c r="BA354" s="2"/>
      <c r="BB354" s="2"/>
      <c r="BC354" s="2"/>
      <c r="BD354" s="2"/>
    </row>
    <row r="355" spans="1:56">
      <c r="A355" s="781">
        <v>2</v>
      </c>
      <c r="B355" s="782">
        <v>246</v>
      </c>
      <c r="C355" s="783">
        <v>45250</v>
      </c>
      <c r="D355" s="783" t="s">
        <v>561</v>
      </c>
      <c r="E355" s="808">
        <v>10500</v>
      </c>
      <c r="F355" s="799"/>
      <c r="G355" s="799"/>
      <c r="H355" s="1592">
        <f t="shared" si="15"/>
        <v>0</v>
      </c>
      <c r="I355" s="754" t="str">
        <f>IFERROR(VLOOKUP(B355,Mychart!$A$125:$B$911,2,FALSE),"-")</f>
        <v>Marzok Almatroshi - Archpix</v>
      </c>
      <c r="J355" s="753">
        <f t="shared" si="16"/>
        <v>11</v>
      </c>
      <c r="K355" s="1540">
        <f t="shared" si="17"/>
        <v>2023</v>
      </c>
      <c r="L355" s="757"/>
      <c r="M355" s="757"/>
      <c r="N355" s="757"/>
      <c r="O355" s="757"/>
      <c r="P355" s="757"/>
      <c r="Q355" s="757"/>
      <c r="R355" s="757"/>
      <c r="S355" s="757"/>
      <c r="T355" s="757"/>
      <c r="U355" s="757"/>
      <c r="V355" s="757"/>
      <c r="W355" s="757"/>
      <c r="X355" s="757"/>
      <c r="Y355" s="757"/>
      <c r="Z355" s="757"/>
      <c r="AA355" s="757"/>
      <c r="AB355" s="757"/>
      <c r="AC355" s="757"/>
      <c r="AD355" s="757"/>
      <c r="AE355" s="757"/>
      <c r="AF355" s="757"/>
      <c r="AG355" s="757"/>
      <c r="AH355" s="757"/>
      <c r="AI355" s="757"/>
      <c r="AJ355" s="757"/>
      <c r="AK355" s="757"/>
      <c r="AL355" s="757"/>
      <c r="AM355" s="757"/>
      <c r="AN355" s="757"/>
      <c r="AO355" s="757"/>
      <c r="AP355" s="757"/>
      <c r="AQ355" s="757"/>
      <c r="AR355" s="757"/>
      <c r="AS355" s="757"/>
      <c r="AT355" s="757"/>
      <c r="AU355" s="757"/>
      <c r="AV355" s="757"/>
      <c r="AW355" s="757"/>
      <c r="AX355" s="757"/>
      <c r="AY355" s="757"/>
      <c r="AZ355" s="75"/>
      <c r="BA355" s="2"/>
      <c r="BB355" s="2"/>
      <c r="BC355" s="2"/>
      <c r="BD355" s="2"/>
    </row>
    <row r="356" spans="1:56">
      <c r="A356" s="781">
        <v>2</v>
      </c>
      <c r="B356" s="782">
        <v>246</v>
      </c>
      <c r="C356" s="783">
        <v>45258</v>
      </c>
      <c r="D356" s="783" t="s">
        <v>562</v>
      </c>
      <c r="E356" s="808">
        <v>2000</v>
      </c>
      <c r="F356" s="799"/>
      <c r="G356" s="799"/>
      <c r="H356" s="1592">
        <f t="shared" si="15"/>
        <v>0</v>
      </c>
      <c r="I356" s="754" t="str">
        <f>IFERROR(VLOOKUP(B356,Mychart!$A$125:$B$911,2,FALSE),"-")</f>
        <v>Marzok Almatroshi - Archpix</v>
      </c>
      <c r="J356" s="753">
        <f t="shared" si="16"/>
        <v>11</v>
      </c>
      <c r="K356" s="1540">
        <f t="shared" si="17"/>
        <v>2023</v>
      </c>
      <c r="L356" s="757"/>
      <c r="M356" s="757"/>
      <c r="N356" s="757"/>
      <c r="O356" s="757"/>
      <c r="P356" s="757"/>
      <c r="Q356" s="757"/>
      <c r="R356" s="757"/>
      <c r="S356" s="757"/>
      <c r="T356" s="757"/>
      <c r="U356" s="757"/>
      <c r="V356" s="757"/>
      <c r="W356" s="757"/>
      <c r="X356" s="757"/>
      <c r="Y356" s="757"/>
      <c r="Z356" s="757"/>
      <c r="AA356" s="757"/>
      <c r="AB356" s="757"/>
      <c r="AC356" s="757"/>
      <c r="AD356" s="757"/>
      <c r="AE356" s="757"/>
      <c r="AF356" s="757"/>
      <c r="AG356" s="757"/>
      <c r="AH356" s="757"/>
      <c r="AI356" s="757"/>
      <c r="AJ356" s="757"/>
      <c r="AK356" s="757"/>
      <c r="AL356" s="757"/>
      <c r="AM356" s="757"/>
      <c r="AN356" s="757"/>
      <c r="AO356" s="757"/>
      <c r="AP356" s="757"/>
      <c r="AQ356" s="757"/>
      <c r="AR356" s="757"/>
      <c r="AS356" s="757"/>
      <c r="AT356" s="757"/>
      <c r="AU356" s="757"/>
      <c r="AV356" s="757"/>
      <c r="AW356" s="757"/>
      <c r="AX356" s="757"/>
      <c r="AY356" s="757"/>
      <c r="AZ356" s="75"/>
      <c r="BA356" s="2"/>
      <c r="BB356" s="2"/>
      <c r="BC356" s="2"/>
      <c r="BD356" s="2"/>
    </row>
    <row r="357" spans="1:56">
      <c r="A357" s="781">
        <v>2</v>
      </c>
      <c r="B357" s="782">
        <v>246</v>
      </c>
      <c r="C357" s="783">
        <v>45322</v>
      </c>
      <c r="D357" s="783" t="s">
        <v>191</v>
      </c>
      <c r="E357" s="808">
        <v>31.5</v>
      </c>
      <c r="F357" s="799"/>
      <c r="G357" s="799"/>
      <c r="H357" s="1592">
        <f t="shared" si="15"/>
        <v>0</v>
      </c>
      <c r="I357" s="754" t="str">
        <f>IFERROR(VLOOKUP(B357,Mychart!$A$125:$B$911,2,FALSE),"-")</f>
        <v>Marzok Almatroshi - Archpix</v>
      </c>
      <c r="J357" s="753">
        <f t="shared" si="16"/>
        <v>1</v>
      </c>
      <c r="K357" s="1540">
        <f t="shared" si="17"/>
        <v>2024</v>
      </c>
      <c r="L357" s="757"/>
      <c r="M357" s="757"/>
      <c r="N357" s="757"/>
      <c r="O357" s="757"/>
      <c r="P357" s="757"/>
      <c r="Q357" s="757"/>
      <c r="R357" s="757"/>
      <c r="S357" s="757"/>
      <c r="T357" s="757"/>
      <c r="U357" s="757"/>
      <c r="V357" s="757"/>
      <c r="W357" s="757"/>
      <c r="X357" s="757"/>
      <c r="Y357" s="757"/>
      <c r="Z357" s="757"/>
      <c r="AA357" s="757"/>
      <c r="AB357" s="757"/>
      <c r="AC357" s="757"/>
      <c r="AD357" s="757"/>
      <c r="AE357" s="757"/>
      <c r="AF357" s="757"/>
      <c r="AG357" s="757"/>
      <c r="AH357" s="757"/>
      <c r="AI357" s="757"/>
      <c r="AJ357" s="757"/>
      <c r="AK357" s="757"/>
      <c r="AL357" s="757"/>
      <c r="AM357" s="757"/>
      <c r="AN357" s="757"/>
      <c r="AO357" s="757"/>
      <c r="AP357" s="757"/>
      <c r="AQ357" s="757"/>
      <c r="AR357" s="757"/>
      <c r="AS357" s="757"/>
      <c r="AT357" s="757"/>
      <c r="AU357" s="757"/>
      <c r="AV357" s="757"/>
      <c r="AW357" s="757"/>
      <c r="AX357" s="757"/>
      <c r="AY357" s="757"/>
      <c r="AZ357" s="75"/>
      <c r="BA357" s="2"/>
      <c r="BB357" s="2"/>
      <c r="BC357" s="2"/>
      <c r="BD357" s="2"/>
    </row>
    <row r="358" spans="1:56">
      <c r="A358" s="781">
        <v>2</v>
      </c>
      <c r="B358" s="782">
        <v>246</v>
      </c>
      <c r="C358" s="783">
        <v>45411</v>
      </c>
      <c r="D358" s="783" t="s">
        <v>258</v>
      </c>
      <c r="E358" s="808">
        <v>6718.01</v>
      </c>
      <c r="F358" s="799"/>
      <c r="G358" s="799"/>
      <c r="H358" s="1592">
        <f t="shared" si="15"/>
        <v>0</v>
      </c>
      <c r="I358" s="754" t="str">
        <f>IFERROR(VLOOKUP(B358,Mychart!$A$125:$B$911,2,FALSE),"-")</f>
        <v>Marzok Almatroshi - Archpix</v>
      </c>
      <c r="J358" s="753">
        <f t="shared" si="16"/>
        <v>4</v>
      </c>
      <c r="K358" s="1540">
        <f t="shared" si="17"/>
        <v>2024</v>
      </c>
      <c r="L358" s="757"/>
      <c r="M358" s="757"/>
      <c r="N358" s="757"/>
      <c r="O358" s="757"/>
      <c r="P358" s="757"/>
      <c r="Q358" s="757"/>
      <c r="R358" s="757"/>
      <c r="S358" s="757"/>
      <c r="T358" s="757"/>
      <c r="U358" s="757"/>
      <c r="V358" s="757"/>
      <c r="W358" s="757"/>
      <c r="X358" s="757"/>
      <c r="Y358" s="757"/>
      <c r="Z358" s="757"/>
      <c r="AA358" s="757"/>
      <c r="AB358" s="757"/>
      <c r="AC358" s="757"/>
      <c r="AD358" s="757"/>
      <c r="AE358" s="757"/>
      <c r="AF358" s="757"/>
      <c r="AG358" s="757"/>
      <c r="AH358" s="757"/>
      <c r="AI358" s="757"/>
      <c r="AJ358" s="757"/>
      <c r="AK358" s="757"/>
      <c r="AL358" s="757"/>
      <c r="AM358" s="757"/>
      <c r="AN358" s="757"/>
      <c r="AO358" s="757"/>
      <c r="AP358" s="757"/>
      <c r="AQ358" s="757"/>
      <c r="AR358" s="757"/>
      <c r="AS358" s="757"/>
      <c r="AT358" s="757"/>
      <c r="AU358" s="757"/>
      <c r="AV358" s="757"/>
      <c r="AW358" s="757"/>
      <c r="AX358" s="757"/>
      <c r="AY358" s="757"/>
      <c r="AZ358" s="75"/>
      <c r="BA358" s="2"/>
      <c r="BB358" s="2"/>
      <c r="BC358" s="2"/>
      <c r="BD358" s="2"/>
    </row>
    <row r="359" spans="1:56">
      <c r="A359" s="781">
        <v>2</v>
      </c>
      <c r="B359" s="782">
        <v>246</v>
      </c>
      <c r="C359" s="783">
        <v>45412</v>
      </c>
      <c r="D359" s="783" t="s">
        <v>177</v>
      </c>
      <c r="E359" s="808">
        <v>5207</v>
      </c>
      <c r="F359" s="799"/>
      <c r="G359" s="799"/>
      <c r="H359" s="1592">
        <f t="shared" si="15"/>
        <v>0</v>
      </c>
      <c r="I359" s="754" t="str">
        <f>IFERROR(VLOOKUP(B359,Mychart!$A$125:$B$911,2,FALSE),"-")</f>
        <v>Marzok Almatroshi - Archpix</v>
      </c>
      <c r="J359" s="753">
        <f t="shared" si="16"/>
        <v>4</v>
      </c>
      <c r="K359" s="1540">
        <f t="shared" si="17"/>
        <v>2024</v>
      </c>
      <c r="L359" s="757"/>
      <c r="M359" s="757"/>
      <c r="N359" s="757"/>
      <c r="O359" s="757"/>
      <c r="P359" s="757"/>
      <c r="Q359" s="757"/>
      <c r="R359" s="757"/>
      <c r="S359" s="757"/>
      <c r="T359" s="757"/>
      <c r="U359" s="757"/>
      <c r="V359" s="757"/>
      <c r="W359" s="757"/>
      <c r="X359" s="757"/>
      <c r="Y359" s="757"/>
      <c r="Z359" s="757"/>
      <c r="AA359" s="757"/>
      <c r="AB359" s="757"/>
      <c r="AC359" s="757"/>
      <c r="AD359" s="757"/>
      <c r="AE359" s="757"/>
      <c r="AF359" s="757"/>
      <c r="AG359" s="757"/>
      <c r="AH359" s="757"/>
      <c r="AI359" s="757"/>
      <c r="AJ359" s="757"/>
      <c r="AK359" s="757"/>
      <c r="AL359" s="757"/>
      <c r="AM359" s="757"/>
      <c r="AN359" s="757"/>
      <c r="AO359" s="757"/>
      <c r="AP359" s="757"/>
      <c r="AQ359" s="757"/>
      <c r="AR359" s="757"/>
      <c r="AS359" s="757"/>
      <c r="AT359" s="757"/>
      <c r="AU359" s="757"/>
      <c r="AV359" s="757"/>
      <c r="AW359" s="757"/>
      <c r="AX359" s="757"/>
      <c r="AY359" s="757"/>
      <c r="AZ359" s="75"/>
      <c r="BA359" s="2"/>
      <c r="BB359" s="2"/>
      <c r="BC359" s="2"/>
      <c r="BD359" s="2"/>
    </row>
    <row r="360" spans="1:56">
      <c r="A360" s="781">
        <v>2</v>
      </c>
      <c r="B360" s="782">
        <v>246</v>
      </c>
      <c r="C360" s="783">
        <v>45432</v>
      </c>
      <c r="D360" s="783" t="s">
        <v>383</v>
      </c>
      <c r="E360" s="808">
        <v>32796.75</v>
      </c>
      <c r="F360" s="799"/>
      <c r="G360" s="799"/>
      <c r="H360" s="1592">
        <f t="shared" si="15"/>
        <v>0</v>
      </c>
      <c r="I360" s="754" t="str">
        <f>IFERROR(VLOOKUP(B360,Mychart!$A$125:$B$911,2,FALSE),"-")</f>
        <v>Marzok Almatroshi - Archpix</v>
      </c>
      <c r="J360" s="753">
        <f t="shared" si="16"/>
        <v>5</v>
      </c>
      <c r="K360" s="1540">
        <f t="shared" si="17"/>
        <v>2024</v>
      </c>
      <c r="L360" s="757"/>
      <c r="M360" s="757"/>
      <c r="N360" s="757"/>
      <c r="O360" s="757"/>
      <c r="P360" s="757"/>
      <c r="Q360" s="757"/>
      <c r="R360" s="757"/>
      <c r="S360" s="757"/>
      <c r="T360" s="757"/>
      <c r="U360" s="757"/>
      <c r="V360" s="757"/>
      <c r="W360" s="757"/>
      <c r="X360" s="757"/>
      <c r="Y360" s="757"/>
      <c r="Z360" s="757"/>
      <c r="AA360" s="757"/>
      <c r="AB360" s="757"/>
      <c r="AC360" s="757"/>
      <c r="AD360" s="757"/>
      <c r="AE360" s="757"/>
      <c r="AF360" s="757"/>
      <c r="AG360" s="757"/>
      <c r="AH360" s="757"/>
      <c r="AI360" s="757"/>
      <c r="AJ360" s="757"/>
      <c r="AK360" s="757"/>
      <c r="AL360" s="757"/>
      <c r="AM360" s="757"/>
      <c r="AN360" s="757"/>
      <c r="AO360" s="757"/>
      <c r="AP360" s="757"/>
      <c r="AQ360" s="757"/>
      <c r="AR360" s="757"/>
      <c r="AS360" s="757"/>
      <c r="AT360" s="757"/>
      <c r="AU360" s="757"/>
      <c r="AV360" s="757"/>
      <c r="AW360" s="757"/>
      <c r="AX360" s="757"/>
      <c r="AY360" s="757"/>
      <c r="AZ360" s="75"/>
      <c r="BA360" s="2"/>
      <c r="BB360" s="2"/>
      <c r="BC360" s="2"/>
      <c r="BD360" s="2"/>
    </row>
    <row r="361" spans="1:56">
      <c r="A361" s="781">
        <v>2</v>
      </c>
      <c r="B361" s="782">
        <v>246</v>
      </c>
      <c r="C361" s="783">
        <v>45443</v>
      </c>
      <c r="D361" s="783" t="s">
        <v>177</v>
      </c>
      <c r="E361" s="808">
        <v>6259</v>
      </c>
      <c r="F361" s="799"/>
      <c r="G361" s="799"/>
      <c r="H361" s="1592">
        <f t="shared" si="15"/>
        <v>0</v>
      </c>
      <c r="I361" s="754" t="str">
        <f>IFERROR(VLOOKUP(B361,Mychart!$A$125:$B$911,2,FALSE),"-")</f>
        <v>Marzok Almatroshi - Archpix</v>
      </c>
      <c r="J361" s="753">
        <f t="shared" si="16"/>
        <v>5</v>
      </c>
      <c r="K361" s="1540">
        <f t="shared" si="17"/>
        <v>2024</v>
      </c>
      <c r="L361" s="757"/>
      <c r="M361" s="757"/>
      <c r="N361" s="757"/>
      <c r="O361" s="757"/>
      <c r="P361" s="757"/>
      <c r="Q361" s="757"/>
      <c r="R361" s="757"/>
      <c r="S361" s="757"/>
      <c r="T361" s="757"/>
      <c r="U361" s="757"/>
      <c r="V361" s="757"/>
      <c r="W361" s="757"/>
      <c r="X361" s="757"/>
      <c r="Y361" s="757"/>
      <c r="Z361" s="757"/>
      <c r="AA361" s="757"/>
      <c r="AB361" s="757"/>
      <c r="AC361" s="757"/>
      <c r="AD361" s="757"/>
      <c r="AE361" s="757"/>
      <c r="AF361" s="757"/>
      <c r="AG361" s="757"/>
      <c r="AH361" s="757"/>
      <c r="AI361" s="757"/>
      <c r="AJ361" s="757"/>
      <c r="AK361" s="757"/>
      <c r="AL361" s="757"/>
      <c r="AM361" s="757"/>
      <c r="AN361" s="757"/>
      <c r="AO361" s="757"/>
      <c r="AP361" s="757"/>
      <c r="AQ361" s="757"/>
      <c r="AR361" s="757"/>
      <c r="AS361" s="757"/>
      <c r="AT361" s="757"/>
      <c r="AU361" s="757"/>
      <c r="AV361" s="757"/>
      <c r="AW361" s="757"/>
      <c r="AX361" s="757"/>
      <c r="AY361" s="757"/>
      <c r="AZ361" s="75"/>
      <c r="BA361" s="2"/>
      <c r="BB361" s="2"/>
      <c r="BC361" s="2"/>
      <c r="BD361" s="2"/>
    </row>
    <row r="362" spans="1:56">
      <c r="A362" s="781">
        <v>2</v>
      </c>
      <c r="B362" s="782">
        <v>246</v>
      </c>
      <c r="C362" s="783" t="s">
        <v>563</v>
      </c>
      <c r="D362" s="783" t="s">
        <v>176</v>
      </c>
      <c r="E362" s="808">
        <v>600</v>
      </c>
      <c r="F362" s="799"/>
      <c r="G362" s="799"/>
      <c r="H362" s="1592">
        <f t="shared" si="15"/>
        <v>0</v>
      </c>
      <c r="I362" s="754" t="str">
        <f>IFERROR(VLOOKUP(B362,Mychart!$A$125:$B$911,2,FALSE),"-")</f>
        <v>Marzok Almatroshi - Archpix</v>
      </c>
      <c r="J362" s="753">
        <f t="shared" si="16"/>
        <v>5</v>
      </c>
      <c r="K362" s="1540">
        <f t="shared" si="17"/>
        <v>2024</v>
      </c>
      <c r="L362" s="757"/>
      <c r="M362" s="757"/>
      <c r="N362" s="757"/>
      <c r="O362" s="757"/>
      <c r="P362" s="757"/>
      <c r="Q362" s="757"/>
      <c r="R362" s="757"/>
      <c r="S362" s="757"/>
      <c r="T362" s="757"/>
      <c r="U362" s="757"/>
      <c r="V362" s="757"/>
      <c r="W362" s="757"/>
      <c r="X362" s="757"/>
      <c r="Y362" s="757"/>
      <c r="Z362" s="757"/>
      <c r="AA362" s="757"/>
      <c r="AB362" s="757"/>
      <c r="AC362" s="757"/>
      <c r="AD362" s="757"/>
      <c r="AE362" s="757"/>
      <c r="AF362" s="757"/>
      <c r="AG362" s="757"/>
      <c r="AH362" s="757"/>
      <c r="AI362" s="757"/>
      <c r="AJ362" s="757"/>
      <c r="AK362" s="757"/>
      <c r="AL362" s="757"/>
      <c r="AM362" s="757"/>
      <c r="AN362" s="757"/>
      <c r="AO362" s="757"/>
      <c r="AP362" s="757"/>
      <c r="AQ362" s="757"/>
      <c r="AR362" s="757"/>
      <c r="AS362" s="757"/>
      <c r="AT362" s="757"/>
      <c r="AU362" s="757"/>
      <c r="AV362" s="757"/>
      <c r="AW362" s="757"/>
      <c r="AX362" s="757"/>
      <c r="AY362" s="757"/>
      <c r="AZ362" s="75"/>
      <c r="BA362" s="2"/>
      <c r="BB362" s="2"/>
      <c r="BC362" s="2"/>
      <c r="BD362" s="2"/>
    </row>
    <row r="363" spans="1:56">
      <c r="A363" s="781">
        <v>1</v>
      </c>
      <c r="B363" s="782">
        <v>255</v>
      </c>
      <c r="C363" s="783"/>
      <c r="D363" s="786" t="s">
        <v>567</v>
      </c>
      <c r="E363" s="807"/>
      <c r="F363" s="798">
        <v>29000</v>
      </c>
      <c r="G363" s="798">
        <v>1450</v>
      </c>
      <c r="H363" s="1592">
        <f t="shared" si="15"/>
        <v>30450</v>
      </c>
      <c r="I363" s="754" t="str">
        <f>IFERROR(VLOOKUP(B363,Mychart!$A$125:$B$911,2,FALSE),"-")</f>
        <v>ESSA KHALIFA</v>
      </c>
      <c r="J363" s="753" t="str">
        <f t="shared" si="16"/>
        <v>-</v>
      </c>
      <c r="K363" s="1540">
        <f t="shared" si="17"/>
        <v>1900</v>
      </c>
      <c r="L363" s="757"/>
      <c r="M363" s="757"/>
      <c r="N363" s="757"/>
      <c r="O363" s="757"/>
      <c r="P363" s="757"/>
      <c r="Q363" s="757"/>
      <c r="R363" s="757"/>
      <c r="S363" s="757"/>
      <c r="T363" s="757"/>
      <c r="U363" s="757"/>
      <c r="V363" s="757"/>
      <c r="W363" s="757"/>
      <c r="X363" s="757"/>
      <c r="Y363" s="757"/>
      <c r="Z363" s="757"/>
      <c r="AA363" s="757"/>
      <c r="AB363" s="757"/>
      <c r="AC363" s="757"/>
      <c r="AD363" s="757"/>
      <c r="AE363" s="757"/>
      <c r="AF363" s="757"/>
      <c r="AG363" s="757"/>
      <c r="AH363" s="757"/>
      <c r="AI363" s="757"/>
      <c r="AJ363" s="757"/>
      <c r="AK363" s="757"/>
      <c r="AL363" s="757"/>
      <c r="AM363" s="757"/>
      <c r="AN363" s="757"/>
      <c r="AO363" s="757"/>
      <c r="AP363" s="757"/>
      <c r="AQ363" s="757"/>
      <c r="AR363" s="757"/>
      <c r="AS363" s="757"/>
      <c r="AT363" s="757"/>
      <c r="AU363" s="757"/>
      <c r="AV363" s="757"/>
      <c r="AW363" s="757"/>
      <c r="AX363" s="757"/>
      <c r="AY363" s="757"/>
      <c r="AZ363" s="75"/>
      <c r="BA363" s="2"/>
      <c r="BB363" s="2"/>
      <c r="BC363" s="2"/>
      <c r="BD363" s="2"/>
    </row>
    <row r="364" spans="1:56">
      <c r="A364" s="781">
        <v>2</v>
      </c>
      <c r="B364" s="782">
        <v>255</v>
      </c>
      <c r="C364" s="783">
        <v>45322</v>
      </c>
      <c r="D364" s="783" t="s">
        <v>179</v>
      </c>
      <c r="E364" s="808">
        <v>10500</v>
      </c>
      <c r="F364" s="799"/>
      <c r="G364" s="799"/>
      <c r="H364" s="1592">
        <f t="shared" si="15"/>
        <v>0</v>
      </c>
      <c r="I364" s="754" t="str">
        <f>IFERROR(VLOOKUP(B364,Mychart!$A$125:$B$911,2,FALSE),"-")</f>
        <v>ESSA KHALIFA</v>
      </c>
      <c r="J364" s="753">
        <f t="shared" si="16"/>
        <v>1</v>
      </c>
      <c r="K364" s="1540">
        <f t="shared" si="17"/>
        <v>2024</v>
      </c>
      <c r="L364" s="757"/>
      <c r="M364" s="757"/>
      <c r="N364" s="757"/>
      <c r="O364" s="757"/>
      <c r="P364" s="757"/>
      <c r="Q364" s="757"/>
      <c r="R364" s="757"/>
      <c r="S364" s="757"/>
      <c r="T364" s="757"/>
      <c r="U364" s="757"/>
      <c r="V364" s="757"/>
      <c r="W364" s="757"/>
      <c r="X364" s="757"/>
      <c r="Y364" s="757"/>
      <c r="Z364" s="757"/>
      <c r="AA364" s="757"/>
      <c r="AB364" s="757"/>
      <c r="AC364" s="757"/>
      <c r="AD364" s="757"/>
      <c r="AE364" s="757"/>
      <c r="AF364" s="757"/>
      <c r="AG364" s="757"/>
      <c r="AH364" s="757"/>
      <c r="AI364" s="757"/>
      <c r="AJ364" s="757"/>
      <c r="AK364" s="757"/>
      <c r="AL364" s="757"/>
      <c r="AM364" s="757"/>
      <c r="AN364" s="757"/>
      <c r="AO364" s="757"/>
      <c r="AP364" s="757"/>
      <c r="AQ364" s="757"/>
      <c r="AR364" s="757"/>
      <c r="AS364" s="757"/>
      <c r="AT364" s="757"/>
      <c r="AU364" s="757"/>
      <c r="AV364" s="757"/>
      <c r="AW364" s="757"/>
      <c r="AX364" s="757"/>
      <c r="AY364" s="757"/>
      <c r="AZ364" s="75"/>
      <c r="BA364" s="2"/>
      <c r="BB364" s="2"/>
      <c r="BC364" s="2"/>
      <c r="BD364" s="2"/>
    </row>
    <row r="365" spans="1:56">
      <c r="A365" s="781">
        <v>2</v>
      </c>
      <c r="B365" s="782">
        <v>255</v>
      </c>
      <c r="C365" s="783">
        <v>45322</v>
      </c>
      <c r="D365" s="783" t="s">
        <v>179</v>
      </c>
      <c r="E365" s="808">
        <v>2000</v>
      </c>
      <c r="F365" s="799"/>
      <c r="G365" s="799"/>
      <c r="H365" s="1592">
        <f t="shared" si="15"/>
        <v>0</v>
      </c>
      <c r="I365" s="754" t="str">
        <f>IFERROR(VLOOKUP(B365,Mychart!$A$125:$B$911,2,FALSE),"-")</f>
        <v>ESSA KHALIFA</v>
      </c>
      <c r="J365" s="753">
        <f t="shared" si="16"/>
        <v>1</v>
      </c>
      <c r="K365" s="1540">
        <f t="shared" si="17"/>
        <v>2024</v>
      </c>
      <c r="L365" s="757"/>
      <c r="M365" s="757"/>
      <c r="N365" s="757"/>
      <c r="O365" s="757"/>
      <c r="P365" s="757"/>
      <c r="Q365" s="757"/>
      <c r="R365" s="757"/>
      <c r="S365" s="757"/>
      <c r="T365" s="757"/>
      <c r="U365" s="757"/>
      <c r="V365" s="757"/>
      <c r="W365" s="757"/>
      <c r="X365" s="757"/>
      <c r="Y365" s="757"/>
      <c r="Z365" s="757"/>
      <c r="AA365" s="757"/>
      <c r="AB365" s="757"/>
      <c r="AC365" s="757"/>
      <c r="AD365" s="757"/>
      <c r="AE365" s="757"/>
      <c r="AF365" s="757"/>
      <c r="AG365" s="757"/>
      <c r="AH365" s="757"/>
      <c r="AI365" s="757"/>
      <c r="AJ365" s="757"/>
      <c r="AK365" s="757"/>
      <c r="AL365" s="757"/>
      <c r="AM365" s="757"/>
      <c r="AN365" s="757"/>
      <c r="AO365" s="757"/>
      <c r="AP365" s="757"/>
      <c r="AQ365" s="757"/>
      <c r="AR365" s="757"/>
      <c r="AS365" s="757"/>
      <c r="AT365" s="757"/>
      <c r="AU365" s="757"/>
      <c r="AV365" s="757"/>
      <c r="AW365" s="757"/>
      <c r="AX365" s="757"/>
      <c r="AY365" s="757"/>
      <c r="AZ365" s="75"/>
      <c r="BA365" s="2"/>
      <c r="BB365" s="2"/>
      <c r="BC365" s="2"/>
      <c r="BD365" s="2"/>
    </row>
    <row r="366" spans="1:56">
      <c r="A366" s="781">
        <v>2</v>
      </c>
      <c r="B366" s="782">
        <v>255</v>
      </c>
      <c r="C366" s="783">
        <v>45351</v>
      </c>
      <c r="D366" s="783" t="s">
        <v>177</v>
      </c>
      <c r="E366" s="808">
        <v>63</v>
      </c>
      <c r="F366" s="799"/>
      <c r="G366" s="799"/>
      <c r="H366" s="1592">
        <f t="shared" si="15"/>
        <v>0</v>
      </c>
      <c r="I366" s="754" t="str">
        <f>IFERROR(VLOOKUP(B366,Mychart!$A$125:$B$911,2,FALSE),"-")</f>
        <v>ESSA KHALIFA</v>
      </c>
      <c r="J366" s="753">
        <f t="shared" si="16"/>
        <v>2</v>
      </c>
      <c r="K366" s="1540">
        <f t="shared" si="17"/>
        <v>2024</v>
      </c>
      <c r="L366" s="757"/>
      <c r="M366" s="757"/>
      <c r="N366" s="757"/>
      <c r="O366" s="757"/>
      <c r="P366" s="757"/>
      <c r="Q366" s="757"/>
      <c r="R366" s="757"/>
      <c r="S366" s="757"/>
      <c r="T366" s="757"/>
      <c r="U366" s="757"/>
      <c r="V366" s="757"/>
      <c r="W366" s="757"/>
      <c r="X366" s="757"/>
      <c r="Y366" s="757"/>
      <c r="Z366" s="757"/>
      <c r="AA366" s="757"/>
      <c r="AB366" s="757"/>
      <c r="AC366" s="757"/>
      <c r="AD366" s="757"/>
      <c r="AE366" s="757"/>
      <c r="AF366" s="757"/>
      <c r="AG366" s="757"/>
      <c r="AH366" s="757"/>
      <c r="AI366" s="757"/>
      <c r="AJ366" s="757"/>
      <c r="AK366" s="757"/>
      <c r="AL366" s="757"/>
      <c r="AM366" s="757"/>
      <c r="AN366" s="757"/>
      <c r="AO366" s="757"/>
      <c r="AP366" s="757"/>
      <c r="AQ366" s="757"/>
      <c r="AR366" s="757"/>
      <c r="AS366" s="757"/>
      <c r="AT366" s="757"/>
      <c r="AU366" s="757"/>
      <c r="AV366" s="757"/>
      <c r="AW366" s="757"/>
      <c r="AX366" s="757"/>
      <c r="AY366" s="757"/>
      <c r="AZ366" s="75"/>
      <c r="BA366" s="2"/>
      <c r="BB366" s="2"/>
      <c r="BC366" s="2"/>
      <c r="BD366" s="2"/>
    </row>
    <row r="367" spans="1:56">
      <c r="A367" s="781">
        <v>2</v>
      </c>
      <c r="B367" s="782">
        <v>255</v>
      </c>
      <c r="C367" s="783">
        <v>45352</v>
      </c>
      <c r="D367" s="783" t="s">
        <v>406</v>
      </c>
      <c r="E367" s="808">
        <v>500</v>
      </c>
      <c r="F367" s="799"/>
      <c r="G367" s="799"/>
      <c r="H367" s="1592">
        <f t="shared" si="15"/>
        <v>0</v>
      </c>
      <c r="I367" s="754" t="str">
        <f>IFERROR(VLOOKUP(B367,Mychart!$A$125:$B$911,2,FALSE),"-")</f>
        <v>ESSA KHALIFA</v>
      </c>
      <c r="J367" s="753">
        <f t="shared" si="16"/>
        <v>3</v>
      </c>
      <c r="K367" s="1540">
        <f t="shared" si="17"/>
        <v>2024</v>
      </c>
      <c r="L367" s="757"/>
      <c r="M367" s="757"/>
      <c r="N367" s="757"/>
      <c r="O367" s="757"/>
      <c r="P367" s="757"/>
      <c r="Q367" s="757"/>
      <c r="R367" s="757"/>
      <c r="S367" s="757"/>
      <c r="T367" s="757"/>
      <c r="U367" s="757"/>
      <c r="V367" s="757"/>
      <c r="W367" s="757"/>
      <c r="X367" s="757"/>
      <c r="Y367" s="757"/>
      <c r="Z367" s="757"/>
      <c r="AA367" s="757"/>
      <c r="AB367" s="757"/>
      <c r="AC367" s="757"/>
      <c r="AD367" s="757"/>
      <c r="AE367" s="757"/>
      <c r="AF367" s="757"/>
      <c r="AG367" s="757"/>
      <c r="AH367" s="757"/>
      <c r="AI367" s="757"/>
      <c r="AJ367" s="757"/>
      <c r="AK367" s="757"/>
      <c r="AL367" s="757"/>
      <c r="AM367" s="757"/>
      <c r="AN367" s="757"/>
      <c r="AO367" s="757"/>
      <c r="AP367" s="757"/>
      <c r="AQ367" s="757"/>
      <c r="AR367" s="757"/>
      <c r="AS367" s="757"/>
      <c r="AT367" s="757"/>
      <c r="AU367" s="757"/>
      <c r="AV367" s="757"/>
      <c r="AW367" s="757"/>
      <c r="AX367" s="757"/>
      <c r="AY367" s="757"/>
      <c r="AZ367" s="75"/>
      <c r="BA367" s="2"/>
      <c r="BB367" s="2"/>
      <c r="BC367" s="2"/>
      <c r="BD367" s="2"/>
    </row>
    <row r="368" spans="1:56">
      <c r="A368" s="781">
        <v>2</v>
      </c>
      <c r="B368" s="782">
        <v>255</v>
      </c>
      <c r="C368" s="783">
        <v>45382</v>
      </c>
      <c r="D368" s="783" t="s">
        <v>177</v>
      </c>
      <c r="E368" s="808">
        <v>79</v>
      </c>
      <c r="F368" s="799"/>
      <c r="G368" s="799"/>
      <c r="H368" s="1592">
        <f t="shared" si="15"/>
        <v>0</v>
      </c>
      <c r="I368" s="754" t="str">
        <f>IFERROR(VLOOKUP(B368,Mychart!$A$125:$B$911,2,FALSE),"-")</f>
        <v>ESSA KHALIFA</v>
      </c>
      <c r="J368" s="753">
        <f t="shared" si="16"/>
        <v>3</v>
      </c>
      <c r="K368" s="1540">
        <f t="shared" si="17"/>
        <v>2024</v>
      </c>
      <c r="L368" s="757"/>
      <c r="M368" s="757"/>
      <c r="N368" s="757"/>
      <c r="O368" s="757"/>
      <c r="P368" s="757"/>
      <c r="Q368" s="757"/>
      <c r="R368" s="757"/>
      <c r="S368" s="757"/>
      <c r="T368" s="757"/>
      <c r="U368" s="757"/>
      <c r="V368" s="757"/>
      <c r="W368" s="757"/>
      <c r="X368" s="757"/>
      <c r="Y368" s="757"/>
      <c r="Z368" s="757"/>
      <c r="AA368" s="757"/>
      <c r="AB368" s="757"/>
      <c r="AC368" s="757"/>
      <c r="AD368" s="757"/>
      <c r="AE368" s="757"/>
      <c r="AF368" s="757"/>
      <c r="AG368" s="757"/>
      <c r="AH368" s="757"/>
      <c r="AI368" s="757"/>
      <c r="AJ368" s="757"/>
      <c r="AK368" s="757"/>
      <c r="AL368" s="757"/>
      <c r="AM368" s="757"/>
      <c r="AN368" s="757"/>
      <c r="AO368" s="757"/>
      <c r="AP368" s="757"/>
      <c r="AQ368" s="757"/>
      <c r="AR368" s="757"/>
      <c r="AS368" s="757"/>
      <c r="AT368" s="757"/>
      <c r="AU368" s="757"/>
      <c r="AV368" s="757"/>
      <c r="AW368" s="757"/>
      <c r="AX368" s="757"/>
      <c r="AY368" s="757"/>
      <c r="AZ368" s="75"/>
      <c r="BA368" s="2"/>
      <c r="BB368" s="2"/>
      <c r="BC368" s="2"/>
      <c r="BD368" s="2"/>
    </row>
    <row r="369" spans="1:56">
      <c r="A369" s="781">
        <v>1</v>
      </c>
      <c r="B369" s="782">
        <v>182</v>
      </c>
      <c r="C369" s="783">
        <v>44423</v>
      </c>
      <c r="D369" s="786" t="s">
        <v>571</v>
      </c>
      <c r="E369" s="807"/>
      <c r="F369" s="798">
        <v>21500</v>
      </c>
      <c r="G369" s="798">
        <v>1075</v>
      </c>
      <c r="H369" s="1592">
        <f t="shared" si="15"/>
        <v>22575</v>
      </c>
      <c r="I369" s="754" t="str">
        <f>IFERROR(VLOOKUP(B369,Mychart!$A$125:$B$911,2,FALSE),"-")</f>
        <v>FAISAL EGY BUILD</v>
      </c>
      <c r="J369" s="753">
        <f t="shared" si="16"/>
        <v>8</v>
      </c>
      <c r="K369" s="1540">
        <f t="shared" si="17"/>
        <v>2021</v>
      </c>
      <c r="L369" s="757"/>
      <c r="M369" s="757"/>
      <c r="N369" s="757"/>
      <c r="O369" s="757"/>
      <c r="P369" s="757"/>
      <c r="Q369" s="757"/>
      <c r="R369" s="757"/>
      <c r="S369" s="757"/>
      <c r="T369" s="757"/>
      <c r="U369" s="757"/>
      <c r="V369" s="757"/>
      <c r="W369" s="757"/>
      <c r="X369" s="757"/>
      <c r="Y369" s="757"/>
      <c r="Z369" s="757"/>
      <c r="AA369" s="757"/>
      <c r="AB369" s="757"/>
      <c r="AC369" s="757"/>
      <c r="AD369" s="757"/>
      <c r="AE369" s="757"/>
      <c r="AF369" s="757"/>
      <c r="AG369" s="757"/>
      <c r="AH369" s="757"/>
      <c r="AI369" s="757"/>
      <c r="AJ369" s="757"/>
      <c r="AK369" s="757"/>
      <c r="AL369" s="757"/>
      <c r="AM369" s="757"/>
      <c r="AN369" s="757"/>
      <c r="AO369" s="757"/>
      <c r="AP369" s="757"/>
      <c r="AQ369" s="757"/>
      <c r="AR369" s="757"/>
      <c r="AS369" s="757"/>
      <c r="AT369" s="757"/>
      <c r="AU369" s="757"/>
      <c r="AV369" s="757"/>
      <c r="AW369" s="757"/>
      <c r="AX369" s="757"/>
      <c r="AY369" s="757"/>
      <c r="AZ369" s="75"/>
      <c r="BA369" s="2"/>
      <c r="BB369" s="2"/>
      <c r="BC369" s="2"/>
      <c r="BD369" s="2"/>
    </row>
    <row r="370" spans="1:56">
      <c r="A370" s="781">
        <v>2</v>
      </c>
      <c r="B370" s="782">
        <v>182</v>
      </c>
      <c r="C370" s="783"/>
      <c r="D370" s="783" t="s">
        <v>572</v>
      </c>
      <c r="E370" s="808">
        <v>500</v>
      </c>
      <c r="F370" s="799"/>
      <c r="G370" s="799"/>
      <c r="H370" s="1592">
        <f t="shared" si="15"/>
        <v>0</v>
      </c>
      <c r="I370" s="754" t="str">
        <f>IFERROR(VLOOKUP(B370,Mychart!$A$125:$B$911,2,FALSE),"-")</f>
        <v>FAISAL EGY BUILD</v>
      </c>
      <c r="J370" s="753" t="str">
        <f t="shared" si="16"/>
        <v>-</v>
      </c>
      <c r="K370" s="1540">
        <f t="shared" si="17"/>
        <v>1900</v>
      </c>
      <c r="L370" s="757"/>
      <c r="M370" s="757"/>
      <c r="N370" s="757"/>
      <c r="O370" s="757"/>
      <c r="P370" s="757"/>
      <c r="Q370" s="757"/>
      <c r="R370" s="757"/>
      <c r="S370" s="757"/>
      <c r="T370" s="757"/>
      <c r="U370" s="757"/>
      <c r="V370" s="757"/>
      <c r="W370" s="757"/>
      <c r="X370" s="757"/>
      <c r="Y370" s="757"/>
      <c r="Z370" s="757"/>
      <c r="AA370" s="757"/>
      <c r="AB370" s="757"/>
      <c r="AC370" s="757"/>
      <c r="AD370" s="757"/>
      <c r="AE370" s="757"/>
      <c r="AF370" s="757"/>
      <c r="AG370" s="757"/>
      <c r="AH370" s="757"/>
      <c r="AI370" s="757"/>
      <c r="AJ370" s="757"/>
      <c r="AK370" s="757"/>
      <c r="AL370" s="757"/>
      <c r="AM370" s="757"/>
      <c r="AN370" s="757"/>
      <c r="AO370" s="757"/>
      <c r="AP370" s="757"/>
      <c r="AQ370" s="757"/>
      <c r="AR370" s="757"/>
      <c r="AS370" s="757"/>
      <c r="AT370" s="757"/>
      <c r="AU370" s="757"/>
      <c r="AV370" s="757"/>
      <c r="AW370" s="757"/>
      <c r="AX370" s="757"/>
      <c r="AY370" s="757"/>
      <c r="AZ370" s="75"/>
      <c r="BA370" s="2"/>
      <c r="BB370" s="2"/>
      <c r="BC370" s="2"/>
      <c r="BD370" s="2"/>
    </row>
    <row r="371" spans="1:56">
      <c r="A371" s="781">
        <v>1</v>
      </c>
      <c r="B371" s="782">
        <v>239</v>
      </c>
      <c r="C371" s="783">
        <v>45145</v>
      </c>
      <c r="D371" s="786" t="s">
        <v>578</v>
      </c>
      <c r="E371" s="807"/>
      <c r="F371" s="798">
        <v>9500</v>
      </c>
      <c r="G371" s="798">
        <v>475</v>
      </c>
      <c r="H371" s="1592">
        <f t="shared" si="15"/>
        <v>9975</v>
      </c>
      <c r="I371" s="754" t="str">
        <f>IFERROR(VLOOKUP(B371,Mychart!$A$125:$B$911,2,FALSE),"-")</f>
        <v>FAISAL  JASEEM - DIAGRAM</v>
      </c>
      <c r="J371" s="753">
        <f t="shared" si="16"/>
        <v>8</v>
      </c>
      <c r="K371" s="1540">
        <f t="shared" si="17"/>
        <v>2023</v>
      </c>
      <c r="L371" s="757"/>
      <c r="M371" s="757"/>
      <c r="N371" s="757"/>
      <c r="O371" s="757"/>
      <c r="P371" s="757"/>
      <c r="Q371" s="757"/>
      <c r="R371" s="757"/>
      <c r="S371" s="757"/>
      <c r="T371" s="757"/>
      <c r="U371" s="757"/>
      <c r="V371" s="757"/>
      <c r="W371" s="757"/>
      <c r="X371" s="757"/>
      <c r="Y371" s="757"/>
      <c r="Z371" s="757"/>
      <c r="AA371" s="757"/>
      <c r="AB371" s="757"/>
      <c r="AC371" s="757"/>
      <c r="AD371" s="757"/>
      <c r="AE371" s="757"/>
      <c r="AF371" s="757"/>
      <c r="AG371" s="757"/>
      <c r="AH371" s="757"/>
      <c r="AI371" s="757"/>
      <c r="AJ371" s="757"/>
      <c r="AK371" s="757"/>
      <c r="AL371" s="757"/>
      <c r="AM371" s="757"/>
      <c r="AN371" s="757"/>
      <c r="AO371" s="757"/>
      <c r="AP371" s="757"/>
      <c r="AQ371" s="757"/>
      <c r="AR371" s="757"/>
      <c r="AS371" s="757"/>
      <c r="AT371" s="757"/>
      <c r="AU371" s="757"/>
      <c r="AV371" s="757"/>
      <c r="AW371" s="757"/>
      <c r="AX371" s="757"/>
      <c r="AY371" s="757"/>
      <c r="AZ371" s="75"/>
      <c r="BA371" s="2"/>
      <c r="BB371" s="2"/>
      <c r="BC371" s="2"/>
      <c r="BD371" s="2"/>
    </row>
    <row r="372" spans="1:56">
      <c r="A372" s="781">
        <v>1</v>
      </c>
      <c r="B372" s="782">
        <v>239</v>
      </c>
      <c r="C372" s="783">
        <v>45209</v>
      </c>
      <c r="D372" s="784" t="s">
        <v>579</v>
      </c>
      <c r="E372" s="807"/>
      <c r="F372" s="798">
        <v>19047.619047619046</v>
      </c>
      <c r="G372" s="798">
        <v>952.38095238095411</v>
      </c>
      <c r="H372" s="1592">
        <f t="shared" si="15"/>
        <v>20000</v>
      </c>
      <c r="I372" s="754" t="str">
        <f>IFERROR(VLOOKUP(B372,Mychart!$A$125:$B$911,2,FALSE),"-")</f>
        <v>FAISAL  JASEEM - DIAGRAM</v>
      </c>
      <c r="J372" s="753">
        <f t="shared" si="16"/>
        <v>10</v>
      </c>
      <c r="K372" s="1540">
        <f t="shared" si="17"/>
        <v>2023</v>
      </c>
      <c r="L372" s="757"/>
      <c r="M372" s="757"/>
      <c r="N372" s="757"/>
      <c r="O372" s="757"/>
      <c r="P372" s="757"/>
      <c r="Q372" s="757"/>
      <c r="R372" s="757"/>
      <c r="S372" s="757"/>
      <c r="T372" s="757"/>
      <c r="U372" s="757"/>
      <c r="V372" s="757"/>
      <c r="W372" s="757"/>
      <c r="X372" s="757"/>
      <c r="Y372" s="757"/>
      <c r="Z372" s="757"/>
      <c r="AA372" s="757"/>
      <c r="AB372" s="757"/>
      <c r="AC372" s="757"/>
      <c r="AD372" s="757"/>
      <c r="AE372" s="757"/>
      <c r="AF372" s="757"/>
      <c r="AG372" s="757"/>
      <c r="AH372" s="757"/>
      <c r="AI372" s="757"/>
      <c r="AJ372" s="757"/>
      <c r="AK372" s="757"/>
      <c r="AL372" s="757"/>
      <c r="AM372" s="757"/>
      <c r="AN372" s="757"/>
      <c r="AO372" s="757"/>
      <c r="AP372" s="757"/>
      <c r="AQ372" s="757"/>
      <c r="AR372" s="757"/>
      <c r="AS372" s="757"/>
      <c r="AT372" s="757"/>
      <c r="AU372" s="757"/>
      <c r="AV372" s="757"/>
      <c r="AW372" s="757"/>
      <c r="AX372" s="757"/>
      <c r="AY372" s="757"/>
      <c r="AZ372" s="75"/>
      <c r="BA372" s="2"/>
      <c r="BB372" s="2"/>
      <c r="BC372" s="2"/>
      <c r="BD372" s="2"/>
    </row>
    <row r="373" spans="1:56">
      <c r="A373" s="781">
        <v>1</v>
      </c>
      <c r="B373" s="782">
        <v>239</v>
      </c>
      <c r="C373" s="783">
        <v>45265</v>
      </c>
      <c r="D373" s="784" t="s">
        <v>580</v>
      </c>
      <c r="E373" s="807"/>
      <c r="F373" s="798">
        <v>56952.380952380947</v>
      </c>
      <c r="G373" s="798">
        <v>2847.6190476190532</v>
      </c>
      <c r="H373" s="1592">
        <f t="shared" si="15"/>
        <v>59800</v>
      </c>
      <c r="I373" s="754" t="str">
        <f>IFERROR(VLOOKUP(B373,Mychart!$A$125:$B$911,2,FALSE),"-")</f>
        <v>FAISAL  JASEEM - DIAGRAM</v>
      </c>
      <c r="J373" s="753">
        <f t="shared" si="16"/>
        <v>12</v>
      </c>
      <c r="K373" s="1540">
        <f t="shared" si="17"/>
        <v>2023</v>
      </c>
      <c r="L373" s="757"/>
      <c r="M373" s="757"/>
      <c r="N373" s="757"/>
      <c r="O373" s="757"/>
      <c r="P373" s="757"/>
      <c r="Q373" s="757"/>
      <c r="R373" s="757"/>
      <c r="S373" s="757"/>
      <c r="T373" s="757"/>
      <c r="U373" s="757"/>
      <c r="V373" s="757"/>
      <c r="W373" s="757"/>
      <c r="X373" s="757"/>
      <c r="Y373" s="757"/>
      <c r="Z373" s="757"/>
      <c r="AA373" s="757"/>
      <c r="AB373" s="757"/>
      <c r="AC373" s="757"/>
      <c r="AD373" s="757"/>
      <c r="AE373" s="757"/>
      <c r="AF373" s="757"/>
      <c r="AG373" s="757"/>
      <c r="AH373" s="757"/>
      <c r="AI373" s="757"/>
      <c r="AJ373" s="757"/>
      <c r="AK373" s="757"/>
      <c r="AL373" s="757"/>
      <c r="AM373" s="757"/>
      <c r="AN373" s="757"/>
      <c r="AO373" s="757"/>
      <c r="AP373" s="757"/>
      <c r="AQ373" s="757"/>
      <c r="AR373" s="757"/>
      <c r="AS373" s="757"/>
      <c r="AT373" s="757"/>
      <c r="AU373" s="757"/>
      <c r="AV373" s="757"/>
      <c r="AW373" s="757"/>
      <c r="AX373" s="757"/>
      <c r="AY373" s="757"/>
      <c r="AZ373" s="75"/>
      <c r="BA373" s="2"/>
      <c r="BB373" s="2"/>
      <c r="BC373" s="2"/>
      <c r="BD373" s="2"/>
    </row>
    <row r="374" spans="1:56">
      <c r="A374" s="781">
        <v>2</v>
      </c>
      <c r="B374" s="782">
        <v>239</v>
      </c>
      <c r="C374" s="783">
        <v>45145</v>
      </c>
      <c r="D374" s="783" t="s">
        <v>182</v>
      </c>
      <c r="E374" s="808">
        <v>4750</v>
      </c>
      <c r="F374" s="799"/>
      <c r="G374" s="799"/>
      <c r="H374" s="1592">
        <f t="shared" si="15"/>
        <v>0</v>
      </c>
      <c r="I374" s="754" t="str">
        <f>IFERROR(VLOOKUP(B374,Mychart!$A$125:$B$911,2,FALSE),"-")</f>
        <v>FAISAL  JASEEM - DIAGRAM</v>
      </c>
      <c r="J374" s="753">
        <f t="shared" si="16"/>
        <v>8</v>
      </c>
      <c r="K374" s="1540">
        <f t="shared" si="17"/>
        <v>2023</v>
      </c>
      <c r="L374" s="757"/>
      <c r="M374" s="757"/>
      <c r="N374" s="757"/>
      <c r="O374" s="757"/>
      <c r="P374" s="757"/>
      <c r="Q374" s="757"/>
      <c r="R374" s="757"/>
      <c r="S374" s="757"/>
      <c r="T374" s="757"/>
      <c r="U374" s="757"/>
      <c r="V374" s="757"/>
      <c r="W374" s="757"/>
      <c r="X374" s="757"/>
      <c r="Y374" s="757"/>
      <c r="Z374" s="757"/>
      <c r="AA374" s="757"/>
      <c r="AB374" s="757"/>
      <c r="AC374" s="757"/>
      <c r="AD374" s="757"/>
      <c r="AE374" s="757"/>
      <c r="AF374" s="757"/>
      <c r="AG374" s="757"/>
      <c r="AH374" s="757"/>
      <c r="AI374" s="757"/>
      <c r="AJ374" s="757"/>
      <c r="AK374" s="757"/>
      <c r="AL374" s="757"/>
      <c r="AM374" s="757"/>
      <c r="AN374" s="757"/>
      <c r="AO374" s="757"/>
      <c r="AP374" s="757"/>
      <c r="AQ374" s="757"/>
      <c r="AR374" s="757"/>
      <c r="AS374" s="757"/>
      <c r="AT374" s="757"/>
      <c r="AU374" s="757"/>
      <c r="AV374" s="757"/>
      <c r="AW374" s="757"/>
      <c r="AX374" s="757"/>
      <c r="AY374" s="757"/>
      <c r="AZ374" s="75"/>
      <c r="BA374" s="2"/>
      <c r="BB374" s="2"/>
      <c r="BC374" s="2"/>
      <c r="BD374" s="2"/>
    </row>
    <row r="375" spans="1:56">
      <c r="A375" s="781">
        <v>2</v>
      </c>
      <c r="B375" s="782">
        <v>239</v>
      </c>
      <c r="C375" s="783"/>
      <c r="D375" s="783" t="s">
        <v>183</v>
      </c>
      <c r="E375" s="808">
        <v>500</v>
      </c>
      <c r="F375" s="799"/>
      <c r="G375" s="799"/>
      <c r="H375" s="1592">
        <f t="shared" si="15"/>
        <v>0</v>
      </c>
      <c r="I375" s="754" t="str">
        <f>IFERROR(VLOOKUP(B375,Mychart!$A$125:$B$911,2,FALSE),"-")</f>
        <v>FAISAL  JASEEM - DIAGRAM</v>
      </c>
      <c r="J375" s="753" t="str">
        <f t="shared" si="16"/>
        <v>-</v>
      </c>
      <c r="K375" s="1540">
        <f t="shared" si="17"/>
        <v>1900</v>
      </c>
      <c r="L375" s="757"/>
      <c r="M375" s="757"/>
      <c r="N375" s="757"/>
      <c r="O375" s="757"/>
      <c r="P375" s="757"/>
      <c r="Q375" s="757"/>
      <c r="R375" s="757"/>
      <c r="S375" s="757"/>
      <c r="T375" s="757"/>
      <c r="U375" s="757"/>
      <c r="V375" s="757"/>
      <c r="W375" s="757"/>
      <c r="X375" s="757"/>
      <c r="Y375" s="757"/>
      <c r="Z375" s="757"/>
      <c r="AA375" s="757"/>
      <c r="AB375" s="757"/>
      <c r="AC375" s="757"/>
      <c r="AD375" s="757"/>
      <c r="AE375" s="757"/>
      <c r="AF375" s="757"/>
      <c r="AG375" s="757"/>
      <c r="AH375" s="757"/>
      <c r="AI375" s="757"/>
      <c r="AJ375" s="757"/>
      <c r="AK375" s="757"/>
      <c r="AL375" s="757"/>
      <c r="AM375" s="757"/>
      <c r="AN375" s="757"/>
      <c r="AO375" s="757"/>
      <c r="AP375" s="757"/>
      <c r="AQ375" s="757"/>
      <c r="AR375" s="757"/>
      <c r="AS375" s="757"/>
      <c r="AT375" s="757"/>
      <c r="AU375" s="757"/>
      <c r="AV375" s="757"/>
      <c r="AW375" s="757"/>
      <c r="AX375" s="757"/>
      <c r="AY375" s="757"/>
      <c r="AZ375" s="75"/>
      <c r="BA375" s="2"/>
      <c r="BB375" s="2"/>
      <c r="BC375" s="2"/>
      <c r="BD375" s="2"/>
    </row>
    <row r="376" spans="1:56">
      <c r="A376" s="781">
        <v>2</v>
      </c>
      <c r="B376" s="782">
        <v>239</v>
      </c>
      <c r="C376" s="783">
        <v>45190</v>
      </c>
      <c r="D376" s="783" t="s">
        <v>258</v>
      </c>
      <c r="E376" s="808">
        <v>3362</v>
      </c>
      <c r="F376" s="799"/>
      <c r="G376" s="799"/>
      <c r="H376" s="1592">
        <f t="shared" si="15"/>
        <v>0</v>
      </c>
      <c r="I376" s="754" t="str">
        <f>IFERROR(VLOOKUP(B376,Mychart!$A$125:$B$911,2,FALSE),"-")</f>
        <v>FAISAL  JASEEM - DIAGRAM</v>
      </c>
      <c r="J376" s="753">
        <f t="shared" si="16"/>
        <v>9</v>
      </c>
      <c r="K376" s="1540">
        <f t="shared" si="17"/>
        <v>2023</v>
      </c>
      <c r="L376" s="757"/>
      <c r="M376" s="757"/>
      <c r="N376" s="757"/>
      <c r="O376" s="757"/>
      <c r="P376" s="757"/>
      <c r="Q376" s="757"/>
      <c r="R376" s="757"/>
      <c r="S376" s="757"/>
      <c r="T376" s="757"/>
      <c r="U376" s="757"/>
      <c r="V376" s="757"/>
      <c r="W376" s="757"/>
      <c r="X376" s="757"/>
      <c r="Y376" s="757"/>
      <c r="Z376" s="757"/>
      <c r="AA376" s="757"/>
      <c r="AB376" s="757"/>
      <c r="AC376" s="757"/>
      <c r="AD376" s="757"/>
      <c r="AE376" s="757"/>
      <c r="AF376" s="757"/>
      <c r="AG376" s="757"/>
      <c r="AH376" s="757"/>
      <c r="AI376" s="757"/>
      <c r="AJ376" s="757"/>
      <c r="AK376" s="757"/>
      <c r="AL376" s="757"/>
      <c r="AM376" s="757"/>
      <c r="AN376" s="757"/>
      <c r="AO376" s="757"/>
      <c r="AP376" s="757"/>
      <c r="AQ376" s="757"/>
      <c r="AR376" s="757"/>
      <c r="AS376" s="757"/>
      <c r="AT376" s="757"/>
      <c r="AU376" s="757"/>
      <c r="AV376" s="757"/>
      <c r="AW376" s="757"/>
      <c r="AX376" s="757"/>
      <c r="AY376" s="757"/>
      <c r="AZ376" s="75"/>
      <c r="BA376" s="2"/>
      <c r="BB376" s="2"/>
      <c r="BC376" s="2"/>
      <c r="BD376" s="2"/>
    </row>
    <row r="377" spans="1:56">
      <c r="A377" s="781">
        <v>2</v>
      </c>
      <c r="B377" s="782">
        <v>239</v>
      </c>
      <c r="C377" s="783">
        <v>45208</v>
      </c>
      <c r="D377" s="783" t="s">
        <v>177</v>
      </c>
      <c r="E377" s="808">
        <v>2578</v>
      </c>
      <c r="F377" s="799"/>
      <c r="G377" s="799"/>
      <c r="H377" s="1592">
        <f t="shared" si="15"/>
        <v>0</v>
      </c>
      <c r="I377" s="754" t="str">
        <f>IFERROR(VLOOKUP(B377,Mychart!$A$125:$B$911,2,FALSE),"-")</f>
        <v>FAISAL  JASEEM - DIAGRAM</v>
      </c>
      <c r="J377" s="753">
        <f t="shared" si="16"/>
        <v>10</v>
      </c>
      <c r="K377" s="1540">
        <f t="shared" si="17"/>
        <v>2023</v>
      </c>
      <c r="L377" s="757"/>
      <c r="M377" s="757"/>
      <c r="N377" s="757"/>
      <c r="O377" s="757"/>
      <c r="P377" s="757"/>
      <c r="Q377" s="757"/>
      <c r="R377" s="757"/>
      <c r="S377" s="757"/>
      <c r="T377" s="757"/>
      <c r="U377" s="757"/>
      <c r="V377" s="757"/>
      <c r="W377" s="757"/>
      <c r="X377" s="757"/>
      <c r="Y377" s="757"/>
      <c r="Z377" s="757"/>
      <c r="AA377" s="757"/>
      <c r="AB377" s="757"/>
      <c r="AC377" s="757"/>
      <c r="AD377" s="757"/>
      <c r="AE377" s="757"/>
      <c r="AF377" s="757"/>
      <c r="AG377" s="757"/>
      <c r="AH377" s="757"/>
      <c r="AI377" s="757"/>
      <c r="AJ377" s="757"/>
      <c r="AK377" s="757"/>
      <c r="AL377" s="757"/>
      <c r="AM377" s="757"/>
      <c r="AN377" s="757"/>
      <c r="AO377" s="757"/>
      <c r="AP377" s="757"/>
      <c r="AQ377" s="757"/>
      <c r="AR377" s="757"/>
      <c r="AS377" s="757"/>
      <c r="AT377" s="757"/>
      <c r="AU377" s="757"/>
      <c r="AV377" s="757"/>
      <c r="AW377" s="757"/>
      <c r="AX377" s="757"/>
      <c r="AY377" s="757"/>
      <c r="AZ377" s="75"/>
      <c r="BA377" s="2"/>
      <c r="BB377" s="2"/>
      <c r="BC377" s="2"/>
      <c r="BD377" s="2"/>
    </row>
    <row r="378" spans="1:56">
      <c r="A378" s="781">
        <v>2</v>
      </c>
      <c r="B378" s="782">
        <v>239</v>
      </c>
      <c r="C378" s="783">
        <v>45209</v>
      </c>
      <c r="D378" s="783" t="s">
        <v>581</v>
      </c>
      <c r="E378" s="808">
        <v>15210</v>
      </c>
      <c r="F378" s="799"/>
      <c r="G378" s="799"/>
      <c r="H378" s="1592">
        <f t="shared" si="15"/>
        <v>0</v>
      </c>
      <c r="I378" s="754" t="str">
        <f>IFERROR(VLOOKUP(B378,Mychart!$A$125:$B$911,2,FALSE),"-")</f>
        <v>FAISAL  JASEEM - DIAGRAM</v>
      </c>
      <c r="J378" s="753">
        <f t="shared" si="16"/>
        <v>10</v>
      </c>
      <c r="K378" s="1540">
        <f t="shared" si="17"/>
        <v>2023</v>
      </c>
      <c r="L378" s="757"/>
      <c r="M378" s="757"/>
      <c r="N378" s="757"/>
      <c r="O378" s="757"/>
      <c r="P378" s="757"/>
      <c r="Q378" s="757"/>
      <c r="R378" s="757"/>
      <c r="S378" s="757"/>
      <c r="T378" s="757"/>
      <c r="U378" s="757"/>
      <c r="V378" s="757"/>
      <c r="W378" s="757"/>
      <c r="X378" s="757"/>
      <c r="Y378" s="757"/>
      <c r="Z378" s="757"/>
      <c r="AA378" s="757"/>
      <c r="AB378" s="757"/>
      <c r="AC378" s="757"/>
      <c r="AD378" s="757"/>
      <c r="AE378" s="757"/>
      <c r="AF378" s="757"/>
      <c r="AG378" s="757"/>
      <c r="AH378" s="757"/>
      <c r="AI378" s="757"/>
      <c r="AJ378" s="757"/>
      <c r="AK378" s="757"/>
      <c r="AL378" s="757"/>
      <c r="AM378" s="757"/>
      <c r="AN378" s="757"/>
      <c r="AO378" s="757"/>
      <c r="AP378" s="757"/>
      <c r="AQ378" s="757"/>
      <c r="AR378" s="757"/>
      <c r="AS378" s="757"/>
      <c r="AT378" s="757"/>
      <c r="AU378" s="757"/>
      <c r="AV378" s="757"/>
      <c r="AW378" s="757"/>
      <c r="AX378" s="757"/>
      <c r="AY378" s="757"/>
      <c r="AZ378" s="75"/>
      <c r="BA378" s="2"/>
      <c r="BB378" s="2"/>
      <c r="BC378" s="2"/>
      <c r="BD378" s="2"/>
    </row>
    <row r="379" spans="1:56">
      <c r="A379" s="781">
        <v>2</v>
      </c>
      <c r="B379" s="782">
        <v>239</v>
      </c>
      <c r="C379" s="783">
        <v>45216</v>
      </c>
      <c r="D379" s="783" t="s">
        <v>380</v>
      </c>
      <c r="E379" s="808">
        <v>221</v>
      </c>
      <c r="F379" s="799"/>
      <c r="G379" s="799"/>
      <c r="H379" s="1592">
        <f t="shared" si="15"/>
        <v>0</v>
      </c>
      <c r="I379" s="754" t="str">
        <f>IFERROR(VLOOKUP(B379,Mychart!$A$125:$B$911,2,FALSE),"-")</f>
        <v>FAISAL  JASEEM - DIAGRAM</v>
      </c>
      <c r="J379" s="753">
        <f t="shared" si="16"/>
        <v>10</v>
      </c>
      <c r="K379" s="1540">
        <f t="shared" si="17"/>
        <v>2023</v>
      </c>
      <c r="L379" s="757"/>
      <c r="M379" s="757"/>
      <c r="N379" s="757"/>
      <c r="O379" s="757"/>
      <c r="P379" s="757"/>
      <c r="Q379" s="757"/>
      <c r="R379" s="757"/>
      <c r="S379" s="757"/>
      <c r="T379" s="757"/>
      <c r="U379" s="757"/>
      <c r="V379" s="757"/>
      <c r="W379" s="757"/>
      <c r="X379" s="757"/>
      <c r="Y379" s="757"/>
      <c r="Z379" s="757"/>
      <c r="AA379" s="757"/>
      <c r="AB379" s="757"/>
      <c r="AC379" s="757"/>
      <c r="AD379" s="757"/>
      <c r="AE379" s="757"/>
      <c r="AF379" s="757"/>
      <c r="AG379" s="757"/>
      <c r="AH379" s="757"/>
      <c r="AI379" s="757"/>
      <c r="AJ379" s="757"/>
      <c r="AK379" s="757"/>
      <c r="AL379" s="757"/>
      <c r="AM379" s="757"/>
      <c r="AN379" s="757"/>
      <c r="AO379" s="757"/>
      <c r="AP379" s="757"/>
      <c r="AQ379" s="757"/>
      <c r="AR379" s="757"/>
      <c r="AS379" s="757"/>
      <c r="AT379" s="757"/>
      <c r="AU379" s="757"/>
      <c r="AV379" s="757"/>
      <c r="AW379" s="757"/>
      <c r="AX379" s="757"/>
      <c r="AY379" s="757"/>
      <c r="AZ379" s="75"/>
      <c r="BA379" s="2"/>
      <c r="BB379" s="2"/>
      <c r="BC379" s="2"/>
      <c r="BD379" s="2"/>
    </row>
    <row r="380" spans="1:56">
      <c r="A380" s="781">
        <v>2</v>
      </c>
      <c r="B380" s="782">
        <v>239</v>
      </c>
      <c r="C380" s="783">
        <v>45216</v>
      </c>
      <c r="D380" s="783" t="s">
        <v>380</v>
      </c>
      <c r="E380" s="808">
        <v>228</v>
      </c>
      <c r="F380" s="799"/>
      <c r="G380" s="799"/>
      <c r="H380" s="1592">
        <f t="shared" si="15"/>
        <v>0</v>
      </c>
      <c r="I380" s="754" t="str">
        <f>IFERROR(VLOOKUP(B380,Mychart!$A$125:$B$911,2,FALSE),"-")</f>
        <v>FAISAL  JASEEM - DIAGRAM</v>
      </c>
      <c r="J380" s="753">
        <f t="shared" si="16"/>
        <v>10</v>
      </c>
      <c r="K380" s="1540">
        <f t="shared" si="17"/>
        <v>2023</v>
      </c>
      <c r="L380" s="757"/>
      <c r="M380" s="757"/>
      <c r="N380" s="757"/>
      <c r="O380" s="757"/>
      <c r="P380" s="757"/>
      <c r="Q380" s="757"/>
      <c r="R380" s="757"/>
      <c r="S380" s="757"/>
      <c r="T380" s="757"/>
      <c r="U380" s="757"/>
      <c r="V380" s="757"/>
      <c r="W380" s="757"/>
      <c r="X380" s="757"/>
      <c r="Y380" s="757"/>
      <c r="Z380" s="757"/>
      <c r="AA380" s="757"/>
      <c r="AB380" s="757"/>
      <c r="AC380" s="757"/>
      <c r="AD380" s="757"/>
      <c r="AE380" s="757"/>
      <c r="AF380" s="757"/>
      <c r="AG380" s="757"/>
      <c r="AH380" s="757"/>
      <c r="AI380" s="757"/>
      <c r="AJ380" s="757"/>
      <c r="AK380" s="757"/>
      <c r="AL380" s="757"/>
      <c r="AM380" s="757"/>
      <c r="AN380" s="757"/>
      <c r="AO380" s="757"/>
      <c r="AP380" s="757"/>
      <c r="AQ380" s="757"/>
      <c r="AR380" s="757"/>
      <c r="AS380" s="757"/>
      <c r="AT380" s="757"/>
      <c r="AU380" s="757"/>
      <c r="AV380" s="757"/>
      <c r="AW380" s="757"/>
      <c r="AX380" s="757"/>
      <c r="AY380" s="757"/>
      <c r="AZ380" s="75"/>
      <c r="BA380" s="2"/>
      <c r="BB380" s="2"/>
      <c r="BC380" s="2"/>
      <c r="BD380" s="2"/>
    </row>
    <row r="381" spans="1:56">
      <c r="A381" s="781">
        <v>2</v>
      </c>
      <c r="B381" s="782">
        <v>239</v>
      </c>
      <c r="C381" s="783">
        <v>45211</v>
      </c>
      <c r="D381" s="783" t="s">
        <v>380</v>
      </c>
      <c r="E381" s="808">
        <v>820</v>
      </c>
      <c r="F381" s="799"/>
      <c r="G381" s="799"/>
      <c r="H381" s="1592">
        <f t="shared" si="15"/>
        <v>0</v>
      </c>
      <c r="I381" s="754" t="str">
        <f>IFERROR(VLOOKUP(B381,Mychart!$A$125:$B$911,2,FALSE),"-")</f>
        <v>FAISAL  JASEEM - DIAGRAM</v>
      </c>
      <c r="J381" s="753">
        <f t="shared" si="16"/>
        <v>10</v>
      </c>
      <c r="K381" s="1540">
        <f t="shared" si="17"/>
        <v>2023</v>
      </c>
      <c r="L381" s="757"/>
      <c r="M381" s="757"/>
      <c r="N381" s="757"/>
      <c r="O381" s="757"/>
      <c r="P381" s="757"/>
      <c r="Q381" s="757"/>
      <c r="R381" s="757"/>
      <c r="S381" s="757"/>
      <c r="T381" s="757"/>
      <c r="U381" s="757"/>
      <c r="V381" s="757"/>
      <c r="W381" s="757"/>
      <c r="X381" s="757"/>
      <c r="Y381" s="757"/>
      <c r="Z381" s="757"/>
      <c r="AA381" s="757"/>
      <c r="AB381" s="757"/>
      <c r="AC381" s="757"/>
      <c r="AD381" s="757"/>
      <c r="AE381" s="757"/>
      <c r="AF381" s="757"/>
      <c r="AG381" s="757"/>
      <c r="AH381" s="757"/>
      <c r="AI381" s="757"/>
      <c r="AJ381" s="757"/>
      <c r="AK381" s="757"/>
      <c r="AL381" s="757"/>
      <c r="AM381" s="757"/>
      <c r="AN381" s="757"/>
      <c r="AO381" s="757"/>
      <c r="AP381" s="757"/>
      <c r="AQ381" s="757"/>
      <c r="AR381" s="757"/>
      <c r="AS381" s="757"/>
      <c r="AT381" s="757"/>
      <c r="AU381" s="757"/>
      <c r="AV381" s="757"/>
      <c r="AW381" s="757"/>
      <c r="AX381" s="757"/>
      <c r="AY381" s="757"/>
      <c r="AZ381" s="75"/>
      <c r="BA381" s="2"/>
      <c r="BB381" s="2"/>
      <c r="BC381" s="2"/>
      <c r="BD381" s="2"/>
    </row>
    <row r="382" spans="1:56">
      <c r="A382" s="781">
        <v>2</v>
      </c>
      <c r="B382" s="782">
        <v>239</v>
      </c>
      <c r="C382" s="783">
        <v>45236</v>
      </c>
      <c r="D382" s="783" t="s">
        <v>177</v>
      </c>
      <c r="E382" s="808">
        <v>2414</v>
      </c>
      <c r="F382" s="799"/>
      <c r="G382" s="799"/>
      <c r="H382" s="1592">
        <f t="shared" si="15"/>
        <v>0</v>
      </c>
      <c r="I382" s="754" t="str">
        <f>IFERROR(VLOOKUP(B382,Mychart!$A$125:$B$911,2,FALSE),"-")</f>
        <v>FAISAL  JASEEM - DIAGRAM</v>
      </c>
      <c r="J382" s="753">
        <f t="shared" si="16"/>
        <v>11</v>
      </c>
      <c r="K382" s="1540">
        <f t="shared" si="17"/>
        <v>2023</v>
      </c>
      <c r="L382" s="757"/>
      <c r="M382" s="757"/>
      <c r="N382" s="757"/>
      <c r="O382" s="757"/>
      <c r="P382" s="757"/>
      <c r="Q382" s="757"/>
      <c r="R382" s="757"/>
      <c r="S382" s="757"/>
      <c r="T382" s="757"/>
      <c r="U382" s="757"/>
      <c r="V382" s="757"/>
      <c r="W382" s="757"/>
      <c r="X382" s="757"/>
      <c r="Y382" s="757"/>
      <c r="Z382" s="757"/>
      <c r="AA382" s="757"/>
      <c r="AB382" s="757"/>
      <c r="AC382" s="757"/>
      <c r="AD382" s="757"/>
      <c r="AE382" s="757"/>
      <c r="AF382" s="757"/>
      <c r="AG382" s="757"/>
      <c r="AH382" s="757"/>
      <c r="AI382" s="757"/>
      <c r="AJ382" s="757"/>
      <c r="AK382" s="757"/>
      <c r="AL382" s="757"/>
      <c r="AM382" s="757"/>
      <c r="AN382" s="757"/>
      <c r="AO382" s="757"/>
      <c r="AP382" s="757"/>
      <c r="AQ382" s="757"/>
      <c r="AR382" s="757"/>
      <c r="AS382" s="757"/>
      <c r="AT382" s="757"/>
      <c r="AU382" s="757"/>
      <c r="AV382" s="757"/>
      <c r="AW382" s="757"/>
      <c r="AX382" s="757"/>
      <c r="AY382" s="757"/>
      <c r="AZ382" s="75"/>
      <c r="BA382" s="2"/>
      <c r="BB382" s="2"/>
      <c r="BC382" s="2"/>
      <c r="BD382" s="2"/>
    </row>
    <row r="383" spans="1:56">
      <c r="A383" s="781">
        <v>2</v>
      </c>
      <c r="B383" s="782">
        <v>239</v>
      </c>
      <c r="C383" s="783">
        <v>45271</v>
      </c>
      <c r="D383" s="783" t="s">
        <v>582</v>
      </c>
      <c r="E383" s="808">
        <v>30691.5</v>
      </c>
      <c r="F383" s="799"/>
      <c r="G383" s="799"/>
      <c r="H383" s="1592">
        <f t="shared" si="15"/>
        <v>0</v>
      </c>
      <c r="I383" s="754" t="str">
        <f>IFERROR(VLOOKUP(B383,Mychart!$A$125:$B$911,2,FALSE),"-")</f>
        <v>FAISAL  JASEEM - DIAGRAM</v>
      </c>
      <c r="J383" s="753">
        <f t="shared" si="16"/>
        <v>12</v>
      </c>
      <c r="K383" s="1540">
        <f t="shared" si="17"/>
        <v>2023</v>
      </c>
      <c r="L383" s="757"/>
      <c r="M383" s="757"/>
      <c r="N383" s="757"/>
      <c r="O383" s="757"/>
      <c r="P383" s="757"/>
      <c r="Q383" s="757"/>
      <c r="R383" s="757"/>
      <c r="S383" s="757"/>
      <c r="T383" s="757"/>
      <c r="U383" s="757"/>
      <c r="V383" s="757"/>
      <c r="W383" s="757"/>
      <c r="X383" s="757"/>
      <c r="Y383" s="757"/>
      <c r="Z383" s="757"/>
      <c r="AA383" s="757"/>
      <c r="AB383" s="757"/>
      <c r="AC383" s="757"/>
      <c r="AD383" s="757"/>
      <c r="AE383" s="757"/>
      <c r="AF383" s="757"/>
      <c r="AG383" s="757"/>
      <c r="AH383" s="757"/>
      <c r="AI383" s="757"/>
      <c r="AJ383" s="757"/>
      <c r="AK383" s="757"/>
      <c r="AL383" s="757"/>
      <c r="AM383" s="757"/>
      <c r="AN383" s="757"/>
      <c r="AO383" s="757"/>
      <c r="AP383" s="757"/>
      <c r="AQ383" s="757"/>
      <c r="AR383" s="757"/>
      <c r="AS383" s="757"/>
      <c r="AT383" s="757"/>
      <c r="AU383" s="757"/>
      <c r="AV383" s="757"/>
      <c r="AW383" s="757"/>
      <c r="AX383" s="757"/>
      <c r="AY383" s="757"/>
      <c r="AZ383" s="75"/>
      <c r="BA383" s="2"/>
      <c r="BB383" s="2"/>
      <c r="BC383" s="2"/>
      <c r="BD383" s="2"/>
    </row>
    <row r="384" spans="1:56">
      <c r="A384" s="781">
        <v>2</v>
      </c>
      <c r="B384" s="782">
        <v>239</v>
      </c>
      <c r="C384" s="783">
        <v>45282</v>
      </c>
      <c r="D384" s="783" t="s">
        <v>224</v>
      </c>
      <c r="E384" s="808">
        <v>6016.5</v>
      </c>
      <c r="F384" s="799"/>
      <c r="G384" s="799"/>
      <c r="H384" s="1592">
        <f t="shared" si="15"/>
        <v>0</v>
      </c>
      <c r="I384" s="754" t="str">
        <f>IFERROR(VLOOKUP(B384,Mychart!$A$125:$B$911,2,FALSE),"-")</f>
        <v>FAISAL  JASEEM - DIAGRAM</v>
      </c>
      <c r="J384" s="753">
        <f t="shared" si="16"/>
        <v>12</v>
      </c>
      <c r="K384" s="1540">
        <f t="shared" si="17"/>
        <v>2023</v>
      </c>
      <c r="L384" s="757"/>
      <c r="M384" s="757"/>
      <c r="N384" s="757"/>
      <c r="O384" s="757"/>
      <c r="P384" s="757"/>
      <c r="Q384" s="757"/>
      <c r="R384" s="757"/>
      <c r="S384" s="757"/>
      <c r="T384" s="757"/>
      <c r="U384" s="757"/>
      <c r="V384" s="757"/>
      <c r="W384" s="757"/>
      <c r="X384" s="757"/>
      <c r="Y384" s="757"/>
      <c r="Z384" s="757"/>
      <c r="AA384" s="757"/>
      <c r="AB384" s="757"/>
      <c r="AC384" s="757"/>
      <c r="AD384" s="757"/>
      <c r="AE384" s="757"/>
      <c r="AF384" s="757"/>
      <c r="AG384" s="757"/>
      <c r="AH384" s="757"/>
      <c r="AI384" s="757"/>
      <c r="AJ384" s="757"/>
      <c r="AK384" s="757"/>
      <c r="AL384" s="757"/>
      <c r="AM384" s="757"/>
      <c r="AN384" s="757"/>
      <c r="AO384" s="757"/>
      <c r="AP384" s="757"/>
      <c r="AQ384" s="757"/>
      <c r="AR384" s="757"/>
      <c r="AS384" s="757"/>
      <c r="AT384" s="757"/>
      <c r="AU384" s="757"/>
      <c r="AV384" s="757"/>
      <c r="AW384" s="757"/>
      <c r="AX384" s="757"/>
      <c r="AY384" s="757"/>
      <c r="AZ384" s="75"/>
      <c r="BA384" s="2"/>
      <c r="BB384" s="2"/>
      <c r="BC384" s="2"/>
      <c r="BD384" s="2"/>
    </row>
    <row r="385" spans="1:56">
      <c r="A385" s="781">
        <v>2</v>
      </c>
      <c r="B385" s="782">
        <v>239</v>
      </c>
      <c r="C385" s="783">
        <v>45291</v>
      </c>
      <c r="D385" s="783" t="s">
        <v>177</v>
      </c>
      <c r="E385" s="808">
        <v>4767</v>
      </c>
      <c r="F385" s="799"/>
      <c r="G385" s="799"/>
      <c r="H385" s="1592">
        <f t="shared" si="15"/>
        <v>0</v>
      </c>
      <c r="I385" s="754" t="str">
        <f>IFERROR(VLOOKUP(B385,Mychart!$A$125:$B$911,2,FALSE),"-")</f>
        <v>FAISAL  JASEEM - DIAGRAM</v>
      </c>
      <c r="J385" s="753">
        <f t="shared" si="16"/>
        <v>12</v>
      </c>
      <c r="K385" s="1540">
        <f t="shared" si="17"/>
        <v>2023</v>
      </c>
      <c r="L385" s="757"/>
      <c r="M385" s="757"/>
      <c r="N385" s="757"/>
      <c r="O385" s="757"/>
      <c r="P385" s="757"/>
      <c r="Q385" s="757"/>
      <c r="R385" s="757"/>
      <c r="S385" s="757"/>
      <c r="T385" s="757"/>
      <c r="U385" s="757"/>
      <c r="V385" s="757"/>
      <c r="W385" s="757"/>
      <c r="X385" s="757"/>
      <c r="Y385" s="757"/>
      <c r="Z385" s="757"/>
      <c r="AA385" s="757"/>
      <c r="AB385" s="757"/>
      <c r="AC385" s="757"/>
      <c r="AD385" s="757"/>
      <c r="AE385" s="757"/>
      <c r="AF385" s="757"/>
      <c r="AG385" s="757"/>
      <c r="AH385" s="757"/>
      <c r="AI385" s="757"/>
      <c r="AJ385" s="757"/>
      <c r="AK385" s="757"/>
      <c r="AL385" s="757"/>
      <c r="AM385" s="757"/>
      <c r="AN385" s="757"/>
      <c r="AO385" s="757"/>
      <c r="AP385" s="757"/>
      <c r="AQ385" s="757"/>
      <c r="AR385" s="757"/>
      <c r="AS385" s="757"/>
      <c r="AT385" s="757"/>
      <c r="AU385" s="757"/>
      <c r="AV385" s="757"/>
      <c r="AW385" s="757"/>
      <c r="AX385" s="757"/>
      <c r="AY385" s="757"/>
      <c r="AZ385" s="75"/>
      <c r="BA385" s="2"/>
      <c r="BB385" s="2"/>
      <c r="BC385" s="2"/>
      <c r="BD385" s="2"/>
    </row>
    <row r="386" spans="1:56">
      <c r="A386" s="781">
        <v>2</v>
      </c>
      <c r="B386" s="782">
        <v>239</v>
      </c>
      <c r="C386" s="783">
        <v>45382</v>
      </c>
      <c r="D386" s="783" t="s">
        <v>177</v>
      </c>
      <c r="E386" s="808">
        <v>357</v>
      </c>
      <c r="F386" s="799"/>
      <c r="G386" s="799"/>
      <c r="H386" s="1592">
        <f t="shared" si="15"/>
        <v>0</v>
      </c>
      <c r="I386" s="754" t="str">
        <f>IFERROR(VLOOKUP(B386,Mychart!$A$125:$B$911,2,FALSE),"-")</f>
        <v>FAISAL  JASEEM - DIAGRAM</v>
      </c>
      <c r="J386" s="753">
        <f t="shared" si="16"/>
        <v>3</v>
      </c>
      <c r="K386" s="1540">
        <f t="shared" si="17"/>
        <v>2024</v>
      </c>
      <c r="L386" s="757"/>
      <c r="M386" s="757"/>
      <c r="N386" s="757"/>
      <c r="O386" s="757"/>
      <c r="P386" s="757"/>
      <c r="Q386" s="757"/>
      <c r="R386" s="757"/>
      <c r="S386" s="757"/>
      <c r="T386" s="757"/>
      <c r="U386" s="757"/>
      <c r="V386" s="757"/>
      <c r="W386" s="757"/>
      <c r="X386" s="757"/>
      <c r="Y386" s="757"/>
      <c r="Z386" s="757"/>
      <c r="AA386" s="757"/>
      <c r="AB386" s="757"/>
      <c r="AC386" s="757"/>
      <c r="AD386" s="757"/>
      <c r="AE386" s="757"/>
      <c r="AF386" s="757"/>
      <c r="AG386" s="757"/>
      <c r="AH386" s="757"/>
      <c r="AI386" s="757"/>
      <c r="AJ386" s="757"/>
      <c r="AK386" s="757"/>
      <c r="AL386" s="757"/>
      <c r="AM386" s="757"/>
      <c r="AN386" s="757"/>
      <c r="AO386" s="757"/>
      <c r="AP386" s="757"/>
      <c r="AQ386" s="757"/>
      <c r="AR386" s="757"/>
      <c r="AS386" s="757"/>
      <c r="AT386" s="757"/>
      <c r="AU386" s="757"/>
      <c r="AV386" s="757"/>
      <c r="AW386" s="757"/>
      <c r="AX386" s="757"/>
      <c r="AY386" s="757"/>
      <c r="AZ386" s="75"/>
      <c r="BA386" s="2"/>
      <c r="BB386" s="2"/>
      <c r="BC386" s="2"/>
      <c r="BD386" s="2"/>
    </row>
    <row r="387" spans="1:56">
      <c r="A387" s="781">
        <v>2</v>
      </c>
      <c r="B387" s="782">
        <v>239</v>
      </c>
      <c r="C387" s="783">
        <v>45442</v>
      </c>
      <c r="D387" s="783" t="s">
        <v>177</v>
      </c>
      <c r="E387" s="808">
        <v>165</v>
      </c>
      <c r="F387" s="799"/>
      <c r="G387" s="799"/>
      <c r="H387" s="1592">
        <f t="shared" si="15"/>
        <v>0</v>
      </c>
      <c r="I387" s="754" t="str">
        <f>IFERROR(VLOOKUP(B387,Mychart!$A$125:$B$911,2,FALSE),"-")</f>
        <v>FAISAL  JASEEM - DIAGRAM</v>
      </c>
      <c r="J387" s="753">
        <f t="shared" si="16"/>
        <v>5</v>
      </c>
      <c r="K387" s="1540">
        <f t="shared" si="17"/>
        <v>2024</v>
      </c>
      <c r="L387" s="757"/>
      <c r="M387" s="757"/>
      <c r="N387" s="757"/>
      <c r="O387" s="757"/>
      <c r="P387" s="757"/>
      <c r="Q387" s="757"/>
      <c r="R387" s="757"/>
      <c r="S387" s="757"/>
      <c r="T387" s="757"/>
      <c r="U387" s="757"/>
      <c r="V387" s="757"/>
      <c r="W387" s="757"/>
      <c r="X387" s="757"/>
      <c r="Y387" s="757"/>
      <c r="Z387" s="757"/>
      <c r="AA387" s="757"/>
      <c r="AB387" s="757"/>
      <c r="AC387" s="757"/>
      <c r="AD387" s="757"/>
      <c r="AE387" s="757"/>
      <c r="AF387" s="757"/>
      <c r="AG387" s="757"/>
      <c r="AH387" s="757"/>
      <c r="AI387" s="757"/>
      <c r="AJ387" s="757"/>
      <c r="AK387" s="757"/>
      <c r="AL387" s="757"/>
      <c r="AM387" s="757"/>
      <c r="AN387" s="757"/>
      <c r="AO387" s="757"/>
      <c r="AP387" s="757"/>
      <c r="AQ387" s="757"/>
      <c r="AR387" s="757"/>
      <c r="AS387" s="757"/>
      <c r="AT387" s="757"/>
      <c r="AU387" s="757"/>
      <c r="AV387" s="757"/>
      <c r="AW387" s="757"/>
      <c r="AX387" s="757"/>
      <c r="AY387" s="757"/>
      <c r="AZ387" s="75"/>
      <c r="BA387" s="2"/>
      <c r="BB387" s="2"/>
      <c r="BC387" s="2"/>
      <c r="BD387" s="2"/>
    </row>
    <row r="388" spans="1:56">
      <c r="A388" s="781">
        <v>2</v>
      </c>
      <c r="B388" s="782">
        <v>239</v>
      </c>
      <c r="C388" s="783" t="s">
        <v>563</v>
      </c>
      <c r="D388" s="783" t="s">
        <v>259</v>
      </c>
      <c r="E388" s="808">
        <v>2500</v>
      </c>
      <c r="F388" s="799"/>
      <c r="G388" s="799"/>
      <c r="H388" s="1592">
        <f t="shared" si="15"/>
        <v>0</v>
      </c>
      <c r="I388" s="754" t="str">
        <f>IFERROR(VLOOKUP(B388,Mychart!$A$125:$B$911,2,FALSE),"-")</f>
        <v>FAISAL  JASEEM - DIAGRAM</v>
      </c>
      <c r="J388" s="753">
        <f t="shared" si="16"/>
        <v>5</v>
      </c>
      <c r="K388" s="1540">
        <f t="shared" si="17"/>
        <v>2024</v>
      </c>
      <c r="L388" s="757"/>
      <c r="M388" s="757"/>
      <c r="N388" s="757"/>
      <c r="O388" s="757"/>
      <c r="P388" s="757"/>
      <c r="Q388" s="757"/>
      <c r="R388" s="757"/>
      <c r="S388" s="757"/>
      <c r="T388" s="757"/>
      <c r="U388" s="757"/>
      <c r="V388" s="757"/>
      <c r="W388" s="757"/>
      <c r="X388" s="757"/>
      <c r="Y388" s="757"/>
      <c r="Z388" s="757"/>
      <c r="AA388" s="757"/>
      <c r="AB388" s="757"/>
      <c r="AC388" s="757"/>
      <c r="AD388" s="757"/>
      <c r="AE388" s="757"/>
      <c r="AF388" s="757"/>
      <c r="AG388" s="757"/>
      <c r="AH388" s="757"/>
      <c r="AI388" s="757"/>
      <c r="AJ388" s="757"/>
      <c r="AK388" s="757"/>
      <c r="AL388" s="757"/>
      <c r="AM388" s="757"/>
      <c r="AN388" s="757"/>
      <c r="AO388" s="757"/>
      <c r="AP388" s="757"/>
      <c r="AQ388" s="757"/>
      <c r="AR388" s="757"/>
      <c r="AS388" s="757"/>
      <c r="AT388" s="757"/>
      <c r="AU388" s="757"/>
      <c r="AV388" s="757"/>
      <c r="AW388" s="757"/>
      <c r="AX388" s="757"/>
      <c r="AY388" s="757"/>
      <c r="AZ388" s="75"/>
      <c r="BA388" s="2"/>
      <c r="BB388" s="2"/>
      <c r="BC388" s="2"/>
      <c r="BD388" s="2"/>
    </row>
    <row r="389" spans="1:56">
      <c r="A389" s="781">
        <v>1</v>
      </c>
      <c r="B389" s="782">
        <v>230</v>
      </c>
      <c r="C389" s="783"/>
      <c r="D389" s="786" t="s">
        <v>588</v>
      </c>
      <c r="E389" s="807"/>
      <c r="F389" s="798">
        <v>30200</v>
      </c>
      <c r="G389" s="798">
        <v>1510</v>
      </c>
      <c r="H389" s="1592">
        <f t="shared" si="15"/>
        <v>31710</v>
      </c>
      <c r="I389" s="754" t="str">
        <f>IFERROR(VLOOKUP(B389,Mychart!$A$125:$B$911,2,FALSE),"-")</f>
        <v>FARES MOHAMED - ANAAB</v>
      </c>
      <c r="J389" s="753" t="str">
        <f t="shared" si="16"/>
        <v>-</v>
      </c>
      <c r="K389" s="1540">
        <f t="shared" si="17"/>
        <v>1900</v>
      </c>
      <c r="L389" s="757"/>
      <c r="M389" s="757"/>
      <c r="N389" s="757"/>
      <c r="O389" s="757"/>
      <c r="P389" s="757"/>
      <c r="Q389" s="757"/>
      <c r="R389" s="757"/>
      <c r="S389" s="757"/>
      <c r="T389" s="757"/>
      <c r="U389" s="757"/>
      <c r="V389" s="757"/>
      <c r="W389" s="757"/>
      <c r="X389" s="757"/>
      <c r="Y389" s="757"/>
      <c r="Z389" s="757"/>
      <c r="AA389" s="757"/>
      <c r="AB389" s="757"/>
      <c r="AC389" s="757"/>
      <c r="AD389" s="757"/>
      <c r="AE389" s="757"/>
      <c r="AF389" s="757"/>
      <c r="AG389" s="757"/>
      <c r="AH389" s="757"/>
      <c r="AI389" s="757"/>
      <c r="AJ389" s="757"/>
      <c r="AK389" s="757"/>
      <c r="AL389" s="757"/>
      <c r="AM389" s="757"/>
      <c r="AN389" s="757"/>
      <c r="AO389" s="757"/>
      <c r="AP389" s="757"/>
      <c r="AQ389" s="757"/>
      <c r="AR389" s="757"/>
      <c r="AS389" s="757"/>
      <c r="AT389" s="757"/>
      <c r="AU389" s="757"/>
      <c r="AV389" s="757"/>
      <c r="AW389" s="757"/>
      <c r="AX389" s="757"/>
      <c r="AY389" s="757"/>
      <c r="AZ389" s="75"/>
      <c r="BA389" s="2"/>
      <c r="BB389" s="2"/>
      <c r="BC389" s="2"/>
      <c r="BD389" s="2"/>
    </row>
    <row r="390" spans="1:56">
      <c r="A390" s="781">
        <v>1</v>
      </c>
      <c r="B390" s="782">
        <v>230</v>
      </c>
      <c r="C390" s="783"/>
      <c r="D390" s="784" t="s">
        <v>452</v>
      </c>
      <c r="E390" s="807"/>
      <c r="F390" s="798">
        <v>56625</v>
      </c>
      <c r="G390" s="798">
        <v>2831.25</v>
      </c>
      <c r="H390" s="1592">
        <f t="shared" si="15"/>
        <v>59456.25</v>
      </c>
      <c r="I390" s="754" t="str">
        <f>IFERROR(VLOOKUP(B390,Mychart!$A$125:$B$911,2,FALSE),"-")</f>
        <v>FARES MOHAMED - ANAAB</v>
      </c>
      <c r="J390" s="753" t="str">
        <f t="shared" si="16"/>
        <v>-</v>
      </c>
      <c r="K390" s="1540">
        <f t="shared" si="17"/>
        <v>1900</v>
      </c>
      <c r="L390" s="757"/>
      <c r="M390" s="757"/>
      <c r="N390" s="757"/>
      <c r="O390" s="757"/>
      <c r="P390" s="757"/>
      <c r="Q390" s="757"/>
      <c r="R390" s="757"/>
      <c r="S390" s="757"/>
      <c r="T390" s="757"/>
      <c r="U390" s="757"/>
      <c r="V390" s="757"/>
      <c r="W390" s="757"/>
      <c r="X390" s="757"/>
      <c r="Y390" s="757"/>
      <c r="Z390" s="757"/>
      <c r="AA390" s="757"/>
      <c r="AB390" s="757"/>
      <c r="AC390" s="757"/>
      <c r="AD390" s="757"/>
      <c r="AE390" s="757"/>
      <c r="AF390" s="757"/>
      <c r="AG390" s="757"/>
      <c r="AH390" s="757"/>
      <c r="AI390" s="757"/>
      <c r="AJ390" s="757"/>
      <c r="AK390" s="757"/>
      <c r="AL390" s="757"/>
      <c r="AM390" s="757"/>
      <c r="AN390" s="757"/>
      <c r="AO390" s="757"/>
      <c r="AP390" s="757"/>
      <c r="AQ390" s="757"/>
      <c r="AR390" s="757"/>
      <c r="AS390" s="757"/>
      <c r="AT390" s="757"/>
      <c r="AU390" s="757"/>
      <c r="AV390" s="757"/>
      <c r="AW390" s="757"/>
      <c r="AX390" s="757"/>
      <c r="AY390" s="757"/>
      <c r="AZ390" s="75"/>
      <c r="BA390" s="2"/>
      <c r="BB390" s="2"/>
      <c r="BC390" s="2"/>
      <c r="BD390" s="2"/>
    </row>
    <row r="391" spans="1:56">
      <c r="A391" s="781">
        <v>2</v>
      </c>
      <c r="B391" s="782">
        <v>230</v>
      </c>
      <c r="C391" s="783"/>
      <c r="D391" s="783" t="s">
        <v>178</v>
      </c>
      <c r="E391" s="808">
        <v>5654</v>
      </c>
      <c r="F391" s="799"/>
      <c r="G391" s="799"/>
      <c r="H391" s="1592">
        <f t="shared" si="15"/>
        <v>0</v>
      </c>
      <c r="I391" s="754" t="str">
        <f>IFERROR(VLOOKUP(B391,Mychart!$A$125:$B$911,2,FALSE),"-")</f>
        <v>FARES MOHAMED - ANAAB</v>
      </c>
      <c r="J391" s="753" t="str">
        <f t="shared" si="16"/>
        <v>-</v>
      </c>
      <c r="K391" s="1540">
        <f t="shared" si="17"/>
        <v>1900</v>
      </c>
      <c r="L391" s="757"/>
      <c r="M391" s="757"/>
      <c r="N391" s="757"/>
      <c r="O391" s="757"/>
      <c r="P391" s="757"/>
      <c r="Q391" s="757"/>
      <c r="R391" s="757"/>
      <c r="S391" s="757"/>
      <c r="T391" s="757"/>
      <c r="U391" s="757"/>
      <c r="V391" s="757"/>
      <c r="W391" s="757"/>
      <c r="X391" s="757"/>
      <c r="Y391" s="757"/>
      <c r="Z391" s="757"/>
      <c r="AA391" s="757"/>
      <c r="AB391" s="757"/>
      <c r="AC391" s="757"/>
      <c r="AD391" s="757"/>
      <c r="AE391" s="757"/>
      <c r="AF391" s="757"/>
      <c r="AG391" s="757"/>
      <c r="AH391" s="757"/>
      <c r="AI391" s="757"/>
      <c r="AJ391" s="757"/>
      <c r="AK391" s="757"/>
      <c r="AL391" s="757"/>
      <c r="AM391" s="757"/>
      <c r="AN391" s="757"/>
      <c r="AO391" s="757"/>
      <c r="AP391" s="757"/>
      <c r="AQ391" s="757"/>
      <c r="AR391" s="757"/>
      <c r="AS391" s="757"/>
      <c r="AT391" s="757"/>
      <c r="AU391" s="757"/>
      <c r="AV391" s="757"/>
      <c r="AW391" s="757"/>
      <c r="AX391" s="757"/>
      <c r="AY391" s="757"/>
      <c r="AZ391" s="75"/>
      <c r="BA391" s="2"/>
      <c r="BB391" s="2"/>
      <c r="BC391" s="2"/>
      <c r="BD391" s="2"/>
    </row>
    <row r="392" spans="1:56">
      <c r="A392" s="781">
        <v>2</v>
      </c>
      <c r="B392" s="782">
        <v>230</v>
      </c>
      <c r="C392" s="783"/>
      <c r="D392" s="783" t="s">
        <v>258</v>
      </c>
      <c r="E392" s="808">
        <v>5383</v>
      </c>
      <c r="F392" s="799"/>
      <c r="G392" s="799"/>
      <c r="H392" s="1592">
        <f t="shared" si="15"/>
        <v>0</v>
      </c>
      <c r="I392" s="754" t="str">
        <f>IFERROR(VLOOKUP(B392,Mychart!$A$125:$B$911,2,FALSE),"-")</f>
        <v>FARES MOHAMED - ANAAB</v>
      </c>
      <c r="J392" s="753" t="str">
        <f t="shared" si="16"/>
        <v>-</v>
      </c>
      <c r="K392" s="1540">
        <f t="shared" si="17"/>
        <v>1900</v>
      </c>
      <c r="L392" s="757"/>
      <c r="M392" s="757"/>
      <c r="N392" s="757"/>
      <c r="O392" s="757"/>
      <c r="P392" s="757"/>
      <c r="Q392" s="757"/>
      <c r="R392" s="757"/>
      <c r="S392" s="757"/>
      <c r="T392" s="757"/>
      <c r="U392" s="757"/>
      <c r="V392" s="757"/>
      <c r="W392" s="757"/>
      <c r="X392" s="757"/>
      <c r="Y392" s="757"/>
      <c r="Z392" s="757"/>
      <c r="AA392" s="757"/>
      <c r="AB392" s="757"/>
      <c r="AC392" s="757"/>
      <c r="AD392" s="757"/>
      <c r="AE392" s="757"/>
      <c r="AF392" s="757"/>
      <c r="AG392" s="757"/>
      <c r="AH392" s="757"/>
      <c r="AI392" s="757"/>
      <c r="AJ392" s="757"/>
      <c r="AK392" s="757"/>
      <c r="AL392" s="757"/>
      <c r="AM392" s="757"/>
      <c r="AN392" s="757"/>
      <c r="AO392" s="757"/>
      <c r="AP392" s="757"/>
      <c r="AQ392" s="757"/>
      <c r="AR392" s="757"/>
      <c r="AS392" s="757"/>
      <c r="AT392" s="757"/>
      <c r="AU392" s="757"/>
      <c r="AV392" s="757"/>
      <c r="AW392" s="757"/>
      <c r="AX392" s="757"/>
      <c r="AY392" s="757"/>
      <c r="AZ392" s="75"/>
      <c r="BA392" s="2"/>
      <c r="BB392" s="2"/>
      <c r="BC392" s="2"/>
      <c r="BD392" s="2"/>
    </row>
    <row r="393" spans="1:56">
      <c r="A393" s="781">
        <v>2</v>
      </c>
      <c r="B393" s="782">
        <v>230</v>
      </c>
      <c r="C393" s="783"/>
      <c r="D393" s="783" t="s">
        <v>178</v>
      </c>
      <c r="E393" s="808">
        <v>1599</v>
      </c>
      <c r="F393" s="799"/>
      <c r="G393" s="799"/>
      <c r="H393" s="1592">
        <f t="shared" si="15"/>
        <v>0</v>
      </c>
      <c r="I393" s="754" t="str">
        <f>IFERROR(VLOOKUP(B393,Mychart!$A$125:$B$911,2,FALSE),"-")</f>
        <v>FARES MOHAMED - ANAAB</v>
      </c>
      <c r="J393" s="753" t="str">
        <f t="shared" si="16"/>
        <v>-</v>
      </c>
      <c r="K393" s="1540">
        <f t="shared" si="17"/>
        <v>1900</v>
      </c>
      <c r="L393" s="757"/>
      <c r="M393" s="757"/>
      <c r="N393" s="757"/>
      <c r="O393" s="757"/>
      <c r="P393" s="757"/>
      <c r="Q393" s="757"/>
      <c r="R393" s="757"/>
      <c r="S393" s="757"/>
      <c r="T393" s="757"/>
      <c r="U393" s="757"/>
      <c r="V393" s="757"/>
      <c r="W393" s="757"/>
      <c r="X393" s="757"/>
      <c r="Y393" s="757"/>
      <c r="Z393" s="757"/>
      <c r="AA393" s="757"/>
      <c r="AB393" s="757"/>
      <c r="AC393" s="757"/>
      <c r="AD393" s="757"/>
      <c r="AE393" s="757"/>
      <c r="AF393" s="757"/>
      <c r="AG393" s="757"/>
      <c r="AH393" s="757"/>
      <c r="AI393" s="757"/>
      <c r="AJ393" s="757"/>
      <c r="AK393" s="757"/>
      <c r="AL393" s="757"/>
      <c r="AM393" s="757"/>
      <c r="AN393" s="757"/>
      <c r="AO393" s="757"/>
      <c r="AP393" s="757"/>
      <c r="AQ393" s="757"/>
      <c r="AR393" s="757"/>
      <c r="AS393" s="757"/>
      <c r="AT393" s="757"/>
      <c r="AU393" s="757"/>
      <c r="AV393" s="757"/>
      <c r="AW393" s="757"/>
      <c r="AX393" s="757"/>
      <c r="AY393" s="757"/>
      <c r="AZ393" s="75"/>
      <c r="BA393" s="2"/>
      <c r="BB393" s="2"/>
      <c r="BC393" s="2"/>
      <c r="BD393" s="2"/>
    </row>
    <row r="394" spans="1:56">
      <c r="A394" s="781">
        <v>2</v>
      </c>
      <c r="B394" s="782">
        <v>230</v>
      </c>
      <c r="C394" s="783"/>
      <c r="D394" s="783" t="s">
        <v>178</v>
      </c>
      <c r="E394" s="808">
        <v>1589</v>
      </c>
      <c r="F394" s="799"/>
      <c r="G394" s="799"/>
      <c r="H394" s="1592">
        <f t="shared" si="15"/>
        <v>0</v>
      </c>
      <c r="I394" s="754" t="str">
        <f>IFERROR(VLOOKUP(B394,Mychart!$A$125:$B$911,2,FALSE),"-")</f>
        <v>FARES MOHAMED - ANAAB</v>
      </c>
      <c r="J394" s="753" t="str">
        <f t="shared" si="16"/>
        <v>-</v>
      </c>
      <c r="K394" s="1540">
        <f t="shared" si="17"/>
        <v>1900</v>
      </c>
      <c r="L394" s="757"/>
      <c r="M394" s="757"/>
      <c r="N394" s="757"/>
      <c r="O394" s="757"/>
      <c r="P394" s="757"/>
      <c r="Q394" s="757"/>
      <c r="R394" s="757"/>
      <c r="S394" s="757"/>
      <c r="T394" s="757"/>
      <c r="U394" s="757"/>
      <c r="V394" s="757"/>
      <c r="W394" s="757"/>
      <c r="X394" s="757"/>
      <c r="Y394" s="757"/>
      <c r="Z394" s="757"/>
      <c r="AA394" s="757"/>
      <c r="AB394" s="757"/>
      <c r="AC394" s="757"/>
      <c r="AD394" s="757"/>
      <c r="AE394" s="757"/>
      <c r="AF394" s="757"/>
      <c r="AG394" s="757"/>
      <c r="AH394" s="757"/>
      <c r="AI394" s="757"/>
      <c r="AJ394" s="757"/>
      <c r="AK394" s="757"/>
      <c r="AL394" s="757"/>
      <c r="AM394" s="757"/>
      <c r="AN394" s="757"/>
      <c r="AO394" s="757"/>
      <c r="AP394" s="757"/>
      <c r="AQ394" s="757"/>
      <c r="AR394" s="757"/>
      <c r="AS394" s="757"/>
      <c r="AT394" s="757"/>
      <c r="AU394" s="757"/>
      <c r="AV394" s="757"/>
      <c r="AW394" s="757"/>
      <c r="AX394" s="757"/>
      <c r="AY394" s="757"/>
      <c r="AZ394" s="75"/>
      <c r="BA394" s="2"/>
      <c r="BB394" s="2"/>
      <c r="BC394" s="2"/>
      <c r="BD394" s="2"/>
    </row>
    <row r="395" spans="1:56">
      <c r="A395" s="781">
        <v>2</v>
      </c>
      <c r="B395" s="782">
        <v>230</v>
      </c>
      <c r="C395" s="783">
        <v>45208</v>
      </c>
      <c r="D395" s="783" t="s">
        <v>178</v>
      </c>
      <c r="E395" s="808">
        <v>4470</v>
      </c>
      <c r="F395" s="799"/>
      <c r="G395" s="799"/>
      <c r="H395" s="1592">
        <f t="shared" ref="H395:H458" si="18">F395+G395</f>
        <v>0</v>
      </c>
      <c r="I395" s="754" t="str">
        <f>IFERROR(VLOOKUP(B395,Mychart!$A$125:$B$911,2,FALSE),"-")</f>
        <v>FARES MOHAMED - ANAAB</v>
      </c>
      <c r="J395" s="753">
        <f t="shared" ref="J395:J458" si="19">IF(C395&lt;&gt;"", MONTH(C395),"-")</f>
        <v>10</v>
      </c>
      <c r="K395" s="1540">
        <f t="shared" ref="K395:K458" si="20">YEAR(C395)</f>
        <v>2023</v>
      </c>
      <c r="L395" s="757"/>
      <c r="M395" s="757"/>
      <c r="N395" s="757"/>
      <c r="O395" s="757"/>
      <c r="P395" s="757"/>
      <c r="Q395" s="757"/>
      <c r="R395" s="757"/>
      <c r="S395" s="757"/>
      <c r="T395" s="757"/>
      <c r="U395" s="757"/>
      <c r="V395" s="757"/>
      <c r="W395" s="757"/>
      <c r="X395" s="757"/>
      <c r="Y395" s="757"/>
      <c r="Z395" s="757"/>
      <c r="AA395" s="757"/>
      <c r="AB395" s="757"/>
      <c r="AC395" s="757"/>
      <c r="AD395" s="757"/>
      <c r="AE395" s="757"/>
      <c r="AF395" s="757"/>
      <c r="AG395" s="757"/>
      <c r="AH395" s="757"/>
      <c r="AI395" s="757"/>
      <c r="AJ395" s="757"/>
      <c r="AK395" s="757"/>
      <c r="AL395" s="757"/>
      <c r="AM395" s="757"/>
      <c r="AN395" s="757"/>
      <c r="AO395" s="757"/>
      <c r="AP395" s="757"/>
      <c r="AQ395" s="757"/>
      <c r="AR395" s="757"/>
      <c r="AS395" s="757"/>
      <c r="AT395" s="757"/>
      <c r="AU395" s="757"/>
      <c r="AV395" s="757"/>
      <c r="AW395" s="757"/>
      <c r="AX395" s="757"/>
      <c r="AY395" s="757"/>
      <c r="AZ395" s="75"/>
      <c r="BA395" s="2"/>
      <c r="BB395" s="2"/>
      <c r="BC395" s="2"/>
      <c r="BD395" s="2"/>
    </row>
    <row r="396" spans="1:56">
      <c r="A396" s="781">
        <v>2</v>
      </c>
      <c r="B396" s="782">
        <v>230</v>
      </c>
      <c r="C396" s="783"/>
      <c r="D396" s="783" t="s">
        <v>176</v>
      </c>
      <c r="E396" s="808">
        <v>500</v>
      </c>
      <c r="F396" s="799"/>
      <c r="G396" s="799"/>
      <c r="H396" s="1592">
        <f t="shared" si="18"/>
        <v>0</v>
      </c>
      <c r="I396" s="754" t="str">
        <f>IFERROR(VLOOKUP(B396,Mychart!$A$125:$B$911,2,FALSE),"-")</f>
        <v>FARES MOHAMED - ANAAB</v>
      </c>
      <c r="J396" s="753" t="str">
        <f t="shared" si="19"/>
        <v>-</v>
      </c>
      <c r="K396" s="1540">
        <f t="shared" si="20"/>
        <v>1900</v>
      </c>
      <c r="L396" s="757"/>
      <c r="M396" s="757"/>
      <c r="N396" s="757"/>
      <c r="O396" s="757"/>
      <c r="P396" s="757"/>
      <c r="Q396" s="757"/>
      <c r="R396" s="757"/>
      <c r="S396" s="757"/>
      <c r="T396" s="757"/>
      <c r="U396" s="757"/>
      <c r="V396" s="757"/>
      <c r="W396" s="757"/>
      <c r="X396" s="757"/>
      <c r="Y396" s="757"/>
      <c r="Z396" s="757"/>
      <c r="AA396" s="757"/>
      <c r="AB396" s="757"/>
      <c r="AC396" s="757"/>
      <c r="AD396" s="757"/>
      <c r="AE396" s="757"/>
      <c r="AF396" s="757"/>
      <c r="AG396" s="757"/>
      <c r="AH396" s="757"/>
      <c r="AI396" s="757"/>
      <c r="AJ396" s="757"/>
      <c r="AK396" s="757"/>
      <c r="AL396" s="757"/>
      <c r="AM396" s="757"/>
      <c r="AN396" s="757"/>
      <c r="AO396" s="757"/>
      <c r="AP396" s="757"/>
      <c r="AQ396" s="757"/>
      <c r="AR396" s="757"/>
      <c r="AS396" s="757"/>
      <c r="AT396" s="757"/>
      <c r="AU396" s="757"/>
      <c r="AV396" s="757"/>
      <c r="AW396" s="757"/>
      <c r="AX396" s="757"/>
      <c r="AY396" s="757"/>
      <c r="AZ396" s="75"/>
      <c r="BA396" s="2"/>
      <c r="BB396" s="2"/>
      <c r="BC396" s="2"/>
      <c r="BD396" s="2"/>
    </row>
    <row r="397" spans="1:56">
      <c r="A397" s="781">
        <v>2</v>
      </c>
      <c r="B397" s="782">
        <v>230</v>
      </c>
      <c r="C397" s="783"/>
      <c r="D397" s="783" t="s">
        <v>510</v>
      </c>
      <c r="E397" s="808">
        <v>31011</v>
      </c>
      <c r="F397" s="799"/>
      <c r="G397" s="799"/>
      <c r="H397" s="1592">
        <f t="shared" si="18"/>
        <v>0</v>
      </c>
      <c r="I397" s="754" t="str">
        <f>IFERROR(VLOOKUP(B397,Mychart!$A$125:$B$911,2,FALSE),"-")</f>
        <v>FARES MOHAMED - ANAAB</v>
      </c>
      <c r="J397" s="753" t="str">
        <f t="shared" si="19"/>
        <v>-</v>
      </c>
      <c r="K397" s="1540">
        <f t="shared" si="20"/>
        <v>1900</v>
      </c>
      <c r="L397" s="757"/>
      <c r="M397" s="757"/>
      <c r="N397" s="757"/>
      <c r="O397" s="757"/>
      <c r="P397" s="757"/>
      <c r="Q397" s="757"/>
      <c r="R397" s="757"/>
      <c r="S397" s="757"/>
      <c r="T397" s="757"/>
      <c r="U397" s="757"/>
      <c r="V397" s="757"/>
      <c r="W397" s="757"/>
      <c r="X397" s="757"/>
      <c r="Y397" s="757"/>
      <c r="Z397" s="757"/>
      <c r="AA397" s="757"/>
      <c r="AB397" s="757"/>
      <c r="AC397" s="757"/>
      <c r="AD397" s="757"/>
      <c r="AE397" s="757"/>
      <c r="AF397" s="757"/>
      <c r="AG397" s="757"/>
      <c r="AH397" s="757"/>
      <c r="AI397" s="757"/>
      <c r="AJ397" s="757"/>
      <c r="AK397" s="757"/>
      <c r="AL397" s="757"/>
      <c r="AM397" s="757"/>
      <c r="AN397" s="757"/>
      <c r="AO397" s="757"/>
      <c r="AP397" s="757"/>
      <c r="AQ397" s="757"/>
      <c r="AR397" s="757"/>
      <c r="AS397" s="757"/>
      <c r="AT397" s="757"/>
      <c r="AU397" s="757"/>
      <c r="AV397" s="757"/>
      <c r="AW397" s="757"/>
      <c r="AX397" s="757"/>
      <c r="AY397" s="757"/>
      <c r="AZ397" s="75"/>
      <c r="BA397" s="2"/>
      <c r="BB397" s="2"/>
      <c r="BC397" s="2"/>
      <c r="BD397" s="2"/>
    </row>
    <row r="398" spans="1:56">
      <c r="A398" s="781">
        <v>2</v>
      </c>
      <c r="B398" s="782">
        <v>230</v>
      </c>
      <c r="C398" s="783">
        <v>45291</v>
      </c>
      <c r="D398" s="785" t="s">
        <v>178</v>
      </c>
      <c r="E398" s="808">
        <v>497</v>
      </c>
      <c r="F398" s="799"/>
      <c r="G398" s="799"/>
      <c r="H398" s="1592">
        <f t="shared" si="18"/>
        <v>0</v>
      </c>
      <c r="I398" s="754" t="str">
        <f>IFERROR(VLOOKUP(B398,Mychart!$A$125:$B$911,2,FALSE),"-")</f>
        <v>FARES MOHAMED - ANAAB</v>
      </c>
      <c r="J398" s="753">
        <f t="shared" si="19"/>
        <v>12</v>
      </c>
      <c r="K398" s="1540">
        <f t="shared" si="20"/>
        <v>2023</v>
      </c>
      <c r="L398" s="757"/>
      <c r="M398" s="757"/>
      <c r="N398" s="757"/>
      <c r="O398" s="757"/>
      <c r="P398" s="757"/>
      <c r="Q398" s="757"/>
      <c r="R398" s="757"/>
      <c r="S398" s="757"/>
      <c r="T398" s="757"/>
      <c r="U398" s="757"/>
      <c r="V398" s="757"/>
      <c r="W398" s="757"/>
      <c r="X398" s="757"/>
      <c r="Y398" s="757"/>
      <c r="Z398" s="757"/>
      <c r="AA398" s="757"/>
      <c r="AB398" s="757"/>
      <c r="AC398" s="757"/>
      <c r="AD398" s="757"/>
      <c r="AE398" s="757"/>
      <c r="AF398" s="757"/>
      <c r="AG398" s="757"/>
      <c r="AH398" s="757"/>
      <c r="AI398" s="757"/>
      <c r="AJ398" s="757"/>
      <c r="AK398" s="757"/>
      <c r="AL398" s="757"/>
      <c r="AM398" s="757"/>
      <c r="AN398" s="757"/>
      <c r="AO398" s="757"/>
      <c r="AP398" s="757"/>
      <c r="AQ398" s="757"/>
      <c r="AR398" s="757"/>
      <c r="AS398" s="757"/>
      <c r="AT398" s="757"/>
      <c r="AU398" s="757"/>
      <c r="AV398" s="757"/>
      <c r="AW398" s="757"/>
      <c r="AX398" s="757"/>
      <c r="AY398" s="757"/>
      <c r="AZ398" s="75"/>
      <c r="BA398" s="2"/>
      <c r="BB398" s="2"/>
      <c r="BC398" s="2"/>
      <c r="BD398" s="2"/>
    </row>
    <row r="399" spans="1:56">
      <c r="A399" s="781">
        <v>2</v>
      </c>
      <c r="B399" s="782">
        <v>230</v>
      </c>
      <c r="C399" s="783">
        <v>45322</v>
      </c>
      <c r="D399" s="783" t="s">
        <v>178</v>
      </c>
      <c r="E399" s="808">
        <v>2560</v>
      </c>
      <c r="F399" s="799"/>
      <c r="G399" s="799"/>
      <c r="H399" s="1592">
        <f t="shared" si="18"/>
        <v>0</v>
      </c>
      <c r="I399" s="754" t="str">
        <f>IFERROR(VLOOKUP(B399,Mychart!$A$125:$B$911,2,FALSE),"-")</f>
        <v>FARES MOHAMED - ANAAB</v>
      </c>
      <c r="J399" s="753">
        <f t="shared" si="19"/>
        <v>1</v>
      </c>
      <c r="K399" s="1540">
        <f t="shared" si="20"/>
        <v>2024</v>
      </c>
      <c r="L399" s="757"/>
      <c r="M399" s="757"/>
      <c r="N399" s="757"/>
      <c r="O399" s="757"/>
      <c r="P399" s="757"/>
      <c r="Q399" s="757"/>
      <c r="R399" s="757"/>
      <c r="S399" s="757"/>
      <c r="T399" s="757"/>
      <c r="U399" s="757"/>
      <c r="V399" s="757"/>
      <c r="W399" s="757"/>
      <c r="X399" s="757"/>
      <c r="Y399" s="757"/>
      <c r="Z399" s="757"/>
      <c r="AA399" s="757"/>
      <c r="AB399" s="757"/>
      <c r="AC399" s="757"/>
      <c r="AD399" s="757"/>
      <c r="AE399" s="757"/>
      <c r="AF399" s="757"/>
      <c r="AG399" s="757"/>
      <c r="AH399" s="757"/>
      <c r="AI399" s="757"/>
      <c r="AJ399" s="757"/>
      <c r="AK399" s="757"/>
      <c r="AL399" s="757"/>
      <c r="AM399" s="757"/>
      <c r="AN399" s="757"/>
      <c r="AO399" s="757"/>
      <c r="AP399" s="757"/>
      <c r="AQ399" s="757"/>
      <c r="AR399" s="757"/>
      <c r="AS399" s="757"/>
      <c r="AT399" s="757"/>
      <c r="AU399" s="757"/>
      <c r="AV399" s="757"/>
      <c r="AW399" s="757"/>
      <c r="AX399" s="757"/>
      <c r="AY399" s="757"/>
      <c r="AZ399" s="75"/>
      <c r="BA399" s="2"/>
      <c r="BB399" s="2"/>
      <c r="BC399" s="2"/>
      <c r="BD399" s="2"/>
    </row>
    <row r="400" spans="1:56">
      <c r="A400" s="781">
        <v>1</v>
      </c>
      <c r="B400" s="782">
        <v>249</v>
      </c>
      <c r="C400" s="783">
        <v>45268</v>
      </c>
      <c r="D400" s="786" t="s">
        <v>567</v>
      </c>
      <c r="E400" s="807"/>
      <c r="F400" s="798">
        <v>48000</v>
      </c>
      <c r="G400" s="798">
        <v>2400</v>
      </c>
      <c r="H400" s="1592">
        <f t="shared" si="18"/>
        <v>50400</v>
      </c>
      <c r="I400" s="754" t="str">
        <f>IFERROR(VLOOKUP(B400,Mychart!$A$125:$B$911,2,FALSE),"-")</f>
        <v>farouq marzoki</v>
      </c>
      <c r="J400" s="753">
        <f t="shared" si="19"/>
        <v>12</v>
      </c>
      <c r="K400" s="1540">
        <f t="shared" si="20"/>
        <v>2023</v>
      </c>
      <c r="L400" s="757"/>
      <c r="M400" s="757"/>
      <c r="N400" s="757"/>
      <c r="O400" s="757"/>
      <c r="P400" s="757"/>
      <c r="Q400" s="757"/>
      <c r="R400" s="757"/>
      <c r="S400" s="757"/>
      <c r="T400" s="757"/>
      <c r="U400" s="757"/>
      <c r="V400" s="757"/>
      <c r="W400" s="757"/>
      <c r="X400" s="757"/>
      <c r="Y400" s="757"/>
      <c r="Z400" s="757"/>
      <c r="AA400" s="757"/>
      <c r="AB400" s="757"/>
      <c r="AC400" s="757"/>
      <c r="AD400" s="757"/>
      <c r="AE400" s="757"/>
      <c r="AF400" s="757"/>
      <c r="AG400" s="757"/>
      <c r="AH400" s="757"/>
      <c r="AI400" s="757"/>
      <c r="AJ400" s="757"/>
      <c r="AK400" s="757"/>
      <c r="AL400" s="757"/>
      <c r="AM400" s="757"/>
      <c r="AN400" s="757"/>
      <c r="AO400" s="757"/>
      <c r="AP400" s="757"/>
      <c r="AQ400" s="757"/>
      <c r="AR400" s="757"/>
      <c r="AS400" s="757"/>
      <c r="AT400" s="757"/>
      <c r="AU400" s="757"/>
      <c r="AV400" s="757"/>
      <c r="AW400" s="757"/>
      <c r="AX400" s="757"/>
      <c r="AY400" s="757"/>
      <c r="AZ400" s="75"/>
      <c r="BA400" s="2"/>
      <c r="BB400" s="2"/>
      <c r="BC400" s="2"/>
      <c r="BD400" s="2"/>
    </row>
    <row r="401" spans="1:56">
      <c r="A401" s="781">
        <v>1</v>
      </c>
      <c r="B401" s="782">
        <v>249</v>
      </c>
      <c r="C401" s="783">
        <v>45427</v>
      </c>
      <c r="D401" s="784" t="s">
        <v>594</v>
      </c>
      <c r="E401" s="807"/>
      <c r="F401" s="798">
        <v>90000</v>
      </c>
      <c r="G401" s="798">
        <v>4500</v>
      </c>
      <c r="H401" s="1592">
        <f t="shared" si="18"/>
        <v>94500</v>
      </c>
      <c r="I401" s="754" t="str">
        <f>IFERROR(VLOOKUP(B401,Mychart!$A$125:$B$911,2,FALSE),"-")</f>
        <v>farouq marzoki</v>
      </c>
      <c r="J401" s="753">
        <f t="shared" si="19"/>
        <v>5</v>
      </c>
      <c r="K401" s="1540">
        <f t="shared" si="20"/>
        <v>2024</v>
      </c>
      <c r="L401" s="757"/>
      <c r="M401" s="757"/>
      <c r="N401" s="757"/>
      <c r="O401" s="757"/>
      <c r="P401" s="757"/>
      <c r="Q401" s="757"/>
      <c r="R401" s="757"/>
      <c r="S401" s="757"/>
      <c r="T401" s="757"/>
      <c r="U401" s="757"/>
      <c r="V401" s="757"/>
      <c r="W401" s="757"/>
      <c r="X401" s="757"/>
      <c r="Y401" s="757"/>
      <c r="Z401" s="757"/>
      <c r="AA401" s="757"/>
      <c r="AB401" s="757"/>
      <c r="AC401" s="757"/>
      <c r="AD401" s="757"/>
      <c r="AE401" s="757"/>
      <c r="AF401" s="757"/>
      <c r="AG401" s="757"/>
      <c r="AH401" s="757"/>
      <c r="AI401" s="757"/>
      <c r="AJ401" s="757"/>
      <c r="AK401" s="757"/>
      <c r="AL401" s="757"/>
      <c r="AM401" s="757"/>
      <c r="AN401" s="757"/>
      <c r="AO401" s="757"/>
      <c r="AP401" s="757"/>
      <c r="AQ401" s="757"/>
      <c r="AR401" s="757"/>
      <c r="AS401" s="757"/>
      <c r="AT401" s="757"/>
      <c r="AU401" s="757"/>
      <c r="AV401" s="757"/>
      <c r="AW401" s="757"/>
      <c r="AX401" s="757"/>
      <c r="AY401" s="757"/>
      <c r="AZ401" s="75"/>
      <c r="BA401" s="2"/>
      <c r="BB401" s="2"/>
      <c r="BC401" s="2"/>
      <c r="BD401" s="2"/>
    </row>
    <row r="402" spans="1:56">
      <c r="A402" s="781">
        <v>2</v>
      </c>
      <c r="B402" s="782">
        <v>249</v>
      </c>
      <c r="C402" s="783">
        <v>45250</v>
      </c>
      <c r="D402" s="783" t="s">
        <v>595</v>
      </c>
      <c r="E402" s="808">
        <v>15000</v>
      </c>
      <c r="F402" s="799"/>
      <c r="G402" s="799"/>
      <c r="H402" s="1592">
        <f t="shared" si="18"/>
        <v>0</v>
      </c>
      <c r="I402" s="754" t="str">
        <f>IFERROR(VLOOKUP(B402,Mychart!$A$125:$B$911,2,FALSE),"-")</f>
        <v>farouq marzoki</v>
      </c>
      <c r="J402" s="753">
        <f t="shared" si="19"/>
        <v>11</v>
      </c>
      <c r="K402" s="1540">
        <f t="shared" si="20"/>
        <v>2023</v>
      </c>
      <c r="L402" s="757"/>
      <c r="M402" s="757"/>
      <c r="N402" s="757"/>
      <c r="O402" s="757"/>
      <c r="P402" s="757"/>
      <c r="Q402" s="757"/>
      <c r="R402" s="757"/>
      <c r="S402" s="757"/>
      <c r="T402" s="757"/>
      <c r="U402" s="757"/>
      <c r="V402" s="757"/>
      <c r="W402" s="757"/>
      <c r="X402" s="757"/>
      <c r="Y402" s="757"/>
      <c r="Z402" s="757"/>
      <c r="AA402" s="757"/>
      <c r="AB402" s="757"/>
      <c r="AC402" s="757"/>
      <c r="AD402" s="757"/>
      <c r="AE402" s="757"/>
      <c r="AF402" s="757"/>
      <c r="AG402" s="757"/>
      <c r="AH402" s="757"/>
      <c r="AI402" s="757"/>
      <c r="AJ402" s="757"/>
      <c r="AK402" s="757"/>
      <c r="AL402" s="757"/>
      <c r="AM402" s="757"/>
      <c r="AN402" s="757"/>
      <c r="AO402" s="757"/>
      <c r="AP402" s="757"/>
      <c r="AQ402" s="757"/>
      <c r="AR402" s="757"/>
      <c r="AS402" s="757"/>
      <c r="AT402" s="757"/>
      <c r="AU402" s="757"/>
      <c r="AV402" s="757"/>
      <c r="AW402" s="757"/>
      <c r="AX402" s="757"/>
      <c r="AY402" s="757"/>
      <c r="AZ402" s="75"/>
      <c r="BA402" s="2"/>
      <c r="BB402" s="2"/>
      <c r="BC402" s="2"/>
      <c r="BD402" s="2"/>
    </row>
    <row r="403" spans="1:56">
      <c r="A403" s="781">
        <v>2</v>
      </c>
      <c r="B403" s="782">
        <v>249</v>
      </c>
      <c r="C403" s="783">
        <v>45285</v>
      </c>
      <c r="D403" s="783" t="s">
        <v>406</v>
      </c>
      <c r="E403" s="808">
        <v>600</v>
      </c>
      <c r="F403" s="799"/>
      <c r="G403" s="799"/>
      <c r="H403" s="1592">
        <f t="shared" si="18"/>
        <v>0</v>
      </c>
      <c r="I403" s="754" t="str">
        <f>IFERROR(VLOOKUP(B403,Mychart!$A$125:$B$911,2,FALSE),"-")</f>
        <v>farouq marzoki</v>
      </c>
      <c r="J403" s="753">
        <f t="shared" si="19"/>
        <v>12</v>
      </c>
      <c r="K403" s="1540">
        <f t="shared" si="20"/>
        <v>2023</v>
      </c>
      <c r="L403" s="757"/>
      <c r="M403" s="757"/>
      <c r="N403" s="757"/>
      <c r="O403" s="757"/>
      <c r="P403" s="757"/>
      <c r="Q403" s="757"/>
      <c r="R403" s="757"/>
      <c r="S403" s="757"/>
      <c r="T403" s="757"/>
      <c r="U403" s="757"/>
      <c r="V403" s="757"/>
      <c r="W403" s="757"/>
      <c r="X403" s="757"/>
      <c r="Y403" s="757"/>
      <c r="Z403" s="757"/>
      <c r="AA403" s="757"/>
      <c r="AB403" s="757"/>
      <c r="AC403" s="757"/>
      <c r="AD403" s="757"/>
      <c r="AE403" s="757"/>
      <c r="AF403" s="757"/>
      <c r="AG403" s="757"/>
      <c r="AH403" s="757"/>
      <c r="AI403" s="757"/>
      <c r="AJ403" s="757"/>
      <c r="AK403" s="757"/>
      <c r="AL403" s="757"/>
      <c r="AM403" s="757"/>
      <c r="AN403" s="757"/>
      <c r="AO403" s="757"/>
      <c r="AP403" s="757"/>
      <c r="AQ403" s="757"/>
      <c r="AR403" s="757"/>
      <c r="AS403" s="757"/>
      <c r="AT403" s="757"/>
      <c r="AU403" s="757"/>
      <c r="AV403" s="757"/>
      <c r="AW403" s="757"/>
      <c r="AX403" s="757"/>
      <c r="AY403" s="757"/>
      <c r="AZ403" s="75"/>
      <c r="BA403" s="2"/>
      <c r="BB403" s="2"/>
      <c r="BC403" s="2"/>
      <c r="BD403" s="2"/>
    </row>
    <row r="404" spans="1:56">
      <c r="A404" s="781">
        <v>2</v>
      </c>
      <c r="B404" s="782">
        <v>249</v>
      </c>
      <c r="C404" s="783">
        <v>45351</v>
      </c>
      <c r="D404" s="783" t="s">
        <v>596</v>
      </c>
      <c r="E404" s="808">
        <v>119</v>
      </c>
      <c r="F404" s="799"/>
      <c r="G404" s="799"/>
      <c r="H404" s="1592">
        <f t="shared" si="18"/>
        <v>0</v>
      </c>
      <c r="I404" s="754" t="str">
        <f>IFERROR(VLOOKUP(B404,Mychart!$A$125:$B$911,2,FALSE),"-")</f>
        <v>farouq marzoki</v>
      </c>
      <c r="J404" s="753">
        <f t="shared" si="19"/>
        <v>2</v>
      </c>
      <c r="K404" s="1540">
        <f t="shared" si="20"/>
        <v>2024</v>
      </c>
      <c r="L404" s="757"/>
      <c r="M404" s="757"/>
      <c r="N404" s="757"/>
      <c r="O404" s="757"/>
      <c r="P404" s="757"/>
      <c r="Q404" s="757"/>
      <c r="R404" s="757"/>
      <c r="S404" s="757"/>
      <c r="T404" s="757"/>
      <c r="U404" s="757"/>
      <c r="V404" s="757"/>
      <c r="W404" s="757"/>
      <c r="X404" s="757"/>
      <c r="Y404" s="757"/>
      <c r="Z404" s="757"/>
      <c r="AA404" s="757"/>
      <c r="AB404" s="757"/>
      <c r="AC404" s="757"/>
      <c r="AD404" s="757"/>
      <c r="AE404" s="757"/>
      <c r="AF404" s="757"/>
      <c r="AG404" s="757"/>
      <c r="AH404" s="757"/>
      <c r="AI404" s="757"/>
      <c r="AJ404" s="757"/>
      <c r="AK404" s="757"/>
      <c r="AL404" s="757"/>
      <c r="AM404" s="757"/>
      <c r="AN404" s="757"/>
      <c r="AO404" s="757"/>
      <c r="AP404" s="757"/>
      <c r="AQ404" s="757"/>
      <c r="AR404" s="757"/>
      <c r="AS404" s="757"/>
      <c r="AT404" s="757"/>
      <c r="AU404" s="757"/>
      <c r="AV404" s="757"/>
      <c r="AW404" s="757"/>
      <c r="AX404" s="757"/>
      <c r="AY404" s="757"/>
      <c r="AZ404" s="75"/>
      <c r="BA404" s="2"/>
      <c r="BB404" s="2"/>
      <c r="BC404" s="2"/>
      <c r="BD404" s="2"/>
    </row>
    <row r="405" spans="1:56">
      <c r="A405" s="781">
        <v>2</v>
      </c>
      <c r="B405" s="782">
        <v>249</v>
      </c>
      <c r="C405" s="783">
        <v>45382</v>
      </c>
      <c r="D405" s="783" t="s">
        <v>596</v>
      </c>
      <c r="E405" s="808">
        <v>410</v>
      </c>
      <c r="F405" s="799"/>
      <c r="G405" s="799"/>
      <c r="H405" s="1592">
        <f t="shared" si="18"/>
        <v>0</v>
      </c>
      <c r="I405" s="754" t="str">
        <f>IFERROR(VLOOKUP(B405,Mychart!$A$125:$B$911,2,FALSE),"-")</f>
        <v>farouq marzoki</v>
      </c>
      <c r="J405" s="753">
        <f t="shared" si="19"/>
        <v>3</v>
      </c>
      <c r="K405" s="1540">
        <f t="shared" si="20"/>
        <v>2024</v>
      </c>
      <c r="L405" s="757"/>
      <c r="M405" s="757"/>
      <c r="N405" s="757"/>
      <c r="O405" s="757"/>
      <c r="P405" s="757"/>
      <c r="Q405" s="757"/>
      <c r="R405" s="757"/>
      <c r="S405" s="757"/>
      <c r="T405" s="757"/>
      <c r="U405" s="757"/>
      <c r="V405" s="757"/>
      <c r="W405" s="757"/>
      <c r="X405" s="757"/>
      <c r="Y405" s="757"/>
      <c r="Z405" s="757"/>
      <c r="AA405" s="757"/>
      <c r="AB405" s="757"/>
      <c r="AC405" s="757"/>
      <c r="AD405" s="757"/>
      <c r="AE405" s="757"/>
      <c r="AF405" s="757"/>
      <c r="AG405" s="757"/>
      <c r="AH405" s="757"/>
      <c r="AI405" s="757"/>
      <c r="AJ405" s="757"/>
      <c r="AK405" s="757"/>
      <c r="AL405" s="757"/>
      <c r="AM405" s="757"/>
      <c r="AN405" s="757"/>
      <c r="AO405" s="757"/>
      <c r="AP405" s="757"/>
      <c r="AQ405" s="757"/>
      <c r="AR405" s="757"/>
      <c r="AS405" s="757"/>
      <c r="AT405" s="757"/>
      <c r="AU405" s="757"/>
      <c r="AV405" s="757"/>
      <c r="AW405" s="757"/>
      <c r="AX405" s="757"/>
      <c r="AY405" s="757"/>
      <c r="AZ405" s="75"/>
      <c r="BA405" s="2"/>
      <c r="BB405" s="2"/>
      <c r="BC405" s="2"/>
      <c r="BD405" s="2"/>
    </row>
    <row r="406" spans="1:56">
      <c r="A406" s="781">
        <v>2</v>
      </c>
      <c r="B406" s="782">
        <v>249</v>
      </c>
      <c r="C406" s="783">
        <v>45412</v>
      </c>
      <c r="D406" s="783" t="s">
        <v>596</v>
      </c>
      <c r="E406" s="808">
        <v>6778</v>
      </c>
      <c r="F406" s="799"/>
      <c r="G406" s="799"/>
      <c r="H406" s="1592">
        <f t="shared" si="18"/>
        <v>0</v>
      </c>
      <c r="I406" s="754" t="str">
        <f>IFERROR(VLOOKUP(B406,Mychart!$A$125:$B$911,2,FALSE),"-")</f>
        <v>farouq marzoki</v>
      </c>
      <c r="J406" s="753">
        <f t="shared" si="19"/>
        <v>4</v>
      </c>
      <c r="K406" s="1540">
        <f t="shared" si="20"/>
        <v>2024</v>
      </c>
      <c r="L406" s="757"/>
      <c r="M406" s="757"/>
      <c r="N406" s="757"/>
      <c r="O406" s="757"/>
      <c r="P406" s="757"/>
      <c r="Q406" s="757"/>
      <c r="R406" s="757"/>
      <c r="S406" s="757"/>
      <c r="T406" s="757"/>
      <c r="U406" s="757"/>
      <c r="V406" s="757"/>
      <c r="W406" s="757"/>
      <c r="X406" s="757"/>
      <c r="Y406" s="757"/>
      <c r="Z406" s="757"/>
      <c r="AA406" s="757"/>
      <c r="AB406" s="757"/>
      <c r="AC406" s="757"/>
      <c r="AD406" s="757"/>
      <c r="AE406" s="757"/>
      <c r="AF406" s="757"/>
      <c r="AG406" s="757"/>
      <c r="AH406" s="757"/>
      <c r="AI406" s="757"/>
      <c r="AJ406" s="757"/>
      <c r="AK406" s="757"/>
      <c r="AL406" s="757"/>
      <c r="AM406" s="757"/>
      <c r="AN406" s="757"/>
      <c r="AO406" s="757"/>
      <c r="AP406" s="757"/>
      <c r="AQ406" s="757"/>
      <c r="AR406" s="757"/>
      <c r="AS406" s="757"/>
      <c r="AT406" s="757"/>
      <c r="AU406" s="757"/>
      <c r="AV406" s="757"/>
      <c r="AW406" s="757"/>
      <c r="AX406" s="757"/>
      <c r="AY406" s="757"/>
      <c r="AZ406" s="75"/>
      <c r="BA406" s="2"/>
      <c r="BB406" s="2"/>
      <c r="BC406" s="2"/>
      <c r="BD406" s="2"/>
    </row>
    <row r="407" spans="1:56">
      <c r="A407" s="781">
        <v>2</v>
      </c>
      <c r="B407" s="782">
        <v>249</v>
      </c>
      <c r="C407" s="783">
        <v>45413</v>
      </c>
      <c r="D407" s="783" t="s">
        <v>258</v>
      </c>
      <c r="E407" s="808">
        <v>10589.46</v>
      </c>
      <c r="F407" s="799"/>
      <c r="G407" s="799"/>
      <c r="H407" s="1592">
        <f t="shared" si="18"/>
        <v>0</v>
      </c>
      <c r="I407" s="754" t="str">
        <f>IFERROR(VLOOKUP(B407,Mychart!$A$125:$B$911,2,FALSE),"-")</f>
        <v>farouq marzoki</v>
      </c>
      <c r="J407" s="753">
        <f t="shared" si="19"/>
        <v>5</v>
      </c>
      <c r="K407" s="1540">
        <f t="shared" si="20"/>
        <v>2024</v>
      </c>
      <c r="L407" s="757"/>
      <c r="M407" s="757"/>
      <c r="N407" s="757"/>
      <c r="O407" s="757"/>
      <c r="P407" s="757"/>
      <c r="Q407" s="757"/>
      <c r="R407" s="757"/>
      <c r="S407" s="757"/>
      <c r="T407" s="757"/>
      <c r="U407" s="757"/>
      <c r="V407" s="757"/>
      <c r="W407" s="757"/>
      <c r="X407" s="757"/>
      <c r="Y407" s="757"/>
      <c r="Z407" s="757"/>
      <c r="AA407" s="757"/>
      <c r="AB407" s="757"/>
      <c r="AC407" s="757"/>
      <c r="AD407" s="757"/>
      <c r="AE407" s="757"/>
      <c r="AF407" s="757"/>
      <c r="AG407" s="757"/>
      <c r="AH407" s="757"/>
      <c r="AI407" s="757"/>
      <c r="AJ407" s="757"/>
      <c r="AK407" s="757"/>
      <c r="AL407" s="757"/>
      <c r="AM407" s="757"/>
      <c r="AN407" s="757"/>
      <c r="AO407" s="757"/>
      <c r="AP407" s="757"/>
      <c r="AQ407" s="757"/>
      <c r="AR407" s="757"/>
      <c r="AS407" s="757"/>
      <c r="AT407" s="757"/>
      <c r="AU407" s="757"/>
      <c r="AV407" s="757"/>
      <c r="AW407" s="757"/>
      <c r="AX407" s="757"/>
      <c r="AY407" s="757"/>
      <c r="AZ407" s="75"/>
      <c r="BA407" s="2"/>
      <c r="BB407" s="2"/>
      <c r="BC407" s="2"/>
      <c r="BD407" s="2"/>
    </row>
    <row r="408" spans="1:56">
      <c r="A408" s="781">
        <v>2</v>
      </c>
      <c r="B408" s="782">
        <v>249</v>
      </c>
      <c r="C408" s="783">
        <v>45432</v>
      </c>
      <c r="D408" s="783" t="s">
        <v>224</v>
      </c>
      <c r="E408" s="808">
        <v>51444.75</v>
      </c>
      <c r="F408" s="799"/>
      <c r="G408" s="799"/>
      <c r="H408" s="1592">
        <f t="shared" si="18"/>
        <v>0</v>
      </c>
      <c r="I408" s="754" t="str">
        <f>IFERROR(VLOOKUP(B408,Mychart!$A$125:$B$911,2,FALSE),"-")</f>
        <v>farouq marzoki</v>
      </c>
      <c r="J408" s="753">
        <f t="shared" si="19"/>
        <v>5</v>
      </c>
      <c r="K408" s="1540">
        <f t="shared" si="20"/>
        <v>2024</v>
      </c>
      <c r="L408" s="757"/>
      <c r="M408" s="757"/>
      <c r="N408" s="757"/>
      <c r="O408" s="757"/>
      <c r="P408" s="757"/>
      <c r="Q408" s="757"/>
      <c r="R408" s="757"/>
      <c r="S408" s="757"/>
      <c r="T408" s="757"/>
      <c r="U408" s="757"/>
      <c r="V408" s="757"/>
      <c r="W408" s="757"/>
      <c r="X408" s="757"/>
      <c r="Y408" s="757"/>
      <c r="Z408" s="757"/>
      <c r="AA408" s="757"/>
      <c r="AB408" s="757"/>
      <c r="AC408" s="757"/>
      <c r="AD408" s="757"/>
      <c r="AE408" s="757"/>
      <c r="AF408" s="757"/>
      <c r="AG408" s="757"/>
      <c r="AH408" s="757"/>
      <c r="AI408" s="757"/>
      <c r="AJ408" s="757"/>
      <c r="AK408" s="757"/>
      <c r="AL408" s="757"/>
      <c r="AM408" s="757"/>
      <c r="AN408" s="757"/>
      <c r="AO408" s="757"/>
      <c r="AP408" s="757"/>
      <c r="AQ408" s="757"/>
      <c r="AR408" s="757"/>
      <c r="AS408" s="757"/>
      <c r="AT408" s="757"/>
      <c r="AU408" s="757"/>
      <c r="AV408" s="757"/>
      <c r="AW408" s="757"/>
      <c r="AX408" s="757"/>
      <c r="AY408" s="757"/>
      <c r="AZ408" s="75"/>
      <c r="BA408" s="2"/>
      <c r="BB408" s="2"/>
      <c r="BC408" s="2"/>
      <c r="BD408" s="2"/>
    </row>
    <row r="409" spans="1:56">
      <c r="A409" s="781">
        <v>2</v>
      </c>
      <c r="B409" s="782">
        <v>249</v>
      </c>
      <c r="C409" s="783">
        <v>45443</v>
      </c>
      <c r="D409" s="783" t="s">
        <v>177</v>
      </c>
      <c r="E409" s="808">
        <v>6740</v>
      </c>
      <c r="F409" s="799"/>
      <c r="G409" s="799"/>
      <c r="H409" s="1592">
        <f t="shared" si="18"/>
        <v>0</v>
      </c>
      <c r="I409" s="754" t="str">
        <f>IFERROR(VLOOKUP(B409,Mychart!$A$125:$B$911,2,FALSE),"-")</f>
        <v>farouq marzoki</v>
      </c>
      <c r="J409" s="753">
        <f t="shared" si="19"/>
        <v>5</v>
      </c>
      <c r="K409" s="1540">
        <f t="shared" si="20"/>
        <v>2024</v>
      </c>
      <c r="L409" s="757"/>
      <c r="M409" s="757"/>
      <c r="N409" s="757"/>
      <c r="O409" s="757"/>
      <c r="P409" s="757"/>
      <c r="Q409" s="757"/>
      <c r="R409" s="757"/>
      <c r="S409" s="757"/>
      <c r="T409" s="757"/>
      <c r="U409" s="757"/>
      <c r="V409" s="757"/>
      <c r="W409" s="757"/>
      <c r="X409" s="757"/>
      <c r="Y409" s="757"/>
      <c r="Z409" s="757"/>
      <c r="AA409" s="757"/>
      <c r="AB409" s="757"/>
      <c r="AC409" s="757"/>
      <c r="AD409" s="757"/>
      <c r="AE409" s="757"/>
      <c r="AF409" s="757"/>
      <c r="AG409" s="757"/>
      <c r="AH409" s="757"/>
      <c r="AI409" s="757"/>
      <c r="AJ409" s="757"/>
      <c r="AK409" s="757"/>
      <c r="AL409" s="757"/>
      <c r="AM409" s="757"/>
      <c r="AN409" s="757"/>
      <c r="AO409" s="757"/>
      <c r="AP409" s="757"/>
      <c r="AQ409" s="757"/>
      <c r="AR409" s="757"/>
      <c r="AS409" s="757"/>
      <c r="AT409" s="757"/>
      <c r="AU409" s="757"/>
      <c r="AV409" s="757"/>
      <c r="AW409" s="757"/>
      <c r="AX409" s="757"/>
      <c r="AY409" s="757"/>
      <c r="AZ409" s="75"/>
      <c r="BA409" s="2"/>
      <c r="BB409" s="2"/>
      <c r="BC409" s="2"/>
      <c r="BD409" s="2"/>
    </row>
    <row r="410" spans="1:56">
      <c r="A410" s="781">
        <v>1</v>
      </c>
      <c r="B410" s="782">
        <v>276</v>
      </c>
      <c r="C410" s="783">
        <v>45448</v>
      </c>
      <c r="D410" s="786" t="s">
        <v>399</v>
      </c>
      <c r="E410" s="807"/>
      <c r="F410" s="798">
        <v>4600</v>
      </c>
      <c r="G410" s="798">
        <v>230</v>
      </c>
      <c r="H410" s="1592">
        <f t="shared" si="18"/>
        <v>4830</v>
      </c>
      <c r="I410" s="754" t="str">
        <f>IFERROR(VLOOKUP(B410,Mychart!$A$125:$B$911,2,FALSE),"-")</f>
        <v>FATMA ESSA ALI</v>
      </c>
      <c r="J410" s="753">
        <f t="shared" si="19"/>
        <v>6</v>
      </c>
      <c r="K410" s="1540">
        <f t="shared" si="20"/>
        <v>2024</v>
      </c>
      <c r="L410" s="757"/>
      <c r="M410" s="757"/>
      <c r="N410" s="757"/>
      <c r="O410" s="757"/>
      <c r="P410" s="757"/>
      <c r="Q410" s="757"/>
      <c r="R410" s="757"/>
      <c r="S410" s="757"/>
      <c r="T410" s="757"/>
      <c r="U410" s="757"/>
      <c r="V410" s="757"/>
      <c r="W410" s="757"/>
      <c r="X410" s="757"/>
      <c r="Y410" s="757"/>
      <c r="Z410" s="757"/>
      <c r="AA410" s="757"/>
      <c r="AB410" s="757"/>
      <c r="AC410" s="757"/>
      <c r="AD410" s="757"/>
      <c r="AE410" s="757"/>
      <c r="AF410" s="757"/>
      <c r="AG410" s="757"/>
      <c r="AH410" s="757"/>
      <c r="AI410" s="757"/>
      <c r="AJ410" s="757"/>
      <c r="AK410" s="757"/>
      <c r="AL410" s="757"/>
      <c r="AM410" s="757"/>
      <c r="AN410" s="757"/>
      <c r="AO410" s="757"/>
      <c r="AP410" s="757"/>
      <c r="AQ410" s="757"/>
      <c r="AR410" s="757"/>
      <c r="AS410" s="757"/>
      <c r="AT410" s="757"/>
      <c r="AU410" s="757"/>
      <c r="AV410" s="757"/>
      <c r="AW410" s="757"/>
      <c r="AX410" s="757"/>
      <c r="AY410" s="757"/>
      <c r="AZ410" s="75"/>
      <c r="BA410" s="2"/>
      <c r="BB410" s="2"/>
      <c r="BC410" s="2"/>
      <c r="BD410" s="2"/>
    </row>
    <row r="411" spans="1:56">
      <c r="A411" s="781">
        <v>2</v>
      </c>
      <c r="B411" s="782">
        <v>276</v>
      </c>
      <c r="C411" s="783">
        <v>45448</v>
      </c>
      <c r="D411" s="783" t="s">
        <v>179</v>
      </c>
      <c r="E411" s="808">
        <v>4600</v>
      </c>
      <c r="F411" s="799"/>
      <c r="G411" s="799"/>
      <c r="H411" s="1592">
        <f t="shared" si="18"/>
        <v>0</v>
      </c>
      <c r="I411" s="754" t="str">
        <f>IFERROR(VLOOKUP(B411,Mychart!$A$125:$B$911,2,FALSE),"-")</f>
        <v>FATMA ESSA ALI</v>
      </c>
      <c r="J411" s="753">
        <f t="shared" si="19"/>
        <v>6</v>
      </c>
      <c r="K411" s="1540">
        <f t="shared" si="20"/>
        <v>2024</v>
      </c>
      <c r="L411" s="757"/>
      <c r="M411" s="757"/>
      <c r="N411" s="757"/>
      <c r="O411" s="757"/>
      <c r="P411" s="757"/>
      <c r="Q411" s="757"/>
      <c r="R411" s="757"/>
      <c r="S411" s="757"/>
      <c r="T411" s="757"/>
      <c r="U411" s="757"/>
      <c r="V411" s="757"/>
      <c r="W411" s="757"/>
      <c r="X411" s="757"/>
      <c r="Y411" s="757"/>
      <c r="Z411" s="757"/>
      <c r="AA411" s="757"/>
      <c r="AB411" s="757"/>
      <c r="AC411" s="757"/>
      <c r="AD411" s="757"/>
      <c r="AE411" s="757"/>
      <c r="AF411" s="757"/>
      <c r="AG411" s="757"/>
      <c r="AH411" s="757"/>
      <c r="AI411" s="757"/>
      <c r="AJ411" s="757"/>
      <c r="AK411" s="757"/>
      <c r="AL411" s="757"/>
      <c r="AM411" s="757"/>
      <c r="AN411" s="757"/>
      <c r="AO411" s="757"/>
      <c r="AP411" s="757"/>
      <c r="AQ411" s="757"/>
      <c r="AR411" s="757"/>
      <c r="AS411" s="757"/>
      <c r="AT411" s="757"/>
      <c r="AU411" s="757"/>
      <c r="AV411" s="757"/>
      <c r="AW411" s="757"/>
      <c r="AX411" s="757"/>
      <c r="AY411" s="757"/>
      <c r="AZ411" s="75"/>
      <c r="BA411" s="2"/>
      <c r="BB411" s="2"/>
      <c r="BC411" s="2"/>
      <c r="BD411" s="2"/>
    </row>
    <row r="412" spans="1:56">
      <c r="A412" s="781">
        <v>1</v>
      </c>
      <c r="B412" s="782">
        <v>238</v>
      </c>
      <c r="C412" s="783">
        <v>45139</v>
      </c>
      <c r="D412" s="786" t="s">
        <v>605</v>
      </c>
      <c r="E412" s="807"/>
      <c r="F412" s="798">
        <v>11000</v>
      </c>
      <c r="G412" s="798">
        <v>550</v>
      </c>
      <c r="H412" s="1592">
        <f t="shared" si="18"/>
        <v>11550</v>
      </c>
      <c r="I412" s="754" t="str">
        <f>IFERROR(VLOOKUP(B412,Mychart!$A$125:$B$911,2,FALSE),"-")</f>
        <v>HARITH - AREEJ</v>
      </c>
      <c r="J412" s="753">
        <f t="shared" si="19"/>
        <v>8</v>
      </c>
      <c r="K412" s="1540">
        <f t="shared" si="20"/>
        <v>2023</v>
      </c>
      <c r="L412" s="757"/>
      <c r="M412" s="757"/>
      <c r="N412" s="757"/>
      <c r="O412" s="757"/>
      <c r="P412" s="757"/>
      <c r="Q412" s="757"/>
      <c r="R412" s="757"/>
      <c r="S412" s="757"/>
      <c r="T412" s="757"/>
      <c r="U412" s="757"/>
      <c r="V412" s="757"/>
      <c r="W412" s="757"/>
      <c r="X412" s="757"/>
      <c r="Y412" s="757"/>
      <c r="Z412" s="757"/>
      <c r="AA412" s="757"/>
      <c r="AB412" s="757"/>
      <c r="AC412" s="757"/>
      <c r="AD412" s="757"/>
      <c r="AE412" s="757"/>
      <c r="AF412" s="757"/>
      <c r="AG412" s="757"/>
      <c r="AH412" s="757"/>
      <c r="AI412" s="757"/>
      <c r="AJ412" s="757"/>
      <c r="AK412" s="757"/>
      <c r="AL412" s="757"/>
      <c r="AM412" s="757"/>
      <c r="AN412" s="757"/>
      <c r="AO412" s="757"/>
      <c r="AP412" s="757"/>
      <c r="AQ412" s="757"/>
      <c r="AR412" s="757"/>
      <c r="AS412" s="757"/>
      <c r="AT412" s="757"/>
      <c r="AU412" s="757"/>
      <c r="AV412" s="757"/>
      <c r="AW412" s="757"/>
      <c r="AX412" s="757"/>
      <c r="AY412" s="757"/>
      <c r="AZ412" s="75"/>
      <c r="BA412" s="2"/>
      <c r="BB412" s="2"/>
      <c r="BC412" s="2"/>
      <c r="BD412" s="2"/>
    </row>
    <row r="413" spans="1:56">
      <c r="A413" s="781">
        <v>1</v>
      </c>
      <c r="B413" s="782">
        <v>238</v>
      </c>
      <c r="C413" s="783">
        <v>45374</v>
      </c>
      <c r="D413" s="784" t="s">
        <v>606</v>
      </c>
      <c r="E413" s="807"/>
      <c r="F413" s="798">
        <v>22000</v>
      </c>
      <c r="G413" s="798">
        <v>1100</v>
      </c>
      <c r="H413" s="1592">
        <f t="shared" si="18"/>
        <v>23100</v>
      </c>
      <c r="I413" s="754" t="str">
        <f>IFERROR(VLOOKUP(B413,Mychart!$A$125:$B$911,2,FALSE),"-")</f>
        <v>HARITH - AREEJ</v>
      </c>
      <c r="J413" s="753">
        <f t="shared" si="19"/>
        <v>3</v>
      </c>
      <c r="K413" s="1540">
        <f t="shared" si="20"/>
        <v>2024</v>
      </c>
      <c r="L413" s="757"/>
      <c r="M413" s="757"/>
      <c r="N413" s="757"/>
      <c r="O413" s="757"/>
      <c r="P413" s="757"/>
      <c r="Q413" s="757"/>
      <c r="R413" s="757"/>
      <c r="S413" s="757"/>
      <c r="T413" s="757"/>
      <c r="U413" s="757"/>
      <c r="V413" s="757"/>
      <c r="W413" s="757"/>
      <c r="X413" s="757"/>
      <c r="Y413" s="757"/>
      <c r="Z413" s="757"/>
      <c r="AA413" s="757"/>
      <c r="AB413" s="757"/>
      <c r="AC413" s="757"/>
      <c r="AD413" s="757"/>
      <c r="AE413" s="757"/>
      <c r="AF413" s="757"/>
      <c r="AG413" s="757"/>
      <c r="AH413" s="757"/>
      <c r="AI413" s="757"/>
      <c r="AJ413" s="757"/>
      <c r="AK413" s="757"/>
      <c r="AL413" s="757"/>
      <c r="AM413" s="757"/>
      <c r="AN413" s="757"/>
      <c r="AO413" s="757"/>
      <c r="AP413" s="757"/>
      <c r="AQ413" s="757"/>
      <c r="AR413" s="757"/>
      <c r="AS413" s="757"/>
      <c r="AT413" s="757"/>
      <c r="AU413" s="757"/>
      <c r="AV413" s="757"/>
      <c r="AW413" s="757"/>
      <c r="AX413" s="757"/>
      <c r="AY413" s="757"/>
      <c r="AZ413" s="75"/>
      <c r="BA413" s="2"/>
      <c r="BB413" s="2"/>
      <c r="BC413" s="2"/>
      <c r="BD413" s="2"/>
    </row>
    <row r="414" spans="1:56">
      <c r="A414" s="781">
        <v>1</v>
      </c>
      <c r="B414" s="782">
        <v>238</v>
      </c>
      <c r="C414" s="783">
        <v>45381</v>
      </c>
      <c r="D414" s="784" t="s">
        <v>607</v>
      </c>
      <c r="E414" s="807"/>
      <c r="F414" s="798">
        <v>76190.48</v>
      </c>
      <c r="G414" s="798">
        <v>3809.5239999999994</v>
      </c>
      <c r="H414" s="1592">
        <f t="shared" si="18"/>
        <v>80000.004000000001</v>
      </c>
      <c r="I414" s="754" t="str">
        <f>IFERROR(VLOOKUP(B414,Mychart!$A$125:$B$911,2,FALSE),"-")</f>
        <v>HARITH - AREEJ</v>
      </c>
      <c r="J414" s="753">
        <f t="shared" si="19"/>
        <v>3</v>
      </c>
      <c r="K414" s="1540">
        <f t="shared" si="20"/>
        <v>2024</v>
      </c>
      <c r="L414" s="757"/>
      <c r="M414" s="757"/>
      <c r="N414" s="757"/>
      <c r="O414" s="757"/>
      <c r="P414" s="757"/>
      <c r="Q414" s="757"/>
      <c r="R414" s="757"/>
      <c r="S414" s="757"/>
      <c r="T414" s="757"/>
      <c r="U414" s="757"/>
      <c r="V414" s="757"/>
      <c r="W414" s="757"/>
      <c r="X414" s="757"/>
      <c r="Y414" s="757"/>
      <c r="Z414" s="757"/>
      <c r="AA414" s="757"/>
      <c r="AB414" s="757"/>
      <c r="AC414" s="757"/>
      <c r="AD414" s="757"/>
      <c r="AE414" s="757"/>
      <c r="AF414" s="757"/>
      <c r="AG414" s="757"/>
      <c r="AH414" s="757"/>
      <c r="AI414" s="757"/>
      <c r="AJ414" s="757"/>
      <c r="AK414" s="757"/>
      <c r="AL414" s="757"/>
      <c r="AM414" s="757"/>
      <c r="AN414" s="757"/>
      <c r="AO414" s="757"/>
      <c r="AP414" s="757"/>
      <c r="AQ414" s="757"/>
      <c r="AR414" s="757"/>
      <c r="AS414" s="757"/>
      <c r="AT414" s="757"/>
      <c r="AU414" s="757"/>
      <c r="AV414" s="757"/>
      <c r="AW414" s="757"/>
      <c r="AX414" s="757"/>
      <c r="AY414" s="757"/>
      <c r="AZ414" s="75"/>
      <c r="BA414" s="2"/>
      <c r="BB414" s="2"/>
      <c r="BC414" s="2"/>
      <c r="BD414" s="2"/>
    </row>
    <row r="415" spans="1:56">
      <c r="A415" s="781">
        <v>1</v>
      </c>
      <c r="B415" s="782">
        <v>238</v>
      </c>
      <c r="C415" s="783">
        <v>45409</v>
      </c>
      <c r="D415" s="784" t="s">
        <v>608</v>
      </c>
      <c r="E415" s="807"/>
      <c r="F415" s="798">
        <v>11809.52</v>
      </c>
      <c r="G415" s="798">
        <v>590.47600000000011</v>
      </c>
      <c r="H415" s="1592">
        <f t="shared" si="18"/>
        <v>12399.996000000001</v>
      </c>
      <c r="I415" s="754" t="str">
        <f>IFERROR(VLOOKUP(B415,Mychart!$A$125:$B$911,2,FALSE),"-")</f>
        <v>HARITH - AREEJ</v>
      </c>
      <c r="J415" s="753">
        <f t="shared" si="19"/>
        <v>4</v>
      </c>
      <c r="K415" s="1540">
        <f t="shared" si="20"/>
        <v>2024</v>
      </c>
      <c r="L415" s="757"/>
      <c r="M415" s="757"/>
      <c r="N415" s="757"/>
      <c r="O415" s="757"/>
      <c r="P415" s="757"/>
      <c r="Q415" s="757"/>
      <c r="R415" s="757"/>
      <c r="S415" s="757"/>
      <c r="T415" s="757"/>
      <c r="U415" s="757"/>
      <c r="V415" s="757"/>
      <c r="W415" s="757"/>
      <c r="X415" s="757"/>
      <c r="Y415" s="757"/>
      <c r="Z415" s="757"/>
      <c r="AA415" s="757"/>
      <c r="AB415" s="757"/>
      <c r="AC415" s="757"/>
      <c r="AD415" s="757"/>
      <c r="AE415" s="757"/>
      <c r="AF415" s="757"/>
      <c r="AG415" s="757"/>
      <c r="AH415" s="757"/>
      <c r="AI415" s="757"/>
      <c r="AJ415" s="757"/>
      <c r="AK415" s="757"/>
      <c r="AL415" s="757"/>
      <c r="AM415" s="757"/>
      <c r="AN415" s="757"/>
      <c r="AO415" s="757"/>
      <c r="AP415" s="757"/>
      <c r="AQ415" s="757"/>
      <c r="AR415" s="757"/>
      <c r="AS415" s="757"/>
      <c r="AT415" s="757"/>
      <c r="AU415" s="757"/>
      <c r="AV415" s="757"/>
      <c r="AW415" s="757"/>
      <c r="AX415" s="757"/>
      <c r="AY415" s="757"/>
      <c r="AZ415" s="75"/>
      <c r="BA415" s="2"/>
      <c r="BB415" s="2"/>
      <c r="BC415" s="2"/>
      <c r="BD415" s="2"/>
    </row>
    <row r="416" spans="1:56">
      <c r="A416" s="781">
        <v>2</v>
      </c>
      <c r="B416" s="782">
        <v>238</v>
      </c>
      <c r="C416" s="783"/>
      <c r="D416" s="783" t="s">
        <v>183</v>
      </c>
      <c r="E416" s="808">
        <v>500</v>
      </c>
      <c r="F416" s="798"/>
      <c r="G416" s="799"/>
      <c r="H416" s="1592">
        <f t="shared" si="18"/>
        <v>0</v>
      </c>
      <c r="I416" s="754" t="str">
        <f>IFERROR(VLOOKUP(B416,Mychart!$A$125:$B$911,2,FALSE),"-")</f>
        <v>HARITH - AREEJ</v>
      </c>
      <c r="J416" s="753" t="str">
        <f t="shared" si="19"/>
        <v>-</v>
      </c>
      <c r="K416" s="1540">
        <f t="shared" si="20"/>
        <v>1900</v>
      </c>
      <c r="L416" s="757"/>
      <c r="M416" s="757"/>
      <c r="N416" s="757"/>
      <c r="O416" s="757"/>
      <c r="P416" s="757"/>
      <c r="Q416" s="757"/>
      <c r="R416" s="757"/>
      <c r="S416" s="757"/>
      <c r="T416" s="757"/>
      <c r="U416" s="757"/>
      <c r="V416" s="757"/>
      <c r="W416" s="757"/>
      <c r="X416" s="757"/>
      <c r="Y416" s="757"/>
      <c r="Z416" s="757"/>
      <c r="AA416" s="757"/>
      <c r="AB416" s="757"/>
      <c r="AC416" s="757"/>
      <c r="AD416" s="757"/>
      <c r="AE416" s="757"/>
      <c r="AF416" s="757"/>
      <c r="AG416" s="757"/>
      <c r="AH416" s="757"/>
      <c r="AI416" s="757"/>
      <c r="AJ416" s="757"/>
      <c r="AK416" s="757"/>
      <c r="AL416" s="757"/>
      <c r="AM416" s="757"/>
      <c r="AN416" s="757"/>
      <c r="AO416" s="757"/>
      <c r="AP416" s="757"/>
      <c r="AQ416" s="757"/>
      <c r="AR416" s="757"/>
      <c r="AS416" s="757"/>
      <c r="AT416" s="757"/>
      <c r="AU416" s="757"/>
      <c r="AV416" s="757"/>
      <c r="AW416" s="757"/>
      <c r="AX416" s="757"/>
      <c r="AY416" s="757"/>
      <c r="AZ416" s="75"/>
      <c r="BA416" s="2"/>
      <c r="BB416" s="2"/>
      <c r="BC416" s="2"/>
      <c r="BD416" s="2"/>
    </row>
    <row r="417" spans="1:56">
      <c r="A417" s="781">
        <v>2</v>
      </c>
      <c r="B417" s="782">
        <v>238</v>
      </c>
      <c r="C417" s="783"/>
      <c r="D417" s="783" t="s">
        <v>178</v>
      </c>
      <c r="E417" s="808">
        <v>84</v>
      </c>
      <c r="F417" s="798"/>
      <c r="G417" s="799"/>
      <c r="H417" s="1592">
        <f t="shared" si="18"/>
        <v>0</v>
      </c>
      <c r="I417" s="754" t="str">
        <f>IFERROR(VLOOKUP(B417,Mychart!$A$125:$B$911,2,FALSE),"-")</f>
        <v>HARITH - AREEJ</v>
      </c>
      <c r="J417" s="753" t="str">
        <f t="shared" si="19"/>
        <v>-</v>
      </c>
      <c r="K417" s="1540">
        <f t="shared" si="20"/>
        <v>1900</v>
      </c>
      <c r="L417" s="757"/>
      <c r="M417" s="757"/>
      <c r="N417" s="757"/>
      <c r="O417" s="757"/>
      <c r="P417" s="757"/>
      <c r="Q417" s="757"/>
      <c r="R417" s="757"/>
      <c r="S417" s="757"/>
      <c r="T417" s="757"/>
      <c r="U417" s="757"/>
      <c r="V417" s="757"/>
      <c r="W417" s="757"/>
      <c r="X417" s="757"/>
      <c r="Y417" s="757"/>
      <c r="Z417" s="757"/>
      <c r="AA417" s="757"/>
      <c r="AB417" s="757"/>
      <c r="AC417" s="757"/>
      <c r="AD417" s="757"/>
      <c r="AE417" s="757"/>
      <c r="AF417" s="757"/>
      <c r="AG417" s="757"/>
      <c r="AH417" s="757"/>
      <c r="AI417" s="757"/>
      <c r="AJ417" s="757"/>
      <c r="AK417" s="757"/>
      <c r="AL417" s="757"/>
      <c r="AM417" s="757"/>
      <c r="AN417" s="757"/>
      <c r="AO417" s="757"/>
      <c r="AP417" s="757"/>
      <c r="AQ417" s="757"/>
      <c r="AR417" s="757"/>
      <c r="AS417" s="757"/>
      <c r="AT417" s="757"/>
      <c r="AU417" s="757"/>
      <c r="AV417" s="757"/>
      <c r="AW417" s="757"/>
      <c r="AX417" s="757"/>
      <c r="AY417" s="757"/>
      <c r="AZ417" s="75"/>
      <c r="BA417" s="2"/>
      <c r="BB417" s="2"/>
      <c r="BC417" s="2"/>
      <c r="BD417" s="2"/>
    </row>
    <row r="418" spans="1:56">
      <c r="A418" s="781">
        <v>2</v>
      </c>
      <c r="B418" s="782">
        <v>238</v>
      </c>
      <c r="C418" s="783">
        <v>45291</v>
      </c>
      <c r="D418" s="783" t="s">
        <v>178</v>
      </c>
      <c r="E418" s="808">
        <v>2562</v>
      </c>
      <c r="F418" s="798"/>
      <c r="G418" s="799"/>
      <c r="H418" s="1592">
        <f t="shared" si="18"/>
        <v>0</v>
      </c>
      <c r="I418" s="754" t="str">
        <f>IFERROR(VLOOKUP(B418,Mychart!$A$125:$B$911,2,FALSE),"-")</f>
        <v>HARITH - AREEJ</v>
      </c>
      <c r="J418" s="753">
        <f t="shared" si="19"/>
        <v>12</v>
      </c>
      <c r="K418" s="1540">
        <f t="shared" si="20"/>
        <v>2023</v>
      </c>
      <c r="L418" s="757"/>
      <c r="M418" s="757"/>
      <c r="N418" s="757"/>
      <c r="O418" s="757"/>
      <c r="P418" s="757"/>
      <c r="Q418" s="757"/>
      <c r="R418" s="757"/>
      <c r="S418" s="757"/>
      <c r="T418" s="757"/>
      <c r="U418" s="757"/>
      <c r="V418" s="757"/>
      <c r="W418" s="757"/>
      <c r="X418" s="757"/>
      <c r="Y418" s="757"/>
      <c r="Z418" s="757"/>
      <c r="AA418" s="757"/>
      <c r="AB418" s="757"/>
      <c r="AC418" s="757"/>
      <c r="AD418" s="757"/>
      <c r="AE418" s="757"/>
      <c r="AF418" s="757"/>
      <c r="AG418" s="757"/>
      <c r="AH418" s="757"/>
      <c r="AI418" s="757"/>
      <c r="AJ418" s="757"/>
      <c r="AK418" s="757"/>
      <c r="AL418" s="757"/>
      <c r="AM418" s="757"/>
      <c r="AN418" s="757"/>
      <c r="AO418" s="757"/>
      <c r="AP418" s="757"/>
      <c r="AQ418" s="757"/>
      <c r="AR418" s="757"/>
      <c r="AS418" s="757"/>
      <c r="AT418" s="757"/>
      <c r="AU418" s="757"/>
      <c r="AV418" s="757"/>
      <c r="AW418" s="757"/>
      <c r="AX418" s="757"/>
      <c r="AY418" s="757"/>
      <c r="AZ418" s="75"/>
      <c r="BA418" s="2"/>
      <c r="BB418" s="2"/>
      <c r="BC418" s="2"/>
      <c r="BD418" s="2"/>
    </row>
    <row r="419" spans="1:56">
      <c r="A419" s="781">
        <v>2</v>
      </c>
      <c r="B419" s="782">
        <v>238</v>
      </c>
      <c r="C419" s="783">
        <v>45374</v>
      </c>
      <c r="D419" s="783" t="s">
        <v>179</v>
      </c>
      <c r="E419" s="808">
        <v>11000</v>
      </c>
      <c r="F419" s="798"/>
      <c r="G419" s="799"/>
      <c r="H419" s="1592">
        <f t="shared" si="18"/>
        <v>0</v>
      </c>
      <c r="I419" s="754" t="str">
        <f>IFERROR(VLOOKUP(B419,Mychart!$A$125:$B$911,2,FALSE),"-")</f>
        <v>HARITH - AREEJ</v>
      </c>
      <c r="J419" s="753">
        <f t="shared" si="19"/>
        <v>3</v>
      </c>
      <c r="K419" s="1540">
        <f t="shared" si="20"/>
        <v>2024</v>
      </c>
      <c r="L419" s="757"/>
      <c r="M419" s="757"/>
      <c r="N419" s="757"/>
      <c r="O419" s="757"/>
      <c r="P419" s="757"/>
      <c r="Q419" s="757"/>
      <c r="R419" s="757"/>
      <c r="S419" s="757"/>
      <c r="T419" s="757"/>
      <c r="U419" s="757"/>
      <c r="V419" s="757"/>
      <c r="W419" s="757"/>
      <c r="X419" s="757"/>
      <c r="Y419" s="757"/>
      <c r="Z419" s="757"/>
      <c r="AA419" s="757"/>
      <c r="AB419" s="757"/>
      <c r="AC419" s="757"/>
      <c r="AD419" s="757"/>
      <c r="AE419" s="757"/>
      <c r="AF419" s="757"/>
      <c r="AG419" s="757"/>
      <c r="AH419" s="757"/>
      <c r="AI419" s="757"/>
      <c r="AJ419" s="757"/>
      <c r="AK419" s="757"/>
      <c r="AL419" s="757"/>
      <c r="AM419" s="757"/>
      <c r="AN419" s="757"/>
      <c r="AO419" s="757"/>
      <c r="AP419" s="757"/>
      <c r="AQ419" s="757"/>
      <c r="AR419" s="757"/>
      <c r="AS419" s="757"/>
      <c r="AT419" s="757"/>
      <c r="AU419" s="757"/>
      <c r="AV419" s="757"/>
      <c r="AW419" s="757"/>
      <c r="AX419" s="757"/>
      <c r="AY419" s="757"/>
      <c r="AZ419" s="75"/>
      <c r="BA419" s="2"/>
      <c r="BB419" s="2"/>
      <c r="BC419" s="2"/>
      <c r="BD419" s="2"/>
    </row>
    <row r="420" spans="1:56">
      <c r="A420" s="781">
        <v>2</v>
      </c>
      <c r="B420" s="782">
        <v>238</v>
      </c>
      <c r="C420" s="783">
        <v>45377</v>
      </c>
      <c r="D420" s="783" t="s">
        <v>258</v>
      </c>
      <c r="E420" s="808">
        <v>5942.95</v>
      </c>
      <c r="F420" s="798"/>
      <c r="G420" s="799"/>
      <c r="H420" s="1592">
        <f t="shared" si="18"/>
        <v>0</v>
      </c>
      <c r="I420" s="754" t="str">
        <f>IFERROR(VLOOKUP(B420,Mychart!$A$125:$B$911,2,FALSE),"-")</f>
        <v>HARITH - AREEJ</v>
      </c>
      <c r="J420" s="753">
        <f t="shared" si="19"/>
        <v>3</v>
      </c>
      <c r="K420" s="1540">
        <f t="shared" si="20"/>
        <v>2024</v>
      </c>
      <c r="L420" s="757"/>
      <c r="M420" s="757"/>
      <c r="N420" s="757"/>
      <c r="O420" s="757"/>
      <c r="P420" s="757"/>
      <c r="Q420" s="757"/>
      <c r="R420" s="757"/>
      <c r="S420" s="757"/>
      <c r="T420" s="757"/>
      <c r="U420" s="757"/>
      <c r="V420" s="757"/>
      <c r="W420" s="757"/>
      <c r="X420" s="757"/>
      <c r="Y420" s="757"/>
      <c r="Z420" s="757"/>
      <c r="AA420" s="757"/>
      <c r="AB420" s="757"/>
      <c r="AC420" s="757"/>
      <c r="AD420" s="757"/>
      <c r="AE420" s="757"/>
      <c r="AF420" s="757"/>
      <c r="AG420" s="757"/>
      <c r="AH420" s="757"/>
      <c r="AI420" s="757"/>
      <c r="AJ420" s="757"/>
      <c r="AK420" s="757"/>
      <c r="AL420" s="757"/>
      <c r="AM420" s="757"/>
      <c r="AN420" s="757"/>
      <c r="AO420" s="757"/>
      <c r="AP420" s="757"/>
      <c r="AQ420" s="757"/>
      <c r="AR420" s="757"/>
      <c r="AS420" s="757"/>
      <c r="AT420" s="757"/>
      <c r="AU420" s="757"/>
      <c r="AV420" s="757"/>
      <c r="AW420" s="757"/>
      <c r="AX420" s="757"/>
      <c r="AY420" s="757"/>
      <c r="AZ420" s="75"/>
      <c r="BA420" s="2"/>
      <c r="BB420" s="2"/>
      <c r="BC420" s="2"/>
      <c r="BD420" s="2"/>
    </row>
    <row r="421" spans="1:56">
      <c r="A421" s="781">
        <v>2</v>
      </c>
      <c r="B421" s="782">
        <v>238</v>
      </c>
      <c r="C421" s="783">
        <v>45382</v>
      </c>
      <c r="D421" s="783" t="s">
        <v>178</v>
      </c>
      <c r="E421" s="808">
        <v>5839</v>
      </c>
      <c r="F421" s="798"/>
      <c r="G421" s="799"/>
      <c r="H421" s="1592">
        <f t="shared" si="18"/>
        <v>0</v>
      </c>
      <c r="I421" s="754" t="str">
        <f>IFERROR(VLOOKUP(B421,Mychart!$A$125:$B$911,2,FALSE),"-")</f>
        <v>HARITH - AREEJ</v>
      </c>
      <c r="J421" s="753">
        <f t="shared" si="19"/>
        <v>3</v>
      </c>
      <c r="K421" s="1540">
        <f t="shared" si="20"/>
        <v>2024</v>
      </c>
      <c r="L421" s="757"/>
      <c r="M421" s="757"/>
      <c r="N421" s="757"/>
      <c r="O421" s="757"/>
      <c r="P421" s="757"/>
      <c r="Q421" s="757"/>
      <c r="R421" s="757"/>
      <c r="S421" s="757"/>
      <c r="T421" s="757"/>
      <c r="U421" s="757"/>
      <c r="V421" s="757"/>
      <c r="W421" s="757"/>
      <c r="X421" s="757"/>
      <c r="Y421" s="757"/>
      <c r="Z421" s="757"/>
      <c r="AA421" s="757"/>
      <c r="AB421" s="757"/>
      <c r="AC421" s="757"/>
      <c r="AD421" s="757"/>
      <c r="AE421" s="757"/>
      <c r="AF421" s="757"/>
      <c r="AG421" s="757"/>
      <c r="AH421" s="757"/>
      <c r="AI421" s="757"/>
      <c r="AJ421" s="757"/>
      <c r="AK421" s="757"/>
      <c r="AL421" s="757"/>
      <c r="AM421" s="757"/>
      <c r="AN421" s="757"/>
      <c r="AO421" s="757"/>
      <c r="AP421" s="757"/>
      <c r="AQ421" s="757"/>
      <c r="AR421" s="757"/>
      <c r="AS421" s="757"/>
      <c r="AT421" s="757"/>
      <c r="AU421" s="757"/>
      <c r="AV421" s="757"/>
      <c r="AW421" s="757"/>
      <c r="AX421" s="757"/>
      <c r="AY421" s="757"/>
      <c r="AZ421" s="75"/>
      <c r="BA421" s="2"/>
      <c r="BB421" s="2"/>
      <c r="BC421" s="2"/>
      <c r="BD421" s="2"/>
    </row>
    <row r="422" spans="1:56">
      <c r="A422" s="781">
        <v>2</v>
      </c>
      <c r="B422" s="782">
        <v>238</v>
      </c>
      <c r="C422" s="783">
        <v>45412</v>
      </c>
      <c r="D422" s="783" t="s">
        <v>178</v>
      </c>
      <c r="E422" s="808">
        <v>5068</v>
      </c>
      <c r="F422" s="798"/>
      <c r="G422" s="799"/>
      <c r="H422" s="1592">
        <f t="shared" si="18"/>
        <v>0</v>
      </c>
      <c r="I422" s="754" t="str">
        <f>IFERROR(VLOOKUP(B422,Mychart!$A$125:$B$911,2,FALSE),"-")</f>
        <v>HARITH - AREEJ</v>
      </c>
      <c r="J422" s="753">
        <f t="shared" si="19"/>
        <v>4</v>
      </c>
      <c r="K422" s="1540">
        <f t="shared" si="20"/>
        <v>2024</v>
      </c>
      <c r="L422" s="757"/>
      <c r="M422" s="757"/>
      <c r="N422" s="757"/>
      <c r="O422" s="757"/>
      <c r="P422" s="757"/>
      <c r="Q422" s="757"/>
      <c r="R422" s="757"/>
      <c r="S422" s="757"/>
      <c r="T422" s="757"/>
      <c r="U422" s="757"/>
      <c r="V422" s="757"/>
      <c r="W422" s="757"/>
      <c r="X422" s="757"/>
      <c r="Y422" s="757"/>
      <c r="Z422" s="757"/>
      <c r="AA422" s="757"/>
      <c r="AB422" s="757"/>
      <c r="AC422" s="757"/>
      <c r="AD422" s="757"/>
      <c r="AE422" s="757"/>
      <c r="AF422" s="757"/>
      <c r="AG422" s="757"/>
      <c r="AH422" s="757"/>
      <c r="AI422" s="757"/>
      <c r="AJ422" s="757"/>
      <c r="AK422" s="757"/>
      <c r="AL422" s="757"/>
      <c r="AM422" s="757"/>
      <c r="AN422" s="757"/>
      <c r="AO422" s="757"/>
      <c r="AP422" s="757"/>
      <c r="AQ422" s="757"/>
      <c r="AR422" s="757"/>
      <c r="AS422" s="757"/>
      <c r="AT422" s="757"/>
      <c r="AU422" s="757"/>
      <c r="AV422" s="757"/>
      <c r="AW422" s="757"/>
      <c r="AX422" s="757"/>
      <c r="AY422" s="757"/>
      <c r="AZ422" s="75"/>
      <c r="BA422" s="2"/>
      <c r="BB422" s="2"/>
      <c r="BC422" s="2"/>
      <c r="BD422" s="2"/>
    </row>
    <row r="423" spans="1:56">
      <c r="A423" s="781">
        <v>2</v>
      </c>
      <c r="B423" s="782">
        <v>238</v>
      </c>
      <c r="C423" s="783">
        <v>45442</v>
      </c>
      <c r="D423" s="785" t="s">
        <v>178</v>
      </c>
      <c r="E423" s="808">
        <v>2598</v>
      </c>
      <c r="F423" s="798"/>
      <c r="G423" s="799"/>
      <c r="H423" s="1592">
        <f t="shared" si="18"/>
        <v>0</v>
      </c>
      <c r="I423" s="754" t="str">
        <f>IFERROR(VLOOKUP(B423,Mychart!$A$125:$B$911,2,FALSE),"-")</f>
        <v>HARITH - AREEJ</v>
      </c>
      <c r="J423" s="753">
        <f t="shared" si="19"/>
        <v>5</v>
      </c>
      <c r="K423" s="1540">
        <f t="shared" si="20"/>
        <v>2024</v>
      </c>
      <c r="L423" s="757"/>
      <c r="M423" s="757"/>
      <c r="N423" s="757"/>
      <c r="O423" s="757"/>
      <c r="P423" s="757"/>
      <c r="Q423" s="757"/>
      <c r="R423" s="757"/>
      <c r="S423" s="757"/>
      <c r="T423" s="757"/>
      <c r="U423" s="757"/>
      <c r="V423" s="757"/>
      <c r="W423" s="757"/>
      <c r="X423" s="757"/>
      <c r="Y423" s="757"/>
      <c r="Z423" s="757"/>
      <c r="AA423" s="757"/>
      <c r="AB423" s="757"/>
      <c r="AC423" s="757"/>
      <c r="AD423" s="757"/>
      <c r="AE423" s="757"/>
      <c r="AF423" s="757"/>
      <c r="AG423" s="757"/>
      <c r="AH423" s="757"/>
      <c r="AI423" s="757"/>
      <c r="AJ423" s="757"/>
      <c r="AK423" s="757"/>
      <c r="AL423" s="757"/>
      <c r="AM423" s="757"/>
      <c r="AN423" s="757"/>
      <c r="AO423" s="757"/>
      <c r="AP423" s="757"/>
      <c r="AQ423" s="757"/>
      <c r="AR423" s="757"/>
      <c r="AS423" s="757"/>
      <c r="AT423" s="757"/>
      <c r="AU423" s="757"/>
      <c r="AV423" s="757"/>
      <c r="AW423" s="757"/>
      <c r="AX423" s="757"/>
      <c r="AY423" s="757"/>
      <c r="AZ423" s="75"/>
      <c r="BA423" s="2"/>
      <c r="BB423" s="2"/>
      <c r="BC423" s="2"/>
      <c r="BD423" s="2"/>
    </row>
    <row r="424" spans="1:56">
      <c r="A424" s="781">
        <v>2</v>
      </c>
      <c r="B424" s="782">
        <v>238</v>
      </c>
      <c r="C424" s="783">
        <v>45439</v>
      </c>
      <c r="D424" s="783" t="s">
        <v>394</v>
      </c>
      <c r="E424" s="808">
        <v>605.32000000000005</v>
      </c>
      <c r="F424" s="798"/>
      <c r="G424" s="799"/>
      <c r="H424" s="1592">
        <f t="shared" si="18"/>
        <v>0</v>
      </c>
      <c r="I424" s="754" t="str">
        <f>IFERROR(VLOOKUP(B424,Mychart!$A$125:$B$911,2,FALSE),"-")</f>
        <v>HARITH - AREEJ</v>
      </c>
      <c r="J424" s="753">
        <f t="shared" si="19"/>
        <v>5</v>
      </c>
      <c r="K424" s="1540">
        <f t="shared" si="20"/>
        <v>2024</v>
      </c>
      <c r="L424" s="757"/>
      <c r="M424" s="757"/>
      <c r="N424" s="757"/>
      <c r="O424" s="757"/>
      <c r="P424" s="757"/>
      <c r="Q424" s="757"/>
      <c r="R424" s="757"/>
      <c r="S424" s="757"/>
      <c r="T424" s="757"/>
      <c r="U424" s="757"/>
      <c r="V424" s="757"/>
      <c r="W424" s="757"/>
      <c r="X424" s="757"/>
      <c r="Y424" s="757"/>
      <c r="Z424" s="757"/>
      <c r="AA424" s="757"/>
      <c r="AB424" s="757"/>
      <c r="AC424" s="757"/>
      <c r="AD424" s="757"/>
      <c r="AE424" s="757"/>
      <c r="AF424" s="757"/>
      <c r="AG424" s="757"/>
      <c r="AH424" s="757"/>
      <c r="AI424" s="757"/>
      <c r="AJ424" s="757"/>
      <c r="AK424" s="757"/>
      <c r="AL424" s="757"/>
      <c r="AM424" s="757"/>
      <c r="AN424" s="757"/>
      <c r="AO424" s="757"/>
      <c r="AP424" s="757"/>
      <c r="AQ424" s="757"/>
      <c r="AR424" s="757"/>
      <c r="AS424" s="757"/>
      <c r="AT424" s="757"/>
      <c r="AU424" s="757"/>
      <c r="AV424" s="757"/>
      <c r="AW424" s="757"/>
      <c r="AX424" s="757"/>
      <c r="AY424" s="757"/>
      <c r="AZ424" s="75"/>
      <c r="BA424" s="2"/>
      <c r="BB424" s="2"/>
      <c r="BC424" s="2"/>
      <c r="BD424" s="2"/>
    </row>
    <row r="425" spans="1:56">
      <c r="A425" s="781">
        <v>2</v>
      </c>
      <c r="B425" s="782">
        <v>238</v>
      </c>
      <c r="C425" s="783">
        <v>45433</v>
      </c>
      <c r="D425" s="783" t="s">
        <v>394</v>
      </c>
      <c r="E425" s="808">
        <v>1864.26</v>
      </c>
      <c r="F425" s="798"/>
      <c r="G425" s="799"/>
      <c r="H425" s="1592">
        <f t="shared" si="18"/>
        <v>0</v>
      </c>
      <c r="I425" s="754" t="str">
        <f>IFERROR(VLOOKUP(B425,Mychart!$A$125:$B$911,2,FALSE),"-")</f>
        <v>HARITH - AREEJ</v>
      </c>
      <c r="J425" s="753">
        <f t="shared" si="19"/>
        <v>5</v>
      </c>
      <c r="K425" s="1540">
        <f t="shared" si="20"/>
        <v>2024</v>
      </c>
      <c r="L425" s="757"/>
      <c r="M425" s="757"/>
      <c r="N425" s="757"/>
      <c r="O425" s="757"/>
      <c r="P425" s="757"/>
      <c r="Q425" s="757"/>
      <c r="R425" s="757"/>
      <c r="S425" s="757"/>
      <c r="T425" s="757"/>
      <c r="U425" s="757"/>
      <c r="V425" s="757"/>
      <c r="W425" s="757"/>
      <c r="X425" s="757"/>
      <c r="Y425" s="757"/>
      <c r="Z425" s="757"/>
      <c r="AA425" s="757"/>
      <c r="AB425" s="757"/>
      <c r="AC425" s="757"/>
      <c r="AD425" s="757"/>
      <c r="AE425" s="757"/>
      <c r="AF425" s="757"/>
      <c r="AG425" s="757"/>
      <c r="AH425" s="757"/>
      <c r="AI425" s="757"/>
      <c r="AJ425" s="757"/>
      <c r="AK425" s="757"/>
      <c r="AL425" s="757"/>
      <c r="AM425" s="757"/>
      <c r="AN425" s="757"/>
      <c r="AO425" s="757"/>
      <c r="AP425" s="757"/>
      <c r="AQ425" s="757"/>
      <c r="AR425" s="757"/>
      <c r="AS425" s="757"/>
      <c r="AT425" s="757"/>
      <c r="AU425" s="757"/>
      <c r="AV425" s="757"/>
      <c r="AW425" s="757"/>
      <c r="AX425" s="757"/>
      <c r="AY425" s="757"/>
      <c r="AZ425" s="75"/>
      <c r="BA425" s="2"/>
      <c r="BB425" s="2"/>
      <c r="BC425" s="2"/>
      <c r="BD425" s="2"/>
    </row>
    <row r="426" spans="1:56">
      <c r="A426" s="781">
        <v>2</v>
      </c>
      <c r="B426" s="782">
        <v>238</v>
      </c>
      <c r="C426" s="783">
        <v>45295</v>
      </c>
      <c r="D426" s="783" t="s">
        <v>394</v>
      </c>
      <c r="E426" s="808">
        <v>1014</v>
      </c>
      <c r="F426" s="798"/>
      <c r="G426" s="799"/>
      <c r="H426" s="1592">
        <f t="shared" si="18"/>
        <v>0</v>
      </c>
      <c r="I426" s="754" t="str">
        <f>IFERROR(VLOOKUP(B426,Mychart!$A$125:$B$911,2,FALSE),"-")</f>
        <v>HARITH - AREEJ</v>
      </c>
      <c r="J426" s="753">
        <f t="shared" si="19"/>
        <v>1</v>
      </c>
      <c r="K426" s="1540">
        <f t="shared" si="20"/>
        <v>2024</v>
      </c>
      <c r="L426" s="757"/>
      <c r="M426" s="757"/>
      <c r="N426" s="757"/>
      <c r="O426" s="757"/>
      <c r="P426" s="757"/>
      <c r="Q426" s="757"/>
      <c r="R426" s="757"/>
      <c r="S426" s="757"/>
      <c r="T426" s="757"/>
      <c r="U426" s="757"/>
      <c r="V426" s="757"/>
      <c r="W426" s="757"/>
      <c r="X426" s="757"/>
      <c r="Y426" s="757"/>
      <c r="Z426" s="757"/>
      <c r="AA426" s="757"/>
      <c r="AB426" s="757"/>
      <c r="AC426" s="757"/>
      <c r="AD426" s="757"/>
      <c r="AE426" s="757"/>
      <c r="AF426" s="757"/>
      <c r="AG426" s="757"/>
      <c r="AH426" s="757"/>
      <c r="AI426" s="757"/>
      <c r="AJ426" s="757"/>
      <c r="AK426" s="757"/>
      <c r="AL426" s="757"/>
      <c r="AM426" s="757"/>
      <c r="AN426" s="757"/>
      <c r="AO426" s="757"/>
      <c r="AP426" s="757"/>
      <c r="AQ426" s="757"/>
      <c r="AR426" s="757"/>
      <c r="AS426" s="757"/>
      <c r="AT426" s="757"/>
      <c r="AU426" s="757"/>
      <c r="AV426" s="757"/>
      <c r="AW426" s="757"/>
      <c r="AX426" s="757"/>
      <c r="AY426" s="757"/>
      <c r="AZ426" s="75"/>
      <c r="BA426" s="2"/>
      <c r="BB426" s="2"/>
      <c r="BC426" s="2"/>
      <c r="BD426" s="2"/>
    </row>
    <row r="427" spans="1:56">
      <c r="A427" s="781">
        <v>1</v>
      </c>
      <c r="B427" s="782">
        <v>234</v>
      </c>
      <c r="C427" s="783">
        <v>45075</v>
      </c>
      <c r="D427" s="786" t="s">
        <v>613</v>
      </c>
      <c r="E427" s="807"/>
      <c r="F427" s="798">
        <v>26000</v>
      </c>
      <c r="G427" s="798">
        <v>0</v>
      </c>
      <c r="H427" s="1592">
        <f t="shared" si="18"/>
        <v>26000</v>
      </c>
      <c r="I427" s="754" t="str">
        <f>IFERROR(VLOOKUP(B427,Mychart!$A$125:$B$911,2,FALSE),"-")</f>
        <v>HASSAN KAHMIS NAQIB - AREEJ</v>
      </c>
      <c r="J427" s="753">
        <f t="shared" si="19"/>
        <v>5</v>
      </c>
      <c r="K427" s="1540">
        <f t="shared" si="20"/>
        <v>2023</v>
      </c>
      <c r="L427" s="757"/>
      <c r="M427" s="757"/>
      <c r="N427" s="757"/>
      <c r="O427" s="757"/>
      <c r="P427" s="757"/>
      <c r="Q427" s="757"/>
      <c r="R427" s="757"/>
      <c r="S427" s="757"/>
      <c r="T427" s="757"/>
      <c r="U427" s="757"/>
      <c r="V427" s="757"/>
      <c r="W427" s="757"/>
      <c r="X427" s="757"/>
      <c r="Y427" s="757"/>
      <c r="Z427" s="757"/>
      <c r="AA427" s="757"/>
      <c r="AB427" s="757"/>
      <c r="AC427" s="757"/>
      <c r="AD427" s="757"/>
      <c r="AE427" s="757"/>
      <c r="AF427" s="757"/>
      <c r="AG427" s="757"/>
      <c r="AH427" s="757"/>
      <c r="AI427" s="757"/>
      <c r="AJ427" s="757"/>
      <c r="AK427" s="757"/>
      <c r="AL427" s="757"/>
      <c r="AM427" s="757"/>
      <c r="AN427" s="757"/>
      <c r="AO427" s="757"/>
      <c r="AP427" s="757"/>
      <c r="AQ427" s="757"/>
      <c r="AR427" s="757"/>
      <c r="AS427" s="757"/>
      <c r="AT427" s="757"/>
      <c r="AU427" s="757"/>
      <c r="AV427" s="757"/>
      <c r="AW427" s="757"/>
      <c r="AX427" s="757"/>
      <c r="AY427" s="757"/>
      <c r="AZ427" s="75"/>
      <c r="BA427" s="2"/>
      <c r="BB427" s="2"/>
      <c r="BC427" s="2"/>
      <c r="BD427" s="2"/>
    </row>
    <row r="428" spans="1:56">
      <c r="A428" s="781">
        <v>1</v>
      </c>
      <c r="B428" s="782">
        <v>234</v>
      </c>
      <c r="C428" s="783">
        <v>45238</v>
      </c>
      <c r="D428" s="784" t="s">
        <v>614</v>
      </c>
      <c r="E428" s="807"/>
      <c r="F428" s="798">
        <v>48750</v>
      </c>
      <c r="G428" s="798">
        <v>3738</v>
      </c>
      <c r="H428" s="1592">
        <f t="shared" si="18"/>
        <v>52488</v>
      </c>
      <c r="I428" s="754" t="str">
        <f>IFERROR(VLOOKUP(B428,Mychart!$A$125:$B$911,2,FALSE),"-")</f>
        <v>HASSAN KAHMIS NAQIB - AREEJ</v>
      </c>
      <c r="J428" s="753">
        <f t="shared" si="19"/>
        <v>11</v>
      </c>
      <c r="K428" s="1540">
        <f t="shared" si="20"/>
        <v>2023</v>
      </c>
      <c r="L428" s="757"/>
      <c r="M428" s="757"/>
      <c r="N428" s="757"/>
      <c r="O428" s="757"/>
      <c r="P428" s="757"/>
      <c r="Q428" s="757"/>
      <c r="R428" s="757"/>
      <c r="S428" s="757"/>
      <c r="T428" s="757"/>
      <c r="U428" s="757"/>
      <c r="V428" s="757"/>
      <c r="W428" s="757"/>
      <c r="X428" s="757"/>
      <c r="Y428" s="757"/>
      <c r="Z428" s="757"/>
      <c r="AA428" s="757"/>
      <c r="AB428" s="757"/>
      <c r="AC428" s="757"/>
      <c r="AD428" s="757"/>
      <c r="AE428" s="757"/>
      <c r="AF428" s="757"/>
      <c r="AG428" s="757"/>
      <c r="AH428" s="757"/>
      <c r="AI428" s="757"/>
      <c r="AJ428" s="757"/>
      <c r="AK428" s="757"/>
      <c r="AL428" s="757"/>
      <c r="AM428" s="757"/>
      <c r="AN428" s="757"/>
      <c r="AO428" s="757"/>
      <c r="AP428" s="757"/>
      <c r="AQ428" s="757"/>
      <c r="AR428" s="757"/>
      <c r="AS428" s="757"/>
      <c r="AT428" s="757"/>
      <c r="AU428" s="757"/>
      <c r="AV428" s="757"/>
      <c r="AW428" s="757"/>
      <c r="AX428" s="757"/>
      <c r="AY428" s="757"/>
      <c r="AZ428" s="75"/>
      <c r="BA428" s="2"/>
      <c r="BB428" s="2"/>
      <c r="BC428" s="2"/>
      <c r="BD428" s="2"/>
    </row>
    <row r="429" spans="1:56">
      <c r="A429" s="781">
        <v>1</v>
      </c>
      <c r="B429" s="782">
        <v>234</v>
      </c>
      <c r="C429" s="783">
        <v>45347</v>
      </c>
      <c r="D429" s="784" t="s">
        <v>615</v>
      </c>
      <c r="E429" s="807"/>
      <c r="F429" s="798">
        <v>15000</v>
      </c>
      <c r="G429" s="798"/>
      <c r="H429" s="1592">
        <f t="shared" si="18"/>
        <v>15000</v>
      </c>
      <c r="I429" s="754" t="str">
        <f>IFERROR(VLOOKUP(B429,Mychart!$A$125:$B$911,2,FALSE),"-")</f>
        <v>HASSAN KAHMIS NAQIB - AREEJ</v>
      </c>
      <c r="J429" s="753">
        <f t="shared" si="19"/>
        <v>2</v>
      </c>
      <c r="K429" s="1540">
        <f t="shared" si="20"/>
        <v>2024</v>
      </c>
      <c r="L429" s="757"/>
      <c r="M429" s="757"/>
      <c r="N429" s="757"/>
      <c r="O429" s="757"/>
      <c r="P429" s="757"/>
      <c r="Q429" s="757"/>
      <c r="R429" s="757"/>
      <c r="S429" s="757"/>
      <c r="T429" s="757"/>
      <c r="U429" s="757"/>
      <c r="V429" s="757"/>
      <c r="W429" s="757"/>
      <c r="X429" s="757"/>
      <c r="Y429" s="757"/>
      <c r="Z429" s="757"/>
      <c r="AA429" s="757"/>
      <c r="AB429" s="757"/>
      <c r="AC429" s="757"/>
      <c r="AD429" s="757"/>
      <c r="AE429" s="757"/>
      <c r="AF429" s="757"/>
      <c r="AG429" s="757"/>
      <c r="AH429" s="757"/>
      <c r="AI429" s="757"/>
      <c r="AJ429" s="757"/>
      <c r="AK429" s="757"/>
      <c r="AL429" s="757"/>
      <c r="AM429" s="757"/>
      <c r="AN429" s="757"/>
      <c r="AO429" s="757"/>
      <c r="AP429" s="757"/>
      <c r="AQ429" s="757"/>
      <c r="AR429" s="757"/>
      <c r="AS429" s="757"/>
      <c r="AT429" s="757"/>
      <c r="AU429" s="757"/>
      <c r="AV429" s="757"/>
      <c r="AW429" s="757"/>
      <c r="AX429" s="757"/>
      <c r="AY429" s="757"/>
      <c r="AZ429" s="75"/>
      <c r="BA429" s="2"/>
      <c r="BB429" s="2"/>
      <c r="BC429" s="2"/>
      <c r="BD429" s="2"/>
    </row>
    <row r="430" spans="1:56">
      <c r="A430" s="781">
        <v>1</v>
      </c>
      <c r="B430" s="782">
        <v>234</v>
      </c>
      <c r="C430" s="783">
        <v>45384</v>
      </c>
      <c r="D430" s="784" t="s">
        <v>616</v>
      </c>
      <c r="E430" s="807"/>
      <c r="F430" s="798">
        <v>29460</v>
      </c>
      <c r="G430" s="798">
        <v>2223</v>
      </c>
      <c r="H430" s="1592">
        <f t="shared" si="18"/>
        <v>31683</v>
      </c>
      <c r="I430" s="754" t="str">
        <f>IFERROR(VLOOKUP(B430,Mychart!$A$125:$B$911,2,FALSE),"-")</f>
        <v>HASSAN KAHMIS NAQIB - AREEJ</v>
      </c>
      <c r="J430" s="753">
        <f t="shared" si="19"/>
        <v>4</v>
      </c>
      <c r="K430" s="1540">
        <f t="shared" si="20"/>
        <v>2024</v>
      </c>
      <c r="L430" s="757"/>
      <c r="M430" s="757"/>
      <c r="N430" s="757"/>
      <c r="O430" s="757"/>
      <c r="P430" s="757"/>
      <c r="Q430" s="757"/>
      <c r="R430" s="757"/>
      <c r="S430" s="757"/>
      <c r="T430" s="757"/>
      <c r="U430" s="757"/>
      <c r="V430" s="757"/>
      <c r="W430" s="757"/>
      <c r="X430" s="757"/>
      <c r="Y430" s="757"/>
      <c r="Z430" s="757"/>
      <c r="AA430" s="757"/>
      <c r="AB430" s="757"/>
      <c r="AC430" s="757"/>
      <c r="AD430" s="757"/>
      <c r="AE430" s="757"/>
      <c r="AF430" s="757"/>
      <c r="AG430" s="757"/>
      <c r="AH430" s="757"/>
      <c r="AI430" s="757"/>
      <c r="AJ430" s="757"/>
      <c r="AK430" s="757"/>
      <c r="AL430" s="757"/>
      <c r="AM430" s="757"/>
      <c r="AN430" s="757"/>
      <c r="AO430" s="757"/>
      <c r="AP430" s="757"/>
      <c r="AQ430" s="757"/>
      <c r="AR430" s="757"/>
      <c r="AS430" s="757"/>
      <c r="AT430" s="757"/>
      <c r="AU430" s="757"/>
      <c r="AV430" s="757"/>
      <c r="AW430" s="757"/>
      <c r="AX430" s="757"/>
      <c r="AY430" s="757"/>
      <c r="AZ430" s="75"/>
      <c r="BA430" s="2"/>
      <c r="BB430" s="2"/>
      <c r="BC430" s="2"/>
      <c r="BD430" s="2"/>
    </row>
    <row r="431" spans="1:56">
      <c r="A431" s="781">
        <v>2</v>
      </c>
      <c r="B431" s="782">
        <v>234</v>
      </c>
      <c r="C431" s="783">
        <v>45075</v>
      </c>
      <c r="D431" s="783" t="s">
        <v>181</v>
      </c>
      <c r="E431" s="808">
        <v>6500</v>
      </c>
      <c r="F431" s="799"/>
      <c r="G431" s="799"/>
      <c r="H431" s="1592">
        <f t="shared" si="18"/>
        <v>0</v>
      </c>
      <c r="I431" s="754" t="str">
        <f>IFERROR(VLOOKUP(B431,Mychart!$A$125:$B$911,2,FALSE),"-")</f>
        <v>HASSAN KAHMIS NAQIB - AREEJ</v>
      </c>
      <c r="J431" s="753">
        <f t="shared" si="19"/>
        <v>5</v>
      </c>
      <c r="K431" s="1540">
        <f t="shared" si="20"/>
        <v>2023</v>
      </c>
      <c r="L431" s="757"/>
      <c r="M431" s="757"/>
      <c r="N431" s="757"/>
      <c r="O431" s="757"/>
      <c r="P431" s="757"/>
      <c r="Q431" s="757"/>
      <c r="R431" s="757"/>
      <c r="S431" s="757"/>
      <c r="T431" s="757"/>
      <c r="U431" s="757"/>
      <c r="V431" s="757"/>
      <c r="W431" s="757"/>
      <c r="X431" s="757"/>
      <c r="Y431" s="757"/>
      <c r="Z431" s="757"/>
      <c r="AA431" s="757"/>
      <c r="AB431" s="757"/>
      <c r="AC431" s="757"/>
      <c r="AD431" s="757"/>
      <c r="AE431" s="757"/>
      <c r="AF431" s="757"/>
      <c r="AG431" s="757"/>
      <c r="AH431" s="757"/>
      <c r="AI431" s="757"/>
      <c r="AJ431" s="757"/>
      <c r="AK431" s="757"/>
      <c r="AL431" s="757"/>
      <c r="AM431" s="757"/>
      <c r="AN431" s="757"/>
      <c r="AO431" s="757"/>
      <c r="AP431" s="757"/>
      <c r="AQ431" s="757"/>
      <c r="AR431" s="757"/>
      <c r="AS431" s="757"/>
      <c r="AT431" s="757"/>
      <c r="AU431" s="757"/>
      <c r="AV431" s="757"/>
      <c r="AW431" s="757"/>
      <c r="AX431" s="757"/>
      <c r="AY431" s="757"/>
      <c r="AZ431" s="75"/>
      <c r="BA431" s="2"/>
      <c r="BB431" s="2"/>
      <c r="BC431" s="2"/>
      <c r="BD431" s="2"/>
    </row>
    <row r="432" spans="1:56">
      <c r="A432" s="781">
        <v>2</v>
      </c>
      <c r="B432" s="782">
        <v>234</v>
      </c>
      <c r="C432" s="783"/>
      <c r="D432" s="783" t="s">
        <v>177</v>
      </c>
      <c r="E432" s="808">
        <v>171</v>
      </c>
      <c r="F432" s="799"/>
      <c r="G432" s="799"/>
      <c r="H432" s="1592">
        <f t="shared" si="18"/>
        <v>0</v>
      </c>
      <c r="I432" s="754" t="str">
        <f>IFERROR(VLOOKUP(B432,Mychart!$A$125:$B$911,2,FALSE),"-")</f>
        <v>HASSAN KAHMIS NAQIB - AREEJ</v>
      </c>
      <c r="J432" s="753" t="str">
        <f t="shared" si="19"/>
        <v>-</v>
      </c>
      <c r="K432" s="1540">
        <f t="shared" si="20"/>
        <v>1900</v>
      </c>
      <c r="L432" s="757"/>
      <c r="M432" s="757"/>
      <c r="N432" s="757"/>
      <c r="O432" s="757"/>
      <c r="P432" s="757"/>
      <c r="Q432" s="757"/>
      <c r="R432" s="757"/>
      <c r="S432" s="757"/>
      <c r="T432" s="757"/>
      <c r="U432" s="757"/>
      <c r="V432" s="757"/>
      <c r="W432" s="757"/>
      <c r="X432" s="757"/>
      <c r="Y432" s="757"/>
      <c r="Z432" s="757"/>
      <c r="AA432" s="757"/>
      <c r="AB432" s="757"/>
      <c r="AC432" s="757"/>
      <c r="AD432" s="757"/>
      <c r="AE432" s="757"/>
      <c r="AF432" s="757"/>
      <c r="AG432" s="757"/>
      <c r="AH432" s="757"/>
      <c r="AI432" s="757"/>
      <c r="AJ432" s="757"/>
      <c r="AK432" s="757"/>
      <c r="AL432" s="757"/>
      <c r="AM432" s="757"/>
      <c r="AN432" s="757"/>
      <c r="AO432" s="757"/>
      <c r="AP432" s="757"/>
      <c r="AQ432" s="757"/>
      <c r="AR432" s="757"/>
      <c r="AS432" s="757"/>
      <c r="AT432" s="757"/>
      <c r="AU432" s="757"/>
      <c r="AV432" s="757"/>
      <c r="AW432" s="757"/>
      <c r="AX432" s="757"/>
      <c r="AY432" s="757"/>
      <c r="AZ432" s="75"/>
      <c r="BA432" s="2"/>
      <c r="BB432" s="2"/>
      <c r="BC432" s="2"/>
      <c r="BD432" s="2"/>
    </row>
    <row r="433" spans="1:56">
      <c r="A433" s="781">
        <v>2</v>
      </c>
      <c r="B433" s="782">
        <v>234</v>
      </c>
      <c r="C433" s="783"/>
      <c r="D433" s="783" t="s">
        <v>183</v>
      </c>
      <c r="E433" s="808">
        <v>500</v>
      </c>
      <c r="F433" s="799"/>
      <c r="G433" s="799"/>
      <c r="H433" s="1592">
        <f t="shared" si="18"/>
        <v>0</v>
      </c>
      <c r="I433" s="754" t="str">
        <f>IFERROR(VLOOKUP(B433,Mychart!$A$125:$B$911,2,FALSE),"-")</f>
        <v>HASSAN KAHMIS NAQIB - AREEJ</v>
      </c>
      <c r="J433" s="753" t="str">
        <f t="shared" si="19"/>
        <v>-</v>
      </c>
      <c r="K433" s="1540">
        <f t="shared" si="20"/>
        <v>1900</v>
      </c>
      <c r="L433" s="757"/>
      <c r="M433" s="757"/>
      <c r="N433" s="757"/>
      <c r="O433" s="757"/>
      <c r="P433" s="757"/>
      <c r="Q433" s="757"/>
      <c r="R433" s="757"/>
      <c r="S433" s="757"/>
      <c r="T433" s="757"/>
      <c r="U433" s="757"/>
      <c r="V433" s="757"/>
      <c r="W433" s="757"/>
      <c r="X433" s="757"/>
      <c r="Y433" s="757"/>
      <c r="Z433" s="757"/>
      <c r="AA433" s="757"/>
      <c r="AB433" s="757"/>
      <c r="AC433" s="757"/>
      <c r="AD433" s="757"/>
      <c r="AE433" s="757"/>
      <c r="AF433" s="757"/>
      <c r="AG433" s="757"/>
      <c r="AH433" s="757"/>
      <c r="AI433" s="757"/>
      <c r="AJ433" s="757"/>
      <c r="AK433" s="757"/>
      <c r="AL433" s="757"/>
      <c r="AM433" s="757"/>
      <c r="AN433" s="757"/>
      <c r="AO433" s="757"/>
      <c r="AP433" s="757"/>
      <c r="AQ433" s="757"/>
      <c r="AR433" s="757"/>
      <c r="AS433" s="757"/>
      <c r="AT433" s="757"/>
      <c r="AU433" s="757"/>
      <c r="AV433" s="757"/>
      <c r="AW433" s="757"/>
      <c r="AX433" s="757"/>
      <c r="AY433" s="757"/>
      <c r="AZ433" s="75"/>
      <c r="BA433" s="2"/>
      <c r="BB433" s="2"/>
      <c r="BC433" s="2"/>
      <c r="BD433" s="2"/>
    </row>
    <row r="434" spans="1:56">
      <c r="A434" s="781">
        <v>2</v>
      </c>
      <c r="B434" s="782">
        <v>234</v>
      </c>
      <c r="C434" s="783"/>
      <c r="D434" s="783" t="s">
        <v>177</v>
      </c>
      <c r="E434" s="808">
        <v>95</v>
      </c>
      <c r="F434" s="799"/>
      <c r="G434" s="799"/>
      <c r="H434" s="1592">
        <f t="shared" si="18"/>
        <v>0</v>
      </c>
      <c r="I434" s="754" t="str">
        <f>IFERROR(VLOOKUP(B434,Mychart!$A$125:$B$911,2,FALSE),"-")</f>
        <v>HASSAN KAHMIS NAQIB - AREEJ</v>
      </c>
      <c r="J434" s="753" t="str">
        <f t="shared" si="19"/>
        <v>-</v>
      </c>
      <c r="K434" s="1540">
        <f t="shared" si="20"/>
        <v>1900</v>
      </c>
      <c r="L434" s="757"/>
      <c r="M434" s="757"/>
      <c r="N434" s="757"/>
      <c r="O434" s="757"/>
      <c r="P434" s="757"/>
      <c r="Q434" s="757"/>
      <c r="R434" s="757"/>
      <c r="S434" s="757"/>
      <c r="T434" s="757"/>
      <c r="U434" s="757"/>
      <c r="V434" s="757"/>
      <c r="W434" s="757"/>
      <c r="X434" s="757"/>
      <c r="Y434" s="757"/>
      <c r="Z434" s="757"/>
      <c r="AA434" s="757"/>
      <c r="AB434" s="757"/>
      <c r="AC434" s="757"/>
      <c r="AD434" s="757"/>
      <c r="AE434" s="757"/>
      <c r="AF434" s="757"/>
      <c r="AG434" s="757"/>
      <c r="AH434" s="757"/>
      <c r="AI434" s="757"/>
      <c r="AJ434" s="757"/>
      <c r="AK434" s="757"/>
      <c r="AL434" s="757"/>
      <c r="AM434" s="757"/>
      <c r="AN434" s="757"/>
      <c r="AO434" s="757"/>
      <c r="AP434" s="757"/>
      <c r="AQ434" s="757"/>
      <c r="AR434" s="757"/>
      <c r="AS434" s="757"/>
      <c r="AT434" s="757"/>
      <c r="AU434" s="757"/>
      <c r="AV434" s="757"/>
      <c r="AW434" s="757"/>
      <c r="AX434" s="757"/>
      <c r="AY434" s="757"/>
      <c r="AZ434" s="75"/>
      <c r="BA434" s="2"/>
      <c r="BB434" s="2"/>
      <c r="BC434" s="2"/>
      <c r="BD434" s="2"/>
    </row>
    <row r="435" spans="1:56">
      <c r="A435" s="781">
        <v>2</v>
      </c>
      <c r="B435" s="782">
        <v>234</v>
      </c>
      <c r="C435" s="783"/>
      <c r="D435" s="783" t="s">
        <v>177</v>
      </c>
      <c r="E435" s="808">
        <v>3785</v>
      </c>
      <c r="F435" s="799"/>
      <c r="G435" s="799"/>
      <c r="H435" s="1592">
        <f t="shared" si="18"/>
        <v>0</v>
      </c>
      <c r="I435" s="754" t="str">
        <f>IFERROR(VLOOKUP(B435,Mychart!$A$125:$B$911,2,FALSE),"-")</f>
        <v>HASSAN KAHMIS NAQIB - AREEJ</v>
      </c>
      <c r="J435" s="753" t="str">
        <f t="shared" si="19"/>
        <v>-</v>
      </c>
      <c r="K435" s="1540">
        <f t="shared" si="20"/>
        <v>1900</v>
      </c>
      <c r="L435" s="757"/>
      <c r="M435" s="757"/>
      <c r="N435" s="757"/>
      <c r="O435" s="757"/>
      <c r="P435" s="757"/>
      <c r="Q435" s="757"/>
      <c r="R435" s="757"/>
      <c r="S435" s="757"/>
      <c r="T435" s="757"/>
      <c r="U435" s="757"/>
      <c r="V435" s="757"/>
      <c r="W435" s="757"/>
      <c r="X435" s="757"/>
      <c r="Y435" s="757"/>
      <c r="Z435" s="757"/>
      <c r="AA435" s="757"/>
      <c r="AB435" s="757"/>
      <c r="AC435" s="757"/>
      <c r="AD435" s="757"/>
      <c r="AE435" s="757"/>
      <c r="AF435" s="757"/>
      <c r="AG435" s="757"/>
      <c r="AH435" s="757"/>
      <c r="AI435" s="757"/>
      <c r="AJ435" s="757"/>
      <c r="AK435" s="757"/>
      <c r="AL435" s="757"/>
      <c r="AM435" s="757"/>
      <c r="AN435" s="757"/>
      <c r="AO435" s="757"/>
      <c r="AP435" s="757"/>
      <c r="AQ435" s="757"/>
      <c r="AR435" s="757"/>
      <c r="AS435" s="757"/>
      <c r="AT435" s="757"/>
      <c r="AU435" s="757"/>
      <c r="AV435" s="757"/>
      <c r="AW435" s="757"/>
      <c r="AX435" s="757"/>
      <c r="AY435" s="757"/>
      <c r="AZ435" s="75"/>
      <c r="BA435" s="2"/>
      <c r="BB435" s="2"/>
      <c r="BC435" s="2"/>
      <c r="BD435" s="2"/>
    </row>
    <row r="436" spans="1:56">
      <c r="A436" s="781">
        <v>2</v>
      </c>
      <c r="B436" s="782">
        <v>234</v>
      </c>
      <c r="C436" s="783">
        <v>45176</v>
      </c>
      <c r="D436" s="783" t="s">
        <v>617</v>
      </c>
      <c r="E436" s="808">
        <v>3669</v>
      </c>
      <c r="F436" s="799"/>
      <c r="G436" s="799"/>
      <c r="H436" s="1592">
        <f t="shared" si="18"/>
        <v>0</v>
      </c>
      <c r="I436" s="754" t="str">
        <f>IFERROR(VLOOKUP(B436,Mychart!$A$125:$B$911,2,FALSE),"-")</f>
        <v>HASSAN KAHMIS NAQIB - AREEJ</v>
      </c>
      <c r="J436" s="753">
        <f t="shared" si="19"/>
        <v>9</v>
      </c>
      <c r="K436" s="1540">
        <f t="shared" si="20"/>
        <v>2023</v>
      </c>
      <c r="L436" s="757"/>
      <c r="M436" s="757"/>
      <c r="N436" s="757"/>
      <c r="O436" s="757"/>
      <c r="P436" s="757"/>
      <c r="Q436" s="757"/>
      <c r="R436" s="757"/>
      <c r="S436" s="757"/>
      <c r="T436" s="757"/>
      <c r="U436" s="757"/>
      <c r="V436" s="757"/>
      <c r="W436" s="757"/>
      <c r="X436" s="757"/>
      <c r="Y436" s="757"/>
      <c r="Z436" s="757"/>
      <c r="AA436" s="757"/>
      <c r="AB436" s="757"/>
      <c r="AC436" s="757"/>
      <c r="AD436" s="757"/>
      <c r="AE436" s="757"/>
      <c r="AF436" s="757"/>
      <c r="AG436" s="757"/>
      <c r="AH436" s="757"/>
      <c r="AI436" s="757"/>
      <c r="AJ436" s="757"/>
      <c r="AK436" s="757"/>
      <c r="AL436" s="757"/>
      <c r="AM436" s="757"/>
      <c r="AN436" s="757"/>
      <c r="AO436" s="757"/>
      <c r="AP436" s="757"/>
      <c r="AQ436" s="757"/>
      <c r="AR436" s="757"/>
      <c r="AS436" s="757"/>
      <c r="AT436" s="757"/>
      <c r="AU436" s="757"/>
      <c r="AV436" s="757"/>
      <c r="AW436" s="757"/>
      <c r="AX436" s="757"/>
      <c r="AY436" s="757"/>
      <c r="AZ436" s="75"/>
      <c r="BA436" s="2"/>
      <c r="BB436" s="2"/>
      <c r="BC436" s="2"/>
      <c r="BD436" s="2"/>
    </row>
    <row r="437" spans="1:56">
      <c r="A437" s="781">
        <v>2</v>
      </c>
      <c r="B437" s="782">
        <v>234</v>
      </c>
      <c r="C437" s="783">
        <v>45243</v>
      </c>
      <c r="D437" s="783" t="s">
        <v>224</v>
      </c>
      <c r="E437" s="808">
        <v>24266</v>
      </c>
      <c r="F437" s="799"/>
      <c r="G437" s="799"/>
      <c r="H437" s="1592">
        <f t="shared" si="18"/>
        <v>0</v>
      </c>
      <c r="I437" s="754" t="str">
        <f>IFERROR(VLOOKUP(B437,Mychart!$A$125:$B$911,2,FALSE),"-")</f>
        <v>HASSAN KAHMIS NAQIB - AREEJ</v>
      </c>
      <c r="J437" s="753">
        <f t="shared" si="19"/>
        <v>11</v>
      </c>
      <c r="K437" s="1540">
        <f t="shared" si="20"/>
        <v>2023</v>
      </c>
      <c r="L437" s="757"/>
      <c r="M437" s="757"/>
      <c r="N437" s="757"/>
      <c r="O437" s="757"/>
      <c r="P437" s="757"/>
      <c r="Q437" s="757"/>
      <c r="R437" s="757"/>
      <c r="S437" s="757"/>
      <c r="T437" s="757"/>
      <c r="U437" s="757"/>
      <c r="V437" s="757"/>
      <c r="W437" s="757"/>
      <c r="X437" s="757"/>
      <c r="Y437" s="757"/>
      <c r="Z437" s="757"/>
      <c r="AA437" s="757"/>
      <c r="AB437" s="757"/>
      <c r="AC437" s="757"/>
      <c r="AD437" s="757"/>
      <c r="AE437" s="757"/>
      <c r="AF437" s="757"/>
      <c r="AG437" s="757"/>
      <c r="AH437" s="757"/>
      <c r="AI437" s="757"/>
      <c r="AJ437" s="757"/>
      <c r="AK437" s="757"/>
      <c r="AL437" s="757"/>
      <c r="AM437" s="757"/>
      <c r="AN437" s="757"/>
      <c r="AO437" s="757"/>
      <c r="AP437" s="757"/>
      <c r="AQ437" s="757"/>
      <c r="AR437" s="757"/>
      <c r="AS437" s="757"/>
      <c r="AT437" s="757"/>
      <c r="AU437" s="757"/>
      <c r="AV437" s="757"/>
      <c r="AW437" s="757"/>
      <c r="AX437" s="757"/>
      <c r="AY437" s="757"/>
      <c r="AZ437" s="75"/>
      <c r="BA437" s="2"/>
      <c r="BB437" s="2"/>
      <c r="BC437" s="2"/>
      <c r="BD437" s="2"/>
    </row>
    <row r="438" spans="1:56">
      <c r="A438" s="781">
        <v>2</v>
      </c>
      <c r="B438" s="782">
        <v>234</v>
      </c>
      <c r="C438" s="783">
        <v>45306</v>
      </c>
      <c r="D438" s="783" t="s">
        <v>380</v>
      </c>
      <c r="E438" s="808">
        <v>943.46</v>
      </c>
      <c r="F438" s="799"/>
      <c r="G438" s="799"/>
      <c r="H438" s="1592">
        <f t="shared" si="18"/>
        <v>0</v>
      </c>
      <c r="I438" s="754" t="str">
        <f>IFERROR(VLOOKUP(B438,Mychart!$A$125:$B$911,2,FALSE),"-")</f>
        <v>HASSAN KAHMIS NAQIB - AREEJ</v>
      </c>
      <c r="J438" s="753">
        <f t="shared" si="19"/>
        <v>1</v>
      </c>
      <c r="K438" s="1540">
        <f t="shared" si="20"/>
        <v>2024</v>
      </c>
      <c r="L438" s="757"/>
      <c r="M438" s="757"/>
      <c r="N438" s="757"/>
      <c r="O438" s="757"/>
      <c r="P438" s="757"/>
      <c r="Q438" s="757"/>
      <c r="R438" s="757"/>
      <c r="S438" s="757"/>
      <c r="T438" s="757"/>
      <c r="U438" s="757"/>
      <c r="V438" s="757"/>
      <c r="W438" s="757"/>
      <c r="X438" s="757"/>
      <c r="Y438" s="757"/>
      <c r="Z438" s="757"/>
      <c r="AA438" s="757"/>
      <c r="AB438" s="757"/>
      <c r="AC438" s="757"/>
      <c r="AD438" s="757"/>
      <c r="AE438" s="757"/>
      <c r="AF438" s="757"/>
      <c r="AG438" s="757"/>
      <c r="AH438" s="757"/>
      <c r="AI438" s="757"/>
      <c r="AJ438" s="757"/>
      <c r="AK438" s="757"/>
      <c r="AL438" s="757"/>
      <c r="AM438" s="757"/>
      <c r="AN438" s="757"/>
      <c r="AO438" s="757"/>
      <c r="AP438" s="757"/>
      <c r="AQ438" s="757"/>
      <c r="AR438" s="757"/>
      <c r="AS438" s="757"/>
      <c r="AT438" s="757"/>
      <c r="AU438" s="757"/>
      <c r="AV438" s="757"/>
      <c r="AW438" s="757"/>
      <c r="AX438" s="757"/>
      <c r="AY438" s="757"/>
      <c r="AZ438" s="75"/>
      <c r="BA438" s="2"/>
      <c r="BB438" s="2"/>
      <c r="BC438" s="2"/>
      <c r="BD438" s="2"/>
    </row>
    <row r="439" spans="1:56">
      <c r="A439" s="781">
        <v>2</v>
      </c>
      <c r="B439" s="782">
        <v>234</v>
      </c>
      <c r="C439" s="783">
        <v>45291</v>
      </c>
      <c r="D439" s="783" t="s">
        <v>177</v>
      </c>
      <c r="E439" s="808">
        <v>7148</v>
      </c>
      <c r="F439" s="799"/>
      <c r="G439" s="799"/>
      <c r="H439" s="1592">
        <f t="shared" si="18"/>
        <v>0</v>
      </c>
      <c r="I439" s="754" t="str">
        <f>IFERROR(VLOOKUP(B439,Mychart!$A$125:$B$911,2,FALSE),"-")</f>
        <v>HASSAN KAHMIS NAQIB - AREEJ</v>
      </c>
      <c r="J439" s="753">
        <f t="shared" si="19"/>
        <v>12</v>
      </c>
      <c r="K439" s="1540">
        <f t="shared" si="20"/>
        <v>2023</v>
      </c>
      <c r="L439" s="757"/>
      <c r="M439" s="757"/>
      <c r="N439" s="757"/>
      <c r="O439" s="757"/>
      <c r="P439" s="757"/>
      <c r="Q439" s="757"/>
      <c r="R439" s="757"/>
      <c r="S439" s="757"/>
      <c r="T439" s="757"/>
      <c r="U439" s="757"/>
      <c r="V439" s="757"/>
      <c r="W439" s="757"/>
      <c r="X439" s="757"/>
      <c r="Y439" s="757"/>
      <c r="Z439" s="757"/>
      <c r="AA439" s="757"/>
      <c r="AB439" s="757"/>
      <c r="AC439" s="757"/>
      <c r="AD439" s="757"/>
      <c r="AE439" s="757"/>
      <c r="AF439" s="757"/>
      <c r="AG439" s="757"/>
      <c r="AH439" s="757"/>
      <c r="AI439" s="757"/>
      <c r="AJ439" s="757"/>
      <c r="AK439" s="757"/>
      <c r="AL439" s="757"/>
      <c r="AM439" s="757"/>
      <c r="AN439" s="757"/>
      <c r="AO439" s="757"/>
      <c r="AP439" s="757"/>
      <c r="AQ439" s="757"/>
      <c r="AR439" s="757"/>
      <c r="AS439" s="757"/>
      <c r="AT439" s="757"/>
      <c r="AU439" s="757"/>
      <c r="AV439" s="757"/>
      <c r="AW439" s="757"/>
      <c r="AX439" s="757"/>
      <c r="AY439" s="757"/>
      <c r="AZ439" s="75"/>
      <c r="BA439" s="2"/>
      <c r="BB439" s="2"/>
      <c r="BC439" s="2"/>
      <c r="BD439" s="2"/>
    </row>
    <row r="440" spans="1:56">
      <c r="A440" s="781">
        <v>2</v>
      </c>
      <c r="B440" s="782">
        <v>234</v>
      </c>
      <c r="C440" s="783">
        <v>45291</v>
      </c>
      <c r="D440" s="783" t="s">
        <v>177</v>
      </c>
      <c r="E440" s="808">
        <v>3114</v>
      </c>
      <c r="F440" s="799"/>
      <c r="G440" s="799"/>
      <c r="H440" s="1592">
        <f t="shared" si="18"/>
        <v>0</v>
      </c>
      <c r="I440" s="754" t="str">
        <f>IFERROR(VLOOKUP(B440,Mychart!$A$125:$B$911,2,FALSE),"-")</f>
        <v>HASSAN KAHMIS NAQIB - AREEJ</v>
      </c>
      <c r="J440" s="753">
        <f t="shared" si="19"/>
        <v>12</v>
      </c>
      <c r="K440" s="1540">
        <f t="shared" si="20"/>
        <v>2023</v>
      </c>
      <c r="L440" s="757"/>
      <c r="M440" s="757"/>
      <c r="N440" s="757"/>
      <c r="O440" s="757"/>
      <c r="P440" s="757"/>
      <c r="Q440" s="757"/>
      <c r="R440" s="757"/>
      <c r="S440" s="757"/>
      <c r="T440" s="757"/>
      <c r="U440" s="757"/>
      <c r="V440" s="757"/>
      <c r="W440" s="757"/>
      <c r="X440" s="757"/>
      <c r="Y440" s="757"/>
      <c r="Z440" s="757"/>
      <c r="AA440" s="757"/>
      <c r="AB440" s="757"/>
      <c r="AC440" s="757"/>
      <c r="AD440" s="757"/>
      <c r="AE440" s="757"/>
      <c r="AF440" s="757"/>
      <c r="AG440" s="757"/>
      <c r="AH440" s="757"/>
      <c r="AI440" s="757"/>
      <c r="AJ440" s="757"/>
      <c r="AK440" s="757"/>
      <c r="AL440" s="757"/>
      <c r="AM440" s="757"/>
      <c r="AN440" s="757"/>
      <c r="AO440" s="757"/>
      <c r="AP440" s="757"/>
      <c r="AQ440" s="757"/>
      <c r="AR440" s="757"/>
      <c r="AS440" s="757"/>
      <c r="AT440" s="757"/>
      <c r="AU440" s="757"/>
      <c r="AV440" s="757"/>
      <c r="AW440" s="757"/>
      <c r="AX440" s="757"/>
      <c r="AY440" s="757"/>
      <c r="AZ440" s="75"/>
      <c r="BA440" s="2"/>
      <c r="BB440" s="2"/>
      <c r="BC440" s="2"/>
      <c r="BD440" s="2"/>
    </row>
    <row r="441" spans="1:56">
      <c r="A441" s="781">
        <v>2</v>
      </c>
      <c r="B441" s="782">
        <v>234</v>
      </c>
      <c r="C441" s="783">
        <v>45276</v>
      </c>
      <c r="D441" s="783" t="s">
        <v>380</v>
      </c>
      <c r="E441" s="808">
        <v>219</v>
      </c>
      <c r="F441" s="799"/>
      <c r="G441" s="799"/>
      <c r="H441" s="1592">
        <f t="shared" si="18"/>
        <v>0</v>
      </c>
      <c r="I441" s="754" t="str">
        <f>IFERROR(VLOOKUP(B441,Mychart!$A$125:$B$911,2,FALSE),"-")</f>
        <v>HASSAN KAHMIS NAQIB - AREEJ</v>
      </c>
      <c r="J441" s="753">
        <f t="shared" si="19"/>
        <v>12</v>
      </c>
      <c r="K441" s="1540">
        <f t="shared" si="20"/>
        <v>2023</v>
      </c>
      <c r="L441" s="757"/>
      <c r="M441" s="757"/>
      <c r="N441" s="757"/>
      <c r="O441" s="757"/>
      <c r="P441" s="757"/>
      <c r="Q441" s="757"/>
      <c r="R441" s="757"/>
      <c r="S441" s="757"/>
      <c r="T441" s="757"/>
      <c r="U441" s="757"/>
      <c r="V441" s="757"/>
      <c r="W441" s="757"/>
      <c r="X441" s="757"/>
      <c r="Y441" s="757"/>
      <c r="Z441" s="757"/>
      <c r="AA441" s="757"/>
      <c r="AB441" s="757"/>
      <c r="AC441" s="757"/>
      <c r="AD441" s="757"/>
      <c r="AE441" s="757"/>
      <c r="AF441" s="757"/>
      <c r="AG441" s="757"/>
      <c r="AH441" s="757"/>
      <c r="AI441" s="757"/>
      <c r="AJ441" s="757"/>
      <c r="AK441" s="757"/>
      <c r="AL441" s="757"/>
      <c r="AM441" s="757"/>
      <c r="AN441" s="757"/>
      <c r="AO441" s="757"/>
      <c r="AP441" s="757"/>
      <c r="AQ441" s="757"/>
      <c r="AR441" s="757"/>
      <c r="AS441" s="757"/>
      <c r="AT441" s="757"/>
      <c r="AU441" s="757"/>
      <c r="AV441" s="757"/>
      <c r="AW441" s="757"/>
      <c r="AX441" s="757"/>
      <c r="AY441" s="757"/>
      <c r="AZ441" s="75"/>
      <c r="BA441" s="2"/>
      <c r="BB441" s="2"/>
      <c r="BC441" s="2"/>
      <c r="BD441" s="2"/>
    </row>
    <row r="442" spans="1:56">
      <c r="A442" s="781">
        <v>2</v>
      </c>
      <c r="B442" s="782">
        <v>234</v>
      </c>
      <c r="C442" s="783">
        <v>45351</v>
      </c>
      <c r="D442" s="783" t="s">
        <v>383</v>
      </c>
      <c r="E442" s="808">
        <v>16600</v>
      </c>
      <c r="F442" s="799"/>
      <c r="G442" s="799"/>
      <c r="H442" s="1592">
        <f t="shared" si="18"/>
        <v>0</v>
      </c>
      <c r="I442" s="754" t="str">
        <f>IFERROR(VLOOKUP(B442,Mychart!$A$125:$B$911,2,FALSE),"-")</f>
        <v>HASSAN KAHMIS NAQIB - AREEJ</v>
      </c>
      <c r="J442" s="753">
        <f t="shared" si="19"/>
        <v>2</v>
      </c>
      <c r="K442" s="1540">
        <f t="shared" si="20"/>
        <v>2024</v>
      </c>
      <c r="L442" s="757"/>
      <c r="M442" s="757"/>
      <c r="N442" s="757"/>
      <c r="O442" s="757"/>
      <c r="P442" s="757"/>
      <c r="Q442" s="757"/>
      <c r="R442" s="757"/>
      <c r="S442" s="757"/>
      <c r="T442" s="757"/>
      <c r="U442" s="757"/>
      <c r="V442" s="757"/>
      <c r="W442" s="757"/>
      <c r="X442" s="757"/>
      <c r="Y442" s="757"/>
      <c r="Z442" s="757"/>
      <c r="AA442" s="757"/>
      <c r="AB442" s="757"/>
      <c r="AC442" s="757"/>
      <c r="AD442" s="757"/>
      <c r="AE442" s="757"/>
      <c r="AF442" s="757"/>
      <c r="AG442" s="757"/>
      <c r="AH442" s="757"/>
      <c r="AI442" s="757"/>
      <c r="AJ442" s="757"/>
      <c r="AK442" s="757"/>
      <c r="AL442" s="757"/>
      <c r="AM442" s="757"/>
      <c r="AN442" s="757"/>
      <c r="AO442" s="757"/>
      <c r="AP442" s="757"/>
      <c r="AQ442" s="757"/>
      <c r="AR442" s="757"/>
      <c r="AS442" s="757"/>
      <c r="AT442" s="757"/>
      <c r="AU442" s="757"/>
      <c r="AV442" s="757"/>
      <c r="AW442" s="757"/>
      <c r="AX442" s="757"/>
      <c r="AY442" s="757"/>
      <c r="AZ442" s="75"/>
      <c r="BA442" s="2"/>
      <c r="BB442" s="2"/>
      <c r="BC442" s="2"/>
      <c r="BD442" s="2"/>
    </row>
    <row r="443" spans="1:56">
      <c r="A443" s="781">
        <v>2</v>
      </c>
      <c r="B443" s="782">
        <v>234</v>
      </c>
      <c r="C443" s="783">
        <v>45398</v>
      </c>
      <c r="D443" s="783" t="s">
        <v>224</v>
      </c>
      <c r="E443" s="808">
        <v>28187.25</v>
      </c>
      <c r="F443" s="799"/>
      <c r="G443" s="799"/>
      <c r="H443" s="1592">
        <f t="shared" si="18"/>
        <v>0</v>
      </c>
      <c r="I443" s="754" t="str">
        <f>IFERROR(VLOOKUP(B443,Mychart!$A$125:$B$911,2,FALSE),"-")</f>
        <v>HASSAN KAHMIS NAQIB - AREEJ</v>
      </c>
      <c r="J443" s="753">
        <f t="shared" si="19"/>
        <v>4</v>
      </c>
      <c r="K443" s="1540">
        <f t="shared" si="20"/>
        <v>2024</v>
      </c>
      <c r="L443" s="757"/>
      <c r="M443" s="757"/>
      <c r="N443" s="757"/>
      <c r="O443" s="757"/>
      <c r="P443" s="757"/>
      <c r="Q443" s="757"/>
      <c r="R443" s="757"/>
      <c r="S443" s="757"/>
      <c r="T443" s="757"/>
      <c r="U443" s="757"/>
      <c r="V443" s="757"/>
      <c r="W443" s="757"/>
      <c r="X443" s="757"/>
      <c r="Y443" s="757"/>
      <c r="Z443" s="757"/>
      <c r="AA443" s="757"/>
      <c r="AB443" s="757"/>
      <c r="AC443" s="757"/>
      <c r="AD443" s="757"/>
      <c r="AE443" s="757"/>
      <c r="AF443" s="757"/>
      <c r="AG443" s="757"/>
      <c r="AH443" s="757"/>
      <c r="AI443" s="757"/>
      <c r="AJ443" s="757"/>
      <c r="AK443" s="757"/>
      <c r="AL443" s="757"/>
      <c r="AM443" s="757"/>
      <c r="AN443" s="757"/>
      <c r="AO443" s="757"/>
      <c r="AP443" s="757"/>
      <c r="AQ443" s="757"/>
      <c r="AR443" s="757"/>
      <c r="AS443" s="757"/>
      <c r="AT443" s="757"/>
      <c r="AU443" s="757"/>
      <c r="AV443" s="757"/>
      <c r="AW443" s="757"/>
      <c r="AX443" s="757"/>
      <c r="AY443" s="757"/>
      <c r="AZ443" s="75"/>
      <c r="BA443" s="2"/>
      <c r="BB443" s="2"/>
      <c r="BC443" s="2"/>
      <c r="BD443" s="2"/>
    </row>
    <row r="444" spans="1:56">
      <c r="A444" s="781">
        <v>2</v>
      </c>
      <c r="B444" s="782">
        <v>234</v>
      </c>
      <c r="C444" s="783">
        <v>45412</v>
      </c>
      <c r="D444" s="783" t="s">
        <v>177</v>
      </c>
      <c r="E444" s="808">
        <v>2239</v>
      </c>
      <c r="F444" s="799"/>
      <c r="G444" s="799"/>
      <c r="H444" s="1592">
        <f t="shared" si="18"/>
        <v>0</v>
      </c>
      <c r="I444" s="754" t="str">
        <f>IFERROR(VLOOKUP(B444,Mychart!$A$125:$B$911,2,FALSE),"-")</f>
        <v>HASSAN KAHMIS NAQIB - AREEJ</v>
      </c>
      <c r="J444" s="753">
        <f t="shared" si="19"/>
        <v>4</v>
      </c>
      <c r="K444" s="1540">
        <f t="shared" si="20"/>
        <v>2024</v>
      </c>
      <c r="L444" s="757"/>
      <c r="M444" s="757"/>
      <c r="N444" s="757"/>
      <c r="O444" s="757"/>
      <c r="P444" s="757"/>
      <c r="Q444" s="757"/>
      <c r="R444" s="757"/>
      <c r="S444" s="757"/>
      <c r="T444" s="757"/>
      <c r="U444" s="757"/>
      <c r="V444" s="757"/>
      <c r="W444" s="757"/>
      <c r="X444" s="757"/>
      <c r="Y444" s="757"/>
      <c r="Z444" s="757"/>
      <c r="AA444" s="757"/>
      <c r="AB444" s="757"/>
      <c r="AC444" s="757"/>
      <c r="AD444" s="757"/>
      <c r="AE444" s="757"/>
      <c r="AF444" s="757"/>
      <c r="AG444" s="757"/>
      <c r="AH444" s="757"/>
      <c r="AI444" s="757"/>
      <c r="AJ444" s="757"/>
      <c r="AK444" s="757"/>
      <c r="AL444" s="757"/>
      <c r="AM444" s="757"/>
      <c r="AN444" s="757"/>
      <c r="AO444" s="757"/>
      <c r="AP444" s="757"/>
      <c r="AQ444" s="757"/>
      <c r="AR444" s="757"/>
      <c r="AS444" s="757"/>
      <c r="AT444" s="757"/>
      <c r="AU444" s="757"/>
      <c r="AV444" s="757"/>
      <c r="AW444" s="757"/>
      <c r="AX444" s="757"/>
      <c r="AY444" s="757"/>
      <c r="AZ444" s="75"/>
      <c r="BA444" s="2"/>
      <c r="BB444" s="2"/>
      <c r="BC444" s="2"/>
      <c r="BD444" s="2"/>
    </row>
    <row r="445" spans="1:56">
      <c r="A445" s="781">
        <v>2</v>
      </c>
      <c r="B445" s="782">
        <v>234</v>
      </c>
      <c r="C445" s="783" t="s">
        <v>618</v>
      </c>
      <c r="D445" s="783" t="s">
        <v>380</v>
      </c>
      <c r="E445" s="808">
        <v>334.11</v>
      </c>
      <c r="F445" s="799"/>
      <c r="G445" s="799"/>
      <c r="H445" s="1592">
        <f t="shared" si="18"/>
        <v>0</v>
      </c>
      <c r="I445" s="754" t="str">
        <f>IFERROR(VLOOKUP(B445,Mychart!$A$125:$B$911,2,FALSE),"-")</f>
        <v>HASSAN KAHMIS NAQIB - AREEJ</v>
      </c>
      <c r="J445" s="753">
        <f t="shared" si="19"/>
        <v>11</v>
      </c>
      <c r="K445" s="1540">
        <f t="shared" si="20"/>
        <v>2023</v>
      </c>
      <c r="L445" s="757"/>
      <c r="M445" s="757"/>
      <c r="N445" s="757"/>
      <c r="O445" s="757"/>
      <c r="P445" s="757"/>
      <c r="Q445" s="757"/>
      <c r="R445" s="757"/>
      <c r="S445" s="757"/>
      <c r="T445" s="757"/>
      <c r="U445" s="757"/>
      <c r="V445" s="757"/>
      <c r="W445" s="757"/>
      <c r="X445" s="757"/>
      <c r="Y445" s="757"/>
      <c r="Z445" s="757"/>
      <c r="AA445" s="757"/>
      <c r="AB445" s="757"/>
      <c r="AC445" s="757"/>
      <c r="AD445" s="757"/>
      <c r="AE445" s="757"/>
      <c r="AF445" s="757"/>
      <c r="AG445" s="757"/>
      <c r="AH445" s="757"/>
      <c r="AI445" s="757"/>
      <c r="AJ445" s="757"/>
      <c r="AK445" s="757"/>
      <c r="AL445" s="757"/>
      <c r="AM445" s="757"/>
      <c r="AN445" s="757"/>
      <c r="AO445" s="757"/>
      <c r="AP445" s="757"/>
      <c r="AQ445" s="757"/>
      <c r="AR445" s="757"/>
      <c r="AS445" s="757"/>
      <c r="AT445" s="757"/>
      <c r="AU445" s="757"/>
      <c r="AV445" s="757"/>
      <c r="AW445" s="757"/>
      <c r="AX445" s="757"/>
      <c r="AY445" s="757"/>
      <c r="AZ445" s="75"/>
      <c r="BA445" s="2"/>
      <c r="BB445" s="2"/>
      <c r="BC445" s="2"/>
      <c r="BD445" s="2"/>
    </row>
    <row r="446" spans="1:56">
      <c r="A446" s="781">
        <v>2</v>
      </c>
      <c r="B446" s="782">
        <v>234</v>
      </c>
      <c r="C446" s="783" t="s">
        <v>619</v>
      </c>
      <c r="D446" s="783" t="s">
        <v>191</v>
      </c>
      <c r="E446" s="808">
        <v>95</v>
      </c>
      <c r="F446" s="799"/>
      <c r="G446" s="799"/>
      <c r="H446" s="1592">
        <f t="shared" si="18"/>
        <v>0</v>
      </c>
      <c r="I446" s="754" t="str">
        <f>IFERROR(VLOOKUP(B446,Mychart!$A$125:$B$911,2,FALSE),"-")</f>
        <v>HASSAN KAHMIS NAQIB - AREEJ</v>
      </c>
      <c r="J446" s="753">
        <f t="shared" si="19"/>
        <v>7</v>
      </c>
      <c r="K446" s="1540">
        <f t="shared" si="20"/>
        <v>2023</v>
      </c>
      <c r="L446" s="757"/>
      <c r="M446" s="757"/>
      <c r="N446" s="757"/>
      <c r="O446" s="757"/>
      <c r="P446" s="757"/>
      <c r="Q446" s="757"/>
      <c r="R446" s="757"/>
      <c r="S446" s="757"/>
      <c r="T446" s="757"/>
      <c r="U446" s="757"/>
      <c r="V446" s="757"/>
      <c r="W446" s="757"/>
      <c r="X446" s="757"/>
      <c r="Y446" s="757"/>
      <c r="Z446" s="757"/>
      <c r="AA446" s="757"/>
      <c r="AB446" s="757"/>
      <c r="AC446" s="757"/>
      <c r="AD446" s="757"/>
      <c r="AE446" s="757"/>
      <c r="AF446" s="757"/>
      <c r="AG446" s="757"/>
      <c r="AH446" s="757"/>
      <c r="AI446" s="757"/>
      <c r="AJ446" s="757"/>
      <c r="AK446" s="757"/>
      <c r="AL446" s="757"/>
      <c r="AM446" s="757"/>
      <c r="AN446" s="757"/>
      <c r="AO446" s="757"/>
      <c r="AP446" s="757"/>
      <c r="AQ446" s="757"/>
      <c r="AR446" s="757"/>
      <c r="AS446" s="757"/>
      <c r="AT446" s="757"/>
      <c r="AU446" s="757"/>
      <c r="AV446" s="757"/>
      <c r="AW446" s="757"/>
      <c r="AX446" s="757"/>
      <c r="AY446" s="757"/>
      <c r="AZ446" s="75"/>
      <c r="BA446" s="2"/>
      <c r="BB446" s="2"/>
      <c r="BC446" s="2"/>
      <c r="BD446" s="2"/>
    </row>
    <row r="447" spans="1:56">
      <c r="A447" s="781">
        <v>1</v>
      </c>
      <c r="B447" s="782">
        <v>252</v>
      </c>
      <c r="C447" s="783">
        <v>45307</v>
      </c>
      <c r="D447" s="786" t="s">
        <v>624</v>
      </c>
      <c r="E447" s="807"/>
      <c r="F447" s="798">
        <v>21500</v>
      </c>
      <c r="G447" s="798">
        <v>1075</v>
      </c>
      <c r="H447" s="1592">
        <f t="shared" si="18"/>
        <v>22575</v>
      </c>
      <c r="I447" s="754" t="str">
        <f>IFERROR(VLOOKUP(B447,Mychart!$A$125:$B$911,2,FALSE),"-")</f>
        <v>Mohamed Saif - HBC</v>
      </c>
      <c r="J447" s="753">
        <f t="shared" si="19"/>
        <v>1</v>
      </c>
      <c r="K447" s="1540">
        <f t="shared" si="20"/>
        <v>2024</v>
      </c>
      <c r="L447" s="757"/>
      <c r="M447" s="757"/>
      <c r="N447" s="757"/>
      <c r="O447" s="757"/>
      <c r="P447" s="757"/>
      <c r="Q447" s="757"/>
      <c r="R447" s="757"/>
      <c r="S447" s="757"/>
      <c r="T447" s="757"/>
      <c r="U447" s="757"/>
      <c r="V447" s="757"/>
      <c r="W447" s="757"/>
      <c r="X447" s="757"/>
      <c r="Y447" s="757"/>
      <c r="Z447" s="757"/>
      <c r="AA447" s="757"/>
      <c r="AB447" s="757"/>
      <c r="AC447" s="757"/>
      <c r="AD447" s="757"/>
      <c r="AE447" s="757"/>
      <c r="AF447" s="757"/>
      <c r="AG447" s="757"/>
      <c r="AH447" s="757"/>
      <c r="AI447" s="757"/>
      <c r="AJ447" s="757"/>
      <c r="AK447" s="757"/>
      <c r="AL447" s="757"/>
      <c r="AM447" s="757"/>
      <c r="AN447" s="757"/>
      <c r="AO447" s="757"/>
      <c r="AP447" s="757"/>
      <c r="AQ447" s="757"/>
      <c r="AR447" s="757"/>
      <c r="AS447" s="757"/>
      <c r="AT447" s="757"/>
      <c r="AU447" s="757"/>
      <c r="AV447" s="757"/>
      <c r="AW447" s="757"/>
      <c r="AX447" s="757"/>
      <c r="AY447" s="757"/>
      <c r="AZ447" s="75"/>
      <c r="BA447" s="2"/>
      <c r="BB447" s="2"/>
      <c r="BC447" s="2"/>
      <c r="BD447" s="2"/>
    </row>
    <row r="448" spans="1:56">
      <c r="A448" s="781">
        <v>1</v>
      </c>
      <c r="B448" s="782">
        <v>252</v>
      </c>
      <c r="C448" s="783">
        <v>45406</v>
      </c>
      <c r="D448" s="784" t="s">
        <v>625</v>
      </c>
      <c r="E448" s="807"/>
      <c r="F448" s="798">
        <v>82667.5</v>
      </c>
      <c r="G448" s="798">
        <v>4133.38</v>
      </c>
      <c r="H448" s="1592">
        <f t="shared" si="18"/>
        <v>86800.88</v>
      </c>
      <c r="I448" s="754" t="str">
        <f>IFERROR(VLOOKUP(B448,Mychart!$A$125:$B$911,2,FALSE),"-")</f>
        <v>Mohamed Saif - HBC</v>
      </c>
      <c r="J448" s="753">
        <f t="shared" si="19"/>
        <v>4</v>
      </c>
      <c r="K448" s="1540">
        <f t="shared" si="20"/>
        <v>2024</v>
      </c>
      <c r="L448" s="757"/>
      <c r="M448" s="757"/>
      <c r="N448" s="757"/>
      <c r="O448" s="757"/>
      <c r="P448" s="757"/>
      <c r="Q448" s="757"/>
      <c r="R448" s="757"/>
      <c r="S448" s="757"/>
      <c r="T448" s="757"/>
      <c r="U448" s="757"/>
      <c r="V448" s="757"/>
      <c r="W448" s="757"/>
      <c r="X448" s="757"/>
      <c r="Y448" s="757"/>
      <c r="Z448" s="757"/>
      <c r="AA448" s="757"/>
      <c r="AB448" s="757"/>
      <c r="AC448" s="757"/>
      <c r="AD448" s="757"/>
      <c r="AE448" s="757"/>
      <c r="AF448" s="757"/>
      <c r="AG448" s="757"/>
      <c r="AH448" s="757"/>
      <c r="AI448" s="757"/>
      <c r="AJ448" s="757"/>
      <c r="AK448" s="757"/>
      <c r="AL448" s="757"/>
      <c r="AM448" s="757"/>
      <c r="AN448" s="757"/>
      <c r="AO448" s="757"/>
      <c r="AP448" s="757"/>
      <c r="AQ448" s="757"/>
      <c r="AR448" s="757"/>
      <c r="AS448" s="757"/>
      <c r="AT448" s="757"/>
      <c r="AU448" s="757"/>
      <c r="AV448" s="757"/>
      <c r="AW448" s="757"/>
      <c r="AX448" s="757"/>
      <c r="AY448" s="757"/>
      <c r="AZ448" s="75"/>
      <c r="BA448" s="2"/>
      <c r="BB448" s="2"/>
      <c r="BC448" s="2"/>
      <c r="BD448" s="2"/>
    </row>
    <row r="449" spans="1:56">
      <c r="A449" s="781">
        <v>2</v>
      </c>
      <c r="B449" s="782">
        <v>252</v>
      </c>
      <c r="C449" s="783">
        <v>45285</v>
      </c>
      <c r="D449" s="783" t="s">
        <v>488</v>
      </c>
      <c r="E449" s="808">
        <v>1000</v>
      </c>
      <c r="F449" s="799"/>
      <c r="G449" s="799"/>
      <c r="H449" s="1592">
        <f t="shared" si="18"/>
        <v>0</v>
      </c>
      <c r="I449" s="754" t="str">
        <f>IFERROR(VLOOKUP(B449,Mychart!$A$125:$B$911,2,FALSE),"-")</f>
        <v>Mohamed Saif - HBC</v>
      </c>
      <c r="J449" s="753">
        <f t="shared" si="19"/>
        <v>12</v>
      </c>
      <c r="K449" s="1540">
        <f t="shared" si="20"/>
        <v>2023</v>
      </c>
      <c r="L449" s="757"/>
      <c r="M449" s="757"/>
      <c r="N449" s="757"/>
      <c r="O449" s="757"/>
      <c r="P449" s="757"/>
      <c r="Q449" s="757"/>
      <c r="R449" s="757"/>
      <c r="S449" s="757"/>
      <c r="T449" s="757"/>
      <c r="U449" s="757"/>
      <c r="V449" s="757"/>
      <c r="W449" s="757"/>
      <c r="X449" s="757"/>
      <c r="Y449" s="757"/>
      <c r="Z449" s="757"/>
      <c r="AA449" s="757"/>
      <c r="AB449" s="757"/>
      <c r="AC449" s="757"/>
      <c r="AD449" s="757"/>
      <c r="AE449" s="757"/>
      <c r="AF449" s="757"/>
      <c r="AG449" s="757"/>
      <c r="AH449" s="757"/>
      <c r="AI449" s="757"/>
      <c r="AJ449" s="757"/>
      <c r="AK449" s="757"/>
      <c r="AL449" s="757"/>
      <c r="AM449" s="757"/>
      <c r="AN449" s="757"/>
      <c r="AO449" s="757"/>
      <c r="AP449" s="757"/>
      <c r="AQ449" s="757"/>
      <c r="AR449" s="757"/>
      <c r="AS449" s="757"/>
      <c r="AT449" s="757"/>
      <c r="AU449" s="757"/>
      <c r="AV449" s="757"/>
      <c r="AW449" s="757"/>
      <c r="AX449" s="757"/>
      <c r="AY449" s="757"/>
      <c r="AZ449" s="75"/>
      <c r="BA449" s="2"/>
      <c r="BB449" s="2"/>
      <c r="BC449" s="2"/>
      <c r="BD449" s="2"/>
    </row>
    <row r="450" spans="1:56">
      <c r="A450" s="781">
        <v>2</v>
      </c>
      <c r="B450" s="782">
        <v>252</v>
      </c>
      <c r="C450" s="783">
        <v>45307</v>
      </c>
      <c r="D450" s="783" t="s">
        <v>368</v>
      </c>
      <c r="E450" s="808">
        <v>8000</v>
      </c>
      <c r="F450" s="799"/>
      <c r="G450" s="799"/>
      <c r="H450" s="1592">
        <f t="shared" si="18"/>
        <v>0</v>
      </c>
      <c r="I450" s="754" t="str">
        <f>IFERROR(VLOOKUP(B450,Mychart!$A$125:$B$911,2,FALSE),"-")</f>
        <v>Mohamed Saif - HBC</v>
      </c>
      <c r="J450" s="753">
        <f t="shared" si="19"/>
        <v>1</v>
      </c>
      <c r="K450" s="1540">
        <f t="shared" si="20"/>
        <v>2024</v>
      </c>
      <c r="L450" s="757"/>
      <c r="M450" s="757"/>
      <c r="N450" s="757"/>
      <c r="O450" s="757"/>
      <c r="P450" s="757"/>
      <c r="Q450" s="757"/>
      <c r="R450" s="757"/>
      <c r="S450" s="757"/>
      <c r="T450" s="757"/>
      <c r="U450" s="757"/>
      <c r="V450" s="757"/>
      <c r="W450" s="757"/>
      <c r="X450" s="757"/>
      <c r="Y450" s="757"/>
      <c r="Z450" s="757"/>
      <c r="AA450" s="757"/>
      <c r="AB450" s="757"/>
      <c r="AC450" s="757"/>
      <c r="AD450" s="757"/>
      <c r="AE450" s="757"/>
      <c r="AF450" s="757"/>
      <c r="AG450" s="757"/>
      <c r="AH450" s="757"/>
      <c r="AI450" s="757"/>
      <c r="AJ450" s="757"/>
      <c r="AK450" s="757"/>
      <c r="AL450" s="757"/>
      <c r="AM450" s="757"/>
      <c r="AN450" s="757"/>
      <c r="AO450" s="757"/>
      <c r="AP450" s="757"/>
      <c r="AQ450" s="757"/>
      <c r="AR450" s="757"/>
      <c r="AS450" s="757"/>
      <c r="AT450" s="757"/>
      <c r="AU450" s="757"/>
      <c r="AV450" s="757"/>
      <c r="AW450" s="757"/>
      <c r="AX450" s="757"/>
      <c r="AY450" s="757"/>
      <c r="AZ450" s="75"/>
      <c r="BA450" s="2"/>
      <c r="BB450" s="2"/>
      <c r="BC450" s="2"/>
      <c r="BD450" s="2"/>
    </row>
    <row r="451" spans="1:56">
      <c r="A451" s="781">
        <v>2</v>
      </c>
      <c r="B451" s="782">
        <v>252</v>
      </c>
      <c r="C451" s="783">
        <v>45357</v>
      </c>
      <c r="D451" s="783" t="s">
        <v>258</v>
      </c>
      <c r="E451" s="808">
        <v>6452.52</v>
      </c>
      <c r="F451" s="799"/>
      <c r="G451" s="799"/>
      <c r="H451" s="1592">
        <f t="shared" si="18"/>
        <v>0</v>
      </c>
      <c r="I451" s="754" t="str">
        <f>IFERROR(VLOOKUP(B451,Mychart!$A$125:$B$911,2,FALSE),"-")</f>
        <v>Mohamed Saif - HBC</v>
      </c>
      <c r="J451" s="753">
        <f t="shared" si="19"/>
        <v>3</v>
      </c>
      <c r="K451" s="1540">
        <f t="shared" si="20"/>
        <v>2024</v>
      </c>
      <c r="L451" s="757"/>
      <c r="M451" s="757"/>
      <c r="N451" s="757"/>
      <c r="O451" s="757"/>
      <c r="P451" s="757"/>
      <c r="Q451" s="757"/>
      <c r="R451" s="757"/>
      <c r="S451" s="757"/>
      <c r="T451" s="757"/>
      <c r="U451" s="757"/>
      <c r="V451" s="757"/>
      <c r="W451" s="757"/>
      <c r="X451" s="757"/>
      <c r="Y451" s="757"/>
      <c r="Z451" s="757"/>
      <c r="AA451" s="757"/>
      <c r="AB451" s="757"/>
      <c r="AC451" s="757"/>
      <c r="AD451" s="757"/>
      <c r="AE451" s="757"/>
      <c r="AF451" s="757"/>
      <c r="AG451" s="757"/>
      <c r="AH451" s="757"/>
      <c r="AI451" s="757"/>
      <c r="AJ451" s="757"/>
      <c r="AK451" s="757"/>
      <c r="AL451" s="757"/>
      <c r="AM451" s="757"/>
      <c r="AN451" s="757"/>
      <c r="AO451" s="757"/>
      <c r="AP451" s="757"/>
      <c r="AQ451" s="757"/>
      <c r="AR451" s="757"/>
      <c r="AS451" s="757"/>
      <c r="AT451" s="757"/>
      <c r="AU451" s="757"/>
      <c r="AV451" s="757"/>
      <c r="AW451" s="757"/>
      <c r="AX451" s="757"/>
      <c r="AY451" s="757"/>
      <c r="AZ451" s="75"/>
      <c r="BA451" s="2"/>
      <c r="BB451" s="2"/>
      <c r="BC451" s="2"/>
      <c r="BD451" s="2"/>
    </row>
    <row r="452" spans="1:56">
      <c r="A452" s="781">
        <v>2</v>
      </c>
      <c r="B452" s="782">
        <v>252</v>
      </c>
      <c r="C452" s="783">
        <v>45364</v>
      </c>
      <c r="D452" s="783" t="s">
        <v>394</v>
      </c>
      <c r="E452" s="808">
        <v>224</v>
      </c>
      <c r="F452" s="799"/>
      <c r="G452" s="799"/>
      <c r="H452" s="1592">
        <f t="shared" si="18"/>
        <v>0</v>
      </c>
      <c r="I452" s="754" t="str">
        <f>IFERROR(VLOOKUP(B452,Mychart!$A$125:$B$911,2,FALSE),"-")</f>
        <v>Mohamed Saif - HBC</v>
      </c>
      <c r="J452" s="753">
        <f t="shared" si="19"/>
        <v>3</v>
      </c>
      <c r="K452" s="1540">
        <f t="shared" si="20"/>
        <v>2024</v>
      </c>
      <c r="L452" s="757"/>
      <c r="M452" s="757"/>
      <c r="N452" s="757"/>
      <c r="O452" s="757"/>
      <c r="P452" s="757"/>
      <c r="Q452" s="757"/>
      <c r="R452" s="757"/>
      <c r="S452" s="757"/>
      <c r="T452" s="757"/>
      <c r="U452" s="757"/>
      <c r="V452" s="757"/>
      <c r="W452" s="757"/>
      <c r="X452" s="757"/>
      <c r="Y452" s="757"/>
      <c r="Z452" s="757"/>
      <c r="AA452" s="757"/>
      <c r="AB452" s="757"/>
      <c r="AC452" s="757"/>
      <c r="AD452" s="757"/>
      <c r="AE452" s="757"/>
      <c r="AF452" s="757"/>
      <c r="AG452" s="757"/>
      <c r="AH452" s="757"/>
      <c r="AI452" s="757"/>
      <c r="AJ452" s="757"/>
      <c r="AK452" s="757"/>
      <c r="AL452" s="757"/>
      <c r="AM452" s="757"/>
      <c r="AN452" s="757"/>
      <c r="AO452" s="757"/>
      <c r="AP452" s="757"/>
      <c r="AQ452" s="757"/>
      <c r="AR452" s="757"/>
      <c r="AS452" s="757"/>
      <c r="AT452" s="757"/>
      <c r="AU452" s="757"/>
      <c r="AV452" s="757"/>
      <c r="AW452" s="757"/>
      <c r="AX452" s="757"/>
      <c r="AY452" s="757"/>
      <c r="AZ452" s="75"/>
      <c r="BA452" s="2"/>
      <c r="BB452" s="2"/>
      <c r="BC452" s="2"/>
      <c r="BD452" s="2"/>
    </row>
    <row r="453" spans="1:56">
      <c r="A453" s="781">
        <v>2</v>
      </c>
      <c r="B453" s="782">
        <v>252</v>
      </c>
      <c r="C453" s="783">
        <v>45355</v>
      </c>
      <c r="D453" s="783" t="s">
        <v>394</v>
      </c>
      <c r="E453" s="808">
        <v>1440</v>
      </c>
      <c r="F453" s="799"/>
      <c r="G453" s="799"/>
      <c r="H453" s="1592">
        <f t="shared" si="18"/>
        <v>0</v>
      </c>
      <c r="I453" s="754" t="str">
        <f>IFERROR(VLOOKUP(B453,Mychart!$A$125:$B$911,2,FALSE),"-")</f>
        <v>Mohamed Saif - HBC</v>
      </c>
      <c r="J453" s="753">
        <f t="shared" si="19"/>
        <v>3</v>
      </c>
      <c r="K453" s="1540">
        <f t="shared" si="20"/>
        <v>2024</v>
      </c>
      <c r="L453" s="757"/>
      <c r="M453" s="757"/>
      <c r="N453" s="757"/>
      <c r="O453" s="757"/>
      <c r="P453" s="757"/>
      <c r="Q453" s="757"/>
      <c r="R453" s="757"/>
      <c r="S453" s="757"/>
      <c r="T453" s="757"/>
      <c r="U453" s="757"/>
      <c r="V453" s="757"/>
      <c r="W453" s="757"/>
      <c r="X453" s="757"/>
      <c r="Y453" s="757"/>
      <c r="Z453" s="757"/>
      <c r="AA453" s="757"/>
      <c r="AB453" s="757"/>
      <c r="AC453" s="757"/>
      <c r="AD453" s="757"/>
      <c r="AE453" s="757"/>
      <c r="AF453" s="757"/>
      <c r="AG453" s="757"/>
      <c r="AH453" s="757"/>
      <c r="AI453" s="757"/>
      <c r="AJ453" s="757"/>
      <c r="AK453" s="757"/>
      <c r="AL453" s="757"/>
      <c r="AM453" s="757"/>
      <c r="AN453" s="757"/>
      <c r="AO453" s="757"/>
      <c r="AP453" s="757"/>
      <c r="AQ453" s="757"/>
      <c r="AR453" s="757"/>
      <c r="AS453" s="757"/>
      <c r="AT453" s="757"/>
      <c r="AU453" s="757"/>
      <c r="AV453" s="757"/>
      <c r="AW453" s="757"/>
      <c r="AX453" s="757"/>
      <c r="AY453" s="757"/>
      <c r="AZ453" s="75"/>
      <c r="BA453" s="2"/>
      <c r="BB453" s="2"/>
      <c r="BC453" s="2"/>
      <c r="BD453" s="2"/>
    </row>
    <row r="454" spans="1:56">
      <c r="A454" s="781">
        <v>2</v>
      </c>
      <c r="B454" s="782">
        <v>252</v>
      </c>
      <c r="C454" s="783">
        <v>45382</v>
      </c>
      <c r="D454" s="783" t="s">
        <v>177</v>
      </c>
      <c r="E454" s="808">
        <v>7356</v>
      </c>
      <c r="F454" s="799"/>
      <c r="G454" s="799"/>
      <c r="H454" s="1592">
        <f t="shared" si="18"/>
        <v>0</v>
      </c>
      <c r="I454" s="754" t="str">
        <f>IFERROR(VLOOKUP(B454,Mychart!$A$125:$B$911,2,FALSE),"-")</f>
        <v>Mohamed Saif - HBC</v>
      </c>
      <c r="J454" s="753">
        <f t="shared" si="19"/>
        <v>3</v>
      </c>
      <c r="K454" s="1540">
        <f t="shared" si="20"/>
        <v>2024</v>
      </c>
      <c r="L454" s="757"/>
      <c r="M454" s="757"/>
      <c r="N454" s="757"/>
      <c r="O454" s="757"/>
      <c r="P454" s="757"/>
      <c r="Q454" s="757"/>
      <c r="R454" s="757"/>
      <c r="S454" s="757"/>
      <c r="T454" s="757"/>
      <c r="U454" s="757"/>
      <c r="V454" s="757"/>
      <c r="W454" s="757"/>
      <c r="X454" s="757"/>
      <c r="Y454" s="757"/>
      <c r="Z454" s="757"/>
      <c r="AA454" s="757"/>
      <c r="AB454" s="757"/>
      <c r="AC454" s="757"/>
      <c r="AD454" s="757"/>
      <c r="AE454" s="757"/>
      <c r="AF454" s="757"/>
      <c r="AG454" s="757"/>
      <c r="AH454" s="757"/>
      <c r="AI454" s="757"/>
      <c r="AJ454" s="757"/>
      <c r="AK454" s="757"/>
      <c r="AL454" s="757"/>
      <c r="AM454" s="757"/>
      <c r="AN454" s="757"/>
      <c r="AO454" s="757"/>
      <c r="AP454" s="757"/>
      <c r="AQ454" s="757"/>
      <c r="AR454" s="757"/>
      <c r="AS454" s="757"/>
      <c r="AT454" s="757"/>
      <c r="AU454" s="757"/>
      <c r="AV454" s="757"/>
      <c r="AW454" s="757"/>
      <c r="AX454" s="757"/>
      <c r="AY454" s="757"/>
      <c r="AZ454" s="75"/>
      <c r="BA454" s="2"/>
      <c r="BB454" s="2"/>
      <c r="BC454" s="2"/>
      <c r="BD454" s="2"/>
    </row>
    <row r="455" spans="1:56">
      <c r="A455" s="781">
        <v>2</v>
      </c>
      <c r="B455" s="782">
        <v>252</v>
      </c>
      <c r="C455" s="783">
        <v>45411</v>
      </c>
      <c r="D455" s="783" t="s">
        <v>224</v>
      </c>
      <c r="E455" s="808">
        <v>36240</v>
      </c>
      <c r="F455" s="799"/>
      <c r="G455" s="799"/>
      <c r="H455" s="1592">
        <f t="shared" si="18"/>
        <v>0</v>
      </c>
      <c r="I455" s="754" t="str">
        <f>IFERROR(VLOOKUP(B455,Mychart!$A$125:$B$911,2,FALSE),"-")</f>
        <v>Mohamed Saif - HBC</v>
      </c>
      <c r="J455" s="753">
        <f t="shared" si="19"/>
        <v>4</v>
      </c>
      <c r="K455" s="1540">
        <f t="shared" si="20"/>
        <v>2024</v>
      </c>
      <c r="L455" s="757"/>
      <c r="M455" s="757"/>
      <c r="N455" s="757"/>
      <c r="O455" s="757"/>
      <c r="P455" s="757"/>
      <c r="Q455" s="757"/>
      <c r="R455" s="757"/>
      <c r="S455" s="757"/>
      <c r="T455" s="757"/>
      <c r="U455" s="757"/>
      <c r="V455" s="757"/>
      <c r="W455" s="757"/>
      <c r="X455" s="757"/>
      <c r="Y455" s="757"/>
      <c r="Z455" s="757"/>
      <c r="AA455" s="757"/>
      <c r="AB455" s="757"/>
      <c r="AC455" s="757"/>
      <c r="AD455" s="757"/>
      <c r="AE455" s="757"/>
      <c r="AF455" s="757"/>
      <c r="AG455" s="757"/>
      <c r="AH455" s="757"/>
      <c r="AI455" s="757"/>
      <c r="AJ455" s="757"/>
      <c r="AK455" s="757"/>
      <c r="AL455" s="757"/>
      <c r="AM455" s="757"/>
      <c r="AN455" s="757"/>
      <c r="AO455" s="757"/>
      <c r="AP455" s="757"/>
      <c r="AQ455" s="757"/>
      <c r="AR455" s="757"/>
      <c r="AS455" s="757"/>
      <c r="AT455" s="757"/>
      <c r="AU455" s="757"/>
      <c r="AV455" s="757"/>
      <c r="AW455" s="757"/>
      <c r="AX455" s="757"/>
      <c r="AY455" s="757"/>
      <c r="AZ455" s="75"/>
      <c r="BA455" s="2"/>
      <c r="BB455" s="2"/>
      <c r="BC455" s="2"/>
      <c r="BD455" s="2"/>
    </row>
    <row r="456" spans="1:56">
      <c r="A456" s="781">
        <v>2</v>
      </c>
      <c r="B456" s="782">
        <v>252</v>
      </c>
      <c r="C456" s="783">
        <v>45412</v>
      </c>
      <c r="D456" s="783" t="s">
        <v>177</v>
      </c>
      <c r="E456" s="808">
        <v>275</v>
      </c>
      <c r="F456" s="799"/>
      <c r="G456" s="799"/>
      <c r="H456" s="1592">
        <f t="shared" si="18"/>
        <v>0</v>
      </c>
      <c r="I456" s="754" t="str">
        <f>IFERROR(VLOOKUP(B456,Mychart!$A$125:$B$911,2,FALSE),"-")</f>
        <v>Mohamed Saif - HBC</v>
      </c>
      <c r="J456" s="753">
        <f t="shared" si="19"/>
        <v>4</v>
      </c>
      <c r="K456" s="1540">
        <f t="shared" si="20"/>
        <v>2024</v>
      </c>
      <c r="L456" s="757"/>
      <c r="M456" s="757"/>
      <c r="N456" s="757"/>
      <c r="O456" s="757"/>
      <c r="P456" s="757"/>
      <c r="Q456" s="757"/>
      <c r="R456" s="757"/>
      <c r="S456" s="757"/>
      <c r="T456" s="757"/>
      <c r="U456" s="757"/>
      <c r="V456" s="757"/>
      <c r="W456" s="757"/>
      <c r="X456" s="757"/>
      <c r="Y456" s="757"/>
      <c r="Z456" s="757"/>
      <c r="AA456" s="757"/>
      <c r="AB456" s="757"/>
      <c r="AC456" s="757"/>
      <c r="AD456" s="757"/>
      <c r="AE456" s="757"/>
      <c r="AF456" s="757"/>
      <c r="AG456" s="757"/>
      <c r="AH456" s="757"/>
      <c r="AI456" s="757"/>
      <c r="AJ456" s="757"/>
      <c r="AK456" s="757"/>
      <c r="AL456" s="757"/>
      <c r="AM456" s="757"/>
      <c r="AN456" s="757"/>
      <c r="AO456" s="757"/>
      <c r="AP456" s="757"/>
      <c r="AQ456" s="757"/>
      <c r="AR456" s="757"/>
      <c r="AS456" s="757"/>
      <c r="AT456" s="757"/>
      <c r="AU456" s="757"/>
      <c r="AV456" s="757"/>
      <c r="AW456" s="757"/>
      <c r="AX456" s="757"/>
      <c r="AY456" s="757"/>
      <c r="AZ456" s="75"/>
      <c r="BA456" s="2"/>
      <c r="BB456" s="2"/>
      <c r="BC456" s="2"/>
      <c r="BD456" s="2"/>
    </row>
    <row r="457" spans="1:56">
      <c r="A457" s="781">
        <v>2</v>
      </c>
      <c r="B457" s="782">
        <v>252</v>
      </c>
      <c r="C457" s="783">
        <v>45443</v>
      </c>
      <c r="D457" s="783" t="s">
        <v>177</v>
      </c>
      <c r="E457" s="808">
        <v>8074</v>
      </c>
      <c r="F457" s="799"/>
      <c r="G457" s="799"/>
      <c r="H457" s="1592">
        <f t="shared" si="18"/>
        <v>0</v>
      </c>
      <c r="I457" s="754" t="str">
        <f>IFERROR(VLOOKUP(B457,Mychart!$A$125:$B$911,2,FALSE),"-")</f>
        <v>Mohamed Saif - HBC</v>
      </c>
      <c r="J457" s="753">
        <f t="shared" si="19"/>
        <v>5</v>
      </c>
      <c r="K457" s="1540">
        <f t="shared" si="20"/>
        <v>2024</v>
      </c>
      <c r="L457" s="757"/>
      <c r="M457" s="757"/>
      <c r="N457" s="757"/>
      <c r="O457" s="757"/>
      <c r="P457" s="757"/>
      <c r="Q457" s="757"/>
      <c r="R457" s="757"/>
      <c r="S457" s="757"/>
      <c r="T457" s="757"/>
      <c r="U457" s="757"/>
      <c r="V457" s="757"/>
      <c r="W457" s="757"/>
      <c r="X457" s="757"/>
      <c r="Y457" s="757"/>
      <c r="Z457" s="757"/>
      <c r="AA457" s="757"/>
      <c r="AB457" s="757"/>
      <c r="AC457" s="757"/>
      <c r="AD457" s="757"/>
      <c r="AE457" s="757"/>
      <c r="AF457" s="757"/>
      <c r="AG457" s="757"/>
      <c r="AH457" s="757"/>
      <c r="AI457" s="757"/>
      <c r="AJ457" s="757"/>
      <c r="AK457" s="757"/>
      <c r="AL457" s="757"/>
      <c r="AM457" s="757"/>
      <c r="AN457" s="757"/>
      <c r="AO457" s="757"/>
      <c r="AP457" s="757"/>
      <c r="AQ457" s="757"/>
      <c r="AR457" s="757"/>
      <c r="AS457" s="757"/>
      <c r="AT457" s="757"/>
      <c r="AU457" s="757"/>
      <c r="AV457" s="757"/>
      <c r="AW457" s="757"/>
      <c r="AX457" s="757"/>
      <c r="AY457" s="757"/>
      <c r="AZ457" s="75"/>
      <c r="BA457" s="2"/>
      <c r="BB457" s="2"/>
      <c r="BC457" s="2"/>
      <c r="BD457" s="2"/>
    </row>
    <row r="458" spans="1:56">
      <c r="A458" s="781">
        <v>2</v>
      </c>
      <c r="B458" s="782">
        <v>252</v>
      </c>
      <c r="C458" s="783">
        <v>45440</v>
      </c>
      <c r="D458" s="783" t="s">
        <v>394</v>
      </c>
      <c r="E458" s="808">
        <v>182.59</v>
      </c>
      <c r="F458" s="799"/>
      <c r="G458" s="799"/>
      <c r="H458" s="1592">
        <f t="shared" si="18"/>
        <v>0</v>
      </c>
      <c r="I458" s="754" t="str">
        <f>IFERROR(VLOOKUP(B458,Mychart!$A$125:$B$911,2,FALSE),"-")</f>
        <v>Mohamed Saif - HBC</v>
      </c>
      <c r="J458" s="753">
        <f t="shared" si="19"/>
        <v>5</v>
      </c>
      <c r="K458" s="1540">
        <f t="shared" si="20"/>
        <v>2024</v>
      </c>
      <c r="L458" s="757"/>
      <c r="M458" s="757"/>
      <c r="N458" s="757"/>
      <c r="O458" s="757"/>
      <c r="P458" s="757"/>
      <c r="Q458" s="757"/>
      <c r="R458" s="757"/>
      <c r="S458" s="757"/>
      <c r="T458" s="757"/>
      <c r="U458" s="757"/>
      <c r="V458" s="757"/>
      <c r="W458" s="757"/>
      <c r="X458" s="757"/>
      <c r="Y458" s="757"/>
      <c r="Z458" s="757"/>
      <c r="AA458" s="757"/>
      <c r="AB458" s="757"/>
      <c r="AC458" s="757"/>
      <c r="AD458" s="757"/>
      <c r="AE458" s="757"/>
      <c r="AF458" s="757"/>
      <c r="AG458" s="757"/>
      <c r="AH458" s="757"/>
      <c r="AI458" s="757"/>
      <c r="AJ458" s="757"/>
      <c r="AK458" s="757"/>
      <c r="AL458" s="757"/>
      <c r="AM458" s="757"/>
      <c r="AN458" s="757"/>
      <c r="AO458" s="757"/>
      <c r="AP458" s="757"/>
      <c r="AQ458" s="757"/>
      <c r="AR458" s="757"/>
      <c r="AS458" s="757"/>
      <c r="AT458" s="757"/>
      <c r="AU458" s="757"/>
      <c r="AV458" s="757"/>
      <c r="AW458" s="757"/>
      <c r="AX458" s="757"/>
      <c r="AY458" s="757"/>
      <c r="AZ458" s="75"/>
      <c r="BA458" s="2"/>
      <c r="BB458" s="2"/>
      <c r="BC458" s="2"/>
      <c r="BD458" s="2"/>
    </row>
    <row r="459" spans="1:56">
      <c r="A459" s="781">
        <v>2</v>
      </c>
      <c r="B459" s="782">
        <v>252</v>
      </c>
      <c r="C459" s="783">
        <v>45441</v>
      </c>
      <c r="D459" s="783" t="s">
        <v>394</v>
      </c>
      <c r="E459" s="808">
        <v>1349.24</v>
      </c>
      <c r="F459" s="799"/>
      <c r="G459" s="799"/>
      <c r="H459" s="1592">
        <f t="shared" ref="H459:H522" si="21">F459+G459</f>
        <v>0</v>
      </c>
      <c r="I459" s="754" t="str">
        <f>IFERROR(VLOOKUP(B459,Mychart!$A$125:$B$911,2,FALSE),"-")</f>
        <v>Mohamed Saif - HBC</v>
      </c>
      <c r="J459" s="753">
        <f t="shared" ref="J459:J522" si="22">IF(C459&lt;&gt;"", MONTH(C459),"-")</f>
        <v>5</v>
      </c>
      <c r="K459" s="1540">
        <f t="shared" ref="K459:K522" si="23">YEAR(C459)</f>
        <v>2024</v>
      </c>
      <c r="L459" s="757"/>
      <c r="M459" s="757"/>
      <c r="N459" s="757"/>
      <c r="O459" s="757"/>
      <c r="P459" s="757"/>
      <c r="Q459" s="757"/>
      <c r="R459" s="757"/>
      <c r="S459" s="757"/>
      <c r="T459" s="757"/>
      <c r="U459" s="757"/>
      <c r="V459" s="757"/>
      <c r="W459" s="757"/>
      <c r="X459" s="757"/>
      <c r="Y459" s="757"/>
      <c r="Z459" s="757"/>
      <c r="AA459" s="757"/>
      <c r="AB459" s="757"/>
      <c r="AC459" s="757"/>
      <c r="AD459" s="757"/>
      <c r="AE459" s="757"/>
      <c r="AF459" s="757"/>
      <c r="AG459" s="757"/>
      <c r="AH459" s="757"/>
      <c r="AI459" s="757"/>
      <c r="AJ459" s="757"/>
      <c r="AK459" s="757"/>
      <c r="AL459" s="757"/>
      <c r="AM459" s="757"/>
      <c r="AN459" s="757"/>
      <c r="AO459" s="757"/>
      <c r="AP459" s="757"/>
      <c r="AQ459" s="757"/>
      <c r="AR459" s="757"/>
      <c r="AS459" s="757"/>
      <c r="AT459" s="757"/>
      <c r="AU459" s="757"/>
      <c r="AV459" s="757"/>
      <c r="AW459" s="757"/>
      <c r="AX459" s="757"/>
      <c r="AY459" s="757"/>
      <c r="AZ459" s="75"/>
      <c r="BA459" s="2"/>
      <c r="BB459" s="2"/>
      <c r="BC459" s="2"/>
      <c r="BD459" s="2"/>
    </row>
    <row r="460" spans="1:56">
      <c r="A460" s="781">
        <v>2</v>
      </c>
      <c r="B460" s="782">
        <v>252</v>
      </c>
      <c r="C460" s="783">
        <v>45443</v>
      </c>
      <c r="D460" s="783" t="s">
        <v>394</v>
      </c>
      <c r="E460" s="808">
        <v>185.43</v>
      </c>
      <c r="F460" s="799"/>
      <c r="G460" s="799"/>
      <c r="H460" s="1592">
        <f t="shared" si="21"/>
        <v>0</v>
      </c>
      <c r="I460" s="754" t="str">
        <f>IFERROR(VLOOKUP(B460,Mychart!$A$125:$B$911,2,FALSE),"-")</f>
        <v>Mohamed Saif - HBC</v>
      </c>
      <c r="J460" s="753">
        <f t="shared" si="22"/>
        <v>5</v>
      </c>
      <c r="K460" s="1540">
        <f t="shared" si="23"/>
        <v>2024</v>
      </c>
      <c r="L460" s="757"/>
      <c r="M460" s="757"/>
      <c r="N460" s="757"/>
      <c r="O460" s="757"/>
      <c r="P460" s="757"/>
      <c r="Q460" s="757"/>
      <c r="R460" s="757"/>
      <c r="S460" s="757"/>
      <c r="T460" s="757"/>
      <c r="U460" s="757"/>
      <c r="V460" s="757"/>
      <c r="W460" s="757"/>
      <c r="X460" s="757"/>
      <c r="Y460" s="757"/>
      <c r="Z460" s="757"/>
      <c r="AA460" s="757"/>
      <c r="AB460" s="757"/>
      <c r="AC460" s="757"/>
      <c r="AD460" s="757"/>
      <c r="AE460" s="757"/>
      <c r="AF460" s="757"/>
      <c r="AG460" s="757"/>
      <c r="AH460" s="757"/>
      <c r="AI460" s="757"/>
      <c r="AJ460" s="757"/>
      <c r="AK460" s="757"/>
      <c r="AL460" s="757"/>
      <c r="AM460" s="757"/>
      <c r="AN460" s="757"/>
      <c r="AO460" s="757"/>
      <c r="AP460" s="757"/>
      <c r="AQ460" s="757"/>
      <c r="AR460" s="757"/>
      <c r="AS460" s="757"/>
      <c r="AT460" s="757"/>
      <c r="AU460" s="757"/>
      <c r="AV460" s="757"/>
      <c r="AW460" s="757"/>
      <c r="AX460" s="757"/>
      <c r="AY460" s="757"/>
      <c r="AZ460" s="75"/>
      <c r="BA460" s="2"/>
      <c r="BB460" s="2"/>
      <c r="BC460" s="2"/>
      <c r="BD460" s="2"/>
    </row>
    <row r="461" spans="1:56">
      <c r="A461" s="781">
        <v>1</v>
      </c>
      <c r="B461" s="782">
        <v>225</v>
      </c>
      <c r="C461" s="783">
        <v>45014</v>
      </c>
      <c r="D461" s="786" t="s">
        <v>630</v>
      </c>
      <c r="E461" s="807"/>
      <c r="F461" s="798">
        <v>19047.619047619046</v>
      </c>
      <c r="G461" s="798">
        <v>952.38095238095411</v>
      </c>
      <c r="H461" s="1592">
        <f t="shared" si="21"/>
        <v>20000</v>
      </c>
      <c r="I461" s="754" t="str">
        <f>IFERROR(VLOOKUP(B461,Mychart!$A$125:$B$911,2,FALSE),"-")</f>
        <v>HESSA BELOSHI</v>
      </c>
      <c r="J461" s="753">
        <f t="shared" si="22"/>
        <v>3</v>
      </c>
      <c r="K461" s="1540">
        <f t="shared" si="23"/>
        <v>2023</v>
      </c>
      <c r="L461" s="757"/>
      <c r="M461" s="757"/>
      <c r="N461" s="757"/>
      <c r="O461" s="757"/>
      <c r="P461" s="757"/>
      <c r="Q461" s="757"/>
      <c r="R461" s="757"/>
      <c r="S461" s="757"/>
      <c r="T461" s="757"/>
      <c r="U461" s="757"/>
      <c r="V461" s="757"/>
      <c r="W461" s="757"/>
      <c r="X461" s="757"/>
      <c r="Y461" s="757"/>
      <c r="Z461" s="757"/>
      <c r="AA461" s="757"/>
      <c r="AB461" s="757"/>
      <c r="AC461" s="757"/>
      <c r="AD461" s="757"/>
      <c r="AE461" s="757"/>
      <c r="AF461" s="757"/>
      <c r="AG461" s="757"/>
      <c r="AH461" s="757"/>
      <c r="AI461" s="757"/>
      <c r="AJ461" s="757"/>
      <c r="AK461" s="757"/>
      <c r="AL461" s="757"/>
      <c r="AM461" s="757"/>
      <c r="AN461" s="757"/>
      <c r="AO461" s="757"/>
      <c r="AP461" s="757"/>
      <c r="AQ461" s="757"/>
      <c r="AR461" s="757"/>
      <c r="AS461" s="757"/>
      <c r="AT461" s="757"/>
      <c r="AU461" s="757"/>
      <c r="AV461" s="757"/>
      <c r="AW461" s="757"/>
      <c r="AX461" s="757"/>
      <c r="AY461" s="757"/>
      <c r="AZ461" s="75"/>
      <c r="BA461" s="2"/>
      <c r="BB461" s="2"/>
      <c r="BC461" s="2"/>
      <c r="BD461" s="2"/>
    </row>
    <row r="462" spans="1:56">
      <c r="A462" s="781">
        <v>1</v>
      </c>
      <c r="B462" s="782">
        <v>225</v>
      </c>
      <c r="C462" s="783">
        <v>45318</v>
      </c>
      <c r="D462" s="784" t="s">
        <v>631</v>
      </c>
      <c r="E462" s="807"/>
      <c r="F462" s="798">
        <v>64092.5</v>
      </c>
      <c r="G462" s="798">
        <v>3204.625</v>
      </c>
      <c r="H462" s="1592">
        <f t="shared" si="21"/>
        <v>67297.125</v>
      </c>
      <c r="I462" s="754" t="str">
        <f>IFERROR(VLOOKUP(B462,Mychart!$A$125:$B$911,2,FALSE),"-")</f>
        <v>HESSA BELOSHI</v>
      </c>
      <c r="J462" s="753">
        <f t="shared" si="22"/>
        <v>1</v>
      </c>
      <c r="K462" s="1540">
        <f t="shared" si="23"/>
        <v>2024</v>
      </c>
      <c r="L462" s="757"/>
      <c r="M462" s="757"/>
      <c r="N462" s="757"/>
      <c r="O462" s="757"/>
      <c r="P462" s="757"/>
      <c r="Q462" s="757"/>
      <c r="R462" s="757"/>
      <c r="S462" s="757"/>
      <c r="T462" s="757"/>
      <c r="U462" s="757"/>
      <c r="V462" s="757"/>
      <c r="W462" s="757"/>
      <c r="X462" s="757"/>
      <c r="Y462" s="757"/>
      <c r="Z462" s="757"/>
      <c r="AA462" s="757"/>
      <c r="AB462" s="757"/>
      <c r="AC462" s="757"/>
      <c r="AD462" s="757"/>
      <c r="AE462" s="757"/>
      <c r="AF462" s="757"/>
      <c r="AG462" s="757"/>
      <c r="AH462" s="757"/>
      <c r="AI462" s="757"/>
      <c r="AJ462" s="757"/>
      <c r="AK462" s="757"/>
      <c r="AL462" s="757"/>
      <c r="AM462" s="757"/>
      <c r="AN462" s="757"/>
      <c r="AO462" s="757"/>
      <c r="AP462" s="757"/>
      <c r="AQ462" s="757"/>
      <c r="AR462" s="757"/>
      <c r="AS462" s="757"/>
      <c r="AT462" s="757"/>
      <c r="AU462" s="757"/>
      <c r="AV462" s="757"/>
      <c r="AW462" s="757"/>
      <c r="AX462" s="757"/>
      <c r="AY462" s="757"/>
      <c r="AZ462" s="75"/>
      <c r="BA462" s="2"/>
      <c r="BB462" s="2"/>
      <c r="BC462" s="2"/>
      <c r="BD462" s="2"/>
    </row>
    <row r="463" spans="1:56">
      <c r="A463" s="781">
        <v>2</v>
      </c>
      <c r="B463" s="782">
        <v>225</v>
      </c>
      <c r="C463" s="783"/>
      <c r="D463" s="783" t="s">
        <v>421</v>
      </c>
      <c r="E463" s="808">
        <v>500</v>
      </c>
      <c r="F463" s="799"/>
      <c r="G463" s="799"/>
      <c r="H463" s="1592">
        <f t="shared" si="21"/>
        <v>0</v>
      </c>
      <c r="I463" s="754" t="str">
        <f>IFERROR(VLOOKUP(B463,Mychart!$A$125:$B$911,2,FALSE),"-")</f>
        <v>HESSA BELOSHI</v>
      </c>
      <c r="J463" s="753" t="str">
        <f t="shared" si="22"/>
        <v>-</v>
      </c>
      <c r="K463" s="1540">
        <f t="shared" si="23"/>
        <v>1900</v>
      </c>
      <c r="L463" s="757"/>
      <c r="M463" s="757"/>
      <c r="N463" s="757"/>
      <c r="O463" s="757"/>
      <c r="P463" s="757"/>
      <c r="Q463" s="757"/>
      <c r="R463" s="757"/>
      <c r="S463" s="757"/>
      <c r="T463" s="757"/>
      <c r="U463" s="757"/>
      <c r="V463" s="757"/>
      <c r="W463" s="757"/>
      <c r="X463" s="757"/>
      <c r="Y463" s="757"/>
      <c r="Z463" s="757"/>
      <c r="AA463" s="757"/>
      <c r="AB463" s="757"/>
      <c r="AC463" s="757"/>
      <c r="AD463" s="757"/>
      <c r="AE463" s="757"/>
      <c r="AF463" s="757"/>
      <c r="AG463" s="757"/>
      <c r="AH463" s="757"/>
      <c r="AI463" s="757"/>
      <c r="AJ463" s="757"/>
      <c r="AK463" s="757"/>
      <c r="AL463" s="757"/>
      <c r="AM463" s="757"/>
      <c r="AN463" s="757"/>
      <c r="AO463" s="757"/>
      <c r="AP463" s="757"/>
      <c r="AQ463" s="757"/>
      <c r="AR463" s="757"/>
      <c r="AS463" s="757"/>
      <c r="AT463" s="757"/>
      <c r="AU463" s="757"/>
      <c r="AV463" s="757"/>
      <c r="AW463" s="757"/>
      <c r="AX463" s="757"/>
      <c r="AY463" s="757"/>
      <c r="AZ463" s="75"/>
      <c r="BA463" s="2"/>
      <c r="BB463" s="2"/>
      <c r="BC463" s="2"/>
      <c r="BD463" s="2"/>
    </row>
    <row r="464" spans="1:56">
      <c r="A464" s="781">
        <v>2</v>
      </c>
      <c r="B464" s="782">
        <v>225</v>
      </c>
      <c r="C464" s="783"/>
      <c r="D464" s="783" t="s">
        <v>177</v>
      </c>
      <c r="E464" s="808">
        <v>30</v>
      </c>
      <c r="F464" s="799"/>
      <c r="G464" s="799"/>
      <c r="H464" s="1592">
        <f t="shared" si="21"/>
        <v>0</v>
      </c>
      <c r="I464" s="754" t="str">
        <f>IFERROR(VLOOKUP(B464,Mychart!$A$125:$B$911,2,FALSE),"-")</f>
        <v>HESSA BELOSHI</v>
      </c>
      <c r="J464" s="753" t="str">
        <f t="shared" si="22"/>
        <v>-</v>
      </c>
      <c r="K464" s="1540">
        <f t="shared" si="23"/>
        <v>1900</v>
      </c>
      <c r="L464" s="757"/>
      <c r="M464" s="757"/>
      <c r="N464" s="757"/>
      <c r="O464" s="757"/>
      <c r="P464" s="757"/>
      <c r="Q464" s="757"/>
      <c r="R464" s="757"/>
      <c r="S464" s="757"/>
      <c r="T464" s="757"/>
      <c r="U464" s="757"/>
      <c r="V464" s="757"/>
      <c r="W464" s="757"/>
      <c r="X464" s="757"/>
      <c r="Y464" s="757"/>
      <c r="Z464" s="757"/>
      <c r="AA464" s="757"/>
      <c r="AB464" s="757"/>
      <c r="AC464" s="757"/>
      <c r="AD464" s="757"/>
      <c r="AE464" s="757"/>
      <c r="AF464" s="757"/>
      <c r="AG464" s="757"/>
      <c r="AH464" s="757"/>
      <c r="AI464" s="757"/>
      <c r="AJ464" s="757"/>
      <c r="AK464" s="757"/>
      <c r="AL464" s="757"/>
      <c r="AM464" s="757"/>
      <c r="AN464" s="757"/>
      <c r="AO464" s="757"/>
      <c r="AP464" s="757"/>
      <c r="AQ464" s="757"/>
      <c r="AR464" s="757"/>
      <c r="AS464" s="757"/>
      <c r="AT464" s="757"/>
      <c r="AU464" s="757"/>
      <c r="AV464" s="757"/>
      <c r="AW464" s="757"/>
      <c r="AX464" s="757"/>
      <c r="AY464" s="757"/>
      <c r="AZ464" s="75"/>
      <c r="BA464" s="2"/>
      <c r="BB464" s="2"/>
      <c r="BC464" s="2"/>
      <c r="BD464" s="2"/>
    </row>
    <row r="465" spans="1:56">
      <c r="A465" s="781">
        <v>2</v>
      </c>
      <c r="B465" s="782">
        <v>225</v>
      </c>
      <c r="C465" s="783"/>
      <c r="D465" s="783" t="s">
        <v>177</v>
      </c>
      <c r="E465" s="808">
        <v>109</v>
      </c>
      <c r="F465" s="799"/>
      <c r="G465" s="799"/>
      <c r="H465" s="1592">
        <f t="shared" si="21"/>
        <v>0</v>
      </c>
      <c r="I465" s="754" t="str">
        <f>IFERROR(VLOOKUP(B465,Mychart!$A$125:$B$911,2,FALSE),"-")</f>
        <v>HESSA BELOSHI</v>
      </c>
      <c r="J465" s="753" t="str">
        <f t="shared" si="22"/>
        <v>-</v>
      </c>
      <c r="K465" s="1540">
        <f t="shared" si="23"/>
        <v>1900</v>
      </c>
      <c r="L465" s="757"/>
      <c r="M465" s="757"/>
      <c r="N465" s="757"/>
      <c r="O465" s="757"/>
      <c r="P465" s="757"/>
      <c r="Q465" s="757"/>
      <c r="R465" s="757"/>
      <c r="S465" s="757"/>
      <c r="T465" s="757"/>
      <c r="U465" s="757"/>
      <c r="V465" s="757"/>
      <c r="W465" s="757"/>
      <c r="X465" s="757"/>
      <c r="Y465" s="757"/>
      <c r="Z465" s="757"/>
      <c r="AA465" s="757"/>
      <c r="AB465" s="757"/>
      <c r="AC465" s="757"/>
      <c r="AD465" s="757"/>
      <c r="AE465" s="757"/>
      <c r="AF465" s="757"/>
      <c r="AG465" s="757"/>
      <c r="AH465" s="757"/>
      <c r="AI465" s="757"/>
      <c r="AJ465" s="757"/>
      <c r="AK465" s="757"/>
      <c r="AL465" s="757"/>
      <c r="AM465" s="757"/>
      <c r="AN465" s="757"/>
      <c r="AO465" s="757"/>
      <c r="AP465" s="757"/>
      <c r="AQ465" s="757"/>
      <c r="AR465" s="757"/>
      <c r="AS465" s="757"/>
      <c r="AT465" s="757"/>
      <c r="AU465" s="757"/>
      <c r="AV465" s="757"/>
      <c r="AW465" s="757"/>
      <c r="AX465" s="757"/>
      <c r="AY465" s="757"/>
      <c r="AZ465" s="75"/>
      <c r="BA465" s="2"/>
      <c r="BB465" s="2"/>
      <c r="BC465" s="2"/>
      <c r="BD465" s="2"/>
    </row>
    <row r="466" spans="1:56">
      <c r="A466" s="781">
        <v>2</v>
      </c>
      <c r="B466" s="782">
        <v>225</v>
      </c>
      <c r="C466" s="783"/>
      <c r="D466" s="783" t="s">
        <v>177</v>
      </c>
      <c r="E466" s="808">
        <v>49</v>
      </c>
      <c r="F466" s="799"/>
      <c r="G466" s="799"/>
      <c r="H466" s="1592">
        <f t="shared" si="21"/>
        <v>0</v>
      </c>
      <c r="I466" s="754" t="str">
        <f>IFERROR(VLOOKUP(B466,Mychart!$A$125:$B$911,2,FALSE),"-")</f>
        <v>HESSA BELOSHI</v>
      </c>
      <c r="J466" s="753" t="str">
        <f t="shared" si="22"/>
        <v>-</v>
      </c>
      <c r="K466" s="1540">
        <f t="shared" si="23"/>
        <v>1900</v>
      </c>
      <c r="L466" s="757"/>
      <c r="M466" s="757"/>
      <c r="N466" s="757"/>
      <c r="O466" s="757"/>
      <c r="P466" s="757"/>
      <c r="Q466" s="757"/>
      <c r="R466" s="757"/>
      <c r="S466" s="757"/>
      <c r="T466" s="757"/>
      <c r="U466" s="757"/>
      <c r="V466" s="757"/>
      <c r="W466" s="757"/>
      <c r="X466" s="757"/>
      <c r="Y466" s="757"/>
      <c r="Z466" s="757"/>
      <c r="AA466" s="757"/>
      <c r="AB466" s="757"/>
      <c r="AC466" s="757"/>
      <c r="AD466" s="757"/>
      <c r="AE466" s="757"/>
      <c r="AF466" s="757"/>
      <c r="AG466" s="757"/>
      <c r="AH466" s="757"/>
      <c r="AI466" s="757"/>
      <c r="AJ466" s="757"/>
      <c r="AK466" s="757"/>
      <c r="AL466" s="757"/>
      <c r="AM466" s="757"/>
      <c r="AN466" s="757"/>
      <c r="AO466" s="757"/>
      <c r="AP466" s="757"/>
      <c r="AQ466" s="757"/>
      <c r="AR466" s="757"/>
      <c r="AS466" s="757"/>
      <c r="AT466" s="757"/>
      <c r="AU466" s="757"/>
      <c r="AV466" s="757"/>
      <c r="AW466" s="757"/>
      <c r="AX466" s="757"/>
      <c r="AY466" s="757"/>
      <c r="AZ466" s="75"/>
      <c r="BA466" s="2"/>
      <c r="BB466" s="2"/>
      <c r="BC466" s="2"/>
      <c r="BD466" s="2"/>
    </row>
    <row r="467" spans="1:56">
      <c r="A467" s="781">
        <v>2</v>
      </c>
      <c r="B467" s="782">
        <v>225</v>
      </c>
      <c r="C467" s="783"/>
      <c r="D467" s="783" t="s">
        <v>177</v>
      </c>
      <c r="E467" s="808">
        <v>126</v>
      </c>
      <c r="F467" s="799"/>
      <c r="G467" s="799"/>
      <c r="H467" s="1592">
        <f t="shared" si="21"/>
        <v>0</v>
      </c>
      <c r="I467" s="754" t="str">
        <f>IFERROR(VLOOKUP(B467,Mychart!$A$125:$B$911,2,FALSE),"-")</f>
        <v>HESSA BELOSHI</v>
      </c>
      <c r="J467" s="753" t="str">
        <f t="shared" si="22"/>
        <v>-</v>
      </c>
      <c r="K467" s="1540">
        <f t="shared" si="23"/>
        <v>1900</v>
      </c>
      <c r="L467" s="757"/>
      <c r="M467" s="757"/>
      <c r="N467" s="757"/>
      <c r="O467" s="757"/>
      <c r="P467" s="757"/>
      <c r="Q467" s="757"/>
      <c r="R467" s="757"/>
      <c r="S467" s="757"/>
      <c r="T467" s="757"/>
      <c r="U467" s="757"/>
      <c r="V467" s="757"/>
      <c r="W467" s="757"/>
      <c r="X467" s="757"/>
      <c r="Y467" s="757"/>
      <c r="Z467" s="757"/>
      <c r="AA467" s="757"/>
      <c r="AB467" s="757"/>
      <c r="AC467" s="757"/>
      <c r="AD467" s="757"/>
      <c r="AE467" s="757"/>
      <c r="AF467" s="757"/>
      <c r="AG467" s="757"/>
      <c r="AH467" s="757"/>
      <c r="AI467" s="757"/>
      <c r="AJ467" s="757"/>
      <c r="AK467" s="757"/>
      <c r="AL467" s="757"/>
      <c r="AM467" s="757"/>
      <c r="AN467" s="757"/>
      <c r="AO467" s="757"/>
      <c r="AP467" s="757"/>
      <c r="AQ467" s="757"/>
      <c r="AR467" s="757"/>
      <c r="AS467" s="757"/>
      <c r="AT467" s="757"/>
      <c r="AU467" s="757"/>
      <c r="AV467" s="757"/>
      <c r="AW467" s="757"/>
      <c r="AX467" s="757"/>
      <c r="AY467" s="757"/>
      <c r="AZ467" s="75"/>
      <c r="BA467" s="2"/>
      <c r="BB467" s="2"/>
      <c r="BC467" s="2"/>
      <c r="BD467" s="2"/>
    </row>
    <row r="468" spans="1:56">
      <c r="A468" s="781">
        <v>2</v>
      </c>
      <c r="B468" s="782">
        <v>225</v>
      </c>
      <c r="C468" s="783">
        <v>45301</v>
      </c>
      <c r="D468" s="783" t="s">
        <v>258</v>
      </c>
      <c r="E468" s="808">
        <v>6061.14</v>
      </c>
      <c r="F468" s="799"/>
      <c r="G468" s="799"/>
      <c r="H468" s="1592">
        <f t="shared" si="21"/>
        <v>0</v>
      </c>
      <c r="I468" s="754" t="str">
        <f>IFERROR(VLOOKUP(B468,Mychart!$A$125:$B$911,2,FALSE),"-")</f>
        <v>HESSA BELOSHI</v>
      </c>
      <c r="J468" s="753">
        <f t="shared" si="22"/>
        <v>1</v>
      </c>
      <c r="K468" s="1540">
        <f t="shared" si="23"/>
        <v>2024</v>
      </c>
      <c r="L468" s="757"/>
      <c r="M468" s="757"/>
      <c r="N468" s="757"/>
      <c r="O468" s="757"/>
      <c r="P468" s="757"/>
      <c r="Q468" s="757"/>
      <c r="R468" s="757"/>
      <c r="S468" s="757"/>
      <c r="T468" s="757"/>
      <c r="U468" s="757"/>
      <c r="V468" s="757"/>
      <c r="W468" s="757"/>
      <c r="X468" s="757"/>
      <c r="Y468" s="757"/>
      <c r="Z468" s="757"/>
      <c r="AA468" s="757"/>
      <c r="AB468" s="757"/>
      <c r="AC468" s="757"/>
      <c r="AD468" s="757"/>
      <c r="AE468" s="757"/>
      <c r="AF468" s="757"/>
      <c r="AG468" s="757"/>
      <c r="AH468" s="757"/>
      <c r="AI468" s="757"/>
      <c r="AJ468" s="757"/>
      <c r="AK468" s="757"/>
      <c r="AL468" s="757"/>
      <c r="AM468" s="757"/>
      <c r="AN468" s="757"/>
      <c r="AO468" s="757"/>
      <c r="AP468" s="757"/>
      <c r="AQ468" s="757"/>
      <c r="AR468" s="757"/>
      <c r="AS468" s="757"/>
      <c r="AT468" s="757"/>
      <c r="AU468" s="757"/>
      <c r="AV468" s="757"/>
      <c r="AW468" s="757"/>
      <c r="AX468" s="757"/>
      <c r="AY468" s="757"/>
      <c r="AZ468" s="75"/>
      <c r="BA468" s="2"/>
      <c r="BB468" s="2"/>
      <c r="BC468" s="2"/>
      <c r="BD468" s="2"/>
    </row>
    <row r="469" spans="1:56">
      <c r="A469" s="781">
        <v>2</v>
      </c>
      <c r="B469" s="782">
        <v>225</v>
      </c>
      <c r="C469" s="783">
        <v>45313</v>
      </c>
      <c r="D469" s="783" t="s">
        <v>383</v>
      </c>
      <c r="E469" s="808">
        <v>33510</v>
      </c>
      <c r="F469" s="799"/>
      <c r="G469" s="799"/>
      <c r="H469" s="1592">
        <f t="shared" si="21"/>
        <v>0</v>
      </c>
      <c r="I469" s="754" t="str">
        <f>IFERROR(VLOOKUP(B469,Mychart!$A$125:$B$911,2,FALSE),"-")</f>
        <v>HESSA BELOSHI</v>
      </c>
      <c r="J469" s="753">
        <f t="shared" si="22"/>
        <v>1</v>
      </c>
      <c r="K469" s="1540">
        <f t="shared" si="23"/>
        <v>2024</v>
      </c>
      <c r="L469" s="757"/>
      <c r="M469" s="757"/>
      <c r="N469" s="757"/>
      <c r="O469" s="757"/>
      <c r="P469" s="757"/>
      <c r="Q469" s="757"/>
      <c r="R469" s="757"/>
      <c r="S469" s="757"/>
      <c r="T469" s="757"/>
      <c r="U469" s="757"/>
      <c r="V469" s="757"/>
      <c r="W469" s="757"/>
      <c r="X469" s="757"/>
      <c r="Y469" s="757"/>
      <c r="Z469" s="757"/>
      <c r="AA469" s="757"/>
      <c r="AB469" s="757"/>
      <c r="AC469" s="757"/>
      <c r="AD469" s="757"/>
      <c r="AE469" s="757"/>
      <c r="AF469" s="757"/>
      <c r="AG469" s="757"/>
      <c r="AH469" s="757"/>
      <c r="AI469" s="757"/>
      <c r="AJ469" s="757"/>
      <c r="AK469" s="757"/>
      <c r="AL469" s="757"/>
      <c r="AM469" s="757"/>
      <c r="AN469" s="757"/>
      <c r="AO469" s="757"/>
      <c r="AP469" s="757"/>
      <c r="AQ469" s="757"/>
      <c r="AR469" s="757"/>
      <c r="AS469" s="757"/>
      <c r="AT469" s="757"/>
      <c r="AU469" s="757"/>
      <c r="AV469" s="757"/>
      <c r="AW469" s="757"/>
      <c r="AX469" s="757"/>
      <c r="AY469" s="757"/>
      <c r="AZ469" s="75"/>
      <c r="BA469" s="2"/>
      <c r="BB469" s="2"/>
      <c r="BC469" s="2"/>
      <c r="BD469" s="2"/>
    </row>
    <row r="470" spans="1:56">
      <c r="A470" s="781">
        <v>2</v>
      </c>
      <c r="B470" s="782">
        <v>225</v>
      </c>
      <c r="C470" s="783">
        <v>45310</v>
      </c>
      <c r="D470" s="783" t="s">
        <v>258</v>
      </c>
      <c r="E470" s="808">
        <v>266.18</v>
      </c>
      <c r="F470" s="799"/>
      <c r="G470" s="799"/>
      <c r="H470" s="1592">
        <f t="shared" si="21"/>
        <v>0</v>
      </c>
      <c r="I470" s="754" t="str">
        <f>IFERROR(VLOOKUP(B470,Mychart!$A$125:$B$911,2,FALSE),"-")</f>
        <v>HESSA BELOSHI</v>
      </c>
      <c r="J470" s="753">
        <f t="shared" si="22"/>
        <v>1</v>
      </c>
      <c r="K470" s="1540">
        <f t="shared" si="23"/>
        <v>2024</v>
      </c>
      <c r="L470" s="757"/>
      <c r="M470" s="757"/>
      <c r="N470" s="757"/>
      <c r="O470" s="757"/>
      <c r="P470" s="757"/>
      <c r="Q470" s="757"/>
      <c r="R470" s="757"/>
      <c r="S470" s="757"/>
      <c r="T470" s="757"/>
      <c r="U470" s="757"/>
      <c r="V470" s="757"/>
      <c r="W470" s="757"/>
      <c r="X470" s="757"/>
      <c r="Y470" s="757"/>
      <c r="Z470" s="757"/>
      <c r="AA470" s="757"/>
      <c r="AB470" s="757"/>
      <c r="AC470" s="757"/>
      <c r="AD470" s="757"/>
      <c r="AE470" s="757"/>
      <c r="AF470" s="757"/>
      <c r="AG470" s="757"/>
      <c r="AH470" s="757"/>
      <c r="AI470" s="757"/>
      <c r="AJ470" s="757"/>
      <c r="AK470" s="757"/>
      <c r="AL470" s="757"/>
      <c r="AM470" s="757"/>
      <c r="AN470" s="757"/>
      <c r="AO470" s="757"/>
      <c r="AP470" s="757"/>
      <c r="AQ470" s="757"/>
      <c r="AR470" s="757"/>
      <c r="AS470" s="757"/>
      <c r="AT470" s="757"/>
      <c r="AU470" s="757"/>
      <c r="AV470" s="757"/>
      <c r="AW470" s="757"/>
      <c r="AX470" s="757"/>
      <c r="AY470" s="757"/>
      <c r="AZ470" s="75"/>
      <c r="BA470" s="2"/>
      <c r="BB470" s="2"/>
      <c r="BC470" s="2"/>
      <c r="BD470" s="2"/>
    </row>
    <row r="471" spans="1:56">
      <c r="A471" s="781">
        <v>2</v>
      </c>
      <c r="B471" s="782">
        <v>225</v>
      </c>
      <c r="C471" s="783">
        <v>45322</v>
      </c>
      <c r="D471" s="783" t="s">
        <v>177</v>
      </c>
      <c r="E471" s="808">
        <v>10591</v>
      </c>
      <c r="F471" s="799"/>
      <c r="G471" s="799"/>
      <c r="H471" s="1592">
        <f t="shared" si="21"/>
        <v>0</v>
      </c>
      <c r="I471" s="754" t="str">
        <f>IFERROR(VLOOKUP(B471,Mychart!$A$125:$B$911,2,FALSE),"-")</f>
        <v>HESSA BELOSHI</v>
      </c>
      <c r="J471" s="753">
        <f t="shared" si="22"/>
        <v>1</v>
      </c>
      <c r="K471" s="1540">
        <f t="shared" si="23"/>
        <v>2024</v>
      </c>
      <c r="L471" s="757"/>
      <c r="M471" s="757"/>
      <c r="N471" s="757"/>
      <c r="O471" s="757"/>
      <c r="P471" s="757"/>
      <c r="Q471" s="757"/>
      <c r="R471" s="757"/>
      <c r="S471" s="757"/>
      <c r="T471" s="757"/>
      <c r="U471" s="757"/>
      <c r="V471" s="757"/>
      <c r="W471" s="757"/>
      <c r="X471" s="757"/>
      <c r="Y471" s="757"/>
      <c r="Z471" s="757"/>
      <c r="AA471" s="757"/>
      <c r="AB471" s="757"/>
      <c r="AC471" s="757"/>
      <c r="AD471" s="757"/>
      <c r="AE471" s="757"/>
      <c r="AF471" s="757"/>
      <c r="AG471" s="757"/>
      <c r="AH471" s="757"/>
      <c r="AI471" s="757"/>
      <c r="AJ471" s="757"/>
      <c r="AK471" s="757"/>
      <c r="AL471" s="757"/>
      <c r="AM471" s="757"/>
      <c r="AN471" s="757"/>
      <c r="AO471" s="757"/>
      <c r="AP471" s="757"/>
      <c r="AQ471" s="757"/>
      <c r="AR471" s="757"/>
      <c r="AS471" s="757"/>
      <c r="AT471" s="757"/>
      <c r="AU471" s="757"/>
      <c r="AV471" s="757"/>
      <c r="AW471" s="757"/>
      <c r="AX471" s="757"/>
      <c r="AY471" s="757"/>
      <c r="AZ471" s="75"/>
      <c r="BA471" s="2"/>
      <c r="BB471" s="2"/>
      <c r="BC471" s="2"/>
      <c r="BD471" s="2"/>
    </row>
    <row r="472" spans="1:56">
      <c r="A472" s="781">
        <v>2</v>
      </c>
      <c r="B472" s="782">
        <v>225</v>
      </c>
      <c r="C472" s="783">
        <v>45356</v>
      </c>
      <c r="D472" s="783" t="s">
        <v>394</v>
      </c>
      <c r="E472" s="808">
        <v>933.53</v>
      </c>
      <c r="F472" s="799"/>
      <c r="G472" s="799"/>
      <c r="H472" s="1592">
        <f t="shared" si="21"/>
        <v>0</v>
      </c>
      <c r="I472" s="754" t="str">
        <f>IFERROR(VLOOKUP(B472,Mychart!$A$125:$B$911,2,FALSE),"-")</f>
        <v>HESSA BELOSHI</v>
      </c>
      <c r="J472" s="753">
        <f t="shared" si="22"/>
        <v>3</v>
      </c>
      <c r="K472" s="1540">
        <f t="shared" si="23"/>
        <v>2024</v>
      </c>
      <c r="L472" s="757"/>
      <c r="M472" s="757"/>
      <c r="N472" s="757"/>
      <c r="O472" s="757"/>
      <c r="P472" s="757"/>
      <c r="Q472" s="757"/>
      <c r="R472" s="757"/>
      <c r="S472" s="757"/>
      <c r="T472" s="757"/>
      <c r="U472" s="757"/>
      <c r="V472" s="757"/>
      <c r="W472" s="757"/>
      <c r="X472" s="757"/>
      <c r="Y472" s="757"/>
      <c r="Z472" s="757"/>
      <c r="AA472" s="757"/>
      <c r="AB472" s="757"/>
      <c r="AC472" s="757"/>
      <c r="AD472" s="757"/>
      <c r="AE472" s="757"/>
      <c r="AF472" s="757"/>
      <c r="AG472" s="757"/>
      <c r="AH472" s="757"/>
      <c r="AI472" s="757"/>
      <c r="AJ472" s="757"/>
      <c r="AK472" s="757"/>
      <c r="AL472" s="757"/>
      <c r="AM472" s="757"/>
      <c r="AN472" s="757"/>
      <c r="AO472" s="757"/>
      <c r="AP472" s="757"/>
      <c r="AQ472" s="757"/>
      <c r="AR472" s="757"/>
      <c r="AS472" s="757"/>
      <c r="AT472" s="757"/>
      <c r="AU472" s="757"/>
      <c r="AV472" s="757"/>
      <c r="AW472" s="757"/>
      <c r="AX472" s="757"/>
      <c r="AY472" s="757"/>
      <c r="AZ472" s="75"/>
      <c r="BA472" s="2"/>
      <c r="BB472" s="2"/>
      <c r="BC472" s="2"/>
      <c r="BD472" s="2"/>
    </row>
    <row r="473" spans="1:56">
      <c r="A473" s="781">
        <v>2</v>
      </c>
      <c r="B473" s="782">
        <v>225</v>
      </c>
      <c r="C473" s="783">
        <v>45371</v>
      </c>
      <c r="D473" s="783" t="s">
        <v>394</v>
      </c>
      <c r="E473" s="808">
        <v>331.96</v>
      </c>
      <c r="F473" s="799"/>
      <c r="G473" s="799"/>
      <c r="H473" s="1592">
        <f t="shared" si="21"/>
        <v>0</v>
      </c>
      <c r="I473" s="754" t="str">
        <f>IFERROR(VLOOKUP(B473,Mychart!$A$125:$B$911,2,FALSE),"-")</f>
        <v>HESSA BELOSHI</v>
      </c>
      <c r="J473" s="753">
        <f t="shared" si="22"/>
        <v>3</v>
      </c>
      <c r="K473" s="1540">
        <f t="shared" si="23"/>
        <v>2024</v>
      </c>
      <c r="L473" s="757"/>
      <c r="M473" s="757"/>
      <c r="N473" s="757"/>
      <c r="O473" s="757"/>
      <c r="P473" s="757"/>
      <c r="Q473" s="757"/>
      <c r="R473" s="757"/>
      <c r="S473" s="757"/>
      <c r="T473" s="757"/>
      <c r="U473" s="757"/>
      <c r="V473" s="757"/>
      <c r="W473" s="757"/>
      <c r="X473" s="757"/>
      <c r="Y473" s="757"/>
      <c r="Z473" s="757"/>
      <c r="AA473" s="757"/>
      <c r="AB473" s="757"/>
      <c r="AC473" s="757"/>
      <c r="AD473" s="757"/>
      <c r="AE473" s="757"/>
      <c r="AF473" s="757"/>
      <c r="AG473" s="757"/>
      <c r="AH473" s="757"/>
      <c r="AI473" s="757"/>
      <c r="AJ473" s="757"/>
      <c r="AK473" s="757"/>
      <c r="AL473" s="757"/>
      <c r="AM473" s="757"/>
      <c r="AN473" s="757"/>
      <c r="AO473" s="757"/>
      <c r="AP473" s="757"/>
      <c r="AQ473" s="757"/>
      <c r="AR473" s="757"/>
      <c r="AS473" s="757"/>
      <c r="AT473" s="757"/>
      <c r="AU473" s="757"/>
      <c r="AV473" s="757"/>
      <c r="AW473" s="757"/>
      <c r="AX473" s="757"/>
      <c r="AY473" s="757"/>
      <c r="AZ473" s="75"/>
      <c r="BA473" s="2"/>
      <c r="BB473" s="2"/>
      <c r="BC473" s="2"/>
      <c r="BD473" s="2"/>
    </row>
    <row r="474" spans="1:56">
      <c r="A474" s="781">
        <v>2</v>
      </c>
      <c r="B474" s="782">
        <v>225</v>
      </c>
      <c r="C474" s="783">
        <v>45369</v>
      </c>
      <c r="D474" s="783" t="s">
        <v>394</v>
      </c>
      <c r="E474" s="808">
        <v>305.98</v>
      </c>
      <c r="F474" s="799"/>
      <c r="G474" s="799"/>
      <c r="H474" s="1592">
        <f t="shared" si="21"/>
        <v>0</v>
      </c>
      <c r="I474" s="754" t="str">
        <f>IFERROR(VLOOKUP(B474,Mychart!$A$125:$B$911,2,FALSE),"-")</f>
        <v>HESSA BELOSHI</v>
      </c>
      <c r="J474" s="753">
        <f t="shared" si="22"/>
        <v>3</v>
      </c>
      <c r="K474" s="1540">
        <f t="shared" si="23"/>
        <v>2024</v>
      </c>
      <c r="L474" s="757"/>
      <c r="M474" s="757"/>
      <c r="N474" s="757"/>
      <c r="O474" s="757"/>
      <c r="P474" s="757"/>
      <c r="Q474" s="757"/>
      <c r="R474" s="757"/>
      <c r="S474" s="757"/>
      <c r="T474" s="757"/>
      <c r="U474" s="757"/>
      <c r="V474" s="757"/>
      <c r="W474" s="757"/>
      <c r="X474" s="757"/>
      <c r="Y474" s="757"/>
      <c r="Z474" s="757"/>
      <c r="AA474" s="757"/>
      <c r="AB474" s="757"/>
      <c r="AC474" s="757"/>
      <c r="AD474" s="757"/>
      <c r="AE474" s="757"/>
      <c r="AF474" s="757"/>
      <c r="AG474" s="757"/>
      <c r="AH474" s="757"/>
      <c r="AI474" s="757"/>
      <c r="AJ474" s="757"/>
      <c r="AK474" s="757"/>
      <c r="AL474" s="757"/>
      <c r="AM474" s="757"/>
      <c r="AN474" s="757"/>
      <c r="AO474" s="757"/>
      <c r="AP474" s="757"/>
      <c r="AQ474" s="757"/>
      <c r="AR474" s="757"/>
      <c r="AS474" s="757"/>
      <c r="AT474" s="757"/>
      <c r="AU474" s="757"/>
      <c r="AV474" s="757"/>
      <c r="AW474" s="757"/>
      <c r="AX474" s="757"/>
      <c r="AY474" s="757"/>
      <c r="AZ474" s="75"/>
      <c r="BA474" s="2"/>
      <c r="BB474" s="2"/>
      <c r="BC474" s="2"/>
      <c r="BD474" s="2"/>
    </row>
    <row r="475" spans="1:56">
      <c r="A475" s="781">
        <v>2</v>
      </c>
      <c r="B475" s="782">
        <v>225</v>
      </c>
      <c r="C475" s="783">
        <v>45366</v>
      </c>
      <c r="D475" s="783" t="s">
        <v>394</v>
      </c>
      <c r="E475" s="808">
        <v>168.01</v>
      </c>
      <c r="F475" s="799"/>
      <c r="G475" s="799"/>
      <c r="H475" s="1592">
        <f t="shared" si="21"/>
        <v>0</v>
      </c>
      <c r="I475" s="754" t="str">
        <f>IFERROR(VLOOKUP(B475,Mychart!$A$125:$B$911,2,FALSE),"-")</f>
        <v>HESSA BELOSHI</v>
      </c>
      <c r="J475" s="753">
        <f t="shared" si="22"/>
        <v>3</v>
      </c>
      <c r="K475" s="1540">
        <f t="shared" si="23"/>
        <v>2024</v>
      </c>
      <c r="L475" s="757"/>
      <c r="M475" s="757"/>
      <c r="N475" s="757"/>
      <c r="O475" s="757"/>
      <c r="P475" s="757"/>
      <c r="Q475" s="757"/>
      <c r="R475" s="757"/>
      <c r="S475" s="757"/>
      <c r="T475" s="757"/>
      <c r="U475" s="757"/>
      <c r="V475" s="757"/>
      <c r="W475" s="757"/>
      <c r="X475" s="757"/>
      <c r="Y475" s="757"/>
      <c r="Z475" s="757"/>
      <c r="AA475" s="757"/>
      <c r="AB475" s="757"/>
      <c r="AC475" s="757"/>
      <c r="AD475" s="757"/>
      <c r="AE475" s="757"/>
      <c r="AF475" s="757"/>
      <c r="AG475" s="757"/>
      <c r="AH475" s="757"/>
      <c r="AI475" s="757"/>
      <c r="AJ475" s="757"/>
      <c r="AK475" s="757"/>
      <c r="AL475" s="757"/>
      <c r="AM475" s="757"/>
      <c r="AN475" s="757"/>
      <c r="AO475" s="757"/>
      <c r="AP475" s="757"/>
      <c r="AQ475" s="757"/>
      <c r="AR475" s="757"/>
      <c r="AS475" s="757"/>
      <c r="AT475" s="757"/>
      <c r="AU475" s="757"/>
      <c r="AV475" s="757"/>
      <c r="AW475" s="757"/>
      <c r="AX475" s="757"/>
      <c r="AY475" s="757"/>
      <c r="AZ475" s="75"/>
      <c r="BA475" s="2"/>
      <c r="BB475" s="2"/>
      <c r="BC475" s="2"/>
      <c r="BD475" s="2"/>
    </row>
    <row r="476" spans="1:56">
      <c r="A476" s="781">
        <v>2</v>
      </c>
      <c r="B476" s="782">
        <v>225</v>
      </c>
      <c r="C476" s="783">
        <v>45374</v>
      </c>
      <c r="D476" s="783" t="s">
        <v>394</v>
      </c>
      <c r="E476" s="808">
        <v>316.68</v>
      </c>
      <c r="F476" s="799"/>
      <c r="G476" s="799"/>
      <c r="H476" s="1592">
        <f t="shared" si="21"/>
        <v>0</v>
      </c>
      <c r="I476" s="754" t="str">
        <f>IFERROR(VLOOKUP(B476,Mychart!$A$125:$B$911,2,FALSE),"-")</f>
        <v>HESSA BELOSHI</v>
      </c>
      <c r="J476" s="753">
        <f t="shared" si="22"/>
        <v>3</v>
      </c>
      <c r="K476" s="1540">
        <f t="shared" si="23"/>
        <v>2024</v>
      </c>
      <c r="L476" s="757"/>
      <c r="M476" s="757"/>
      <c r="N476" s="757"/>
      <c r="O476" s="757"/>
      <c r="P476" s="757"/>
      <c r="Q476" s="757"/>
      <c r="R476" s="757"/>
      <c r="S476" s="757"/>
      <c r="T476" s="757"/>
      <c r="U476" s="757"/>
      <c r="V476" s="757"/>
      <c r="W476" s="757"/>
      <c r="X476" s="757"/>
      <c r="Y476" s="757"/>
      <c r="Z476" s="757"/>
      <c r="AA476" s="757"/>
      <c r="AB476" s="757"/>
      <c r="AC476" s="757"/>
      <c r="AD476" s="757"/>
      <c r="AE476" s="757"/>
      <c r="AF476" s="757"/>
      <c r="AG476" s="757"/>
      <c r="AH476" s="757"/>
      <c r="AI476" s="757"/>
      <c r="AJ476" s="757"/>
      <c r="AK476" s="757"/>
      <c r="AL476" s="757"/>
      <c r="AM476" s="757"/>
      <c r="AN476" s="757"/>
      <c r="AO476" s="757"/>
      <c r="AP476" s="757"/>
      <c r="AQ476" s="757"/>
      <c r="AR476" s="757"/>
      <c r="AS476" s="757"/>
      <c r="AT476" s="757"/>
      <c r="AU476" s="757"/>
      <c r="AV476" s="757"/>
      <c r="AW476" s="757"/>
      <c r="AX476" s="757"/>
      <c r="AY476" s="757"/>
      <c r="AZ476" s="75"/>
      <c r="BA476" s="2"/>
      <c r="BB476" s="2"/>
      <c r="BC476" s="2"/>
      <c r="BD476" s="2"/>
    </row>
    <row r="477" spans="1:56">
      <c r="A477" s="781">
        <v>2</v>
      </c>
      <c r="B477" s="782">
        <v>225</v>
      </c>
      <c r="C477" s="783">
        <v>45376</v>
      </c>
      <c r="D477" s="783" t="s">
        <v>394</v>
      </c>
      <c r="E477" s="808">
        <v>510</v>
      </c>
      <c r="F477" s="799"/>
      <c r="G477" s="799"/>
      <c r="H477" s="1592">
        <f t="shared" si="21"/>
        <v>0</v>
      </c>
      <c r="I477" s="754" t="str">
        <f>IFERROR(VLOOKUP(B477,Mychart!$A$125:$B$911,2,FALSE),"-")</f>
        <v>HESSA BELOSHI</v>
      </c>
      <c r="J477" s="753">
        <f t="shared" si="22"/>
        <v>3</v>
      </c>
      <c r="K477" s="1540">
        <f t="shared" si="23"/>
        <v>2024</v>
      </c>
      <c r="L477" s="757"/>
      <c r="M477" s="757"/>
      <c r="N477" s="757"/>
      <c r="O477" s="757"/>
      <c r="P477" s="757"/>
      <c r="Q477" s="757"/>
      <c r="R477" s="757"/>
      <c r="S477" s="757"/>
      <c r="T477" s="757"/>
      <c r="U477" s="757"/>
      <c r="V477" s="757"/>
      <c r="W477" s="757"/>
      <c r="X477" s="757"/>
      <c r="Y477" s="757"/>
      <c r="Z477" s="757"/>
      <c r="AA477" s="757"/>
      <c r="AB477" s="757"/>
      <c r="AC477" s="757"/>
      <c r="AD477" s="757"/>
      <c r="AE477" s="757"/>
      <c r="AF477" s="757"/>
      <c r="AG477" s="757"/>
      <c r="AH477" s="757"/>
      <c r="AI477" s="757"/>
      <c r="AJ477" s="757"/>
      <c r="AK477" s="757"/>
      <c r="AL477" s="757"/>
      <c r="AM477" s="757"/>
      <c r="AN477" s="757"/>
      <c r="AO477" s="757"/>
      <c r="AP477" s="757"/>
      <c r="AQ477" s="757"/>
      <c r="AR477" s="757"/>
      <c r="AS477" s="757"/>
      <c r="AT477" s="757"/>
      <c r="AU477" s="757"/>
      <c r="AV477" s="757"/>
      <c r="AW477" s="757"/>
      <c r="AX477" s="757"/>
      <c r="AY477" s="757"/>
      <c r="AZ477" s="75"/>
      <c r="BA477" s="2"/>
      <c r="BB477" s="2"/>
      <c r="BC477" s="2"/>
      <c r="BD477" s="2"/>
    </row>
    <row r="478" spans="1:56">
      <c r="A478" s="781">
        <v>2</v>
      </c>
      <c r="B478" s="782">
        <v>225</v>
      </c>
      <c r="C478" s="783">
        <v>45378</v>
      </c>
      <c r="D478" s="783" t="s">
        <v>394</v>
      </c>
      <c r="E478" s="808">
        <v>162.47</v>
      </c>
      <c r="F478" s="799"/>
      <c r="G478" s="799"/>
      <c r="H478" s="1592">
        <f t="shared" si="21"/>
        <v>0</v>
      </c>
      <c r="I478" s="754" t="str">
        <f>IFERROR(VLOOKUP(B478,Mychart!$A$125:$B$911,2,FALSE),"-")</f>
        <v>HESSA BELOSHI</v>
      </c>
      <c r="J478" s="753">
        <f t="shared" si="22"/>
        <v>3</v>
      </c>
      <c r="K478" s="1540">
        <f t="shared" si="23"/>
        <v>2024</v>
      </c>
      <c r="L478" s="757"/>
      <c r="M478" s="757"/>
      <c r="N478" s="757"/>
      <c r="O478" s="757"/>
      <c r="P478" s="757"/>
      <c r="Q478" s="757"/>
      <c r="R478" s="757"/>
      <c r="S478" s="757"/>
      <c r="T478" s="757"/>
      <c r="U478" s="757"/>
      <c r="V478" s="757"/>
      <c r="W478" s="757"/>
      <c r="X478" s="757"/>
      <c r="Y478" s="757"/>
      <c r="Z478" s="757"/>
      <c r="AA478" s="757"/>
      <c r="AB478" s="757"/>
      <c r="AC478" s="757"/>
      <c r="AD478" s="757"/>
      <c r="AE478" s="757"/>
      <c r="AF478" s="757"/>
      <c r="AG478" s="757"/>
      <c r="AH478" s="757"/>
      <c r="AI478" s="757"/>
      <c r="AJ478" s="757"/>
      <c r="AK478" s="757"/>
      <c r="AL478" s="757"/>
      <c r="AM478" s="757"/>
      <c r="AN478" s="757"/>
      <c r="AO478" s="757"/>
      <c r="AP478" s="757"/>
      <c r="AQ478" s="757"/>
      <c r="AR478" s="757"/>
      <c r="AS478" s="757"/>
      <c r="AT478" s="757"/>
      <c r="AU478" s="757"/>
      <c r="AV478" s="757"/>
      <c r="AW478" s="757"/>
      <c r="AX478" s="757"/>
      <c r="AY478" s="757"/>
      <c r="AZ478" s="75"/>
      <c r="BA478" s="2"/>
      <c r="BB478" s="2"/>
      <c r="BC478" s="2"/>
      <c r="BD478" s="2"/>
    </row>
    <row r="479" spans="1:56">
      <c r="A479" s="781">
        <v>2</v>
      </c>
      <c r="B479" s="782">
        <v>225</v>
      </c>
      <c r="C479" s="783" t="s">
        <v>446</v>
      </c>
      <c r="D479" s="783" t="s">
        <v>394</v>
      </c>
      <c r="E479" s="808">
        <v>236</v>
      </c>
      <c r="F479" s="799"/>
      <c r="G479" s="799"/>
      <c r="H479" s="1592">
        <f t="shared" si="21"/>
        <v>0</v>
      </c>
      <c r="I479" s="754" t="str">
        <f>IFERROR(VLOOKUP(B479,Mychart!$A$125:$B$911,2,FALSE),"-")</f>
        <v>HESSA BELOSHI</v>
      </c>
      <c r="J479" s="753">
        <f t="shared" si="22"/>
        <v>1</v>
      </c>
      <c r="K479" s="1540">
        <f t="shared" si="23"/>
        <v>2024</v>
      </c>
      <c r="L479" s="757"/>
      <c r="M479" s="757"/>
      <c r="N479" s="757"/>
      <c r="O479" s="757"/>
      <c r="P479" s="757"/>
      <c r="Q479" s="757"/>
      <c r="R479" s="757"/>
      <c r="S479" s="757"/>
      <c r="T479" s="757"/>
      <c r="U479" s="757"/>
      <c r="V479" s="757"/>
      <c r="W479" s="757"/>
      <c r="X479" s="757"/>
      <c r="Y479" s="757"/>
      <c r="Z479" s="757"/>
      <c r="AA479" s="757"/>
      <c r="AB479" s="757"/>
      <c r="AC479" s="757"/>
      <c r="AD479" s="757"/>
      <c r="AE479" s="757"/>
      <c r="AF479" s="757"/>
      <c r="AG479" s="757"/>
      <c r="AH479" s="757"/>
      <c r="AI479" s="757"/>
      <c r="AJ479" s="757"/>
      <c r="AK479" s="757"/>
      <c r="AL479" s="757"/>
      <c r="AM479" s="757"/>
      <c r="AN479" s="757"/>
      <c r="AO479" s="757"/>
      <c r="AP479" s="757"/>
      <c r="AQ479" s="757"/>
      <c r="AR479" s="757"/>
      <c r="AS479" s="757"/>
      <c r="AT479" s="757"/>
      <c r="AU479" s="757"/>
      <c r="AV479" s="757"/>
      <c r="AW479" s="757"/>
      <c r="AX479" s="757"/>
      <c r="AY479" s="757"/>
      <c r="AZ479" s="75"/>
      <c r="BA479" s="2"/>
      <c r="BB479" s="2"/>
      <c r="BC479" s="2"/>
      <c r="BD479" s="2"/>
    </row>
    <row r="480" spans="1:56">
      <c r="A480" s="781">
        <v>2</v>
      </c>
      <c r="B480" s="782">
        <v>225</v>
      </c>
      <c r="C480" s="783">
        <v>45382</v>
      </c>
      <c r="D480" s="783" t="s">
        <v>177</v>
      </c>
      <c r="E480" s="808">
        <v>4957</v>
      </c>
      <c r="F480" s="799"/>
      <c r="G480" s="799"/>
      <c r="H480" s="1592">
        <f t="shared" si="21"/>
        <v>0</v>
      </c>
      <c r="I480" s="754" t="str">
        <f>IFERROR(VLOOKUP(B480,Mychart!$A$125:$B$911,2,FALSE),"-")</f>
        <v>HESSA BELOSHI</v>
      </c>
      <c r="J480" s="753">
        <f t="shared" si="22"/>
        <v>3</v>
      </c>
      <c r="K480" s="1540">
        <f t="shared" si="23"/>
        <v>2024</v>
      </c>
      <c r="L480" s="757"/>
      <c r="M480" s="757"/>
      <c r="N480" s="757"/>
      <c r="O480" s="757"/>
      <c r="P480" s="757"/>
      <c r="Q480" s="757"/>
      <c r="R480" s="757"/>
      <c r="S480" s="757"/>
      <c r="T480" s="757"/>
      <c r="U480" s="757"/>
      <c r="V480" s="757"/>
      <c r="W480" s="757"/>
      <c r="X480" s="757"/>
      <c r="Y480" s="757"/>
      <c r="Z480" s="757"/>
      <c r="AA480" s="757"/>
      <c r="AB480" s="757"/>
      <c r="AC480" s="757"/>
      <c r="AD480" s="757"/>
      <c r="AE480" s="757"/>
      <c r="AF480" s="757"/>
      <c r="AG480" s="757"/>
      <c r="AH480" s="757"/>
      <c r="AI480" s="757"/>
      <c r="AJ480" s="757"/>
      <c r="AK480" s="757"/>
      <c r="AL480" s="757"/>
      <c r="AM480" s="757"/>
      <c r="AN480" s="757"/>
      <c r="AO480" s="757"/>
      <c r="AP480" s="757"/>
      <c r="AQ480" s="757"/>
      <c r="AR480" s="757"/>
      <c r="AS480" s="757"/>
      <c r="AT480" s="757"/>
      <c r="AU480" s="757"/>
      <c r="AV480" s="757"/>
      <c r="AW480" s="757"/>
      <c r="AX480" s="757"/>
      <c r="AY480" s="757"/>
      <c r="AZ480" s="75"/>
      <c r="BA480" s="2"/>
      <c r="BB480" s="2"/>
      <c r="BC480" s="2"/>
      <c r="BD480" s="2"/>
    </row>
    <row r="481" spans="1:56">
      <c r="A481" s="781">
        <v>2</v>
      </c>
      <c r="B481" s="782">
        <v>225</v>
      </c>
      <c r="C481" s="783">
        <v>45418</v>
      </c>
      <c r="D481" s="783" t="s">
        <v>383</v>
      </c>
      <c r="E481" s="808">
        <v>27840.75</v>
      </c>
      <c r="F481" s="799"/>
      <c r="G481" s="799"/>
      <c r="H481" s="1592">
        <f t="shared" si="21"/>
        <v>0</v>
      </c>
      <c r="I481" s="754" t="str">
        <f>IFERROR(VLOOKUP(B481,Mychart!$A$125:$B$911,2,FALSE),"-")</f>
        <v>HESSA BELOSHI</v>
      </c>
      <c r="J481" s="753">
        <f t="shared" si="22"/>
        <v>5</v>
      </c>
      <c r="K481" s="1540">
        <f t="shared" si="23"/>
        <v>2024</v>
      </c>
      <c r="L481" s="757"/>
      <c r="M481" s="757"/>
      <c r="N481" s="757"/>
      <c r="O481" s="757"/>
      <c r="P481" s="757"/>
      <c r="Q481" s="757"/>
      <c r="R481" s="757"/>
      <c r="S481" s="757"/>
      <c r="T481" s="757"/>
      <c r="U481" s="757"/>
      <c r="V481" s="757"/>
      <c r="W481" s="757"/>
      <c r="X481" s="757"/>
      <c r="Y481" s="757"/>
      <c r="Z481" s="757"/>
      <c r="AA481" s="757"/>
      <c r="AB481" s="757"/>
      <c r="AC481" s="757"/>
      <c r="AD481" s="757"/>
      <c r="AE481" s="757"/>
      <c r="AF481" s="757"/>
      <c r="AG481" s="757"/>
      <c r="AH481" s="757"/>
      <c r="AI481" s="757"/>
      <c r="AJ481" s="757"/>
      <c r="AK481" s="757"/>
      <c r="AL481" s="757"/>
      <c r="AM481" s="757"/>
      <c r="AN481" s="757"/>
      <c r="AO481" s="757"/>
      <c r="AP481" s="757"/>
      <c r="AQ481" s="757"/>
      <c r="AR481" s="757"/>
      <c r="AS481" s="757"/>
      <c r="AT481" s="757"/>
      <c r="AU481" s="757"/>
      <c r="AV481" s="757"/>
      <c r="AW481" s="757"/>
      <c r="AX481" s="757"/>
      <c r="AY481" s="757"/>
      <c r="AZ481" s="75"/>
      <c r="BA481" s="2"/>
      <c r="BB481" s="2"/>
      <c r="BC481" s="2"/>
      <c r="BD481" s="2"/>
    </row>
    <row r="482" spans="1:56">
      <c r="A482" s="781">
        <v>2</v>
      </c>
      <c r="B482" s="782">
        <v>225</v>
      </c>
      <c r="C482" s="783">
        <v>45443</v>
      </c>
      <c r="D482" s="783" t="s">
        <v>177</v>
      </c>
      <c r="E482" s="808">
        <v>555</v>
      </c>
      <c r="F482" s="799"/>
      <c r="G482" s="799"/>
      <c r="H482" s="1592">
        <f t="shared" si="21"/>
        <v>0</v>
      </c>
      <c r="I482" s="754" t="str">
        <f>IFERROR(VLOOKUP(B482,Mychart!$A$125:$B$911,2,FALSE),"-")</f>
        <v>HESSA BELOSHI</v>
      </c>
      <c r="J482" s="753">
        <f t="shared" si="22"/>
        <v>5</v>
      </c>
      <c r="K482" s="1540">
        <f t="shared" si="23"/>
        <v>2024</v>
      </c>
      <c r="L482" s="757"/>
      <c r="M482" s="757"/>
      <c r="N482" s="757"/>
      <c r="O482" s="757"/>
      <c r="P482" s="757"/>
      <c r="Q482" s="757"/>
      <c r="R482" s="757"/>
      <c r="S482" s="757"/>
      <c r="T482" s="757"/>
      <c r="U482" s="757"/>
      <c r="V482" s="757"/>
      <c r="W482" s="757"/>
      <c r="X482" s="757"/>
      <c r="Y482" s="757"/>
      <c r="Z482" s="757"/>
      <c r="AA482" s="757"/>
      <c r="AB482" s="757"/>
      <c r="AC482" s="757"/>
      <c r="AD482" s="757"/>
      <c r="AE482" s="757"/>
      <c r="AF482" s="757"/>
      <c r="AG482" s="757"/>
      <c r="AH482" s="757"/>
      <c r="AI482" s="757"/>
      <c r="AJ482" s="757"/>
      <c r="AK482" s="757"/>
      <c r="AL482" s="757"/>
      <c r="AM482" s="757"/>
      <c r="AN482" s="757"/>
      <c r="AO482" s="757"/>
      <c r="AP482" s="757"/>
      <c r="AQ482" s="757"/>
      <c r="AR482" s="757"/>
      <c r="AS482" s="757"/>
      <c r="AT482" s="757"/>
      <c r="AU482" s="757"/>
      <c r="AV482" s="757"/>
      <c r="AW482" s="757"/>
      <c r="AX482" s="757"/>
      <c r="AY482" s="757"/>
      <c r="AZ482" s="75"/>
      <c r="BA482" s="2"/>
      <c r="BB482" s="2"/>
      <c r="BC482" s="2"/>
      <c r="BD482" s="2"/>
    </row>
    <row r="483" spans="1:56">
      <c r="A483" s="781">
        <v>2</v>
      </c>
      <c r="B483" s="782">
        <v>225</v>
      </c>
      <c r="C483" s="783">
        <v>45479</v>
      </c>
      <c r="D483" s="783" t="s">
        <v>383</v>
      </c>
      <c r="E483" s="808">
        <v>3396.75</v>
      </c>
      <c r="F483" s="799"/>
      <c r="G483" s="799"/>
      <c r="H483" s="1592">
        <f t="shared" si="21"/>
        <v>0</v>
      </c>
      <c r="I483" s="754" t="str">
        <f>IFERROR(VLOOKUP(B483,Mychart!$A$125:$B$911,2,FALSE),"-")</f>
        <v>HESSA BELOSHI</v>
      </c>
      <c r="J483" s="753">
        <f t="shared" si="22"/>
        <v>7</v>
      </c>
      <c r="K483" s="1540">
        <f t="shared" si="23"/>
        <v>2024</v>
      </c>
      <c r="L483" s="757"/>
      <c r="M483" s="757"/>
      <c r="N483" s="757"/>
      <c r="O483" s="757"/>
      <c r="P483" s="757"/>
      <c r="Q483" s="757"/>
      <c r="R483" s="757"/>
      <c r="S483" s="757"/>
      <c r="T483" s="757"/>
      <c r="U483" s="757"/>
      <c r="V483" s="757"/>
      <c r="W483" s="757"/>
      <c r="X483" s="757"/>
      <c r="Y483" s="757"/>
      <c r="Z483" s="757"/>
      <c r="AA483" s="757"/>
      <c r="AB483" s="757"/>
      <c r="AC483" s="757"/>
      <c r="AD483" s="757"/>
      <c r="AE483" s="757"/>
      <c r="AF483" s="757"/>
      <c r="AG483" s="757"/>
      <c r="AH483" s="757"/>
      <c r="AI483" s="757"/>
      <c r="AJ483" s="757"/>
      <c r="AK483" s="757"/>
      <c r="AL483" s="757"/>
      <c r="AM483" s="757"/>
      <c r="AN483" s="757"/>
      <c r="AO483" s="757"/>
      <c r="AP483" s="757"/>
      <c r="AQ483" s="757"/>
      <c r="AR483" s="757"/>
      <c r="AS483" s="757"/>
      <c r="AT483" s="757"/>
      <c r="AU483" s="757"/>
      <c r="AV483" s="757"/>
      <c r="AW483" s="757"/>
      <c r="AX483" s="757"/>
      <c r="AY483" s="757"/>
      <c r="AZ483" s="75"/>
      <c r="BA483" s="2"/>
      <c r="BB483" s="2"/>
      <c r="BC483" s="2"/>
      <c r="BD483" s="2"/>
    </row>
    <row r="484" spans="1:56">
      <c r="A484" s="781">
        <v>2</v>
      </c>
      <c r="B484" s="782">
        <v>225</v>
      </c>
      <c r="C484" s="783">
        <v>45463</v>
      </c>
      <c r="D484" s="783" t="s">
        <v>383</v>
      </c>
      <c r="E484" s="808">
        <v>2835</v>
      </c>
      <c r="F484" s="799"/>
      <c r="G484" s="799"/>
      <c r="H484" s="1592">
        <f t="shared" si="21"/>
        <v>0</v>
      </c>
      <c r="I484" s="754" t="str">
        <f>IFERROR(VLOOKUP(B484,Mychart!$A$125:$B$911,2,FALSE),"-")</f>
        <v>HESSA BELOSHI</v>
      </c>
      <c r="J484" s="753">
        <f t="shared" si="22"/>
        <v>6</v>
      </c>
      <c r="K484" s="1540">
        <f t="shared" si="23"/>
        <v>2024</v>
      </c>
      <c r="L484" s="757"/>
      <c r="M484" s="757"/>
      <c r="N484" s="757"/>
      <c r="O484" s="757"/>
      <c r="P484" s="757"/>
      <c r="Q484" s="757"/>
      <c r="R484" s="757"/>
      <c r="S484" s="757"/>
      <c r="T484" s="757"/>
      <c r="U484" s="757"/>
      <c r="V484" s="757"/>
      <c r="W484" s="757"/>
      <c r="X484" s="757"/>
      <c r="Y484" s="757"/>
      <c r="Z484" s="757"/>
      <c r="AA484" s="757"/>
      <c r="AB484" s="757"/>
      <c r="AC484" s="757"/>
      <c r="AD484" s="757"/>
      <c r="AE484" s="757"/>
      <c r="AF484" s="757"/>
      <c r="AG484" s="757"/>
      <c r="AH484" s="757"/>
      <c r="AI484" s="757"/>
      <c r="AJ484" s="757"/>
      <c r="AK484" s="757"/>
      <c r="AL484" s="757"/>
      <c r="AM484" s="757"/>
      <c r="AN484" s="757"/>
      <c r="AO484" s="757"/>
      <c r="AP484" s="757"/>
      <c r="AQ484" s="757"/>
      <c r="AR484" s="757"/>
      <c r="AS484" s="757"/>
      <c r="AT484" s="757"/>
      <c r="AU484" s="757"/>
      <c r="AV484" s="757"/>
      <c r="AW484" s="757"/>
      <c r="AX484" s="757"/>
      <c r="AY484" s="757"/>
      <c r="AZ484" s="75"/>
      <c r="BA484" s="2"/>
      <c r="BB484" s="2"/>
      <c r="BC484" s="2"/>
      <c r="BD484" s="2"/>
    </row>
    <row r="485" spans="1:56">
      <c r="A485" s="781">
        <v>1</v>
      </c>
      <c r="B485" s="782">
        <v>260</v>
      </c>
      <c r="C485" s="783">
        <v>45373</v>
      </c>
      <c r="D485" s="786" t="s">
        <v>450</v>
      </c>
      <c r="E485" s="807"/>
      <c r="F485" s="798">
        <v>39000</v>
      </c>
      <c r="G485" s="798">
        <v>1950</v>
      </c>
      <c r="H485" s="1592">
        <f t="shared" si="21"/>
        <v>40950</v>
      </c>
      <c r="I485" s="754" t="str">
        <f>IFERROR(VLOOKUP(B485,Mychart!$A$125:$B$911,2,FALSE),"-")</f>
        <v>ISMAIL ABDULRAHMAN</v>
      </c>
      <c r="J485" s="753">
        <f t="shared" si="22"/>
        <v>3</v>
      </c>
      <c r="K485" s="1540">
        <f t="shared" si="23"/>
        <v>2024</v>
      </c>
      <c r="L485" s="757"/>
      <c r="M485" s="757"/>
      <c r="N485" s="757"/>
      <c r="O485" s="757"/>
      <c r="P485" s="757"/>
      <c r="Q485" s="757"/>
      <c r="R485" s="757"/>
      <c r="S485" s="757"/>
      <c r="T485" s="757"/>
      <c r="U485" s="757"/>
      <c r="V485" s="757"/>
      <c r="W485" s="757"/>
      <c r="X485" s="757"/>
      <c r="Y485" s="757"/>
      <c r="Z485" s="757"/>
      <c r="AA485" s="757"/>
      <c r="AB485" s="757"/>
      <c r="AC485" s="757"/>
      <c r="AD485" s="757"/>
      <c r="AE485" s="757"/>
      <c r="AF485" s="757"/>
      <c r="AG485" s="757"/>
      <c r="AH485" s="757"/>
      <c r="AI485" s="757"/>
      <c r="AJ485" s="757"/>
      <c r="AK485" s="757"/>
      <c r="AL485" s="757"/>
      <c r="AM485" s="757"/>
      <c r="AN485" s="757"/>
      <c r="AO485" s="757"/>
      <c r="AP485" s="757"/>
      <c r="AQ485" s="757"/>
      <c r="AR485" s="757"/>
      <c r="AS485" s="757"/>
      <c r="AT485" s="757"/>
      <c r="AU485" s="757"/>
      <c r="AV485" s="757"/>
      <c r="AW485" s="757"/>
      <c r="AX485" s="757"/>
      <c r="AY485" s="757"/>
      <c r="AZ485" s="75"/>
      <c r="BA485" s="2"/>
      <c r="BB485" s="2"/>
      <c r="BC485" s="2"/>
      <c r="BD485" s="2"/>
    </row>
    <row r="486" spans="1:56">
      <c r="A486" s="781">
        <v>2</v>
      </c>
      <c r="B486" s="782">
        <v>260</v>
      </c>
      <c r="C486" s="783">
        <v>45374</v>
      </c>
      <c r="D486" s="783" t="s">
        <v>179</v>
      </c>
      <c r="E486" s="808">
        <v>15000</v>
      </c>
      <c r="F486" s="799"/>
      <c r="G486" s="799"/>
      <c r="H486" s="1592">
        <f t="shared" si="21"/>
        <v>0</v>
      </c>
      <c r="I486" s="754" t="str">
        <f>IFERROR(VLOOKUP(B486,Mychart!$A$125:$B$911,2,FALSE),"-")</f>
        <v>ISMAIL ABDULRAHMAN</v>
      </c>
      <c r="J486" s="753">
        <f t="shared" si="22"/>
        <v>3</v>
      </c>
      <c r="K486" s="1540">
        <f t="shared" si="23"/>
        <v>2024</v>
      </c>
      <c r="L486" s="757"/>
      <c r="M486" s="757"/>
      <c r="N486" s="757"/>
      <c r="O486" s="757"/>
      <c r="P486" s="757"/>
      <c r="Q486" s="757"/>
      <c r="R486" s="757"/>
      <c r="S486" s="757"/>
      <c r="T486" s="757"/>
      <c r="U486" s="757"/>
      <c r="V486" s="757"/>
      <c r="W486" s="757"/>
      <c r="X486" s="757"/>
      <c r="Y486" s="757"/>
      <c r="Z486" s="757"/>
      <c r="AA486" s="757"/>
      <c r="AB486" s="757"/>
      <c r="AC486" s="757"/>
      <c r="AD486" s="757"/>
      <c r="AE486" s="757"/>
      <c r="AF486" s="757"/>
      <c r="AG486" s="757"/>
      <c r="AH486" s="757"/>
      <c r="AI486" s="757"/>
      <c r="AJ486" s="757"/>
      <c r="AK486" s="757"/>
      <c r="AL486" s="757"/>
      <c r="AM486" s="757"/>
      <c r="AN486" s="757"/>
      <c r="AO486" s="757"/>
      <c r="AP486" s="757"/>
      <c r="AQ486" s="757"/>
      <c r="AR486" s="757"/>
      <c r="AS486" s="757"/>
      <c r="AT486" s="757"/>
      <c r="AU486" s="757"/>
      <c r="AV486" s="757"/>
      <c r="AW486" s="757"/>
      <c r="AX486" s="757"/>
      <c r="AY486" s="757"/>
      <c r="AZ486" s="75"/>
      <c r="BA486" s="2"/>
      <c r="BB486" s="2"/>
      <c r="BC486" s="2"/>
      <c r="BD486" s="2"/>
    </row>
    <row r="487" spans="1:56">
      <c r="A487" s="781">
        <v>2</v>
      </c>
      <c r="B487" s="782">
        <v>260</v>
      </c>
      <c r="C487" s="783">
        <v>45401</v>
      </c>
      <c r="D487" s="783" t="s">
        <v>176</v>
      </c>
      <c r="E487" s="808">
        <v>750</v>
      </c>
      <c r="F487" s="799"/>
      <c r="G487" s="799"/>
      <c r="H487" s="1592">
        <f t="shared" si="21"/>
        <v>0</v>
      </c>
      <c r="I487" s="754" t="str">
        <f>IFERROR(VLOOKUP(B487,Mychart!$A$125:$B$911,2,FALSE),"-")</f>
        <v>ISMAIL ABDULRAHMAN</v>
      </c>
      <c r="J487" s="753">
        <f t="shared" si="22"/>
        <v>4</v>
      </c>
      <c r="K487" s="1540">
        <f t="shared" si="23"/>
        <v>2024</v>
      </c>
      <c r="L487" s="757"/>
      <c r="M487" s="757"/>
      <c r="N487" s="757"/>
      <c r="O487" s="757"/>
      <c r="P487" s="757"/>
      <c r="Q487" s="757"/>
      <c r="R487" s="757"/>
      <c r="S487" s="757"/>
      <c r="T487" s="757"/>
      <c r="U487" s="757"/>
      <c r="V487" s="757"/>
      <c r="W487" s="757"/>
      <c r="X487" s="757"/>
      <c r="Y487" s="757"/>
      <c r="Z487" s="757"/>
      <c r="AA487" s="757"/>
      <c r="AB487" s="757"/>
      <c r="AC487" s="757"/>
      <c r="AD487" s="757"/>
      <c r="AE487" s="757"/>
      <c r="AF487" s="757"/>
      <c r="AG487" s="757"/>
      <c r="AH487" s="757"/>
      <c r="AI487" s="757"/>
      <c r="AJ487" s="757"/>
      <c r="AK487" s="757"/>
      <c r="AL487" s="757"/>
      <c r="AM487" s="757"/>
      <c r="AN487" s="757"/>
      <c r="AO487" s="757"/>
      <c r="AP487" s="757"/>
      <c r="AQ487" s="757"/>
      <c r="AR487" s="757"/>
      <c r="AS487" s="757"/>
      <c r="AT487" s="757"/>
      <c r="AU487" s="757"/>
      <c r="AV487" s="757"/>
      <c r="AW487" s="757"/>
      <c r="AX487" s="757"/>
      <c r="AY487" s="757"/>
      <c r="AZ487" s="75"/>
      <c r="BA487" s="2"/>
      <c r="BB487" s="2"/>
      <c r="BC487" s="2"/>
      <c r="BD487" s="2"/>
    </row>
    <row r="488" spans="1:56">
      <c r="A488" s="781">
        <v>1</v>
      </c>
      <c r="B488" s="782">
        <v>258</v>
      </c>
      <c r="C488" s="783">
        <v>45357</v>
      </c>
      <c r="D488" s="786" t="s">
        <v>636</v>
      </c>
      <c r="E488" s="807"/>
      <c r="F488" s="798">
        <v>20400</v>
      </c>
      <c r="G488" s="798">
        <v>1020</v>
      </c>
      <c r="H488" s="1592">
        <f t="shared" si="21"/>
        <v>21420</v>
      </c>
      <c r="I488" s="754" t="str">
        <f>IFERROR(VLOOKUP(B488,Mychart!$A$125:$B$911,2,FALSE),"-")</f>
        <v>MAJID ALSHEHY</v>
      </c>
      <c r="J488" s="753">
        <f t="shared" si="22"/>
        <v>3</v>
      </c>
      <c r="K488" s="1540">
        <f t="shared" si="23"/>
        <v>2024</v>
      </c>
      <c r="L488" s="757"/>
      <c r="M488" s="757"/>
      <c r="N488" s="757"/>
      <c r="O488" s="757"/>
      <c r="P488" s="757"/>
      <c r="Q488" s="757"/>
      <c r="R488" s="757"/>
      <c r="S488" s="757"/>
      <c r="T488" s="757"/>
      <c r="U488" s="757"/>
      <c r="V488" s="757"/>
      <c r="W488" s="757"/>
      <c r="X488" s="757"/>
      <c r="Y488" s="757"/>
      <c r="Z488" s="757"/>
      <c r="AA488" s="757"/>
      <c r="AB488" s="757"/>
      <c r="AC488" s="757"/>
      <c r="AD488" s="757"/>
      <c r="AE488" s="757"/>
      <c r="AF488" s="757"/>
      <c r="AG488" s="757"/>
      <c r="AH488" s="757"/>
      <c r="AI488" s="757"/>
      <c r="AJ488" s="757"/>
      <c r="AK488" s="757"/>
      <c r="AL488" s="757"/>
      <c r="AM488" s="757"/>
      <c r="AN488" s="757"/>
      <c r="AO488" s="757"/>
      <c r="AP488" s="757"/>
      <c r="AQ488" s="757"/>
      <c r="AR488" s="757"/>
      <c r="AS488" s="757"/>
      <c r="AT488" s="757"/>
      <c r="AU488" s="757"/>
      <c r="AV488" s="757"/>
      <c r="AW488" s="757"/>
      <c r="AX488" s="757"/>
      <c r="AY488" s="757"/>
      <c r="AZ488" s="75"/>
      <c r="BA488" s="2"/>
      <c r="BB488" s="2"/>
      <c r="BC488" s="2"/>
      <c r="BD488" s="2"/>
    </row>
    <row r="489" spans="1:56">
      <c r="A489" s="781">
        <v>2</v>
      </c>
      <c r="B489" s="782">
        <v>258</v>
      </c>
      <c r="C489" s="783">
        <v>45364</v>
      </c>
      <c r="D489" s="783" t="s">
        <v>406</v>
      </c>
      <c r="E489" s="808">
        <v>500</v>
      </c>
      <c r="F489" s="799"/>
      <c r="G489" s="799"/>
      <c r="H489" s="1592">
        <f t="shared" si="21"/>
        <v>0</v>
      </c>
      <c r="I489" s="754" t="str">
        <f>IFERROR(VLOOKUP(B489,Mychart!$A$125:$B$911,2,FALSE),"-")</f>
        <v>MAJID ALSHEHY</v>
      </c>
      <c r="J489" s="753">
        <f t="shared" si="22"/>
        <v>3</v>
      </c>
      <c r="K489" s="1540">
        <f t="shared" si="23"/>
        <v>2024</v>
      </c>
      <c r="L489" s="757"/>
      <c r="M489" s="757"/>
      <c r="N489" s="757"/>
      <c r="O489" s="757"/>
      <c r="P489" s="757"/>
      <c r="Q489" s="757"/>
      <c r="R489" s="757"/>
      <c r="S489" s="757"/>
      <c r="T489" s="757"/>
      <c r="U489" s="757"/>
      <c r="V489" s="757"/>
      <c r="W489" s="757"/>
      <c r="X489" s="757"/>
      <c r="Y489" s="757"/>
      <c r="Z489" s="757"/>
      <c r="AA489" s="757"/>
      <c r="AB489" s="757"/>
      <c r="AC489" s="757"/>
      <c r="AD489" s="757"/>
      <c r="AE489" s="757"/>
      <c r="AF489" s="757"/>
      <c r="AG489" s="757"/>
      <c r="AH489" s="757"/>
      <c r="AI489" s="757"/>
      <c r="AJ489" s="757"/>
      <c r="AK489" s="757"/>
      <c r="AL489" s="757"/>
      <c r="AM489" s="757"/>
      <c r="AN489" s="757"/>
      <c r="AO489" s="757"/>
      <c r="AP489" s="757"/>
      <c r="AQ489" s="757"/>
      <c r="AR489" s="757"/>
      <c r="AS489" s="757"/>
      <c r="AT489" s="757"/>
      <c r="AU489" s="757"/>
      <c r="AV489" s="757"/>
      <c r="AW489" s="757"/>
      <c r="AX489" s="757"/>
      <c r="AY489" s="757"/>
      <c r="AZ489" s="75"/>
      <c r="BA489" s="2"/>
      <c r="BB489" s="2"/>
      <c r="BC489" s="2"/>
      <c r="BD489" s="2"/>
    </row>
    <row r="490" spans="1:56">
      <c r="A490" s="781">
        <v>2</v>
      </c>
      <c r="B490" s="782">
        <v>258</v>
      </c>
      <c r="C490" s="783">
        <v>45371</v>
      </c>
      <c r="D490" s="783" t="s">
        <v>368</v>
      </c>
      <c r="E490" s="808">
        <v>7000</v>
      </c>
      <c r="F490" s="799"/>
      <c r="G490" s="799"/>
      <c r="H490" s="1592">
        <f t="shared" si="21"/>
        <v>0</v>
      </c>
      <c r="I490" s="754" t="str">
        <f>IFERROR(VLOOKUP(B490,Mychart!$A$125:$B$911,2,FALSE),"-")</f>
        <v>MAJID ALSHEHY</v>
      </c>
      <c r="J490" s="753">
        <f t="shared" si="22"/>
        <v>3</v>
      </c>
      <c r="K490" s="1540">
        <f t="shared" si="23"/>
        <v>2024</v>
      </c>
      <c r="L490" s="757"/>
      <c r="M490" s="757"/>
      <c r="N490" s="757"/>
      <c r="O490" s="757"/>
      <c r="P490" s="757"/>
      <c r="Q490" s="757"/>
      <c r="R490" s="757"/>
      <c r="S490" s="757"/>
      <c r="T490" s="757"/>
      <c r="U490" s="757"/>
      <c r="V490" s="757"/>
      <c r="W490" s="757"/>
      <c r="X490" s="757"/>
      <c r="Y490" s="757"/>
      <c r="Z490" s="757"/>
      <c r="AA490" s="757"/>
      <c r="AB490" s="757"/>
      <c r="AC490" s="757"/>
      <c r="AD490" s="757"/>
      <c r="AE490" s="757"/>
      <c r="AF490" s="757"/>
      <c r="AG490" s="757"/>
      <c r="AH490" s="757"/>
      <c r="AI490" s="757"/>
      <c r="AJ490" s="757"/>
      <c r="AK490" s="757"/>
      <c r="AL490" s="757"/>
      <c r="AM490" s="757"/>
      <c r="AN490" s="757"/>
      <c r="AO490" s="757"/>
      <c r="AP490" s="757"/>
      <c r="AQ490" s="757"/>
      <c r="AR490" s="757"/>
      <c r="AS490" s="757"/>
      <c r="AT490" s="757"/>
      <c r="AU490" s="757"/>
      <c r="AV490" s="757"/>
      <c r="AW490" s="757"/>
      <c r="AX490" s="757"/>
      <c r="AY490" s="757"/>
      <c r="AZ490" s="75"/>
      <c r="BA490" s="2"/>
      <c r="BB490" s="2"/>
      <c r="BC490" s="2"/>
      <c r="BD490" s="2"/>
    </row>
    <row r="491" spans="1:56">
      <c r="A491" s="781">
        <v>2</v>
      </c>
      <c r="B491" s="782">
        <v>258</v>
      </c>
      <c r="C491" s="783">
        <v>45412</v>
      </c>
      <c r="D491" s="783" t="s">
        <v>177</v>
      </c>
      <c r="E491" s="808">
        <v>105</v>
      </c>
      <c r="F491" s="799"/>
      <c r="G491" s="799"/>
      <c r="H491" s="1592">
        <f t="shared" si="21"/>
        <v>0</v>
      </c>
      <c r="I491" s="754" t="str">
        <f>IFERROR(VLOOKUP(B491,Mychart!$A$125:$B$911,2,FALSE),"-")</f>
        <v>MAJID ALSHEHY</v>
      </c>
      <c r="J491" s="753">
        <f t="shared" si="22"/>
        <v>4</v>
      </c>
      <c r="K491" s="1540">
        <f t="shared" si="23"/>
        <v>2024</v>
      </c>
      <c r="L491" s="757"/>
      <c r="M491" s="757"/>
      <c r="N491" s="757"/>
      <c r="O491" s="757"/>
      <c r="P491" s="757"/>
      <c r="Q491" s="757"/>
      <c r="R491" s="757"/>
      <c r="S491" s="757"/>
      <c r="T491" s="757"/>
      <c r="U491" s="757"/>
      <c r="V491" s="757"/>
      <c r="W491" s="757"/>
      <c r="X491" s="757"/>
      <c r="Y491" s="757"/>
      <c r="Z491" s="757"/>
      <c r="AA491" s="757"/>
      <c r="AB491" s="757"/>
      <c r="AC491" s="757"/>
      <c r="AD491" s="757"/>
      <c r="AE491" s="757"/>
      <c r="AF491" s="757"/>
      <c r="AG491" s="757"/>
      <c r="AH491" s="757"/>
      <c r="AI491" s="757"/>
      <c r="AJ491" s="757"/>
      <c r="AK491" s="757"/>
      <c r="AL491" s="757"/>
      <c r="AM491" s="757"/>
      <c r="AN491" s="757"/>
      <c r="AO491" s="757"/>
      <c r="AP491" s="757"/>
      <c r="AQ491" s="757"/>
      <c r="AR491" s="757"/>
      <c r="AS491" s="757"/>
      <c r="AT491" s="757"/>
      <c r="AU491" s="757"/>
      <c r="AV491" s="757"/>
      <c r="AW491" s="757"/>
      <c r="AX491" s="757"/>
      <c r="AY491" s="757"/>
      <c r="AZ491" s="75"/>
      <c r="BA491" s="2"/>
      <c r="BB491" s="2"/>
      <c r="BC491" s="2"/>
      <c r="BD491" s="2"/>
    </row>
    <row r="492" spans="1:56">
      <c r="A492" s="781">
        <v>2</v>
      </c>
      <c r="B492" s="782">
        <v>275</v>
      </c>
      <c r="C492" s="783">
        <v>45443</v>
      </c>
      <c r="D492" s="783" t="s">
        <v>177</v>
      </c>
      <c r="E492" s="808">
        <v>56.7</v>
      </c>
      <c r="F492" s="799"/>
      <c r="G492" s="799"/>
      <c r="H492" s="1592">
        <f t="shared" si="21"/>
        <v>0</v>
      </c>
      <c r="I492" s="754" t="str">
        <f>IFERROR(VLOOKUP(B492,Mychart!$A$125:$B$911,2,FALSE),"-")</f>
        <v>meshaal saqar - irtekaz</v>
      </c>
      <c r="J492" s="753">
        <f t="shared" si="22"/>
        <v>5</v>
      </c>
      <c r="K492" s="1540">
        <f t="shared" si="23"/>
        <v>2024</v>
      </c>
      <c r="L492" s="757"/>
      <c r="M492" s="757"/>
      <c r="N492" s="757"/>
      <c r="O492" s="757"/>
      <c r="P492" s="757"/>
      <c r="Q492" s="757"/>
      <c r="R492" s="757"/>
      <c r="S492" s="757"/>
      <c r="T492" s="757"/>
      <c r="U492" s="757"/>
      <c r="V492" s="757"/>
      <c r="W492" s="757"/>
      <c r="X492" s="757"/>
      <c r="Y492" s="757"/>
      <c r="Z492" s="757"/>
      <c r="AA492" s="757"/>
      <c r="AB492" s="757"/>
      <c r="AC492" s="757"/>
      <c r="AD492" s="757"/>
      <c r="AE492" s="757"/>
      <c r="AF492" s="757"/>
      <c r="AG492" s="757"/>
      <c r="AH492" s="757"/>
      <c r="AI492" s="757"/>
      <c r="AJ492" s="757"/>
      <c r="AK492" s="757"/>
      <c r="AL492" s="757"/>
      <c r="AM492" s="757"/>
      <c r="AN492" s="757"/>
      <c r="AO492" s="757"/>
      <c r="AP492" s="757"/>
      <c r="AQ492" s="757"/>
      <c r="AR492" s="757"/>
      <c r="AS492" s="757"/>
      <c r="AT492" s="757"/>
      <c r="AU492" s="757"/>
      <c r="AV492" s="757"/>
      <c r="AW492" s="757"/>
      <c r="AX492" s="757"/>
      <c r="AY492" s="757"/>
      <c r="AZ492" s="75"/>
      <c r="BA492" s="2"/>
      <c r="BB492" s="2"/>
      <c r="BC492" s="2"/>
      <c r="BD492" s="2"/>
    </row>
    <row r="493" spans="1:56">
      <c r="A493" s="781">
        <v>1</v>
      </c>
      <c r="B493" s="782">
        <v>231</v>
      </c>
      <c r="C493" s="783">
        <v>45040</v>
      </c>
      <c r="D493" s="786" t="s">
        <v>643</v>
      </c>
      <c r="E493" s="807"/>
      <c r="F493" s="798">
        <v>26000</v>
      </c>
      <c r="G493" s="798">
        <v>1300</v>
      </c>
      <c r="H493" s="1592">
        <f t="shared" si="21"/>
        <v>27300</v>
      </c>
      <c r="I493" s="754" t="str">
        <f>IFERROR(VLOOKUP(B493,Mychart!$A$125:$B$911,2,FALSE),"-")</f>
        <v>MOHAMED KHAMIS - AREEJ</v>
      </c>
      <c r="J493" s="753">
        <f t="shared" si="22"/>
        <v>4</v>
      </c>
      <c r="K493" s="1540">
        <f t="shared" si="23"/>
        <v>2023</v>
      </c>
      <c r="L493" s="757"/>
      <c r="M493" s="757"/>
      <c r="N493" s="757"/>
      <c r="O493" s="757"/>
      <c r="P493" s="757"/>
      <c r="Q493" s="757"/>
      <c r="R493" s="757"/>
      <c r="S493" s="757"/>
      <c r="T493" s="757"/>
      <c r="U493" s="757"/>
      <c r="V493" s="757"/>
      <c r="W493" s="757"/>
      <c r="X493" s="757"/>
      <c r="Y493" s="757"/>
      <c r="Z493" s="757"/>
      <c r="AA493" s="757"/>
      <c r="AB493" s="757"/>
      <c r="AC493" s="757"/>
      <c r="AD493" s="757"/>
      <c r="AE493" s="757"/>
      <c r="AF493" s="757"/>
      <c r="AG493" s="757"/>
      <c r="AH493" s="757"/>
      <c r="AI493" s="757"/>
      <c r="AJ493" s="757"/>
      <c r="AK493" s="757"/>
      <c r="AL493" s="757"/>
      <c r="AM493" s="757"/>
      <c r="AN493" s="757"/>
      <c r="AO493" s="757"/>
      <c r="AP493" s="757"/>
      <c r="AQ493" s="757"/>
      <c r="AR493" s="757"/>
      <c r="AS493" s="757"/>
      <c r="AT493" s="757"/>
      <c r="AU493" s="757"/>
      <c r="AV493" s="757"/>
      <c r="AW493" s="757"/>
      <c r="AX493" s="757"/>
      <c r="AY493" s="757"/>
      <c r="AZ493" s="75"/>
      <c r="BA493" s="2"/>
      <c r="BB493" s="2"/>
      <c r="BC493" s="2"/>
      <c r="BD493" s="2"/>
    </row>
    <row r="494" spans="1:56">
      <c r="A494" s="781">
        <v>1</v>
      </c>
      <c r="B494" s="782">
        <v>231</v>
      </c>
      <c r="C494" s="783">
        <v>45125</v>
      </c>
      <c r="D494" s="784" t="s">
        <v>644</v>
      </c>
      <c r="E494" s="807"/>
      <c r="F494" s="798">
        <v>48750</v>
      </c>
      <c r="G494" s="798">
        <v>2437.5</v>
      </c>
      <c r="H494" s="1592">
        <f t="shared" si="21"/>
        <v>51187.5</v>
      </c>
      <c r="I494" s="754" t="str">
        <f>IFERROR(VLOOKUP(B494,Mychart!$A$125:$B$911,2,FALSE),"-")</f>
        <v>MOHAMED KHAMIS - AREEJ</v>
      </c>
      <c r="J494" s="753">
        <f t="shared" si="22"/>
        <v>7</v>
      </c>
      <c r="K494" s="1540">
        <f t="shared" si="23"/>
        <v>2023</v>
      </c>
      <c r="L494" s="757"/>
      <c r="M494" s="757"/>
      <c r="N494" s="757"/>
      <c r="O494" s="757"/>
      <c r="P494" s="757"/>
      <c r="Q494" s="757"/>
      <c r="R494" s="757"/>
      <c r="S494" s="757"/>
      <c r="T494" s="757"/>
      <c r="U494" s="757"/>
      <c r="V494" s="757"/>
      <c r="W494" s="757"/>
      <c r="X494" s="757"/>
      <c r="Y494" s="757"/>
      <c r="Z494" s="757"/>
      <c r="AA494" s="757"/>
      <c r="AB494" s="757"/>
      <c r="AC494" s="757"/>
      <c r="AD494" s="757"/>
      <c r="AE494" s="757"/>
      <c r="AF494" s="757"/>
      <c r="AG494" s="757"/>
      <c r="AH494" s="757"/>
      <c r="AI494" s="757"/>
      <c r="AJ494" s="757"/>
      <c r="AK494" s="757"/>
      <c r="AL494" s="757"/>
      <c r="AM494" s="757"/>
      <c r="AN494" s="757"/>
      <c r="AO494" s="757"/>
      <c r="AP494" s="757"/>
      <c r="AQ494" s="757"/>
      <c r="AR494" s="757"/>
      <c r="AS494" s="757"/>
      <c r="AT494" s="757"/>
      <c r="AU494" s="757"/>
      <c r="AV494" s="757"/>
      <c r="AW494" s="757"/>
      <c r="AX494" s="757"/>
      <c r="AY494" s="757"/>
      <c r="AZ494" s="75"/>
      <c r="BA494" s="2"/>
      <c r="BB494" s="2"/>
      <c r="BC494" s="2"/>
      <c r="BD494" s="2"/>
    </row>
    <row r="495" spans="1:56">
      <c r="A495" s="781">
        <v>1</v>
      </c>
      <c r="B495" s="782">
        <v>231</v>
      </c>
      <c r="C495" s="783">
        <v>45224</v>
      </c>
      <c r="D495" s="784" t="s">
        <v>645</v>
      </c>
      <c r="E495" s="807"/>
      <c r="F495" s="798">
        <v>44460</v>
      </c>
      <c r="G495" s="798">
        <v>2223</v>
      </c>
      <c r="H495" s="1592">
        <f t="shared" si="21"/>
        <v>46683</v>
      </c>
      <c r="I495" s="754" t="str">
        <f>IFERROR(VLOOKUP(B495,Mychart!$A$125:$B$911,2,FALSE),"-")</f>
        <v>MOHAMED KHAMIS - AREEJ</v>
      </c>
      <c r="J495" s="753">
        <f t="shared" si="22"/>
        <v>10</v>
      </c>
      <c r="K495" s="1540">
        <f t="shared" si="23"/>
        <v>2023</v>
      </c>
      <c r="L495" s="757"/>
      <c r="M495" s="757"/>
      <c r="N495" s="757"/>
      <c r="O495" s="757"/>
      <c r="P495" s="757"/>
      <c r="Q495" s="757"/>
      <c r="R495" s="757"/>
      <c r="S495" s="757"/>
      <c r="T495" s="757"/>
      <c r="U495" s="757"/>
      <c r="V495" s="757"/>
      <c r="W495" s="757"/>
      <c r="X495" s="757"/>
      <c r="Y495" s="757"/>
      <c r="Z495" s="757"/>
      <c r="AA495" s="757"/>
      <c r="AB495" s="757"/>
      <c r="AC495" s="757"/>
      <c r="AD495" s="757"/>
      <c r="AE495" s="757"/>
      <c r="AF495" s="757"/>
      <c r="AG495" s="757"/>
      <c r="AH495" s="757"/>
      <c r="AI495" s="757"/>
      <c r="AJ495" s="757"/>
      <c r="AK495" s="757"/>
      <c r="AL495" s="757"/>
      <c r="AM495" s="757"/>
      <c r="AN495" s="757"/>
      <c r="AO495" s="757"/>
      <c r="AP495" s="757"/>
      <c r="AQ495" s="757"/>
      <c r="AR495" s="757"/>
      <c r="AS495" s="757"/>
      <c r="AT495" s="757"/>
      <c r="AU495" s="757"/>
      <c r="AV495" s="757"/>
      <c r="AW495" s="757"/>
      <c r="AX495" s="757"/>
      <c r="AY495" s="757"/>
      <c r="AZ495" s="75"/>
      <c r="BA495" s="2"/>
      <c r="BB495" s="2"/>
      <c r="BC495" s="2"/>
      <c r="BD495" s="2"/>
    </row>
    <row r="496" spans="1:56">
      <c r="A496" s="781">
        <v>1</v>
      </c>
      <c r="B496" s="782">
        <v>231</v>
      </c>
      <c r="C496" s="783">
        <v>45373</v>
      </c>
      <c r="D496" s="784" t="s">
        <v>646</v>
      </c>
      <c r="E496" s="807"/>
      <c r="F496" s="798">
        <v>16040</v>
      </c>
      <c r="G496" s="798">
        <v>802</v>
      </c>
      <c r="H496" s="1592">
        <f t="shared" si="21"/>
        <v>16842</v>
      </c>
      <c r="I496" s="754" t="str">
        <f>IFERROR(VLOOKUP(B496,Mychart!$A$125:$B$911,2,FALSE),"-")</f>
        <v>MOHAMED KHAMIS - AREEJ</v>
      </c>
      <c r="J496" s="753">
        <f t="shared" si="22"/>
        <v>3</v>
      </c>
      <c r="K496" s="1540">
        <f t="shared" si="23"/>
        <v>2024</v>
      </c>
      <c r="L496" s="757"/>
      <c r="M496" s="757"/>
      <c r="N496" s="757"/>
      <c r="O496" s="757"/>
      <c r="P496" s="757"/>
      <c r="Q496" s="757"/>
      <c r="R496" s="757"/>
      <c r="S496" s="757"/>
      <c r="T496" s="757"/>
      <c r="U496" s="757"/>
      <c r="V496" s="757"/>
      <c r="W496" s="757"/>
      <c r="X496" s="757"/>
      <c r="Y496" s="757"/>
      <c r="Z496" s="757"/>
      <c r="AA496" s="757"/>
      <c r="AB496" s="757"/>
      <c r="AC496" s="757"/>
      <c r="AD496" s="757"/>
      <c r="AE496" s="757"/>
      <c r="AF496" s="757"/>
      <c r="AG496" s="757"/>
      <c r="AH496" s="757"/>
      <c r="AI496" s="757"/>
      <c r="AJ496" s="757"/>
      <c r="AK496" s="757"/>
      <c r="AL496" s="757"/>
      <c r="AM496" s="757"/>
      <c r="AN496" s="757"/>
      <c r="AO496" s="757"/>
      <c r="AP496" s="757"/>
      <c r="AQ496" s="757"/>
      <c r="AR496" s="757"/>
      <c r="AS496" s="757"/>
      <c r="AT496" s="757"/>
      <c r="AU496" s="757"/>
      <c r="AV496" s="757"/>
      <c r="AW496" s="757"/>
      <c r="AX496" s="757"/>
      <c r="AY496" s="757"/>
      <c r="AZ496" s="75"/>
      <c r="BA496" s="2"/>
      <c r="BB496" s="2"/>
      <c r="BC496" s="2"/>
      <c r="BD496" s="2"/>
    </row>
    <row r="497" spans="1:56">
      <c r="A497" s="781">
        <v>2</v>
      </c>
      <c r="B497" s="782">
        <v>231</v>
      </c>
      <c r="C497" s="783">
        <v>45041</v>
      </c>
      <c r="D497" s="783" t="s">
        <v>647</v>
      </c>
      <c r="E497" s="808">
        <v>6500</v>
      </c>
      <c r="F497" s="799"/>
      <c r="G497" s="799"/>
      <c r="H497" s="1592">
        <f t="shared" si="21"/>
        <v>0</v>
      </c>
      <c r="I497" s="754" t="str">
        <f>IFERROR(VLOOKUP(B497,Mychart!$A$125:$B$911,2,FALSE),"-")</f>
        <v>MOHAMED KHAMIS - AREEJ</v>
      </c>
      <c r="J497" s="753">
        <f t="shared" si="22"/>
        <v>4</v>
      </c>
      <c r="K497" s="1540">
        <f t="shared" si="23"/>
        <v>2023</v>
      </c>
      <c r="L497" s="757"/>
      <c r="M497" s="757"/>
      <c r="N497" s="757"/>
      <c r="O497" s="757"/>
      <c r="P497" s="757"/>
      <c r="Q497" s="757"/>
      <c r="R497" s="757"/>
      <c r="S497" s="757"/>
      <c r="T497" s="757"/>
      <c r="U497" s="757"/>
      <c r="V497" s="757"/>
      <c r="W497" s="757"/>
      <c r="X497" s="757"/>
      <c r="Y497" s="757"/>
      <c r="Z497" s="757"/>
      <c r="AA497" s="757"/>
      <c r="AB497" s="757"/>
      <c r="AC497" s="757"/>
      <c r="AD497" s="757"/>
      <c r="AE497" s="757"/>
      <c r="AF497" s="757"/>
      <c r="AG497" s="757"/>
      <c r="AH497" s="757"/>
      <c r="AI497" s="757"/>
      <c r="AJ497" s="757"/>
      <c r="AK497" s="757"/>
      <c r="AL497" s="757"/>
      <c r="AM497" s="757"/>
      <c r="AN497" s="757"/>
      <c r="AO497" s="757"/>
      <c r="AP497" s="757"/>
      <c r="AQ497" s="757"/>
      <c r="AR497" s="757"/>
      <c r="AS497" s="757"/>
      <c r="AT497" s="757"/>
      <c r="AU497" s="757"/>
      <c r="AV497" s="757"/>
      <c r="AW497" s="757"/>
      <c r="AX497" s="757"/>
      <c r="AY497" s="757"/>
      <c r="AZ497" s="75"/>
      <c r="BA497" s="2"/>
      <c r="BB497" s="2"/>
      <c r="BC497" s="2"/>
      <c r="BD497" s="2"/>
    </row>
    <row r="498" spans="1:56">
      <c r="A498" s="781">
        <v>2</v>
      </c>
      <c r="B498" s="782">
        <v>231</v>
      </c>
      <c r="C498" s="783"/>
      <c r="D498" s="783" t="s">
        <v>421</v>
      </c>
      <c r="E498" s="808">
        <v>500</v>
      </c>
      <c r="F498" s="799"/>
      <c r="G498" s="799"/>
      <c r="H498" s="1592">
        <f t="shared" si="21"/>
        <v>0</v>
      </c>
      <c r="I498" s="754" t="str">
        <f>IFERROR(VLOOKUP(B498,Mychart!$A$125:$B$911,2,FALSE),"-")</f>
        <v>MOHAMED KHAMIS - AREEJ</v>
      </c>
      <c r="J498" s="753" t="str">
        <f t="shared" si="22"/>
        <v>-</v>
      </c>
      <c r="K498" s="1540">
        <f t="shared" si="23"/>
        <v>1900</v>
      </c>
      <c r="L498" s="757"/>
      <c r="M498" s="757"/>
      <c r="N498" s="757"/>
      <c r="O498" s="757"/>
      <c r="P498" s="757"/>
      <c r="Q498" s="757"/>
      <c r="R498" s="757"/>
      <c r="S498" s="757"/>
      <c r="T498" s="757"/>
      <c r="U498" s="757"/>
      <c r="V498" s="757"/>
      <c r="W498" s="757"/>
      <c r="X498" s="757"/>
      <c r="Y498" s="757"/>
      <c r="Z498" s="757"/>
      <c r="AA498" s="757"/>
      <c r="AB498" s="757"/>
      <c r="AC498" s="757"/>
      <c r="AD498" s="757"/>
      <c r="AE498" s="757"/>
      <c r="AF498" s="757"/>
      <c r="AG498" s="757"/>
      <c r="AH498" s="757"/>
      <c r="AI498" s="757"/>
      <c r="AJ498" s="757"/>
      <c r="AK498" s="757"/>
      <c r="AL498" s="757"/>
      <c r="AM498" s="757"/>
      <c r="AN498" s="757"/>
      <c r="AO498" s="757"/>
      <c r="AP498" s="757"/>
      <c r="AQ498" s="757"/>
      <c r="AR498" s="757"/>
      <c r="AS498" s="757"/>
      <c r="AT498" s="757"/>
      <c r="AU498" s="757"/>
      <c r="AV498" s="757"/>
      <c r="AW498" s="757"/>
      <c r="AX498" s="757"/>
      <c r="AY498" s="757"/>
      <c r="AZ498" s="75"/>
      <c r="BA498" s="2"/>
      <c r="BB498" s="2"/>
      <c r="BC498" s="2"/>
      <c r="BD498" s="2"/>
    </row>
    <row r="499" spans="1:56">
      <c r="A499" s="781">
        <v>2</v>
      </c>
      <c r="B499" s="782">
        <v>231</v>
      </c>
      <c r="C499" s="783"/>
      <c r="D499" s="783" t="s">
        <v>177</v>
      </c>
      <c r="E499" s="808">
        <v>233</v>
      </c>
      <c r="F499" s="799"/>
      <c r="G499" s="799"/>
      <c r="H499" s="1592">
        <f t="shared" si="21"/>
        <v>0</v>
      </c>
      <c r="I499" s="754" t="str">
        <f>IFERROR(VLOOKUP(B499,Mychart!$A$125:$B$911,2,FALSE),"-")</f>
        <v>MOHAMED KHAMIS - AREEJ</v>
      </c>
      <c r="J499" s="753" t="str">
        <f t="shared" si="22"/>
        <v>-</v>
      </c>
      <c r="K499" s="1540">
        <f t="shared" si="23"/>
        <v>1900</v>
      </c>
      <c r="L499" s="757"/>
      <c r="M499" s="757"/>
      <c r="N499" s="757"/>
      <c r="O499" s="757"/>
      <c r="P499" s="757"/>
      <c r="Q499" s="757"/>
      <c r="R499" s="757"/>
      <c r="S499" s="757"/>
      <c r="T499" s="757"/>
      <c r="U499" s="757"/>
      <c r="V499" s="757"/>
      <c r="W499" s="757"/>
      <c r="X499" s="757"/>
      <c r="Y499" s="757"/>
      <c r="Z499" s="757"/>
      <c r="AA499" s="757"/>
      <c r="AB499" s="757"/>
      <c r="AC499" s="757"/>
      <c r="AD499" s="757"/>
      <c r="AE499" s="757"/>
      <c r="AF499" s="757"/>
      <c r="AG499" s="757"/>
      <c r="AH499" s="757"/>
      <c r="AI499" s="757"/>
      <c r="AJ499" s="757"/>
      <c r="AK499" s="757"/>
      <c r="AL499" s="757"/>
      <c r="AM499" s="757"/>
      <c r="AN499" s="757"/>
      <c r="AO499" s="757"/>
      <c r="AP499" s="757"/>
      <c r="AQ499" s="757"/>
      <c r="AR499" s="757"/>
      <c r="AS499" s="757"/>
      <c r="AT499" s="757"/>
      <c r="AU499" s="757"/>
      <c r="AV499" s="757"/>
      <c r="AW499" s="757"/>
      <c r="AX499" s="757"/>
      <c r="AY499" s="757"/>
      <c r="AZ499" s="75"/>
      <c r="BA499" s="2"/>
      <c r="BB499" s="2"/>
      <c r="BC499" s="2"/>
      <c r="BD499" s="2"/>
    </row>
    <row r="500" spans="1:56">
      <c r="A500" s="781">
        <v>2</v>
      </c>
      <c r="B500" s="782">
        <v>231</v>
      </c>
      <c r="C500" s="783"/>
      <c r="D500" s="783" t="s">
        <v>228</v>
      </c>
      <c r="E500" s="808">
        <v>4565</v>
      </c>
      <c r="F500" s="799"/>
      <c r="G500" s="799"/>
      <c r="H500" s="1592">
        <f t="shared" si="21"/>
        <v>0</v>
      </c>
      <c r="I500" s="754" t="str">
        <f>IFERROR(VLOOKUP(B500,Mychart!$A$125:$B$911,2,FALSE),"-")</f>
        <v>MOHAMED KHAMIS - AREEJ</v>
      </c>
      <c r="J500" s="753" t="str">
        <f t="shared" si="22"/>
        <v>-</v>
      </c>
      <c r="K500" s="1540">
        <f t="shared" si="23"/>
        <v>1900</v>
      </c>
      <c r="L500" s="757"/>
      <c r="M500" s="757"/>
      <c r="N500" s="757"/>
      <c r="O500" s="757"/>
      <c r="P500" s="757"/>
      <c r="Q500" s="757"/>
      <c r="R500" s="757"/>
      <c r="S500" s="757"/>
      <c r="T500" s="757"/>
      <c r="U500" s="757"/>
      <c r="V500" s="757"/>
      <c r="W500" s="757"/>
      <c r="X500" s="757"/>
      <c r="Y500" s="757"/>
      <c r="Z500" s="757"/>
      <c r="AA500" s="757"/>
      <c r="AB500" s="757"/>
      <c r="AC500" s="757"/>
      <c r="AD500" s="757"/>
      <c r="AE500" s="757"/>
      <c r="AF500" s="757"/>
      <c r="AG500" s="757"/>
      <c r="AH500" s="757"/>
      <c r="AI500" s="757"/>
      <c r="AJ500" s="757"/>
      <c r="AK500" s="757"/>
      <c r="AL500" s="757"/>
      <c r="AM500" s="757"/>
      <c r="AN500" s="757"/>
      <c r="AO500" s="757"/>
      <c r="AP500" s="757"/>
      <c r="AQ500" s="757"/>
      <c r="AR500" s="757"/>
      <c r="AS500" s="757"/>
      <c r="AT500" s="757"/>
      <c r="AU500" s="757"/>
      <c r="AV500" s="757"/>
      <c r="AW500" s="757"/>
      <c r="AX500" s="757"/>
      <c r="AY500" s="757"/>
      <c r="AZ500" s="75"/>
      <c r="BA500" s="2"/>
      <c r="BB500" s="2"/>
      <c r="BC500" s="2"/>
      <c r="BD500" s="2"/>
    </row>
    <row r="501" spans="1:56">
      <c r="A501" s="781">
        <v>2</v>
      </c>
      <c r="B501" s="782">
        <v>231</v>
      </c>
      <c r="C501" s="783"/>
      <c r="D501" s="783" t="s">
        <v>177</v>
      </c>
      <c r="E501" s="808">
        <v>3528</v>
      </c>
      <c r="F501" s="799"/>
      <c r="G501" s="799"/>
      <c r="H501" s="1592">
        <f t="shared" si="21"/>
        <v>0</v>
      </c>
      <c r="I501" s="754" t="str">
        <f>IFERROR(VLOOKUP(B501,Mychart!$A$125:$B$911,2,FALSE),"-")</f>
        <v>MOHAMED KHAMIS - AREEJ</v>
      </c>
      <c r="J501" s="753" t="str">
        <f t="shared" si="22"/>
        <v>-</v>
      </c>
      <c r="K501" s="1540">
        <f t="shared" si="23"/>
        <v>1900</v>
      </c>
      <c r="L501" s="757"/>
      <c r="M501" s="757"/>
      <c r="N501" s="757"/>
      <c r="O501" s="757"/>
      <c r="P501" s="757"/>
      <c r="Q501" s="757"/>
      <c r="R501" s="757"/>
      <c r="S501" s="757"/>
      <c r="T501" s="757"/>
      <c r="U501" s="757"/>
      <c r="V501" s="757"/>
      <c r="W501" s="757"/>
      <c r="X501" s="757"/>
      <c r="Y501" s="757"/>
      <c r="Z501" s="757"/>
      <c r="AA501" s="757"/>
      <c r="AB501" s="757"/>
      <c r="AC501" s="757"/>
      <c r="AD501" s="757"/>
      <c r="AE501" s="757"/>
      <c r="AF501" s="757"/>
      <c r="AG501" s="757"/>
      <c r="AH501" s="757"/>
      <c r="AI501" s="757"/>
      <c r="AJ501" s="757"/>
      <c r="AK501" s="757"/>
      <c r="AL501" s="757"/>
      <c r="AM501" s="757"/>
      <c r="AN501" s="757"/>
      <c r="AO501" s="757"/>
      <c r="AP501" s="757"/>
      <c r="AQ501" s="757"/>
      <c r="AR501" s="757"/>
      <c r="AS501" s="757"/>
      <c r="AT501" s="757"/>
      <c r="AU501" s="757"/>
      <c r="AV501" s="757"/>
      <c r="AW501" s="757"/>
      <c r="AX501" s="757"/>
      <c r="AY501" s="757"/>
      <c r="AZ501" s="75"/>
      <c r="BA501" s="2"/>
      <c r="BB501" s="2"/>
      <c r="BC501" s="2"/>
      <c r="BD501" s="2"/>
    </row>
    <row r="502" spans="1:56">
      <c r="A502" s="781">
        <v>2</v>
      </c>
      <c r="B502" s="782">
        <v>231</v>
      </c>
      <c r="C502" s="783"/>
      <c r="D502" s="783" t="s">
        <v>510</v>
      </c>
      <c r="E502" s="808">
        <v>21771</v>
      </c>
      <c r="F502" s="799"/>
      <c r="G502" s="799"/>
      <c r="H502" s="1592">
        <f t="shared" si="21"/>
        <v>0</v>
      </c>
      <c r="I502" s="754" t="str">
        <f>IFERROR(VLOOKUP(B502,Mychart!$A$125:$B$911,2,FALSE),"-")</f>
        <v>MOHAMED KHAMIS - AREEJ</v>
      </c>
      <c r="J502" s="753" t="str">
        <f t="shared" si="22"/>
        <v>-</v>
      </c>
      <c r="K502" s="1540">
        <f t="shared" si="23"/>
        <v>1900</v>
      </c>
      <c r="L502" s="757"/>
      <c r="M502" s="757"/>
      <c r="N502" s="757"/>
      <c r="O502" s="757"/>
      <c r="P502" s="757"/>
      <c r="Q502" s="757"/>
      <c r="R502" s="757"/>
      <c r="S502" s="757"/>
      <c r="T502" s="757"/>
      <c r="U502" s="757"/>
      <c r="V502" s="757"/>
      <c r="W502" s="757"/>
      <c r="X502" s="757"/>
      <c r="Y502" s="757"/>
      <c r="Z502" s="757"/>
      <c r="AA502" s="757"/>
      <c r="AB502" s="757"/>
      <c r="AC502" s="757"/>
      <c r="AD502" s="757"/>
      <c r="AE502" s="757"/>
      <c r="AF502" s="757"/>
      <c r="AG502" s="757"/>
      <c r="AH502" s="757"/>
      <c r="AI502" s="757"/>
      <c r="AJ502" s="757"/>
      <c r="AK502" s="757"/>
      <c r="AL502" s="757"/>
      <c r="AM502" s="757"/>
      <c r="AN502" s="757"/>
      <c r="AO502" s="757"/>
      <c r="AP502" s="757"/>
      <c r="AQ502" s="757"/>
      <c r="AR502" s="757"/>
      <c r="AS502" s="757"/>
      <c r="AT502" s="757"/>
      <c r="AU502" s="757"/>
      <c r="AV502" s="757"/>
      <c r="AW502" s="757"/>
      <c r="AX502" s="757"/>
      <c r="AY502" s="757"/>
      <c r="AZ502" s="75"/>
      <c r="BA502" s="2"/>
      <c r="BB502" s="2"/>
      <c r="BC502" s="2"/>
      <c r="BD502" s="2"/>
    </row>
    <row r="503" spans="1:56">
      <c r="A503" s="781">
        <v>2</v>
      </c>
      <c r="B503" s="782">
        <v>231</v>
      </c>
      <c r="C503" s="783"/>
      <c r="D503" s="783" t="s">
        <v>177</v>
      </c>
      <c r="E503" s="808">
        <v>4144</v>
      </c>
      <c r="F503" s="799"/>
      <c r="G503" s="799"/>
      <c r="H503" s="1592">
        <f t="shared" si="21"/>
        <v>0</v>
      </c>
      <c r="I503" s="754" t="str">
        <f>IFERROR(VLOOKUP(B503,Mychart!$A$125:$B$911,2,FALSE),"-")</f>
        <v>MOHAMED KHAMIS - AREEJ</v>
      </c>
      <c r="J503" s="753" t="str">
        <f t="shared" si="22"/>
        <v>-</v>
      </c>
      <c r="K503" s="1540">
        <f t="shared" si="23"/>
        <v>1900</v>
      </c>
      <c r="L503" s="757"/>
      <c r="M503" s="757"/>
      <c r="N503" s="757"/>
      <c r="O503" s="757"/>
      <c r="P503" s="757"/>
      <c r="Q503" s="757"/>
      <c r="R503" s="757"/>
      <c r="S503" s="757"/>
      <c r="T503" s="757"/>
      <c r="U503" s="757"/>
      <c r="V503" s="757"/>
      <c r="W503" s="757"/>
      <c r="X503" s="757"/>
      <c r="Y503" s="757"/>
      <c r="Z503" s="757"/>
      <c r="AA503" s="757"/>
      <c r="AB503" s="757"/>
      <c r="AC503" s="757"/>
      <c r="AD503" s="757"/>
      <c r="AE503" s="757"/>
      <c r="AF503" s="757"/>
      <c r="AG503" s="757"/>
      <c r="AH503" s="757"/>
      <c r="AI503" s="757"/>
      <c r="AJ503" s="757"/>
      <c r="AK503" s="757"/>
      <c r="AL503" s="757"/>
      <c r="AM503" s="757"/>
      <c r="AN503" s="757"/>
      <c r="AO503" s="757"/>
      <c r="AP503" s="757"/>
      <c r="AQ503" s="757"/>
      <c r="AR503" s="757"/>
      <c r="AS503" s="757"/>
      <c r="AT503" s="757"/>
      <c r="AU503" s="757"/>
      <c r="AV503" s="757"/>
      <c r="AW503" s="757"/>
      <c r="AX503" s="757"/>
      <c r="AY503" s="757"/>
      <c r="AZ503" s="75"/>
      <c r="BA503" s="2"/>
      <c r="BB503" s="2"/>
      <c r="BC503" s="2"/>
      <c r="BD503" s="2"/>
    </row>
    <row r="504" spans="1:56">
      <c r="A504" s="781">
        <v>2</v>
      </c>
      <c r="B504" s="782">
        <v>231</v>
      </c>
      <c r="C504" s="783"/>
      <c r="D504" s="783" t="s">
        <v>177</v>
      </c>
      <c r="E504" s="808">
        <v>5158</v>
      </c>
      <c r="F504" s="799"/>
      <c r="G504" s="799"/>
      <c r="H504" s="1592">
        <f t="shared" si="21"/>
        <v>0</v>
      </c>
      <c r="I504" s="754" t="str">
        <f>IFERROR(VLOOKUP(B504,Mychart!$A$125:$B$911,2,FALSE),"-")</f>
        <v>MOHAMED KHAMIS - AREEJ</v>
      </c>
      <c r="J504" s="753" t="str">
        <f t="shared" si="22"/>
        <v>-</v>
      </c>
      <c r="K504" s="1540">
        <f t="shared" si="23"/>
        <v>1900</v>
      </c>
      <c r="L504" s="757"/>
      <c r="M504" s="757"/>
      <c r="N504" s="757"/>
      <c r="O504" s="757"/>
      <c r="P504" s="757"/>
      <c r="Q504" s="757"/>
      <c r="R504" s="757"/>
      <c r="S504" s="757"/>
      <c r="T504" s="757"/>
      <c r="U504" s="757"/>
      <c r="V504" s="757"/>
      <c r="W504" s="757"/>
      <c r="X504" s="757"/>
      <c r="Y504" s="757"/>
      <c r="Z504" s="757"/>
      <c r="AA504" s="757"/>
      <c r="AB504" s="757"/>
      <c r="AC504" s="757"/>
      <c r="AD504" s="757"/>
      <c r="AE504" s="757"/>
      <c r="AF504" s="757"/>
      <c r="AG504" s="757"/>
      <c r="AH504" s="757"/>
      <c r="AI504" s="757"/>
      <c r="AJ504" s="757"/>
      <c r="AK504" s="757"/>
      <c r="AL504" s="757"/>
      <c r="AM504" s="757"/>
      <c r="AN504" s="757"/>
      <c r="AO504" s="757"/>
      <c r="AP504" s="757"/>
      <c r="AQ504" s="757"/>
      <c r="AR504" s="757"/>
      <c r="AS504" s="757"/>
      <c r="AT504" s="757"/>
      <c r="AU504" s="757"/>
      <c r="AV504" s="757"/>
      <c r="AW504" s="757"/>
      <c r="AX504" s="757"/>
      <c r="AY504" s="757"/>
      <c r="AZ504" s="75"/>
      <c r="BA504" s="2"/>
      <c r="BB504" s="2"/>
      <c r="BC504" s="2"/>
      <c r="BD504" s="2"/>
    </row>
    <row r="505" spans="1:56">
      <c r="A505" s="781">
        <v>2</v>
      </c>
      <c r="B505" s="782">
        <v>231</v>
      </c>
      <c r="C505" s="783"/>
      <c r="D505" s="783" t="s">
        <v>648</v>
      </c>
      <c r="E505" s="808">
        <v>291</v>
      </c>
      <c r="F505" s="799"/>
      <c r="G505" s="799"/>
      <c r="H505" s="1592">
        <f t="shared" si="21"/>
        <v>0</v>
      </c>
      <c r="I505" s="754" t="str">
        <f>IFERROR(VLOOKUP(B505,Mychart!$A$125:$B$911,2,FALSE),"-")</f>
        <v>MOHAMED KHAMIS - AREEJ</v>
      </c>
      <c r="J505" s="753" t="str">
        <f t="shared" si="22"/>
        <v>-</v>
      </c>
      <c r="K505" s="1540">
        <f t="shared" si="23"/>
        <v>1900</v>
      </c>
      <c r="L505" s="757"/>
      <c r="M505" s="757"/>
      <c r="N505" s="757"/>
      <c r="O505" s="757"/>
      <c r="P505" s="757"/>
      <c r="Q505" s="757"/>
      <c r="R505" s="757"/>
      <c r="S505" s="757"/>
      <c r="T505" s="757"/>
      <c r="U505" s="757"/>
      <c r="V505" s="757"/>
      <c r="W505" s="757"/>
      <c r="X505" s="757"/>
      <c r="Y505" s="757"/>
      <c r="Z505" s="757"/>
      <c r="AA505" s="757"/>
      <c r="AB505" s="757"/>
      <c r="AC505" s="757"/>
      <c r="AD505" s="757"/>
      <c r="AE505" s="757"/>
      <c r="AF505" s="757"/>
      <c r="AG505" s="757"/>
      <c r="AH505" s="757"/>
      <c r="AI505" s="757"/>
      <c r="AJ505" s="757"/>
      <c r="AK505" s="757"/>
      <c r="AL505" s="757"/>
      <c r="AM505" s="757"/>
      <c r="AN505" s="757"/>
      <c r="AO505" s="757"/>
      <c r="AP505" s="757"/>
      <c r="AQ505" s="757"/>
      <c r="AR505" s="757"/>
      <c r="AS505" s="757"/>
      <c r="AT505" s="757"/>
      <c r="AU505" s="757"/>
      <c r="AV505" s="757"/>
      <c r="AW505" s="757"/>
      <c r="AX505" s="757"/>
      <c r="AY505" s="757"/>
      <c r="AZ505" s="75"/>
      <c r="BA505" s="2"/>
      <c r="BB505" s="2"/>
      <c r="BC505" s="2"/>
      <c r="BD505" s="2"/>
    </row>
    <row r="506" spans="1:56">
      <c r="A506" s="781">
        <v>2</v>
      </c>
      <c r="B506" s="782">
        <v>231</v>
      </c>
      <c r="C506" s="783"/>
      <c r="D506" s="783" t="s">
        <v>648</v>
      </c>
      <c r="E506" s="808">
        <v>1096</v>
      </c>
      <c r="F506" s="799"/>
      <c r="G506" s="799"/>
      <c r="H506" s="1592">
        <f t="shared" si="21"/>
        <v>0</v>
      </c>
      <c r="I506" s="754" t="str">
        <f>IFERROR(VLOOKUP(B506,Mychart!$A$125:$B$911,2,FALSE),"-")</f>
        <v>MOHAMED KHAMIS - AREEJ</v>
      </c>
      <c r="J506" s="753" t="str">
        <f t="shared" si="22"/>
        <v>-</v>
      </c>
      <c r="K506" s="1540">
        <f t="shared" si="23"/>
        <v>1900</v>
      </c>
      <c r="L506" s="757"/>
      <c r="M506" s="757"/>
      <c r="N506" s="757"/>
      <c r="O506" s="757"/>
      <c r="P506" s="757"/>
      <c r="Q506" s="757"/>
      <c r="R506" s="757"/>
      <c r="S506" s="757"/>
      <c r="T506" s="757"/>
      <c r="U506" s="757"/>
      <c r="V506" s="757"/>
      <c r="W506" s="757"/>
      <c r="X506" s="757"/>
      <c r="Y506" s="757"/>
      <c r="Z506" s="757"/>
      <c r="AA506" s="757"/>
      <c r="AB506" s="757"/>
      <c r="AC506" s="757"/>
      <c r="AD506" s="757"/>
      <c r="AE506" s="757"/>
      <c r="AF506" s="757"/>
      <c r="AG506" s="757"/>
      <c r="AH506" s="757"/>
      <c r="AI506" s="757"/>
      <c r="AJ506" s="757"/>
      <c r="AK506" s="757"/>
      <c r="AL506" s="757"/>
      <c r="AM506" s="757"/>
      <c r="AN506" s="757"/>
      <c r="AO506" s="757"/>
      <c r="AP506" s="757"/>
      <c r="AQ506" s="757"/>
      <c r="AR506" s="757"/>
      <c r="AS506" s="757"/>
      <c r="AT506" s="757"/>
      <c r="AU506" s="757"/>
      <c r="AV506" s="757"/>
      <c r="AW506" s="757"/>
      <c r="AX506" s="757"/>
      <c r="AY506" s="757"/>
      <c r="AZ506" s="75"/>
      <c r="BA506" s="2"/>
      <c r="BB506" s="2"/>
      <c r="BC506" s="2"/>
      <c r="BD506" s="2"/>
    </row>
    <row r="507" spans="1:56">
      <c r="A507" s="781">
        <v>2</v>
      </c>
      <c r="B507" s="782">
        <v>231</v>
      </c>
      <c r="C507" s="783"/>
      <c r="D507" s="783" t="s">
        <v>510</v>
      </c>
      <c r="E507" s="808">
        <v>46998</v>
      </c>
      <c r="F507" s="799"/>
      <c r="G507" s="799"/>
      <c r="H507" s="1592">
        <f t="shared" si="21"/>
        <v>0</v>
      </c>
      <c r="I507" s="754" t="str">
        <f>IFERROR(VLOOKUP(B507,Mychart!$A$125:$B$911,2,FALSE),"-")</f>
        <v>MOHAMED KHAMIS - AREEJ</v>
      </c>
      <c r="J507" s="753" t="str">
        <f t="shared" si="22"/>
        <v>-</v>
      </c>
      <c r="K507" s="1540">
        <f t="shared" si="23"/>
        <v>1900</v>
      </c>
      <c r="L507" s="757"/>
      <c r="M507" s="757"/>
      <c r="N507" s="757"/>
      <c r="O507" s="757"/>
      <c r="P507" s="757"/>
      <c r="Q507" s="757"/>
      <c r="R507" s="757"/>
      <c r="S507" s="757"/>
      <c r="T507" s="757"/>
      <c r="U507" s="757"/>
      <c r="V507" s="757"/>
      <c r="W507" s="757"/>
      <c r="X507" s="757"/>
      <c r="Y507" s="757"/>
      <c r="Z507" s="757"/>
      <c r="AA507" s="757"/>
      <c r="AB507" s="757"/>
      <c r="AC507" s="757"/>
      <c r="AD507" s="757"/>
      <c r="AE507" s="757"/>
      <c r="AF507" s="757"/>
      <c r="AG507" s="757"/>
      <c r="AH507" s="757"/>
      <c r="AI507" s="757"/>
      <c r="AJ507" s="757"/>
      <c r="AK507" s="757"/>
      <c r="AL507" s="757"/>
      <c r="AM507" s="757"/>
      <c r="AN507" s="757"/>
      <c r="AO507" s="757"/>
      <c r="AP507" s="757"/>
      <c r="AQ507" s="757"/>
      <c r="AR507" s="757"/>
      <c r="AS507" s="757"/>
      <c r="AT507" s="757"/>
      <c r="AU507" s="757"/>
      <c r="AV507" s="757"/>
      <c r="AW507" s="757"/>
      <c r="AX507" s="757"/>
      <c r="AY507" s="757"/>
      <c r="AZ507" s="75"/>
      <c r="BA507" s="2"/>
      <c r="BB507" s="2"/>
      <c r="BC507" s="2"/>
      <c r="BD507" s="2"/>
    </row>
    <row r="508" spans="1:56">
      <c r="A508" s="781">
        <v>2</v>
      </c>
      <c r="B508" s="782">
        <v>231</v>
      </c>
      <c r="C508" s="783"/>
      <c r="D508" s="783" t="s">
        <v>177</v>
      </c>
      <c r="E508" s="808">
        <v>500</v>
      </c>
      <c r="F508" s="799"/>
      <c r="G508" s="799"/>
      <c r="H508" s="1592">
        <f t="shared" si="21"/>
        <v>0</v>
      </c>
      <c r="I508" s="754" t="str">
        <f>IFERROR(VLOOKUP(B508,Mychart!$A$125:$B$911,2,FALSE),"-")</f>
        <v>MOHAMED KHAMIS - AREEJ</v>
      </c>
      <c r="J508" s="753" t="str">
        <f t="shared" si="22"/>
        <v>-</v>
      </c>
      <c r="K508" s="1540">
        <f t="shared" si="23"/>
        <v>1900</v>
      </c>
      <c r="L508" s="757"/>
      <c r="M508" s="757"/>
      <c r="N508" s="757"/>
      <c r="O508" s="757"/>
      <c r="P508" s="757"/>
      <c r="Q508" s="757"/>
      <c r="R508" s="757"/>
      <c r="S508" s="757"/>
      <c r="T508" s="757"/>
      <c r="U508" s="757"/>
      <c r="V508" s="757"/>
      <c r="W508" s="757"/>
      <c r="X508" s="757"/>
      <c r="Y508" s="757"/>
      <c r="Z508" s="757"/>
      <c r="AA508" s="757"/>
      <c r="AB508" s="757"/>
      <c r="AC508" s="757"/>
      <c r="AD508" s="757"/>
      <c r="AE508" s="757"/>
      <c r="AF508" s="757"/>
      <c r="AG508" s="757"/>
      <c r="AH508" s="757"/>
      <c r="AI508" s="757"/>
      <c r="AJ508" s="757"/>
      <c r="AK508" s="757"/>
      <c r="AL508" s="757"/>
      <c r="AM508" s="757"/>
      <c r="AN508" s="757"/>
      <c r="AO508" s="757"/>
      <c r="AP508" s="757"/>
      <c r="AQ508" s="757"/>
      <c r="AR508" s="757"/>
      <c r="AS508" s="757"/>
      <c r="AT508" s="757"/>
      <c r="AU508" s="757"/>
      <c r="AV508" s="757"/>
      <c r="AW508" s="757"/>
      <c r="AX508" s="757"/>
      <c r="AY508" s="757"/>
      <c r="AZ508" s="75"/>
      <c r="BA508" s="2"/>
      <c r="BB508" s="2"/>
      <c r="BC508" s="2"/>
      <c r="BD508" s="2"/>
    </row>
    <row r="509" spans="1:56">
      <c r="A509" s="781">
        <v>2</v>
      </c>
      <c r="B509" s="782">
        <v>231</v>
      </c>
      <c r="C509" s="783"/>
      <c r="D509" s="783" t="s">
        <v>259</v>
      </c>
      <c r="E509" s="808">
        <v>3800.56</v>
      </c>
      <c r="F509" s="799"/>
      <c r="G509" s="799"/>
      <c r="H509" s="1592">
        <f t="shared" si="21"/>
        <v>0</v>
      </c>
      <c r="I509" s="754" t="str">
        <f>IFERROR(VLOOKUP(B509,Mychart!$A$125:$B$911,2,FALSE),"-")</f>
        <v>MOHAMED KHAMIS - AREEJ</v>
      </c>
      <c r="J509" s="753" t="str">
        <f t="shared" si="22"/>
        <v>-</v>
      </c>
      <c r="K509" s="1540">
        <f t="shared" si="23"/>
        <v>1900</v>
      </c>
      <c r="L509" s="757"/>
      <c r="M509" s="757"/>
      <c r="N509" s="757"/>
      <c r="O509" s="757"/>
      <c r="P509" s="757"/>
      <c r="Q509" s="757"/>
      <c r="R509" s="757"/>
      <c r="S509" s="757"/>
      <c r="T509" s="757"/>
      <c r="U509" s="757"/>
      <c r="V509" s="757"/>
      <c r="W509" s="757"/>
      <c r="X509" s="757"/>
      <c r="Y509" s="757"/>
      <c r="Z509" s="757"/>
      <c r="AA509" s="757"/>
      <c r="AB509" s="757"/>
      <c r="AC509" s="757"/>
      <c r="AD509" s="757"/>
      <c r="AE509" s="757"/>
      <c r="AF509" s="757"/>
      <c r="AG509" s="757"/>
      <c r="AH509" s="757"/>
      <c r="AI509" s="757"/>
      <c r="AJ509" s="757"/>
      <c r="AK509" s="757"/>
      <c r="AL509" s="757"/>
      <c r="AM509" s="757"/>
      <c r="AN509" s="757"/>
      <c r="AO509" s="757"/>
      <c r="AP509" s="757"/>
      <c r="AQ509" s="757"/>
      <c r="AR509" s="757"/>
      <c r="AS509" s="757"/>
      <c r="AT509" s="757"/>
      <c r="AU509" s="757"/>
      <c r="AV509" s="757"/>
      <c r="AW509" s="757"/>
      <c r="AX509" s="757"/>
      <c r="AY509" s="757"/>
      <c r="AZ509" s="75"/>
      <c r="BA509" s="2"/>
      <c r="BB509" s="2"/>
      <c r="BC509" s="2"/>
      <c r="BD509" s="2"/>
    </row>
    <row r="510" spans="1:56">
      <c r="A510" s="781">
        <v>2</v>
      </c>
      <c r="B510" s="782">
        <v>231</v>
      </c>
      <c r="C510" s="783">
        <v>45260</v>
      </c>
      <c r="D510" s="783" t="s">
        <v>177</v>
      </c>
      <c r="E510" s="808">
        <v>259</v>
      </c>
      <c r="F510" s="799"/>
      <c r="G510" s="799"/>
      <c r="H510" s="1592">
        <f t="shared" si="21"/>
        <v>0</v>
      </c>
      <c r="I510" s="754" t="str">
        <f>IFERROR(VLOOKUP(B510,Mychart!$A$125:$B$911,2,FALSE),"-")</f>
        <v>MOHAMED KHAMIS - AREEJ</v>
      </c>
      <c r="J510" s="753">
        <f t="shared" si="22"/>
        <v>11</v>
      </c>
      <c r="K510" s="1540">
        <f t="shared" si="23"/>
        <v>2023</v>
      </c>
      <c r="L510" s="757"/>
      <c r="M510" s="757"/>
      <c r="N510" s="757"/>
      <c r="O510" s="757"/>
      <c r="P510" s="757"/>
      <c r="Q510" s="757"/>
      <c r="R510" s="757"/>
      <c r="S510" s="757"/>
      <c r="T510" s="757"/>
      <c r="U510" s="757"/>
      <c r="V510" s="757"/>
      <c r="W510" s="757"/>
      <c r="X510" s="757"/>
      <c r="Y510" s="757"/>
      <c r="Z510" s="757"/>
      <c r="AA510" s="757"/>
      <c r="AB510" s="757"/>
      <c r="AC510" s="757"/>
      <c r="AD510" s="757"/>
      <c r="AE510" s="757"/>
      <c r="AF510" s="757"/>
      <c r="AG510" s="757"/>
      <c r="AH510" s="757"/>
      <c r="AI510" s="757"/>
      <c r="AJ510" s="757"/>
      <c r="AK510" s="757"/>
      <c r="AL510" s="757"/>
      <c r="AM510" s="757"/>
      <c r="AN510" s="757"/>
      <c r="AO510" s="757"/>
      <c r="AP510" s="757"/>
      <c r="AQ510" s="757"/>
      <c r="AR510" s="757"/>
      <c r="AS510" s="757"/>
      <c r="AT510" s="757"/>
      <c r="AU510" s="757"/>
      <c r="AV510" s="757"/>
      <c r="AW510" s="757"/>
      <c r="AX510" s="757"/>
      <c r="AY510" s="757"/>
      <c r="AZ510" s="75"/>
      <c r="BA510" s="2"/>
      <c r="BB510" s="2"/>
      <c r="BC510" s="2"/>
      <c r="BD510" s="2"/>
    </row>
    <row r="511" spans="1:56">
      <c r="A511" s="781">
        <v>2</v>
      </c>
      <c r="B511" s="782">
        <v>231</v>
      </c>
      <c r="C511" s="783">
        <v>45273</v>
      </c>
      <c r="D511" s="783" t="s">
        <v>510</v>
      </c>
      <c r="E511" s="808">
        <v>1312.5</v>
      </c>
      <c r="F511" s="799"/>
      <c r="G511" s="799"/>
      <c r="H511" s="1592">
        <f t="shared" si="21"/>
        <v>0</v>
      </c>
      <c r="I511" s="754" t="str">
        <f>IFERROR(VLOOKUP(B511,Mychart!$A$125:$B$911,2,FALSE),"-")</f>
        <v>MOHAMED KHAMIS - AREEJ</v>
      </c>
      <c r="J511" s="753">
        <f t="shared" si="22"/>
        <v>12</v>
      </c>
      <c r="K511" s="1540">
        <f t="shared" si="23"/>
        <v>2023</v>
      </c>
      <c r="L511" s="757"/>
      <c r="M511" s="757"/>
      <c r="N511" s="757"/>
      <c r="O511" s="757"/>
      <c r="P511" s="757"/>
      <c r="Q511" s="757"/>
      <c r="R511" s="757"/>
      <c r="S511" s="757"/>
      <c r="T511" s="757"/>
      <c r="U511" s="757"/>
      <c r="V511" s="757"/>
      <c r="W511" s="757"/>
      <c r="X511" s="757"/>
      <c r="Y511" s="757"/>
      <c r="Z511" s="757"/>
      <c r="AA511" s="757"/>
      <c r="AB511" s="757"/>
      <c r="AC511" s="757"/>
      <c r="AD511" s="757"/>
      <c r="AE511" s="757"/>
      <c r="AF511" s="757"/>
      <c r="AG511" s="757"/>
      <c r="AH511" s="757"/>
      <c r="AI511" s="757"/>
      <c r="AJ511" s="757"/>
      <c r="AK511" s="757"/>
      <c r="AL511" s="757"/>
      <c r="AM511" s="757"/>
      <c r="AN511" s="757"/>
      <c r="AO511" s="757"/>
      <c r="AP511" s="757"/>
      <c r="AQ511" s="757"/>
      <c r="AR511" s="757"/>
      <c r="AS511" s="757"/>
      <c r="AT511" s="757"/>
      <c r="AU511" s="757"/>
      <c r="AV511" s="757"/>
      <c r="AW511" s="757"/>
      <c r="AX511" s="757"/>
      <c r="AY511" s="757"/>
      <c r="AZ511" s="75"/>
      <c r="BA511" s="2"/>
      <c r="BB511" s="2"/>
      <c r="BC511" s="2"/>
      <c r="BD511" s="2"/>
    </row>
    <row r="512" spans="1:56">
      <c r="A512" s="781">
        <v>2</v>
      </c>
      <c r="B512" s="782">
        <v>231</v>
      </c>
      <c r="C512" s="783">
        <v>45264</v>
      </c>
      <c r="D512" s="791" t="s">
        <v>177</v>
      </c>
      <c r="E512" s="808">
        <v>571</v>
      </c>
      <c r="F512" s="799"/>
      <c r="G512" s="799"/>
      <c r="H512" s="1592">
        <f t="shared" si="21"/>
        <v>0</v>
      </c>
      <c r="I512" s="754" t="str">
        <f>IFERROR(VLOOKUP(B512,Mychart!$A$125:$B$911,2,FALSE),"-")</f>
        <v>MOHAMED KHAMIS - AREEJ</v>
      </c>
      <c r="J512" s="753">
        <f t="shared" si="22"/>
        <v>12</v>
      </c>
      <c r="K512" s="1540">
        <f t="shared" si="23"/>
        <v>2023</v>
      </c>
      <c r="L512" s="757"/>
      <c r="M512" s="757"/>
      <c r="N512" s="757"/>
      <c r="O512" s="757"/>
      <c r="P512" s="757"/>
      <c r="Q512" s="757"/>
      <c r="R512" s="757"/>
      <c r="S512" s="757"/>
      <c r="T512" s="757"/>
      <c r="U512" s="757"/>
      <c r="V512" s="757"/>
      <c r="W512" s="757"/>
      <c r="X512" s="757"/>
      <c r="Y512" s="757"/>
      <c r="Z512" s="757"/>
      <c r="AA512" s="757"/>
      <c r="AB512" s="757"/>
      <c r="AC512" s="757"/>
      <c r="AD512" s="757"/>
      <c r="AE512" s="757"/>
      <c r="AF512" s="757"/>
      <c r="AG512" s="757"/>
      <c r="AH512" s="757"/>
      <c r="AI512" s="757"/>
      <c r="AJ512" s="757"/>
      <c r="AK512" s="757"/>
      <c r="AL512" s="757"/>
      <c r="AM512" s="757"/>
      <c r="AN512" s="757"/>
      <c r="AO512" s="757"/>
      <c r="AP512" s="757"/>
      <c r="AQ512" s="757"/>
      <c r="AR512" s="757"/>
      <c r="AS512" s="757"/>
      <c r="AT512" s="757"/>
      <c r="AU512" s="757"/>
      <c r="AV512" s="757"/>
      <c r="AW512" s="757"/>
      <c r="AX512" s="757"/>
      <c r="AY512" s="757"/>
      <c r="AZ512" s="75"/>
      <c r="BA512" s="2"/>
      <c r="BB512" s="2"/>
      <c r="BC512" s="2"/>
      <c r="BD512" s="2"/>
    </row>
    <row r="513" spans="1:56">
      <c r="A513" s="781">
        <v>1</v>
      </c>
      <c r="B513" s="782">
        <v>217</v>
      </c>
      <c r="C513" s="783">
        <v>44916</v>
      </c>
      <c r="D513" s="786" t="s">
        <v>653</v>
      </c>
      <c r="E513" s="807"/>
      <c r="F513" s="798">
        <v>26250</v>
      </c>
      <c r="G513" s="798">
        <v>1312.5</v>
      </c>
      <c r="H513" s="1592">
        <f t="shared" si="21"/>
        <v>27562.5</v>
      </c>
      <c r="I513" s="754" t="str">
        <f>IFERROR(VLOOKUP(B513,Mychart!$A$125:$B$911,2,FALSE),"-")</f>
        <v>MOHAMED MUHAIR . AREEJ</v>
      </c>
      <c r="J513" s="753">
        <f t="shared" si="22"/>
        <v>12</v>
      </c>
      <c r="K513" s="1540">
        <f t="shared" si="23"/>
        <v>2022</v>
      </c>
      <c r="L513" s="757"/>
      <c r="M513" s="757"/>
      <c r="N513" s="757"/>
      <c r="O513" s="757"/>
      <c r="P513" s="757"/>
      <c r="Q513" s="757"/>
      <c r="R513" s="757"/>
      <c r="S513" s="757"/>
      <c r="T513" s="757"/>
      <c r="U513" s="757"/>
      <c r="V513" s="757"/>
      <c r="W513" s="757"/>
      <c r="X513" s="757"/>
      <c r="Y513" s="757"/>
      <c r="Z513" s="757"/>
      <c r="AA513" s="757"/>
      <c r="AB513" s="757"/>
      <c r="AC513" s="757"/>
      <c r="AD513" s="757"/>
      <c r="AE513" s="757"/>
      <c r="AF513" s="757"/>
      <c r="AG513" s="757"/>
      <c r="AH513" s="757"/>
      <c r="AI513" s="757"/>
      <c r="AJ513" s="757"/>
      <c r="AK513" s="757"/>
      <c r="AL513" s="757"/>
      <c r="AM513" s="757"/>
      <c r="AN513" s="757"/>
      <c r="AO513" s="757"/>
      <c r="AP513" s="757"/>
      <c r="AQ513" s="757"/>
      <c r="AR513" s="757"/>
      <c r="AS513" s="757"/>
      <c r="AT513" s="757"/>
      <c r="AU513" s="757"/>
      <c r="AV513" s="757"/>
      <c r="AW513" s="757"/>
      <c r="AX513" s="757"/>
      <c r="AY513" s="757"/>
      <c r="AZ513" s="75"/>
      <c r="BA513" s="2"/>
      <c r="BB513" s="2"/>
      <c r="BC513" s="2"/>
      <c r="BD513" s="2"/>
    </row>
    <row r="514" spans="1:56">
      <c r="A514" s="781">
        <v>1</v>
      </c>
      <c r="B514" s="782">
        <v>217</v>
      </c>
      <c r="C514" s="783">
        <v>45283</v>
      </c>
      <c r="D514" s="784" t="s">
        <v>419</v>
      </c>
      <c r="E514" s="807"/>
      <c r="F514" s="798">
        <v>64400</v>
      </c>
      <c r="G514" s="798">
        <v>3220</v>
      </c>
      <c r="H514" s="1592">
        <f t="shared" si="21"/>
        <v>67620</v>
      </c>
      <c r="I514" s="754" t="str">
        <f>IFERROR(VLOOKUP(B514,Mychart!$A$125:$B$911,2,FALSE),"-")</f>
        <v>MOHAMED MUHAIR . AREEJ</v>
      </c>
      <c r="J514" s="753">
        <f t="shared" si="22"/>
        <v>12</v>
      </c>
      <c r="K514" s="1540">
        <f t="shared" si="23"/>
        <v>2023</v>
      </c>
      <c r="L514" s="757"/>
      <c r="M514" s="757"/>
      <c r="N514" s="757"/>
      <c r="O514" s="757"/>
      <c r="P514" s="757"/>
      <c r="Q514" s="757"/>
      <c r="R514" s="757"/>
      <c r="S514" s="757"/>
      <c r="T514" s="757"/>
      <c r="U514" s="757"/>
      <c r="V514" s="757"/>
      <c r="W514" s="757"/>
      <c r="X514" s="757"/>
      <c r="Y514" s="757"/>
      <c r="Z514" s="757"/>
      <c r="AA514" s="757"/>
      <c r="AB514" s="757"/>
      <c r="AC514" s="757"/>
      <c r="AD514" s="757"/>
      <c r="AE514" s="757"/>
      <c r="AF514" s="757"/>
      <c r="AG514" s="757"/>
      <c r="AH514" s="757"/>
      <c r="AI514" s="757"/>
      <c r="AJ514" s="757"/>
      <c r="AK514" s="757"/>
      <c r="AL514" s="757"/>
      <c r="AM514" s="757"/>
      <c r="AN514" s="757"/>
      <c r="AO514" s="757"/>
      <c r="AP514" s="757"/>
      <c r="AQ514" s="757"/>
      <c r="AR514" s="757"/>
      <c r="AS514" s="757"/>
      <c r="AT514" s="757"/>
      <c r="AU514" s="757"/>
      <c r="AV514" s="757"/>
      <c r="AW514" s="757"/>
      <c r="AX514" s="757"/>
      <c r="AY514" s="757"/>
      <c r="AZ514" s="75"/>
      <c r="BA514" s="2"/>
      <c r="BB514" s="2"/>
      <c r="BC514" s="2"/>
      <c r="BD514" s="2"/>
    </row>
    <row r="515" spans="1:56">
      <c r="A515" s="781">
        <v>1</v>
      </c>
      <c r="B515" s="782">
        <v>217</v>
      </c>
      <c r="C515" s="783">
        <v>45406</v>
      </c>
      <c r="D515" s="784" t="s">
        <v>654</v>
      </c>
      <c r="E515" s="807"/>
      <c r="F515" s="798">
        <v>65800</v>
      </c>
      <c r="G515" s="798">
        <v>3290</v>
      </c>
      <c r="H515" s="1592">
        <f t="shared" si="21"/>
        <v>69090</v>
      </c>
      <c r="I515" s="754" t="str">
        <f>IFERROR(VLOOKUP(B515,Mychart!$A$125:$B$911,2,FALSE),"-")</f>
        <v>MOHAMED MUHAIR . AREEJ</v>
      </c>
      <c r="J515" s="753">
        <f t="shared" si="22"/>
        <v>4</v>
      </c>
      <c r="K515" s="1540">
        <f t="shared" si="23"/>
        <v>2024</v>
      </c>
      <c r="L515" s="757"/>
      <c r="M515" s="757"/>
      <c r="N515" s="757"/>
      <c r="O515" s="757"/>
      <c r="P515" s="757"/>
      <c r="Q515" s="757"/>
      <c r="R515" s="757"/>
      <c r="S515" s="757"/>
      <c r="T515" s="757"/>
      <c r="U515" s="757"/>
      <c r="V515" s="757"/>
      <c r="W515" s="757"/>
      <c r="X515" s="757"/>
      <c r="Y515" s="757"/>
      <c r="Z515" s="757"/>
      <c r="AA515" s="757"/>
      <c r="AB515" s="757"/>
      <c r="AC515" s="757"/>
      <c r="AD515" s="757"/>
      <c r="AE515" s="757"/>
      <c r="AF515" s="757"/>
      <c r="AG515" s="757"/>
      <c r="AH515" s="757"/>
      <c r="AI515" s="757"/>
      <c r="AJ515" s="757"/>
      <c r="AK515" s="757"/>
      <c r="AL515" s="757"/>
      <c r="AM515" s="757"/>
      <c r="AN515" s="757"/>
      <c r="AO515" s="757"/>
      <c r="AP515" s="757"/>
      <c r="AQ515" s="757"/>
      <c r="AR515" s="757"/>
      <c r="AS515" s="757"/>
      <c r="AT515" s="757"/>
      <c r="AU515" s="757"/>
      <c r="AV515" s="757"/>
      <c r="AW515" s="757"/>
      <c r="AX515" s="757"/>
      <c r="AY515" s="757"/>
      <c r="AZ515" s="75"/>
      <c r="BA515" s="2"/>
      <c r="BB515" s="2"/>
      <c r="BC515" s="2"/>
      <c r="BD515" s="2"/>
    </row>
    <row r="516" spans="1:56">
      <c r="A516" s="781">
        <v>2</v>
      </c>
      <c r="B516" s="782">
        <v>217</v>
      </c>
      <c r="C516" s="783">
        <v>44916</v>
      </c>
      <c r="D516" s="783" t="s">
        <v>538</v>
      </c>
      <c r="E516" s="808">
        <v>8750</v>
      </c>
      <c r="F516" s="799"/>
      <c r="G516" s="799"/>
      <c r="H516" s="1592">
        <f t="shared" si="21"/>
        <v>0</v>
      </c>
      <c r="I516" s="754" t="str">
        <f>IFERROR(VLOOKUP(B516,Mychart!$A$125:$B$911,2,FALSE),"-")</f>
        <v>MOHAMED MUHAIR . AREEJ</v>
      </c>
      <c r="J516" s="753">
        <f t="shared" si="22"/>
        <v>12</v>
      </c>
      <c r="K516" s="1540">
        <f t="shared" si="23"/>
        <v>2022</v>
      </c>
      <c r="L516" s="757"/>
      <c r="M516" s="757"/>
      <c r="N516" s="757"/>
      <c r="O516" s="757"/>
      <c r="P516" s="757"/>
      <c r="Q516" s="757"/>
      <c r="R516" s="757"/>
      <c r="S516" s="757"/>
      <c r="T516" s="757"/>
      <c r="U516" s="757"/>
      <c r="V516" s="757"/>
      <c r="W516" s="757"/>
      <c r="X516" s="757"/>
      <c r="Y516" s="757"/>
      <c r="Z516" s="757"/>
      <c r="AA516" s="757"/>
      <c r="AB516" s="757"/>
      <c r="AC516" s="757"/>
      <c r="AD516" s="757"/>
      <c r="AE516" s="757"/>
      <c r="AF516" s="757"/>
      <c r="AG516" s="757"/>
      <c r="AH516" s="757"/>
      <c r="AI516" s="757"/>
      <c r="AJ516" s="757"/>
      <c r="AK516" s="757"/>
      <c r="AL516" s="757"/>
      <c r="AM516" s="757"/>
      <c r="AN516" s="757"/>
      <c r="AO516" s="757"/>
      <c r="AP516" s="757"/>
      <c r="AQ516" s="757"/>
      <c r="AR516" s="757"/>
      <c r="AS516" s="757"/>
      <c r="AT516" s="757"/>
      <c r="AU516" s="757"/>
      <c r="AV516" s="757"/>
      <c r="AW516" s="757"/>
      <c r="AX516" s="757"/>
      <c r="AY516" s="757"/>
      <c r="AZ516" s="75"/>
      <c r="BA516" s="2"/>
      <c r="BB516" s="2"/>
      <c r="BC516" s="2"/>
      <c r="BD516" s="2"/>
    </row>
    <row r="517" spans="1:56">
      <c r="A517" s="781">
        <v>2</v>
      </c>
      <c r="B517" s="782">
        <v>217</v>
      </c>
      <c r="C517" s="783">
        <v>44925</v>
      </c>
      <c r="D517" s="783" t="s">
        <v>178</v>
      </c>
      <c r="E517" s="808">
        <v>4455</v>
      </c>
      <c r="F517" s="799"/>
      <c r="G517" s="799"/>
      <c r="H517" s="1592">
        <f t="shared" si="21"/>
        <v>0</v>
      </c>
      <c r="I517" s="754" t="str">
        <f>IFERROR(VLOOKUP(B517,Mychart!$A$125:$B$911,2,FALSE),"-")</f>
        <v>MOHAMED MUHAIR . AREEJ</v>
      </c>
      <c r="J517" s="753">
        <f t="shared" si="22"/>
        <v>12</v>
      </c>
      <c r="K517" s="1540">
        <f t="shared" si="23"/>
        <v>2022</v>
      </c>
      <c r="L517" s="757"/>
      <c r="M517" s="757"/>
      <c r="N517" s="757"/>
      <c r="O517" s="757"/>
      <c r="P517" s="757"/>
      <c r="Q517" s="757"/>
      <c r="R517" s="757"/>
      <c r="S517" s="757"/>
      <c r="T517" s="757"/>
      <c r="U517" s="757"/>
      <c r="V517" s="757"/>
      <c r="W517" s="757"/>
      <c r="X517" s="757"/>
      <c r="Y517" s="757"/>
      <c r="Z517" s="757"/>
      <c r="AA517" s="757"/>
      <c r="AB517" s="757"/>
      <c r="AC517" s="757"/>
      <c r="AD517" s="757"/>
      <c r="AE517" s="757"/>
      <c r="AF517" s="757"/>
      <c r="AG517" s="757"/>
      <c r="AH517" s="757"/>
      <c r="AI517" s="757"/>
      <c r="AJ517" s="757"/>
      <c r="AK517" s="757"/>
      <c r="AL517" s="757"/>
      <c r="AM517" s="757"/>
      <c r="AN517" s="757"/>
      <c r="AO517" s="757"/>
      <c r="AP517" s="757"/>
      <c r="AQ517" s="757"/>
      <c r="AR517" s="757"/>
      <c r="AS517" s="757"/>
      <c r="AT517" s="757"/>
      <c r="AU517" s="757"/>
      <c r="AV517" s="757"/>
      <c r="AW517" s="757"/>
      <c r="AX517" s="757"/>
      <c r="AY517" s="757"/>
      <c r="AZ517" s="75"/>
      <c r="BA517" s="2"/>
      <c r="BB517" s="2"/>
      <c r="BC517" s="2"/>
      <c r="BD517" s="2"/>
    </row>
    <row r="518" spans="1:56">
      <c r="A518" s="781">
        <v>2</v>
      </c>
      <c r="B518" s="782">
        <v>217</v>
      </c>
      <c r="C518" s="783">
        <v>44918</v>
      </c>
      <c r="D518" s="783" t="s">
        <v>258</v>
      </c>
      <c r="E518" s="808">
        <v>6312</v>
      </c>
      <c r="F518" s="799"/>
      <c r="G518" s="799"/>
      <c r="H518" s="1592">
        <f t="shared" si="21"/>
        <v>0</v>
      </c>
      <c r="I518" s="754" t="str">
        <f>IFERROR(VLOOKUP(B518,Mychart!$A$125:$B$911,2,FALSE),"-")</f>
        <v>MOHAMED MUHAIR . AREEJ</v>
      </c>
      <c r="J518" s="753">
        <f t="shared" si="22"/>
        <v>12</v>
      </c>
      <c r="K518" s="1540">
        <f t="shared" si="23"/>
        <v>2022</v>
      </c>
      <c r="L518" s="757"/>
      <c r="M518" s="757"/>
      <c r="N518" s="757"/>
      <c r="O518" s="757"/>
      <c r="P518" s="757"/>
      <c r="Q518" s="757"/>
      <c r="R518" s="757"/>
      <c r="S518" s="757"/>
      <c r="T518" s="757"/>
      <c r="U518" s="757"/>
      <c r="V518" s="757"/>
      <c r="W518" s="757"/>
      <c r="X518" s="757"/>
      <c r="Y518" s="757"/>
      <c r="Z518" s="757"/>
      <c r="AA518" s="757"/>
      <c r="AB518" s="757"/>
      <c r="AC518" s="757"/>
      <c r="AD518" s="757"/>
      <c r="AE518" s="757"/>
      <c r="AF518" s="757"/>
      <c r="AG518" s="757"/>
      <c r="AH518" s="757"/>
      <c r="AI518" s="757"/>
      <c r="AJ518" s="757"/>
      <c r="AK518" s="757"/>
      <c r="AL518" s="757"/>
      <c r="AM518" s="757"/>
      <c r="AN518" s="757"/>
      <c r="AO518" s="757"/>
      <c r="AP518" s="757"/>
      <c r="AQ518" s="757"/>
      <c r="AR518" s="757"/>
      <c r="AS518" s="757"/>
      <c r="AT518" s="757"/>
      <c r="AU518" s="757"/>
      <c r="AV518" s="757"/>
      <c r="AW518" s="757"/>
      <c r="AX518" s="757"/>
      <c r="AY518" s="757"/>
      <c r="AZ518" s="75"/>
      <c r="BA518" s="2"/>
      <c r="BB518" s="2"/>
      <c r="BC518" s="2"/>
      <c r="BD518" s="2"/>
    </row>
    <row r="519" spans="1:56">
      <c r="A519" s="781">
        <v>2</v>
      </c>
      <c r="B519" s="782">
        <v>217</v>
      </c>
      <c r="C519" s="783">
        <v>44928</v>
      </c>
      <c r="D519" s="783" t="s">
        <v>258</v>
      </c>
      <c r="E519" s="808">
        <v>172</v>
      </c>
      <c r="F519" s="799"/>
      <c r="G519" s="799"/>
      <c r="H519" s="1592">
        <f t="shared" si="21"/>
        <v>0</v>
      </c>
      <c r="I519" s="754" t="str">
        <f>IFERROR(VLOOKUP(B519,Mychart!$A$125:$B$911,2,FALSE),"-")</f>
        <v>MOHAMED MUHAIR . AREEJ</v>
      </c>
      <c r="J519" s="753">
        <f t="shared" si="22"/>
        <v>1</v>
      </c>
      <c r="K519" s="1540">
        <f t="shared" si="23"/>
        <v>2023</v>
      </c>
      <c r="L519" s="757"/>
      <c r="M519" s="757"/>
      <c r="N519" s="757"/>
      <c r="O519" s="757"/>
      <c r="P519" s="757"/>
      <c r="Q519" s="757"/>
      <c r="R519" s="757"/>
      <c r="S519" s="757"/>
      <c r="T519" s="757"/>
      <c r="U519" s="757"/>
      <c r="V519" s="757"/>
      <c r="W519" s="757"/>
      <c r="X519" s="757"/>
      <c r="Y519" s="757"/>
      <c r="Z519" s="757"/>
      <c r="AA519" s="757"/>
      <c r="AB519" s="757"/>
      <c r="AC519" s="757"/>
      <c r="AD519" s="757"/>
      <c r="AE519" s="757"/>
      <c r="AF519" s="757"/>
      <c r="AG519" s="757"/>
      <c r="AH519" s="757"/>
      <c r="AI519" s="757"/>
      <c r="AJ519" s="757"/>
      <c r="AK519" s="757"/>
      <c r="AL519" s="757"/>
      <c r="AM519" s="757"/>
      <c r="AN519" s="757"/>
      <c r="AO519" s="757"/>
      <c r="AP519" s="757"/>
      <c r="AQ519" s="757"/>
      <c r="AR519" s="757"/>
      <c r="AS519" s="757"/>
      <c r="AT519" s="757"/>
      <c r="AU519" s="757"/>
      <c r="AV519" s="757"/>
      <c r="AW519" s="757"/>
      <c r="AX519" s="757"/>
      <c r="AY519" s="757"/>
      <c r="AZ519" s="75"/>
      <c r="BA519" s="2"/>
      <c r="BB519" s="2"/>
      <c r="BC519" s="2"/>
      <c r="BD519" s="2"/>
    </row>
    <row r="520" spans="1:56">
      <c r="A520" s="781">
        <v>2</v>
      </c>
      <c r="B520" s="782">
        <v>217</v>
      </c>
      <c r="C520" s="783"/>
      <c r="D520" s="783" t="s">
        <v>178</v>
      </c>
      <c r="E520" s="808">
        <v>458</v>
      </c>
      <c r="F520" s="799"/>
      <c r="G520" s="799"/>
      <c r="H520" s="1592">
        <f t="shared" si="21"/>
        <v>0</v>
      </c>
      <c r="I520" s="754" t="str">
        <f>IFERROR(VLOOKUP(B520,Mychart!$A$125:$B$911,2,FALSE),"-")</f>
        <v>MOHAMED MUHAIR . AREEJ</v>
      </c>
      <c r="J520" s="753" t="str">
        <f t="shared" si="22"/>
        <v>-</v>
      </c>
      <c r="K520" s="1540">
        <f t="shared" si="23"/>
        <v>1900</v>
      </c>
      <c r="L520" s="757"/>
      <c r="M520" s="757"/>
      <c r="N520" s="757"/>
      <c r="O520" s="757"/>
      <c r="P520" s="757"/>
      <c r="Q520" s="757"/>
      <c r="R520" s="757"/>
      <c r="S520" s="757"/>
      <c r="T520" s="757"/>
      <c r="U520" s="757"/>
      <c r="V520" s="757"/>
      <c r="W520" s="757"/>
      <c r="X520" s="757"/>
      <c r="Y520" s="757"/>
      <c r="Z520" s="757"/>
      <c r="AA520" s="757"/>
      <c r="AB520" s="757"/>
      <c r="AC520" s="757"/>
      <c r="AD520" s="757"/>
      <c r="AE520" s="757"/>
      <c r="AF520" s="757"/>
      <c r="AG520" s="757"/>
      <c r="AH520" s="757"/>
      <c r="AI520" s="757"/>
      <c r="AJ520" s="757"/>
      <c r="AK520" s="757"/>
      <c r="AL520" s="757"/>
      <c r="AM520" s="757"/>
      <c r="AN520" s="757"/>
      <c r="AO520" s="757"/>
      <c r="AP520" s="757"/>
      <c r="AQ520" s="757"/>
      <c r="AR520" s="757"/>
      <c r="AS520" s="757"/>
      <c r="AT520" s="757"/>
      <c r="AU520" s="757"/>
      <c r="AV520" s="757"/>
      <c r="AW520" s="757"/>
      <c r="AX520" s="757"/>
      <c r="AY520" s="757"/>
      <c r="AZ520" s="75"/>
      <c r="BA520" s="2"/>
      <c r="BB520" s="2"/>
      <c r="BC520" s="2"/>
      <c r="BD520" s="2"/>
    </row>
    <row r="521" spans="1:56">
      <c r="A521" s="781">
        <v>2</v>
      </c>
      <c r="B521" s="782">
        <v>217</v>
      </c>
      <c r="C521" s="783"/>
      <c r="D521" s="783" t="s">
        <v>499</v>
      </c>
      <c r="E521" s="808">
        <v>500</v>
      </c>
      <c r="F521" s="799"/>
      <c r="G521" s="799"/>
      <c r="H521" s="1592">
        <f t="shared" si="21"/>
        <v>0</v>
      </c>
      <c r="I521" s="754" t="str">
        <f>IFERROR(VLOOKUP(B521,Mychart!$A$125:$B$911,2,FALSE),"-")</f>
        <v>MOHAMED MUHAIR . AREEJ</v>
      </c>
      <c r="J521" s="753" t="str">
        <f t="shared" si="22"/>
        <v>-</v>
      </c>
      <c r="K521" s="1540">
        <f t="shared" si="23"/>
        <v>1900</v>
      </c>
      <c r="L521" s="757"/>
      <c r="M521" s="757"/>
      <c r="N521" s="757"/>
      <c r="O521" s="757"/>
      <c r="P521" s="757"/>
      <c r="Q521" s="757"/>
      <c r="R521" s="757"/>
      <c r="S521" s="757"/>
      <c r="T521" s="757"/>
      <c r="U521" s="757"/>
      <c r="V521" s="757"/>
      <c r="W521" s="757"/>
      <c r="X521" s="757"/>
      <c r="Y521" s="757"/>
      <c r="Z521" s="757"/>
      <c r="AA521" s="757"/>
      <c r="AB521" s="757"/>
      <c r="AC521" s="757"/>
      <c r="AD521" s="757"/>
      <c r="AE521" s="757"/>
      <c r="AF521" s="757"/>
      <c r="AG521" s="757"/>
      <c r="AH521" s="757"/>
      <c r="AI521" s="757"/>
      <c r="AJ521" s="757"/>
      <c r="AK521" s="757"/>
      <c r="AL521" s="757"/>
      <c r="AM521" s="757"/>
      <c r="AN521" s="757"/>
      <c r="AO521" s="757"/>
      <c r="AP521" s="757"/>
      <c r="AQ521" s="757"/>
      <c r="AR521" s="757"/>
      <c r="AS521" s="757"/>
      <c r="AT521" s="757"/>
      <c r="AU521" s="757"/>
      <c r="AV521" s="757"/>
      <c r="AW521" s="757"/>
      <c r="AX521" s="757"/>
      <c r="AY521" s="757"/>
      <c r="AZ521" s="75"/>
      <c r="BA521" s="2"/>
      <c r="BB521" s="2"/>
      <c r="BC521" s="2"/>
      <c r="BD521" s="2"/>
    </row>
    <row r="522" spans="1:56">
      <c r="A522" s="781">
        <v>2</v>
      </c>
      <c r="B522" s="782">
        <v>217</v>
      </c>
      <c r="C522" s="783"/>
      <c r="D522" s="783" t="s">
        <v>178</v>
      </c>
      <c r="E522" s="808">
        <v>500</v>
      </c>
      <c r="F522" s="799"/>
      <c r="G522" s="799"/>
      <c r="H522" s="1592">
        <f t="shared" si="21"/>
        <v>0</v>
      </c>
      <c r="I522" s="754" t="str">
        <f>IFERROR(VLOOKUP(B522,Mychart!$A$125:$B$911,2,FALSE),"-")</f>
        <v>MOHAMED MUHAIR . AREEJ</v>
      </c>
      <c r="J522" s="753" t="str">
        <f t="shared" si="22"/>
        <v>-</v>
      </c>
      <c r="K522" s="1540">
        <f t="shared" si="23"/>
        <v>1900</v>
      </c>
      <c r="L522" s="757"/>
      <c r="M522" s="757"/>
      <c r="N522" s="757"/>
      <c r="O522" s="757"/>
      <c r="P522" s="757"/>
      <c r="Q522" s="757"/>
      <c r="R522" s="757"/>
      <c r="S522" s="757"/>
      <c r="T522" s="757"/>
      <c r="U522" s="757"/>
      <c r="V522" s="757"/>
      <c r="W522" s="757"/>
      <c r="X522" s="757"/>
      <c r="Y522" s="757"/>
      <c r="Z522" s="757"/>
      <c r="AA522" s="757"/>
      <c r="AB522" s="757"/>
      <c r="AC522" s="757"/>
      <c r="AD522" s="757"/>
      <c r="AE522" s="757"/>
      <c r="AF522" s="757"/>
      <c r="AG522" s="757"/>
      <c r="AH522" s="757"/>
      <c r="AI522" s="757"/>
      <c r="AJ522" s="757"/>
      <c r="AK522" s="757"/>
      <c r="AL522" s="757"/>
      <c r="AM522" s="757"/>
      <c r="AN522" s="757"/>
      <c r="AO522" s="757"/>
      <c r="AP522" s="757"/>
      <c r="AQ522" s="757"/>
      <c r="AR522" s="757"/>
      <c r="AS522" s="757"/>
      <c r="AT522" s="757"/>
      <c r="AU522" s="757"/>
      <c r="AV522" s="757"/>
      <c r="AW522" s="757"/>
      <c r="AX522" s="757"/>
      <c r="AY522" s="757"/>
      <c r="AZ522" s="75"/>
      <c r="BA522" s="2"/>
      <c r="BB522" s="2"/>
      <c r="BC522" s="2"/>
      <c r="BD522" s="2"/>
    </row>
    <row r="523" spans="1:56">
      <c r="A523" s="781">
        <v>2</v>
      </c>
      <c r="B523" s="782">
        <v>217</v>
      </c>
      <c r="C523" s="783"/>
      <c r="D523" s="783" t="s">
        <v>655</v>
      </c>
      <c r="E523" s="808">
        <v>60</v>
      </c>
      <c r="F523" s="799"/>
      <c r="G523" s="799"/>
      <c r="H523" s="1592">
        <f t="shared" ref="H523:H586" si="24">F523+G523</f>
        <v>0</v>
      </c>
      <c r="I523" s="754" t="str">
        <f>IFERROR(VLOOKUP(B523,Mychart!$A$125:$B$911,2,FALSE),"-")</f>
        <v>MOHAMED MUHAIR . AREEJ</v>
      </c>
      <c r="J523" s="753" t="str">
        <f t="shared" ref="J523:J586" si="25">IF(C523&lt;&gt;"", MONTH(C523),"-")</f>
        <v>-</v>
      </c>
      <c r="K523" s="1540">
        <f t="shared" ref="K523:K586" si="26">YEAR(C523)</f>
        <v>1900</v>
      </c>
      <c r="L523" s="757"/>
      <c r="M523" s="757"/>
      <c r="N523" s="757"/>
      <c r="O523" s="757"/>
      <c r="P523" s="757"/>
      <c r="Q523" s="757"/>
      <c r="R523" s="757"/>
      <c r="S523" s="757"/>
      <c r="T523" s="757"/>
      <c r="U523" s="757"/>
      <c r="V523" s="757"/>
      <c r="W523" s="757"/>
      <c r="X523" s="757"/>
      <c r="Y523" s="757"/>
      <c r="Z523" s="757"/>
      <c r="AA523" s="757"/>
      <c r="AB523" s="757"/>
      <c r="AC523" s="757"/>
      <c r="AD523" s="757"/>
      <c r="AE523" s="757"/>
      <c r="AF523" s="757"/>
      <c r="AG523" s="757"/>
      <c r="AH523" s="757"/>
      <c r="AI523" s="757"/>
      <c r="AJ523" s="757"/>
      <c r="AK523" s="757"/>
      <c r="AL523" s="757"/>
      <c r="AM523" s="757"/>
      <c r="AN523" s="757"/>
      <c r="AO523" s="757"/>
      <c r="AP523" s="757"/>
      <c r="AQ523" s="757"/>
      <c r="AR523" s="757"/>
      <c r="AS523" s="757"/>
      <c r="AT523" s="757"/>
      <c r="AU523" s="757"/>
      <c r="AV523" s="757"/>
      <c r="AW523" s="757"/>
      <c r="AX523" s="757"/>
      <c r="AY523" s="757"/>
      <c r="AZ523" s="75"/>
      <c r="BA523" s="2"/>
      <c r="BB523" s="2"/>
      <c r="BC523" s="2"/>
      <c r="BD523" s="2"/>
    </row>
    <row r="524" spans="1:56">
      <c r="A524" s="781">
        <v>2</v>
      </c>
      <c r="B524" s="782">
        <v>217</v>
      </c>
      <c r="C524" s="783"/>
      <c r="D524" s="783" t="s">
        <v>655</v>
      </c>
      <c r="E524" s="808">
        <v>414</v>
      </c>
      <c r="F524" s="799"/>
      <c r="G524" s="799"/>
      <c r="H524" s="1592">
        <f t="shared" si="24"/>
        <v>0</v>
      </c>
      <c r="I524" s="754" t="str">
        <f>IFERROR(VLOOKUP(B524,Mychart!$A$125:$B$911,2,FALSE),"-")</f>
        <v>MOHAMED MUHAIR . AREEJ</v>
      </c>
      <c r="J524" s="753" t="str">
        <f t="shared" si="25"/>
        <v>-</v>
      </c>
      <c r="K524" s="1540">
        <f t="shared" si="26"/>
        <v>1900</v>
      </c>
      <c r="L524" s="757"/>
      <c r="M524" s="757"/>
      <c r="N524" s="757"/>
      <c r="O524" s="757"/>
      <c r="P524" s="757"/>
      <c r="Q524" s="757"/>
      <c r="R524" s="757"/>
      <c r="S524" s="757"/>
      <c r="T524" s="757"/>
      <c r="U524" s="757"/>
      <c r="V524" s="757"/>
      <c r="W524" s="757"/>
      <c r="X524" s="757"/>
      <c r="Y524" s="757"/>
      <c r="Z524" s="757"/>
      <c r="AA524" s="757"/>
      <c r="AB524" s="757"/>
      <c r="AC524" s="757"/>
      <c r="AD524" s="757"/>
      <c r="AE524" s="757"/>
      <c r="AF524" s="757"/>
      <c r="AG524" s="757"/>
      <c r="AH524" s="757"/>
      <c r="AI524" s="757"/>
      <c r="AJ524" s="757"/>
      <c r="AK524" s="757"/>
      <c r="AL524" s="757"/>
      <c r="AM524" s="757"/>
      <c r="AN524" s="757"/>
      <c r="AO524" s="757"/>
      <c r="AP524" s="757"/>
      <c r="AQ524" s="757"/>
      <c r="AR524" s="757"/>
      <c r="AS524" s="757"/>
      <c r="AT524" s="757"/>
      <c r="AU524" s="757"/>
      <c r="AV524" s="757"/>
      <c r="AW524" s="757"/>
      <c r="AX524" s="757"/>
      <c r="AY524" s="757"/>
      <c r="AZ524" s="75"/>
      <c r="BA524" s="2"/>
      <c r="BB524" s="2"/>
      <c r="BC524" s="2"/>
      <c r="BD524" s="2"/>
    </row>
    <row r="525" spans="1:56">
      <c r="A525" s="781">
        <v>2</v>
      </c>
      <c r="B525" s="782">
        <v>217</v>
      </c>
      <c r="C525" s="783">
        <v>45291</v>
      </c>
      <c r="D525" s="783" t="s">
        <v>178</v>
      </c>
      <c r="E525" s="808">
        <v>2665</v>
      </c>
      <c r="F525" s="799"/>
      <c r="G525" s="799"/>
      <c r="H525" s="1592">
        <f t="shared" si="24"/>
        <v>0</v>
      </c>
      <c r="I525" s="754" t="str">
        <f>IFERROR(VLOOKUP(B525,Mychart!$A$125:$B$911,2,FALSE),"-")</f>
        <v>MOHAMED MUHAIR . AREEJ</v>
      </c>
      <c r="J525" s="753">
        <f t="shared" si="25"/>
        <v>12</v>
      </c>
      <c r="K525" s="1540">
        <f t="shared" si="26"/>
        <v>2023</v>
      </c>
      <c r="L525" s="757"/>
      <c r="M525" s="757"/>
      <c r="N525" s="757"/>
      <c r="O525" s="757"/>
      <c r="P525" s="757"/>
      <c r="Q525" s="757"/>
      <c r="R525" s="757"/>
      <c r="S525" s="757"/>
      <c r="T525" s="757"/>
      <c r="U525" s="757"/>
      <c r="V525" s="757"/>
      <c r="W525" s="757"/>
      <c r="X525" s="757"/>
      <c r="Y525" s="757"/>
      <c r="Z525" s="757"/>
      <c r="AA525" s="757"/>
      <c r="AB525" s="757"/>
      <c r="AC525" s="757"/>
      <c r="AD525" s="757"/>
      <c r="AE525" s="757"/>
      <c r="AF525" s="757"/>
      <c r="AG525" s="757"/>
      <c r="AH525" s="757"/>
      <c r="AI525" s="757"/>
      <c r="AJ525" s="757"/>
      <c r="AK525" s="757"/>
      <c r="AL525" s="757"/>
      <c r="AM525" s="757"/>
      <c r="AN525" s="757"/>
      <c r="AO525" s="757"/>
      <c r="AP525" s="757"/>
      <c r="AQ525" s="757"/>
      <c r="AR525" s="757"/>
      <c r="AS525" s="757"/>
      <c r="AT525" s="757"/>
      <c r="AU525" s="757"/>
      <c r="AV525" s="757"/>
      <c r="AW525" s="757"/>
      <c r="AX525" s="757"/>
      <c r="AY525" s="757"/>
      <c r="AZ525" s="75"/>
      <c r="BA525" s="2"/>
      <c r="BB525" s="2"/>
      <c r="BC525" s="2"/>
      <c r="BD525" s="2"/>
    </row>
    <row r="526" spans="1:56">
      <c r="A526" s="781">
        <v>2</v>
      </c>
      <c r="B526" s="782">
        <v>217</v>
      </c>
      <c r="C526" s="783">
        <v>45322</v>
      </c>
      <c r="D526" s="783" t="s">
        <v>178</v>
      </c>
      <c r="E526" s="808">
        <v>3700</v>
      </c>
      <c r="F526" s="799"/>
      <c r="G526" s="799"/>
      <c r="H526" s="1592">
        <f t="shared" si="24"/>
        <v>0</v>
      </c>
      <c r="I526" s="754" t="str">
        <f>IFERROR(VLOOKUP(B526,Mychart!$A$125:$B$911,2,FALSE),"-")</f>
        <v>MOHAMED MUHAIR . AREEJ</v>
      </c>
      <c r="J526" s="753">
        <f t="shared" si="25"/>
        <v>1</v>
      </c>
      <c r="K526" s="1540">
        <f t="shared" si="26"/>
        <v>2024</v>
      </c>
      <c r="L526" s="757"/>
      <c r="M526" s="757"/>
      <c r="N526" s="757"/>
      <c r="O526" s="757"/>
      <c r="P526" s="757"/>
      <c r="Q526" s="757"/>
      <c r="R526" s="757"/>
      <c r="S526" s="757"/>
      <c r="T526" s="757"/>
      <c r="U526" s="757"/>
      <c r="V526" s="757"/>
      <c r="W526" s="757"/>
      <c r="X526" s="757"/>
      <c r="Y526" s="757"/>
      <c r="Z526" s="757"/>
      <c r="AA526" s="757"/>
      <c r="AB526" s="757"/>
      <c r="AC526" s="757"/>
      <c r="AD526" s="757"/>
      <c r="AE526" s="757"/>
      <c r="AF526" s="757"/>
      <c r="AG526" s="757"/>
      <c r="AH526" s="757"/>
      <c r="AI526" s="757"/>
      <c r="AJ526" s="757"/>
      <c r="AK526" s="757"/>
      <c r="AL526" s="757"/>
      <c r="AM526" s="757"/>
      <c r="AN526" s="757"/>
      <c r="AO526" s="757"/>
      <c r="AP526" s="757"/>
      <c r="AQ526" s="757"/>
      <c r="AR526" s="757"/>
      <c r="AS526" s="757"/>
      <c r="AT526" s="757"/>
      <c r="AU526" s="757"/>
      <c r="AV526" s="757"/>
      <c r="AW526" s="757"/>
      <c r="AX526" s="757"/>
      <c r="AY526" s="757"/>
      <c r="AZ526" s="75"/>
      <c r="BA526" s="2"/>
      <c r="BB526" s="2"/>
      <c r="BC526" s="2"/>
      <c r="BD526" s="2"/>
    </row>
    <row r="527" spans="1:56">
      <c r="A527" s="781">
        <v>2</v>
      </c>
      <c r="B527" s="782">
        <v>217</v>
      </c>
      <c r="C527" s="783">
        <v>45351</v>
      </c>
      <c r="D527" s="783" t="s">
        <v>178</v>
      </c>
      <c r="E527" s="808">
        <v>449</v>
      </c>
      <c r="F527" s="799"/>
      <c r="G527" s="799"/>
      <c r="H527" s="1592">
        <f t="shared" si="24"/>
        <v>0</v>
      </c>
      <c r="I527" s="754" t="str">
        <f>IFERROR(VLOOKUP(B527,Mychart!$A$125:$B$911,2,FALSE),"-")</f>
        <v>MOHAMED MUHAIR . AREEJ</v>
      </c>
      <c r="J527" s="753">
        <f t="shared" si="25"/>
        <v>2</v>
      </c>
      <c r="K527" s="1540">
        <f t="shared" si="26"/>
        <v>2024</v>
      </c>
      <c r="L527" s="757"/>
      <c r="M527" s="757"/>
      <c r="N527" s="757"/>
      <c r="O527" s="757"/>
      <c r="P527" s="757"/>
      <c r="Q527" s="757"/>
      <c r="R527" s="757"/>
      <c r="S527" s="757"/>
      <c r="T527" s="757"/>
      <c r="U527" s="757"/>
      <c r="V527" s="757"/>
      <c r="W527" s="757"/>
      <c r="X527" s="757"/>
      <c r="Y527" s="757"/>
      <c r="Z527" s="757"/>
      <c r="AA527" s="757"/>
      <c r="AB527" s="757"/>
      <c r="AC527" s="757"/>
      <c r="AD527" s="757"/>
      <c r="AE527" s="757"/>
      <c r="AF527" s="757"/>
      <c r="AG527" s="757"/>
      <c r="AH527" s="757"/>
      <c r="AI527" s="757"/>
      <c r="AJ527" s="757"/>
      <c r="AK527" s="757"/>
      <c r="AL527" s="757"/>
      <c r="AM527" s="757"/>
      <c r="AN527" s="757"/>
      <c r="AO527" s="757"/>
      <c r="AP527" s="757"/>
      <c r="AQ527" s="757"/>
      <c r="AR527" s="757"/>
      <c r="AS527" s="757"/>
      <c r="AT527" s="757"/>
      <c r="AU527" s="757"/>
      <c r="AV527" s="757"/>
      <c r="AW527" s="757"/>
      <c r="AX527" s="757"/>
      <c r="AY527" s="757"/>
      <c r="AZ527" s="75"/>
      <c r="BA527" s="2"/>
      <c r="BB527" s="2"/>
      <c r="BC527" s="2"/>
      <c r="BD527" s="2"/>
    </row>
    <row r="528" spans="1:56">
      <c r="A528" s="781">
        <v>2</v>
      </c>
      <c r="B528" s="782">
        <v>217</v>
      </c>
      <c r="C528" s="783">
        <v>45382</v>
      </c>
      <c r="D528" s="783" t="s">
        <v>178</v>
      </c>
      <c r="E528" s="808">
        <v>105</v>
      </c>
      <c r="F528" s="799"/>
      <c r="G528" s="799"/>
      <c r="H528" s="1592">
        <f t="shared" si="24"/>
        <v>0</v>
      </c>
      <c r="I528" s="754" t="str">
        <f>IFERROR(VLOOKUP(B528,Mychart!$A$125:$B$911,2,FALSE),"-")</f>
        <v>MOHAMED MUHAIR . AREEJ</v>
      </c>
      <c r="J528" s="753">
        <f t="shared" si="25"/>
        <v>3</v>
      </c>
      <c r="K528" s="1540">
        <f t="shared" si="26"/>
        <v>2024</v>
      </c>
      <c r="L528" s="757"/>
      <c r="M528" s="757"/>
      <c r="N528" s="757"/>
      <c r="O528" s="757"/>
      <c r="P528" s="757"/>
      <c r="Q528" s="757"/>
      <c r="R528" s="757"/>
      <c r="S528" s="757"/>
      <c r="T528" s="757"/>
      <c r="U528" s="757"/>
      <c r="V528" s="757"/>
      <c r="W528" s="757"/>
      <c r="X528" s="757"/>
      <c r="Y528" s="757"/>
      <c r="Z528" s="757"/>
      <c r="AA528" s="757"/>
      <c r="AB528" s="757"/>
      <c r="AC528" s="757"/>
      <c r="AD528" s="757"/>
      <c r="AE528" s="757"/>
      <c r="AF528" s="757"/>
      <c r="AG528" s="757"/>
      <c r="AH528" s="757"/>
      <c r="AI528" s="757"/>
      <c r="AJ528" s="757"/>
      <c r="AK528" s="757"/>
      <c r="AL528" s="757"/>
      <c r="AM528" s="757"/>
      <c r="AN528" s="757"/>
      <c r="AO528" s="757"/>
      <c r="AP528" s="757"/>
      <c r="AQ528" s="757"/>
      <c r="AR528" s="757"/>
      <c r="AS528" s="757"/>
      <c r="AT528" s="757"/>
      <c r="AU528" s="757"/>
      <c r="AV528" s="757"/>
      <c r="AW528" s="757"/>
      <c r="AX528" s="757"/>
      <c r="AY528" s="757"/>
      <c r="AZ528" s="75"/>
      <c r="BA528" s="2"/>
      <c r="BB528" s="2"/>
      <c r="BC528" s="2"/>
      <c r="BD528" s="2"/>
    </row>
    <row r="529" spans="1:56">
      <c r="A529" s="781">
        <v>2</v>
      </c>
      <c r="B529" s="782">
        <v>217</v>
      </c>
      <c r="C529" s="783">
        <v>45418</v>
      </c>
      <c r="D529" s="783" t="s">
        <v>224</v>
      </c>
      <c r="E529" s="808">
        <v>13371.75</v>
      </c>
      <c r="F529" s="799"/>
      <c r="G529" s="799"/>
      <c r="H529" s="1592">
        <f t="shared" si="24"/>
        <v>0</v>
      </c>
      <c r="I529" s="754" t="str">
        <f>IFERROR(VLOOKUP(B529,Mychart!$A$125:$B$911,2,FALSE),"-")</f>
        <v>MOHAMED MUHAIR . AREEJ</v>
      </c>
      <c r="J529" s="753">
        <f t="shared" si="25"/>
        <v>5</v>
      </c>
      <c r="K529" s="1540">
        <f t="shared" si="26"/>
        <v>2024</v>
      </c>
      <c r="L529" s="757"/>
      <c r="M529" s="757"/>
      <c r="N529" s="757"/>
      <c r="O529" s="757"/>
      <c r="P529" s="757"/>
      <c r="Q529" s="757"/>
      <c r="R529" s="757"/>
      <c r="S529" s="757"/>
      <c r="T529" s="757"/>
      <c r="U529" s="757"/>
      <c r="V529" s="757"/>
      <c r="W529" s="757"/>
      <c r="X529" s="757"/>
      <c r="Y529" s="757"/>
      <c r="Z529" s="757"/>
      <c r="AA529" s="757"/>
      <c r="AB529" s="757"/>
      <c r="AC529" s="757"/>
      <c r="AD529" s="757"/>
      <c r="AE529" s="757"/>
      <c r="AF529" s="757"/>
      <c r="AG529" s="757"/>
      <c r="AH529" s="757"/>
      <c r="AI529" s="757"/>
      <c r="AJ529" s="757"/>
      <c r="AK529" s="757"/>
      <c r="AL529" s="757"/>
      <c r="AM529" s="757"/>
      <c r="AN529" s="757"/>
      <c r="AO529" s="757"/>
      <c r="AP529" s="757"/>
      <c r="AQ529" s="757"/>
      <c r="AR529" s="757"/>
      <c r="AS529" s="757"/>
      <c r="AT529" s="757"/>
      <c r="AU529" s="757"/>
      <c r="AV529" s="757"/>
      <c r="AW529" s="757"/>
      <c r="AX529" s="757"/>
      <c r="AY529" s="757"/>
      <c r="AZ529" s="75"/>
      <c r="BA529" s="2"/>
      <c r="BB529" s="2"/>
      <c r="BC529" s="2"/>
      <c r="BD529" s="2"/>
    </row>
    <row r="530" spans="1:56">
      <c r="A530" s="781">
        <v>2</v>
      </c>
      <c r="B530" s="782">
        <v>217</v>
      </c>
      <c r="C530" s="783">
        <v>45418</v>
      </c>
      <c r="D530" s="783" t="s">
        <v>224</v>
      </c>
      <c r="E530" s="808">
        <v>32508</v>
      </c>
      <c r="F530" s="799"/>
      <c r="G530" s="799"/>
      <c r="H530" s="1592">
        <f t="shared" si="24"/>
        <v>0</v>
      </c>
      <c r="I530" s="754" t="str">
        <f>IFERROR(VLOOKUP(B530,Mychart!$A$125:$B$911,2,FALSE),"-")</f>
        <v>MOHAMED MUHAIR . AREEJ</v>
      </c>
      <c r="J530" s="753">
        <f t="shared" si="25"/>
        <v>5</v>
      </c>
      <c r="K530" s="1540">
        <f t="shared" si="26"/>
        <v>2024</v>
      </c>
      <c r="L530" s="757"/>
      <c r="M530" s="757"/>
      <c r="N530" s="757"/>
      <c r="O530" s="757"/>
      <c r="P530" s="757"/>
      <c r="Q530" s="757"/>
      <c r="R530" s="757"/>
      <c r="S530" s="757"/>
      <c r="T530" s="757"/>
      <c r="U530" s="757"/>
      <c r="V530" s="757"/>
      <c r="W530" s="757"/>
      <c r="X530" s="757"/>
      <c r="Y530" s="757"/>
      <c r="Z530" s="757"/>
      <c r="AA530" s="757"/>
      <c r="AB530" s="757"/>
      <c r="AC530" s="757"/>
      <c r="AD530" s="757"/>
      <c r="AE530" s="757"/>
      <c r="AF530" s="757"/>
      <c r="AG530" s="757"/>
      <c r="AH530" s="757"/>
      <c r="AI530" s="757"/>
      <c r="AJ530" s="757"/>
      <c r="AK530" s="757"/>
      <c r="AL530" s="757"/>
      <c r="AM530" s="757"/>
      <c r="AN530" s="757"/>
      <c r="AO530" s="757"/>
      <c r="AP530" s="757"/>
      <c r="AQ530" s="757"/>
      <c r="AR530" s="757"/>
      <c r="AS530" s="757"/>
      <c r="AT530" s="757"/>
      <c r="AU530" s="757"/>
      <c r="AV530" s="757"/>
      <c r="AW530" s="757"/>
      <c r="AX530" s="757"/>
      <c r="AY530" s="757"/>
      <c r="AZ530" s="75"/>
      <c r="BA530" s="2"/>
      <c r="BB530" s="2"/>
      <c r="BC530" s="2"/>
      <c r="BD530" s="2"/>
    </row>
    <row r="531" spans="1:56">
      <c r="A531" s="781">
        <v>2</v>
      </c>
      <c r="B531" s="782">
        <v>217</v>
      </c>
      <c r="C531" s="783">
        <v>45300</v>
      </c>
      <c r="D531" s="783" t="s">
        <v>224</v>
      </c>
      <c r="E531" s="808">
        <v>36891</v>
      </c>
      <c r="F531" s="799"/>
      <c r="G531" s="799"/>
      <c r="H531" s="1592">
        <f t="shared" si="24"/>
        <v>0</v>
      </c>
      <c r="I531" s="754" t="str">
        <f>IFERROR(VLOOKUP(B531,Mychart!$A$125:$B$911,2,FALSE),"-")</f>
        <v>MOHAMED MUHAIR . AREEJ</v>
      </c>
      <c r="J531" s="753">
        <f t="shared" si="25"/>
        <v>1</v>
      </c>
      <c r="K531" s="1540">
        <f t="shared" si="26"/>
        <v>2024</v>
      </c>
      <c r="L531" s="757"/>
      <c r="M531" s="757"/>
      <c r="N531" s="757"/>
      <c r="O531" s="757"/>
      <c r="P531" s="757"/>
      <c r="Q531" s="757"/>
      <c r="R531" s="757"/>
      <c r="S531" s="757"/>
      <c r="T531" s="757"/>
      <c r="U531" s="757"/>
      <c r="V531" s="757"/>
      <c r="W531" s="757"/>
      <c r="X531" s="757"/>
      <c r="Y531" s="757"/>
      <c r="Z531" s="757"/>
      <c r="AA531" s="757"/>
      <c r="AB531" s="757"/>
      <c r="AC531" s="757"/>
      <c r="AD531" s="757"/>
      <c r="AE531" s="757"/>
      <c r="AF531" s="757"/>
      <c r="AG531" s="757"/>
      <c r="AH531" s="757"/>
      <c r="AI531" s="757"/>
      <c r="AJ531" s="757"/>
      <c r="AK531" s="757"/>
      <c r="AL531" s="757"/>
      <c r="AM531" s="757"/>
      <c r="AN531" s="757"/>
      <c r="AO531" s="757"/>
      <c r="AP531" s="757"/>
      <c r="AQ531" s="757"/>
      <c r="AR531" s="757"/>
      <c r="AS531" s="757"/>
      <c r="AT531" s="757"/>
      <c r="AU531" s="757"/>
      <c r="AV531" s="757"/>
      <c r="AW531" s="757"/>
      <c r="AX531" s="757"/>
      <c r="AY531" s="757"/>
      <c r="AZ531" s="75"/>
      <c r="BA531" s="2"/>
      <c r="BB531" s="2"/>
      <c r="BC531" s="2"/>
      <c r="BD531" s="2"/>
    </row>
    <row r="532" spans="1:56">
      <c r="A532" s="781">
        <v>2</v>
      </c>
      <c r="B532" s="782">
        <v>217</v>
      </c>
      <c r="C532" s="783">
        <v>45412</v>
      </c>
      <c r="D532" s="783" t="s">
        <v>178</v>
      </c>
      <c r="E532" s="808">
        <v>2365</v>
      </c>
      <c r="F532" s="799"/>
      <c r="G532" s="799"/>
      <c r="H532" s="1592">
        <f t="shared" si="24"/>
        <v>0</v>
      </c>
      <c r="I532" s="754" t="str">
        <f>IFERROR(VLOOKUP(B532,Mychart!$A$125:$B$911,2,FALSE),"-")</f>
        <v>MOHAMED MUHAIR . AREEJ</v>
      </c>
      <c r="J532" s="753">
        <f t="shared" si="25"/>
        <v>4</v>
      </c>
      <c r="K532" s="1540">
        <f t="shared" si="26"/>
        <v>2024</v>
      </c>
      <c r="L532" s="757"/>
      <c r="M532" s="757"/>
      <c r="N532" s="757"/>
      <c r="O532" s="757"/>
      <c r="P532" s="757"/>
      <c r="Q532" s="757"/>
      <c r="R532" s="757"/>
      <c r="S532" s="757"/>
      <c r="T532" s="757"/>
      <c r="U532" s="757"/>
      <c r="V532" s="757"/>
      <c r="W532" s="757"/>
      <c r="X532" s="757"/>
      <c r="Y532" s="757"/>
      <c r="Z532" s="757"/>
      <c r="AA532" s="757"/>
      <c r="AB532" s="757"/>
      <c r="AC532" s="757"/>
      <c r="AD532" s="757"/>
      <c r="AE532" s="757"/>
      <c r="AF532" s="757"/>
      <c r="AG532" s="757"/>
      <c r="AH532" s="757"/>
      <c r="AI532" s="757"/>
      <c r="AJ532" s="757"/>
      <c r="AK532" s="757"/>
      <c r="AL532" s="757"/>
      <c r="AM532" s="757"/>
      <c r="AN532" s="757"/>
      <c r="AO532" s="757"/>
      <c r="AP532" s="757"/>
      <c r="AQ532" s="757"/>
      <c r="AR532" s="757"/>
      <c r="AS532" s="757"/>
      <c r="AT532" s="757"/>
      <c r="AU532" s="757"/>
      <c r="AV532" s="757"/>
      <c r="AW532" s="757"/>
      <c r="AX532" s="757"/>
      <c r="AY532" s="757"/>
      <c r="AZ532" s="75"/>
      <c r="BA532" s="2"/>
      <c r="BB532" s="2"/>
      <c r="BC532" s="2"/>
      <c r="BD532" s="2"/>
    </row>
    <row r="533" spans="1:56">
      <c r="A533" s="781">
        <v>2</v>
      </c>
      <c r="B533" s="782">
        <v>217</v>
      </c>
      <c r="C533" s="783">
        <v>45443</v>
      </c>
      <c r="D533" s="783" t="s">
        <v>177</v>
      </c>
      <c r="E533" s="808">
        <v>1075</v>
      </c>
      <c r="F533" s="799"/>
      <c r="G533" s="799"/>
      <c r="H533" s="1592">
        <f t="shared" si="24"/>
        <v>0</v>
      </c>
      <c r="I533" s="754" t="str">
        <f>IFERROR(VLOOKUP(B533,Mychart!$A$125:$B$911,2,FALSE),"-")</f>
        <v>MOHAMED MUHAIR . AREEJ</v>
      </c>
      <c r="J533" s="753">
        <f t="shared" si="25"/>
        <v>5</v>
      </c>
      <c r="K533" s="1540">
        <f t="shared" si="26"/>
        <v>2024</v>
      </c>
      <c r="L533" s="757"/>
      <c r="M533" s="757"/>
      <c r="N533" s="757"/>
      <c r="O533" s="757"/>
      <c r="P533" s="757"/>
      <c r="Q533" s="757"/>
      <c r="R533" s="757"/>
      <c r="S533" s="757"/>
      <c r="T533" s="757"/>
      <c r="U533" s="757"/>
      <c r="V533" s="757"/>
      <c r="W533" s="757"/>
      <c r="X533" s="757"/>
      <c r="Y533" s="757"/>
      <c r="Z533" s="757"/>
      <c r="AA533" s="757"/>
      <c r="AB533" s="757"/>
      <c r="AC533" s="757"/>
      <c r="AD533" s="757"/>
      <c r="AE533" s="757"/>
      <c r="AF533" s="757"/>
      <c r="AG533" s="757"/>
      <c r="AH533" s="757"/>
      <c r="AI533" s="757"/>
      <c r="AJ533" s="757"/>
      <c r="AK533" s="757"/>
      <c r="AL533" s="757"/>
      <c r="AM533" s="757"/>
      <c r="AN533" s="757"/>
      <c r="AO533" s="757"/>
      <c r="AP533" s="757"/>
      <c r="AQ533" s="757"/>
      <c r="AR533" s="757"/>
      <c r="AS533" s="757"/>
      <c r="AT533" s="757"/>
      <c r="AU533" s="757"/>
      <c r="AV533" s="757"/>
      <c r="AW533" s="757"/>
      <c r="AX533" s="757"/>
      <c r="AY533" s="757"/>
      <c r="AZ533" s="75"/>
      <c r="BA533" s="2"/>
      <c r="BB533" s="2"/>
      <c r="BC533" s="2"/>
      <c r="BD533" s="2"/>
    </row>
    <row r="534" spans="1:56">
      <c r="A534" s="781">
        <v>2</v>
      </c>
      <c r="B534" s="782">
        <v>217</v>
      </c>
      <c r="C534" s="783" t="s">
        <v>656</v>
      </c>
      <c r="D534" s="783" t="s">
        <v>655</v>
      </c>
      <c r="E534" s="808">
        <v>704.72</v>
      </c>
      <c r="F534" s="799"/>
      <c r="G534" s="799"/>
      <c r="H534" s="1592">
        <f t="shared" si="24"/>
        <v>0</v>
      </c>
      <c r="I534" s="754" t="str">
        <f>IFERROR(VLOOKUP(B534,Mychart!$A$125:$B$911,2,FALSE),"-")</f>
        <v>MOHAMED MUHAIR . AREEJ</v>
      </c>
      <c r="J534" s="753">
        <f t="shared" si="25"/>
        <v>1</v>
      </c>
      <c r="K534" s="1540">
        <f t="shared" si="26"/>
        <v>2024</v>
      </c>
      <c r="L534" s="757"/>
      <c r="M534" s="757"/>
      <c r="N534" s="757"/>
      <c r="O534" s="757"/>
      <c r="P534" s="757"/>
      <c r="Q534" s="757"/>
      <c r="R534" s="757"/>
      <c r="S534" s="757"/>
      <c r="T534" s="757"/>
      <c r="U534" s="757"/>
      <c r="V534" s="757"/>
      <c r="W534" s="757"/>
      <c r="X534" s="757"/>
      <c r="Y534" s="757"/>
      <c r="Z534" s="757"/>
      <c r="AA534" s="757"/>
      <c r="AB534" s="757"/>
      <c r="AC534" s="757"/>
      <c r="AD534" s="757"/>
      <c r="AE534" s="757"/>
      <c r="AF534" s="757"/>
      <c r="AG534" s="757"/>
      <c r="AH534" s="757"/>
      <c r="AI534" s="757"/>
      <c r="AJ534" s="757"/>
      <c r="AK534" s="757"/>
      <c r="AL534" s="757"/>
      <c r="AM534" s="757"/>
      <c r="AN534" s="757"/>
      <c r="AO534" s="757"/>
      <c r="AP534" s="757"/>
      <c r="AQ534" s="757"/>
      <c r="AR534" s="757"/>
      <c r="AS534" s="757"/>
      <c r="AT534" s="757"/>
      <c r="AU534" s="757"/>
      <c r="AV534" s="757"/>
      <c r="AW534" s="757"/>
      <c r="AX534" s="757"/>
      <c r="AY534" s="757"/>
      <c r="AZ534" s="75"/>
      <c r="BA534" s="2"/>
      <c r="BB534" s="2"/>
      <c r="BC534" s="2"/>
      <c r="BD534" s="2"/>
    </row>
    <row r="535" spans="1:56">
      <c r="A535" s="781">
        <v>1</v>
      </c>
      <c r="B535" s="782">
        <v>213</v>
      </c>
      <c r="C535" s="783">
        <v>44888</v>
      </c>
      <c r="D535" s="786" t="s">
        <v>661</v>
      </c>
      <c r="E535" s="807"/>
      <c r="F535" s="798">
        <v>74000</v>
      </c>
      <c r="G535" s="798">
        <v>3700</v>
      </c>
      <c r="H535" s="1592">
        <f t="shared" si="24"/>
        <v>77700</v>
      </c>
      <c r="I535" s="754" t="str">
        <f>IFERROR(VLOOKUP(B535,Mychart!$A$125:$B$911,2,FALSE),"-")</f>
        <v>MOZA - IBTESAM</v>
      </c>
      <c r="J535" s="753">
        <f t="shared" si="25"/>
        <v>11</v>
      </c>
      <c r="K535" s="1540">
        <f t="shared" si="26"/>
        <v>2022</v>
      </c>
      <c r="L535" s="757"/>
      <c r="M535" s="757"/>
      <c r="N535" s="757"/>
      <c r="O535" s="757"/>
      <c r="P535" s="757"/>
      <c r="Q535" s="757"/>
      <c r="R535" s="757"/>
      <c r="S535" s="757"/>
      <c r="T535" s="757"/>
      <c r="U535" s="757"/>
      <c r="V535" s="757"/>
      <c r="W535" s="757"/>
      <c r="X535" s="757"/>
      <c r="Y535" s="757"/>
      <c r="Z535" s="757"/>
      <c r="AA535" s="757"/>
      <c r="AB535" s="757"/>
      <c r="AC535" s="757"/>
      <c r="AD535" s="757"/>
      <c r="AE535" s="757"/>
      <c r="AF535" s="757"/>
      <c r="AG535" s="757"/>
      <c r="AH535" s="757"/>
      <c r="AI535" s="757"/>
      <c r="AJ535" s="757"/>
      <c r="AK535" s="757"/>
      <c r="AL535" s="757"/>
      <c r="AM535" s="757"/>
      <c r="AN535" s="757"/>
      <c r="AO535" s="757"/>
      <c r="AP535" s="757"/>
      <c r="AQ535" s="757"/>
      <c r="AR535" s="757"/>
      <c r="AS535" s="757"/>
      <c r="AT535" s="757"/>
      <c r="AU535" s="757"/>
      <c r="AV535" s="757"/>
      <c r="AW535" s="757"/>
      <c r="AX535" s="757"/>
      <c r="AY535" s="757"/>
      <c r="AZ535" s="75"/>
      <c r="BA535" s="2"/>
      <c r="BB535" s="2"/>
      <c r="BC535" s="2"/>
      <c r="BD535" s="2"/>
    </row>
    <row r="536" spans="1:56">
      <c r="A536" s="781">
        <v>1</v>
      </c>
      <c r="B536" s="782">
        <v>213</v>
      </c>
      <c r="C536" s="783">
        <v>45015</v>
      </c>
      <c r="D536" s="784" t="s">
        <v>662</v>
      </c>
      <c r="E536" s="807"/>
      <c r="F536" s="798">
        <v>55500</v>
      </c>
      <c r="G536" s="798">
        <v>2775</v>
      </c>
      <c r="H536" s="1592">
        <f t="shared" si="24"/>
        <v>58275</v>
      </c>
      <c r="I536" s="754" t="str">
        <f>IFERROR(VLOOKUP(B536,Mychart!$A$125:$B$911,2,FALSE),"-")</f>
        <v>MOZA - IBTESAM</v>
      </c>
      <c r="J536" s="753">
        <f t="shared" si="25"/>
        <v>3</v>
      </c>
      <c r="K536" s="1540">
        <f t="shared" si="26"/>
        <v>2023</v>
      </c>
      <c r="L536" s="757"/>
      <c r="M536" s="757"/>
      <c r="N536" s="757"/>
      <c r="O536" s="757"/>
      <c r="P536" s="757"/>
      <c r="Q536" s="757"/>
      <c r="R536" s="757"/>
      <c r="S536" s="757"/>
      <c r="T536" s="757"/>
      <c r="U536" s="757"/>
      <c r="V536" s="757"/>
      <c r="W536" s="757"/>
      <c r="X536" s="757"/>
      <c r="Y536" s="757"/>
      <c r="Z536" s="757"/>
      <c r="AA536" s="757"/>
      <c r="AB536" s="757"/>
      <c r="AC536" s="757"/>
      <c r="AD536" s="757"/>
      <c r="AE536" s="757"/>
      <c r="AF536" s="757"/>
      <c r="AG536" s="757"/>
      <c r="AH536" s="757"/>
      <c r="AI536" s="757"/>
      <c r="AJ536" s="757"/>
      <c r="AK536" s="757"/>
      <c r="AL536" s="757"/>
      <c r="AM536" s="757"/>
      <c r="AN536" s="757"/>
      <c r="AO536" s="757"/>
      <c r="AP536" s="757"/>
      <c r="AQ536" s="757"/>
      <c r="AR536" s="757"/>
      <c r="AS536" s="757"/>
      <c r="AT536" s="757"/>
      <c r="AU536" s="757"/>
      <c r="AV536" s="757"/>
      <c r="AW536" s="757"/>
      <c r="AX536" s="757"/>
      <c r="AY536" s="757"/>
      <c r="AZ536" s="75"/>
      <c r="BA536" s="2"/>
      <c r="BB536" s="2"/>
      <c r="BC536" s="2"/>
      <c r="BD536" s="2"/>
    </row>
    <row r="537" spans="1:56">
      <c r="A537" s="781">
        <v>1</v>
      </c>
      <c r="B537" s="782">
        <v>213</v>
      </c>
      <c r="C537" s="783">
        <v>45081</v>
      </c>
      <c r="D537" s="784" t="s">
        <v>663</v>
      </c>
      <c r="E537" s="807"/>
      <c r="F537" s="798">
        <v>197857.5</v>
      </c>
      <c r="G537" s="798">
        <v>9892.875</v>
      </c>
      <c r="H537" s="1592">
        <f t="shared" si="24"/>
        <v>207750.375</v>
      </c>
      <c r="I537" s="754" t="str">
        <f>IFERROR(VLOOKUP(B537,Mychart!$A$125:$B$911,2,FALSE),"-")</f>
        <v>MOZA - IBTESAM</v>
      </c>
      <c r="J537" s="753">
        <f t="shared" si="25"/>
        <v>6</v>
      </c>
      <c r="K537" s="1540">
        <f t="shared" si="26"/>
        <v>2023</v>
      </c>
      <c r="L537" s="757"/>
      <c r="M537" s="757"/>
      <c r="N537" s="757"/>
      <c r="O537" s="757"/>
      <c r="P537" s="757"/>
      <c r="Q537" s="757"/>
      <c r="R537" s="757"/>
      <c r="S537" s="757"/>
      <c r="T537" s="757"/>
      <c r="U537" s="757"/>
      <c r="V537" s="757"/>
      <c r="W537" s="757"/>
      <c r="X537" s="757"/>
      <c r="Y537" s="757"/>
      <c r="Z537" s="757"/>
      <c r="AA537" s="757"/>
      <c r="AB537" s="757"/>
      <c r="AC537" s="757"/>
      <c r="AD537" s="757"/>
      <c r="AE537" s="757"/>
      <c r="AF537" s="757"/>
      <c r="AG537" s="757"/>
      <c r="AH537" s="757"/>
      <c r="AI537" s="757"/>
      <c r="AJ537" s="757"/>
      <c r="AK537" s="757"/>
      <c r="AL537" s="757"/>
      <c r="AM537" s="757"/>
      <c r="AN537" s="757"/>
      <c r="AO537" s="757"/>
      <c r="AP537" s="757"/>
      <c r="AQ537" s="757"/>
      <c r="AR537" s="757"/>
      <c r="AS537" s="757"/>
      <c r="AT537" s="757"/>
      <c r="AU537" s="757"/>
      <c r="AV537" s="757"/>
      <c r="AW537" s="757"/>
      <c r="AX537" s="757"/>
      <c r="AY537" s="757"/>
      <c r="AZ537" s="75"/>
      <c r="BA537" s="2"/>
      <c r="BB537" s="2"/>
      <c r="BC537" s="2"/>
      <c r="BD537" s="2"/>
    </row>
    <row r="538" spans="1:56">
      <c r="A538" s="781">
        <v>1</v>
      </c>
      <c r="B538" s="782">
        <v>213</v>
      </c>
      <c r="C538" s="783">
        <v>45222</v>
      </c>
      <c r="D538" s="784" t="s">
        <v>664</v>
      </c>
      <c r="E538" s="807"/>
      <c r="F538" s="798">
        <v>19047</v>
      </c>
      <c r="G538" s="798">
        <v>953</v>
      </c>
      <c r="H538" s="1592">
        <f t="shared" si="24"/>
        <v>20000</v>
      </c>
      <c r="I538" s="754" t="str">
        <f>IFERROR(VLOOKUP(B538,Mychart!$A$125:$B$911,2,FALSE),"-")</f>
        <v>MOZA - IBTESAM</v>
      </c>
      <c r="J538" s="753">
        <f t="shared" si="25"/>
        <v>10</v>
      </c>
      <c r="K538" s="1540">
        <f t="shared" si="26"/>
        <v>2023</v>
      </c>
      <c r="L538" s="757"/>
      <c r="M538" s="757"/>
      <c r="N538" s="757"/>
      <c r="O538" s="757"/>
      <c r="P538" s="757"/>
      <c r="Q538" s="757"/>
      <c r="R538" s="757"/>
      <c r="S538" s="757"/>
      <c r="T538" s="757"/>
      <c r="U538" s="757"/>
      <c r="V538" s="757"/>
      <c r="W538" s="757"/>
      <c r="X538" s="757"/>
      <c r="Y538" s="757"/>
      <c r="Z538" s="757"/>
      <c r="AA538" s="757"/>
      <c r="AB538" s="757"/>
      <c r="AC538" s="757"/>
      <c r="AD538" s="757"/>
      <c r="AE538" s="757"/>
      <c r="AF538" s="757"/>
      <c r="AG538" s="757"/>
      <c r="AH538" s="757"/>
      <c r="AI538" s="757"/>
      <c r="AJ538" s="757"/>
      <c r="AK538" s="757"/>
      <c r="AL538" s="757"/>
      <c r="AM538" s="757"/>
      <c r="AN538" s="757"/>
      <c r="AO538" s="757"/>
      <c r="AP538" s="757"/>
      <c r="AQ538" s="757"/>
      <c r="AR538" s="757"/>
      <c r="AS538" s="757"/>
      <c r="AT538" s="757"/>
      <c r="AU538" s="757"/>
      <c r="AV538" s="757"/>
      <c r="AW538" s="757"/>
      <c r="AX538" s="757"/>
      <c r="AY538" s="757"/>
      <c r="AZ538" s="75"/>
      <c r="BA538" s="2"/>
      <c r="BB538" s="2"/>
      <c r="BC538" s="2"/>
      <c r="BD538" s="2"/>
    </row>
    <row r="539" spans="1:56">
      <c r="A539" s="781">
        <v>1</v>
      </c>
      <c r="B539" s="782">
        <v>213</v>
      </c>
      <c r="C539" s="783"/>
      <c r="D539" s="784" t="s">
        <v>252</v>
      </c>
      <c r="E539" s="807"/>
      <c r="F539" s="798">
        <v>30000</v>
      </c>
      <c r="G539" s="798">
        <v>1500</v>
      </c>
      <c r="H539" s="1592">
        <f t="shared" si="24"/>
        <v>31500</v>
      </c>
      <c r="I539" s="754" t="str">
        <f>IFERROR(VLOOKUP(B539,Mychart!$A$125:$B$911,2,FALSE),"-")</f>
        <v>MOZA - IBTESAM</v>
      </c>
      <c r="J539" s="753" t="str">
        <f t="shared" si="25"/>
        <v>-</v>
      </c>
      <c r="K539" s="1540">
        <f t="shared" si="26"/>
        <v>1900</v>
      </c>
      <c r="L539" s="757"/>
      <c r="M539" s="757"/>
      <c r="N539" s="757"/>
      <c r="O539" s="757"/>
      <c r="P539" s="757"/>
      <c r="Q539" s="757"/>
      <c r="R539" s="757"/>
      <c r="S539" s="757"/>
      <c r="T539" s="757"/>
      <c r="U539" s="757"/>
      <c r="V539" s="757"/>
      <c r="W539" s="757"/>
      <c r="X539" s="757"/>
      <c r="Y539" s="757"/>
      <c r="Z539" s="757"/>
      <c r="AA539" s="757"/>
      <c r="AB539" s="757"/>
      <c r="AC539" s="757"/>
      <c r="AD539" s="757"/>
      <c r="AE539" s="757"/>
      <c r="AF539" s="757"/>
      <c r="AG539" s="757"/>
      <c r="AH539" s="757"/>
      <c r="AI539" s="757"/>
      <c r="AJ539" s="757"/>
      <c r="AK539" s="757"/>
      <c r="AL539" s="757"/>
      <c r="AM539" s="757"/>
      <c r="AN539" s="757"/>
      <c r="AO539" s="757"/>
      <c r="AP539" s="757"/>
      <c r="AQ539" s="757"/>
      <c r="AR539" s="757"/>
      <c r="AS539" s="757"/>
      <c r="AT539" s="757"/>
      <c r="AU539" s="757"/>
      <c r="AV539" s="757"/>
      <c r="AW539" s="757"/>
      <c r="AX539" s="757"/>
      <c r="AY539" s="757"/>
      <c r="AZ539" s="75"/>
      <c r="BA539" s="2"/>
      <c r="BB539" s="2"/>
      <c r="BC539" s="2"/>
      <c r="BD539" s="2"/>
    </row>
    <row r="540" spans="1:56">
      <c r="A540" s="781">
        <v>2</v>
      </c>
      <c r="B540" s="782">
        <v>213</v>
      </c>
      <c r="C540" s="783">
        <v>45007</v>
      </c>
      <c r="D540" s="783" t="s">
        <v>581</v>
      </c>
      <c r="E540" s="808">
        <v>10473.75</v>
      </c>
      <c r="F540" s="799"/>
      <c r="G540" s="799"/>
      <c r="H540" s="1592">
        <f t="shared" si="24"/>
        <v>0</v>
      </c>
      <c r="I540" s="754" t="str">
        <f>IFERROR(VLOOKUP(B540,Mychart!$A$125:$B$911,2,FALSE),"-")</f>
        <v>MOZA - IBTESAM</v>
      </c>
      <c r="J540" s="753">
        <f t="shared" si="25"/>
        <v>3</v>
      </c>
      <c r="K540" s="1540">
        <f t="shared" si="26"/>
        <v>2023</v>
      </c>
      <c r="L540" s="757"/>
      <c r="M540" s="757"/>
      <c r="N540" s="757"/>
      <c r="O540" s="757"/>
      <c r="P540" s="757"/>
      <c r="Q540" s="757"/>
      <c r="R540" s="757"/>
      <c r="S540" s="757"/>
      <c r="T540" s="757"/>
      <c r="U540" s="757"/>
      <c r="V540" s="757"/>
      <c r="W540" s="757"/>
      <c r="X540" s="757"/>
      <c r="Y540" s="757"/>
      <c r="Z540" s="757"/>
      <c r="AA540" s="757"/>
      <c r="AB540" s="757"/>
      <c r="AC540" s="757"/>
      <c r="AD540" s="757"/>
      <c r="AE540" s="757"/>
      <c r="AF540" s="757"/>
      <c r="AG540" s="757"/>
      <c r="AH540" s="757"/>
      <c r="AI540" s="757"/>
      <c r="AJ540" s="757"/>
      <c r="AK540" s="757"/>
      <c r="AL540" s="757"/>
      <c r="AM540" s="757"/>
      <c r="AN540" s="757"/>
      <c r="AO540" s="757"/>
      <c r="AP540" s="757"/>
      <c r="AQ540" s="757"/>
      <c r="AR540" s="757"/>
      <c r="AS540" s="757"/>
      <c r="AT540" s="757"/>
      <c r="AU540" s="757"/>
      <c r="AV540" s="757"/>
      <c r="AW540" s="757"/>
      <c r="AX540" s="757"/>
      <c r="AY540" s="757"/>
      <c r="AZ540" s="75"/>
      <c r="BA540" s="2"/>
      <c r="BB540" s="2"/>
      <c r="BC540" s="2"/>
      <c r="BD540" s="2"/>
    </row>
    <row r="541" spans="1:56">
      <c r="A541" s="781">
        <v>2</v>
      </c>
      <c r="B541" s="782">
        <v>213</v>
      </c>
      <c r="C541" s="783"/>
      <c r="D541" s="783" t="s">
        <v>177</v>
      </c>
      <c r="E541" s="808">
        <v>173</v>
      </c>
      <c r="F541" s="799"/>
      <c r="G541" s="799"/>
      <c r="H541" s="1592">
        <f t="shared" si="24"/>
        <v>0</v>
      </c>
      <c r="I541" s="754" t="str">
        <f>IFERROR(VLOOKUP(B541,Mychart!$A$125:$B$911,2,FALSE),"-")</f>
        <v>MOZA - IBTESAM</v>
      </c>
      <c r="J541" s="753" t="str">
        <f t="shared" si="25"/>
        <v>-</v>
      </c>
      <c r="K541" s="1540">
        <f t="shared" si="26"/>
        <v>1900</v>
      </c>
      <c r="L541" s="757"/>
      <c r="M541" s="757"/>
      <c r="N541" s="757"/>
      <c r="O541" s="757"/>
      <c r="P541" s="757"/>
      <c r="Q541" s="757"/>
      <c r="R541" s="757"/>
      <c r="S541" s="757"/>
      <c r="T541" s="757"/>
      <c r="U541" s="757"/>
      <c r="V541" s="757"/>
      <c r="W541" s="757"/>
      <c r="X541" s="757"/>
      <c r="Y541" s="757"/>
      <c r="Z541" s="757"/>
      <c r="AA541" s="757"/>
      <c r="AB541" s="757"/>
      <c r="AC541" s="757"/>
      <c r="AD541" s="757"/>
      <c r="AE541" s="757"/>
      <c r="AF541" s="757"/>
      <c r="AG541" s="757"/>
      <c r="AH541" s="757"/>
      <c r="AI541" s="757"/>
      <c r="AJ541" s="757"/>
      <c r="AK541" s="757"/>
      <c r="AL541" s="757"/>
      <c r="AM541" s="757"/>
      <c r="AN541" s="757"/>
      <c r="AO541" s="757"/>
      <c r="AP541" s="757"/>
      <c r="AQ541" s="757"/>
      <c r="AR541" s="757"/>
      <c r="AS541" s="757"/>
      <c r="AT541" s="757"/>
      <c r="AU541" s="757"/>
      <c r="AV541" s="757"/>
      <c r="AW541" s="757"/>
      <c r="AX541" s="757"/>
      <c r="AY541" s="757"/>
      <c r="AZ541" s="75"/>
      <c r="BA541" s="2"/>
      <c r="BB541" s="2"/>
      <c r="BC541" s="2"/>
      <c r="BD541" s="2"/>
    </row>
    <row r="542" spans="1:56">
      <c r="A542" s="781">
        <v>2</v>
      </c>
      <c r="B542" s="782">
        <v>213</v>
      </c>
      <c r="C542" s="783"/>
      <c r="D542" s="783" t="s">
        <v>177</v>
      </c>
      <c r="E542" s="808">
        <v>7065</v>
      </c>
      <c r="F542" s="799"/>
      <c r="G542" s="799"/>
      <c r="H542" s="1592">
        <f t="shared" si="24"/>
        <v>0</v>
      </c>
      <c r="I542" s="754" t="str">
        <f>IFERROR(VLOOKUP(B542,Mychart!$A$125:$B$911,2,FALSE),"-")</f>
        <v>MOZA - IBTESAM</v>
      </c>
      <c r="J542" s="753" t="str">
        <f t="shared" si="25"/>
        <v>-</v>
      </c>
      <c r="K542" s="1540">
        <f t="shared" si="26"/>
        <v>1900</v>
      </c>
      <c r="L542" s="757"/>
      <c r="M542" s="757"/>
      <c r="N542" s="757"/>
      <c r="O542" s="757"/>
      <c r="P542" s="757"/>
      <c r="Q542" s="757"/>
      <c r="R542" s="757"/>
      <c r="S542" s="757"/>
      <c r="T542" s="757"/>
      <c r="U542" s="757"/>
      <c r="V542" s="757"/>
      <c r="W542" s="757"/>
      <c r="X542" s="757"/>
      <c r="Y542" s="757"/>
      <c r="Z542" s="757"/>
      <c r="AA542" s="757"/>
      <c r="AB542" s="757"/>
      <c r="AC542" s="757"/>
      <c r="AD542" s="757"/>
      <c r="AE542" s="757"/>
      <c r="AF542" s="757"/>
      <c r="AG542" s="757"/>
      <c r="AH542" s="757"/>
      <c r="AI542" s="757"/>
      <c r="AJ542" s="757"/>
      <c r="AK542" s="757"/>
      <c r="AL542" s="757"/>
      <c r="AM542" s="757"/>
      <c r="AN542" s="757"/>
      <c r="AO542" s="757"/>
      <c r="AP542" s="757"/>
      <c r="AQ542" s="757"/>
      <c r="AR542" s="757"/>
      <c r="AS542" s="757"/>
      <c r="AT542" s="757"/>
      <c r="AU542" s="757"/>
      <c r="AV542" s="757"/>
      <c r="AW542" s="757"/>
      <c r="AX542" s="757"/>
      <c r="AY542" s="757"/>
      <c r="AZ542" s="75"/>
      <c r="BA542" s="2"/>
      <c r="BB542" s="2"/>
      <c r="BC542" s="2"/>
      <c r="BD542" s="2"/>
    </row>
    <row r="543" spans="1:56">
      <c r="A543" s="781">
        <v>2</v>
      </c>
      <c r="B543" s="782">
        <v>213</v>
      </c>
      <c r="C543" s="783"/>
      <c r="D543" s="783" t="s">
        <v>258</v>
      </c>
      <c r="E543" s="808">
        <v>3365</v>
      </c>
      <c r="F543" s="799"/>
      <c r="G543" s="799"/>
      <c r="H543" s="1592">
        <f t="shared" si="24"/>
        <v>0</v>
      </c>
      <c r="I543" s="754" t="str">
        <f>IFERROR(VLOOKUP(B543,Mychart!$A$125:$B$911,2,FALSE),"-")</f>
        <v>MOZA - IBTESAM</v>
      </c>
      <c r="J543" s="753" t="str">
        <f t="shared" si="25"/>
        <v>-</v>
      </c>
      <c r="K543" s="1540">
        <f t="shared" si="26"/>
        <v>1900</v>
      </c>
      <c r="L543" s="757"/>
      <c r="M543" s="757"/>
      <c r="N543" s="757"/>
      <c r="O543" s="757"/>
      <c r="P543" s="757"/>
      <c r="Q543" s="757"/>
      <c r="R543" s="757"/>
      <c r="S543" s="757"/>
      <c r="T543" s="757"/>
      <c r="U543" s="757"/>
      <c r="V543" s="757"/>
      <c r="W543" s="757"/>
      <c r="X543" s="757"/>
      <c r="Y543" s="757"/>
      <c r="Z543" s="757"/>
      <c r="AA543" s="757"/>
      <c r="AB543" s="757"/>
      <c r="AC543" s="757"/>
      <c r="AD543" s="757"/>
      <c r="AE543" s="757"/>
      <c r="AF543" s="757"/>
      <c r="AG543" s="757"/>
      <c r="AH543" s="757"/>
      <c r="AI543" s="757"/>
      <c r="AJ543" s="757"/>
      <c r="AK543" s="757"/>
      <c r="AL543" s="757"/>
      <c r="AM543" s="757"/>
      <c r="AN543" s="757"/>
      <c r="AO543" s="757"/>
      <c r="AP543" s="757"/>
      <c r="AQ543" s="757"/>
      <c r="AR543" s="757"/>
      <c r="AS543" s="757"/>
      <c r="AT543" s="757"/>
      <c r="AU543" s="757"/>
      <c r="AV543" s="757"/>
      <c r="AW543" s="757"/>
      <c r="AX543" s="757"/>
      <c r="AY543" s="757"/>
      <c r="AZ543" s="75"/>
      <c r="BA543" s="2"/>
      <c r="BB543" s="2"/>
      <c r="BC543" s="2"/>
      <c r="BD543" s="2"/>
    </row>
    <row r="544" spans="1:56">
      <c r="A544" s="781">
        <v>2</v>
      </c>
      <c r="B544" s="782">
        <v>213</v>
      </c>
      <c r="C544" s="783"/>
      <c r="D544" s="783" t="s">
        <v>177</v>
      </c>
      <c r="E544" s="808">
        <v>4761</v>
      </c>
      <c r="F544" s="799"/>
      <c r="G544" s="799"/>
      <c r="H544" s="1592">
        <f t="shared" si="24"/>
        <v>0</v>
      </c>
      <c r="I544" s="754" t="str">
        <f>IFERROR(VLOOKUP(B544,Mychart!$A$125:$B$911,2,FALSE),"-")</f>
        <v>MOZA - IBTESAM</v>
      </c>
      <c r="J544" s="753" t="str">
        <f t="shared" si="25"/>
        <v>-</v>
      </c>
      <c r="K544" s="1540">
        <f t="shared" si="26"/>
        <v>1900</v>
      </c>
      <c r="L544" s="757"/>
      <c r="M544" s="757"/>
      <c r="N544" s="757"/>
      <c r="O544" s="757"/>
      <c r="P544" s="757"/>
      <c r="Q544" s="757"/>
      <c r="R544" s="757"/>
      <c r="S544" s="757"/>
      <c r="T544" s="757"/>
      <c r="U544" s="757"/>
      <c r="V544" s="757"/>
      <c r="W544" s="757"/>
      <c r="X544" s="757"/>
      <c r="Y544" s="757"/>
      <c r="Z544" s="757"/>
      <c r="AA544" s="757"/>
      <c r="AB544" s="757"/>
      <c r="AC544" s="757"/>
      <c r="AD544" s="757"/>
      <c r="AE544" s="757"/>
      <c r="AF544" s="757"/>
      <c r="AG544" s="757"/>
      <c r="AH544" s="757"/>
      <c r="AI544" s="757"/>
      <c r="AJ544" s="757"/>
      <c r="AK544" s="757"/>
      <c r="AL544" s="757"/>
      <c r="AM544" s="757"/>
      <c r="AN544" s="757"/>
      <c r="AO544" s="757"/>
      <c r="AP544" s="757"/>
      <c r="AQ544" s="757"/>
      <c r="AR544" s="757"/>
      <c r="AS544" s="757"/>
      <c r="AT544" s="757"/>
      <c r="AU544" s="757"/>
      <c r="AV544" s="757"/>
      <c r="AW544" s="757"/>
      <c r="AX544" s="757"/>
      <c r="AY544" s="757"/>
      <c r="AZ544" s="75"/>
      <c r="BA544" s="2"/>
      <c r="BB544" s="2"/>
      <c r="BC544" s="2"/>
      <c r="BD544" s="2"/>
    </row>
    <row r="545" spans="1:56">
      <c r="A545" s="781">
        <v>2</v>
      </c>
      <c r="B545" s="782">
        <v>213</v>
      </c>
      <c r="C545" s="783"/>
      <c r="D545" s="783" t="s">
        <v>499</v>
      </c>
      <c r="E545" s="808">
        <v>1000</v>
      </c>
      <c r="F545" s="799"/>
      <c r="G545" s="799"/>
      <c r="H545" s="1592">
        <f t="shared" si="24"/>
        <v>0</v>
      </c>
      <c r="I545" s="754" t="str">
        <f>IFERROR(VLOOKUP(B545,Mychart!$A$125:$B$911,2,FALSE),"-")</f>
        <v>MOZA - IBTESAM</v>
      </c>
      <c r="J545" s="753" t="str">
        <f t="shared" si="25"/>
        <v>-</v>
      </c>
      <c r="K545" s="1540">
        <f t="shared" si="26"/>
        <v>1900</v>
      </c>
      <c r="L545" s="757"/>
      <c r="M545" s="757"/>
      <c r="N545" s="757"/>
      <c r="O545" s="757"/>
      <c r="P545" s="757"/>
      <c r="Q545" s="757"/>
      <c r="R545" s="757"/>
      <c r="S545" s="757"/>
      <c r="T545" s="757"/>
      <c r="U545" s="757"/>
      <c r="V545" s="757"/>
      <c r="W545" s="757"/>
      <c r="X545" s="757"/>
      <c r="Y545" s="757"/>
      <c r="Z545" s="757"/>
      <c r="AA545" s="757"/>
      <c r="AB545" s="757"/>
      <c r="AC545" s="757"/>
      <c r="AD545" s="757"/>
      <c r="AE545" s="757"/>
      <c r="AF545" s="757"/>
      <c r="AG545" s="757"/>
      <c r="AH545" s="757"/>
      <c r="AI545" s="757"/>
      <c r="AJ545" s="757"/>
      <c r="AK545" s="757"/>
      <c r="AL545" s="757"/>
      <c r="AM545" s="757"/>
      <c r="AN545" s="757"/>
      <c r="AO545" s="757"/>
      <c r="AP545" s="757"/>
      <c r="AQ545" s="757"/>
      <c r="AR545" s="757"/>
      <c r="AS545" s="757"/>
      <c r="AT545" s="757"/>
      <c r="AU545" s="757"/>
      <c r="AV545" s="757"/>
      <c r="AW545" s="757"/>
      <c r="AX545" s="757"/>
      <c r="AY545" s="757"/>
      <c r="AZ545" s="75"/>
      <c r="BA545" s="2"/>
      <c r="BB545" s="2"/>
      <c r="BC545" s="2"/>
      <c r="BD545" s="2"/>
    </row>
    <row r="546" spans="1:56">
      <c r="A546" s="781">
        <v>2</v>
      </c>
      <c r="B546" s="782">
        <v>213</v>
      </c>
      <c r="C546" s="783"/>
      <c r="D546" s="783" t="s">
        <v>665</v>
      </c>
      <c r="E546" s="808">
        <v>3719</v>
      </c>
      <c r="F546" s="799"/>
      <c r="G546" s="799"/>
      <c r="H546" s="1592">
        <f t="shared" si="24"/>
        <v>0</v>
      </c>
      <c r="I546" s="754" t="str">
        <f>IFERROR(VLOOKUP(B546,Mychart!$A$125:$B$911,2,FALSE),"-")</f>
        <v>MOZA - IBTESAM</v>
      </c>
      <c r="J546" s="753" t="str">
        <f t="shared" si="25"/>
        <v>-</v>
      </c>
      <c r="K546" s="1540">
        <f t="shared" si="26"/>
        <v>1900</v>
      </c>
      <c r="L546" s="757"/>
      <c r="M546" s="757"/>
      <c r="N546" s="757"/>
      <c r="O546" s="757"/>
      <c r="P546" s="757"/>
      <c r="Q546" s="757"/>
      <c r="R546" s="757"/>
      <c r="S546" s="757"/>
      <c r="T546" s="757"/>
      <c r="U546" s="757"/>
      <c r="V546" s="757"/>
      <c r="W546" s="757"/>
      <c r="X546" s="757"/>
      <c r="Y546" s="757"/>
      <c r="Z546" s="757"/>
      <c r="AA546" s="757"/>
      <c r="AB546" s="757"/>
      <c r="AC546" s="757"/>
      <c r="AD546" s="757"/>
      <c r="AE546" s="757"/>
      <c r="AF546" s="757"/>
      <c r="AG546" s="757"/>
      <c r="AH546" s="757"/>
      <c r="AI546" s="757"/>
      <c r="AJ546" s="757"/>
      <c r="AK546" s="757"/>
      <c r="AL546" s="757"/>
      <c r="AM546" s="757"/>
      <c r="AN546" s="757"/>
      <c r="AO546" s="757"/>
      <c r="AP546" s="757"/>
      <c r="AQ546" s="757"/>
      <c r="AR546" s="757"/>
      <c r="AS546" s="757"/>
      <c r="AT546" s="757"/>
      <c r="AU546" s="757"/>
      <c r="AV546" s="757"/>
      <c r="AW546" s="757"/>
      <c r="AX546" s="757"/>
      <c r="AY546" s="757"/>
      <c r="AZ546" s="75"/>
      <c r="BA546" s="2"/>
      <c r="BB546" s="2"/>
      <c r="BC546" s="2"/>
      <c r="BD546" s="2"/>
    </row>
    <row r="547" spans="1:56">
      <c r="A547" s="781">
        <v>2</v>
      </c>
      <c r="B547" s="782">
        <v>213</v>
      </c>
      <c r="C547" s="783"/>
      <c r="D547" s="783" t="s">
        <v>665</v>
      </c>
      <c r="E547" s="808">
        <v>861</v>
      </c>
      <c r="F547" s="799"/>
      <c r="G547" s="799"/>
      <c r="H547" s="1592">
        <f t="shared" si="24"/>
        <v>0</v>
      </c>
      <c r="I547" s="754" t="str">
        <f>IFERROR(VLOOKUP(B547,Mychart!$A$125:$B$911,2,FALSE),"-")</f>
        <v>MOZA - IBTESAM</v>
      </c>
      <c r="J547" s="753" t="str">
        <f t="shared" si="25"/>
        <v>-</v>
      </c>
      <c r="K547" s="1540">
        <f t="shared" si="26"/>
        <v>1900</v>
      </c>
      <c r="L547" s="757"/>
      <c r="M547" s="757"/>
      <c r="N547" s="757"/>
      <c r="O547" s="757"/>
      <c r="P547" s="757"/>
      <c r="Q547" s="757"/>
      <c r="R547" s="757"/>
      <c r="S547" s="757"/>
      <c r="T547" s="757"/>
      <c r="U547" s="757"/>
      <c r="V547" s="757"/>
      <c r="W547" s="757"/>
      <c r="X547" s="757"/>
      <c r="Y547" s="757"/>
      <c r="Z547" s="757"/>
      <c r="AA547" s="757"/>
      <c r="AB547" s="757"/>
      <c r="AC547" s="757"/>
      <c r="AD547" s="757"/>
      <c r="AE547" s="757"/>
      <c r="AF547" s="757"/>
      <c r="AG547" s="757"/>
      <c r="AH547" s="757"/>
      <c r="AI547" s="757"/>
      <c r="AJ547" s="757"/>
      <c r="AK547" s="757"/>
      <c r="AL547" s="757"/>
      <c r="AM547" s="757"/>
      <c r="AN547" s="757"/>
      <c r="AO547" s="757"/>
      <c r="AP547" s="757"/>
      <c r="AQ547" s="757"/>
      <c r="AR547" s="757"/>
      <c r="AS547" s="757"/>
      <c r="AT547" s="757"/>
      <c r="AU547" s="757"/>
      <c r="AV547" s="757"/>
      <c r="AW547" s="757"/>
      <c r="AX547" s="757"/>
      <c r="AY547" s="757"/>
      <c r="AZ547" s="75"/>
      <c r="BA547" s="2"/>
      <c r="BB547" s="2"/>
      <c r="BC547" s="2"/>
      <c r="BD547" s="2"/>
    </row>
    <row r="548" spans="1:56">
      <c r="A548" s="781">
        <v>2</v>
      </c>
      <c r="B548" s="782">
        <v>213</v>
      </c>
      <c r="C548" s="783"/>
      <c r="D548" s="783" t="s">
        <v>665</v>
      </c>
      <c r="E548" s="808">
        <v>414</v>
      </c>
      <c r="F548" s="799"/>
      <c r="G548" s="799"/>
      <c r="H548" s="1592">
        <f t="shared" si="24"/>
        <v>0</v>
      </c>
      <c r="I548" s="754" t="str">
        <f>IFERROR(VLOOKUP(B548,Mychart!$A$125:$B$911,2,FALSE),"-")</f>
        <v>MOZA - IBTESAM</v>
      </c>
      <c r="J548" s="753" t="str">
        <f t="shared" si="25"/>
        <v>-</v>
      </c>
      <c r="K548" s="1540">
        <f t="shared" si="26"/>
        <v>1900</v>
      </c>
      <c r="L548" s="757"/>
      <c r="M548" s="757"/>
      <c r="N548" s="757"/>
      <c r="O548" s="757"/>
      <c r="P548" s="757"/>
      <c r="Q548" s="757"/>
      <c r="R548" s="757"/>
      <c r="S548" s="757"/>
      <c r="T548" s="757"/>
      <c r="U548" s="757"/>
      <c r="V548" s="757"/>
      <c r="W548" s="757"/>
      <c r="X548" s="757"/>
      <c r="Y548" s="757"/>
      <c r="Z548" s="757"/>
      <c r="AA548" s="757"/>
      <c r="AB548" s="757"/>
      <c r="AC548" s="757"/>
      <c r="AD548" s="757"/>
      <c r="AE548" s="757"/>
      <c r="AF548" s="757"/>
      <c r="AG548" s="757"/>
      <c r="AH548" s="757"/>
      <c r="AI548" s="757"/>
      <c r="AJ548" s="757"/>
      <c r="AK548" s="757"/>
      <c r="AL548" s="757"/>
      <c r="AM548" s="757"/>
      <c r="AN548" s="757"/>
      <c r="AO548" s="757"/>
      <c r="AP548" s="757"/>
      <c r="AQ548" s="757"/>
      <c r="AR548" s="757"/>
      <c r="AS548" s="757"/>
      <c r="AT548" s="757"/>
      <c r="AU548" s="757"/>
      <c r="AV548" s="757"/>
      <c r="AW548" s="757"/>
      <c r="AX548" s="757"/>
      <c r="AY548" s="757"/>
      <c r="AZ548" s="75"/>
      <c r="BA548" s="2"/>
      <c r="BB548" s="2"/>
      <c r="BC548" s="2"/>
      <c r="BD548" s="2"/>
    </row>
    <row r="549" spans="1:56">
      <c r="A549" s="781">
        <v>2</v>
      </c>
      <c r="B549" s="782">
        <v>213</v>
      </c>
      <c r="C549" s="783"/>
      <c r="D549" s="783" t="s">
        <v>665</v>
      </c>
      <c r="E549" s="808">
        <v>1032</v>
      </c>
      <c r="F549" s="799"/>
      <c r="G549" s="799"/>
      <c r="H549" s="1592">
        <f t="shared" si="24"/>
        <v>0</v>
      </c>
      <c r="I549" s="754" t="str">
        <f>IFERROR(VLOOKUP(B549,Mychart!$A$125:$B$911,2,FALSE),"-")</f>
        <v>MOZA - IBTESAM</v>
      </c>
      <c r="J549" s="753" t="str">
        <f t="shared" si="25"/>
        <v>-</v>
      </c>
      <c r="K549" s="1540">
        <f t="shared" si="26"/>
        <v>1900</v>
      </c>
      <c r="L549" s="757"/>
      <c r="M549" s="757"/>
      <c r="N549" s="757"/>
      <c r="O549" s="757"/>
      <c r="P549" s="757"/>
      <c r="Q549" s="757"/>
      <c r="R549" s="757"/>
      <c r="S549" s="757"/>
      <c r="T549" s="757"/>
      <c r="U549" s="757"/>
      <c r="V549" s="757"/>
      <c r="W549" s="757"/>
      <c r="X549" s="757"/>
      <c r="Y549" s="757"/>
      <c r="Z549" s="757"/>
      <c r="AA549" s="757"/>
      <c r="AB549" s="757"/>
      <c r="AC549" s="757"/>
      <c r="AD549" s="757"/>
      <c r="AE549" s="757"/>
      <c r="AF549" s="757"/>
      <c r="AG549" s="757"/>
      <c r="AH549" s="757"/>
      <c r="AI549" s="757"/>
      <c r="AJ549" s="757"/>
      <c r="AK549" s="757"/>
      <c r="AL549" s="757"/>
      <c r="AM549" s="757"/>
      <c r="AN549" s="757"/>
      <c r="AO549" s="757"/>
      <c r="AP549" s="757"/>
      <c r="AQ549" s="757"/>
      <c r="AR549" s="757"/>
      <c r="AS549" s="757"/>
      <c r="AT549" s="757"/>
      <c r="AU549" s="757"/>
      <c r="AV549" s="757"/>
      <c r="AW549" s="757"/>
      <c r="AX549" s="757"/>
      <c r="AY549" s="757"/>
      <c r="AZ549" s="75"/>
      <c r="BA549" s="2"/>
      <c r="BB549" s="2"/>
      <c r="BC549" s="2"/>
      <c r="BD549" s="2"/>
    </row>
    <row r="550" spans="1:56">
      <c r="A550" s="781">
        <v>2</v>
      </c>
      <c r="B550" s="782">
        <v>213</v>
      </c>
      <c r="C550" s="783"/>
      <c r="D550" s="783" t="s">
        <v>258</v>
      </c>
      <c r="E550" s="808">
        <v>1020</v>
      </c>
      <c r="F550" s="799"/>
      <c r="G550" s="799"/>
      <c r="H550" s="1592">
        <f t="shared" si="24"/>
        <v>0</v>
      </c>
      <c r="I550" s="754" t="str">
        <f>IFERROR(VLOOKUP(B550,Mychart!$A$125:$B$911,2,FALSE),"-")</f>
        <v>MOZA - IBTESAM</v>
      </c>
      <c r="J550" s="753" t="str">
        <f t="shared" si="25"/>
        <v>-</v>
      </c>
      <c r="K550" s="1540">
        <f t="shared" si="26"/>
        <v>1900</v>
      </c>
      <c r="L550" s="757"/>
      <c r="M550" s="757"/>
      <c r="N550" s="757"/>
      <c r="O550" s="757"/>
      <c r="P550" s="757"/>
      <c r="Q550" s="757"/>
      <c r="R550" s="757"/>
      <c r="S550" s="757"/>
      <c r="T550" s="757"/>
      <c r="U550" s="757"/>
      <c r="V550" s="757"/>
      <c r="W550" s="757"/>
      <c r="X550" s="757"/>
      <c r="Y550" s="757"/>
      <c r="Z550" s="757"/>
      <c r="AA550" s="757"/>
      <c r="AB550" s="757"/>
      <c r="AC550" s="757"/>
      <c r="AD550" s="757"/>
      <c r="AE550" s="757"/>
      <c r="AF550" s="757"/>
      <c r="AG550" s="757"/>
      <c r="AH550" s="757"/>
      <c r="AI550" s="757"/>
      <c r="AJ550" s="757"/>
      <c r="AK550" s="757"/>
      <c r="AL550" s="757"/>
      <c r="AM550" s="757"/>
      <c r="AN550" s="757"/>
      <c r="AO550" s="757"/>
      <c r="AP550" s="757"/>
      <c r="AQ550" s="757"/>
      <c r="AR550" s="757"/>
      <c r="AS550" s="757"/>
      <c r="AT550" s="757"/>
      <c r="AU550" s="757"/>
      <c r="AV550" s="757"/>
      <c r="AW550" s="757"/>
      <c r="AX550" s="757"/>
      <c r="AY550" s="757"/>
      <c r="AZ550" s="75"/>
      <c r="BA550" s="2"/>
      <c r="BB550" s="2"/>
      <c r="BC550" s="2"/>
      <c r="BD550" s="2"/>
    </row>
    <row r="551" spans="1:56">
      <c r="A551" s="781">
        <v>2</v>
      </c>
      <c r="B551" s="782">
        <v>213</v>
      </c>
      <c r="C551" s="783"/>
      <c r="D551" s="783" t="s">
        <v>258</v>
      </c>
      <c r="E551" s="808">
        <v>717</v>
      </c>
      <c r="F551" s="799"/>
      <c r="G551" s="799"/>
      <c r="H551" s="1592">
        <f t="shared" si="24"/>
        <v>0</v>
      </c>
      <c r="I551" s="754" t="str">
        <f>IFERROR(VLOOKUP(B551,Mychart!$A$125:$B$911,2,FALSE),"-")</f>
        <v>MOZA - IBTESAM</v>
      </c>
      <c r="J551" s="753" t="str">
        <f t="shared" si="25"/>
        <v>-</v>
      </c>
      <c r="K551" s="1540">
        <f t="shared" si="26"/>
        <v>1900</v>
      </c>
      <c r="L551" s="757"/>
      <c r="M551" s="757"/>
      <c r="N551" s="757"/>
      <c r="O551" s="757"/>
      <c r="P551" s="757"/>
      <c r="Q551" s="757"/>
      <c r="R551" s="757"/>
      <c r="S551" s="757"/>
      <c r="T551" s="757"/>
      <c r="U551" s="757"/>
      <c r="V551" s="757"/>
      <c r="W551" s="757"/>
      <c r="X551" s="757"/>
      <c r="Y551" s="757"/>
      <c r="Z551" s="757"/>
      <c r="AA551" s="757"/>
      <c r="AB551" s="757"/>
      <c r="AC551" s="757"/>
      <c r="AD551" s="757"/>
      <c r="AE551" s="757"/>
      <c r="AF551" s="757"/>
      <c r="AG551" s="757"/>
      <c r="AH551" s="757"/>
      <c r="AI551" s="757"/>
      <c r="AJ551" s="757"/>
      <c r="AK551" s="757"/>
      <c r="AL551" s="757"/>
      <c r="AM551" s="757"/>
      <c r="AN551" s="757"/>
      <c r="AO551" s="757"/>
      <c r="AP551" s="757"/>
      <c r="AQ551" s="757"/>
      <c r="AR551" s="757"/>
      <c r="AS551" s="757"/>
      <c r="AT551" s="757"/>
      <c r="AU551" s="757"/>
      <c r="AV551" s="757"/>
      <c r="AW551" s="757"/>
      <c r="AX551" s="757"/>
      <c r="AY551" s="757"/>
      <c r="AZ551" s="75"/>
      <c r="BA551" s="2"/>
      <c r="BB551" s="2"/>
      <c r="BC551" s="2"/>
      <c r="BD551" s="2"/>
    </row>
    <row r="552" spans="1:56">
      <c r="A552" s="781">
        <v>2</v>
      </c>
      <c r="B552" s="782">
        <v>213</v>
      </c>
      <c r="C552" s="783"/>
      <c r="D552" s="783" t="s">
        <v>258</v>
      </c>
      <c r="E552" s="808">
        <v>786</v>
      </c>
      <c r="F552" s="799"/>
      <c r="G552" s="799"/>
      <c r="H552" s="1592">
        <f t="shared" si="24"/>
        <v>0</v>
      </c>
      <c r="I552" s="754" t="str">
        <f>IFERROR(VLOOKUP(B552,Mychart!$A$125:$B$911,2,FALSE),"-")</f>
        <v>MOZA - IBTESAM</v>
      </c>
      <c r="J552" s="753" t="str">
        <f t="shared" si="25"/>
        <v>-</v>
      </c>
      <c r="K552" s="1540">
        <f t="shared" si="26"/>
        <v>1900</v>
      </c>
      <c r="L552" s="757"/>
      <c r="M552" s="757"/>
      <c r="N552" s="757"/>
      <c r="O552" s="757"/>
      <c r="P552" s="757"/>
      <c r="Q552" s="757"/>
      <c r="R552" s="757"/>
      <c r="S552" s="757"/>
      <c r="T552" s="757"/>
      <c r="U552" s="757"/>
      <c r="V552" s="757"/>
      <c r="W552" s="757"/>
      <c r="X552" s="757"/>
      <c r="Y552" s="757"/>
      <c r="Z552" s="757"/>
      <c r="AA552" s="757"/>
      <c r="AB552" s="757"/>
      <c r="AC552" s="757"/>
      <c r="AD552" s="757"/>
      <c r="AE552" s="757"/>
      <c r="AF552" s="757"/>
      <c r="AG552" s="757"/>
      <c r="AH552" s="757"/>
      <c r="AI552" s="757"/>
      <c r="AJ552" s="757"/>
      <c r="AK552" s="757"/>
      <c r="AL552" s="757"/>
      <c r="AM552" s="757"/>
      <c r="AN552" s="757"/>
      <c r="AO552" s="757"/>
      <c r="AP552" s="757"/>
      <c r="AQ552" s="757"/>
      <c r="AR552" s="757"/>
      <c r="AS552" s="757"/>
      <c r="AT552" s="757"/>
      <c r="AU552" s="757"/>
      <c r="AV552" s="757"/>
      <c r="AW552" s="757"/>
      <c r="AX552" s="757"/>
      <c r="AY552" s="757"/>
      <c r="AZ552" s="75"/>
      <c r="BA552" s="2"/>
      <c r="BB552" s="2"/>
      <c r="BC552" s="2"/>
      <c r="BD552" s="2"/>
    </row>
    <row r="553" spans="1:56">
      <c r="A553" s="781">
        <v>2</v>
      </c>
      <c r="B553" s="782">
        <v>213</v>
      </c>
      <c r="C553" s="783"/>
      <c r="D553" s="783" t="s">
        <v>581</v>
      </c>
      <c r="E553" s="808">
        <v>16400</v>
      </c>
      <c r="F553" s="799"/>
      <c r="G553" s="799"/>
      <c r="H553" s="1592">
        <f t="shared" si="24"/>
        <v>0</v>
      </c>
      <c r="I553" s="754" t="str">
        <f>IFERROR(VLOOKUP(B553,Mychart!$A$125:$B$911,2,FALSE),"-")</f>
        <v>MOZA - IBTESAM</v>
      </c>
      <c r="J553" s="753" t="str">
        <f t="shared" si="25"/>
        <v>-</v>
      </c>
      <c r="K553" s="1540">
        <f t="shared" si="26"/>
        <v>1900</v>
      </c>
      <c r="L553" s="757"/>
      <c r="M553" s="757"/>
      <c r="N553" s="757"/>
      <c r="O553" s="757"/>
      <c r="P553" s="757"/>
      <c r="Q553" s="757"/>
      <c r="R553" s="757"/>
      <c r="S553" s="757"/>
      <c r="T553" s="757"/>
      <c r="U553" s="757"/>
      <c r="V553" s="757"/>
      <c r="W553" s="757"/>
      <c r="X553" s="757"/>
      <c r="Y553" s="757"/>
      <c r="Z553" s="757"/>
      <c r="AA553" s="757"/>
      <c r="AB553" s="757"/>
      <c r="AC553" s="757"/>
      <c r="AD553" s="757"/>
      <c r="AE553" s="757"/>
      <c r="AF553" s="757"/>
      <c r="AG553" s="757"/>
      <c r="AH553" s="757"/>
      <c r="AI553" s="757"/>
      <c r="AJ553" s="757"/>
      <c r="AK553" s="757"/>
      <c r="AL553" s="757"/>
      <c r="AM553" s="757"/>
      <c r="AN553" s="757"/>
      <c r="AO553" s="757"/>
      <c r="AP553" s="757"/>
      <c r="AQ553" s="757"/>
      <c r="AR553" s="757"/>
      <c r="AS553" s="757"/>
      <c r="AT553" s="757"/>
      <c r="AU553" s="757"/>
      <c r="AV553" s="757"/>
      <c r="AW553" s="757"/>
      <c r="AX553" s="757"/>
      <c r="AY553" s="757"/>
      <c r="AZ553" s="75"/>
      <c r="BA553" s="2"/>
      <c r="BB553" s="2"/>
      <c r="BC553" s="2"/>
      <c r="BD553" s="2"/>
    </row>
    <row r="554" spans="1:56">
      <c r="A554" s="781">
        <v>2</v>
      </c>
      <c r="B554" s="782">
        <v>213</v>
      </c>
      <c r="C554" s="783"/>
      <c r="D554" s="783" t="s">
        <v>177</v>
      </c>
      <c r="E554" s="808">
        <v>2481</v>
      </c>
      <c r="F554" s="799"/>
      <c r="G554" s="799"/>
      <c r="H554" s="1592">
        <f t="shared" si="24"/>
        <v>0</v>
      </c>
      <c r="I554" s="754" t="str">
        <f>IFERROR(VLOOKUP(B554,Mychart!$A$125:$B$911,2,FALSE),"-")</f>
        <v>MOZA - IBTESAM</v>
      </c>
      <c r="J554" s="753" t="str">
        <f t="shared" si="25"/>
        <v>-</v>
      </c>
      <c r="K554" s="1540">
        <f t="shared" si="26"/>
        <v>1900</v>
      </c>
      <c r="L554" s="757"/>
      <c r="M554" s="757"/>
      <c r="N554" s="757"/>
      <c r="O554" s="757"/>
      <c r="P554" s="757"/>
      <c r="Q554" s="757"/>
      <c r="R554" s="757"/>
      <c r="S554" s="757"/>
      <c r="T554" s="757"/>
      <c r="U554" s="757"/>
      <c r="V554" s="757"/>
      <c r="W554" s="757"/>
      <c r="X554" s="757"/>
      <c r="Y554" s="757"/>
      <c r="Z554" s="757"/>
      <c r="AA554" s="757"/>
      <c r="AB554" s="757"/>
      <c r="AC554" s="757"/>
      <c r="AD554" s="757"/>
      <c r="AE554" s="757"/>
      <c r="AF554" s="757"/>
      <c r="AG554" s="757"/>
      <c r="AH554" s="757"/>
      <c r="AI554" s="757"/>
      <c r="AJ554" s="757"/>
      <c r="AK554" s="757"/>
      <c r="AL554" s="757"/>
      <c r="AM554" s="757"/>
      <c r="AN554" s="757"/>
      <c r="AO554" s="757"/>
      <c r="AP554" s="757"/>
      <c r="AQ554" s="757"/>
      <c r="AR554" s="757"/>
      <c r="AS554" s="757"/>
      <c r="AT554" s="757"/>
      <c r="AU554" s="757"/>
      <c r="AV554" s="757"/>
      <c r="AW554" s="757"/>
      <c r="AX554" s="757"/>
      <c r="AY554" s="757"/>
      <c r="AZ554" s="75"/>
      <c r="BA554" s="2"/>
      <c r="BB554" s="2"/>
      <c r="BC554" s="2"/>
      <c r="BD554" s="2"/>
    </row>
    <row r="555" spans="1:56">
      <c r="A555" s="781">
        <v>2</v>
      </c>
      <c r="B555" s="782">
        <v>213</v>
      </c>
      <c r="C555" s="783"/>
      <c r="D555" s="783" t="s">
        <v>666</v>
      </c>
      <c r="E555" s="808">
        <v>136249</v>
      </c>
      <c r="F555" s="799"/>
      <c r="G555" s="799"/>
      <c r="H555" s="1592">
        <f t="shared" si="24"/>
        <v>0</v>
      </c>
      <c r="I555" s="754" t="str">
        <f>IFERROR(VLOOKUP(B555,Mychart!$A$125:$B$911,2,FALSE),"-")</f>
        <v>MOZA - IBTESAM</v>
      </c>
      <c r="J555" s="753" t="str">
        <f t="shared" si="25"/>
        <v>-</v>
      </c>
      <c r="K555" s="1540">
        <f t="shared" si="26"/>
        <v>1900</v>
      </c>
      <c r="L555" s="757"/>
      <c r="M555" s="757"/>
      <c r="N555" s="757"/>
      <c r="O555" s="757"/>
      <c r="P555" s="757"/>
      <c r="Q555" s="757"/>
      <c r="R555" s="757"/>
      <c r="S555" s="757"/>
      <c r="T555" s="757"/>
      <c r="U555" s="757"/>
      <c r="V555" s="757"/>
      <c r="W555" s="757"/>
      <c r="X555" s="757"/>
      <c r="Y555" s="757"/>
      <c r="Z555" s="757"/>
      <c r="AA555" s="757"/>
      <c r="AB555" s="757"/>
      <c r="AC555" s="757"/>
      <c r="AD555" s="757"/>
      <c r="AE555" s="757"/>
      <c r="AF555" s="757"/>
      <c r="AG555" s="757"/>
      <c r="AH555" s="757"/>
      <c r="AI555" s="757"/>
      <c r="AJ555" s="757"/>
      <c r="AK555" s="757"/>
      <c r="AL555" s="757"/>
      <c r="AM555" s="757"/>
      <c r="AN555" s="757"/>
      <c r="AO555" s="757"/>
      <c r="AP555" s="757"/>
      <c r="AQ555" s="757"/>
      <c r="AR555" s="757"/>
      <c r="AS555" s="757"/>
      <c r="AT555" s="757"/>
      <c r="AU555" s="757"/>
      <c r="AV555" s="757"/>
      <c r="AW555" s="757"/>
      <c r="AX555" s="757"/>
      <c r="AY555" s="757"/>
      <c r="AZ555" s="75"/>
      <c r="BA555" s="2"/>
      <c r="BB555" s="2"/>
      <c r="BC555" s="2"/>
      <c r="BD555" s="2"/>
    </row>
    <row r="556" spans="1:56">
      <c r="A556" s="781">
        <v>2</v>
      </c>
      <c r="B556" s="782">
        <v>213</v>
      </c>
      <c r="C556" s="783"/>
      <c r="D556" s="783" t="s">
        <v>185</v>
      </c>
      <c r="E556" s="808">
        <v>5000</v>
      </c>
      <c r="F556" s="799"/>
      <c r="G556" s="799"/>
      <c r="H556" s="1592">
        <f t="shared" si="24"/>
        <v>0</v>
      </c>
      <c r="I556" s="754" t="str">
        <f>IFERROR(VLOOKUP(B556,Mychart!$A$125:$B$911,2,FALSE),"-")</f>
        <v>MOZA - IBTESAM</v>
      </c>
      <c r="J556" s="753" t="str">
        <f t="shared" si="25"/>
        <v>-</v>
      </c>
      <c r="K556" s="1540">
        <f t="shared" si="26"/>
        <v>1900</v>
      </c>
      <c r="L556" s="757"/>
      <c r="M556" s="757"/>
      <c r="N556" s="757"/>
      <c r="O556" s="757"/>
      <c r="P556" s="757"/>
      <c r="Q556" s="757"/>
      <c r="R556" s="757"/>
      <c r="S556" s="757"/>
      <c r="T556" s="757"/>
      <c r="U556" s="757"/>
      <c r="V556" s="757"/>
      <c r="W556" s="757"/>
      <c r="X556" s="757"/>
      <c r="Y556" s="757"/>
      <c r="Z556" s="757"/>
      <c r="AA556" s="757"/>
      <c r="AB556" s="757"/>
      <c r="AC556" s="757"/>
      <c r="AD556" s="757"/>
      <c r="AE556" s="757"/>
      <c r="AF556" s="757"/>
      <c r="AG556" s="757"/>
      <c r="AH556" s="757"/>
      <c r="AI556" s="757"/>
      <c r="AJ556" s="757"/>
      <c r="AK556" s="757"/>
      <c r="AL556" s="757"/>
      <c r="AM556" s="757"/>
      <c r="AN556" s="757"/>
      <c r="AO556" s="757"/>
      <c r="AP556" s="757"/>
      <c r="AQ556" s="757"/>
      <c r="AR556" s="757"/>
      <c r="AS556" s="757"/>
      <c r="AT556" s="757"/>
      <c r="AU556" s="757"/>
      <c r="AV556" s="757"/>
      <c r="AW556" s="757"/>
      <c r="AX556" s="757"/>
      <c r="AY556" s="757"/>
      <c r="AZ556" s="75"/>
      <c r="BA556" s="2"/>
      <c r="BB556" s="2"/>
      <c r="BC556" s="2"/>
      <c r="BD556" s="2"/>
    </row>
    <row r="557" spans="1:56">
      <c r="A557" s="781">
        <v>2</v>
      </c>
      <c r="B557" s="782">
        <v>213</v>
      </c>
      <c r="C557" s="783"/>
      <c r="D557" s="783" t="s">
        <v>177</v>
      </c>
      <c r="E557" s="808">
        <v>3146</v>
      </c>
      <c r="F557" s="799"/>
      <c r="G557" s="799"/>
      <c r="H557" s="1592">
        <f t="shared" si="24"/>
        <v>0</v>
      </c>
      <c r="I557" s="754" t="str">
        <f>IFERROR(VLOOKUP(B557,Mychart!$A$125:$B$911,2,FALSE),"-")</f>
        <v>MOZA - IBTESAM</v>
      </c>
      <c r="J557" s="753" t="str">
        <f t="shared" si="25"/>
        <v>-</v>
      </c>
      <c r="K557" s="1540">
        <f t="shared" si="26"/>
        <v>1900</v>
      </c>
      <c r="L557" s="757"/>
      <c r="M557" s="757"/>
      <c r="N557" s="757"/>
      <c r="O557" s="757"/>
      <c r="P557" s="757"/>
      <c r="Q557" s="757"/>
      <c r="R557" s="757"/>
      <c r="S557" s="757"/>
      <c r="T557" s="757"/>
      <c r="U557" s="757"/>
      <c r="V557" s="757"/>
      <c r="W557" s="757"/>
      <c r="X557" s="757"/>
      <c r="Y557" s="757"/>
      <c r="Z557" s="757"/>
      <c r="AA557" s="757"/>
      <c r="AB557" s="757"/>
      <c r="AC557" s="757"/>
      <c r="AD557" s="757"/>
      <c r="AE557" s="757"/>
      <c r="AF557" s="757"/>
      <c r="AG557" s="757"/>
      <c r="AH557" s="757"/>
      <c r="AI557" s="757"/>
      <c r="AJ557" s="757"/>
      <c r="AK557" s="757"/>
      <c r="AL557" s="757"/>
      <c r="AM557" s="757"/>
      <c r="AN557" s="757"/>
      <c r="AO557" s="757"/>
      <c r="AP557" s="757"/>
      <c r="AQ557" s="757"/>
      <c r="AR557" s="757"/>
      <c r="AS557" s="757"/>
      <c r="AT557" s="757"/>
      <c r="AU557" s="757"/>
      <c r="AV557" s="757"/>
      <c r="AW557" s="757"/>
      <c r="AX557" s="757"/>
      <c r="AY557" s="757"/>
      <c r="AZ557" s="75"/>
      <c r="BA557" s="2"/>
      <c r="BB557" s="2"/>
      <c r="BC557" s="2"/>
      <c r="BD557" s="2"/>
    </row>
    <row r="558" spans="1:56">
      <c r="A558" s="781">
        <v>2</v>
      </c>
      <c r="B558" s="782">
        <v>213</v>
      </c>
      <c r="C558" s="783"/>
      <c r="D558" s="783" t="s">
        <v>667</v>
      </c>
      <c r="E558" s="808">
        <v>3800</v>
      </c>
      <c r="F558" s="799"/>
      <c r="G558" s="799"/>
      <c r="H558" s="1592">
        <f t="shared" si="24"/>
        <v>0</v>
      </c>
      <c r="I558" s="754" t="str">
        <f>IFERROR(VLOOKUP(B558,Mychart!$A$125:$B$911,2,FALSE),"-")</f>
        <v>MOZA - IBTESAM</v>
      </c>
      <c r="J558" s="753" t="str">
        <f t="shared" si="25"/>
        <v>-</v>
      </c>
      <c r="K558" s="1540">
        <f t="shared" si="26"/>
        <v>1900</v>
      </c>
      <c r="L558" s="757"/>
      <c r="M558" s="757"/>
      <c r="N558" s="757"/>
      <c r="O558" s="757"/>
      <c r="P558" s="757"/>
      <c r="Q558" s="757"/>
      <c r="R558" s="757"/>
      <c r="S558" s="757"/>
      <c r="T558" s="757"/>
      <c r="U558" s="757"/>
      <c r="V558" s="757"/>
      <c r="W558" s="757"/>
      <c r="X558" s="757"/>
      <c r="Y558" s="757"/>
      <c r="Z558" s="757"/>
      <c r="AA558" s="757"/>
      <c r="AB558" s="757"/>
      <c r="AC558" s="757"/>
      <c r="AD558" s="757"/>
      <c r="AE558" s="757"/>
      <c r="AF558" s="757"/>
      <c r="AG558" s="757"/>
      <c r="AH558" s="757"/>
      <c r="AI558" s="757"/>
      <c r="AJ558" s="757"/>
      <c r="AK558" s="757"/>
      <c r="AL558" s="757"/>
      <c r="AM558" s="757"/>
      <c r="AN558" s="757"/>
      <c r="AO558" s="757"/>
      <c r="AP558" s="757"/>
      <c r="AQ558" s="757"/>
      <c r="AR558" s="757"/>
      <c r="AS558" s="757"/>
      <c r="AT558" s="757"/>
      <c r="AU558" s="757"/>
      <c r="AV558" s="757"/>
      <c r="AW558" s="757"/>
      <c r="AX558" s="757"/>
      <c r="AY558" s="757"/>
      <c r="AZ558" s="75"/>
      <c r="BA558" s="2"/>
      <c r="BB558" s="2"/>
      <c r="BC558" s="2"/>
      <c r="BD558" s="2"/>
    </row>
    <row r="559" spans="1:56">
      <c r="A559" s="781">
        <v>2</v>
      </c>
      <c r="B559" s="782">
        <v>213</v>
      </c>
      <c r="C559" s="783"/>
      <c r="D559" s="783" t="s">
        <v>258</v>
      </c>
      <c r="E559" s="808">
        <v>1695</v>
      </c>
      <c r="F559" s="799"/>
      <c r="G559" s="799"/>
      <c r="H559" s="1592">
        <f t="shared" si="24"/>
        <v>0</v>
      </c>
      <c r="I559" s="754" t="str">
        <f>IFERROR(VLOOKUP(B559,Mychart!$A$125:$B$911,2,FALSE),"-")</f>
        <v>MOZA - IBTESAM</v>
      </c>
      <c r="J559" s="753" t="str">
        <f t="shared" si="25"/>
        <v>-</v>
      </c>
      <c r="K559" s="1540">
        <f t="shared" si="26"/>
        <v>1900</v>
      </c>
      <c r="L559" s="757"/>
      <c r="M559" s="757"/>
      <c r="N559" s="757"/>
      <c r="O559" s="757"/>
      <c r="P559" s="757"/>
      <c r="Q559" s="757"/>
      <c r="R559" s="757"/>
      <c r="S559" s="757"/>
      <c r="T559" s="757"/>
      <c r="U559" s="757"/>
      <c r="V559" s="757"/>
      <c r="W559" s="757"/>
      <c r="X559" s="757"/>
      <c r="Y559" s="757"/>
      <c r="Z559" s="757"/>
      <c r="AA559" s="757"/>
      <c r="AB559" s="757"/>
      <c r="AC559" s="757"/>
      <c r="AD559" s="757"/>
      <c r="AE559" s="757"/>
      <c r="AF559" s="757"/>
      <c r="AG559" s="757"/>
      <c r="AH559" s="757"/>
      <c r="AI559" s="757"/>
      <c r="AJ559" s="757"/>
      <c r="AK559" s="757"/>
      <c r="AL559" s="757"/>
      <c r="AM559" s="757"/>
      <c r="AN559" s="757"/>
      <c r="AO559" s="757"/>
      <c r="AP559" s="757"/>
      <c r="AQ559" s="757"/>
      <c r="AR559" s="757"/>
      <c r="AS559" s="757"/>
      <c r="AT559" s="757"/>
      <c r="AU559" s="757"/>
      <c r="AV559" s="757"/>
      <c r="AW559" s="757"/>
      <c r="AX559" s="757"/>
      <c r="AY559" s="757"/>
      <c r="AZ559" s="75"/>
      <c r="BA559" s="2"/>
      <c r="BB559" s="2"/>
      <c r="BC559" s="2"/>
      <c r="BD559" s="2"/>
    </row>
    <row r="560" spans="1:56">
      <c r="A560" s="781">
        <v>2</v>
      </c>
      <c r="B560" s="782">
        <v>213</v>
      </c>
      <c r="C560" s="783"/>
      <c r="D560" s="783" t="s">
        <v>668</v>
      </c>
      <c r="E560" s="808">
        <v>7100</v>
      </c>
      <c r="F560" s="799"/>
      <c r="G560" s="799"/>
      <c r="H560" s="1592">
        <f t="shared" si="24"/>
        <v>0</v>
      </c>
      <c r="I560" s="754" t="str">
        <f>IFERROR(VLOOKUP(B560,Mychart!$A$125:$B$911,2,FALSE),"-")</f>
        <v>MOZA - IBTESAM</v>
      </c>
      <c r="J560" s="753" t="str">
        <f t="shared" si="25"/>
        <v>-</v>
      </c>
      <c r="K560" s="1540">
        <f t="shared" si="26"/>
        <v>1900</v>
      </c>
      <c r="L560" s="757"/>
      <c r="M560" s="757"/>
      <c r="N560" s="757"/>
      <c r="O560" s="757"/>
      <c r="P560" s="757"/>
      <c r="Q560" s="757"/>
      <c r="R560" s="757"/>
      <c r="S560" s="757"/>
      <c r="T560" s="757"/>
      <c r="U560" s="757"/>
      <c r="V560" s="757"/>
      <c r="W560" s="757"/>
      <c r="X560" s="757"/>
      <c r="Y560" s="757"/>
      <c r="Z560" s="757"/>
      <c r="AA560" s="757"/>
      <c r="AB560" s="757"/>
      <c r="AC560" s="757"/>
      <c r="AD560" s="757"/>
      <c r="AE560" s="757"/>
      <c r="AF560" s="757"/>
      <c r="AG560" s="757"/>
      <c r="AH560" s="757"/>
      <c r="AI560" s="757"/>
      <c r="AJ560" s="757"/>
      <c r="AK560" s="757"/>
      <c r="AL560" s="757"/>
      <c r="AM560" s="757"/>
      <c r="AN560" s="757"/>
      <c r="AO560" s="757"/>
      <c r="AP560" s="757"/>
      <c r="AQ560" s="757"/>
      <c r="AR560" s="757"/>
      <c r="AS560" s="757"/>
      <c r="AT560" s="757"/>
      <c r="AU560" s="757"/>
      <c r="AV560" s="757"/>
      <c r="AW560" s="757"/>
      <c r="AX560" s="757"/>
      <c r="AY560" s="757"/>
      <c r="AZ560" s="75"/>
      <c r="BA560" s="2"/>
      <c r="BB560" s="2"/>
      <c r="BC560" s="2"/>
      <c r="BD560" s="2"/>
    </row>
    <row r="561" spans="1:56">
      <c r="A561" s="781">
        <v>2</v>
      </c>
      <c r="B561" s="782">
        <v>213</v>
      </c>
      <c r="C561" s="783"/>
      <c r="D561" s="783" t="s">
        <v>177</v>
      </c>
      <c r="E561" s="808">
        <v>3907</v>
      </c>
      <c r="F561" s="799"/>
      <c r="G561" s="799"/>
      <c r="H561" s="1592">
        <f t="shared" si="24"/>
        <v>0</v>
      </c>
      <c r="I561" s="754" t="str">
        <f>IFERROR(VLOOKUP(B561,Mychart!$A$125:$B$911,2,FALSE),"-")</f>
        <v>MOZA - IBTESAM</v>
      </c>
      <c r="J561" s="753" t="str">
        <f t="shared" si="25"/>
        <v>-</v>
      </c>
      <c r="K561" s="1540">
        <f t="shared" si="26"/>
        <v>1900</v>
      </c>
      <c r="L561" s="757"/>
      <c r="M561" s="757"/>
      <c r="N561" s="757"/>
      <c r="O561" s="757"/>
      <c r="P561" s="757"/>
      <c r="Q561" s="757"/>
      <c r="R561" s="757"/>
      <c r="S561" s="757"/>
      <c r="T561" s="757"/>
      <c r="U561" s="757"/>
      <c r="V561" s="757"/>
      <c r="W561" s="757"/>
      <c r="X561" s="757"/>
      <c r="Y561" s="757"/>
      <c r="Z561" s="757"/>
      <c r="AA561" s="757"/>
      <c r="AB561" s="757"/>
      <c r="AC561" s="757"/>
      <c r="AD561" s="757"/>
      <c r="AE561" s="757"/>
      <c r="AF561" s="757"/>
      <c r="AG561" s="757"/>
      <c r="AH561" s="757"/>
      <c r="AI561" s="757"/>
      <c r="AJ561" s="757"/>
      <c r="AK561" s="757"/>
      <c r="AL561" s="757"/>
      <c r="AM561" s="757"/>
      <c r="AN561" s="757"/>
      <c r="AO561" s="757"/>
      <c r="AP561" s="757"/>
      <c r="AQ561" s="757"/>
      <c r="AR561" s="757"/>
      <c r="AS561" s="757"/>
      <c r="AT561" s="757"/>
      <c r="AU561" s="757"/>
      <c r="AV561" s="757"/>
      <c r="AW561" s="757"/>
      <c r="AX561" s="757"/>
      <c r="AY561" s="757"/>
      <c r="AZ561" s="75"/>
      <c r="BA561" s="2"/>
      <c r="BB561" s="2"/>
      <c r="BC561" s="2"/>
      <c r="BD561" s="2"/>
    </row>
    <row r="562" spans="1:56">
      <c r="A562" s="781">
        <v>2</v>
      </c>
      <c r="B562" s="782">
        <v>213</v>
      </c>
      <c r="C562" s="783"/>
      <c r="D562" s="783" t="s">
        <v>177</v>
      </c>
      <c r="E562" s="808">
        <v>257</v>
      </c>
      <c r="F562" s="799"/>
      <c r="G562" s="799"/>
      <c r="H562" s="1592">
        <f t="shared" si="24"/>
        <v>0</v>
      </c>
      <c r="I562" s="754" t="str">
        <f>IFERROR(VLOOKUP(B562,Mychart!$A$125:$B$911,2,FALSE),"-")</f>
        <v>MOZA - IBTESAM</v>
      </c>
      <c r="J562" s="753" t="str">
        <f t="shared" si="25"/>
        <v>-</v>
      </c>
      <c r="K562" s="1540">
        <f t="shared" si="26"/>
        <v>1900</v>
      </c>
      <c r="L562" s="757"/>
      <c r="M562" s="757"/>
      <c r="N562" s="757"/>
      <c r="O562" s="757"/>
      <c r="P562" s="757"/>
      <c r="Q562" s="757"/>
      <c r="R562" s="757"/>
      <c r="S562" s="757"/>
      <c r="T562" s="757"/>
      <c r="U562" s="757"/>
      <c r="V562" s="757"/>
      <c r="W562" s="757"/>
      <c r="X562" s="757"/>
      <c r="Y562" s="757"/>
      <c r="Z562" s="757"/>
      <c r="AA562" s="757"/>
      <c r="AB562" s="757"/>
      <c r="AC562" s="757"/>
      <c r="AD562" s="757"/>
      <c r="AE562" s="757"/>
      <c r="AF562" s="757"/>
      <c r="AG562" s="757"/>
      <c r="AH562" s="757"/>
      <c r="AI562" s="757"/>
      <c r="AJ562" s="757"/>
      <c r="AK562" s="757"/>
      <c r="AL562" s="757"/>
      <c r="AM562" s="757"/>
      <c r="AN562" s="757"/>
      <c r="AO562" s="757"/>
      <c r="AP562" s="757"/>
      <c r="AQ562" s="757"/>
      <c r="AR562" s="757"/>
      <c r="AS562" s="757"/>
      <c r="AT562" s="757"/>
      <c r="AU562" s="757"/>
      <c r="AV562" s="757"/>
      <c r="AW562" s="757"/>
      <c r="AX562" s="757"/>
      <c r="AY562" s="757"/>
      <c r="AZ562" s="75"/>
      <c r="BA562" s="2"/>
      <c r="BB562" s="2"/>
      <c r="BC562" s="2"/>
      <c r="BD562" s="2"/>
    </row>
    <row r="563" spans="1:56">
      <c r="A563" s="781">
        <v>2</v>
      </c>
      <c r="B563" s="782">
        <v>213</v>
      </c>
      <c r="C563" s="783"/>
      <c r="D563" s="783" t="s">
        <v>669</v>
      </c>
      <c r="E563" s="808">
        <v>183</v>
      </c>
      <c r="F563" s="799"/>
      <c r="G563" s="799"/>
      <c r="H563" s="1592">
        <f t="shared" si="24"/>
        <v>0</v>
      </c>
      <c r="I563" s="754" t="str">
        <f>IFERROR(VLOOKUP(B563,Mychart!$A$125:$B$911,2,FALSE),"-")</f>
        <v>MOZA - IBTESAM</v>
      </c>
      <c r="J563" s="753" t="str">
        <f t="shared" si="25"/>
        <v>-</v>
      </c>
      <c r="K563" s="1540">
        <f t="shared" si="26"/>
        <v>1900</v>
      </c>
      <c r="L563" s="757"/>
      <c r="M563" s="757"/>
      <c r="N563" s="757"/>
      <c r="O563" s="757"/>
      <c r="P563" s="757"/>
      <c r="Q563" s="757"/>
      <c r="R563" s="757"/>
      <c r="S563" s="757"/>
      <c r="T563" s="757"/>
      <c r="U563" s="757"/>
      <c r="V563" s="757"/>
      <c r="W563" s="757"/>
      <c r="X563" s="757"/>
      <c r="Y563" s="757"/>
      <c r="Z563" s="757"/>
      <c r="AA563" s="757"/>
      <c r="AB563" s="757"/>
      <c r="AC563" s="757"/>
      <c r="AD563" s="757"/>
      <c r="AE563" s="757"/>
      <c r="AF563" s="757"/>
      <c r="AG563" s="757"/>
      <c r="AH563" s="757"/>
      <c r="AI563" s="757"/>
      <c r="AJ563" s="757"/>
      <c r="AK563" s="757"/>
      <c r="AL563" s="757"/>
      <c r="AM563" s="757"/>
      <c r="AN563" s="757"/>
      <c r="AO563" s="757"/>
      <c r="AP563" s="757"/>
      <c r="AQ563" s="757"/>
      <c r="AR563" s="757"/>
      <c r="AS563" s="757"/>
      <c r="AT563" s="757"/>
      <c r="AU563" s="757"/>
      <c r="AV563" s="757"/>
      <c r="AW563" s="757"/>
      <c r="AX563" s="757"/>
      <c r="AY563" s="757"/>
      <c r="AZ563" s="75"/>
      <c r="BA563" s="2"/>
      <c r="BB563" s="2"/>
      <c r="BC563" s="2"/>
      <c r="BD563" s="2"/>
    </row>
    <row r="564" spans="1:56">
      <c r="A564" s="781">
        <v>2</v>
      </c>
      <c r="B564" s="782">
        <v>213</v>
      </c>
      <c r="C564" s="783"/>
      <c r="D564" s="783" t="s">
        <v>177</v>
      </c>
      <c r="E564" s="808">
        <v>76</v>
      </c>
      <c r="F564" s="799"/>
      <c r="G564" s="799"/>
      <c r="H564" s="1592">
        <f t="shared" si="24"/>
        <v>0</v>
      </c>
      <c r="I564" s="754" t="str">
        <f>IFERROR(VLOOKUP(B564,Mychart!$A$125:$B$911,2,FALSE),"-")</f>
        <v>MOZA - IBTESAM</v>
      </c>
      <c r="J564" s="753" t="str">
        <f t="shared" si="25"/>
        <v>-</v>
      </c>
      <c r="K564" s="1540">
        <f t="shared" si="26"/>
        <v>1900</v>
      </c>
      <c r="L564" s="757"/>
      <c r="M564" s="757"/>
      <c r="N564" s="757"/>
      <c r="O564" s="757"/>
      <c r="P564" s="757"/>
      <c r="Q564" s="757"/>
      <c r="R564" s="757"/>
      <c r="S564" s="757"/>
      <c r="T564" s="757"/>
      <c r="U564" s="757"/>
      <c r="V564" s="757"/>
      <c r="W564" s="757"/>
      <c r="X564" s="757"/>
      <c r="Y564" s="757"/>
      <c r="Z564" s="757"/>
      <c r="AA564" s="757"/>
      <c r="AB564" s="757"/>
      <c r="AC564" s="757"/>
      <c r="AD564" s="757"/>
      <c r="AE564" s="757"/>
      <c r="AF564" s="757"/>
      <c r="AG564" s="757"/>
      <c r="AH564" s="757"/>
      <c r="AI564" s="757"/>
      <c r="AJ564" s="757"/>
      <c r="AK564" s="757"/>
      <c r="AL564" s="757"/>
      <c r="AM564" s="757"/>
      <c r="AN564" s="757"/>
      <c r="AO564" s="757"/>
      <c r="AP564" s="757"/>
      <c r="AQ564" s="757"/>
      <c r="AR564" s="757"/>
      <c r="AS564" s="757"/>
      <c r="AT564" s="757"/>
      <c r="AU564" s="757"/>
      <c r="AV564" s="757"/>
      <c r="AW564" s="757"/>
      <c r="AX564" s="757"/>
      <c r="AY564" s="757"/>
      <c r="AZ564" s="75"/>
      <c r="BA564" s="2"/>
      <c r="BB564" s="2"/>
      <c r="BC564" s="2"/>
      <c r="BD564" s="2"/>
    </row>
    <row r="565" spans="1:56">
      <c r="A565" s="781">
        <v>2</v>
      </c>
      <c r="B565" s="782">
        <v>213</v>
      </c>
      <c r="C565" s="783"/>
      <c r="D565" s="783" t="s">
        <v>669</v>
      </c>
      <c r="E565" s="808">
        <v>317</v>
      </c>
      <c r="F565" s="799"/>
      <c r="G565" s="799"/>
      <c r="H565" s="1592">
        <f t="shared" si="24"/>
        <v>0</v>
      </c>
      <c r="I565" s="754" t="str">
        <f>IFERROR(VLOOKUP(B565,Mychart!$A$125:$B$911,2,FALSE),"-")</f>
        <v>MOZA - IBTESAM</v>
      </c>
      <c r="J565" s="753" t="str">
        <f t="shared" si="25"/>
        <v>-</v>
      </c>
      <c r="K565" s="1540">
        <f t="shared" si="26"/>
        <v>1900</v>
      </c>
      <c r="L565" s="757"/>
      <c r="M565" s="757"/>
      <c r="N565" s="757"/>
      <c r="O565" s="757"/>
      <c r="P565" s="757"/>
      <c r="Q565" s="757"/>
      <c r="R565" s="757"/>
      <c r="S565" s="757"/>
      <c r="T565" s="757"/>
      <c r="U565" s="757"/>
      <c r="V565" s="757"/>
      <c r="W565" s="757"/>
      <c r="X565" s="757"/>
      <c r="Y565" s="757"/>
      <c r="Z565" s="757"/>
      <c r="AA565" s="757"/>
      <c r="AB565" s="757"/>
      <c r="AC565" s="757"/>
      <c r="AD565" s="757"/>
      <c r="AE565" s="757"/>
      <c r="AF565" s="757"/>
      <c r="AG565" s="757"/>
      <c r="AH565" s="757"/>
      <c r="AI565" s="757"/>
      <c r="AJ565" s="757"/>
      <c r="AK565" s="757"/>
      <c r="AL565" s="757"/>
      <c r="AM565" s="757"/>
      <c r="AN565" s="757"/>
      <c r="AO565" s="757"/>
      <c r="AP565" s="757"/>
      <c r="AQ565" s="757"/>
      <c r="AR565" s="757"/>
      <c r="AS565" s="757"/>
      <c r="AT565" s="757"/>
      <c r="AU565" s="757"/>
      <c r="AV565" s="757"/>
      <c r="AW565" s="757"/>
      <c r="AX565" s="757"/>
      <c r="AY565" s="757"/>
      <c r="AZ565" s="75"/>
      <c r="BA565" s="2"/>
      <c r="BB565" s="2"/>
      <c r="BC565" s="2"/>
      <c r="BD565" s="2"/>
    </row>
    <row r="566" spans="1:56">
      <c r="A566" s="781">
        <v>2</v>
      </c>
      <c r="B566" s="782">
        <v>213</v>
      </c>
      <c r="C566" s="783"/>
      <c r="D566" s="783" t="s">
        <v>177</v>
      </c>
      <c r="E566" s="808">
        <v>585</v>
      </c>
      <c r="F566" s="799"/>
      <c r="G566" s="799"/>
      <c r="H566" s="1592">
        <f t="shared" si="24"/>
        <v>0</v>
      </c>
      <c r="I566" s="754" t="str">
        <f>IFERROR(VLOOKUP(B566,Mychart!$A$125:$B$911,2,FALSE),"-")</f>
        <v>MOZA - IBTESAM</v>
      </c>
      <c r="J566" s="753" t="str">
        <f t="shared" si="25"/>
        <v>-</v>
      </c>
      <c r="K566" s="1540">
        <f t="shared" si="26"/>
        <v>1900</v>
      </c>
      <c r="L566" s="757"/>
      <c r="M566" s="757"/>
      <c r="N566" s="757"/>
      <c r="O566" s="757"/>
      <c r="P566" s="757"/>
      <c r="Q566" s="757"/>
      <c r="R566" s="757"/>
      <c r="S566" s="757"/>
      <c r="T566" s="757"/>
      <c r="U566" s="757"/>
      <c r="V566" s="757"/>
      <c r="W566" s="757"/>
      <c r="X566" s="757"/>
      <c r="Y566" s="757"/>
      <c r="Z566" s="757"/>
      <c r="AA566" s="757"/>
      <c r="AB566" s="757"/>
      <c r="AC566" s="757"/>
      <c r="AD566" s="757"/>
      <c r="AE566" s="757"/>
      <c r="AF566" s="757"/>
      <c r="AG566" s="757"/>
      <c r="AH566" s="757"/>
      <c r="AI566" s="757"/>
      <c r="AJ566" s="757"/>
      <c r="AK566" s="757"/>
      <c r="AL566" s="757"/>
      <c r="AM566" s="757"/>
      <c r="AN566" s="757"/>
      <c r="AO566" s="757"/>
      <c r="AP566" s="757"/>
      <c r="AQ566" s="757"/>
      <c r="AR566" s="757"/>
      <c r="AS566" s="757"/>
      <c r="AT566" s="757"/>
      <c r="AU566" s="757"/>
      <c r="AV566" s="757"/>
      <c r="AW566" s="757"/>
      <c r="AX566" s="757"/>
      <c r="AY566" s="757"/>
      <c r="AZ566" s="75"/>
      <c r="BA566" s="2"/>
      <c r="BB566" s="2"/>
      <c r="BC566" s="2"/>
      <c r="BD566" s="2"/>
    </row>
    <row r="567" spans="1:56">
      <c r="A567" s="781">
        <v>2</v>
      </c>
      <c r="B567" s="782">
        <v>213</v>
      </c>
      <c r="C567" s="783"/>
      <c r="D567" s="791" t="s">
        <v>380</v>
      </c>
      <c r="E567" s="805">
        <v>147</v>
      </c>
      <c r="F567" s="799"/>
      <c r="G567" s="799"/>
      <c r="H567" s="1592">
        <f t="shared" si="24"/>
        <v>0</v>
      </c>
      <c r="I567" s="754" t="str">
        <f>IFERROR(VLOOKUP(B567,Mychart!$A$125:$B$911,2,FALSE),"-")</f>
        <v>MOZA - IBTESAM</v>
      </c>
      <c r="J567" s="753" t="str">
        <f t="shared" si="25"/>
        <v>-</v>
      </c>
      <c r="K567" s="1540">
        <f t="shared" si="26"/>
        <v>1900</v>
      </c>
      <c r="L567" s="757"/>
      <c r="M567" s="757"/>
      <c r="N567" s="757"/>
      <c r="O567" s="757"/>
      <c r="P567" s="757"/>
      <c r="Q567" s="757"/>
      <c r="R567" s="757"/>
      <c r="S567" s="757"/>
      <c r="T567" s="757"/>
      <c r="U567" s="757"/>
      <c r="V567" s="757"/>
      <c r="W567" s="757"/>
      <c r="X567" s="757"/>
      <c r="Y567" s="757"/>
      <c r="Z567" s="757"/>
      <c r="AA567" s="757"/>
      <c r="AB567" s="757"/>
      <c r="AC567" s="757"/>
      <c r="AD567" s="757"/>
      <c r="AE567" s="757"/>
      <c r="AF567" s="757"/>
      <c r="AG567" s="757"/>
      <c r="AH567" s="757"/>
      <c r="AI567" s="757"/>
      <c r="AJ567" s="757"/>
      <c r="AK567" s="757"/>
      <c r="AL567" s="757"/>
      <c r="AM567" s="757"/>
      <c r="AN567" s="757"/>
      <c r="AO567" s="757"/>
      <c r="AP567" s="757"/>
      <c r="AQ567" s="757"/>
      <c r="AR567" s="757"/>
      <c r="AS567" s="757"/>
      <c r="AT567" s="757"/>
      <c r="AU567" s="757"/>
      <c r="AV567" s="757"/>
      <c r="AW567" s="757"/>
      <c r="AX567" s="757"/>
      <c r="AY567" s="757"/>
      <c r="AZ567" s="75"/>
      <c r="BA567" s="2"/>
      <c r="BB567" s="2"/>
      <c r="BC567" s="2"/>
      <c r="BD567" s="2"/>
    </row>
    <row r="568" spans="1:56">
      <c r="A568" s="781">
        <v>2</v>
      </c>
      <c r="B568" s="782">
        <v>213</v>
      </c>
      <c r="C568" s="783">
        <v>45260</v>
      </c>
      <c r="D568" s="791" t="s">
        <v>177</v>
      </c>
      <c r="E568" s="805">
        <v>1647</v>
      </c>
      <c r="F568" s="799"/>
      <c r="G568" s="799"/>
      <c r="H568" s="1592">
        <f t="shared" si="24"/>
        <v>0</v>
      </c>
      <c r="I568" s="754" t="str">
        <f>IFERROR(VLOOKUP(B568,Mychart!$A$125:$B$911,2,FALSE),"-")</f>
        <v>MOZA - IBTESAM</v>
      </c>
      <c r="J568" s="753">
        <f t="shared" si="25"/>
        <v>11</v>
      </c>
      <c r="K568" s="1540">
        <f t="shared" si="26"/>
        <v>2023</v>
      </c>
      <c r="L568" s="757"/>
      <c r="M568" s="757"/>
      <c r="N568" s="757"/>
      <c r="O568" s="757"/>
      <c r="P568" s="757"/>
      <c r="Q568" s="757"/>
      <c r="R568" s="757"/>
      <c r="S568" s="757"/>
      <c r="T568" s="757"/>
      <c r="U568" s="757"/>
      <c r="V568" s="757"/>
      <c r="W568" s="757"/>
      <c r="X568" s="757"/>
      <c r="Y568" s="757"/>
      <c r="Z568" s="757"/>
      <c r="AA568" s="757"/>
      <c r="AB568" s="757"/>
      <c r="AC568" s="757"/>
      <c r="AD568" s="757"/>
      <c r="AE568" s="757"/>
      <c r="AF568" s="757"/>
      <c r="AG568" s="757"/>
      <c r="AH568" s="757"/>
      <c r="AI568" s="757"/>
      <c r="AJ568" s="757"/>
      <c r="AK568" s="757"/>
      <c r="AL568" s="757"/>
      <c r="AM568" s="757"/>
      <c r="AN568" s="757"/>
      <c r="AO568" s="757"/>
      <c r="AP568" s="757"/>
      <c r="AQ568" s="757"/>
      <c r="AR568" s="757"/>
      <c r="AS568" s="757"/>
      <c r="AT568" s="757"/>
      <c r="AU568" s="757"/>
      <c r="AV568" s="757"/>
      <c r="AW568" s="757"/>
      <c r="AX568" s="757"/>
      <c r="AY568" s="757"/>
      <c r="AZ568" s="75"/>
      <c r="BA568" s="2"/>
      <c r="BB568" s="2"/>
      <c r="BC568" s="2"/>
      <c r="BD568" s="2"/>
    </row>
    <row r="569" spans="1:56">
      <c r="A569" s="781">
        <v>2</v>
      </c>
      <c r="B569" s="782">
        <v>213</v>
      </c>
      <c r="C569" s="783">
        <v>45253</v>
      </c>
      <c r="D569" s="791" t="s">
        <v>670</v>
      </c>
      <c r="E569" s="808">
        <v>8953.8700000000008</v>
      </c>
      <c r="F569" s="799"/>
      <c r="G569" s="799"/>
      <c r="H569" s="1592">
        <f t="shared" si="24"/>
        <v>0</v>
      </c>
      <c r="I569" s="754" t="str">
        <f>IFERROR(VLOOKUP(B569,Mychart!$A$125:$B$911,2,FALSE),"-")</f>
        <v>MOZA - IBTESAM</v>
      </c>
      <c r="J569" s="753">
        <f t="shared" si="25"/>
        <v>11</v>
      </c>
      <c r="K569" s="1540">
        <f t="shared" si="26"/>
        <v>2023</v>
      </c>
      <c r="L569" s="757"/>
      <c r="M569" s="757"/>
      <c r="N569" s="757"/>
      <c r="O569" s="757"/>
      <c r="P569" s="757"/>
      <c r="Q569" s="757"/>
      <c r="R569" s="757"/>
      <c r="S569" s="757"/>
      <c r="T569" s="757"/>
      <c r="U569" s="757"/>
      <c r="V569" s="757"/>
      <c r="W569" s="757"/>
      <c r="X569" s="757"/>
      <c r="Y569" s="757"/>
      <c r="Z569" s="757"/>
      <c r="AA569" s="757"/>
      <c r="AB569" s="757"/>
      <c r="AC569" s="757"/>
      <c r="AD569" s="757"/>
      <c r="AE569" s="757"/>
      <c r="AF569" s="757"/>
      <c r="AG569" s="757"/>
      <c r="AH569" s="757"/>
      <c r="AI569" s="757"/>
      <c r="AJ569" s="757"/>
      <c r="AK569" s="757"/>
      <c r="AL569" s="757"/>
      <c r="AM569" s="757"/>
      <c r="AN569" s="757"/>
      <c r="AO569" s="757"/>
      <c r="AP569" s="757"/>
      <c r="AQ569" s="757"/>
      <c r="AR569" s="757"/>
      <c r="AS569" s="757"/>
      <c r="AT569" s="757"/>
      <c r="AU569" s="757"/>
      <c r="AV569" s="757"/>
      <c r="AW569" s="757"/>
      <c r="AX569" s="757"/>
      <c r="AY569" s="757"/>
      <c r="AZ569" s="75"/>
      <c r="BA569" s="2"/>
      <c r="BB569" s="2"/>
      <c r="BC569" s="2"/>
      <c r="BD569" s="2"/>
    </row>
    <row r="570" spans="1:56">
      <c r="A570" s="781">
        <v>2</v>
      </c>
      <c r="B570" s="782">
        <v>213</v>
      </c>
      <c r="C570" s="783">
        <v>45291</v>
      </c>
      <c r="D570" s="791" t="s">
        <v>191</v>
      </c>
      <c r="E570" s="808">
        <v>86</v>
      </c>
      <c r="F570" s="799"/>
      <c r="G570" s="799"/>
      <c r="H570" s="1592">
        <f t="shared" si="24"/>
        <v>0</v>
      </c>
      <c r="I570" s="754" t="str">
        <f>IFERROR(VLOOKUP(B570,Mychart!$A$125:$B$911,2,FALSE),"-")</f>
        <v>MOZA - IBTESAM</v>
      </c>
      <c r="J570" s="753">
        <f t="shared" si="25"/>
        <v>12</v>
      </c>
      <c r="K570" s="1540">
        <f t="shared" si="26"/>
        <v>2023</v>
      </c>
      <c r="L570" s="757"/>
      <c r="M570" s="757"/>
      <c r="N570" s="757"/>
      <c r="O570" s="757"/>
      <c r="P570" s="757"/>
      <c r="Q570" s="757"/>
      <c r="R570" s="757"/>
      <c r="S570" s="757"/>
      <c r="T570" s="757"/>
      <c r="U570" s="757"/>
      <c r="V570" s="757"/>
      <c r="W570" s="757"/>
      <c r="X570" s="757"/>
      <c r="Y570" s="757"/>
      <c r="Z570" s="757"/>
      <c r="AA570" s="757"/>
      <c r="AB570" s="757"/>
      <c r="AC570" s="757"/>
      <c r="AD570" s="757"/>
      <c r="AE570" s="757"/>
      <c r="AF570" s="757"/>
      <c r="AG570" s="757"/>
      <c r="AH570" s="757"/>
      <c r="AI570" s="757"/>
      <c r="AJ570" s="757"/>
      <c r="AK570" s="757"/>
      <c r="AL570" s="757"/>
      <c r="AM570" s="757"/>
      <c r="AN570" s="757"/>
      <c r="AO570" s="757"/>
      <c r="AP570" s="757"/>
      <c r="AQ570" s="757"/>
      <c r="AR570" s="757"/>
      <c r="AS570" s="757"/>
      <c r="AT570" s="757"/>
      <c r="AU570" s="757"/>
      <c r="AV570" s="757"/>
      <c r="AW570" s="757"/>
      <c r="AX570" s="757"/>
      <c r="AY570" s="757"/>
      <c r="AZ570" s="75"/>
      <c r="BA570" s="2"/>
      <c r="BB570" s="2"/>
      <c r="BC570" s="2"/>
      <c r="BD570" s="2"/>
    </row>
    <row r="571" spans="1:56">
      <c r="A571" s="781">
        <v>2</v>
      </c>
      <c r="B571" s="782">
        <v>213</v>
      </c>
      <c r="C571" s="783">
        <v>45412</v>
      </c>
      <c r="D571" s="791" t="s">
        <v>177</v>
      </c>
      <c r="E571" s="808">
        <v>1654</v>
      </c>
      <c r="F571" s="799"/>
      <c r="G571" s="799"/>
      <c r="H571" s="1592">
        <f t="shared" si="24"/>
        <v>0</v>
      </c>
      <c r="I571" s="754" t="str">
        <f>IFERROR(VLOOKUP(B571,Mychart!$A$125:$B$911,2,FALSE),"-")</f>
        <v>MOZA - IBTESAM</v>
      </c>
      <c r="J571" s="753">
        <f t="shared" si="25"/>
        <v>4</v>
      </c>
      <c r="K571" s="1540">
        <f t="shared" si="26"/>
        <v>2024</v>
      </c>
      <c r="L571" s="757"/>
      <c r="M571" s="757"/>
      <c r="N571" s="757"/>
      <c r="O571" s="757"/>
      <c r="P571" s="757"/>
      <c r="Q571" s="757"/>
      <c r="R571" s="757"/>
      <c r="S571" s="757"/>
      <c r="T571" s="757"/>
      <c r="U571" s="757"/>
      <c r="V571" s="757"/>
      <c r="W571" s="757"/>
      <c r="X571" s="757"/>
      <c r="Y571" s="757"/>
      <c r="Z571" s="757"/>
      <c r="AA571" s="757"/>
      <c r="AB571" s="757"/>
      <c r="AC571" s="757"/>
      <c r="AD571" s="757"/>
      <c r="AE571" s="757"/>
      <c r="AF571" s="757"/>
      <c r="AG571" s="757"/>
      <c r="AH571" s="757"/>
      <c r="AI571" s="757"/>
      <c r="AJ571" s="757"/>
      <c r="AK571" s="757"/>
      <c r="AL571" s="757"/>
      <c r="AM571" s="757"/>
      <c r="AN571" s="757"/>
      <c r="AO571" s="757"/>
      <c r="AP571" s="757"/>
      <c r="AQ571" s="757"/>
      <c r="AR571" s="757"/>
      <c r="AS571" s="757"/>
      <c r="AT571" s="757"/>
      <c r="AU571" s="757"/>
      <c r="AV571" s="757"/>
      <c r="AW571" s="757"/>
      <c r="AX571" s="757"/>
      <c r="AY571" s="757"/>
      <c r="AZ571" s="75"/>
      <c r="BA571" s="2"/>
      <c r="BB571" s="2"/>
      <c r="BC571" s="2"/>
      <c r="BD571" s="2"/>
    </row>
    <row r="572" spans="1:56">
      <c r="A572" s="781">
        <v>1</v>
      </c>
      <c r="B572" s="782">
        <v>216</v>
      </c>
      <c r="C572" s="783">
        <v>44916</v>
      </c>
      <c r="D572" s="786" t="s">
        <v>676</v>
      </c>
      <c r="E572" s="807"/>
      <c r="F572" s="798">
        <v>24750</v>
      </c>
      <c r="G572" s="798">
        <v>1237.5</v>
      </c>
      <c r="H572" s="1592">
        <f t="shared" si="24"/>
        <v>25987.5</v>
      </c>
      <c r="I572" s="754" t="str">
        <f>IFERROR(VLOOKUP(B572,Mychart!$A$125:$B$911,2,FALSE),"-")</f>
        <v>MUHAIR . AREEJ ( 165000 )</v>
      </c>
      <c r="J572" s="753">
        <f t="shared" si="25"/>
        <v>12</v>
      </c>
      <c r="K572" s="1540">
        <f t="shared" si="26"/>
        <v>2022</v>
      </c>
      <c r="L572" s="757"/>
      <c r="M572" s="757"/>
      <c r="N572" s="757"/>
      <c r="O572" s="757"/>
      <c r="P572" s="757"/>
      <c r="Q572" s="757"/>
      <c r="R572" s="757"/>
      <c r="S572" s="757"/>
      <c r="T572" s="757"/>
      <c r="U572" s="757"/>
      <c r="V572" s="757"/>
      <c r="W572" s="757"/>
      <c r="X572" s="757"/>
      <c r="Y572" s="757"/>
      <c r="Z572" s="757"/>
      <c r="AA572" s="757"/>
      <c r="AB572" s="757"/>
      <c r="AC572" s="757"/>
      <c r="AD572" s="757"/>
      <c r="AE572" s="757"/>
      <c r="AF572" s="757"/>
      <c r="AG572" s="757"/>
      <c r="AH572" s="757"/>
      <c r="AI572" s="757"/>
      <c r="AJ572" s="757"/>
      <c r="AK572" s="757"/>
      <c r="AL572" s="757"/>
      <c r="AM572" s="757"/>
      <c r="AN572" s="757"/>
      <c r="AO572" s="757"/>
      <c r="AP572" s="757"/>
      <c r="AQ572" s="757"/>
      <c r="AR572" s="757"/>
      <c r="AS572" s="757"/>
      <c r="AT572" s="757"/>
      <c r="AU572" s="757"/>
      <c r="AV572" s="757"/>
      <c r="AW572" s="757"/>
      <c r="AX572" s="757"/>
      <c r="AY572" s="757"/>
      <c r="AZ572" s="75"/>
      <c r="BA572" s="2"/>
      <c r="BB572" s="2"/>
      <c r="BC572" s="2"/>
      <c r="BD572" s="2"/>
    </row>
    <row r="573" spans="1:56">
      <c r="A573" s="781">
        <v>1</v>
      </c>
      <c r="B573" s="782">
        <v>216</v>
      </c>
      <c r="C573" s="783">
        <v>45301</v>
      </c>
      <c r="D573" s="784" t="s">
        <v>677</v>
      </c>
      <c r="E573" s="807"/>
      <c r="F573" s="798">
        <v>60720</v>
      </c>
      <c r="G573" s="798">
        <v>3036</v>
      </c>
      <c r="H573" s="1592">
        <f t="shared" si="24"/>
        <v>63756</v>
      </c>
      <c r="I573" s="754" t="str">
        <f>IFERROR(VLOOKUP(B573,Mychart!$A$125:$B$911,2,FALSE),"-")</f>
        <v>MUHAIR . AREEJ ( 165000 )</v>
      </c>
      <c r="J573" s="753">
        <f t="shared" si="25"/>
        <v>1</v>
      </c>
      <c r="K573" s="1540">
        <f t="shared" si="26"/>
        <v>2024</v>
      </c>
      <c r="L573" s="757"/>
      <c r="M573" s="757"/>
      <c r="N573" s="757"/>
      <c r="O573" s="757"/>
      <c r="P573" s="757"/>
      <c r="Q573" s="757"/>
      <c r="R573" s="757"/>
      <c r="S573" s="757"/>
      <c r="T573" s="757"/>
      <c r="U573" s="757"/>
      <c r="V573" s="757"/>
      <c r="W573" s="757"/>
      <c r="X573" s="757"/>
      <c r="Y573" s="757"/>
      <c r="Z573" s="757"/>
      <c r="AA573" s="757"/>
      <c r="AB573" s="757"/>
      <c r="AC573" s="757"/>
      <c r="AD573" s="757"/>
      <c r="AE573" s="757"/>
      <c r="AF573" s="757"/>
      <c r="AG573" s="757"/>
      <c r="AH573" s="757"/>
      <c r="AI573" s="757"/>
      <c r="AJ573" s="757"/>
      <c r="AK573" s="757"/>
      <c r="AL573" s="757"/>
      <c r="AM573" s="757"/>
      <c r="AN573" s="757"/>
      <c r="AO573" s="757"/>
      <c r="AP573" s="757"/>
      <c r="AQ573" s="757"/>
      <c r="AR573" s="757"/>
      <c r="AS573" s="757"/>
      <c r="AT573" s="757"/>
      <c r="AU573" s="757"/>
      <c r="AV573" s="757"/>
      <c r="AW573" s="757"/>
      <c r="AX573" s="757"/>
      <c r="AY573" s="757"/>
      <c r="AZ573" s="75"/>
      <c r="BA573" s="2"/>
      <c r="BB573" s="2"/>
      <c r="BC573" s="2"/>
      <c r="BD573" s="2"/>
    </row>
    <row r="574" spans="1:56">
      <c r="A574" s="781">
        <v>1</v>
      </c>
      <c r="B574" s="782">
        <v>216</v>
      </c>
      <c r="C574" s="783" t="s">
        <v>678</v>
      </c>
      <c r="D574" s="784" t="s">
        <v>420</v>
      </c>
      <c r="E574" s="807"/>
      <c r="F574" s="798">
        <v>62040</v>
      </c>
      <c r="G574" s="798">
        <v>3102</v>
      </c>
      <c r="H574" s="1592">
        <f t="shared" si="24"/>
        <v>65142</v>
      </c>
      <c r="I574" s="754" t="str">
        <f>IFERROR(VLOOKUP(B574,Mychart!$A$125:$B$911,2,FALSE),"-")</f>
        <v>MUHAIR . AREEJ ( 165000 )</v>
      </c>
      <c r="J574" s="753">
        <f t="shared" si="25"/>
        <v>4</v>
      </c>
      <c r="K574" s="1540">
        <f t="shared" si="26"/>
        <v>2024</v>
      </c>
      <c r="L574" s="757"/>
      <c r="M574" s="757"/>
      <c r="N574" s="757"/>
      <c r="O574" s="757"/>
      <c r="P574" s="757"/>
      <c r="Q574" s="757"/>
      <c r="R574" s="757"/>
      <c r="S574" s="757"/>
      <c r="T574" s="757"/>
      <c r="U574" s="757"/>
      <c r="V574" s="757"/>
      <c r="W574" s="757"/>
      <c r="X574" s="757"/>
      <c r="Y574" s="757"/>
      <c r="Z574" s="757"/>
      <c r="AA574" s="757"/>
      <c r="AB574" s="757"/>
      <c r="AC574" s="757"/>
      <c r="AD574" s="757"/>
      <c r="AE574" s="757"/>
      <c r="AF574" s="757"/>
      <c r="AG574" s="757"/>
      <c r="AH574" s="757"/>
      <c r="AI574" s="757"/>
      <c r="AJ574" s="757"/>
      <c r="AK574" s="757"/>
      <c r="AL574" s="757"/>
      <c r="AM574" s="757"/>
      <c r="AN574" s="757"/>
      <c r="AO574" s="757"/>
      <c r="AP574" s="757"/>
      <c r="AQ574" s="757"/>
      <c r="AR574" s="757"/>
      <c r="AS574" s="757"/>
      <c r="AT574" s="757"/>
      <c r="AU574" s="757"/>
      <c r="AV574" s="757"/>
      <c r="AW574" s="757"/>
      <c r="AX574" s="757"/>
      <c r="AY574" s="757"/>
      <c r="AZ574" s="75"/>
      <c r="BA574" s="2"/>
      <c r="BB574" s="2"/>
      <c r="BC574" s="2"/>
      <c r="BD574" s="2"/>
    </row>
    <row r="575" spans="1:56">
      <c r="A575" s="781">
        <v>2</v>
      </c>
      <c r="B575" s="782">
        <v>216</v>
      </c>
      <c r="C575" s="783">
        <v>44916</v>
      </c>
      <c r="D575" s="783" t="s">
        <v>538</v>
      </c>
      <c r="E575" s="808">
        <v>8250</v>
      </c>
      <c r="F575" s="799"/>
      <c r="G575" s="799"/>
      <c r="H575" s="1592">
        <f t="shared" si="24"/>
        <v>0</v>
      </c>
      <c r="I575" s="754" t="str">
        <f>IFERROR(VLOOKUP(B575,Mychart!$A$125:$B$911,2,FALSE),"-")</f>
        <v>MUHAIR . AREEJ ( 165000 )</v>
      </c>
      <c r="J575" s="753">
        <f t="shared" si="25"/>
        <v>12</v>
      </c>
      <c r="K575" s="1540">
        <f t="shared" si="26"/>
        <v>2022</v>
      </c>
      <c r="L575" s="757"/>
      <c r="M575" s="757"/>
      <c r="N575" s="757"/>
      <c r="O575" s="757"/>
      <c r="P575" s="757"/>
      <c r="Q575" s="757"/>
      <c r="R575" s="757"/>
      <c r="S575" s="757"/>
      <c r="T575" s="757"/>
      <c r="U575" s="757"/>
      <c r="V575" s="757"/>
      <c r="W575" s="757"/>
      <c r="X575" s="757"/>
      <c r="Y575" s="757"/>
      <c r="Z575" s="757"/>
      <c r="AA575" s="757"/>
      <c r="AB575" s="757"/>
      <c r="AC575" s="757"/>
      <c r="AD575" s="757"/>
      <c r="AE575" s="757"/>
      <c r="AF575" s="757"/>
      <c r="AG575" s="757"/>
      <c r="AH575" s="757"/>
      <c r="AI575" s="757"/>
      <c r="AJ575" s="757"/>
      <c r="AK575" s="757"/>
      <c r="AL575" s="757"/>
      <c r="AM575" s="757"/>
      <c r="AN575" s="757"/>
      <c r="AO575" s="757"/>
      <c r="AP575" s="757"/>
      <c r="AQ575" s="757"/>
      <c r="AR575" s="757"/>
      <c r="AS575" s="757"/>
      <c r="AT575" s="757"/>
      <c r="AU575" s="757"/>
      <c r="AV575" s="757"/>
      <c r="AW575" s="757"/>
      <c r="AX575" s="757"/>
      <c r="AY575" s="757"/>
      <c r="AZ575" s="75"/>
      <c r="BA575" s="2"/>
      <c r="BB575" s="2"/>
      <c r="BC575" s="2"/>
      <c r="BD575" s="2"/>
    </row>
    <row r="576" spans="1:56">
      <c r="A576" s="781">
        <v>2</v>
      </c>
      <c r="B576" s="782">
        <v>216</v>
      </c>
      <c r="C576" s="783">
        <v>44936</v>
      </c>
      <c r="D576" s="783" t="s">
        <v>177</v>
      </c>
      <c r="E576" s="808">
        <v>3238</v>
      </c>
      <c r="F576" s="799"/>
      <c r="G576" s="799"/>
      <c r="H576" s="1592">
        <f t="shared" si="24"/>
        <v>0</v>
      </c>
      <c r="I576" s="754" t="str">
        <f>IFERROR(VLOOKUP(B576,Mychart!$A$125:$B$911,2,FALSE),"-")</f>
        <v>MUHAIR . AREEJ ( 165000 )</v>
      </c>
      <c r="J576" s="753">
        <f t="shared" si="25"/>
        <v>1</v>
      </c>
      <c r="K576" s="1540">
        <f t="shared" si="26"/>
        <v>2023</v>
      </c>
      <c r="L576" s="757"/>
      <c r="M576" s="757"/>
      <c r="N576" s="757"/>
      <c r="O576" s="757"/>
      <c r="P576" s="757"/>
      <c r="Q576" s="757"/>
      <c r="R576" s="757"/>
      <c r="S576" s="757"/>
      <c r="T576" s="757"/>
      <c r="U576" s="757"/>
      <c r="V576" s="757"/>
      <c r="W576" s="757"/>
      <c r="X576" s="757"/>
      <c r="Y576" s="757"/>
      <c r="Z576" s="757"/>
      <c r="AA576" s="757"/>
      <c r="AB576" s="757"/>
      <c r="AC576" s="757"/>
      <c r="AD576" s="757"/>
      <c r="AE576" s="757"/>
      <c r="AF576" s="757"/>
      <c r="AG576" s="757"/>
      <c r="AH576" s="757"/>
      <c r="AI576" s="757"/>
      <c r="AJ576" s="757"/>
      <c r="AK576" s="757"/>
      <c r="AL576" s="757"/>
      <c r="AM576" s="757"/>
      <c r="AN576" s="757"/>
      <c r="AO576" s="757"/>
      <c r="AP576" s="757"/>
      <c r="AQ576" s="757"/>
      <c r="AR576" s="757"/>
      <c r="AS576" s="757"/>
      <c r="AT576" s="757"/>
      <c r="AU576" s="757"/>
      <c r="AV576" s="757"/>
      <c r="AW576" s="757"/>
      <c r="AX576" s="757"/>
      <c r="AY576" s="757"/>
      <c r="AZ576" s="75"/>
      <c r="BA576" s="2"/>
      <c r="BB576" s="2"/>
      <c r="BC576" s="2"/>
      <c r="BD576" s="2"/>
    </row>
    <row r="577" spans="1:56">
      <c r="A577" s="781">
        <v>2</v>
      </c>
      <c r="B577" s="782">
        <v>216</v>
      </c>
      <c r="C577" s="783">
        <v>44933</v>
      </c>
      <c r="D577" s="783" t="s">
        <v>258</v>
      </c>
      <c r="E577" s="808">
        <v>4700</v>
      </c>
      <c r="F577" s="799"/>
      <c r="G577" s="799"/>
      <c r="H577" s="1592">
        <f t="shared" si="24"/>
        <v>0</v>
      </c>
      <c r="I577" s="754" t="str">
        <f>IFERROR(VLOOKUP(B577,Mychart!$A$125:$B$911,2,FALSE),"-")</f>
        <v>MUHAIR . AREEJ ( 165000 )</v>
      </c>
      <c r="J577" s="753">
        <f t="shared" si="25"/>
        <v>1</v>
      </c>
      <c r="K577" s="1540">
        <f t="shared" si="26"/>
        <v>2023</v>
      </c>
      <c r="L577" s="757"/>
      <c r="M577" s="757"/>
      <c r="N577" s="757"/>
      <c r="O577" s="757"/>
      <c r="P577" s="757"/>
      <c r="Q577" s="757"/>
      <c r="R577" s="757"/>
      <c r="S577" s="757"/>
      <c r="T577" s="757"/>
      <c r="U577" s="757"/>
      <c r="V577" s="757"/>
      <c r="W577" s="757"/>
      <c r="X577" s="757"/>
      <c r="Y577" s="757"/>
      <c r="Z577" s="757"/>
      <c r="AA577" s="757"/>
      <c r="AB577" s="757"/>
      <c r="AC577" s="757"/>
      <c r="AD577" s="757"/>
      <c r="AE577" s="757"/>
      <c r="AF577" s="757"/>
      <c r="AG577" s="757"/>
      <c r="AH577" s="757"/>
      <c r="AI577" s="757"/>
      <c r="AJ577" s="757"/>
      <c r="AK577" s="757"/>
      <c r="AL577" s="757"/>
      <c r="AM577" s="757"/>
      <c r="AN577" s="757"/>
      <c r="AO577" s="757"/>
      <c r="AP577" s="757"/>
      <c r="AQ577" s="757"/>
      <c r="AR577" s="757"/>
      <c r="AS577" s="757"/>
      <c r="AT577" s="757"/>
      <c r="AU577" s="757"/>
      <c r="AV577" s="757"/>
      <c r="AW577" s="757"/>
      <c r="AX577" s="757"/>
      <c r="AY577" s="757"/>
      <c r="AZ577" s="75"/>
      <c r="BA577" s="2"/>
      <c r="BB577" s="2"/>
      <c r="BC577" s="2"/>
      <c r="BD577" s="2"/>
    </row>
    <row r="578" spans="1:56">
      <c r="A578" s="781">
        <v>2</v>
      </c>
      <c r="B578" s="782">
        <v>216</v>
      </c>
      <c r="C578" s="783"/>
      <c r="D578" s="783" t="s">
        <v>499</v>
      </c>
      <c r="E578" s="808">
        <v>500</v>
      </c>
      <c r="F578" s="799"/>
      <c r="G578" s="799"/>
      <c r="H578" s="1592">
        <f t="shared" si="24"/>
        <v>0</v>
      </c>
      <c r="I578" s="754" t="str">
        <f>IFERROR(VLOOKUP(B578,Mychart!$A$125:$B$911,2,FALSE),"-")</f>
        <v>MUHAIR . AREEJ ( 165000 )</v>
      </c>
      <c r="J578" s="753" t="str">
        <f t="shared" si="25"/>
        <v>-</v>
      </c>
      <c r="K578" s="1540">
        <f t="shared" si="26"/>
        <v>1900</v>
      </c>
      <c r="L578" s="757"/>
      <c r="M578" s="757"/>
      <c r="N578" s="757"/>
      <c r="O578" s="757"/>
      <c r="P578" s="757"/>
      <c r="Q578" s="757"/>
      <c r="R578" s="757"/>
      <c r="S578" s="757"/>
      <c r="T578" s="757"/>
      <c r="U578" s="757"/>
      <c r="V578" s="757"/>
      <c r="W578" s="757"/>
      <c r="X578" s="757"/>
      <c r="Y578" s="757"/>
      <c r="Z578" s="757"/>
      <c r="AA578" s="757"/>
      <c r="AB578" s="757"/>
      <c r="AC578" s="757"/>
      <c r="AD578" s="757"/>
      <c r="AE578" s="757"/>
      <c r="AF578" s="757"/>
      <c r="AG578" s="757"/>
      <c r="AH578" s="757"/>
      <c r="AI578" s="757"/>
      <c r="AJ578" s="757"/>
      <c r="AK578" s="757"/>
      <c r="AL578" s="757"/>
      <c r="AM578" s="757"/>
      <c r="AN578" s="757"/>
      <c r="AO578" s="757"/>
      <c r="AP578" s="757"/>
      <c r="AQ578" s="757"/>
      <c r="AR578" s="757"/>
      <c r="AS578" s="757"/>
      <c r="AT578" s="757"/>
      <c r="AU578" s="757"/>
      <c r="AV578" s="757"/>
      <c r="AW578" s="757"/>
      <c r="AX578" s="757"/>
      <c r="AY578" s="757"/>
      <c r="AZ578" s="75"/>
      <c r="BA578" s="2"/>
      <c r="BB578" s="2"/>
      <c r="BC578" s="2"/>
      <c r="BD578" s="2"/>
    </row>
    <row r="579" spans="1:56">
      <c r="A579" s="781">
        <v>2</v>
      </c>
      <c r="B579" s="782">
        <v>216</v>
      </c>
      <c r="C579" s="783"/>
      <c r="D579" s="783" t="s">
        <v>655</v>
      </c>
      <c r="E579" s="808">
        <v>305</v>
      </c>
      <c r="F579" s="799"/>
      <c r="G579" s="799"/>
      <c r="H579" s="1592">
        <f t="shared" si="24"/>
        <v>0</v>
      </c>
      <c r="I579" s="754" t="str">
        <f>IFERROR(VLOOKUP(B579,Mychart!$A$125:$B$911,2,FALSE),"-")</f>
        <v>MUHAIR . AREEJ ( 165000 )</v>
      </c>
      <c r="J579" s="753" t="str">
        <f t="shared" si="25"/>
        <v>-</v>
      </c>
      <c r="K579" s="1540">
        <f t="shared" si="26"/>
        <v>1900</v>
      </c>
      <c r="L579" s="757"/>
      <c r="M579" s="757"/>
      <c r="N579" s="757"/>
      <c r="O579" s="757"/>
      <c r="P579" s="757"/>
      <c r="Q579" s="757"/>
      <c r="R579" s="757"/>
      <c r="S579" s="757"/>
      <c r="T579" s="757"/>
      <c r="U579" s="757"/>
      <c r="V579" s="757"/>
      <c r="W579" s="757"/>
      <c r="X579" s="757"/>
      <c r="Y579" s="757"/>
      <c r="Z579" s="757"/>
      <c r="AA579" s="757"/>
      <c r="AB579" s="757"/>
      <c r="AC579" s="757"/>
      <c r="AD579" s="757"/>
      <c r="AE579" s="757"/>
      <c r="AF579" s="757"/>
      <c r="AG579" s="757"/>
      <c r="AH579" s="757"/>
      <c r="AI579" s="757"/>
      <c r="AJ579" s="757"/>
      <c r="AK579" s="757"/>
      <c r="AL579" s="757"/>
      <c r="AM579" s="757"/>
      <c r="AN579" s="757"/>
      <c r="AO579" s="757"/>
      <c r="AP579" s="757"/>
      <c r="AQ579" s="757"/>
      <c r="AR579" s="757"/>
      <c r="AS579" s="757"/>
      <c r="AT579" s="757"/>
      <c r="AU579" s="757"/>
      <c r="AV579" s="757"/>
      <c r="AW579" s="757"/>
      <c r="AX579" s="757"/>
      <c r="AY579" s="757"/>
      <c r="AZ579" s="75"/>
      <c r="BA579" s="2"/>
      <c r="BB579" s="2"/>
      <c r="BC579" s="2"/>
      <c r="BD579" s="2"/>
    </row>
    <row r="580" spans="1:56">
      <c r="A580" s="781">
        <v>2</v>
      </c>
      <c r="B580" s="782">
        <v>216</v>
      </c>
      <c r="C580" s="783">
        <v>45322</v>
      </c>
      <c r="D580" s="783" t="s">
        <v>177</v>
      </c>
      <c r="E580" s="808">
        <v>3963</v>
      </c>
      <c r="F580" s="799"/>
      <c r="G580" s="799"/>
      <c r="H580" s="1592">
        <f t="shared" si="24"/>
        <v>0</v>
      </c>
      <c r="I580" s="754" t="str">
        <f>IFERROR(VLOOKUP(B580,Mychart!$A$125:$B$911,2,FALSE),"-")</f>
        <v>MUHAIR . AREEJ ( 165000 )</v>
      </c>
      <c r="J580" s="753">
        <f t="shared" si="25"/>
        <v>1</v>
      </c>
      <c r="K580" s="1540">
        <f t="shared" si="26"/>
        <v>2024</v>
      </c>
      <c r="L580" s="757"/>
      <c r="M580" s="757"/>
      <c r="N580" s="757"/>
      <c r="O580" s="757"/>
      <c r="P580" s="757"/>
      <c r="Q580" s="757"/>
      <c r="R580" s="757"/>
      <c r="S580" s="757"/>
      <c r="T580" s="757"/>
      <c r="U580" s="757"/>
      <c r="V580" s="757"/>
      <c r="W580" s="757"/>
      <c r="X580" s="757"/>
      <c r="Y580" s="757"/>
      <c r="Z580" s="757"/>
      <c r="AA580" s="757"/>
      <c r="AB580" s="757"/>
      <c r="AC580" s="757"/>
      <c r="AD580" s="757"/>
      <c r="AE580" s="757"/>
      <c r="AF580" s="757"/>
      <c r="AG580" s="757"/>
      <c r="AH580" s="757"/>
      <c r="AI580" s="757"/>
      <c r="AJ580" s="757"/>
      <c r="AK580" s="757"/>
      <c r="AL580" s="757"/>
      <c r="AM580" s="757"/>
      <c r="AN580" s="757"/>
      <c r="AO580" s="757"/>
      <c r="AP580" s="757"/>
      <c r="AQ580" s="757"/>
      <c r="AR580" s="757"/>
      <c r="AS580" s="757"/>
      <c r="AT580" s="757"/>
      <c r="AU580" s="757"/>
      <c r="AV580" s="757"/>
      <c r="AW580" s="757"/>
      <c r="AX580" s="757"/>
      <c r="AY580" s="757"/>
      <c r="AZ580" s="75"/>
      <c r="BA580" s="2"/>
      <c r="BB580" s="2"/>
      <c r="BC580" s="2"/>
      <c r="BD580" s="2"/>
    </row>
    <row r="581" spans="1:56">
      <c r="A581" s="781">
        <v>2</v>
      </c>
      <c r="B581" s="782">
        <v>216</v>
      </c>
      <c r="C581" s="783">
        <v>45351</v>
      </c>
      <c r="D581" s="783" t="s">
        <v>177</v>
      </c>
      <c r="E581" s="808">
        <v>1180</v>
      </c>
      <c r="F581" s="799"/>
      <c r="G581" s="799"/>
      <c r="H581" s="1592">
        <f t="shared" si="24"/>
        <v>0</v>
      </c>
      <c r="I581" s="754" t="str">
        <f>IFERROR(VLOOKUP(B581,Mychart!$A$125:$B$911,2,FALSE),"-")</f>
        <v>MUHAIR . AREEJ ( 165000 )</v>
      </c>
      <c r="J581" s="753">
        <f t="shared" si="25"/>
        <v>2</v>
      </c>
      <c r="K581" s="1540">
        <f t="shared" si="26"/>
        <v>2024</v>
      </c>
      <c r="L581" s="757"/>
      <c r="M581" s="757"/>
      <c r="N581" s="757"/>
      <c r="O581" s="757"/>
      <c r="P581" s="757"/>
      <c r="Q581" s="757"/>
      <c r="R581" s="757"/>
      <c r="S581" s="757"/>
      <c r="T581" s="757"/>
      <c r="U581" s="757"/>
      <c r="V581" s="757"/>
      <c r="W581" s="757"/>
      <c r="X581" s="757"/>
      <c r="Y581" s="757"/>
      <c r="Z581" s="757"/>
      <c r="AA581" s="757"/>
      <c r="AB581" s="757"/>
      <c r="AC581" s="757"/>
      <c r="AD581" s="757"/>
      <c r="AE581" s="757"/>
      <c r="AF581" s="757"/>
      <c r="AG581" s="757"/>
      <c r="AH581" s="757"/>
      <c r="AI581" s="757"/>
      <c r="AJ581" s="757"/>
      <c r="AK581" s="757"/>
      <c r="AL581" s="757"/>
      <c r="AM581" s="757"/>
      <c r="AN581" s="757"/>
      <c r="AO581" s="757"/>
      <c r="AP581" s="757"/>
      <c r="AQ581" s="757"/>
      <c r="AR581" s="757"/>
      <c r="AS581" s="757"/>
      <c r="AT581" s="757"/>
      <c r="AU581" s="757"/>
      <c r="AV581" s="757"/>
      <c r="AW581" s="757"/>
      <c r="AX581" s="757"/>
      <c r="AY581" s="757"/>
      <c r="AZ581" s="75"/>
      <c r="BA581" s="2"/>
      <c r="BB581" s="2"/>
      <c r="BC581" s="2"/>
      <c r="BD581" s="2"/>
    </row>
    <row r="582" spans="1:56">
      <c r="A582" s="781">
        <v>2</v>
      </c>
      <c r="B582" s="782">
        <v>216</v>
      </c>
      <c r="C582" s="783">
        <v>45418</v>
      </c>
      <c r="D582" s="785" t="s">
        <v>224</v>
      </c>
      <c r="E582" s="808">
        <v>22984.5</v>
      </c>
      <c r="F582" s="799"/>
      <c r="G582" s="799"/>
      <c r="H582" s="1592">
        <f t="shared" si="24"/>
        <v>0</v>
      </c>
      <c r="I582" s="754" t="str">
        <f>IFERROR(VLOOKUP(B582,Mychart!$A$125:$B$911,2,FALSE),"-")</f>
        <v>MUHAIR . AREEJ ( 165000 )</v>
      </c>
      <c r="J582" s="753">
        <f t="shared" si="25"/>
        <v>5</v>
      </c>
      <c r="K582" s="1540">
        <f t="shared" si="26"/>
        <v>2024</v>
      </c>
      <c r="L582" s="757"/>
      <c r="M582" s="757"/>
      <c r="N582" s="757"/>
      <c r="O582" s="757"/>
      <c r="P582" s="757"/>
      <c r="Q582" s="757"/>
      <c r="R582" s="757"/>
      <c r="S582" s="757"/>
      <c r="T582" s="757"/>
      <c r="U582" s="757"/>
      <c r="V582" s="757"/>
      <c r="W582" s="757"/>
      <c r="X582" s="757"/>
      <c r="Y582" s="757"/>
      <c r="Z582" s="757"/>
      <c r="AA582" s="757"/>
      <c r="AB582" s="757"/>
      <c r="AC582" s="757"/>
      <c r="AD582" s="757"/>
      <c r="AE582" s="757"/>
      <c r="AF582" s="757"/>
      <c r="AG582" s="757"/>
      <c r="AH582" s="757"/>
      <c r="AI582" s="757"/>
      <c r="AJ582" s="757"/>
      <c r="AK582" s="757"/>
      <c r="AL582" s="757"/>
      <c r="AM582" s="757"/>
      <c r="AN582" s="757"/>
      <c r="AO582" s="757"/>
      <c r="AP582" s="757"/>
      <c r="AQ582" s="757"/>
      <c r="AR582" s="757"/>
      <c r="AS582" s="757"/>
      <c r="AT582" s="757"/>
      <c r="AU582" s="757"/>
      <c r="AV582" s="757"/>
      <c r="AW582" s="757"/>
      <c r="AX582" s="757"/>
      <c r="AY582" s="757"/>
      <c r="AZ582" s="75"/>
      <c r="BA582" s="2"/>
      <c r="BB582" s="2"/>
      <c r="BC582" s="2"/>
      <c r="BD582" s="2"/>
    </row>
    <row r="583" spans="1:56">
      <c r="A583" s="781">
        <v>2</v>
      </c>
      <c r="B583" s="782">
        <v>216</v>
      </c>
      <c r="C583" s="783">
        <v>45418</v>
      </c>
      <c r="D583" s="785" t="s">
        <v>224</v>
      </c>
      <c r="E583" s="808">
        <v>19199.25</v>
      </c>
      <c r="F583" s="799"/>
      <c r="G583" s="799"/>
      <c r="H583" s="1592">
        <f t="shared" si="24"/>
        <v>0</v>
      </c>
      <c r="I583" s="754" t="str">
        <f>IFERROR(VLOOKUP(B583,Mychart!$A$125:$B$911,2,FALSE),"-")</f>
        <v>MUHAIR . AREEJ ( 165000 )</v>
      </c>
      <c r="J583" s="753">
        <f t="shared" si="25"/>
        <v>5</v>
      </c>
      <c r="K583" s="1540">
        <f t="shared" si="26"/>
        <v>2024</v>
      </c>
      <c r="L583" s="757"/>
      <c r="M583" s="757"/>
      <c r="N583" s="757"/>
      <c r="O583" s="757"/>
      <c r="P583" s="757"/>
      <c r="Q583" s="757"/>
      <c r="R583" s="757"/>
      <c r="S583" s="757"/>
      <c r="T583" s="757"/>
      <c r="U583" s="757"/>
      <c r="V583" s="757"/>
      <c r="W583" s="757"/>
      <c r="X583" s="757"/>
      <c r="Y583" s="757"/>
      <c r="Z583" s="757"/>
      <c r="AA583" s="757"/>
      <c r="AB583" s="757"/>
      <c r="AC583" s="757"/>
      <c r="AD583" s="757"/>
      <c r="AE583" s="757"/>
      <c r="AF583" s="757"/>
      <c r="AG583" s="757"/>
      <c r="AH583" s="757"/>
      <c r="AI583" s="757"/>
      <c r="AJ583" s="757"/>
      <c r="AK583" s="757"/>
      <c r="AL583" s="757"/>
      <c r="AM583" s="757"/>
      <c r="AN583" s="757"/>
      <c r="AO583" s="757"/>
      <c r="AP583" s="757"/>
      <c r="AQ583" s="757"/>
      <c r="AR583" s="757"/>
      <c r="AS583" s="757"/>
      <c r="AT583" s="757"/>
      <c r="AU583" s="757"/>
      <c r="AV583" s="757"/>
      <c r="AW583" s="757"/>
      <c r="AX583" s="757"/>
      <c r="AY583" s="757"/>
      <c r="AZ583" s="75"/>
      <c r="BA583" s="2"/>
      <c r="BB583" s="2"/>
      <c r="BC583" s="2"/>
      <c r="BD583" s="2"/>
    </row>
    <row r="584" spans="1:56">
      <c r="A584" s="781">
        <v>2</v>
      </c>
      <c r="B584" s="782">
        <v>216</v>
      </c>
      <c r="C584" s="783">
        <v>45418</v>
      </c>
      <c r="D584" s="785" t="s">
        <v>224</v>
      </c>
      <c r="E584" s="808">
        <v>4441.5</v>
      </c>
      <c r="F584" s="799"/>
      <c r="G584" s="799"/>
      <c r="H584" s="1592">
        <f t="shared" si="24"/>
        <v>0</v>
      </c>
      <c r="I584" s="754" t="str">
        <f>IFERROR(VLOOKUP(B584,Mychart!$A$125:$B$911,2,FALSE),"-")</f>
        <v>MUHAIR . AREEJ ( 165000 )</v>
      </c>
      <c r="J584" s="753">
        <f t="shared" si="25"/>
        <v>5</v>
      </c>
      <c r="K584" s="1540">
        <f t="shared" si="26"/>
        <v>2024</v>
      </c>
      <c r="L584" s="757"/>
      <c r="M584" s="757"/>
      <c r="N584" s="757"/>
      <c r="O584" s="757"/>
      <c r="P584" s="757"/>
      <c r="Q584" s="757"/>
      <c r="R584" s="757"/>
      <c r="S584" s="757"/>
      <c r="T584" s="757"/>
      <c r="U584" s="757"/>
      <c r="V584" s="757"/>
      <c r="W584" s="757"/>
      <c r="X584" s="757"/>
      <c r="Y584" s="757"/>
      <c r="Z584" s="757"/>
      <c r="AA584" s="757"/>
      <c r="AB584" s="757"/>
      <c r="AC584" s="757"/>
      <c r="AD584" s="757"/>
      <c r="AE584" s="757"/>
      <c r="AF584" s="757"/>
      <c r="AG584" s="757"/>
      <c r="AH584" s="757"/>
      <c r="AI584" s="757"/>
      <c r="AJ584" s="757"/>
      <c r="AK584" s="757"/>
      <c r="AL584" s="757"/>
      <c r="AM584" s="757"/>
      <c r="AN584" s="757"/>
      <c r="AO584" s="757"/>
      <c r="AP584" s="757"/>
      <c r="AQ584" s="757"/>
      <c r="AR584" s="757"/>
      <c r="AS584" s="757"/>
      <c r="AT584" s="757"/>
      <c r="AU584" s="757"/>
      <c r="AV584" s="757"/>
      <c r="AW584" s="757"/>
      <c r="AX584" s="757"/>
      <c r="AY584" s="757"/>
      <c r="AZ584" s="75"/>
      <c r="BA584" s="2"/>
      <c r="BB584" s="2"/>
      <c r="BC584" s="2"/>
      <c r="BD584" s="2"/>
    </row>
    <row r="585" spans="1:56">
      <c r="A585" s="781">
        <v>2</v>
      </c>
      <c r="B585" s="782">
        <v>216</v>
      </c>
      <c r="C585" s="783">
        <v>45510</v>
      </c>
      <c r="D585" s="783" t="s">
        <v>224</v>
      </c>
      <c r="E585" s="808">
        <v>3465</v>
      </c>
      <c r="F585" s="799"/>
      <c r="G585" s="799"/>
      <c r="H585" s="1592">
        <f t="shared" si="24"/>
        <v>0</v>
      </c>
      <c r="I585" s="754" t="str">
        <f>IFERROR(VLOOKUP(B585,Mychart!$A$125:$B$911,2,FALSE),"-")</f>
        <v>MUHAIR . AREEJ ( 165000 )</v>
      </c>
      <c r="J585" s="753">
        <f t="shared" si="25"/>
        <v>8</v>
      </c>
      <c r="K585" s="1540">
        <f t="shared" si="26"/>
        <v>2024</v>
      </c>
      <c r="L585" s="757"/>
      <c r="M585" s="757"/>
      <c r="N585" s="757"/>
      <c r="O585" s="757"/>
      <c r="P585" s="757"/>
      <c r="Q585" s="757"/>
      <c r="R585" s="757"/>
      <c r="S585" s="757"/>
      <c r="T585" s="757"/>
      <c r="U585" s="757"/>
      <c r="V585" s="757"/>
      <c r="W585" s="757"/>
      <c r="X585" s="757"/>
      <c r="Y585" s="757"/>
      <c r="Z585" s="757"/>
      <c r="AA585" s="757"/>
      <c r="AB585" s="757"/>
      <c r="AC585" s="757"/>
      <c r="AD585" s="757"/>
      <c r="AE585" s="757"/>
      <c r="AF585" s="757"/>
      <c r="AG585" s="757"/>
      <c r="AH585" s="757"/>
      <c r="AI585" s="757"/>
      <c r="AJ585" s="757"/>
      <c r="AK585" s="757"/>
      <c r="AL585" s="757"/>
      <c r="AM585" s="757"/>
      <c r="AN585" s="757"/>
      <c r="AO585" s="757"/>
      <c r="AP585" s="757"/>
      <c r="AQ585" s="757"/>
      <c r="AR585" s="757"/>
      <c r="AS585" s="757"/>
      <c r="AT585" s="757"/>
      <c r="AU585" s="757"/>
      <c r="AV585" s="757"/>
      <c r="AW585" s="757"/>
      <c r="AX585" s="757"/>
      <c r="AY585" s="757"/>
      <c r="AZ585" s="75"/>
      <c r="BA585" s="2"/>
      <c r="BB585" s="2"/>
      <c r="BC585" s="2"/>
      <c r="BD585" s="2"/>
    </row>
    <row r="586" spans="1:56">
      <c r="A586" s="781">
        <v>2</v>
      </c>
      <c r="B586" s="782">
        <v>216</v>
      </c>
      <c r="C586" s="783"/>
      <c r="D586" s="783" t="s">
        <v>224</v>
      </c>
      <c r="E586" s="808">
        <v>23735</v>
      </c>
      <c r="F586" s="799"/>
      <c r="G586" s="799"/>
      <c r="H586" s="1592">
        <f t="shared" si="24"/>
        <v>0</v>
      </c>
      <c r="I586" s="754" t="str">
        <f>IFERROR(VLOOKUP(B586,Mychart!$A$125:$B$911,2,FALSE),"-")</f>
        <v>MUHAIR . AREEJ ( 165000 )</v>
      </c>
      <c r="J586" s="753" t="str">
        <f t="shared" si="25"/>
        <v>-</v>
      </c>
      <c r="K586" s="1540">
        <f t="shared" si="26"/>
        <v>1900</v>
      </c>
      <c r="L586" s="757"/>
      <c r="M586" s="757"/>
      <c r="N586" s="757"/>
      <c r="O586" s="757"/>
      <c r="P586" s="757"/>
      <c r="Q586" s="757"/>
      <c r="R586" s="757"/>
      <c r="S586" s="757"/>
      <c r="T586" s="757"/>
      <c r="U586" s="757"/>
      <c r="V586" s="757"/>
      <c r="W586" s="757"/>
      <c r="X586" s="757"/>
      <c r="Y586" s="757"/>
      <c r="Z586" s="757"/>
      <c r="AA586" s="757"/>
      <c r="AB586" s="757"/>
      <c r="AC586" s="757"/>
      <c r="AD586" s="757"/>
      <c r="AE586" s="757"/>
      <c r="AF586" s="757"/>
      <c r="AG586" s="757"/>
      <c r="AH586" s="757"/>
      <c r="AI586" s="757"/>
      <c r="AJ586" s="757"/>
      <c r="AK586" s="757"/>
      <c r="AL586" s="757"/>
      <c r="AM586" s="757"/>
      <c r="AN586" s="757"/>
      <c r="AO586" s="757"/>
      <c r="AP586" s="757"/>
      <c r="AQ586" s="757"/>
      <c r="AR586" s="757"/>
      <c r="AS586" s="757"/>
      <c r="AT586" s="757"/>
      <c r="AU586" s="757"/>
      <c r="AV586" s="757"/>
      <c r="AW586" s="757"/>
      <c r="AX586" s="757"/>
      <c r="AY586" s="757"/>
      <c r="AZ586" s="75"/>
      <c r="BA586" s="2"/>
      <c r="BB586" s="2"/>
      <c r="BC586" s="2"/>
      <c r="BD586" s="2"/>
    </row>
    <row r="587" spans="1:56">
      <c r="A587" s="781">
        <v>2</v>
      </c>
      <c r="B587" s="782">
        <v>216</v>
      </c>
      <c r="C587" s="783" t="s">
        <v>679</v>
      </c>
      <c r="D587" s="783" t="s">
        <v>655</v>
      </c>
      <c r="E587" s="808">
        <v>139</v>
      </c>
      <c r="F587" s="799"/>
      <c r="G587" s="799"/>
      <c r="H587" s="1592">
        <f t="shared" ref="H587:H650" si="27">F587+G587</f>
        <v>0</v>
      </c>
      <c r="I587" s="754" t="str">
        <f>IFERROR(VLOOKUP(B587,Mychart!$A$125:$B$911,2,FALSE),"-")</f>
        <v>MUHAIR . AREEJ ( 165000 )</v>
      </c>
      <c r="J587" s="753">
        <f t="shared" ref="J587:J650" si="28">IF(C587&lt;&gt;"", MONTH(C587),"-")</f>
        <v>1</v>
      </c>
      <c r="K587" s="1540">
        <f t="shared" ref="K587:K650" si="29">YEAR(C587)</f>
        <v>2024</v>
      </c>
      <c r="L587" s="757"/>
      <c r="M587" s="757"/>
      <c r="N587" s="757"/>
      <c r="O587" s="757"/>
      <c r="P587" s="757"/>
      <c r="Q587" s="757"/>
      <c r="R587" s="757"/>
      <c r="S587" s="757"/>
      <c r="T587" s="757"/>
      <c r="U587" s="757"/>
      <c r="V587" s="757"/>
      <c r="W587" s="757"/>
      <c r="X587" s="757"/>
      <c r="Y587" s="757"/>
      <c r="Z587" s="757"/>
      <c r="AA587" s="757"/>
      <c r="AB587" s="757"/>
      <c r="AC587" s="757"/>
      <c r="AD587" s="757"/>
      <c r="AE587" s="757"/>
      <c r="AF587" s="757"/>
      <c r="AG587" s="757"/>
      <c r="AH587" s="757"/>
      <c r="AI587" s="757"/>
      <c r="AJ587" s="757"/>
      <c r="AK587" s="757"/>
      <c r="AL587" s="757"/>
      <c r="AM587" s="757"/>
      <c r="AN587" s="757"/>
      <c r="AO587" s="757"/>
      <c r="AP587" s="757"/>
      <c r="AQ587" s="757"/>
      <c r="AR587" s="757"/>
      <c r="AS587" s="757"/>
      <c r="AT587" s="757"/>
      <c r="AU587" s="757"/>
      <c r="AV587" s="757"/>
      <c r="AW587" s="757"/>
      <c r="AX587" s="757"/>
      <c r="AY587" s="757"/>
      <c r="AZ587" s="75"/>
      <c r="BA587" s="2"/>
      <c r="BB587" s="2"/>
      <c r="BC587" s="2"/>
      <c r="BD587" s="2"/>
    </row>
    <row r="588" spans="1:56">
      <c r="A588" s="781">
        <v>2</v>
      </c>
      <c r="B588" s="782">
        <v>216</v>
      </c>
      <c r="C588" s="783" t="s">
        <v>680</v>
      </c>
      <c r="D588" s="783" t="s">
        <v>655</v>
      </c>
      <c r="E588" s="808">
        <v>380</v>
      </c>
      <c r="F588" s="799"/>
      <c r="G588" s="799"/>
      <c r="H588" s="1592">
        <f t="shared" si="27"/>
        <v>0</v>
      </c>
      <c r="I588" s="754" t="str">
        <f>IFERROR(VLOOKUP(B588,Mychart!$A$125:$B$911,2,FALSE),"-")</f>
        <v>MUHAIR . AREEJ ( 165000 )</v>
      </c>
      <c r="J588" s="753">
        <f t="shared" si="28"/>
        <v>1</v>
      </c>
      <c r="K588" s="1540">
        <f t="shared" si="29"/>
        <v>2024</v>
      </c>
      <c r="L588" s="757"/>
      <c r="M588" s="757"/>
      <c r="N588" s="757"/>
      <c r="O588" s="757"/>
      <c r="P588" s="757"/>
      <c r="Q588" s="757"/>
      <c r="R588" s="757"/>
      <c r="S588" s="757"/>
      <c r="T588" s="757"/>
      <c r="U588" s="757"/>
      <c r="V588" s="757"/>
      <c r="W588" s="757"/>
      <c r="X588" s="757"/>
      <c r="Y588" s="757"/>
      <c r="Z588" s="757"/>
      <c r="AA588" s="757"/>
      <c r="AB588" s="757"/>
      <c r="AC588" s="757"/>
      <c r="AD588" s="757"/>
      <c r="AE588" s="757"/>
      <c r="AF588" s="757"/>
      <c r="AG588" s="757"/>
      <c r="AH588" s="757"/>
      <c r="AI588" s="757"/>
      <c r="AJ588" s="757"/>
      <c r="AK588" s="757"/>
      <c r="AL588" s="757"/>
      <c r="AM588" s="757"/>
      <c r="AN588" s="757"/>
      <c r="AO588" s="757"/>
      <c r="AP588" s="757"/>
      <c r="AQ588" s="757"/>
      <c r="AR588" s="757"/>
      <c r="AS588" s="757"/>
      <c r="AT588" s="757"/>
      <c r="AU588" s="757"/>
      <c r="AV588" s="757"/>
      <c r="AW588" s="757"/>
      <c r="AX588" s="757"/>
      <c r="AY588" s="757"/>
      <c r="AZ588" s="75"/>
      <c r="BA588" s="2"/>
      <c r="BB588" s="2"/>
      <c r="BC588" s="2"/>
      <c r="BD588" s="2"/>
    </row>
    <row r="589" spans="1:56">
      <c r="A589" s="781">
        <v>1</v>
      </c>
      <c r="B589" s="782">
        <v>254</v>
      </c>
      <c r="C589" s="783">
        <v>45292</v>
      </c>
      <c r="D589" s="786" t="s">
        <v>686</v>
      </c>
      <c r="E589" s="807"/>
      <c r="F589" s="798">
        <v>23000</v>
      </c>
      <c r="G589" s="798">
        <v>1150</v>
      </c>
      <c r="H589" s="1592">
        <f t="shared" si="27"/>
        <v>24150</v>
      </c>
      <c r="I589" s="754" t="str">
        <f>IFERROR(VLOOKUP(B589,Mychart!$A$125:$B$911,2,FALSE),"-")</f>
        <v>NAEEAA BENWAS</v>
      </c>
      <c r="J589" s="753">
        <f t="shared" si="28"/>
        <v>1</v>
      </c>
      <c r="K589" s="1540">
        <f t="shared" si="29"/>
        <v>2024</v>
      </c>
      <c r="L589" s="757"/>
      <c r="M589" s="757"/>
      <c r="N589" s="757"/>
      <c r="O589" s="757"/>
      <c r="P589" s="757"/>
      <c r="Q589" s="757"/>
      <c r="R589" s="757"/>
      <c r="S589" s="757"/>
      <c r="T589" s="757"/>
      <c r="U589" s="757"/>
      <c r="V589" s="757"/>
      <c r="W589" s="757"/>
      <c r="X589" s="757"/>
      <c r="Y589" s="757"/>
      <c r="Z589" s="757"/>
      <c r="AA589" s="757"/>
      <c r="AB589" s="757"/>
      <c r="AC589" s="757"/>
      <c r="AD589" s="757"/>
      <c r="AE589" s="757"/>
      <c r="AF589" s="757"/>
      <c r="AG589" s="757"/>
      <c r="AH589" s="757"/>
      <c r="AI589" s="757"/>
      <c r="AJ589" s="757"/>
      <c r="AK589" s="757"/>
      <c r="AL589" s="757"/>
      <c r="AM589" s="757"/>
      <c r="AN589" s="757"/>
      <c r="AO589" s="757"/>
      <c r="AP589" s="757"/>
      <c r="AQ589" s="757"/>
      <c r="AR589" s="757"/>
      <c r="AS589" s="757"/>
      <c r="AT589" s="757"/>
      <c r="AU589" s="757"/>
      <c r="AV589" s="757"/>
      <c r="AW589" s="757"/>
      <c r="AX589" s="757"/>
      <c r="AY589" s="757"/>
      <c r="AZ589" s="75"/>
      <c r="BA589" s="2"/>
      <c r="BB589" s="2"/>
      <c r="BC589" s="2"/>
      <c r="BD589" s="2"/>
    </row>
    <row r="590" spans="1:56">
      <c r="A590" s="781">
        <v>1</v>
      </c>
      <c r="B590" s="782">
        <v>254</v>
      </c>
      <c r="C590" s="783">
        <v>45404</v>
      </c>
      <c r="D590" s="784" t="s">
        <v>687</v>
      </c>
      <c r="E590" s="807"/>
      <c r="F590" s="798">
        <v>97750</v>
      </c>
      <c r="G590" s="798">
        <v>4887.5</v>
      </c>
      <c r="H590" s="1592">
        <f t="shared" si="27"/>
        <v>102637.5</v>
      </c>
      <c r="I590" s="754" t="str">
        <f>IFERROR(VLOOKUP(B590,Mychart!$A$125:$B$911,2,FALSE),"-")</f>
        <v>NAEEAA BENWAS</v>
      </c>
      <c r="J590" s="753">
        <f t="shared" si="28"/>
        <v>4</v>
      </c>
      <c r="K590" s="1540">
        <f t="shared" si="29"/>
        <v>2024</v>
      </c>
      <c r="L590" s="757"/>
      <c r="M590" s="757"/>
      <c r="N590" s="757"/>
      <c r="O590" s="757"/>
      <c r="P590" s="757"/>
      <c r="Q590" s="757"/>
      <c r="R590" s="757"/>
      <c r="S590" s="757"/>
      <c r="T590" s="757"/>
      <c r="U590" s="757"/>
      <c r="V590" s="757"/>
      <c r="W590" s="757"/>
      <c r="X590" s="757"/>
      <c r="Y590" s="757"/>
      <c r="Z590" s="757"/>
      <c r="AA590" s="757"/>
      <c r="AB590" s="757"/>
      <c r="AC590" s="757"/>
      <c r="AD590" s="757"/>
      <c r="AE590" s="757"/>
      <c r="AF590" s="757"/>
      <c r="AG590" s="757"/>
      <c r="AH590" s="757"/>
      <c r="AI590" s="757"/>
      <c r="AJ590" s="757"/>
      <c r="AK590" s="757"/>
      <c r="AL590" s="757"/>
      <c r="AM590" s="757"/>
      <c r="AN590" s="757"/>
      <c r="AO590" s="757"/>
      <c r="AP590" s="757"/>
      <c r="AQ590" s="757"/>
      <c r="AR590" s="757"/>
      <c r="AS590" s="757"/>
      <c r="AT590" s="757"/>
      <c r="AU590" s="757"/>
      <c r="AV590" s="757"/>
      <c r="AW590" s="757"/>
      <c r="AX590" s="757"/>
      <c r="AY590" s="757"/>
      <c r="AZ590" s="75"/>
      <c r="BA590" s="2"/>
      <c r="BB590" s="2"/>
      <c r="BC590" s="2"/>
      <c r="BD590" s="2"/>
    </row>
    <row r="591" spans="1:56">
      <c r="A591" s="781">
        <v>2</v>
      </c>
      <c r="B591" s="782">
        <v>254</v>
      </c>
      <c r="C591" s="783">
        <v>45351</v>
      </c>
      <c r="D591" s="783" t="s">
        <v>177</v>
      </c>
      <c r="E591" s="808">
        <v>5263</v>
      </c>
      <c r="F591" s="799"/>
      <c r="G591" s="799"/>
      <c r="H591" s="1592">
        <f t="shared" si="27"/>
        <v>0</v>
      </c>
      <c r="I591" s="754" t="str">
        <f>IFERROR(VLOOKUP(B591,Mychart!$A$125:$B$911,2,FALSE),"-")</f>
        <v>NAEEAA BENWAS</v>
      </c>
      <c r="J591" s="753">
        <f t="shared" si="28"/>
        <v>2</v>
      </c>
      <c r="K591" s="1540">
        <f t="shared" si="29"/>
        <v>2024</v>
      </c>
      <c r="L591" s="757"/>
      <c r="M591" s="757"/>
      <c r="N591" s="757"/>
      <c r="O591" s="757"/>
      <c r="P591" s="757"/>
      <c r="Q591" s="757"/>
      <c r="R591" s="757"/>
      <c r="S591" s="757"/>
      <c r="T591" s="757"/>
      <c r="U591" s="757"/>
      <c r="V591" s="757"/>
      <c r="W591" s="757"/>
      <c r="X591" s="757"/>
      <c r="Y591" s="757"/>
      <c r="Z591" s="757"/>
      <c r="AA591" s="757"/>
      <c r="AB591" s="757"/>
      <c r="AC591" s="757"/>
      <c r="AD591" s="757"/>
      <c r="AE591" s="757"/>
      <c r="AF591" s="757"/>
      <c r="AG591" s="757"/>
      <c r="AH591" s="757"/>
      <c r="AI591" s="757"/>
      <c r="AJ591" s="757"/>
      <c r="AK591" s="757"/>
      <c r="AL591" s="757"/>
      <c r="AM591" s="757"/>
      <c r="AN591" s="757"/>
      <c r="AO591" s="757"/>
      <c r="AP591" s="757"/>
      <c r="AQ591" s="757"/>
      <c r="AR591" s="757"/>
      <c r="AS591" s="757"/>
      <c r="AT591" s="757"/>
      <c r="AU591" s="757"/>
      <c r="AV591" s="757"/>
      <c r="AW591" s="757"/>
      <c r="AX591" s="757"/>
      <c r="AY591" s="757"/>
      <c r="AZ591" s="75"/>
      <c r="BA591" s="2"/>
      <c r="BB591" s="2"/>
      <c r="BC591" s="2"/>
      <c r="BD591" s="2"/>
    </row>
    <row r="592" spans="1:56">
      <c r="A592" s="781">
        <v>2</v>
      </c>
      <c r="B592" s="782">
        <v>254</v>
      </c>
      <c r="C592" s="783">
        <v>45350</v>
      </c>
      <c r="D592" s="783" t="s">
        <v>258</v>
      </c>
      <c r="E592" s="808">
        <v>7549.24</v>
      </c>
      <c r="F592" s="799"/>
      <c r="G592" s="799"/>
      <c r="H592" s="1592">
        <f t="shared" si="27"/>
        <v>0</v>
      </c>
      <c r="I592" s="754" t="str">
        <f>IFERROR(VLOOKUP(B592,Mychart!$A$125:$B$911,2,FALSE),"-")</f>
        <v>NAEEAA BENWAS</v>
      </c>
      <c r="J592" s="753">
        <f t="shared" si="28"/>
        <v>2</v>
      </c>
      <c r="K592" s="1540">
        <f t="shared" si="29"/>
        <v>2024</v>
      </c>
      <c r="L592" s="757"/>
      <c r="M592" s="757"/>
      <c r="N592" s="757"/>
      <c r="O592" s="757"/>
      <c r="P592" s="757"/>
      <c r="Q592" s="757"/>
      <c r="R592" s="757"/>
      <c r="S592" s="757"/>
      <c r="T592" s="757"/>
      <c r="U592" s="757"/>
      <c r="V592" s="757"/>
      <c r="W592" s="757"/>
      <c r="X592" s="757"/>
      <c r="Y592" s="757"/>
      <c r="Z592" s="757"/>
      <c r="AA592" s="757"/>
      <c r="AB592" s="757"/>
      <c r="AC592" s="757"/>
      <c r="AD592" s="757"/>
      <c r="AE592" s="757"/>
      <c r="AF592" s="757"/>
      <c r="AG592" s="757"/>
      <c r="AH592" s="757"/>
      <c r="AI592" s="757"/>
      <c r="AJ592" s="757"/>
      <c r="AK592" s="757"/>
      <c r="AL592" s="757"/>
      <c r="AM592" s="757"/>
      <c r="AN592" s="757"/>
      <c r="AO592" s="757"/>
      <c r="AP592" s="757"/>
      <c r="AQ592" s="757"/>
      <c r="AR592" s="757"/>
      <c r="AS592" s="757"/>
      <c r="AT592" s="757"/>
      <c r="AU592" s="757"/>
      <c r="AV592" s="757"/>
      <c r="AW592" s="757"/>
      <c r="AX592" s="757"/>
      <c r="AY592" s="757"/>
      <c r="AZ592" s="75"/>
      <c r="BA592" s="2"/>
      <c r="BB592" s="2"/>
      <c r="BC592" s="2"/>
      <c r="BD592" s="2"/>
    </row>
    <row r="593" spans="1:56">
      <c r="A593" s="781">
        <v>2</v>
      </c>
      <c r="B593" s="782">
        <v>254</v>
      </c>
      <c r="C593" s="783">
        <v>45382</v>
      </c>
      <c r="D593" s="783" t="s">
        <v>177</v>
      </c>
      <c r="E593" s="808">
        <v>617</v>
      </c>
      <c r="F593" s="799"/>
      <c r="G593" s="799"/>
      <c r="H593" s="1592">
        <f t="shared" si="27"/>
        <v>0</v>
      </c>
      <c r="I593" s="754" t="str">
        <f>IFERROR(VLOOKUP(B593,Mychart!$A$125:$B$911,2,FALSE),"-")</f>
        <v>NAEEAA BENWAS</v>
      </c>
      <c r="J593" s="753">
        <f t="shared" si="28"/>
        <v>3</v>
      </c>
      <c r="K593" s="1540">
        <f t="shared" si="29"/>
        <v>2024</v>
      </c>
      <c r="L593" s="757"/>
      <c r="M593" s="757"/>
      <c r="N593" s="757"/>
      <c r="O593" s="757"/>
      <c r="P593" s="757"/>
      <c r="Q593" s="757"/>
      <c r="R593" s="757"/>
      <c r="S593" s="757"/>
      <c r="T593" s="757"/>
      <c r="U593" s="757"/>
      <c r="V593" s="757"/>
      <c r="W593" s="757"/>
      <c r="X593" s="757"/>
      <c r="Y593" s="757"/>
      <c r="Z593" s="757"/>
      <c r="AA593" s="757"/>
      <c r="AB593" s="757"/>
      <c r="AC593" s="757"/>
      <c r="AD593" s="757"/>
      <c r="AE593" s="757"/>
      <c r="AF593" s="757"/>
      <c r="AG593" s="757"/>
      <c r="AH593" s="757"/>
      <c r="AI593" s="757"/>
      <c r="AJ593" s="757"/>
      <c r="AK593" s="757"/>
      <c r="AL593" s="757"/>
      <c r="AM593" s="757"/>
      <c r="AN593" s="757"/>
      <c r="AO593" s="757"/>
      <c r="AP593" s="757"/>
      <c r="AQ593" s="757"/>
      <c r="AR593" s="757"/>
      <c r="AS593" s="757"/>
      <c r="AT593" s="757"/>
      <c r="AU593" s="757"/>
      <c r="AV593" s="757"/>
      <c r="AW593" s="757"/>
      <c r="AX593" s="757"/>
      <c r="AY593" s="757"/>
      <c r="AZ593" s="75"/>
      <c r="BA593" s="2"/>
      <c r="BB593" s="2"/>
      <c r="BC593" s="2"/>
      <c r="BD593" s="2"/>
    </row>
    <row r="594" spans="1:56">
      <c r="A594" s="781">
        <v>2</v>
      </c>
      <c r="B594" s="782">
        <v>254</v>
      </c>
      <c r="C594" s="783">
        <v>45418</v>
      </c>
      <c r="D594" s="783" t="s">
        <v>688</v>
      </c>
      <c r="E594" s="808">
        <v>49192</v>
      </c>
      <c r="F594" s="799"/>
      <c r="G594" s="799"/>
      <c r="H594" s="1592">
        <f t="shared" si="27"/>
        <v>0</v>
      </c>
      <c r="I594" s="754" t="str">
        <f>IFERROR(VLOOKUP(B594,Mychart!$A$125:$B$911,2,FALSE),"-")</f>
        <v>NAEEAA BENWAS</v>
      </c>
      <c r="J594" s="753">
        <f t="shared" si="28"/>
        <v>5</v>
      </c>
      <c r="K594" s="1540">
        <f t="shared" si="29"/>
        <v>2024</v>
      </c>
      <c r="L594" s="757"/>
      <c r="M594" s="757"/>
      <c r="N594" s="757"/>
      <c r="O594" s="757"/>
      <c r="P594" s="757"/>
      <c r="Q594" s="757"/>
      <c r="R594" s="757"/>
      <c r="S594" s="757"/>
      <c r="T594" s="757"/>
      <c r="U594" s="757"/>
      <c r="V594" s="757"/>
      <c r="W594" s="757"/>
      <c r="X594" s="757"/>
      <c r="Y594" s="757"/>
      <c r="Z594" s="757"/>
      <c r="AA594" s="757"/>
      <c r="AB594" s="757"/>
      <c r="AC594" s="757"/>
      <c r="AD594" s="757"/>
      <c r="AE594" s="757"/>
      <c r="AF594" s="757"/>
      <c r="AG594" s="757"/>
      <c r="AH594" s="757"/>
      <c r="AI594" s="757"/>
      <c r="AJ594" s="757"/>
      <c r="AK594" s="757"/>
      <c r="AL594" s="757"/>
      <c r="AM594" s="757"/>
      <c r="AN594" s="757"/>
      <c r="AO594" s="757"/>
      <c r="AP594" s="757"/>
      <c r="AQ594" s="757"/>
      <c r="AR594" s="757"/>
      <c r="AS594" s="757"/>
      <c r="AT594" s="757"/>
      <c r="AU594" s="757"/>
      <c r="AV594" s="757"/>
      <c r="AW594" s="757"/>
      <c r="AX594" s="757"/>
      <c r="AY594" s="757"/>
      <c r="AZ594" s="75"/>
      <c r="BA594" s="2"/>
      <c r="BB594" s="2"/>
      <c r="BC594" s="2"/>
      <c r="BD594" s="2"/>
    </row>
    <row r="595" spans="1:56">
      <c r="A595" s="781">
        <v>2</v>
      </c>
      <c r="B595" s="782">
        <v>254</v>
      </c>
      <c r="C595" s="783"/>
      <c r="D595" s="783" t="s">
        <v>689</v>
      </c>
      <c r="E595" s="808">
        <v>700</v>
      </c>
      <c r="F595" s="799"/>
      <c r="G595" s="799"/>
      <c r="H595" s="1592">
        <f t="shared" si="27"/>
        <v>0</v>
      </c>
      <c r="I595" s="754" t="str">
        <f>IFERROR(VLOOKUP(B595,Mychart!$A$125:$B$911,2,FALSE),"-")</f>
        <v>NAEEAA BENWAS</v>
      </c>
      <c r="J595" s="753" t="str">
        <f t="shared" si="28"/>
        <v>-</v>
      </c>
      <c r="K595" s="1540">
        <f t="shared" si="29"/>
        <v>1900</v>
      </c>
      <c r="L595" s="757"/>
      <c r="M595" s="757"/>
      <c r="N595" s="757"/>
      <c r="O595" s="757"/>
      <c r="P595" s="757"/>
      <c r="Q595" s="757"/>
      <c r="R595" s="757"/>
      <c r="S595" s="757"/>
      <c r="T595" s="757"/>
      <c r="U595" s="757"/>
      <c r="V595" s="757"/>
      <c r="W595" s="757"/>
      <c r="X595" s="757"/>
      <c r="Y595" s="757"/>
      <c r="Z595" s="757"/>
      <c r="AA595" s="757"/>
      <c r="AB595" s="757"/>
      <c r="AC595" s="757"/>
      <c r="AD595" s="757"/>
      <c r="AE595" s="757"/>
      <c r="AF595" s="757"/>
      <c r="AG595" s="757"/>
      <c r="AH595" s="757"/>
      <c r="AI595" s="757"/>
      <c r="AJ595" s="757"/>
      <c r="AK595" s="757"/>
      <c r="AL595" s="757"/>
      <c r="AM595" s="757"/>
      <c r="AN595" s="757"/>
      <c r="AO595" s="757"/>
      <c r="AP595" s="757"/>
      <c r="AQ595" s="757"/>
      <c r="AR595" s="757"/>
      <c r="AS595" s="757"/>
      <c r="AT595" s="757"/>
      <c r="AU595" s="757"/>
      <c r="AV595" s="757"/>
      <c r="AW595" s="757"/>
      <c r="AX595" s="757"/>
      <c r="AY595" s="757"/>
      <c r="AZ595" s="75"/>
      <c r="BA595" s="2"/>
      <c r="BB595" s="2"/>
      <c r="BC595" s="2"/>
      <c r="BD595" s="2"/>
    </row>
    <row r="596" spans="1:56">
      <c r="A596" s="781">
        <v>1</v>
      </c>
      <c r="B596" s="782">
        <v>257</v>
      </c>
      <c r="C596" s="783">
        <v>45386</v>
      </c>
      <c r="D596" s="786" t="s">
        <v>696</v>
      </c>
      <c r="E596" s="807"/>
      <c r="F596" s="798">
        <v>24900</v>
      </c>
      <c r="G596" s="798">
        <v>1245</v>
      </c>
      <c r="H596" s="1592">
        <f t="shared" si="27"/>
        <v>26145</v>
      </c>
      <c r="I596" s="754" t="str">
        <f>IFERROR(VLOOKUP(B596,Mychart!$A$125:$B$911,2,FALSE),"-")</f>
        <v>NAAEMA SALEH - ERTIKAZ</v>
      </c>
      <c r="J596" s="753">
        <f t="shared" si="28"/>
        <v>4</v>
      </c>
      <c r="K596" s="1540">
        <f t="shared" si="29"/>
        <v>2024</v>
      </c>
      <c r="L596" s="757"/>
      <c r="M596" s="757"/>
      <c r="N596" s="757"/>
      <c r="O596" s="757"/>
      <c r="P596" s="757"/>
      <c r="Q596" s="757"/>
      <c r="R596" s="757"/>
      <c r="S596" s="757"/>
      <c r="T596" s="757"/>
      <c r="U596" s="757"/>
      <c r="V596" s="757"/>
      <c r="W596" s="757"/>
      <c r="X596" s="757"/>
      <c r="Y596" s="757"/>
      <c r="Z596" s="757"/>
      <c r="AA596" s="757"/>
      <c r="AB596" s="757"/>
      <c r="AC596" s="757"/>
      <c r="AD596" s="757"/>
      <c r="AE596" s="757"/>
      <c r="AF596" s="757"/>
      <c r="AG596" s="757"/>
      <c r="AH596" s="757"/>
      <c r="AI596" s="757"/>
      <c r="AJ596" s="757"/>
      <c r="AK596" s="757"/>
      <c r="AL596" s="757"/>
      <c r="AM596" s="757"/>
      <c r="AN596" s="757"/>
      <c r="AO596" s="757"/>
      <c r="AP596" s="757"/>
      <c r="AQ596" s="757"/>
      <c r="AR596" s="757"/>
      <c r="AS596" s="757"/>
      <c r="AT596" s="757"/>
      <c r="AU596" s="757"/>
      <c r="AV596" s="757"/>
      <c r="AW596" s="757"/>
      <c r="AX596" s="757"/>
      <c r="AY596" s="757"/>
      <c r="AZ596" s="75"/>
      <c r="BA596" s="2"/>
      <c r="BB596" s="2"/>
      <c r="BC596" s="2"/>
      <c r="BD596" s="2"/>
    </row>
    <row r="597" spans="1:56">
      <c r="A597" s="781">
        <v>1</v>
      </c>
      <c r="B597" s="782">
        <v>257</v>
      </c>
      <c r="C597" s="783">
        <v>45422</v>
      </c>
      <c r="D597" s="784" t="s">
        <v>697</v>
      </c>
      <c r="E597" s="807"/>
      <c r="F597" s="798">
        <v>66400</v>
      </c>
      <c r="G597" s="798">
        <v>3320</v>
      </c>
      <c r="H597" s="1593">
        <f t="shared" si="27"/>
        <v>69720</v>
      </c>
      <c r="I597" s="754" t="str">
        <f>IFERROR(VLOOKUP(B597,Mychart!$A$125:$B$911,2,FALSE),"-")</f>
        <v>NAAEMA SALEH - ERTIKAZ</v>
      </c>
      <c r="J597" s="753">
        <f t="shared" si="28"/>
        <v>5</v>
      </c>
      <c r="K597" s="1540">
        <f t="shared" si="29"/>
        <v>2024</v>
      </c>
      <c r="L597" s="757"/>
      <c r="M597" s="757"/>
      <c r="N597" s="757"/>
      <c r="O597" s="757"/>
      <c r="P597" s="757"/>
      <c r="Q597" s="757"/>
      <c r="R597" s="757"/>
      <c r="S597" s="757"/>
      <c r="T597" s="757"/>
      <c r="U597" s="757"/>
      <c r="V597" s="757"/>
      <c r="W597" s="757"/>
      <c r="X597" s="757"/>
      <c r="Y597" s="757"/>
      <c r="Z597" s="757"/>
      <c r="AA597" s="757"/>
      <c r="AB597" s="757"/>
      <c r="AC597" s="757"/>
      <c r="AD597" s="757"/>
      <c r="AE597" s="757"/>
      <c r="AF597" s="757"/>
      <c r="AG597" s="757"/>
      <c r="AH597" s="757"/>
      <c r="AI597" s="757"/>
      <c r="AJ597" s="757"/>
      <c r="AK597" s="757"/>
      <c r="AL597" s="757"/>
      <c r="AM597" s="757"/>
      <c r="AN597" s="757"/>
      <c r="AO597" s="757"/>
      <c r="AP597" s="757"/>
      <c r="AQ597" s="757"/>
      <c r="AR597" s="757"/>
      <c r="AS597" s="757"/>
      <c r="AT597" s="757"/>
      <c r="AU597" s="757"/>
      <c r="AV597" s="757"/>
      <c r="AW597" s="757"/>
      <c r="AX597" s="757"/>
      <c r="AY597" s="757"/>
      <c r="AZ597" s="75"/>
      <c r="BA597" s="2"/>
      <c r="BB597" s="2"/>
      <c r="BC597" s="2"/>
      <c r="BD597" s="2"/>
    </row>
    <row r="598" spans="1:56">
      <c r="A598" s="781">
        <v>2</v>
      </c>
      <c r="B598" s="782">
        <v>257</v>
      </c>
      <c r="C598" s="783">
        <v>45354</v>
      </c>
      <c r="D598" s="783" t="s">
        <v>189</v>
      </c>
      <c r="E598" s="808">
        <v>500</v>
      </c>
      <c r="F598" s="799"/>
      <c r="G598" s="799"/>
      <c r="H598" s="1592">
        <f t="shared" si="27"/>
        <v>0</v>
      </c>
      <c r="I598" s="754" t="str">
        <f>IFERROR(VLOOKUP(B598,Mychart!$A$125:$B$911,2,FALSE),"-")</f>
        <v>NAAEMA SALEH - ERTIKAZ</v>
      </c>
      <c r="J598" s="753">
        <f t="shared" si="28"/>
        <v>3</v>
      </c>
      <c r="K598" s="1540">
        <f t="shared" si="29"/>
        <v>2024</v>
      </c>
      <c r="L598" s="757"/>
      <c r="M598" s="757"/>
      <c r="N598" s="757"/>
      <c r="O598" s="757"/>
      <c r="P598" s="757"/>
      <c r="Q598" s="757"/>
      <c r="R598" s="757"/>
      <c r="S598" s="757"/>
      <c r="T598" s="757"/>
      <c r="U598" s="757"/>
      <c r="V598" s="757"/>
      <c r="W598" s="757"/>
      <c r="X598" s="757"/>
      <c r="Y598" s="757"/>
      <c r="Z598" s="757"/>
      <c r="AA598" s="757"/>
      <c r="AB598" s="757"/>
      <c r="AC598" s="757"/>
      <c r="AD598" s="757"/>
      <c r="AE598" s="757"/>
      <c r="AF598" s="757"/>
      <c r="AG598" s="757"/>
      <c r="AH598" s="757"/>
      <c r="AI598" s="757"/>
      <c r="AJ598" s="757"/>
      <c r="AK598" s="757"/>
      <c r="AL598" s="757"/>
      <c r="AM598" s="757"/>
      <c r="AN598" s="757"/>
      <c r="AO598" s="757"/>
      <c r="AP598" s="757"/>
      <c r="AQ598" s="757"/>
      <c r="AR598" s="757"/>
      <c r="AS598" s="757"/>
      <c r="AT598" s="757"/>
      <c r="AU598" s="757"/>
      <c r="AV598" s="757"/>
      <c r="AW598" s="757"/>
      <c r="AX598" s="757"/>
      <c r="AY598" s="757"/>
      <c r="AZ598" s="75"/>
      <c r="BA598" s="2"/>
      <c r="BB598" s="2"/>
      <c r="BC598" s="2"/>
      <c r="BD598" s="2"/>
    </row>
    <row r="599" spans="1:56">
      <c r="A599" s="781">
        <v>2</v>
      </c>
      <c r="B599" s="782">
        <v>257</v>
      </c>
      <c r="C599" s="783">
        <v>45364</v>
      </c>
      <c r="D599" s="783" t="s">
        <v>228</v>
      </c>
      <c r="E599" s="808">
        <v>6079.76</v>
      </c>
      <c r="F599" s="799"/>
      <c r="G599" s="799"/>
      <c r="H599" s="1592">
        <f t="shared" si="27"/>
        <v>0</v>
      </c>
      <c r="I599" s="754" t="str">
        <f>IFERROR(VLOOKUP(B599,Mychart!$A$125:$B$911,2,FALSE),"-")</f>
        <v>NAAEMA SALEH - ERTIKAZ</v>
      </c>
      <c r="J599" s="753">
        <f t="shared" si="28"/>
        <v>3</v>
      </c>
      <c r="K599" s="1540">
        <f t="shared" si="29"/>
        <v>2024</v>
      </c>
      <c r="L599" s="757"/>
      <c r="M599" s="757"/>
      <c r="N599" s="757"/>
      <c r="O599" s="757"/>
      <c r="P599" s="757"/>
      <c r="Q599" s="757"/>
      <c r="R599" s="757"/>
      <c r="S599" s="757"/>
      <c r="T599" s="757"/>
      <c r="U599" s="757"/>
      <c r="V599" s="757"/>
      <c r="W599" s="757"/>
      <c r="X599" s="757"/>
      <c r="Y599" s="757"/>
      <c r="Z599" s="757"/>
      <c r="AA599" s="757"/>
      <c r="AB599" s="757"/>
      <c r="AC599" s="757"/>
      <c r="AD599" s="757"/>
      <c r="AE599" s="757"/>
      <c r="AF599" s="757"/>
      <c r="AG599" s="757"/>
      <c r="AH599" s="757"/>
      <c r="AI599" s="757"/>
      <c r="AJ599" s="757"/>
      <c r="AK599" s="757"/>
      <c r="AL599" s="757"/>
      <c r="AM599" s="757"/>
      <c r="AN599" s="757"/>
      <c r="AO599" s="757"/>
      <c r="AP599" s="757"/>
      <c r="AQ599" s="757"/>
      <c r="AR599" s="757"/>
      <c r="AS599" s="757"/>
      <c r="AT599" s="757"/>
      <c r="AU599" s="757"/>
      <c r="AV599" s="757"/>
      <c r="AW599" s="757"/>
      <c r="AX599" s="757"/>
      <c r="AY599" s="757"/>
      <c r="AZ599" s="75"/>
      <c r="BA599" s="2"/>
      <c r="BB599" s="2"/>
      <c r="BC599" s="2"/>
      <c r="BD599" s="2"/>
    </row>
    <row r="600" spans="1:56">
      <c r="A600" s="781">
        <v>2</v>
      </c>
      <c r="B600" s="782">
        <v>257</v>
      </c>
      <c r="C600" s="783">
        <v>45382</v>
      </c>
      <c r="D600" s="783" t="s">
        <v>177</v>
      </c>
      <c r="E600" s="808">
        <v>5320</v>
      </c>
      <c r="F600" s="799"/>
      <c r="G600" s="799"/>
      <c r="H600" s="1592">
        <f t="shared" si="27"/>
        <v>0</v>
      </c>
      <c r="I600" s="754" t="str">
        <f>IFERROR(VLOOKUP(B600,Mychart!$A$125:$B$911,2,FALSE),"-")</f>
        <v>NAAEMA SALEH - ERTIKAZ</v>
      </c>
      <c r="J600" s="753">
        <f t="shared" si="28"/>
        <v>3</v>
      </c>
      <c r="K600" s="1540">
        <f t="shared" si="29"/>
        <v>2024</v>
      </c>
      <c r="L600" s="757"/>
      <c r="M600" s="757"/>
      <c r="N600" s="757"/>
      <c r="O600" s="757"/>
      <c r="P600" s="757"/>
      <c r="Q600" s="757"/>
      <c r="R600" s="757"/>
      <c r="S600" s="757"/>
      <c r="T600" s="757"/>
      <c r="U600" s="757"/>
      <c r="V600" s="757"/>
      <c r="W600" s="757"/>
      <c r="X600" s="757"/>
      <c r="Y600" s="757"/>
      <c r="Z600" s="757"/>
      <c r="AA600" s="757"/>
      <c r="AB600" s="757"/>
      <c r="AC600" s="757"/>
      <c r="AD600" s="757"/>
      <c r="AE600" s="757"/>
      <c r="AF600" s="757"/>
      <c r="AG600" s="757"/>
      <c r="AH600" s="757"/>
      <c r="AI600" s="757"/>
      <c r="AJ600" s="757"/>
      <c r="AK600" s="757"/>
      <c r="AL600" s="757"/>
      <c r="AM600" s="757"/>
      <c r="AN600" s="757"/>
      <c r="AO600" s="757"/>
      <c r="AP600" s="757"/>
      <c r="AQ600" s="757"/>
      <c r="AR600" s="757"/>
      <c r="AS600" s="757"/>
      <c r="AT600" s="757"/>
      <c r="AU600" s="757"/>
      <c r="AV600" s="757"/>
      <c r="AW600" s="757"/>
      <c r="AX600" s="757"/>
      <c r="AY600" s="757"/>
      <c r="AZ600" s="75"/>
      <c r="BA600" s="2"/>
      <c r="BB600" s="2"/>
      <c r="BC600" s="2"/>
      <c r="BD600" s="2"/>
    </row>
    <row r="601" spans="1:56">
      <c r="A601" s="781">
        <v>2</v>
      </c>
      <c r="B601" s="782">
        <v>257</v>
      </c>
      <c r="C601" s="783">
        <v>45427</v>
      </c>
      <c r="D601" s="783" t="s">
        <v>224</v>
      </c>
      <c r="E601" s="808">
        <v>33936</v>
      </c>
      <c r="F601" s="799"/>
      <c r="G601" s="799"/>
      <c r="H601" s="1592">
        <f t="shared" si="27"/>
        <v>0</v>
      </c>
      <c r="I601" s="754" t="str">
        <f>IFERROR(VLOOKUP(B601,Mychart!$A$125:$B$911,2,FALSE),"-")</f>
        <v>NAAEMA SALEH - ERTIKAZ</v>
      </c>
      <c r="J601" s="753">
        <f t="shared" si="28"/>
        <v>5</v>
      </c>
      <c r="K601" s="1540">
        <f t="shared" si="29"/>
        <v>2024</v>
      </c>
      <c r="L601" s="757"/>
      <c r="M601" s="757"/>
      <c r="N601" s="757"/>
      <c r="O601" s="757"/>
      <c r="P601" s="757"/>
      <c r="Q601" s="757"/>
      <c r="R601" s="757"/>
      <c r="S601" s="757"/>
      <c r="T601" s="757"/>
      <c r="U601" s="757"/>
      <c r="V601" s="757"/>
      <c r="W601" s="757"/>
      <c r="X601" s="757"/>
      <c r="Y601" s="757"/>
      <c r="Z601" s="757"/>
      <c r="AA601" s="757"/>
      <c r="AB601" s="757"/>
      <c r="AC601" s="757"/>
      <c r="AD601" s="757"/>
      <c r="AE601" s="757"/>
      <c r="AF601" s="757"/>
      <c r="AG601" s="757"/>
      <c r="AH601" s="757"/>
      <c r="AI601" s="757"/>
      <c r="AJ601" s="757"/>
      <c r="AK601" s="757"/>
      <c r="AL601" s="757"/>
      <c r="AM601" s="757"/>
      <c r="AN601" s="757"/>
      <c r="AO601" s="757"/>
      <c r="AP601" s="757"/>
      <c r="AQ601" s="757"/>
      <c r="AR601" s="757"/>
      <c r="AS601" s="757"/>
      <c r="AT601" s="757"/>
      <c r="AU601" s="757"/>
      <c r="AV601" s="757"/>
      <c r="AW601" s="757"/>
      <c r="AX601" s="757"/>
      <c r="AY601" s="757"/>
      <c r="AZ601" s="75"/>
      <c r="BA601" s="2"/>
      <c r="BB601" s="2"/>
      <c r="BC601" s="2"/>
      <c r="BD601" s="2"/>
    </row>
    <row r="602" spans="1:56">
      <c r="A602" s="781">
        <v>2</v>
      </c>
      <c r="B602" s="782">
        <v>257</v>
      </c>
      <c r="C602" s="783">
        <v>45443</v>
      </c>
      <c r="D602" s="783" t="s">
        <v>177</v>
      </c>
      <c r="E602" s="808">
        <v>549</v>
      </c>
      <c r="F602" s="799"/>
      <c r="G602" s="799"/>
      <c r="H602" s="1592">
        <f t="shared" si="27"/>
        <v>0</v>
      </c>
      <c r="I602" s="754" t="str">
        <f>IFERROR(VLOOKUP(B602,Mychart!$A$125:$B$911,2,FALSE),"-")</f>
        <v>NAAEMA SALEH - ERTIKAZ</v>
      </c>
      <c r="J602" s="753">
        <f t="shared" si="28"/>
        <v>5</v>
      </c>
      <c r="K602" s="1540">
        <f t="shared" si="29"/>
        <v>2024</v>
      </c>
      <c r="L602" s="757"/>
      <c r="M602" s="757"/>
      <c r="N602" s="757"/>
      <c r="O602" s="757"/>
      <c r="P602" s="757"/>
      <c r="Q602" s="757"/>
      <c r="R602" s="757"/>
      <c r="S602" s="757"/>
      <c r="T602" s="757"/>
      <c r="U602" s="757"/>
      <c r="V602" s="757"/>
      <c r="W602" s="757"/>
      <c r="X602" s="757"/>
      <c r="Y602" s="757"/>
      <c r="Z602" s="757"/>
      <c r="AA602" s="757"/>
      <c r="AB602" s="757"/>
      <c r="AC602" s="757"/>
      <c r="AD602" s="757"/>
      <c r="AE602" s="757"/>
      <c r="AF602" s="757"/>
      <c r="AG602" s="757"/>
      <c r="AH602" s="757"/>
      <c r="AI602" s="757"/>
      <c r="AJ602" s="757"/>
      <c r="AK602" s="757"/>
      <c r="AL602" s="757"/>
      <c r="AM602" s="757"/>
      <c r="AN602" s="757"/>
      <c r="AO602" s="757"/>
      <c r="AP602" s="757"/>
      <c r="AQ602" s="757"/>
      <c r="AR602" s="757"/>
      <c r="AS602" s="757"/>
      <c r="AT602" s="757"/>
      <c r="AU602" s="757"/>
      <c r="AV602" s="757"/>
      <c r="AW602" s="757"/>
      <c r="AX602" s="757"/>
      <c r="AY602" s="757"/>
      <c r="AZ602" s="75"/>
      <c r="BA602" s="2"/>
      <c r="BB602" s="2"/>
      <c r="BC602" s="2"/>
      <c r="BD602" s="2"/>
    </row>
    <row r="603" spans="1:56">
      <c r="A603" s="781">
        <v>1</v>
      </c>
      <c r="B603" s="782">
        <v>265</v>
      </c>
      <c r="C603" s="783">
        <v>45372</v>
      </c>
      <c r="D603" s="786" t="s">
        <v>450</v>
      </c>
      <c r="E603" s="807"/>
      <c r="F603" s="798">
        <v>11500</v>
      </c>
      <c r="G603" s="798">
        <v>575</v>
      </c>
      <c r="H603" s="1592">
        <f t="shared" si="27"/>
        <v>12075</v>
      </c>
      <c r="I603" s="754" t="str">
        <f>IFERROR(VLOOKUP(B603,Mychart!$A$125:$B$911,2,FALSE),"-")</f>
        <v>Omar Sultan</v>
      </c>
      <c r="J603" s="753">
        <f t="shared" si="28"/>
        <v>3</v>
      </c>
      <c r="K603" s="1540">
        <f t="shared" si="29"/>
        <v>2024</v>
      </c>
      <c r="L603" s="757"/>
      <c r="M603" s="757"/>
      <c r="N603" s="757"/>
      <c r="O603" s="757"/>
      <c r="P603" s="757"/>
      <c r="Q603" s="757"/>
      <c r="R603" s="757"/>
      <c r="S603" s="757"/>
      <c r="T603" s="757"/>
      <c r="U603" s="757"/>
      <c r="V603" s="757"/>
      <c r="W603" s="757"/>
      <c r="X603" s="757"/>
      <c r="Y603" s="757"/>
      <c r="Z603" s="757"/>
      <c r="AA603" s="757"/>
      <c r="AB603" s="757"/>
      <c r="AC603" s="757"/>
      <c r="AD603" s="757"/>
      <c r="AE603" s="757"/>
      <c r="AF603" s="757"/>
      <c r="AG603" s="757"/>
      <c r="AH603" s="757"/>
      <c r="AI603" s="757"/>
      <c r="AJ603" s="757"/>
      <c r="AK603" s="757"/>
      <c r="AL603" s="757"/>
      <c r="AM603" s="757"/>
      <c r="AN603" s="757"/>
      <c r="AO603" s="757"/>
      <c r="AP603" s="757"/>
      <c r="AQ603" s="757"/>
      <c r="AR603" s="757"/>
      <c r="AS603" s="757"/>
      <c r="AT603" s="757"/>
      <c r="AU603" s="757"/>
      <c r="AV603" s="757"/>
      <c r="AW603" s="757"/>
      <c r="AX603" s="757"/>
      <c r="AY603" s="757"/>
      <c r="AZ603" s="75"/>
      <c r="BA603" s="2"/>
      <c r="BB603" s="2"/>
      <c r="BC603" s="2"/>
      <c r="BD603" s="2"/>
    </row>
    <row r="604" spans="1:56">
      <c r="A604" s="781">
        <v>2</v>
      </c>
      <c r="B604" s="782">
        <v>265</v>
      </c>
      <c r="C604" s="783">
        <v>45427</v>
      </c>
      <c r="D604" s="783" t="s">
        <v>176</v>
      </c>
      <c r="E604" s="808">
        <v>600</v>
      </c>
      <c r="F604" s="799"/>
      <c r="G604" s="799"/>
      <c r="H604" s="1592">
        <f t="shared" si="27"/>
        <v>0</v>
      </c>
      <c r="I604" s="754" t="str">
        <f>IFERROR(VLOOKUP(B604,Mychart!$A$125:$B$911,2,FALSE),"-")</f>
        <v>Omar Sultan</v>
      </c>
      <c r="J604" s="753">
        <f t="shared" si="28"/>
        <v>5</v>
      </c>
      <c r="K604" s="1540">
        <f t="shared" si="29"/>
        <v>2024</v>
      </c>
      <c r="L604" s="757"/>
      <c r="M604" s="757"/>
      <c r="N604" s="757"/>
      <c r="O604" s="757"/>
      <c r="P604" s="757"/>
      <c r="Q604" s="757"/>
      <c r="R604" s="757"/>
      <c r="S604" s="757"/>
      <c r="T604" s="757"/>
      <c r="U604" s="757"/>
      <c r="V604" s="757"/>
      <c r="W604" s="757"/>
      <c r="X604" s="757"/>
      <c r="Y604" s="757"/>
      <c r="Z604" s="757"/>
      <c r="AA604" s="757"/>
      <c r="AB604" s="757"/>
      <c r="AC604" s="757"/>
      <c r="AD604" s="757"/>
      <c r="AE604" s="757"/>
      <c r="AF604" s="757"/>
      <c r="AG604" s="757"/>
      <c r="AH604" s="757"/>
      <c r="AI604" s="757"/>
      <c r="AJ604" s="757"/>
      <c r="AK604" s="757"/>
      <c r="AL604" s="757"/>
      <c r="AM604" s="757"/>
      <c r="AN604" s="757"/>
      <c r="AO604" s="757"/>
      <c r="AP604" s="757"/>
      <c r="AQ604" s="757"/>
      <c r="AR604" s="757"/>
      <c r="AS604" s="757"/>
      <c r="AT604" s="757"/>
      <c r="AU604" s="757"/>
      <c r="AV604" s="757"/>
      <c r="AW604" s="757"/>
      <c r="AX604" s="757"/>
      <c r="AY604" s="757"/>
      <c r="AZ604" s="75"/>
      <c r="BA604" s="2"/>
      <c r="BB604" s="2"/>
      <c r="BC604" s="2"/>
      <c r="BD604" s="2"/>
    </row>
    <row r="605" spans="1:56">
      <c r="A605" s="781">
        <v>1</v>
      </c>
      <c r="B605" s="782">
        <v>200</v>
      </c>
      <c r="C605" s="783">
        <v>44646</v>
      </c>
      <c r="D605" s="786" t="s">
        <v>705</v>
      </c>
      <c r="E605" s="807"/>
      <c r="F605" s="798">
        <v>5000</v>
      </c>
      <c r="G605" s="799"/>
      <c r="H605" s="1592">
        <f t="shared" si="27"/>
        <v>5000</v>
      </c>
      <c r="I605" s="754" t="str">
        <f>IFERROR(VLOOKUP(B605,Mychart!$A$125:$B$911,2,FALSE),"-")</f>
        <v>SULTAN MEHERI - IBTESAM</v>
      </c>
      <c r="J605" s="753">
        <f t="shared" si="28"/>
        <v>3</v>
      </c>
      <c r="K605" s="1540">
        <f t="shared" si="29"/>
        <v>2022</v>
      </c>
      <c r="L605" s="757"/>
      <c r="M605" s="757"/>
      <c r="N605" s="757"/>
      <c r="O605" s="757"/>
      <c r="P605" s="757"/>
      <c r="Q605" s="757"/>
      <c r="R605" s="757"/>
      <c r="S605" s="757"/>
      <c r="T605" s="757"/>
      <c r="U605" s="757"/>
      <c r="V605" s="757"/>
      <c r="W605" s="757"/>
      <c r="X605" s="757"/>
      <c r="Y605" s="757"/>
      <c r="Z605" s="757"/>
      <c r="AA605" s="757"/>
      <c r="AB605" s="757"/>
      <c r="AC605" s="757"/>
      <c r="AD605" s="757"/>
      <c r="AE605" s="757"/>
      <c r="AF605" s="757"/>
      <c r="AG605" s="757"/>
      <c r="AH605" s="757"/>
      <c r="AI605" s="757"/>
      <c r="AJ605" s="757"/>
      <c r="AK605" s="757"/>
      <c r="AL605" s="757"/>
      <c r="AM605" s="757"/>
      <c r="AN605" s="757"/>
      <c r="AO605" s="757"/>
      <c r="AP605" s="757"/>
      <c r="AQ605" s="757"/>
      <c r="AR605" s="757"/>
      <c r="AS605" s="757"/>
      <c r="AT605" s="757"/>
      <c r="AU605" s="757"/>
      <c r="AV605" s="757"/>
      <c r="AW605" s="757"/>
      <c r="AX605" s="757"/>
      <c r="AY605" s="757"/>
      <c r="AZ605" s="75"/>
      <c r="BA605" s="2"/>
      <c r="BB605" s="2"/>
      <c r="BC605" s="2"/>
      <c r="BD605" s="2"/>
    </row>
    <row r="606" spans="1:56">
      <c r="A606" s="781">
        <v>2</v>
      </c>
      <c r="B606" s="782">
        <v>200</v>
      </c>
      <c r="C606" s="783"/>
      <c r="D606" s="783" t="s">
        <v>227</v>
      </c>
      <c r="E606" s="808">
        <v>846</v>
      </c>
      <c r="F606" s="799"/>
      <c r="G606" s="799"/>
      <c r="H606" s="1592">
        <f t="shared" si="27"/>
        <v>0</v>
      </c>
      <c r="I606" s="754" t="str">
        <f>IFERROR(VLOOKUP(B606,Mychart!$A$125:$B$911,2,FALSE),"-")</f>
        <v>SULTAN MEHERI - IBTESAM</v>
      </c>
      <c r="J606" s="753" t="str">
        <f t="shared" si="28"/>
        <v>-</v>
      </c>
      <c r="K606" s="1540">
        <f t="shared" si="29"/>
        <v>1900</v>
      </c>
      <c r="L606" s="757"/>
      <c r="M606" s="757"/>
      <c r="N606" s="757"/>
      <c r="O606" s="757"/>
      <c r="P606" s="757"/>
      <c r="Q606" s="757"/>
      <c r="R606" s="757"/>
      <c r="S606" s="757"/>
      <c r="T606" s="757"/>
      <c r="U606" s="757"/>
      <c r="V606" s="757"/>
      <c r="W606" s="757"/>
      <c r="X606" s="757"/>
      <c r="Y606" s="757"/>
      <c r="Z606" s="757"/>
      <c r="AA606" s="757"/>
      <c r="AB606" s="757"/>
      <c r="AC606" s="757"/>
      <c r="AD606" s="757"/>
      <c r="AE606" s="757"/>
      <c r="AF606" s="757"/>
      <c r="AG606" s="757"/>
      <c r="AH606" s="757"/>
      <c r="AI606" s="757"/>
      <c r="AJ606" s="757"/>
      <c r="AK606" s="757"/>
      <c r="AL606" s="757"/>
      <c r="AM606" s="757"/>
      <c r="AN606" s="757"/>
      <c r="AO606" s="757"/>
      <c r="AP606" s="757"/>
      <c r="AQ606" s="757"/>
      <c r="AR606" s="757"/>
      <c r="AS606" s="757"/>
      <c r="AT606" s="757"/>
      <c r="AU606" s="757"/>
      <c r="AV606" s="757"/>
      <c r="AW606" s="757"/>
      <c r="AX606" s="757"/>
      <c r="AY606" s="757"/>
      <c r="AZ606" s="75"/>
      <c r="BA606" s="2"/>
      <c r="BB606" s="2"/>
      <c r="BC606" s="2"/>
      <c r="BD606" s="2"/>
    </row>
    <row r="607" spans="1:56">
      <c r="A607" s="781">
        <v>1</v>
      </c>
      <c r="B607" s="782">
        <v>212</v>
      </c>
      <c r="C607" s="783">
        <v>44866</v>
      </c>
      <c r="D607" s="786" t="s">
        <v>709</v>
      </c>
      <c r="E607" s="807"/>
      <c r="F607" s="798">
        <v>20500</v>
      </c>
      <c r="G607" s="798">
        <v>1025</v>
      </c>
      <c r="H607" s="1592">
        <f t="shared" si="27"/>
        <v>21525</v>
      </c>
      <c r="I607" s="754" t="str">
        <f>IFERROR(VLOOKUP(B607,Mychart!$A$125:$B$911,2,FALSE),"-")</f>
        <v>SULTAN JUMA - DYNAMIC</v>
      </c>
      <c r="J607" s="753">
        <f t="shared" si="28"/>
        <v>11</v>
      </c>
      <c r="K607" s="1540">
        <f t="shared" si="29"/>
        <v>2022</v>
      </c>
      <c r="L607" s="757"/>
      <c r="M607" s="757"/>
      <c r="N607" s="757"/>
      <c r="O607" s="757"/>
      <c r="P607" s="757"/>
      <c r="Q607" s="757"/>
      <c r="R607" s="757"/>
      <c r="S607" s="757"/>
      <c r="T607" s="757"/>
      <c r="U607" s="757"/>
      <c r="V607" s="757"/>
      <c r="W607" s="757"/>
      <c r="X607" s="757"/>
      <c r="Y607" s="757"/>
      <c r="Z607" s="757"/>
      <c r="AA607" s="757"/>
      <c r="AB607" s="757"/>
      <c r="AC607" s="757"/>
      <c r="AD607" s="757"/>
      <c r="AE607" s="757"/>
      <c r="AF607" s="757"/>
      <c r="AG607" s="757"/>
      <c r="AH607" s="757"/>
      <c r="AI607" s="757"/>
      <c r="AJ607" s="757"/>
      <c r="AK607" s="757"/>
      <c r="AL607" s="757"/>
      <c r="AM607" s="757"/>
      <c r="AN607" s="757"/>
      <c r="AO607" s="757"/>
      <c r="AP607" s="757"/>
      <c r="AQ607" s="757"/>
      <c r="AR607" s="757"/>
      <c r="AS607" s="757"/>
      <c r="AT607" s="757"/>
      <c r="AU607" s="757"/>
      <c r="AV607" s="757"/>
      <c r="AW607" s="757"/>
      <c r="AX607" s="757"/>
      <c r="AY607" s="757"/>
      <c r="AZ607" s="75"/>
      <c r="BA607" s="2"/>
      <c r="BB607" s="2"/>
      <c r="BC607" s="2"/>
      <c r="BD607" s="2"/>
    </row>
    <row r="608" spans="1:56">
      <c r="A608" s="781">
        <v>1</v>
      </c>
      <c r="B608" s="782">
        <v>212</v>
      </c>
      <c r="C608" s="783">
        <v>44951</v>
      </c>
      <c r="D608" s="784" t="s">
        <v>710</v>
      </c>
      <c r="E608" s="807"/>
      <c r="F608" s="798">
        <v>87125</v>
      </c>
      <c r="G608" s="798">
        <v>4356.25</v>
      </c>
      <c r="H608" s="1592">
        <f t="shared" si="27"/>
        <v>91481.25</v>
      </c>
      <c r="I608" s="754" t="str">
        <f>IFERROR(VLOOKUP(B608,Mychart!$A$125:$B$911,2,FALSE),"-")</f>
        <v>SULTAN JUMA - DYNAMIC</v>
      </c>
      <c r="J608" s="753">
        <f t="shared" si="28"/>
        <v>1</v>
      </c>
      <c r="K608" s="1540">
        <f t="shared" si="29"/>
        <v>2023</v>
      </c>
      <c r="L608" s="757"/>
      <c r="M608" s="757"/>
      <c r="N608" s="757"/>
      <c r="O608" s="757"/>
      <c r="P608" s="757"/>
      <c r="Q608" s="757"/>
      <c r="R608" s="757"/>
      <c r="S608" s="757"/>
      <c r="T608" s="757"/>
      <c r="U608" s="757"/>
      <c r="V608" s="757"/>
      <c r="W608" s="757"/>
      <c r="X608" s="757"/>
      <c r="Y608" s="757"/>
      <c r="Z608" s="757"/>
      <c r="AA608" s="757"/>
      <c r="AB608" s="757"/>
      <c r="AC608" s="757"/>
      <c r="AD608" s="757"/>
      <c r="AE608" s="757"/>
      <c r="AF608" s="757"/>
      <c r="AG608" s="757"/>
      <c r="AH608" s="757"/>
      <c r="AI608" s="757"/>
      <c r="AJ608" s="757"/>
      <c r="AK608" s="757"/>
      <c r="AL608" s="757"/>
      <c r="AM608" s="757"/>
      <c r="AN608" s="757"/>
      <c r="AO608" s="757"/>
      <c r="AP608" s="757"/>
      <c r="AQ608" s="757"/>
      <c r="AR608" s="757"/>
      <c r="AS608" s="757"/>
      <c r="AT608" s="757"/>
      <c r="AU608" s="757"/>
      <c r="AV608" s="757"/>
      <c r="AW608" s="757"/>
      <c r="AX608" s="757"/>
      <c r="AY608" s="757"/>
      <c r="AZ608" s="75"/>
      <c r="BA608" s="2"/>
      <c r="BB608" s="2"/>
      <c r="BC608" s="2"/>
      <c r="BD608" s="2"/>
    </row>
    <row r="609" spans="1:56">
      <c r="A609" s="781">
        <v>1</v>
      </c>
      <c r="B609" s="782">
        <v>212</v>
      </c>
      <c r="C609" s="783">
        <v>44956</v>
      </c>
      <c r="D609" s="784" t="s">
        <v>711</v>
      </c>
      <c r="E609" s="807"/>
      <c r="F609" s="798">
        <v>18470</v>
      </c>
      <c r="G609" s="798">
        <v>924</v>
      </c>
      <c r="H609" s="1592">
        <f t="shared" si="27"/>
        <v>19394</v>
      </c>
      <c r="I609" s="754" t="str">
        <f>IFERROR(VLOOKUP(B609,Mychart!$A$125:$B$911,2,FALSE),"-")</f>
        <v>SULTAN JUMA - DYNAMIC</v>
      </c>
      <c r="J609" s="753">
        <f t="shared" si="28"/>
        <v>1</v>
      </c>
      <c r="K609" s="1540">
        <f t="shared" si="29"/>
        <v>2023</v>
      </c>
      <c r="L609" s="757"/>
      <c r="M609" s="757"/>
      <c r="N609" s="757"/>
      <c r="O609" s="757"/>
      <c r="P609" s="757"/>
      <c r="Q609" s="757"/>
      <c r="R609" s="757"/>
      <c r="S609" s="757"/>
      <c r="T609" s="757"/>
      <c r="U609" s="757"/>
      <c r="V609" s="757"/>
      <c r="W609" s="757"/>
      <c r="X609" s="757"/>
      <c r="Y609" s="757"/>
      <c r="Z609" s="757"/>
      <c r="AA609" s="757"/>
      <c r="AB609" s="757"/>
      <c r="AC609" s="757"/>
      <c r="AD609" s="757"/>
      <c r="AE609" s="757"/>
      <c r="AF609" s="757"/>
      <c r="AG609" s="757"/>
      <c r="AH609" s="757"/>
      <c r="AI609" s="757"/>
      <c r="AJ609" s="757"/>
      <c r="AK609" s="757"/>
      <c r="AL609" s="757"/>
      <c r="AM609" s="757"/>
      <c r="AN609" s="757"/>
      <c r="AO609" s="757"/>
      <c r="AP609" s="757"/>
      <c r="AQ609" s="757"/>
      <c r="AR609" s="757"/>
      <c r="AS609" s="757"/>
      <c r="AT609" s="757"/>
      <c r="AU609" s="757"/>
      <c r="AV609" s="757"/>
      <c r="AW609" s="757"/>
      <c r="AX609" s="757"/>
      <c r="AY609" s="757"/>
      <c r="AZ609" s="75"/>
      <c r="BA609" s="2"/>
      <c r="BB609" s="2"/>
      <c r="BC609" s="2"/>
      <c r="BD609" s="2"/>
    </row>
    <row r="610" spans="1:56">
      <c r="A610" s="781">
        <v>1</v>
      </c>
      <c r="B610" s="782">
        <v>212</v>
      </c>
      <c r="C610" s="783">
        <v>45007</v>
      </c>
      <c r="D610" s="784" t="s">
        <v>712</v>
      </c>
      <c r="E610" s="807"/>
      <c r="F610" s="798">
        <v>60987.5</v>
      </c>
      <c r="G610" s="798">
        <v>3049.375</v>
      </c>
      <c r="H610" s="1592">
        <f t="shared" si="27"/>
        <v>64036.875</v>
      </c>
      <c r="I610" s="754" t="str">
        <f>IFERROR(VLOOKUP(B610,Mychart!$A$125:$B$911,2,FALSE),"-")</f>
        <v>SULTAN JUMA - DYNAMIC</v>
      </c>
      <c r="J610" s="753">
        <f t="shared" si="28"/>
        <v>3</v>
      </c>
      <c r="K610" s="1540">
        <f t="shared" si="29"/>
        <v>2023</v>
      </c>
      <c r="L610" s="757"/>
      <c r="M610" s="757"/>
      <c r="N610" s="757"/>
      <c r="O610" s="757"/>
      <c r="P610" s="757"/>
      <c r="Q610" s="757"/>
      <c r="R610" s="757"/>
      <c r="S610" s="757"/>
      <c r="T610" s="757"/>
      <c r="U610" s="757"/>
      <c r="V610" s="757"/>
      <c r="W610" s="757"/>
      <c r="X610" s="757"/>
      <c r="Y610" s="757"/>
      <c r="Z610" s="757"/>
      <c r="AA610" s="757"/>
      <c r="AB610" s="757"/>
      <c r="AC610" s="757"/>
      <c r="AD610" s="757"/>
      <c r="AE610" s="757"/>
      <c r="AF610" s="757"/>
      <c r="AG610" s="757"/>
      <c r="AH610" s="757"/>
      <c r="AI610" s="757"/>
      <c r="AJ610" s="757"/>
      <c r="AK610" s="757"/>
      <c r="AL610" s="757"/>
      <c r="AM610" s="757"/>
      <c r="AN610" s="757"/>
      <c r="AO610" s="757"/>
      <c r="AP610" s="757"/>
      <c r="AQ610" s="757"/>
      <c r="AR610" s="757"/>
      <c r="AS610" s="757"/>
      <c r="AT610" s="757"/>
      <c r="AU610" s="757"/>
      <c r="AV610" s="757"/>
      <c r="AW610" s="757"/>
      <c r="AX610" s="757"/>
      <c r="AY610" s="757"/>
      <c r="AZ610" s="75"/>
      <c r="BA610" s="2"/>
      <c r="BB610" s="2"/>
      <c r="BC610" s="2"/>
      <c r="BD610" s="2"/>
    </row>
    <row r="611" spans="1:56">
      <c r="A611" s="781">
        <v>1</v>
      </c>
      <c r="B611" s="782">
        <v>212</v>
      </c>
      <c r="C611" s="783">
        <v>45225</v>
      </c>
      <c r="D611" s="784" t="s">
        <v>713</v>
      </c>
      <c r="E611" s="807"/>
      <c r="F611" s="798">
        <v>11968</v>
      </c>
      <c r="G611" s="798">
        <v>598.4</v>
      </c>
      <c r="H611" s="1592">
        <f t="shared" si="27"/>
        <v>12566.4</v>
      </c>
      <c r="I611" s="754" t="str">
        <f>IFERROR(VLOOKUP(B611,Mychart!$A$125:$B$911,2,FALSE),"-")</f>
        <v>SULTAN JUMA - DYNAMIC</v>
      </c>
      <c r="J611" s="753">
        <f t="shared" si="28"/>
        <v>10</v>
      </c>
      <c r="K611" s="1540">
        <f t="shared" si="29"/>
        <v>2023</v>
      </c>
      <c r="L611" s="757"/>
      <c r="M611" s="757"/>
      <c r="N611" s="757"/>
      <c r="O611" s="757"/>
      <c r="P611" s="757"/>
      <c r="Q611" s="757"/>
      <c r="R611" s="757"/>
      <c r="S611" s="757"/>
      <c r="T611" s="757"/>
      <c r="U611" s="757"/>
      <c r="V611" s="757"/>
      <c r="W611" s="757"/>
      <c r="X611" s="757"/>
      <c r="Y611" s="757"/>
      <c r="Z611" s="757"/>
      <c r="AA611" s="757"/>
      <c r="AB611" s="757"/>
      <c r="AC611" s="757"/>
      <c r="AD611" s="757"/>
      <c r="AE611" s="757"/>
      <c r="AF611" s="757"/>
      <c r="AG611" s="757"/>
      <c r="AH611" s="757"/>
      <c r="AI611" s="757"/>
      <c r="AJ611" s="757"/>
      <c r="AK611" s="757"/>
      <c r="AL611" s="757"/>
      <c r="AM611" s="757"/>
      <c r="AN611" s="757"/>
      <c r="AO611" s="757"/>
      <c r="AP611" s="757"/>
      <c r="AQ611" s="757"/>
      <c r="AR611" s="757"/>
      <c r="AS611" s="757"/>
      <c r="AT611" s="757"/>
      <c r="AU611" s="757"/>
      <c r="AV611" s="757"/>
      <c r="AW611" s="757"/>
      <c r="AX611" s="757"/>
      <c r="AY611" s="757"/>
      <c r="AZ611" s="75"/>
      <c r="BA611" s="2"/>
      <c r="BB611" s="2"/>
      <c r="BC611" s="2"/>
      <c r="BD611" s="2"/>
    </row>
    <row r="612" spans="1:56">
      <c r="A612" s="781">
        <v>1</v>
      </c>
      <c r="B612" s="782">
        <v>212</v>
      </c>
      <c r="C612" s="783">
        <v>45427</v>
      </c>
      <c r="D612" s="784" t="s">
        <v>714</v>
      </c>
      <c r="E612" s="807"/>
      <c r="F612" s="801">
        <v>10250</v>
      </c>
      <c r="G612" s="801">
        <v>512.5</v>
      </c>
      <c r="H612" s="1592">
        <f t="shared" si="27"/>
        <v>10762.5</v>
      </c>
      <c r="I612" s="754" t="str">
        <f>IFERROR(VLOOKUP(B612,Mychart!$A$125:$B$911,2,FALSE),"-")</f>
        <v>SULTAN JUMA - DYNAMIC</v>
      </c>
      <c r="J612" s="753">
        <f t="shared" si="28"/>
        <v>5</v>
      </c>
      <c r="K612" s="1540">
        <f t="shared" si="29"/>
        <v>2024</v>
      </c>
      <c r="L612" s="757"/>
      <c r="M612" s="757"/>
      <c r="N612" s="757"/>
      <c r="O612" s="757"/>
      <c r="P612" s="757"/>
      <c r="Q612" s="757"/>
      <c r="R612" s="757"/>
      <c r="S612" s="757"/>
      <c r="T612" s="757"/>
      <c r="U612" s="757"/>
      <c r="V612" s="757"/>
      <c r="W612" s="757"/>
      <c r="X612" s="757"/>
      <c r="Y612" s="757"/>
      <c r="Z612" s="757"/>
      <c r="AA612" s="757"/>
      <c r="AB612" s="757"/>
      <c r="AC612" s="757"/>
      <c r="AD612" s="757"/>
      <c r="AE612" s="757"/>
      <c r="AF612" s="757"/>
      <c r="AG612" s="757"/>
      <c r="AH612" s="757"/>
      <c r="AI612" s="757"/>
      <c r="AJ612" s="757"/>
      <c r="AK612" s="757"/>
      <c r="AL612" s="757"/>
      <c r="AM612" s="757"/>
      <c r="AN612" s="757"/>
      <c r="AO612" s="757"/>
      <c r="AP612" s="757"/>
      <c r="AQ612" s="757"/>
      <c r="AR612" s="757"/>
      <c r="AS612" s="757"/>
      <c r="AT612" s="757"/>
      <c r="AU612" s="757"/>
      <c r="AV612" s="757"/>
      <c r="AW612" s="757"/>
      <c r="AX612" s="757"/>
      <c r="AY612" s="757"/>
      <c r="AZ612" s="75"/>
      <c r="BA612" s="2"/>
      <c r="BB612" s="2"/>
      <c r="BC612" s="2"/>
      <c r="BD612" s="2"/>
    </row>
    <row r="613" spans="1:56">
      <c r="A613" s="781">
        <v>2</v>
      </c>
      <c r="B613" s="782">
        <v>212</v>
      </c>
      <c r="C613" s="783"/>
      <c r="D613" s="783" t="s">
        <v>715</v>
      </c>
      <c r="E613" s="809">
        <v>10000</v>
      </c>
      <c r="F613" s="799"/>
      <c r="G613" s="799"/>
      <c r="H613" s="1592">
        <f t="shared" si="27"/>
        <v>0</v>
      </c>
      <c r="I613" s="754" t="str">
        <f>IFERROR(VLOOKUP(B613,Mychart!$A$125:$B$911,2,FALSE),"-")</f>
        <v>SULTAN JUMA - DYNAMIC</v>
      </c>
      <c r="J613" s="753" t="str">
        <f t="shared" si="28"/>
        <v>-</v>
      </c>
      <c r="K613" s="1540">
        <f t="shared" si="29"/>
        <v>1900</v>
      </c>
      <c r="L613" s="757"/>
      <c r="M613" s="757"/>
      <c r="N613" s="757"/>
      <c r="O613" s="757"/>
      <c r="P613" s="757"/>
      <c r="Q613" s="757"/>
      <c r="R613" s="757"/>
      <c r="S613" s="757"/>
      <c r="T613" s="757"/>
      <c r="U613" s="757"/>
      <c r="V613" s="757"/>
      <c r="W613" s="757"/>
      <c r="X613" s="757"/>
      <c r="Y613" s="757"/>
      <c r="Z613" s="757"/>
      <c r="AA613" s="757"/>
      <c r="AB613" s="757"/>
      <c r="AC613" s="757"/>
      <c r="AD613" s="757"/>
      <c r="AE613" s="757"/>
      <c r="AF613" s="757"/>
      <c r="AG613" s="757"/>
      <c r="AH613" s="757"/>
      <c r="AI613" s="757"/>
      <c r="AJ613" s="757"/>
      <c r="AK613" s="757"/>
      <c r="AL613" s="757"/>
      <c r="AM613" s="757"/>
      <c r="AN613" s="757"/>
      <c r="AO613" s="757"/>
      <c r="AP613" s="757"/>
      <c r="AQ613" s="757"/>
      <c r="AR613" s="757"/>
      <c r="AS613" s="757"/>
      <c r="AT613" s="757"/>
      <c r="AU613" s="757"/>
      <c r="AV613" s="757"/>
      <c r="AW613" s="757"/>
      <c r="AX613" s="757"/>
      <c r="AY613" s="757"/>
      <c r="AZ613" s="75"/>
      <c r="BA613" s="2"/>
      <c r="BB613" s="2"/>
      <c r="BC613" s="2"/>
      <c r="BD613" s="2"/>
    </row>
    <row r="614" spans="1:56">
      <c r="A614" s="781">
        <v>2</v>
      </c>
      <c r="B614" s="782">
        <v>212</v>
      </c>
      <c r="C614" s="783"/>
      <c r="D614" s="783" t="s">
        <v>178</v>
      </c>
      <c r="E614" s="808">
        <v>211</v>
      </c>
      <c r="F614" s="799"/>
      <c r="G614" s="799"/>
      <c r="H614" s="1592">
        <f t="shared" si="27"/>
        <v>0</v>
      </c>
      <c r="I614" s="754" t="str">
        <f>IFERROR(VLOOKUP(B614,Mychart!$A$125:$B$911,2,FALSE),"-")</f>
        <v>SULTAN JUMA - DYNAMIC</v>
      </c>
      <c r="J614" s="753" t="str">
        <f t="shared" si="28"/>
        <v>-</v>
      </c>
      <c r="K614" s="1540">
        <f t="shared" si="29"/>
        <v>1900</v>
      </c>
      <c r="L614" s="757"/>
      <c r="M614" s="757"/>
      <c r="N614" s="757"/>
      <c r="O614" s="757"/>
      <c r="P614" s="757"/>
      <c r="Q614" s="757"/>
      <c r="R614" s="757"/>
      <c r="S614" s="757"/>
      <c r="T614" s="757"/>
      <c r="U614" s="757"/>
      <c r="V614" s="757"/>
      <c r="W614" s="757"/>
      <c r="X614" s="757"/>
      <c r="Y614" s="757"/>
      <c r="Z614" s="757"/>
      <c r="AA614" s="757"/>
      <c r="AB614" s="757"/>
      <c r="AC614" s="757"/>
      <c r="AD614" s="757"/>
      <c r="AE614" s="757"/>
      <c r="AF614" s="757"/>
      <c r="AG614" s="757"/>
      <c r="AH614" s="757"/>
      <c r="AI614" s="757"/>
      <c r="AJ614" s="757"/>
      <c r="AK614" s="757"/>
      <c r="AL614" s="757"/>
      <c r="AM614" s="757"/>
      <c r="AN614" s="757"/>
      <c r="AO614" s="757"/>
      <c r="AP614" s="757"/>
      <c r="AQ614" s="757"/>
      <c r="AR614" s="757"/>
      <c r="AS614" s="757"/>
      <c r="AT614" s="757"/>
      <c r="AU614" s="757"/>
      <c r="AV614" s="757"/>
      <c r="AW614" s="757"/>
      <c r="AX614" s="757"/>
      <c r="AY614" s="757"/>
      <c r="AZ614" s="75"/>
      <c r="BA614" s="2"/>
      <c r="BB614" s="2"/>
      <c r="BC614" s="2"/>
      <c r="BD614" s="2"/>
    </row>
    <row r="615" spans="1:56">
      <c r="A615" s="781">
        <v>2</v>
      </c>
      <c r="B615" s="782">
        <v>212</v>
      </c>
      <c r="C615" s="783"/>
      <c r="D615" s="783" t="s">
        <v>178</v>
      </c>
      <c r="E615" s="808">
        <v>4913</v>
      </c>
      <c r="F615" s="799"/>
      <c r="G615" s="799"/>
      <c r="H615" s="1592">
        <f t="shared" si="27"/>
        <v>0</v>
      </c>
      <c r="I615" s="754" t="str">
        <f>IFERROR(VLOOKUP(B615,Mychart!$A$125:$B$911,2,FALSE),"-")</f>
        <v>SULTAN JUMA - DYNAMIC</v>
      </c>
      <c r="J615" s="753" t="str">
        <f t="shared" si="28"/>
        <v>-</v>
      </c>
      <c r="K615" s="1540">
        <f t="shared" si="29"/>
        <v>1900</v>
      </c>
      <c r="L615" s="757"/>
      <c r="M615" s="757"/>
      <c r="N615" s="757"/>
      <c r="O615" s="757"/>
      <c r="P615" s="757"/>
      <c r="Q615" s="757"/>
      <c r="R615" s="757"/>
      <c r="S615" s="757"/>
      <c r="T615" s="757"/>
      <c r="U615" s="757"/>
      <c r="V615" s="757"/>
      <c r="W615" s="757"/>
      <c r="X615" s="757"/>
      <c r="Y615" s="757"/>
      <c r="Z615" s="757"/>
      <c r="AA615" s="757"/>
      <c r="AB615" s="757"/>
      <c r="AC615" s="757"/>
      <c r="AD615" s="757"/>
      <c r="AE615" s="757"/>
      <c r="AF615" s="757"/>
      <c r="AG615" s="757"/>
      <c r="AH615" s="757"/>
      <c r="AI615" s="757"/>
      <c r="AJ615" s="757"/>
      <c r="AK615" s="757"/>
      <c r="AL615" s="757"/>
      <c r="AM615" s="757"/>
      <c r="AN615" s="757"/>
      <c r="AO615" s="757"/>
      <c r="AP615" s="757"/>
      <c r="AQ615" s="757"/>
      <c r="AR615" s="757"/>
      <c r="AS615" s="757"/>
      <c r="AT615" s="757"/>
      <c r="AU615" s="757"/>
      <c r="AV615" s="757"/>
      <c r="AW615" s="757"/>
      <c r="AX615" s="757"/>
      <c r="AY615" s="757"/>
      <c r="AZ615" s="75"/>
      <c r="BA615" s="2"/>
      <c r="BB615" s="2"/>
      <c r="BC615" s="2"/>
      <c r="BD615" s="2"/>
    </row>
    <row r="616" spans="1:56">
      <c r="A616" s="781">
        <v>2</v>
      </c>
      <c r="B616" s="782">
        <v>212</v>
      </c>
      <c r="C616" s="783"/>
      <c r="D616" s="783" t="s">
        <v>224</v>
      </c>
      <c r="E616" s="808">
        <v>19241.240000000002</v>
      </c>
      <c r="F616" s="799"/>
      <c r="G616" s="799"/>
      <c r="H616" s="1592">
        <f t="shared" si="27"/>
        <v>0</v>
      </c>
      <c r="I616" s="754" t="str">
        <f>IFERROR(VLOOKUP(B616,Mychart!$A$125:$B$911,2,FALSE),"-")</f>
        <v>SULTAN JUMA - DYNAMIC</v>
      </c>
      <c r="J616" s="753" t="str">
        <f t="shared" si="28"/>
        <v>-</v>
      </c>
      <c r="K616" s="1540">
        <f t="shared" si="29"/>
        <v>1900</v>
      </c>
      <c r="L616" s="757"/>
      <c r="M616" s="757"/>
      <c r="N616" s="757"/>
      <c r="O616" s="757"/>
      <c r="P616" s="757"/>
      <c r="Q616" s="757"/>
      <c r="R616" s="757"/>
      <c r="S616" s="757"/>
      <c r="T616" s="757"/>
      <c r="U616" s="757"/>
      <c r="V616" s="757"/>
      <c r="W616" s="757"/>
      <c r="X616" s="757"/>
      <c r="Y616" s="757"/>
      <c r="Z616" s="757"/>
      <c r="AA616" s="757"/>
      <c r="AB616" s="757"/>
      <c r="AC616" s="757"/>
      <c r="AD616" s="757"/>
      <c r="AE616" s="757"/>
      <c r="AF616" s="757"/>
      <c r="AG616" s="757"/>
      <c r="AH616" s="757"/>
      <c r="AI616" s="757"/>
      <c r="AJ616" s="757"/>
      <c r="AK616" s="757"/>
      <c r="AL616" s="757"/>
      <c r="AM616" s="757"/>
      <c r="AN616" s="757"/>
      <c r="AO616" s="757"/>
      <c r="AP616" s="757"/>
      <c r="AQ616" s="757"/>
      <c r="AR616" s="757"/>
      <c r="AS616" s="757"/>
      <c r="AT616" s="757"/>
      <c r="AU616" s="757"/>
      <c r="AV616" s="757"/>
      <c r="AW616" s="757"/>
      <c r="AX616" s="757"/>
      <c r="AY616" s="757"/>
      <c r="AZ616" s="75"/>
      <c r="BA616" s="2"/>
      <c r="BB616" s="2"/>
      <c r="BC616" s="2"/>
      <c r="BD616" s="2"/>
    </row>
    <row r="617" spans="1:56">
      <c r="A617" s="781">
        <v>2</v>
      </c>
      <c r="B617" s="782">
        <v>212</v>
      </c>
      <c r="C617" s="783"/>
      <c r="D617" s="783" t="s">
        <v>224</v>
      </c>
      <c r="E617" s="808">
        <v>2262</v>
      </c>
      <c r="F617" s="799"/>
      <c r="G617" s="799"/>
      <c r="H617" s="1592">
        <f t="shared" si="27"/>
        <v>0</v>
      </c>
      <c r="I617" s="754" t="str">
        <f>IFERROR(VLOOKUP(B617,Mychart!$A$125:$B$911,2,FALSE),"-")</f>
        <v>SULTAN JUMA - DYNAMIC</v>
      </c>
      <c r="J617" s="753" t="str">
        <f t="shared" si="28"/>
        <v>-</v>
      </c>
      <c r="K617" s="1540">
        <f t="shared" si="29"/>
        <v>1900</v>
      </c>
      <c r="L617" s="757"/>
      <c r="M617" s="757"/>
      <c r="N617" s="757"/>
      <c r="O617" s="757"/>
      <c r="P617" s="757"/>
      <c r="Q617" s="757"/>
      <c r="R617" s="757"/>
      <c r="S617" s="757"/>
      <c r="T617" s="757"/>
      <c r="U617" s="757"/>
      <c r="V617" s="757"/>
      <c r="W617" s="757"/>
      <c r="X617" s="757"/>
      <c r="Y617" s="757"/>
      <c r="Z617" s="757"/>
      <c r="AA617" s="757"/>
      <c r="AB617" s="757"/>
      <c r="AC617" s="757"/>
      <c r="AD617" s="757"/>
      <c r="AE617" s="757"/>
      <c r="AF617" s="757"/>
      <c r="AG617" s="757"/>
      <c r="AH617" s="757"/>
      <c r="AI617" s="757"/>
      <c r="AJ617" s="757"/>
      <c r="AK617" s="757"/>
      <c r="AL617" s="757"/>
      <c r="AM617" s="757"/>
      <c r="AN617" s="757"/>
      <c r="AO617" s="757"/>
      <c r="AP617" s="757"/>
      <c r="AQ617" s="757"/>
      <c r="AR617" s="757"/>
      <c r="AS617" s="757"/>
      <c r="AT617" s="757"/>
      <c r="AU617" s="757"/>
      <c r="AV617" s="757"/>
      <c r="AW617" s="757"/>
      <c r="AX617" s="757"/>
      <c r="AY617" s="757"/>
      <c r="AZ617" s="75"/>
      <c r="BA617" s="2"/>
      <c r="BB617" s="2"/>
      <c r="BC617" s="2"/>
      <c r="BD617" s="2"/>
    </row>
    <row r="618" spans="1:56">
      <c r="A618" s="781">
        <v>2</v>
      </c>
      <c r="B618" s="782">
        <v>212</v>
      </c>
      <c r="C618" s="783"/>
      <c r="D618" s="783" t="s">
        <v>258</v>
      </c>
      <c r="E618" s="808">
        <v>5418</v>
      </c>
      <c r="F618" s="799"/>
      <c r="G618" s="799"/>
      <c r="H618" s="1592">
        <f t="shared" si="27"/>
        <v>0</v>
      </c>
      <c r="I618" s="754" t="str">
        <f>IFERROR(VLOOKUP(B618,Mychart!$A$125:$B$911,2,FALSE),"-")</f>
        <v>SULTAN JUMA - DYNAMIC</v>
      </c>
      <c r="J618" s="753" t="str">
        <f t="shared" si="28"/>
        <v>-</v>
      </c>
      <c r="K618" s="1540">
        <f t="shared" si="29"/>
        <v>1900</v>
      </c>
      <c r="L618" s="757"/>
      <c r="M618" s="757"/>
      <c r="N618" s="757"/>
      <c r="O618" s="757"/>
      <c r="P618" s="757"/>
      <c r="Q618" s="757"/>
      <c r="R618" s="757"/>
      <c r="S618" s="757"/>
      <c r="T618" s="757"/>
      <c r="U618" s="757"/>
      <c r="V618" s="757"/>
      <c r="W618" s="757"/>
      <c r="X618" s="757"/>
      <c r="Y618" s="757"/>
      <c r="Z618" s="757"/>
      <c r="AA618" s="757"/>
      <c r="AB618" s="757"/>
      <c r="AC618" s="757"/>
      <c r="AD618" s="757"/>
      <c r="AE618" s="757"/>
      <c r="AF618" s="757"/>
      <c r="AG618" s="757"/>
      <c r="AH618" s="757"/>
      <c r="AI618" s="757"/>
      <c r="AJ618" s="757"/>
      <c r="AK618" s="757"/>
      <c r="AL618" s="757"/>
      <c r="AM618" s="757"/>
      <c r="AN618" s="757"/>
      <c r="AO618" s="757"/>
      <c r="AP618" s="757"/>
      <c r="AQ618" s="757"/>
      <c r="AR618" s="757"/>
      <c r="AS618" s="757"/>
      <c r="AT618" s="757"/>
      <c r="AU618" s="757"/>
      <c r="AV618" s="757"/>
      <c r="AW618" s="757"/>
      <c r="AX618" s="757"/>
      <c r="AY618" s="757"/>
      <c r="AZ618" s="75"/>
      <c r="BA618" s="2"/>
      <c r="BB618" s="2"/>
      <c r="BC618" s="2"/>
      <c r="BD618" s="2"/>
    </row>
    <row r="619" spans="1:56">
      <c r="A619" s="781">
        <v>2</v>
      </c>
      <c r="B619" s="782">
        <v>212</v>
      </c>
      <c r="C619" s="783"/>
      <c r="D619" s="783" t="s">
        <v>178</v>
      </c>
      <c r="E619" s="808">
        <v>6726</v>
      </c>
      <c r="F619" s="799"/>
      <c r="G619" s="799"/>
      <c r="H619" s="1592">
        <f t="shared" si="27"/>
        <v>0</v>
      </c>
      <c r="I619" s="754" t="str">
        <f>IFERROR(VLOOKUP(B619,Mychart!$A$125:$B$911,2,FALSE),"-")</f>
        <v>SULTAN JUMA - DYNAMIC</v>
      </c>
      <c r="J619" s="753" t="str">
        <f t="shared" si="28"/>
        <v>-</v>
      </c>
      <c r="K619" s="1540">
        <f t="shared" si="29"/>
        <v>1900</v>
      </c>
      <c r="L619" s="757"/>
      <c r="M619" s="757"/>
      <c r="N619" s="757"/>
      <c r="O619" s="757"/>
      <c r="P619" s="757"/>
      <c r="Q619" s="757"/>
      <c r="R619" s="757"/>
      <c r="S619" s="757"/>
      <c r="T619" s="757"/>
      <c r="U619" s="757"/>
      <c r="V619" s="757"/>
      <c r="W619" s="757"/>
      <c r="X619" s="757"/>
      <c r="Y619" s="757"/>
      <c r="Z619" s="757"/>
      <c r="AA619" s="757"/>
      <c r="AB619" s="757"/>
      <c r="AC619" s="757"/>
      <c r="AD619" s="757"/>
      <c r="AE619" s="757"/>
      <c r="AF619" s="757"/>
      <c r="AG619" s="757"/>
      <c r="AH619" s="757"/>
      <c r="AI619" s="757"/>
      <c r="AJ619" s="757"/>
      <c r="AK619" s="757"/>
      <c r="AL619" s="757"/>
      <c r="AM619" s="757"/>
      <c r="AN619" s="757"/>
      <c r="AO619" s="757"/>
      <c r="AP619" s="757"/>
      <c r="AQ619" s="757"/>
      <c r="AR619" s="757"/>
      <c r="AS619" s="757"/>
      <c r="AT619" s="757"/>
      <c r="AU619" s="757"/>
      <c r="AV619" s="757"/>
      <c r="AW619" s="757"/>
      <c r="AX619" s="757"/>
      <c r="AY619" s="757"/>
      <c r="AZ619" s="75"/>
      <c r="BA619" s="2"/>
      <c r="BB619" s="2"/>
      <c r="BC619" s="2"/>
      <c r="BD619" s="2"/>
    </row>
    <row r="620" spans="1:56">
      <c r="A620" s="781">
        <v>2</v>
      </c>
      <c r="B620" s="782">
        <v>212</v>
      </c>
      <c r="C620" s="783"/>
      <c r="D620" s="783" t="s">
        <v>499</v>
      </c>
      <c r="E620" s="808">
        <v>1000</v>
      </c>
      <c r="F620" s="799"/>
      <c r="G620" s="799"/>
      <c r="H620" s="1592">
        <f t="shared" si="27"/>
        <v>0</v>
      </c>
      <c r="I620" s="754" t="str">
        <f>IFERROR(VLOOKUP(B620,Mychart!$A$125:$B$911,2,FALSE),"-")</f>
        <v>SULTAN JUMA - DYNAMIC</v>
      </c>
      <c r="J620" s="753" t="str">
        <f t="shared" si="28"/>
        <v>-</v>
      </c>
      <c r="K620" s="1540">
        <f t="shared" si="29"/>
        <v>1900</v>
      </c>
      <c r="L620" s="757"/>
      <c r="M620" s="757"/>
      <c r="N620" s="757"/>
      <c r="O620" s="757"/>
      <c r="P620" s="757"/>
      <c r="Q620" s="757"/>
      <c r="R620" s="757"/>
      <c r="S620" s="757"/>
      <c r="T620" s="757"/>
      <c r="U620" s="757"/>
      <c r="V620" s="757"/>
      <c r="W620" s="757"/>
      <c r="X620" s="757"/>
      <c r="Y620" s="757"/>
      <c r="Z620" s="757"/>
      <c r="AA620" s="757"/>
      <c r="AB620" s="757"/>
      <c r="AC620" s="757"/>
      <c r="AD620" s="757"/>
      <c r="AE620" s="757"/>
      <c r="AF620" s="757"/>
      <c r="AG620" s="757"/>
      <c r="AH620" s="757"/>
      <c r="AI620" s="757"/>
      <c r="AJ620" s="757"/>
      <c r="AK620" s="757"/>
      <c r="AL620" s="757"/>
      <c r="AM620" s="757"/>
      <c r="AN620" s="757"/>
      <c r="AO620" s="757"/>
      <c r="AP620" s="757"/>
      <c r="AQ620" s="757"/>
      <c r="AR620" s="757"/>
      <c r="AS620" s="757"/>
      <c r="AT620" s="757"/>
      <c r="AU620" s="757"/>
      <c r="AV620" s="757"/>
      <c r="AW620" s="757"/>
      <c r="AX620" s="757"/>
      <c r="AY620" s="757"/>
      <c r="AZ620" s="75"/>
      <c r="BA620" s="2"/>
      <c r="BB620" s="2"/>
      <c r="BC620" s="2"/>
      <c r="BD620" s="2"/>
    </row>
    <row r="621" spans="1:56">
      <c r="A621" s="781">
        <v>2</v>
      </c>
      <c r="B621" s="782">
        <v>212</v>
      </c>
      <c r="C621" s="783"/>
      <c r="D621" s="783" t="s">
        <v>256</v>
      </c>
      <c r="E621" s="808">
        <v>1650</v>
      </c>
      <c r="F621" s="799"/>
      <c r="G621" s="799"/>
      <c r="H621" s="1592">
        <f t="shared" si="27"/>
        <v>0</v>
      </c>
      <c r="I621" s="754" t="str">
        <f>IFERROR(VLOOKUP(B621,Mychart!$A$125:$B$911,2,FALSE),"-")</f>
        <v>SULTAN JUMA - DYNAMIC</v>
      </c>
      <c r="J621" s="753" t="str">
        <f t="shared" si="28"/>
        <v>-</v>
      </c>
      <c r="K621" s="1540">
        <f t="shared" si="29"/>
        <v>1900</v>
      </c>
      <c r="L621" s="757"/>
      <c r="M621" s="757"/>
      <c r="N621" s="757"/>
      <c r="O621" s="757"/>
      <c r="P621" s="757"/>
      <c r="Q621" s="757"/>
      <c r="R621" s="757"/>
      <c r="S621" s="757"/>
      <c r="T621" s="757"/>
      <c r="U621" s="757"/>
      <c r="V621" s="757"/>
      <c r="W621" s="757"/>
      <c r="X621" s="757"/>
      <c r="Y621" s="757"/>
      <c r="Z621" s="757"/>
      <c r="AA621" s="757"/>
      <c r="AB621" s="757"/>
      <c r="AC621" s="757"/>
      <c r="AD621" s="757"/>
      <c r="AE621" s="757"/>
      <c r="AF621" s="757"/>
      <c r="AG621" s="757"/>
      <c r="AH621" s="757"/>
      <c r="AI621" s="757"/>
      <c r="AJ621" s="757"/>
      <c r="AK621" s="757"/>
      <c r="AL621" s="757"/>
      <c r="AM621" s="757"/>
      <c r="AN621" s="757"/>
      <c r="AO621" s="757"/>
      <c r="AP621" s="757"/>
      <c r="AQ621" s="757"/>
      <c r="AR621" s="757"/>
      <c r="AS621" s="757"/>
      <c r="AT621" s="757"/>
      <c r="AU621" s="757"/>
      <c r="AV621" s="757"/>
      <c r="AW621" s="757"/>
      <c r="AX621" s="757"/>
      <c r="AY621" s="757"/>
      <c r="AZ621" s="75"/>
      <c r="BA621" s="2"/>
      <c r="BB621" s="2"/>
      <c r="BC621" s="2"/>
      <c r="BD621" s="2"/>
    </row>
    <row r="622" spans="1:56">
      <c r="A622" s="781">
        <v>2</v>
      </c>
      <c r="B622" s="782">
        <v>212</v>
      </c>
      <c r="C622" s="783"/>
      <c r="D622" s="783" t="s">
        <v>224</v>
      </c>
      <c r="E622" s="808">
        <v>2472</v>
      </c>
      <c r="F622" s="799"/>
      <c r="G622" s="799"/>
      <c r="H622" s="1592">
        <f t="shared" si="27"/>
        <v>0</v>
      </c>
      <c r="I622" s="754" t="str">
        <f>IFERROR(VLOOKUP(B622,Mychart!$A$125:$B$911,2,FALSE),"-")</f>
        <v>SULTAN JUMA - DYNAMIC</v>
      </c>
      <c r="J622" s="753" t="str">
        <f t="shared" si="28"/>
        <v>-</v>
      </c>
      <c r="K622" s="1540">
        <f t="shared" si="29"/>
        <v>1900</v>
      </c>
      <c r="L622" s="757"/>
      <c r="M622" s="757"/>
      <c r="N622" s="757"/>
      <c r="O622" s="757"/>
      <c r="P622" s="757"/>
      <c r="Q622" s="757"/>
      <c r="R622" s="757"/>
      <c r="S622" s="757"/>
      <c r="T622" s="757"/>
      <c r="U622" s="757"/>
      <c r="V622" s="757"/>
      <c r="W622" s="757"/>
      <c r="X622" s="757"/>
      <c r="Y622" s="757"/>
      <c r="Z622" s="757"/>
      <c r="AA622" s="757"/>
      <c r="AB622" s="757"/>
      <c r="AC622" s="757"/>
      <c r="AD622" s="757"/>
      <c r="AE622" s="757"/>
      <c r="AF622" s="757"/>
      <c r="AG622" s="757"/>
      <c r="AH622" s="757"/>
      <c r="AI622" s="757"/>
      <c r="AJ622" s="757"/>
      <c r="AK622" s="757"/>
      <c r="AL622" s="757"/>
      <c r="AM622" s="757"/>
      <c r="AN622" s="757"/>
      <c r="AO622" s="757"/>
      <c r="AP622" s="757"/>
      <c r="AQ622" s="757"/>
      <c r="AR622" s="757"/>
      <c r="AS622" s="757"/>
      <c r="AT622" s="757"/>
      <c r="AU622" s="757"/>
      <c r="AV622" s="757"/>
      <c r="AW622" s="757"/>
      <c r="AX622" s="757"/>
      <c r="AY622" s="757"/>
      <c r="AZ622" s="75"/>
      <c r="BA622" s="2"/>
      <c r="BB622" s="2"/>
      <c r="BC622" s="2"/>
      <c r="BD622" s="2"/>
    </row>
    <row r="623" spans="1:56">
      <c r="A623" s="781">
        <v>2</v>
      </c>
      <c r="B623" s="782">
        <v>212</v>
      </c>
      <c r="C623" s="783"/>
      <c r="D623" s="783" t="s">
        <v>256</v>
      </c>
      <c r="E623" s="808">
        <v>98</v>
      </c>
      <c r="F623" s="799"/>
      <c r="G623" s="799"/>
      <c r="H623" s="1592">
        <f t="shared" si="27"/>
        <v>0</v>
      </c>
      <c r="I623" s="754" t="str">
        <f>IFERROR(VLOOKUP(B623,Mychart!$A$125:$B$911,2,FALSE),"-")</f>
        <v>SULTAN JUMA - DYNAMIC</v>
      </c>
      <c r="J623" s="753" t="str">
        <f t="shared" si="28"/>
        <v>-</v>
      </c>
      <c r="K623" s="1540">
        <f t="shared" si="29"/>
        <v>1900</v>
      </c>
      <c r="L623" s="757"/>
      <c r="M623" s="757"/>
      <c r="N623" s="757"/>
      <c r="O623" s="757"/>
      <c r="P623" s="757"/>
      <c r="Q623" s="757"/>
      <c r="R623" s="757"/>
      <c r="S623" s="757"/>
      <c r="T623" s="757"/>
      <c r="U623" s="757"/>
      <c r="V623" s="757"/>
      <c r="W623" s="757"/>
      <c r="X623" s="757"/>
      <c r="Y623" s="757"/>
      <c r="Z623" s="757"/>
      <c r="AA623" s="757"/>
      <c r="AB623" s="757"/>
      <c r="AC623" s="757"/>
      <c r="AD623" s="757"/>
      <c r="AE623" s="757"/>
      <c r="AF623" s="757"/>
      <c r="AG623" s="757"/>
      <c r="AH623" s="757"/>
      <c r="AI623" s="757"/>
      <c r="AJ623" s="757"/>
      <c r="AK623" s="757"/>
      <c r="AL623" s="757"/>
      <c r="AM623" s="757"/>
      <c r="AN623" s="757"/>
      <c r="AO623" s="757"/>
      <c r="AP623" s="757"/>
      <c r="AQ623" s="757"/>
      <c r="AR623" s="757"/>
      <c r="AS623" s="757"/>
      <c r="AT623" s="757"/>
      <c r="AU623" s="757"/>
      <c r="AV623" s="757"/>
      <c r="AW623" s="757"/>
      <c r="AX623" s="757"/>
      <c r="AY623" s="757"/>
      <c r="AZ623" s="75"/>
      <c r="BA623" s="2"/>
      <c r="BB623" s="2"/>
      <c r="BC623" s="2"/>
      <c r="BD623" s="2"/>
    </row>
    <row r="624" spans="1:56">
      <c r="A624" s="781">
        <v>2</v>
      </c>
      <c r="B624" s="782">
        <v>212</v>
      </c>
      <c r="C624" s="783"/>
      <c r="D624" s="783" t="s">
        <v>178</v>
      </c>
      <c r="E624" s="808">
        <v>3873</v>
      </c>
      <c r="F624" s="799"/>
      <c r="G624" s="799"/>
      <c r="H624" s="1592">
        <f t="shared" si="27"/>
        <v>0</v>
      </c>
      <c r="I624" s="754" t="str">
        <f>IFERROR(VLOOKUP(B624,Mychart!$A$125:$B$911,2,FALSE),"-")</f>
        <v>SULTAN JUMA - DYNAMIC</v>
      </c>
      <c r="J624" s="753" t="str">
        <f t="shared" si="28"/>
        <v>-</v>
      </c>
      <c r="K624" s="1540">
        <f t="shared" si="29"/>
        <v>1900</v>
      </c>
      <c r="L624" s="757"/>
      <c r="M624" s="757"/>
      <c r="N624" s="757"/>
      <c r="O624" s="757"/>
      <c r="P624" s="757"/>
      <c r="Q624" s="757"/>
      <c r="R624" s="757"/>
      <c r="S624" s="757"/>
      <c r="T624" s="757"/>
      <c r="U624" s="757"/>
      <c r="V624" s="757"/>
      <c r="W624" s="757"/>
      <c r="X624" s="757"/>
      <c r="Y624" s="757"/>
      <c r="Z624" s="757"/>
      <c r="AA624" s="757"/>
      <c r="AB624" s="757"/>
      <c r="AC624" s="757"/>
      <c r="AD624" s="757"/>
      <c r="AE624" s="757"/>
      <c r="AF624" s="757"/>
      <c r="AG624" s="757"/>
      <c r="AH624" s="757"/>
      <c r="AI624" s="757"/>
      <c r="AJ624" s="757"/>
      <c r="AK624" s="757"/>
      <c r="AL624" s="757"/>
      <c r="AM624" s="757"/>
      <c r="AN624" s="757"/>
      <c r="AO624" s="757"/>
      <c r="AP624" s="757"/>
      <c r="AQ624" s="757"/>
      <c r="AR624" s="757"/>
      <c r="AS624" s="757"/>
      <c r="AT624" s="757"/>
      <c r="AU624" s="757"/>
      <c r="AV624" s="757"/>
      <c r="AW624" s="757"/>
      <c r="AX624" s="757"/>
      <c r="AY624" s="757"/>
      <c r="AZ624" s="75"/>
      <c r="BA624" s="2"/>
      <c r="BB624" s="2"/>
      <c r="BC624" s="2"/>
      <c r="BD624" s="2"/>
    </row>
    <row r="625" spans="1:56">
      <c r="A625" s="781">
        <v>2</v>
      </c>
      <c r="B625" s="782">
        <v>212</v>
      </c>
      <c r="C625" s="783"/>
      <c r="D625" s="783" t="s">
        <v>224</v>
      </c>
      <c r="E625" s="808">
        <v>6289.5</v>
      </c>
      <c r="F625" s="799"/>
      <c r="G625" s="799"/>
      <c r="H625" s="1592">
        <f t="shared" si="27"/>
        <v>0</v>
      </c>
      <c r="I625" s="754" t="str">
        <f>IFERROR(VLOOKUP(B625,Mychart!$A$125:$B$911,2,FALSE),"-")</f>
        <v>SULTAN JUMA - DYNAMIC</v>
      </c>
      <c r="J625" s="753" t="str">
        <f t="shared" si="28"/>
        <v>-</v>
      </c>
      <c r="K625" s="1540">
        <f t="shared" si="29"/>
        <v>1900</v>
      </c>
      <c r="L625" s="757"/>
      <c r="M625" s="757"/>
      <c r="N625" s="757"/>
      <c r="O625" s="757"/>
      <c r="P625" s="757"/>
      <c r="Q625" s="757"/>
      <c r="R625" s="757"/>
      <c r="S625" s="757"/>
      <c r="T625" s="757"/>
      <c r="U625" s="757"/>
      <c r="V625" s="757"/>
      <c r="W625" s="757"/>
      <c r="X625" s="757"/>
      <c r="Y625" s="757"/>
      <c r="Z625" s="757"/>
      <c r="AA625" s="757"/>
      <c r="AB625" s="757"/>
      <c r="AC625" s="757"/>
      <c r="AD625" s="757"/>
      <c r="AE625" s="757"/>
      <c r="AF625" s="757"/>
      <c r="AG625" s="757"/>
      <c r="AH625" s="757"/>
      <c r="AI625" s="757"/>
      <c r="AJ625" s="757"/>
      <c r="AK625" s="757"/>
      <c r="AL625" s="757"/>
      <c r="AM625" s="757"/>
      <c r="AN625" s="757"/>
      <c r="AO625" s="757"/>
      <c r="AP625" s="757"/>
      <c r="AQ625" s="757"/>
      <c r="AR625" s="757"/>
      <c r="AS625" s="757"/>
      <c r="AT625" s="757"/>
      <c r="AU625" s="757"/>
      <c r="AV625" s="757"/>
      <c r="AW625" s="757"/>
      <c r="AX625" s="757"/>
      <c r="AY625" s="757"/>
      <c r="AZ625" s="75"/>
      <c r="BA625" s="2"/>
      <c r="BB625" s="2"/>
      <c r="BC625" s="2"/>
      <c r="BD625" s="2"/>
    </row>
    <row r="626" spans="1:56">
      <c r="A626" s="781">
        <v>2</v>
      </c>
      <c r="B626" s="782">
        <v>212</v>
      </c>
      <c r="C626" s="783"/>
      <c r="D626" s="783" t="s">
        <v>224</v>
      </c>
      <c r="E626" s="808">
        <v>13482</v>
      </c>
      <c r="F626" s="799"/>
      <c r="G626" s="799"/>
      <c r="H626" s="1592">
        <f t="shared" si="27"/>
        <v>0</v>
      </c>
      <c r="I626" s="754" t="str">
        <f>IFERROR(VLOOKUP(B626,Mychart!$A$125:$B$911,2,FALSE),"-")</f>
        <v>SULTAN JUMA - DYNAMIC</v>
      </c>
      <c r="J626" s="753" t="str">
        <f t="shared" si="28"/>
        <v>-</v>
      </c>
      <c r="K626" s="1540">
        <f t="shared" si="29"/>
        <v>1900</v>
      </c>
      <c r="L626" s="757"/>
      <c r="M626" s="757"/>
      <c r="N626" s="757"/>
      <c r="O626" s="757"/>
      <c r="P626" s="757"/>
      <c r="Q626" s="757"/>
      <c r="R626" s="757"/>
      <c r="S626" s="757"/>
      <c r="T626" s="757"/>
      <c r="U626" s="757"/>
      <c r="V626" s="757"/>
      <c r="W626" s="757"/>
      <c r="X626" s="757"/>
      <c r="Y626" s="757"/>
      <c r="Z626" s="757"/>
      <c r="AA626" s="757"/>
      <c r="AB626" s="757"/>
      <c r="AC626" s="757"/>
      <c r="AD626" s="757"/>
      <c r="AE626" s="757"/>
      <c r="AF626" s="757"/>
      <c r="AG626" s="757"/>
      <c r="AH626" s="757"/>
      <c r="AI626" s="757"/>
      <c r="AJ626" s="757"/>
      <c r="AK626" s="757"/>
      <c r="AL626" s="757"/>
      <c r="AM626" s="757"/>
      <c r="AN626" s="757"/>
      <c r="AO626" s="757"/>
      <c r="AP626" s="757"/>
      <c r="AQ626" s="757"/>
      <c r="AR626" s="757"/>
      <c r="AS626" s="757"/>
      <c r="AT626" s="757"/>
      <c r="AU626" s="757"/>
      <c r="AV626" s="757"/>
      <c r="AW626" s="757"/>
      <c r="AX626" s="757"/>
      <c r="AY626" s="757"/>
      <c r="AZ626" s="75"/>
      <c r="BA626" s="2"/>
      <c r="BB626" s="2"/>
      <c r="BC626" s="2"/>
      <c r="BD626" s="2"/>
    </row>
    <row r="627" spans="1:56">
      <c r="A627" s="781">
        <v>2</v>
      </c>
      <c r="B627" s="782">
        <v>212</v>
      </c>
      <c r="C627" s="783"/>
      <c r="D627" s="783" t="s">
        <v>224</v>
      </c>
      <c r="E627" s="808">
        <v>22837</v>
      </c>
      <c r="F627" s="799"/>
      <c r="G627" s="799"/>
      <c r="H627" s="1592">
        <f t="shared" si="27"/>
        <v>0</v>
      </c>
      <c r="I627" s="754" t="str">
        <f>IFERROR(VLOOKUP(B627,Mychart!$A$125:$B$911,2,FALSE),"-")</f>
        <v>SULTAN JUMA - DYNAMIC</v>
      </c>
      <c r="J627" s="753" t="str">
        <f t="shared" si="28"/>
        <v>-</v>
      </c>
      <c r="K627" s="1540">
        <f t="shared" si="29"/>
        <v>1900</v>
      </c>
      <c r="L627" s="757"/>
      <c r="M627" s="757"/>
      <c r="N627" s="757"/>
      <c r="O627" s="757"/>
      <c r="P627" s="757"/>
      <c r="Q627" s="757"/>
      <c r="R627" s="757"/>
      <c r="S627" s="757"/>
      <c r="T627" s="757"/>
      <c r="U627" s="757"/>
      <c r="V627" s="757"/>
      <c r="W627" s="757"/>
      <c r="X627" s="757"/>
      <c r="Y627" s="757"/>
      <c r="Z627" s="757"/>
      <c r="AA627" s="757"/>
      <c r="AB627" s="757"/>
      <c r="AC627" s="757"/>
      <c r="AD627" s="757"/>
      <c r="AE627" s="757"/>
      <c r="AF627" s="757"/>
      <c r="AG627" s="757"/>
      <c r="AH627" s="757"/>
      <c r="AI627" s="757"/>
      <c r="AJ627" s="757"/>
      <c r="AK627" s="757"/>
      <c r="AL627" s="757"/>
      <c r="AM627" s="757"/>
      <c r="AN627" s="757"/>
      <c r="AO627" s="757"/>
      <c r="AP627" s="757"/>
      <c r="AQ627" s="757"/>
      <c r="AR627" s="757"/>
      <c r="AS627" s="757"/>
      <c r="AT627" s="757"/>
      <c r="AU627" s="757"/>
      <c r="AV627" s="757"/>
      <c r="AW627" s="757"/>
      <c r="AX627" s="757"/>
      <c r="AY627" s="757"/>
      <c r="AZ627" s="75"/>
      <c r="BA627" s="2"/>
      <c r="BB627" s="2"/>
      <c r="BC627" s="2"/>
      <c r="BD627" s="2"/>
    </row>
    <row r="628" spans="1:56">
      <c r="A628" s="781">
        <v>2</v>
      </c>
      <c r="B628" s="782">
        <v>212</v>
      </c>
      <c r="C628" s="783"/>
      <c r="D628" s="783" t="s">
        <v>178</v>
      </c>
      <c r="E628" s="808">
        <v>536</v>
      </c>
      <c r="F628" s="799"/>
      <c r="G628" s="799"/>
      <c r="H628" s="1592">
        <f t="shared" si="27"/>
        <v>0</v>
      </c>
      <c r="I628" s="754" t="str">
        <f>IFERROR(VLOOKUP(B628,Mychart!$A$125:$B$911,2,FALSE),"-")</f>
        <v>SULTAN JUMA - DYNAMIC</v>
      </c>
      <c r="J628" s="753" t="str">
        <f t="shared" si="28"/>
        <v>-</v>
      </c>
      <c r="K628" s="1540">
        <f t="shared" si="29"/>
        <v>1900</v>
      </c>
      <c r="L628" s="757"/>
      <c r="M628" s="757"/>
      <c r="N628" s="757"/>
      <c r="O628" s="757"/>
      <c r="P628" s="757"/>
      <c r="Q628" s="757"/>
      <c r="R628" s="757"/>
      <c r="S628" s="757"/>
      <c r="T628" s="757"/>
      <c r="U628" s="757"/>
      <c r="V628" s="757"/>
      <c r="W628" s="757"/>
      <c r="X628" s="757"/>
      <c r="Y628" s="757"/>
      <c r="Z628" s="757"/>
      <c r="AA628" s="757"/>
      <c r="AB628" s="757"/>
      <c r="AC628" s="757"/>
      <c r="AD628" s="757"/>
      <c r="AE628" s="757"/>
      <c r="AF628" s="757"/>
      <c r="AG628" s="757"/>
      <c r="AH628" s="757"/>
      <c r="AI628" s="757"/>
      <c r="AJ628" s="757"/>
      <c r="AK628" s="757"/>
      <c r="AL628" s="757"/>
      <c r="AM628" s="757"/>
      <c r="AN628" s="757"/>
      <c r="AO628" s="757"/>
      <c r="AP628" s="757"/>
      <c r="AQ628" s="757"/>
      <c r="AR628" s="757"/>
      <c r="AS628" s="757"/>
      <c r="AT628" s="757"/>
      <c r="AU628" s="757"/>
      <c r="AV628" s="757"/>
      <c r="AW628" s="757"/>
      <c r="AX628" s="757"/>
      <c r="AY628" s="757"/>
      <c r="AZ628" s="75"/>
      <c r="BA628" s="2"/>
      <c r="BB628" s="2"/>
      <c r="BC628" s="2"/>
      <c r="BD628" s="2"/>
    </row>
    <row r="629" spans="1:56">
      <c r="A629" s="781">
        <v>2</v>
      </c>
      <c r="B629" s="782">
        <v>212</v>
      </c>
      <c r="C629" s="783"/>
      <c r="D629" s="783" t="s">
        <v>256</v>
      </c>
      <c r="E629" s="808">
        <v>220</v>
      </c>
      <c r="F629" s="799"/>
      <c r="G629" s="799"/>
      <c r="H629" s="1592">
        <f t="shared" si="27"/>
        <v>0</v>
      </c>
      <c r="I629" s="754" t="str">
        <f>IFERROR(VLOOKUP(B629,Mychart!$A$125:$B$911,2,FALSE),"-")</f>
        <v>SULTAN JUMA - DYNAMIC</v>
      </c>
      <c r="J629" s="753" t="str">
        <f t="shared" si="28"/>
        <v>-</v>
      </c>
      <c r="K629" s="1540">
        <f t="shared" si="29"/>
        <v>1900</v>
      </c>
      <c r="L629" s="757"/>
      <c r="M629" s="757"/>
      <c r="N629" s="757"/>
      <c r="O629" s="757"/>
      <c r="P629" s="757"/>
      <c r="Q629" s="757"/>
      <c r="R629" s="757"/>
      <c r="S629" s="757"/>
      <c r="T629" s="757"/>
      <c r="U629" s="757"/>
      <c r="V629" s="757"/>
      <c r="W629" s="757"/>
      <c r="X629" s="757"/>
      <c r="Y629" s="757"/>
      <c r="Z629" s="757"/>
      <c r="AA629" s="757"/>
      <c r="AB629" s="757"/>
      <c r="AC629" s="757"/>
      <c r="AD629" s="757"/>
      <c r="AE629" s="757"/>
      <c r="AF629" s="757"/>
      <c r="AG629" s="757"/>
      <c r="AH629" s="757"/>
      <c r="AI629" s="757"/>
      <c r="AJ629" s="757"/>
      <c r="AK629" s="757"/>
      <c r="AL629" s="757"/>
      <c r="AM629" s="757"/>
      <c r="AN629" s="757"/>
      <c r="AO629" s="757"/>
      <c r="AP629" s="757"/>
      <c r="AQ629" s="757"/>
      <c r="AR629" s="757"/>
      <c r="AS629" s="757"/>
      <c r="AT629" s="757"/>
      <c r="AU629" s="757"/>
      <c r="AV629" s="757"/>
      <c r="AW629" s="757"/>
      <c r="AX629" s="757"/>
      <c r="AY629" s="757"/>
      <c r="AZ629" s="75"/>
      <c r="BA629" s="2"/>
      <c r="BB629" s="2"/>
      <c r="BC629" s="2"/>
      <c r="BD629" s="2"/>
    </row>
    <row r="630" spans="1:56">
      <c r="A630" s="781">
        <v>2</v>
      </c>
      <c r="B630" s="782">
        <v>212</v>
      </c>
      <c r="C630" s="783"/>
      <c r="D630" s="783" t="s">
        <v>178</v>
      </c>
      <c r="E630" s="808">
        <v>461</v>
      </c>
      <c r="F630" s="799"/>
      <c r="G630" s="799"/>
      <c r="H630" s="1592">
        <f t="shared" si="27"/>
        <v>0</v>
      </c>
      <c r="I630" s="754" t="str">
        <f>IFERROR(VLOOKUP(B630,Mychart!$A$125:$B$911,2,FALSE),"-")</f>
        <v>SULTAN JUMA - DYNAMIC</v>
      </c>
      <c r="J630" s="753" t="str">
        <f t="shared" si="28"/>
        <v>-</v>
      </c>
      <c r="K630" s="1540">
        <f t="shared" si="29"/>
        <v>1900</v>
      </c>
      <c r="L630" s="757"/>
      <c r="M630" s="757"/>
      <c r="N630" s="757"/>
      <c r="O630" s="757"/>
      <c r="P630" s="757"/>
      <c r="Q630" s="757"/>
      <c r="R630" s="757"/>
      <c r="S630" s="757"/>
      <c r="T630" s="757"/>
      <c r="U630" s="757"/>
      <c r="V630" s="757"/>
      <c r="W630" s="757"/>
      <c r="X630" s="757"/>
      <c r="Y630" s="757"/>
      <c r="Z630" s="757"/>
      <c r="AA630" s="757"/>
      <c r="AB630" s="757"/>
      <c r="AC630" s="757"/>
      <c r="AD630" s="757"/>
      <c r="AE630" s="757"/>
      <c r="AF630" s="757"/>
      <c r="AG630" s="757"/>
      <c r="AH630" s="757"/>
      <c r="AI630" s="757"/>
      <c r="AJ630" s="757"/>
      <c r="AK630" s="757"/>
      <c r="AL630" s="757"/>
      <c r="AM630" s="757"/>
      <c r="AN630" s="757"/>
      <c r="AO630" s="757"/>
      <c r="AP630" s="757"/>
      <c r="AQ630" s="757"/>
      <c r="AR630" s="757"/>
      <c r="AS630" s="757"/>
      <c r="AT630" s="757"/>
      <c r="AU630" s="757"/>
      <c r="AV630" s="757"/>
      <c r="AW630" s="757"/>
      <c r="AX630" s="757"/>
      <c r="AY630" s="757"/>
      <c r="AZ630" s="75"/>
      <c r="BA630" s="2"/>
      <c r="BB630" s="2"/>
      <c r="BC630" s="2"/>
      <c r="BD630" s="2"/>
    </row>
    <row r="631" spans="1:56">
      <c r="A631" s="781">
        <v>2</v>
      </c>
      <c r="B631" s="782">
        <v>212</v>
      </c>
      <c r="C631" s="783"/>
      <c r="D631" s="783" t="s">
        <v>224</v>
      </c>
      <c r="E631" s="808">
        <v>11371</v>
      </c>
      <c r="F631" s="799"/>
      <c r="G631" s="799"/>
      <c r="H631" s="1592">
        <f t="shared" si="27"/>
        <v>0</v>
      </c>
      <c r="I631" s="754" t="str">
        <f>IFERROR(VLOOKUP(B631,Mychart!$A$125:$B$911,2,FALSE),"-")</f>
        <v>SULTAN JUMA - DYNAMIC</v>
      </c>
      <c r="J631" s="753" t="str">
        <f t="shared" si="28"/>
        <v>-</v>
      </c>
      <c r="K631" s="1540">
        <f t="shared" si="29"/>
        <v>1900</v>
      </c>
      <c r="L631" s="757"/>
      <c r="M631" s="757"/>
      <c r="N631" s="757"/>
      <c r="O631" s="757"/>
      <c r="P631" s="757"/>
      <c r="Q631" s="757"/>
      <c r="R631" s="757"/>
      <c r="S631" s="757"/>
      <c r="T631" s="757"/>
      <c r="U631" s="757"/>
      <c r="V631" s="757"/>
      <c r="W631" s="757"/>
      <c r="X631" s="757"/>
      <c r="Y631" s="757"/>
      <c r="Z631" s="757"/>
      <c r="AA631" s="757"/>
      <c r="AB631" s="757"/>
      <c r="AC631" s="757"/>
      <c r="AD631" s="757"/>
      <c r="AE631" s="757"/>
      <c r="AF631" s="757"/>
      <c r="AG631" s="757"/>
      <c r="AH631" s="757"/>
      <c r="AI631" s="757"/>
      <c r="AJ631" s="757"/>
      <c r="AK631" s="757"/>
      <c r="AL631" s="757"/>
      <c r="AM631" s="757"/>
      <c r="AN631" s="757"/>
      <c r="AO631" s="757"/>
      <c r="AP631" s="757"/>
      <c r="AQ631" s="757"/>
      <c r="AR631" s="757"/>
      <c r="AS631" s="757"/>
      <c r="AT631" s="757"/>
      <c r="AU631" s="757"/>
      <c r="AV631" s="757"/>
      <c r="AW631" s="757"/>
      <c r="AX631" s="757"/>
      <c r="AY631" s="757"/>
      <c r="AZ631" s="75"/>
      <c r="BA631" s="2"/>
      <c r="BB631" s="2"/>
      <c r="BC631" s="2"/>
      <c r="BD631" s="2"/>
    </row>
    <row r="632" spans="1:56">
      <c r="A632" s="781">
        <v>2</v>
      </c>
      <c r="B632" s="782">
        <v>212</v>
      </c>
      <c r="C632" s="783"/>
      <c r="D632" s="783" t="s">
        <v>178</v>
      </c>
      <c r="E632" s="808">
        <v>3152</v>
      </c>
      <c r="F632" s="799"/>
      <c r="G632" s="799"/>
      <c r="H632" s="1592">
        <f t="shared" si="27"/>
        <v>0</v>
      </c>
      <c r="I632" s="754" t="str">
        <f>IFERROR(VLOOKUP(B632,Mychart!$A$125:$B$911,2,FALSE),"-")</f>
        <v>SULTAN JUMA - DYNAMIC</v>
      </c>
      <c r="J632" s="753" t="str">
        <f t="shared" si="28"/>
        <v>-</v>
      </c>
      <c r="K632" s="1540">
        <f t="shared" si="29"/>
        <v>1900</v>
      </c>
      <c r="L632" s="757"/>
      <c r="M632" s="757"/>
      <c r="N632" s="757"/>
      <c r="O632" s="757"/>
      <c r="P632" s="757"/>
      <c r="Q632" s="757"/>
      <c r="R632" s="757"/>
      <c r="S632" s="757"/>
      <c r="T632" s="757"/>
      <c r="U632" s="757"/>
      <c r="V632" s="757"/>
      <c r="W632" s="757"/>
      <c r="X632" s="757"/>
      <c r="Y632" s="757"/>
      <c r="Z632" s="757"/>
      <c r="AA632" s="757"/>
      <c r="AB632" s="757"/>
      <c r="AC632" s="757"/>
      <c r="AD632" s="757"/>
      <c r="AE632" s="757"/>
      <c r="AF632" s="757"/>
      <c r="AG632" s="757"/>
      <c r="AH632" s="757"/>
      <c r="AI632" s="757"/>
      <c r="AJ632" s="757"/>
      <c r="AK632" s="757"/>
      <c r="AL632" s="757"/>
      <c r="AM632" s="757"/>
      <c r="AN632" s="757"/>
      <c r="AO632" s="757"/>
      <c r="AP632" s="757"/>
      <c r="AQ632" s="757"/>
      <c r="AR632" s="757"/>
      <c r="AS632" s="757"/>
      <c r="AT632" s="757"/>
      <c r="AU632" s="757"/>
      <c r="AV632" s="757"/>
      <c r="AW632" s="757"/>
      <c r="AX632" s="757"/>
      <c r="AY632" s="757"/>
      <c r="AZ632" s="75"/>
      <c r="BA632" s="2"/>
      <c r="BB632" s="2"/>
      <c r="BC632" s="2"/>
      <c r="BD632" s="2"/>
    </row>
    <row r="633" spans="1:56">
      <c r="A633" s="781">
        <v>2</v>
      </c>
      <c r="B633" s="782">
        <v>212</v>
      </c>
      <c r="C633" s="783"/>
      <c r="D633" s="783" t="s">
        <v>178</v>
      </c>
      <c r="E633" s="808">
        <v>1656</v>
      </c>
      <c r="F633" s="799"/>
      <c r="G633" s="799"/>
      <c r="H633" s="1592">
        <f t="shared" si="27"/>
        <v>0</v>
      </c>
      <c r="I633" s="754" t="str">
        <f>IFERROR(VLOOKUP(B633,Mychart!$A$125:$B$911,2,FALSE),"-")</f>
        <v>SULTAN JUMA - DYNAMIC</v>
      </c>
      <c r="J633" s="753" t="str">
        <f t="shared" si="28"/>
        <v>-</v>
      </c>
      <c r="K633" s="1540">
        <f t="shared" si="29"/>
        <v>1900</v>
      </c>
      <c r="L633" s="757"/>
      <c r="M633" s="757"/>
      <c r="N633" s="757"/>
      <c r="O633" s="757"/>
      <c r="P633" s="757"/>
      <c r="Q633" s="757"/>
      <c r="R633" s="757"/>
      <c r="S633" s="757"/>
      <c r="T633" s="757"/>
      <c r="U633" s="757"/>
      <c r="V633" s="757"/>
      <c r="W633" s="757"/>
      <c r="X633" s="757"/>
      <c r="Y633" s="757"/>
      <c r="Z633" s="757"/>
      <c r="AA633" s="757"/>
      <c r="AB633" s="757"/>
      <c r="AC633" s="757"/>
      <c r="AD633" s="757"/>
      <c r="AE633" s="757"/>
      <c r="AF633" s="757"/>
      <c r="AG633" s="757"/>
      <c r="AH633" s="757"/>
      <c r="AI633" s="757"/>
      <c r="AJ633" s="757"/>
      <c r="AK633" s="757"/>
      <c r="AL633" s="757"/>
      <c r="AM633" s="757"/>
      <c r="AN633" s="757"/>
      <c r="AO633" s="757"/>
      <c r="AP633" s="757"/>
      <c r="AQ633" s="757"/>
      <c r="AR633" s="757"/>
      <c r="AS633" s="757"/>
      <c r="AT633" s="757"/>
      <c r="AU633" s="757"/>
      <c r="AV633" s="757"/>
      <c r="AW633" s="757"/>
      <c r="AX633" s="757"/>
      <c r="AY633" s="757"/>
      <c r="AZ633" s="75"/>
      <c r="BA633" s="2"/>
      <c r="BB633" s="2"/>
      <c r="BC633" s="2"/>
      <c r="BD633" s="2"/>
    </row>
    <row r="634" spans="1:56">
      <c r="A634" s="781">
        <v>2</v>
      </c>
      <c r="B634" s="782">
        <v>212</v>
      </c>
      <c r="C634" s="783"/>
      <c r="D634" s="783" t="s">
        <v>224</v>
      </c>
      <c r="E634" s="808">
        <v>25365</v>
      </c>
      <c r="F634" s="799"/>
      <c r="G634" s="799"/>
      <c r="H634" s="1592">
        <f t="shared" si="27"/>
        <v>0</v>
      </c>
      <c r="I634" s="754" t="str">
        <f>IFERROR(VLOOKUP(B634,Mychart!$A$125:$B$911,2,FALSE),"-")</f>
        <v>SULTAN JUMA - DYNAMIC</v>
      </c>
      <c r="J634" s="753" t="str">
        <f t="shared" si="28"/>
        <v>-</v>
      </c>
      <c r="K634" s="1540">
        <f t="shared" si="29"/>
        <v>1900</v>
      </c>
      <c r="L634" s="757"/>
      <c r="M634" s="757"/>
      <c r="N634" s="757"/>
      <c r="O634" s="757"/>
      <c r="P634" s="757"/>
      <c r="Q634" s="757"/>
      <c r="R634" s="757"/>
      <c r="S634" s="757"/>
      <c r="T634" s="757"/>
      <c r="U634" s="757"/>
      <c r="V634" s="757"/>
      <c r="W634" s="757"/>
      <c r="X634" s="757"/>
      <c r="Y634" s="757"/>
      <c r="Z634" s="757"/>
      <c r="AA634" s="757"/>
      <c r="AB634" s="757"/>
      <c r="AC634" s="757"/>
      <c r="AD634" s="757"/>
      <c r="AE634" s="757"/>
      <c r="AF634" s="757"/>
      <c r="AG634" s="757"/>
      <c r="AH634" s="757"/>
      <c r="AI634" s="757"/>
      <c r="AJ634" s="757"/>
      <c r="AK634" s="757"/>
      <c r="AL634" s="757"/>
      <c r="AM634" s="757"/>
      <c r="AN634" s="757"/>
      <c r="AO634" s="757"/>
      <c r="AP634" s="757"/>
      <c r="AQ634" s="757"/>
      <c r="AR634" s="757"/>
      <c r="AS634" s="757"/>
      <c r="AT634" s="757"/>
      <c r="AU634" s="757"/>
      <c r="AV634" s="757"/>
      <c r="AW634" s="757"/>
      <c r="AX634" s="757"/>
      <c r="AY634" s="757"/>
      <c r="AZ634" s="75"/>
      <c r="BA634" s="2"/>
      <c r="BB634" s="2"/>
      <c r="BC634" s="2"/>
      <c r="BD634" s="2"/>
    </row>
    <row r="635" spans="1:56">
      <c r="A635" s="781">
        <v>2</v>
      </c>
      <c r="B635" s="782">
        <v>212</v>
      </c>
      <c r="C635" s="783"/>
      <c r="D635" s="783" t="s">
        <v>716</v>
      </c>
      <c r="E635" s="808">
        <v>1100</v>
      </c>
      <c r="F635" s="799"/>
      <c r="G635" s="799"/>
      <c r="H635" s="1592">
        <f t="shared" si="27"/>
        <v>0</v>
      </c>
      <c r="I635" s="754" t="str">
        <f>IFERROR(VLOOKUP(B635,Mychart!$A$125:$B$911,2,FALSE),"-")</f>
        <v>SULTAN JUMA - DYNAMIC</v>
      </c>
      <c r="J635" s="753" t="str">
        <f t="shared" si="28"/>
        <v>-</v>
      </c>
      <c r="K635" s="1540">
        <f t="shared" si="29"/>
        <v>1900</v>
      </c>
      <c r="L635" s="757"/>
      <c r="M635" s="757"/>
      <c r="N635" s="757"/>
      <c r="O635" s="757"/>
      <c r="P635" s="757"/>
      <c r="Q635" s="757"/>
      <c r="R635" s="757"/>
      <c r="S635" s="757"/>
      <c r="T635" s="757"/>
      <c r="U635" s="757"/>
      <c r="V635" s="757"/>
      <c r="W635" s="757"/>
      <c r="X635" s="757"/>
      <c r="Y635" s="757"/>
      <c r="Z635" s="757"/>
      <c r="AA635" s="757"/>
      <c r="AB635" s="757"/>
      <c r="AC635" s="757"/>
      <c r="AD635" s="757"/>
      <c r="AE635" s="757"/>
      <c r="AF635" s="757"/>
      <c r="AG635" s="757"/>
      <c r="AH635" s="757"/>
      <c r="AI635" s="757"/>
      <c r="AJ635" s="757"/>
      <c r="AK635" s="757"/>
      <c r="AL635" s="757"/>
      <c r="AM635" s="757"/>
      <c r="AN635" s="757"/>
      <c r="AO635" s="757"/>
      <c r="AP635" s="757"/>
      <c r="AQ635" s="757"/>
      <c r="AR635" s="757"/>
      <c r="AS635" s="757"/>
      <c r="AT635" s="757"/>
      <c r="AU635" s="757"/>
      <c r="AV635" s="757"/>
      <c r="AW635" s="757"/>
      <c r="AX635" s="757"/>
      <c r="AY635" s="757"/>
      <c r="AZ635" s="75"/>
      <c r="BA635" s="2"/>
      <c r="BB635" s="2"/>
      <c r="BC635" s="2"/>
      <c r="BD635" s="2"/>
    </row>
    <row r="636" spans="1:56">
      <c r="A636" s="781">
        <v>2</v>
      </c>
      <c r="B636" s="782">
        <v>212</v>
      </c>
      <c r="C636" s="783"/>
      <c r="D636" s="783" t="s">
        <v>178</v>
      </c>
      <c r="E636" s="808">
        <v>175</v>
      </c>
      <c r="F636" s="799"/>
      <c r="G636" s="799"/>
      <c r="H636" s="1592">
        <f t="shared" si="27"/>
        <v>0</v>
      </c>
      <c r="I636" s="754" t="str">
        <f>IFERROR(VLOOKUP(B636,Mychart!$A$125:$B$911,2,FALSE),"-")</f>
        <v>SULTAN JUMA - DYNAMIC</v>
      </c>
      <c r="J636" s="753" t="str">
        <f t="shared" si="28"/>
        <v>-</v>
      </c>
      <c r="K636" s="1540">
        <f t="shared" si="29"/>
        <v>1900</v>
      </c>
      <c r="L636" s="757"/>
      <c r="M636" s="757"/>
      <c r="N636" s="757"/>
      <c r="O636" s="757"/>
      <c r="P636" s="757"/>
      <c r="Q636" s="757"/>
      <c r="R636" s="757"/>
      <c r="S636" s="757"/>
      <c r="T636" s="757"/>
      <c r="U636" s="757"/>
      <c r="V636" s="757"/>
      <c r="W636" s="757"/>
      <c r="X636" s="757"/>
      <c r="Y636" s="757"/>
      <c r="Z636" s="757"/>
      <c r="AA636" s="757"/>
      <c r="AB636" s="757"/>
      <c r="AC636" s="757"/>
      <c r="AD636" s="757"/>
      <c r="AE636" s="757"/>
      <c r="AF636" s="757"/>
      <c r="AG636" s="757"/>
      <c r="AH636" s="757"/>
      <c r="AI636" s="757"/>
      <c r="AJ636" s="757"/>
      <c r="AK636" s="757"/>
      <c r="AL636" s="757"/>
      <c r="AM636" s="757"/>
      <c r="AN636" s="757"/>
      <c r="AO636" s="757"/>
      <c r="AP636" s="757"/>
      <c r="AQ636" s="757"/>
      <c r="AR636" s="757"/>
      <c r="AS636" s="757"/>
      <c r="AT636" s="757"/>
      <c r="AU636" s="757"/>
      <c r="AV636" s="757"/>
      <c r="AW636" s="757"/>
      <c r="AX636" s="757"/>
      <c r="AY636" s="757"/>
      <c r="AZ636" s="75"/>
      <c r="BA636" s="2"/>
      <c r="BB636" s="2"/>
      <c r="BC636" s="2"/>
      <c r="BD636" s="2"/>
    </row>
    <row r="637" spans="1:56">
      <c r="A637" s="781">
        <v>2</v>
      </c>
      <c r="B637" s="782">
        <v>212</v>
      </c>
      <c r="C637" s="783"/>
      <c r="D637" s="783" t="s">
        <v>258</v>
      </c>
      <c r="E637" s="808">
        <v>1230</v>
      </c>
      <c r="F637" s="799"/>
      <c r="G637" s="799"/>
      <c r="H637" s="1592">
        <f t="shared" si="27"/>
        <v>0</v>
      </c>
      <c r="I637" s="754" t="str">
        <f>IFERROR(VLOOKUP(B637,Mychart!$A$125:$B$911,2,FALSE),"-")</f>
        <v>SULTAN JUMA - DYNAMIC</v>
      </c>
      <c r="J637" s="753" t="str">
        <f t="shared" si="28"/>
        <v>-</v>
      </c>
      <c r="K637" s="1540">
        <f t="shared" si="29"/>
        <v>1900</v>
      </c>
      <c r="L637" s="757"/>
      <c r="M637" s="757"/>
      <c r="N637" s="757"/>
      <c r="O637" s="757"/>
      <c r="P637" s="757"/>
      <c r="Q637" s="757"/>
      <c r="R637" s="757"/>
      <c r="S637" s="757"/>
      <c r="T637" s="757"/>
      <c r="U637" s="757"/>
      <c r="V637" s="757"/>
      <c r="W637" s="757"/>
      <c r="X637" s="757"/>
      <c r="Y637" s="757"/>
      <c r="Z637" s="757"/>
      <c r="AA637" s="757"/>
      <c r="AB637" s="757"/>
      <c r="AC637" s="757"/>
      <c r="AD637" s="757"/>
      <c r="AE637" s="757"/>
      <c r="AF637" s="757"/>
      <c r="AG637" s="757"/>
      <c r="AH637" s="757"/>
      <c r="AI637" s="757"/>
      <c r="AJ637" s="757"/>
      <c r="AK637" s="757"/>
      <c r="AL637" s="757"/>
      <c r="AM637" s="757"/>
      <c r="AN637" s="757"/>
      <c r="AO637" s="757"/>
      <c r="AP637" s="757"/>
      <c r="AQ637" s="757"/>
      <c r="AR637" s="757"/>
      <c r="AS637" s="757"/>
      <c r="AT637" s="757"/>
      <c r="AU637" s="757"/>
      <c r="AV637" s="757"/>
      <c r="AW637" s="757"/>
      <c r="AX637" s="757"/>
      <c r="AY637" s="757"/>
      <c r="AZ637" s="75"/>
      <c r="BA637" s="2"/>
      <c r="BB637" s="2"/>
      <c r="BC637" s="2"/>
      <c r="BD637" s="2"/>
    </row>
    <row r="638" spans="1:56">
      <c r="A638" s="781">
        <v>2</v>
      </c>
      <c r="B638" s="782">
        <v>212</v>
      </c>
      <c r="C638" s="783"/>
      <c r="D638" s="783" t="s">
        <v>717</v>
      </c>
      <c r="E638" s="808">
        <v>2750</v>
      </c>
      <c r="F638" s="799"/>
      <c r="G638" s="799"/>
      <c r="H638" s="1592">
        <f t="shared" si="27"/>
        <v>0</v>
      </c>
      <c r="I638" s="754" t="str">
        <f>IFERROR(VLOOKUP(B638,Mychart!$A$125:$B$911,2,FALSE),"-")</f>
        <v>SULTAN JUMA - DYNAMIC</v>
      </c>
      <c r="J638" s="753" t="str">
        <f t="shared" si="28"/>
        <v>-</v>
      </c>
      <c r="K638" s="1540">
        <f t="shared" si="29"/>
        <v>1900</v>
      </c>
      <c r="L638" s="757"/>
      <c r="M638" s="757"/>
      <c r="N638" s="757"/>
      <c r="O638" s="757"/>
      <c r="P638" s="757"/>
      <c r="Q638" s="757"/>
      <c r="R638" s="757"/>
      <c r="S638" s="757"/>
      <c r="T638" s="757"/>
      <c r="U638" s="757"/>
      <c r="V638" s="757"/>
      <c r="W638" s="757"/>
      <c r="X638" s="757"/>
      <c r="Y638" s="757"/>
      <c r="Z638" s="757"/>
      <c r="AA638" s="757"/>
      <c r="AB638" s="757"/>
      <c r="AC638" s="757"/>
      <c r="AD638" s="757"/>
      <c r="AE638" s="757"/>
      <c r="AF638" s="757"/>
      <c r="AG638" s="757"/>
      <c r="AH638" s="757"/>
      <c r="AI638" s="757"/>
      <c r="AJ638" s="757"/>
      <c r="AK638" s="757"/>
      <c r="AL638" s="757"/>
      <c r="AM638" s="757"/>
      <c r="AN638" s="757"/>
      <c r="AO638" s="757"/>
      <c r="AP638" s="757"/>
      <c r="AQ638" s="757"/>
      <c r="AR638" s="757"/>
      <c r="AS638" s="757"/>
      <c r="AT638" s="757"/>
      <c r="AU638" s="757"/>
      <c r="AV638" s="757"/>
      <c r="AW638" s="757"/>
      <c r="AX638" s="757"/>
      <c r="AY638" s="757"/>
      <c r="AZ638" s="75"/>
      <c r="BA638" s="2"/>
      <c r="BB638" s="2"/>
      <c r="BC638" s="2"/>
      <c r="BD638" s="2"/>
    </row>
    <row r="639" spans="1:56">
      <c r="A639" s="781">
        <v>2</v>
      </c>
      <c r="B639" s="782">
        <v>212</v>
      </c>
      <c r="C639" s="783"/>
      <c r="D639" s="783" t="s">
        <v>178</v>
      </c>
      <c r="E639" s="808">
        <v>128</v>
      </c>
      <c r="F639" s="799"/>
      <c r="G639" s="799"/>
      <c r="H639" s="1592">
        <f t="shared" si="27"/>
        <v>0</v>
      </c>
      <c r="I639" s="754" t="str">
        <f>IFERROR(VLOOKUP(B639,Mychart!$A$125:$B$911,2,FALSE),"-")</f>
        <v>SULTAN JUMA - DYNAMIC</v>
      </c>
      <c r="J639" s="753" t="str">
        <f t="shared" si="28"/>
        <v>-</v>
      </c>
      <c r="K639" s="1540">
        <f t="shared" si="29"/>
        <v>1900</v>
      </c>
      <c r="L639" s="757"/>
      <c r="M639" s="757"/>
      <c r="N639" s="757"/>
      <c r="O639" s="757"/>
      <c r="P639" s="757"/>
      <c r="Q639" s="757"/>
      <c r="R639" s="757"/>
      <c r="S639" s="757"/>
      <c r="T639" s="757"/>
      <c r="U639" s="757"/>
      <c r="V639" s="757"/>
      <c r="W639" s="757"/>
      <c r="X639" s="757"/>
      <c r="Y639" s="757"/>
      <c r="Z639" s="757"/>
      <c r="AA639" s="757"/>
      <c r="AB639" s="757"/>
      <c r="AC639" s="757"/>
      <c r="AD639" s="757"/>
      <c r="AE639" s="757"/>
      <c r="AF639" s="757"/>
      <c r="AG639" s="757"/>
      <c r="AH639" s="757"/>
      <c r="AI639" s="757"/>
      <c r="AJ639" s="757"/>
      <c r="AK639" s="757"/>
      <c r="AL639" s="757"/>
      <c r="AM639" s="757"/>
      <c r="AN639" s="757"/>
      <c r="AO639" s="757"/>
      <c r="AP639" s="757"/>
      <c r="AQ639" s="757"/>
      <c r="AR639" s="757"/>
      <c r="AS639" s="757"/>
      <c r="AT639" s="757"/>
      <c r="AU639" s="757"/>
      <c r="AV639" s="757"/>
      <c r="AW639" s="757"/>
      <c r="AX639" s="757"/>
      <c r="AY639" s="757"/>
      <c r="AZ639" s="75"/>
      <c r="BA639" s="2"/>
      <c r="BB639" s="2"/>
      <c r="BC639" s="2"/>
      <c r="BD639" s="2"/>
    </row>
    <row r="640" spans="1:56">
      <c r="A640" s="781">
        <v>2</v>
      </c>
      <c r="B640" s="782">
        <v>212</v>
      </c>
      <c r="C640" s="783"/>
      <c r="D640" s="783" t="s">
        <v>668</v>
      </c>
      <c r="E640" s="808">
        <v>6000</v>
      </c>
      <c r="F640" s="799"/>
      <c r="G640" s="799"/>
      <c r="H640" s="1592">
        <f t="shared" si="27"/>
        <v>0</v>
      </c>
      <c r="I640" s="754" t="str">
        <f>IFERROR(VLOOKUP(B640,Mychart!$A$125:$B$911,2,FALSE),"-")</f>
        <v>SULTAN JUMA - DYNAMIC</v>
      </c>
      <c r="J640" s="753" t="str">
        <f t="shared" si="28"/>
        <v>-</v>
      </c>
      <c r="K640" s="1540">
        <f t="shared" si="29"/>
        <v>1900</v>
      </c>
      <c r="L640" s="757"/>
      <c r="M640" s="757"/>
      <c r="N640" s="757"/>
      <c r="O640" s="757"/>
      <c r="P640" s="757"/>
      <c r="Q640" s="757"/>
      <c r="R640" s="757"/>
      <c r="S640" s="757"/>
      <c r="T640" s="757"/>
      <c r="U640" s="757"/>
      <c r="V640" s="757"/>
      <c r="W640" s="757"/>
      <c r="X640" s="757"/>
      <c r="Y640" s="757"/>
      <c r="Z640" s="757"/>
      <c r="AA640" s="757"/>
      <c r="AB640" s="757"/>
      <c r="AC640" s="757"/>
      <c r="AD640" s="757"/>
      <c r="AE640" s="757"/>
      <c r="AF640" s="757"/>
      <c r="AG640" s="757"/>
      <c r="AH640" s="757"/>
      <c r="AI640" s="757"/>
      <c r="AJ640" s="757"/>
      <c r="AK640" s="757"/>
      <c r="AL640" s="757"/>
      <c r="AM640" s="757"/>
      <c r="AN640" s="757"/>
      <c r="AO640" s="757"/>
      <c r="AP640" s="757"/>
      <c r="AQ640" s="757"/>
      <c r="AR640" s="757"/>
      <c r="AS640" s="757"/>
      <c r="AT640" s="757"/>
      <c r="AU640" s="757"/>
      <c r="AV640" s="757"/>
      <c r="AW640" s="757"/>
      <c r="AX640" s="757"/>
      <c r="AY640" s="757"/>
      <c r="AZ640" s="75"/>
      <c r="BA640" s="2"/>
      <c r="BB640" s="2"/>
      <c r="BC640" s="2"/>
      <c r="BD640" s="2"/>
    </row>
    <row r="641" spans="1:56">
      <c r="A641" s="781">
        <v>2</v>
      </c>
      <c r="B641" s="782">
        <v>212</v>
      </c>
      <c r="C641" s="783"/>
      <c r="D641" s="783" t="s">
        <v>178</v>
      </c>
      <c r="E641" s="808">
        <v>193</v>
      </c>
      <c r="F641" s="799"/>
      <c r="G641" s="799"/>
      <c r="H641" s="1592">
        <f t="shared" si="27"/>
        <v>0</v>
      </c>
      <c r="I641" s="754" t="str">
        <f>IFERROR(VLOOKUP(B641,Mychart!$A$125:$B$911,2,FALSE),"-")</f>
        <v>SULTAN JUMA - DYNAMIC</v>
      </c>
      <c r="J641" s="753" t="str">
        <f t="shared" si="28"/>
        <v>-</v>
      </c>
      <c r="K641" s="1540">
        <f t="shared" si="29"/>
        <v>1900</v>
      </c>
      <c r="L641" s="757"/>
      <c r="M641" s="757"/>
      <c r="N641" s="757"/>
      <c r="O641" s="757"/>
      <c r="P641" s="757"/>
      <c r="Q641" s="757"/>
      <c r="R641" s="757"/>
      <c r="S641" s="757"/>
      <c r="T641" s="757"/>
      <c r="U641" s="757"/>
      <c r="V641" s="757"/>
      <c r="W641" s="757"/>
      <c r="X641" s="757"/>
      <c r="Y641" s="757"/>
      <c r="Z641" s="757"/>
      <c r="AA641" s="757"/>
      <c r="AB641" s="757"/>
      <c r="AC641" s="757"/>
      <c r="AD641" s="757"/>
      <c r="AE641" s="757"/>
      <c r="AF641" s="757"/>
      <c r="AG641" s="757"/>
      <c r="AH641" s="757"/>
      <c r="AI641" s="757"/>
      <c r="AJ641" s="757"/>
      <c r="AK641" s="757"/>
      <c r="AL641" s="757"/>
      <c r="AM641" s="757"/>
      <c r="AN641" s="757"/>
      <c r="AO641" s="757"/>
      <c r="AP641" s="757"/>
      <c r="AQ641" s="757"/>
      <c r="AR641" s="757"/>
      <c r="AS641" s="757"/>
      <c r="AT641" s="757"/>
      <c r="AU641" s="757"/>
      <c r="AV641" s="757"/>
      <c r="AW641" s="757"/>
      <c r="AX641" s="757"/>
      <c r="AY641" s="757"/>
      <c r="AZ641" s="75"/>
      <c r="BA641" s="2"/>
      <c r="BB641" s="2"/>
      <c r="BC641" s="2"/>
      <c r="BD641" s="2"/>
    </row>
    <row r="642" spans="1:56">
      <c r="A642" s="781">
        <v>2</v>
      </c>
      <c r="B642" s="782">
        <v>212</v>
      </c>
      <c r="C642" s="783"/>
      <c r="D642" s="783" t="s">
        <v>178</v>
      </c>
      <c r="E642" s="808">
        <v>231</v>
      </c>
      <c r="F642" s="799"/>
      <c r="G642" s="799"/>
      <c r="H642" s="1592">
        <f t="shared" si="27"/>
        <v>0</v>
      </c>
      <c r="I642" s="754" t="str">
        <f>IFERROR(VLOOKUP(B642,Mychart!$A$125:$B$911,2,FALSE),"-")</f>
        <v>SULTAN JUMA - DYNAMIC</v>
      </c>
      <c r="J642" s="753" t="str">
        <f t="shared" si="28"/>
        <v>-</v>
      </c>
      <c r="K642" s="1540">
        <f t="shared" si="29"/>
        <v>1900</v>
      </c>
      <c r="L642" s="757"/>
      <c r="M642" s="757"/>
      <c r="N642" s="757"/>
      <c r="O642" s="757"/>
      <c r="P642" s="757"/>
      <c r="Q642" s="757"/>
      <c r="R642" s="757"/>
      <c r="S642" s="757"/>
      <c r="T642" s="757"/>
      <c r="U642" s="757"/>
      <c r="V642" s="757"/>
      <c r="W642" s="757"/>
      <c r="X642" s="757"/>
      <c r="Y642" s="757"/>
      <c r="Z642" s="757"/>
      <c r="AA642" s="757"/>
      <c r="AB642" s="757"/>
      <c r="AC642" s="757"/>
      <c r="AD642" s="757"/>
      <c r="AE642" s="757"/>
      <c r="AF642" s="757"/>
      <c r="AG642" s="757"/>
      <c r="AH642" s="757"/>
      <c r="AI642" s="757"/>
      <c r="AJ642" s="757"/>
      <c r="AK642" s="757"/>
      <c r="AL642" s="757"/>
      <c r="AM642" s="757"/>
      <c r="AN642" s="757"/>
      <c r="AO642" s="757"/>
      <c r="AP642" s="757"/>
      <c r="AQ642" s="757"/>
      <c r="AR642" s="757"/>
      <c r="AS642" s="757"/>
      <c r="AT642" s="757"/>
      <c r="AU642" s="757"/>
      <c r="AV642" s="757"/>
      <c r="AW642" s="757"/>
      <c r="AX642" s="757"/>
      <c r="AY642" s="757"/>
      <c r="AZ642" s="75"/>
      <c r="BA642" s="2"/>
      <c r="BB642" s="2"/>
      <c r="BC642" s="2"/>
      <c r="BD642" s="2"/>
    </row>
    <row r="643" spans="1:56">
      <c r="A643" s="781">
        <v>2</v>
      </c>
      <c r="B643" s="782">
        <v>212</v>
      </c>
      <c r="C643" s="783"/>
      <c r="D643" s="783" t="s">
        <v>178</v>
      </c>
      <c r="E643" s="808">
        <v>273</v>
      </c>
      <c r="F643" s="799"/>
      <c r="G643" s="799"/>
      <c r="H643" s="1592">
        <f t="shared" si="27"/>
        <v>0</v>
      </c>
      <c r="I643" s="754" t="str">
        <f>IFERROR(VLOOKUP(B643,Mychart!$A$125:$B$911,2,FALSE),"-")</f>
        <v>SULTAN JUMA - DYNAMIC</v>
      </c>
      <c r="J643" s="753" t="str">
        <f t="shared" si="28"/>
        <v>-</v>
      </c>
      <c r="K643" s="1540">
        <f t="shared" si="29"/>
        <v>1900</v>
      </c>
      <c r="L643" s="757"/>
      <c r="M643" s="757"/>
      <c r="N643" s="757"/>
      <c r="O643" s="757"/>
      <c r="P643" s="757"/>
      <c r="Q643" s="757"/>
      <c r="R643" s="757"/>
      <c r="S643" s="757"/>
      <c r="T643" s="757"/>
      <c r="U643" s="757"/>
      <c r="V643" s="757"/>
      <c r="W643" s="757"/>
      <c r="X643" s="757"/>
      <c r="Y643" s="757"/>
      <c r="Z643" s="757"/>
      <c r="AA643" s="757"/>
      <c r="AB643" s="757"/>
      <c r="AC643" s="757"/>
      <c r="AD643" s="757"/>
      <c r="AE643" s="757"/>
      <c r="AF643" s="757"/>
      <c r="AG643" s="757"/>
      <c r="AH643" s="757"/>
      <c r="AI643" s="757"/>
      <c r="AJ643" s="757"/>
      <c r="AK643" s="757"/>
      <c r="AL643" s="757"/>
      <c r="AM643" s="757"/>
      <c r="AN643" s="757"/>
      <c r="AO643" s="757"/>
      <c r="AP643" s="757"/>
      <c r="AQ643" s="757"/>
      <c r="AR643" s="757"/>
      <c r="AS643" s="757"/>
      <c r="AT643" s="757"/>
      <c r="AU643" s="757"/>
      <c r="AV643" s="757"/>
      <c r="AW643" s="757"/>
      <c r="AX643" s="757"/>
      <c r="AY643" s="757"/>
      <c r="AZ643" s="75"/>
      <c r="BA643" s="2"/>
      <c r="BB643" s="2"/>
      <c r="BC643" s="2"/>
      <c r="BD643" s="2"/>
    </row>
    <row r="644" spans="1:56">
      <c r="A644" s="781">
        <v>2</v>
      </c>
      <c r="B644" s="782">
        <v>212</v>
      </c>
      <c r="C644" s="783"/>
      <c r="D644" s="783" t="s">
        <v>259</v>
      </c>
      <c r="E644" s="808">
        <v>200</v>
      </c>
      <c r="F644" s="799"/>
      <c r="G644" s="799"/>
      <c r="H644" s="1592">
        <f t="shared" si="27"/>
        <v>0</v>
      </c>
      <c r="I644" s="754" t="str">
        <f>IFERROR(VLOOKUP(B644,Mychart!$A$125:$B$911,2,FALSE),"-")</f>
        <v>SULTAN JUMA - DYNAMIC</v>
      </c>
      <c r="J644" s="753" t="str">
        <f t="shared" si="28"/>
        <v>-</v>
      </c>
      <c r="K644" s="1540">
        <f t="shared" si="29"/>
        <v>1900</v>
      </c>
      <c r="L644" s="757"/>
      <c r="M644" s="757"/>
      <c r="N644" s="757"/>
      <c r="O644" s="757"/>
      <c r="P644" s="757"/>
      <c r="Q644" s="757"/>
      <c r="R644" s="757"/>
      <c r="S644" s="757"/>
      <c r="T644" s="757"/>
      <c r="U644" s="757"/>
      <c r="V644" s="757"/>
      <c r="W644" s="757"/>
      <c r="X644" s="757"/>
      <c r="Y644" s="757"/>
      <c r="Z644" s="757"/>
      <c r="AA644" s="757"/>
      <c r="AB644" s="757"/>
      <c r="AC644" s="757"/>
      <c r="AD644" s="757"/>
      <c r="AE644" s="757"/>
      <c r="AF644" s="757"/>
      <c r="AG644" s="757"/>
      <c r="AH644" s="757"/>
      <c r="AI644" s="757"/>
      <c r="AJ644" s="757"/>
      <c r="AK644" s="757"/>
      <c r="AL644" s="757"/>
      <c r="AM644" s="757"/>
      <c r="AN644" s="757"/>
      <c r="AO644" s="757"/>
      <c r="AP644" s="757"/>
      <c r="AQ644" s="757"/>
      <c r="AR644" s="757"/>
      <c r="AS644" s="757"/>
      <c r="AT644" s="757"/>
      <c r="AU644" s="757"/>
      <c r="AV644" s="757"/>
      <c r="AW644" s="757"/>
      <c r="AX644" s="757"/>
      <c r="AY644" s="757"/>
      <c r="AZ644" s="75"/>
      <c r="BA644" s="2"/>
      <c r="BB644" s="2"/>
      <c r="BC644" s="2"/>
      <c r="BD644" s="2"/>
    </row>
    <row r="645" spans="1:56">
      <c r="A645" s="781">
        <v>2</v>
      </c>
      <c r="B645" s="782">
        <v>212</v>
      </c>
      <c r="C645" s="783"/>
      <c r="D645" s="783" t="s">
        <v>178</v>
      </c>
      <c r="E645" s="808">
        <v>157</v>
      </c>
      <c r="F645" s="799"/>
      <c r="G645" s="799"/>
      <c r="H645" s="1592">
        <f t="shared" si="27"/>
        <v>0</v>
      </c>
      <c r="I645" s="754" t="str">
        <f>IFERROR(VLOOKUP(B645,Mychart!$A$125:$B$911,2,FALSE),"-")</f>
        <v>SULTAN JUMA - DYNAMIC</v>
      </c>
      <c r="J645" s="753" t="str">
        <f t="shared" si="28"/>
        <v>-</v>
      </c>
      <c r="K645" s="1540">
        <f t="shared" si="29"/>
        <v>1900</v>
      </c>
      <c r="L645" s="757"/>
      <c r="M645" s="757"/>
      <c r="N645" s="757"/>
      <c r="O645" s="757"/>
      <c r="P645" s="757"/>
      <c r="Q645" s="757"/>
      <c r="R645" s="757"/>
      <c r="S645" s="757"/>
      <c r="T645" s="757"/>
      <c r="U645" s="757"/>
      <c r="V645" s="757"/>
      <c r="W645" s="757"/>
      <c r="X645" s="757"/>
      <c r="Y645" s="757"/>
      <c r="Z645" s="757"/>
      <c r="AA645" s="757"/>
      <c r="AB645" s="757"/>
      <c r="AC645" s="757"/>
      <c r="AD645" s="757"/>
      <c r="AE645" s="757"/>
      <c r="AF645" s="757"/>
      <c r="AG645" s="757"/>
      <c r="AH645" s="757"/>
      <c r="AI645" s="757"/>
      <c r="AJ645" s="757"/>
      <c r="AK645" s="757"/>
      <c r="AL645" s="757"/>
      <c r="AM645" s="757"/>
      <c r="AN645" s="757"/>
      <c r="AO645" s="757"/>
      <c r="AP645" s="757"/>
      <c r="AQ645" s="757"/>
      <c r="AR645" s="757"/>
      <c r="AS645" s="757"/>
      <c r="AT645" s="757"/>
      <c r="AU645" s="757"/>
      <c r="AV645" s="757"/>
      <c r="AW645" s="757"/>
      <c r="AX645" s="757"/>
      <c r="AY645" s="757"/>
      <c r="AZ645" s="75"/>
      <c r="BA645" s="2"/>
      <c r="BB645" s="2"/>
      <c r="BC645" s="2"/>
      <c r="BD645" s="2"/>
    </row>
    <row r="646" spans="1:56">
      <c r="A646" s="781">
        <v>2</v>
      </c>
      <c r="B646" s="782">
        <v>212</v>
      </c>
      <c r="C646" s="783">
        <v>45322</v>
      </c>
      <c r="D646" s="783" t="s">
        <v>178</v>
      </c>
      <c r="E646" s="808">
        <v>103</v>
      </c>
      <c r="F646" s="799"/>
      <c r="G646" s="799"/>
      <c r="H646" s="1592">
        <f t="shared" si="27"/>
        <v>0</v>
      </c>
      <c r="I646" s="754" t="str">
        <f>IFERROR(VLOOKUP(B646,Mychart!$A$125:$B$911,2,FALSE),"-")</f>
        <v>SULTAN JUMA - DYNAMIC</v>
      </c>
      <c r="J646" s="753">
        <f t="shared" si="28"/>
        <v>1</v>
      </c>
      <c r="K646" s="1540">
        <f t="shared" si="29"/>
        <v>2024</v>
      </c>
      <c r="L646" s="757"/>
      <c r="M646" s="757"/>
      <c r="N646" s="757"/>
      <c r="O646" s="757"/>
      <c r="P646" s="757"/>
      <c r="Q646" s="757"/>
      <c r="R646" s="757"/>
      <c r="S646" s="757"/>
      <c r="T646" s="757"/>
      <c r="U646" s="757"/>
      <c r="V646" s="757"/>
      <c r="W646" s="757"/>
      <c r="X646" s="757"/>
      <c r="Y646" s="757"/>
      <c r="Z646" s="757"/>
      <c r="AA646" s="757"/>
      <c r="AB646" s="757"/>
      <c r="AC646" s="757"/>
      <c r="AD646" s="757"/>
      <c r="AE646" s="757"/>
      <c r="AF646" s="757"/>
      <c r="AG646" s="757"/>
      <c r="AH646" s="757"/>
      <c r="AI646" s="757"/>
      <c r="AJ646" s="757"/>
      <c r="AK646" s="757"/>
      <c r="AL646" s="757"/>
      <c r="AM646" s="757"/>
      <c r="AN646" s="757"/>
      <c r="AO646" s="757"/>
      <c r="AP646" s="757"/>
      <c r="AQ646" s="757"/>
      <c r="AR646" s="757"/>
      <c r="AS646" s="757"/>
      <c r="AT646" s="757"/>
      <c r="AU646" s="757"/>
      <c r="AV646" s="757"/>
      <c r="AW646" s="757"/>
      <c r="AX646" s="757"/>
      <c r="AY646" s="757"/>
      <c r="AZ646" s="75"/>
      <c r="BA646" s="2"/>
      <c r="BB646" s="2"/>
      <c r="BC646" s="2"/>
      <c r="BD646" s="2"/>
    </row>
    <row r="647" spans="1:56">
      <c r="A647" s="781">
        <v>1</v>
      </c>
      <c r="B647" s="782">
        <v>211</v>
      </c>
      <c r="C647" s="783">
        <v>44849</v>
      </c>
      <c r="D647" s="786" t="s">
        <v>723</v>
      </c>
      <c r="E647" s="808"/>
      <c r="F647" s="798">
        <v>62000</v>
      </c>
      <c r="G647" s="798">
        <v>3100</v>
      </c>
      <c r="H647" s="1592">
        <f t="shared" si="27"/>
        <v>65100</v>
      </c>
      <c r="I647" s="754" t="str">
        <f>IFERROR(VLOOKUP(B647,Mychart!$A$125:$B$911,2,FALSE),"-")</f>
        <v>AHMED AHLI - ASRI</v>
      </c>
      <c r="J647" s="753">
        <f t="shared" si="28"/>
        <v>10</v>
      </c>
      <c r="K647" s="1540">
        <f t="shared" si="29"/>
        <v>2022</v>
      </c>
      <c r="L647" s="757"/>
      <c r="M647" s="757"/>
      <c r="N647" s="757"/>
      <c r="O647" s="757"/>
      <c r="P647" s="757"/>
      <c r="Q647" s="757"/>
      <c r="R647" s="757"/>
      <c r="S647" s="757"/>
      <c r="T647" s="757"/>
      <c r="U647" s="757"/>
      <c r="V647" s="757"/>
      <c r="W647" s="757"/>
      <c r="X647" s="757"/>
      <c r="Y647" s="757"/>
      <c r="Z647" s="757"/>
      <c r="AA647" s="757"/>
      <c r="AB647" s="757"/>
      <c r="AC647" s="757"/>
      <c r="AD647" s="757"/>
      <c r="AE647" s="757"/>
      <c r="AF647" s="757"/>
      <c r="AG647" s="757"/>
      <c r="AH647" s="757"/>
      <c r="AI647" s="757"/>
      <c r="AJ647" s="757"/>
      <c r="AK647" s="757"/>
      <c r="AL647" s="757"/>
      <c r="AM647" s="757"/>
      <c r="AN647" s="757"/>
      <c r="AO647" s="757"/>
      <c r="AP647" s="757"/>
      <c r="AQ647" s="757"/>
      <c r="AR647" s="757"/>
      <c r="AS647" s="757"/>
      <c r="AT647" s="757"/>
      <c r="AU647" s="757"/>
      <c r="AV647" s="757"/>
      <c r="AW647" s="757"/>
      <c r="AX647" s="757"/>
      <c r="AY647" s="757"/>
      <c r="AZ647" s="75"/>
      <c r="BA647" s="2"/>
      <c r="BB647" s="2"/>
      <c r="BC647" s="2"/>
      <c r="BD647" s="2"/>
    </row>
    <row r="648" spans="1:56">
      <c r="A648" s="781">
        <v>1</v>
      </c>
      <c r="B648" s="782">
        <v>211</v>
      </c>
      <c r="C648" s="783">
        <v>44987</v>
      </c>
      <c r="D648" s="784" t="s">
        <v>724</v>
      </c>
      <c r="E648" s="808"/>
      <c r="F648" s="798">
        <v>89512.5</v>
      </c>
      <c r="G648" s="798">
        <v>4475.625</v>
      </c>
      <c r="H648" s="1592">
        <f t="shared" si="27"/>
        <v>93988.125</v>
      </c>
      <c r="I648" s="754" t="str">
        <f>IFERROR(VLOOKUP(B648,Mychart!$A$125:$B$911,2,FALSE),"-")</f>
        <v>AHMED AHLI - ASRI</v>
      </c>
      <c r="J648" s="753">
        <f t="shared" si="28"/>
        <v>3</v>
      </c>
      <c r="K648" s="1540">
        <f t="shared" si="29"/>
        <v>2023</v>
      </c>
      <c r="L648" s="757"/>
      <c r="M648" s="757"/>
      <c r="N648" s="757"/>
      <c r="O648" s="757"/>
      <c r="P648" s="757"/>
      <c r="Q648" s="757"/>
      <c r="R648" s="757"/>
      <c r="S648" s="757"/>
      <c r="T648" s="757"/>
      <c r="U648" s="757"/>
      <c r="V648" s="757"/>
      <c r="W648" s="757"/>
      <c r="X648" s="757"/>
      <c r="Y648" s="757"/>
      <c r="Z648" s="757"/>
      <c r="AA648" s="757"/>
      <c r="AB648" s="757"/>
      <c r="AC648" s="757"/>
      <c r="AD648" s="757"/>
      <c r="AE648" s="757"/>
      <c r="AF648" s="757"/>
      <c r="AG648" s="757"/>
      <c r="AH648" s="757"/>
      <c r="AI648" s="757"/>
      <c r="AJ648" s="757"/>
      <c r="AK648" s="757"/>
      <c r="AL648" s="757"/>
      <c r="AM648" s="757"/>
      <c r="AN648" s="757"/>
      <c r="AO648" s="757"/>
      <c r="AP648" s="757"/>
      <c r="AQ648" s="757"/>
      <c r="AR648" s="757"/>
      <c r="AS648" s="757"/>
      <c r="AT648" s="757"/>
      <c r="AU648" s="757"/>
      <c r="AV648" s="757"/>
      <c r="AW648" s="757"/>
      <c r="AX648" s="757"/>
      <c r="AY648" s="757"/>
      <c r="AZ648" s="75"/>
      <c r="BA648" s="2"/>
      <c r="BB648" s="2"/>
      <c r="BC648" s="2"/>
      <c r="BD648" s="2"/>
    </row>
    <row r="649" spans="1:56">
      <c r="A649" s="781">
        <v>1</v>
      </c>
      <c r="B649" s="782">
        <v>211</v>
      </c>
      <c r="C649" s="783">
        <v>45207</v>
      </c>
      <c r="D649" s="784" t="s">
        <v>725</v>
      </c>
      <c r="E649" s="808"/>
      <c r="F649" s="798">
        <v>107090</v>
      </c>
      <c r="G649" s="802">
        <v>6042</v>
      </c>
      <c r="H649" s="1592">
        <f t="shared" si="27"/>
        <v>113132</v>
      </c>
      <c r="I649" s="754" t="str">
        <f>IFERROR(VLOOKUP(B649,Mychart!$A$125:$B$911,2,FALSE),"-")</f>
        <v>AHMED AHLI - ASRI</v>
      </c>
      <c r="J649" s="753">
        <f t="shared" si="28"/>
        <v>10</v>
      </c>
      <c r="K649" s="1540">
        <f t="shared" si="29"/>
        <v>2023</v>
      </c>
      <c r="L649" s="757"/>
      <c r="M649" s="757"/>
      <c r="N649" s="757"/>
      <c r="O649" s="757"/>
      <c r="P649" s="757"/>
      <c r="Q649" s="757"/>
      <c r="R649" s="757"/>
      <c r="S649" s="757"/>
      <c r="T649" s="757"/>
      <c r="U649" s="757"/>
      <c r="V649" s="757"/>
      <c r="W649" s="757"/>
      <c r="X649" s="757"/>
      <c r="Y649" s="757"/>
      <c r="Z649" s="757"/>
      <c r="AA649" s="757"/>
      <c r="AB649" s="757"/>
      <c r="AC649" s="757"/>
      <c r="AD649" s="757"/>
      <c r="AE649" s="757"/>
      <c r="AF649" s="757"/>
      <c r="AG649" s="757"/>
      <c r="AH649" s="757"/>
      <c r="AI649" s="757"/>
      <c r="AJ649" s="757"/>
      <c r="AK649" s="757"/>
      <c r="AL649" s="757"/>
      <c r="AM649" s="757"/>
      <c r="AN649" s="757"/>
      <c r="AO649" s="757"/>
      <c r="AP649" s="757"/>
      <c r="AQ649" s="757"/>
      <c r="AR649" s="757"/>
      <c r="AS649" s="757"/>
      <c r="AT649" s="757"/>
      <c r="AU649" s="757"/>
      <c r="AV649" s="757"/>
      <c r="AW649" s="757"/>
      <c r="AX649" s="757"/>
      <c r="AY649" s="757"/>
      <c r="AZ649" s="75"/>
      <c r="BA649" s="2"/>
      <c r="BB649" s="2"/>
      <c r="BC649" s="2"/>
      <c r="BD649" s="2"/>
    </row>
    <row r="650" spans="1:56">
      <c r="A650" s="781">
        <v>1</v>
      </c>
      <c r="B650" s="782">
        <v>211</v>
      </c>
      <c r="C650" s="783">
        <v>45207</v>
      </c>
      <c r="D650" s="784" t="s">
        <v>726</v>
      </c>
      <c r="E650" s="808"/>
      <c r="F650" s="798">
        <v>13750</v>
      </c>
      <c r="G650" s="802"/>
      <c r="H650" s="1592">
        <f t="shared" si="27"/>
        <v>13750</v>
      </c>
      <c r="I650" s="754" t="str">
        <f>IFERROR(VLOOKUP(B650,Mychart!$A$125:$B$911,2,FALSE),"-")</f>
        <v>AHMED AHLI - ASRI</v>
      </c>
      <c r="J650" s="753">
        <f t="shared" si="28"/>
        <v>10</v>
      </c>
      <c r="K650" s="1540">
        <f t="shared" si="29"/>
        <v>2023</v>
      </c>
      <c r="L650" s="757"/>
      <c r="M650" s="757"/>
      <c r="N650" s="757"/>
      <c r="O650" s="757"/>
      <c r="P650" s="757"/>
      <c r="Q650" s="757"/>
      <c r="R650" s="757"/>
      <c r="S650" s="757"/>
      <c r="T650" s="757"/>
      <c r="U650" s="757"/>
      <c r="V650" s="757"/>
      <c r="W650" s="757"/>
      <c r="X650" s="757"/>
      <c r="Y650" s="757"/>
      <c r="Z650" s="757"/>
      <c r="AA650" s="757"/>
      <c r="AB650" s="757"/>
      <c r="AC650" s="757"/>
      <c r="AD650" s="757"/>
      <c r="AE650" s="757"/>
      <c r="AF650" s="757"/>
      <c r="AG650" s="757"/>
      <c r="AH650" s="757"/>
      <c r="AI650" s="757"/>
      <c r="AJ650" s="757"/>
      <c r="AK650" s="757"/>
      <c r="AL650" s="757"/>
      <c r="AM650" s="757"/>
      <c r="AN650" s="757"/>
      <c r="AO650" s="757"/>
      <c r="AP650" s="757"/>
      <c r="AQ650" s="757"/>
      <c r="AR650" s="757"/>
      <c r="AS650" s="757"/>
      <c r="AT650" s="757"/>
      <c r="AU650" s="757"/>
      <c r="AV650" s="757"/>
      <c r="AW650" s="757"/>
      <c r="AX650" s="757"/>
      <c r="AY650" s="757"/>
      <c r="AZ650" s="75"/>
      <c r="BA650" s="2"/>
      <c r="BB650" s="2"/>
      <c r="BC650" s="2"/>
      <c r="BD650" s="2"/>
    </row>
    <row r="651" spans="1:56">
      <c r="A651" s="781">
        <v>1</v>
      </c>
      <c r="B651" s="782">
        <v>211</v>
      </c>
      <c r="C651" s="783">
        <v>45419</v>
      </c>
      <c r="D651" s="784" t="s">
        <v>727</v>
      </c>
      <c r="E651" s="808"/>
      <c r="F651" s="798">
        <v>35000</v>
      </c>
      <c r="G651" s="798"/>
      <c r="H651" s="1592">
        <f t="shared" ref="H651:H714" si="30">F651+G651</f>
        <v>35000</v>
      </c>
      <c r="I651" s="754" t="str">
        <f>IFERROR(VLOOKUP(B651,Mychart!$A$125:$B$911,2,FALSE),"-")</f>
        <v>AHMED AHLI - ASRI</v>
      </c>
      <c r="J651" s="753">
        <f t="shared" ref="J651:J714" si="31">IF(C651&lt;&gt;"", MONTH(C651),"-")</f>
        <v>5</v>
      </c>
      <c r="K651" s="1540">
        <f t="shared" ref="K651:K714" si="32">YEAR(C651)</f>
        <v>2024</v>
      </c>
      <c r="L651" s="757"/>
      <c r="M651" s="757"/>
      <c r="N651" s="757"/>
      <c r="O651" s="757"/>
      <c r="P651" s="757"/>
      <c r="Q651" s="757"/>
      <c r="R651" s="757"/>
      <c r="S651" s="757"/>
      <c r="T651" s="757"/>
      <c r="U651" s="757"/>
      <c r="V651" s="757"/>
      <c r="W651" s="757"/>
      <c r="X651" s="757"/>
      <c r="Y651" s="757"/>
      <c r="Z651" s="757"/>
      <c r="AA651" s="757"/>
      <c r="AB651" s="757"/>
      <c r="AC651" s="757"/>
      <c r="AD651" s="757"/>
      <c r="AE651" s="757"/>
      <c r="AF651" s="757"/>
      <c r="AG651" s="757"/>
      <c r="AH651" s="757"/>
      <c r="AI651" s="757"/>
      <c r="AJ651" s="757"/>
      <c r="AK651" s="757"/>
      <c r="AL651" s="757"/>
      <c r="AM651" s="757"/>
      <c r="AN651" s="757"/>
      <c r="AO651" s="757"/>
      <c r="AP651" s="757"/>
      <c r="AQ651" s="757"/>
      <c r="AR651" s="757"/>
      <c r="AS651" s="757"/>
      <c r="AT651" s="757"/>
      <c r="AU651" s="757"/>
      <c r="AV651" s="757"/>
      <c r="AW651" s="757"/>
      <c r="AX651" s="757"/>
      <c r="AY651" s="757"/>
      <c r="AZ651" s="75"/>
      <c r="BA651" s="2"/>
      <c r="BB651" s="2"/>
      <c r="BC651" s="2"/>
      <c r="BD651" s="2"/>
    </row>
    <row r="652" spans="1:56">
      <c r="A652" s="781">
        <v>2</v>
      </c>
      <c r="B652" s="782">
        <v>211</v>
      </c>
      <c r="C652" s="783">
        <v>44849</v>
      </c>
      <c r="D652" s="783" t="s">
        <v>728</v>
      </c>
      <c r="E652" s="808">
        <v>5000</v>
      </c>
      <c r="F652" s="799"/>
      <c r="G652" s="799"/>
      <c r="H652" s="1592">
        <f t="shared" si="30"/>
        <v>0</v>
      </c>
      <c r="I652" s="754" t="str">
        <f>IFERROR(VLOOKUP(B652,Mychart!$A$125:$B$911,2,FALSE),"-")</f>
        <v>AHMED AHLI - ASRI</v>
      </c>
      <c r="J652" s="753">
        <f t="shared" si="31"/>
        <v>10</v>
      </c>
      <c r="K652" s="1540">
        <f t="shared" si="32"/>
        <v>2022</v>
      </c>
      <c r="L652" s="757"/>
      <c r="M652" s="757"/>
      <c r="N652" s="757"/>
      <c r="O652" s="757"/>
      <c r="P652" s="757"/>
      <c r="Q652" s="757"/>
      <c r="R652" s="757"/>
      <c r="S652" s="757"/>
      <c r="T652" s="757"/>
      <c r="U652" s="757"/>
      <c r="V652" s="757"/>
      <c r="W652" s="757"/>
      <c r="X652" s="757"/>
      <c r="Y652" s="757"/>
      <c r="Z652" s="757"/>
      <c r="AA652" s="757"/>
      <c r="AB652" s="757"/>
      <c r="AC652" s="757"/>
      <c r="AD652" s="757"/>
      <c r="AE652" s="757"/>
      <c r="AF652" s="757"/>
      <c r="AG652" s="757"/>
      <c r="AH652" s="757"/>
      <c r="AI652" s="757"/>
      <c r="AJ652" s="757"/>
      <c r="AK652" s="757"/>
      <c r="AL652" s="757"/>
      <c r="AM652" s="757"/>
      <c r="AN652" s="757"/>
      <c r="AO652" s="757"/>
      <c r="AP652" s="757"/>
      <c r="AQ652" s="757"/>
      <c r="AR652" s="757"/>
      <c r="AS652" s="757"/>
      <c r="AT652" s="757"/>
      <c r="AU652" s="757"/>
      <c r="AV652" s="757"/>
      <c r="AW652" s="757"/>
      <c r="AX652" s="757"/>
      <c r="AY652" s="757"/>
      <c r="AZ652" s="75"/>
      <c r="BA652" s="2"/>
      <c r="BB652" s="2"/>
      <c r="BC652" s="2"/>
      <c r="BD652" s="2"/>
    </row>
    <row r="653" spans="1:56">
      <c r="A653" s="781">
        <v>2</v>
      </c>
      <c r="B653" s="782">
        <v>211</v>
      </c>
      <c r="C653" s="783"/>
      <c r="D653" s="783" t="s">
        <v>729</v>
      </c>
      <c r="E653" s="808">
        <v>3739</v>
      </c>
      <c r="F653" s="799"/>
      <c r="G653" s="799"/>
      <c r="H653" s="1592">
        <f t="shared" si="30"/>
        <v>0</v>
      </c>
      <c r="I653" s="754" t="str">
        <f>IFERROR(VLOOKUP(B653,Mychart!$A$125:$B$911,2,FALSE),"-")</f>
        <v>AHMED AHLI - ASRI</v>
      </c>
      <c r="J653" s="753" t="str">
        <f t="shared" si="31"/>
        <v>-</v>
      </c>
      <c r="K653" s="1540">
        <f t="shared" si="32"/>
        <v>1900</v>
      </c>
      <c r="L653" s="757"/>
      <c r="M653" s="757"/>
      <c r="N653" s="757"/>
      <c r="O653" s="757"/>
      <c r="P653" s="757"/>
      <c r="Q653" s="757"/>
      <c r="R653" s="757"/>
      <c r="S653" s="757"/>
      <c r="T653" s="757"/>
      <c r="U653" s="757"/>
      <c r="V653" s="757"/>
      <c r="W653" s="757"/>
      <c r="X653" s="757"/>
      <c r="Y653" s="757"/>
      <c r="Z653" s="757"/>
      <c r="AA653" s="757"/>
      <c r="AB653" s="757"/>
      <c r="AC653" s="757"/>
      <c r="AD653" s="757"/>
      <c r="AE653" s="757"/>
      <c r="AF653" s="757"/>
      <c r="AG653" s="757"/>
      <c r="AH653" s="757"/>
      <c r="AI653" s="757"/>
      <c r="AJ653" s="757"/>
      <c r="AK653" s="757"/>
      <c r="AL653" s="757"/>
      <c r="AM653" s="757"/>
      <c r="AN653" s="757"/>
      <c r="AO653" s="757"/>
      <c r="AP653" s="757"/>
      <c r="AQ653" s="757"/>
      <c r="AR653" s="757"/>
      <c r="AS653" s="757"/>
      <c r="AT653" s="757"/>
      <c r="AU653" s="757"/>
      <c r="AV653" s="757"/>
      <c r="AW653" s="757"/>
      <c r="AX653" s="757"/>
      <c r="AY653" s="757"/>
      <c r="AZ653" s="75"/>
      <c r="BA653" s="2"/>
      <c r="BB653" s="2"/>
      <c r="BC653" s="2"/>
      <c r="BD653" s="2"/>
    </row>
    <row r="654" spans="1:56">
      <c r="A654" s="781">
        <v>2</v>
      </c>
      <c r="B654" s="782">
        <v>211</v>
      </c>
      <c r="C654" s="783"/>
      <c r="D654" s="783" t="s">
        <v>256</v>
      </c>
      <c r="E654" s="808">
        <v>1025</v>
      </c>
      <c r="F654" s="799"/>
      <c r="G654" s="799"/>
      <c r="H654" s="1592">
        <f t="shared" si="30"/>
        <v>0</v>
      </c>
      <c r="I654" s="754" t="str">
        <f>IFERROR(VLOOKUP(B654,Mychart!$A$125:$B$911,2,FALSE),"-")</f>
        <v>AHMED AHLI - ASRI</v>
      </c>
      <c r="J654" s="753" t="str">
        <f t="shared" si="31"/>
        <v>-</v>
      </c>
      <c r="K654" s="1540">
        <f t="shared" si="32"/>
        <v>1900</v>
      </c>
      <c r="L654" s="757"/>
      <c r="M654" s="757"/>
      <c r="N654" s="757"/>
      <c r="O654" s="757"/>
      <c r="P654" s="757"/>
      <c r="Q654" s="757"/>
      <c r="R654" s="757"/>
      <c r="S654" s="757"/>
      <c r="T654" s="757"/>
      <c r="U654" s="757"/>
      <c r="V654" s="757"/>
      <c r="W654" s="757"/>
      <c r="X654" s="757"/>
      <c r="Y654" s="757"/>
      <c r="Z654" s="757"/>
      <c r="AA654" s="757"/>
      <c r="AB654" s="757"/>
      <c r="AC654" s="757"/>
      <c r="AD654" s="757"/>
      <c r="AE654" s="757"/>
      <c r="AF654" s="757"/>
      <c r="AG654" s="757"/>
      <c r="AH654" s="757"/>
      <c r="AI654" s="757"/>
      <c r="AJ654" s="757"/>
      <c r="AK654" s="757"/>
      <c r="AL654" s="757"/>
      <c r="AM654" s="757"/>
      <c r="AN654" s="757"/>
      <c r="AO654" s="757"/>
      <c r="AP654" s="757"/>
      <c r="AQ654" s="757"/>
      <c r="AR654" s="757"/>
      <c r="AS654" s="757"/>
      <c r="AT654" s="757"/>
      <c r="AU654" s="757"/>
      <c r="AV654" s="757"/>
      <c r="AW654" s="757"/>
      <c r="AX654" s="757"/>
      <c r="AY654" s="757"/>
      <c r="AZ654" s="75"/>
      <c r="BA654" s="2"/>
      <c r="BB654" s="2"/>
      <c r="BC654" s="2"/>
      <c r="BD654" s="2"/>
    </row>
    <row r="655" spans="1:56">
      <c r="A655" s="781">
        <v>2</v>
      </c>
      <c r="B655" s="782">
        <v>211</v>
      </c>
      <c r="C655" s="783"/>
      <c r="D655" s="783" t="s">
        <v>258</v>
      </c>
      <c r="E655" s="808">
        <v>918</v>
      </c>
      <c r="F655" s="799"/>
      <c r="G655" s="799"/>
      <c r="H655" s="1592">
        <f t="shared" si="30"/>
        <v>0</v>
      </c>
      <c r="I655" s="754" t="str">
        <f>IFERROR(VLOOKUP(B655,Mychart!$A$125:$B$911,2,FALSE),"-")</f>
        <v>AHMED AHLI - ASRI</v>
      </c>
      <c r="J655" s="753" t="str">
        <f t="shared" si="31"/>
        <v>-</v>
      </c>
      <c r="K655" s="1540">
        <f t="shared" si="32"/>
        <v>1900</v>
      </c>
      <c r="L655" s="757"/>
      <c r="M655" s="757"/>
      <c r="N655" s="757"/>
      <c r="O655" s="757"/>
      <c r="P655" s="757"/>
      <c r="Q655" s="757"/>
      <c r="R655" s="757"/>
      <c r="S655" s="757"/>
      <c r="T655" s="757"/>
      <c r="U655" s="757"/>
      <c r="V655" s="757"/>
      <c r="W655" s="757"/>
      <c r="X655" s="757"/>
      <c r="Y655" s="757"/>
      <c r="Z655" s="757"/>
      <c r="AA655" s="757"/>
      <c r="AB655" s="757"/>
      <c r="AC655" s="757"/>
      <c r="AD655" s="757"/>
      <c r="AE655" s="757"/>
      <c r="AF655" s="757"/>
      <c r="AG655" s="757"/>
      <c r="AH655" s="757"/>
      <c r="AI655" s="757"/>
      <c r="AJ655" s="757"/>
      <c r="AK655" s="757"/>
      <c r="AL655" s="757"/>
      <c r="AM655" s="757"/>
      <c r="AN655" s="757"/>
      <c r="AO655" s="757"/>
      <c r="AP655" s="757"/>
      <c r="AQ655" s="757"/>
      <c r="AR655" s="757"/>
      <c r="AS655" s="757"/>
      <c r="AT655" s="757"/>
      <c r="AU655" s="757"/>
      <c r="AV655" s="757"/>
      <c r="AW655" s="757"/>
      <c r="AX655" s="757"/>
      <c r="AY655" s="757"/>
      <c r="AZ655" s="75"/>
      <c r="BA655" s="2"/>
      <c r="BB655" s="2"/>
      <c r="BC655" s="2"/>
      <c r="BD655" s="2"/>
    </row>
    <row r="656" spans="1:56">
      <c r="A656" s="781">
        <v>2</v>
      </c>
      <c r="B656" s="782">
        <v>211</v>
      </c>
      <c r="C656" s="783"/>
      <c r="D656" s="783" t="s">
        <v>258</v>
      </c>
      <c r="E656" s="808">
        <v>7107</v>
      </c>
      <c r="F656" s="799"/>
      <c r="G656" s="799"/>
      <c r="H656" s="1592">
        <f t="shared" si="30"/>
        <v>0</v>
      </c>
      <c r="I656" s="754" t="str">
        <f>IFERROR(VLOOKUP(B656,Mychart!$A$125:$B$911,2,FALSE),"-")</f>
        <v>AHMED AHLI - ASRI</v>
      </c>
      <c r="J656" s="753" t="str">
        <f t="shared" si="31"/>
        <v>-</v>
      </c>
      <c r="K656" s="1540">
        <f t="shared" si="32"/>
        <v>1900</v>
      </c>
      <c r="L656" s="757"/>
      <c r="M656" s="757"/>
      <c r="N656" s="757"/>
      <c r="O656" s="757"/>
      <c r="P656" s="757"/>
      <c r="Q656" s="757"/>
      <c r="R656" s="757"/>
      <c r="S656" s="757"/>
      <c r="T656" s="757"/>
      <c r="U656" s="757"/>
      <c r="V656" s="757"/>
      <c r="W656" s="757"/>
      <c r="X656" s="757"/>
      <c r="Y656" s="757"/>
      <c r="Z656" s="757"/>
      <c r="AA656" s="757"/>
      <c r="AB656" s="757"/>
      <c r="AC656" s="757"/>
      <c r="AD656" s="757"/>
      <c r="AE656" s="757"/>
      <c r="AF656" s="757"/>
      <c r="AG656" s="757"/>
      <c r="AH656" s="757"/>
      <c r="AI656" s="757"/>
      <c r="AJ656" s="757"/>
      <c r="AK656" s="757"/>
      <c r="AL656" s="757"/>
      <c r="AM656" s="757"/>
      <c r="AN656" s="757"/>
      <c r="AO656" s="757"/>
      <c r="AP656" s="757"/>
      <c r="AQ656" s="757"/>
      <c r="AR656" s="757"/>
      <c r="AS656" s="757"/>
      <c r="AT656" s="757"/>
      <c r="AU656" s="757"/>
      <c r="AV656" s="757"/>
      <c r="AW656" s="757"/>
      <c r="AX656" s="757"/>
      <c r="AY656" s="757"/>
      <c r="AZ656" s="75"/>
      <c r="BA656" s="2"/>
      <c r="BB656" s="2"/>
      <c r="BC656" s="2"/>
      <c r="BD656" s="2"/>
    </row>
    <row r="657" spans="1:56">
      <c r="A657" s="781">
        <v>2</v>
      </c>
      <c r="B657" s="782">
        <v>211</v>
      </c>
      <c r="C657" s="783"/>
      <c r="D657" s="783" t="s">
        <v>510</v>
      </c>
      <c r="E657" s="808">
        <v>16663.5</v>
      </c>
      <c r="F657" s="799"/>
      <c r="G657" s="799"/>
      <c r="H657" s="1592">
        <f t="shared" si="30"/>
        <v>0</v>
      </c>
      <c r="I657" s="754" t="str">
        <f>IFERROR(VLOOKUP(B657,Mychart!$A$125:$B$911,2,FALSE),"-")</f>
        <v>AHMED AHLI - ASRI</v>
      </c>
      <c r="J657" s="753" t="str">
        <f t="shared" si="31"/>
        <v>-</v>
      </c>
      <c r="K657" s="1540">
        <f t="shared" si="32"/>
        <v>1900</v>
      </c>
      <c r="L657" s="757"/>
      <c r="M657" s="757"/>
      <c r="N657" s="757"/>
      <c r="O657" s="757"/>
      <c r="P657" s="757"/>
      <c r="Q657" s="757"/>
      <c r="R657" s="757"/>
      <c r="S657" s="757"/>
      <c r="T657" s="757"/>
      <c r="U657" s="757"/>
      <c r="V657" s="757"/>
      <c r="W657" s="757"/>
      <c r="X657" s="757"/>
      <c r="Y657" s="757"/>
      <c r="Z657" s="757"/>
      <c r="AA657" s="757"/>
      <c r="AB657" s="757"/>
      <c r="AC657" s="757"/>
      <c r="AD657" s="757"/>
      <c r="AE657" s="757"/>
      <c r="AF657" s="757"/>
      <c r="AG657" s="757"/>
      <c r="AH657" s="757"/>
      <c r="AI657" s="757"/>
      <c r="AJ657" s="757"/>
      <c r="AK657" s="757"/>
      <c r="AL657" s="757"/>
      <c r="AM657" s="757"/>
      <c r="AN657" s="757"/>
      <c r="AO657" s="757"/>
      <c r="AP657" s="757"/>
      <c r="AQ657" s="757"/>
      <c r="AR657" s="757"/>
      <c r="AS657" s="757"/>
      <c r="AT657" s="757"/>
      <c r="AU657" s="757"/>
      <c r="AV657" s="757"/>
      <c r="AW657" s="757"/>
      <c r="AX657" s="757"/>
      <c r="AY657" s="757"/>
      <c r="AZ657" s="75"/>
      <c r="BA657" s="2"/>
      <c r="BB657" s="2"/>
      <c r="BC657" s="2"/>
      <c r="BD657" s="2"/>
    </row>
    <row r="658" spans="1:56">
      <c r="A658" s="781">
        <v>2</v>
      </c>
      <c r="B658" s="782">
        <v>211</v>
      </c>
      <c r="C658" s="783"/>
      <c r="D658" s="783" t="s">
        <v>256</v>
      </c>
      <c r="E658" s="808">
        <v>1199</v>
      </c>
      <c r="F658" s="799"/>
      <c r="G658" s="799"/>
      <c r="H658" s="1592">
        <f t="shared" si="30"/>
        <v>0</v>
      </c>
      <c r="I658" s="754" t="str">
        <f>IFERROR(VLOOKUP(B658,Mychart!$A$125:$B$911,2,FALSE),"-")</f>
        <v>AHMED AHLI - ASRI</v>
      </c>
      <c r="J658" s="753" t="str">
        <f t="shared" si="31"/>
        <v>-</v>
      </c>
      <c r="K658" s="1540">
        <f t="shared" si="32"/>
        <v>1900</v>
      </c>
      <c r="L658" s="757"/>
      <c r="M658" s="757"/>
      <c r="N658" s="757"/>
      <c r="O658" s="757"/>
      <c r="P658" s="757"/>
      <c r="Q658" s="757"/>
      <c r="R658" s="757"/>
      <c r="S658" s="757"/>
      <c r="T658" s="757"/>
      <c r="U658" s="757"/>
      <c r="V658" s="757"/>
      <c r="W658" s="757"/>
      <c r="X658" s="757"/>
      <c r="Y658" s="757"/>
      <c r="Z658" s="757"/>
      <c r="AA658" s="757"/>
      <c r="AB658" s="757"/>
      <c r="AC658" s="757"/>
      <c r="AD658" s="757"/>
      <c r="AE658" s="757"/>
      <c r="AF658" s="757"/>
      <c r="AG658" s="757"/>
      <c r="AH658" s="757"/>
      <c r="AI658" s="757"/>
      <c r="AJ658" s="757"/>
      <c r="AK658" s="757"/>
      <c r="AL658" s="757"/>
      <c r="AM658" s="757"/>
      <c r="AN658" s="757"/>
      <c r="AO658" s="757"/>
      <c r="AP658" s="757"/>
      <c r="AQ658" s="757"/>
      <c r="AR658" s="757"/>
      <c r="AS658" s="757"/>
      <c r="AT658" s="757"/>
      <c r="AU658" s="757"/>
      <c r="AV658" s="757"/>
      <c r="AW658" s="757"/>
      <c r="AX658" s="757"/>
      <c r="AY658" s="757"/>
      <c r="AZ658" s="75"/>
      <c r="BA658" s="2"/>
      <c r="BB658" s="2"/>
      <c r="BC658" s="2"/>
      <c r="BD658" s="2"/>
    </row>
    <row r="659" spans="1:56">
      <c r="A659" s="781">
        <v>2</v>
      </c>
      <c r="B659" s="782">
        <v>211</v>
      </c>
      <c r="C659" s="783"/>
      <c r="D659" s="783" t="s">
        <v>729</v>
      </c>
      <c r="E659" s="808">
        <v>1098</v>
      </c>
      <c r="F659" s="799"/>
      <c r="G659" s="799"/>
      <c r="H659" s="1592">
        <f t="shared" si="30"/>
        <v>0</v>
      </c>
      <c r="I659" s="754" t="str">
        <f>IFERROR(VLOOKUP(B659,Mychart!$A$125:$B$911,2,FALSE),"-")</f>
        <v>AHMED AHLI - ASRI</v>
      </c>
      <c r="J659" s="753" t="str">
        <f t="shared" si="31"/>
        <v>-</v>
      </c>
      <c r="K659" s="1540">
        <f t="shared" si="32"/>
        <v>1900</v>
      </c>
      <c r="L659" s="757"/>
      <c r="M659" s="757"/>
      <c r="N659" s="757"/>
      <c r="O659" s="757"/>
      <c r="P659" s="757"/>
      <c r="Q659" s="757"/>
      <c r="R659" s="757"/>
      <c r="S659" s="757"/>
      <c r="T659" s="757"/>
      <c r="U659" s="757"/>
      <c r="V659" s="757"/>
      <c r="W659" s="757"/>
      <c r="X659" s="757"/>
      <c r="Y659" s="757"/>
      <c r="Z659" s="757"/>
      <c r="AA659" s="757"/>
      <c r="AB659" s="757"/>
      <c r="AC659" s="757"/>
      <c r="AD659" s="757"/>
      <c r="AE659" s="757"/>
      <c r="AF659" s="757"/>
      <c r="AG659" s="757"/>
      <c r="AH659" s="757"/>
      <c r="AI659" s="757"/>
      <c r="AJ659" s="757"/>
      <c r="AK659" s="757"/>
      <c r="AL659" s="757"/>
      <c r="AM659" s="757"/>
      <c r="AN659" s="757"/>
      <c r="AO659" s="757"/>
      <c r="AP659" s="757"/>
      <c r="AQ659" s="757"/>
      <c r="AR659" s="757"/>
      <c r="AS659" s="757"/>
      <c r="AT659" s="757"/>
      <c r="AU659" s="757"/>
      <c r="AV659" s="757"/>
      <c r="AW659" s="757"/>
      <c r="AX659" s="757"/>
      <c r="AY659" s="757"/>
      <c r="AZ659" s="75"/>
      <c r="BA659" s="2"/>
      <c r="BB659" s="2"/>
      <c r="BC659" s="2"/>
      <c r="BD659" s="2"/>
    </row>
    <row r="660" spans="1:56">
      <c r="A660" s="781">
        <v>2</v>
      </c>
      <c r="B660" s="782">
        <v>211</v>
      </c>
      <c r="C660" s="783"/>
      <c r="D660" s="783" t="s">
        <v>729</v>
      </c>
      <c r="E660" s="808">
        <v>3863</v>
      </c>
      <c r="F660" s="799"/>
      <c r="G660" s="799"/>
      <c r="H660" s="1592">
        <f t="shared" si="30"/>
        <v>0</v>
      </c>
      <c r="I660" s="754" t="str">
        <f>IFERROR(VLOOKUP(B660,Mychart!$A$125:$B$911,2,FALSE),"-")</f>
        <v>AHMED AHLI - ASRI</v>
      </c>
      <c r="J660" s="753" t="str">
        <f t="shared" si="31"/>
        <v>-</v>
      </c>
      <c r="K660" s="1540">
        <f t="shared" si="32"/>
        <v>1900</v>
      </c>
      <c r="L660" s="757"/>
      <c r="M660" s="757"/>
      <c r="N660" s="757"/>
      <c r="O660" s="757"/>
      <c r="P660" s="757"/>
      <c r="Q660" s="757"/>
      <c r="R660" s="757"/>
      <c r="S660" s="757"/>
      <c r="T660" s="757"/>
      <c r="U660" s="757"/>
      <c r="V660" s="757"/>
      <c r="W660" s="757"/>
      <c r="X660" s="757"/>
      <c r="Y660" s="757"/>
      <c r="Z660" s="757"/>
      <c r="AA660" s="757"/>
      <c r="AB660" s="757"/>
      <c r="AC660" s="757"/>
      <c r="AD660" s="757"/>
      <c r="AE660" s="757"/>
      <c r="AF660" s="757"/>
      <c r="AG660" s="757"/>
      <c r="AH660" s="757"/>
      <c r="AI660" s="757"/>
      <c r="AJ660" s="757"/>
      <c r="AK660" s="757"/>
      <c r="AL660" s="757"/>
      <c r="AM660" s="757"/>
      <c r="AN660" s="757"/>
      <c r="AO660" s="757"/>
      <c r="AP660" s="757"/>
      <c r="AQ660" s="757"/>
      <c r="AR660" s="757"/>
      <c r="AS660" s="757"/>
      <c r="AT660" s="757"/>
      <c r="AU660" s="757"/>
      <c r="AV660" s="757"/>
      <c r="AW660" s="757"/>
      <c r="AX660" s="757"/>
      <c r="AY660" s="757"/>
      <c r="AZ660" s="75"/>
      <c r="BA660" s="2"/>
      <c r="BB660" s="2"/>
      <c r="BC660" s="2"/>
      <c r="BD660" s="2"/>
    </row>
    <row r="661" spans="1:56">
      <c r="A661" s="781">
        <v>2</v>
      </c>
      <c r="B661" s="782">
        <v>211</v>
      </c>
      <c r="C661" s="783"/>
      <c r="D661" s="783" t="s">
        <v>729</v>
      </c>
      <c r="E661" s="808">
        <v>10547</v>
      </c>
      <c r="F661" s="799"/>
      <c r="G661" s="799"/>
      <c r="H661" s="1592">
        <f t="shared" si="30"/>
        <v>0</v>
      </c>
      <c r="I661" s="754" t="str">
        <f>IFERROR(VLOOKUP(B661,Mychart!$A$125:$B$911,2,FALSE),"-")</f>
        <v>AHMED AHLI - ASRI</v>
      </c>
      <c r="J661" s="753" t="str">
        <f t="shared" si="31"/>
        <v>-</v>
      </c>
      <c r="K661" s="1540">
        <f t="shared" si="32"/>
        <v>1900</v>
      </c>
      <c r="L661" s="757"/>
      <c r="M661" s="757"/>
      <c r="N661" s="757"/>
      <c r="O661" s="757"/>
      <c r="P661" s="757"/>
      <c r="Q661" s="757"/>
      <c r="R661" s="757"/>
      <c r="S661" s="757"/>
      <c r="T661" s="757"/>
      <c r="U661" s="757"/>
      <c r="V661" s="757"/>
      <c r="W661" s="757"/>
      <c r="X661" s="757"/>
      <c r="Y661" s="757"/>
      <c r="Z661" s="757"/>
      <c r="AA661" s="757"/>
      <c r="AB661" s="757"/>
      <c r="AC661" s="757"/>
      <c r="AD661" s="757"/>
      <c r="AE661" s="757"/>
      <c r="AF661" s="757"/>
      <c r="AG661" s="757"/>
      <c r="AH661" s="757"/>
      <c r="AI661" s="757"/>
      <c r="AJ661" s="757"/>
      <c r="AK661" s="757"/>
      <c r="AL661" s="757"/>
      <c r="AM661" s="757"/>
      <c r="AN661" s="757"/>
      <c r="AO661" s="757"/>
      <c r="AP661" s="757"/>
      <c r="AQ661" s="757"/>
      <c r="AR661" s="757"/>
      <c r="AS661" s="757"/>
      <c r="AT661" s="757"/>
      <c r="AU661" s="757"/>
      <c r="AV661" s="757"/>
      <c r="AW661" s="757"/>
      <c r="AX661" s="757"/>
      <c r="AY661" s="757"/>
      <c r="AZ661" s="75"/>
      <c r="BA661" s="2"/>
      <c r="BB661" s="2"/>
      <c r="BC661" s="2"/>
      <c r="BD661" s="2"/>
    </row>
    <row r="662" spans="1:56">
      <c r="A662" s="781">
        <v>2</v>
      </c>
      <c r="B662" s="782">
        <v>211</v>
      </c>
      <c r="C662" s="783"/>
      <c r="D662" s="783" t="s">
        <v>510</v>
      </c>
      <c r="E662" s="808">
        <v>7350</v>
      </c>
      <c r="F662" s="799"/>
      <c r="G662" s="799"/>
      <c r="H662" s="1592">
        <f t="shared" si="30"/>
        <v>0</v>
      </c>
      <c r="I662" s="754" t="str">
        <f>IFERROR(VLOOKUP(B662,Mychart!$A$125:$B$911,2,FALSE),"-")</f>
        <v>AHMED AHLI - ASRI</v>
      </c>
      <c r="J662" s="753" t="str">
        <f t="shared" si="31"/>
        <v>-</v>
      </c>
      <c r="K662" s="1540">
        <f t="shared" si="32"/>
        <v>1900</v>
      </c>
      <c r="L662" s="757"/>
      <c r="M662" s="757"/>
      <c r="N662" s="757"/>
      <c r="O662" s="757"/>
      <c r="P662" s="757"/>
      <c r="Q662" s="757"/>
      <c r="R662" s="757"/>
      <c r="S662" s="757"/>
      <c r="T662" s="757"/>
      <c r="U662" s="757"/>
      <c r="V662" s="757"/>
      <c r="W662" s="757"/>
      <c r="X662" s="757"/>
      <c r="Y662" s="757"/>
      <c r="Z662" s="757"/>
      <c r="AA662" s="757"/>
      <c r="AB662" s="757"/>
      <c r="AC662" s="757"/>
      <c r="AD662" s="757"/>
      <c r="AE662" s="757"/>
      <c r="AF662" s="757"/>
      <c r="AG662" s="757"/>
      <c r="AH662" s="757"/>
      <c r="AI662" s="757"/>
      <c r="AJ662" s="757"/>
      <c r="AK662" s="757"/>
      <c r="AL662" s="757"/>
      <c r="AM662" s="757"/>
      <c r="AN662" s="757"/>
      <c r="AO662" s="757"/>
      <c r="AP662" s="757"/>
      <c r="AQ662" s="757"/>
      <c r="AR662" s="757"/>
      <c r="AS662" s="757"/>
      <c r="AT662" s="757"/>
      <c r="AU662" s="757"/>
      <c r="AV662" s="757"/>
      <c r="AW662" s="757"/>
      <c r="AX662" s="757"/>
      <c r="AY662" s="757"/>
      <c r="AZ662" s="75"/>
      <c r="BA662" s="2"/>
      <c r="BB662" s="2"/>
      <c r="BC662" s="2"/>
      <c r="BD662" s="2"/>
    </row>
    <row r="663" spans="1:56">
      <c r="A663" s="781">
        <v>2</v>
      </c>
      <c r="B663" s="782">
        <v>211</v>
      </c>
      <c r="C663" s="783"/>
      <c r="D663" s="783" t="s">
        <v>228</v>
      </c>
      <c r="E663" s="808">
        <v>1385</v>
      </c>
      <c r="F663" s="799"/>
      <c r="G663" s="799"/>
      <c r="H663" s="1592">
        <f t="shared" si="30"/>
        <v>0</v>
      </c>
      <c r="I663" s="754" t="str">
        <f>IFERROR(VLOOKUP(B663,Mychart!$A$125:$B$911,2,FALSE),"-")</f>
        <v>AHMED AHLI - ASRI</v>
      </c>
      <c r="J663" s="753" t="str">
        <f t="shared" si="31"/>
        <v>-</v>
      </c>
      <c r="K663" s="1540">
        <f t="shared" si="32"/>
        <v>1900</v>
      </c>
      <c r="L663" s="757"/>
      <c r="M663" s="757"/>
      <c r="N663" s="757"/>
      <c r="O663" s="757"/>
      <c r="P663" s="757"/>
      <c r="Q663" s="757"/>
      <c r="R663" s="757"/>
      <c r="S663" s="757"/>
      <c r="T663" s="757"/>
      <c r="U663" s="757"/>
      <c r="V663" s="757"/>
      <c r="W663" s="757"/>
      <c r="X663" s="757"/>
      <c r="Y663" s="757"/>
      <c r="Z663" s="757"/>
      <c r="AA663" s="757"/>
      <c r="AB663" s="757"/>
      <c r="AC663" s="757"/>
      <c r="AD663" s="757"/>
      <c r="AE663" s="757"/>
      <c r="AF663" s="757"/>
      <c r="AG663" s="757"/>
      <c r="AH663" s="757"/>
      <c r="AI663" s="757"/>
      <c r="AJ663" s="757"/>
      <c r="AK663" s="757"/>
      <c r="AL663" s="757"/>
      <c r="AM663" s="757"/>
      <c r="AN663" s="757"/>
      <c r="AO663" s="757"/>
      <c r="AP663" s="757"/>
      <c r="AQ663" s="757"/>
      <c r="AR663" s="757"/>
      <c r="AS663" s="757"/>
      <c r="AT663" s="757"/>
      <c r="AU663" s="757"/>
      <c r="AV663" s="757"/>
      <c r="AW663" s="757"/>
      <c r="AX663" s="757"/>
      <c r="AY663" s="757"/>
      <c r="AZ663" s="75"/>
      <c r="BA663" s="2"/>
      <c r="BB663" s="2"/>
      <c r="BC663" s="2"/>
      <c r="BD663" s="2"/>
    </row>
    <row r="664" spans="1:56">
      <c r="A664" s="781">
        <v>2</v>
      </c>
      <c r="B664" s="782">
        <v>211</v>
      </c>
      <c r="C664" s="783"/>
      <c r="D664" s="783" t="s">
        <v>256</v>
      </c>
      <c r="E664" s="808">
        <v>237</v>
      </c>
      <c r="F664" s="799"/>
      <c r="G664" s="799"/>
      <c r="H664" s="1592">
        <f t="shared" si="30"/>
        <v>0</v>
      </c>
      <c r="I664" s="754" t="str">
        <f>IFERROR(VLOOKUP(B664,Mychart!$A$125:$B$911,2,FALSE),"-")</f>
        <v>AHMED AHLI - ASRI</v>
      </c>
      <c r="J664" s="753" t="str">
        <f t="shared" si="31"/>
        <v>-</v>
      </c>
      <c r="K664" s="1540">
        <f t="shared" si="32"/>
        <v>1900</v>
      </c>
      <c r="L664" s="757"/>
      <c r="M664" s="757"/>
      <c r="N664" s="757"/>
      <c r="O664" s="757"/>
      <c r="P664" s="757"/>
      <c r="Q664" s="757"/>
      <c r="R664" s="757"/>
      <c r="S664" s="757"/>
      <c r="T664" s="757"/>
      <c r="U664" s="757"/>
      <c r="V664" s="757"/>
      <c r="W664" s="757"/>
      <c r="X664" s="757"/>
      <c r="Y664" s="757"/>
      <c r="Z664" s="757"/>
      <c r="AA664" s="757"/>
      <c r="AB664" s="757"/>
      <c r="AC664" s="757"/>
      <c r="AD664" s="757"/>
      <c r="AE664" s="757"/>
      <c r="AF664" s="757"/>
      <c r="AG664" s="757"/>
      <c r="AH664" s="757"/>
      <c r="AI664" s="757"/>
      <c r="AJ664" s="757"/>
      <c r="AK664" s="757"/>
      <c r="AL664" s="757"/>
      <c r="AM664" s="757"/>
      <c r="AN664" s="757"/>
      <c r="AO664" s="757"/>
      <c r="AP664" s="757"/>
      <c r="AQ664" s="757"/>
      <c r="AR664" s="757"/>
      <c r="AS664" s="757"/>
      <c r="AT664" s="757"/>
      <c r="AU664" s="757"/>
      <c r="AV664" s="757"/>
      <c r="AW664" s="757"/>
      <c r="AX664" s="757"/>
      <c r="AY664" s="757"/>
      <c r="AZ664" s="75"/>
      <c r="BA664" s="2"/>
      <c r="BB664" s="2"/>
      <c r="BC664" s="2"/>
      <c r="BD664" s="2"/>
    </row>
    <row r="665" spans="1:56">
      <c r="A665" s="781">
        <v>2</v>
      </c>
      <c r="B665" s="782">
        <v>211</v>
      </c>
      <c r="C665" s="783"/>
      <c r="D665" s="783" t="s">
        <v>228</v>
      </c>
      <c r="E665" s="808">
        <v>446</v>
      </c>
      <c r="F665" s="799"/>
      <c r="G665" s="799"/>
      <c r="H665" s="1592">
        <f t="shared" si="30"/>
        <v>0</v>
      </c>
      <c r="I665" s="754" t="str">
        <f>IFERROR(VLOOKUP(B665,Mychart!$A$125:$B$911,2,FALSE),"-")</f>
        <v>AHMED AHLI - ASRI</v>
      </c>
      <c r="J665" s="753" t="str">
        <f t="shared" si="31"/>
        <v>-</v>
      </c>
      <c r="K665" s="1540">
        <f t="shared" si="32"/>
        <v>1900</v>
      </c>
      <c r="L665" s="757"/>
      <c r="M665" s="757"/>
      <c r="N665" s="757"/>
      <c r="O665" s="757"/>
      <c r="P665" s="757"/>
      <c r="Q665" s="757"/>
      <c r="R665" s="757"/>
      <c r="S665" s="757"/>
      <c r="T665" s="757"/>
      <c r="U665" s="757"/>
      <c r="V665" s="757"/>
      <c r="W665" s="757"/>
      <c r="X665" s="757"/>
      <c r="Y665" s="757"/>
      <c r="Z665" s="757"/>
      <c r="AA665" s="757"/>
      <c r="AB665" s="757"/>
      <c r="AC665" s="757"/>
      <c r="AD665" s="757"/>
      <c r="AE665" s="757"/>
      <c r="AF665" s="757"/>
      <c r="AG665" s="757"/>
      <c r="AH665" s="757"/>
      <c r="AI665" s="757"/>
      <c r="AJ665" s="757"/>
      <c r="AK665" s="757"/>
      <c r="AL665" s="757"/>
      <c r="AM665" s="757"/>
      <c r="AN665" s="757"/>
      <c r="AO665" s="757"/>
      <c r="AP665" s="757"/>
      <c r="AQ665" s="757"/>
      <c r="AR665" s="757"/>
      <c r="AS665" s="757"/>
      <c r="AT665" s="757"/>
      <c r="AU665" s="757"/>
      <c r="AV665" s="757"/>
      <c r="AW665" s="757"/>
      <c r="AX665" s="757"/>
      <c r="AY665" s="757"/>
      <c r="AZ665" s="75"/>
      <c r="BA665" s="2"/>
      <c r="BB665" s="2"/>
      <c r="BC665" s="2"/>
      <c r="BD665" s="2"/>
    </row>
    <row r="666" spans="1:56">
      <c r="A666" s="781">
        <v>2</v>
      </c>
      <c r="B666" s="782">
        <v>211</v>
      </c>
      <c r="C666" s="783"/>
      <c r="D666" s="783" t="s">
        <v>228</v>
      </c>
      <c r="E666" s="808">
        <v>142</v>
      </c>
      <c r="F666" s="799"/>
      <c r="G666" s="799"/>
      <c r="H666" s="1592">
        <f t="shared" si="30"/>
        <v>0</v>
      </c>
      <c r="I666" s="754" t="str">
        <f>IFERROR(VLOOKUP(B666,Mychart!$A$125:$B$911,2,FALSE),"-")</f>
        <v>AHMED AHLI - ASRI</v>
      </c>
      <c r="J666" s="753" t="str">
        <f t="shared" si="31"/>
        <v>-</v>
      </c>
      <c r="K666" s="1540">
        <f t="shared" si="32"/>
        <v>1900</v>
      </c>
      <c r="L666" s="757"/>
      <c r="M666" s="757"/>
      <c r="N666" s="757"/>
      <c r="O666" s="757"/>
      <c r="P666" s="757"/>
      <c r="Q666" s="757"/>
      <c r="R666" s="757"/>
      <c r="S666" s="757"/>
      <c r="T666" s="757"/>
      <c r="U666" s="757"/>
      <c r="V666" s="757"/>
      <c r="W666" s="757"/>
      <c r="X666" s="757"/>
      <c r="Y666" s="757"/>
      <c r="Z666" s="757"/>
      <c r="AA666" s="757"/>
      <c r="AB666" s="757"/>
      <c r="AC666" s="757"/>
      <c r="AD666" s="757"/>
      <c r="AE666" s="757"/>
      <c r="AF666" s="757"/>
      <c r="AG666" s="757"/>
      <c r="AH666" s="757"/>
      <c r="AI666" s="757"/>
      <c r="AJ666" s="757"/>
      <c r="AK666" s="757"/>
      <c r="AL666" s="757"/>
      <c r="AM666" s="757"/>
      <c r="AN666" s="757"/>
      <c r="AO666" s="757"/>
      <c r="AP666" s="757"/>
      <c r="AQ666" s="757"/>
      <c r="AR666" s="757"/>
      <c r="AS666" s="757"/>
      <c r="AT666" s="757"/>
      <c r="AU666" s="757"/>
      <c r="AV666" s="757"/>
      <c r="AW666" s="757"/>
      <c r="AX666" s="757"/>
      <c r="AY666" s="757"/>
      <c r="AZ666" s="75"/>
      <c r="BA666" s="2"/>
      <c r="BB666" s="2"/>
      <c r="BC666" s="2"/>
      <c r="BD666" s="2"/>
    </row>
    <row r="667" spans="1:56">
      <c r="A667" s="781">
        <v>2</v>
      </c>
      <c r="B667" s="782">
        <v>211</v>
      </c>
      <c r="C667" s="783"/>
      <c r="D667" s="783" t="s">
        <v>256</v>
      </c>
      <c r="E667" s="808">
        <v>558</v>
      </c>
      <c r="F667" s="799"/>
      <c r="G667" s="799"/>
      <c r="H667" s="1592">
        <f t="shared" si="30"/>
        <v>0</v>
      </c>
      <c r="I667" s="754" t="str">
        <f>IFERROR(VLOOKUP(B667,Mychart!$A$125:$B$911,2,FALSE),"-")</f>
        <v>AHMED AHLI - ASRI</v>
      </c>
      <c r="J667" s="753" t="str">
        <f t="shared" si="31"/>
        <v>-</v>
      </c>
      <c r="K667" s="1540">
        <f t="shared" si="32"/>
        <v>1900</v>
      </c>
      <c r="L667" s="757"/>
      <c r="M667" s="757"/>
      <c r="N667" s="757"/>
      <c r="O667" s="757"/>
      <c r="P667" s="757"/>
      <c r="Q667" s="757"/>
      <c r="R667" s="757"/>
      <c r="S667" s="757"/>
      <c r="T667" s="757"/>
      <c r="U667" s="757"/>
      <c r="V667" s="757"/>
      <c r="W667" s="757"/>
      <c r="X667" s="757"/>
      <c r="Y667" s="757"/>
      <c r="Z667" s="757"/>
      <c r="AA667" s="757"/>
      <c r="AB667" s="757"/>
      <c r="AC667" s="757"/>
      <c r="AD667" s="757"/>
      <c r="AE667" s="757"/>
      <c r="AF667" s="757"/>
      <c r="AG667" s="757"/>
      <c r="AH667" s="757"/>
      <c r="AI667" s="757"/>
      <c r="AJ667" s="757"/>
      <c r="AK667" s="757"/>
      <c r="AL667" s="757"/>
      <c r="AM667" s="757"/>
      <c r="AN667" s="757"/>
      <c r="AO667" s="757"/>
      <c r="AP667" s="757"/>
      <c r="AQ667" s="757"/>
      <c r="AR667" s="757"/>
      <c r="AS667" s="757"/>
      <c r="AT667" s="757"/>
      <c r="AU667" s="757"/>
      <c r="AV667" s="757"/>
      <c r="AW667" s="757"/>
      <c r="AX667" s="757"/>
      <c r="AY667" s="757"/>
      <c r="AZ667" s="75"/>
      <c r="BA667" s="2"/>
      <c r="BB667" s="2"/>
      <c r="BC667" s="2"/>
      <c r="BD667" s="2"/>
    </row>
    <row r="668" spans="1:56">
      <c r="A668" s="781">
        <v>2</v>
      </c>
      <c r="B668" s="782">
        <v>211</v>
      </c>
      <c r="C668" s="783"/>
      <c r="D668" s="783" t="s">
        <v>499</v>
      </c>
      <c r="E668" s="808">
        <v>800</v>
      </c>
      <c r="F668" s="799"/>
      <c r="G668" s="799"/>
      <c r="H668" s="1592">
        <f t="shared" si="30"/>
        <v>0</v>
      </c>
      <c r="I668" s="754" t="str">
        <f>IFERROR(VLOOKUP(B668,Mychart!$A$125:$B$911,2,FALSE),"-")</f>
        <v>AHMED AHLI - ASRI</v>
      </c>
      <c r="J668" s="753" t="str">
        <f t="shared" si="31"/>
        <v>-</v>
      </c>
      <c r="K668" s="1540">
        <f t="shared" si="32"/>
        <v>1900</v>
      </c>
      <c r="L668" s="757"/>
      <c r="M668" s="757"/>
      <c r="N668" s="757"/>
      <c r="O668" s="757"/>
      <c r="P668" s="757"/>
      <c r="Q668" s="757"/>
      <c r="R668" s="757"/>
      <c r="S668" s="757"/>
      <c r="T668" s="757"/>
      <c r="U668" s="757"/>
      <c r="V668" s="757"/>
      <c r="W668" s="757"/>
      <c r="X668" s="757"/>
      <c r="Y668" s="757"/>
      <c r="Z668" s="757"/>
      <c r="AA668" s="757"/>
      <c r="AB668" s="757"/>
      <c r="AC668" s="757"/>
      <c r="AD668" s="757"/>
      <c r="AE668" s="757"/>
      <c r="AF668" s="757"/>
      <c r="AG668" s="757"/>
      <c r="AH668" s="757"/>
      <c r="AI668" s="757"/>
      <c r="AJ668" s="757"/>
      <c r="AK668" s="757"/>
      <c r="AL668" s="757"/>
      <c r="AM668" s="757"/>
      <c r="AN668" s="757"/>
      <c r="AO668" s="757"/>
      <c r="AP668" s="757"/>
      <c r="AQ668" s="757"/>
      <c r="AR668" s="757"/>
      <c r="AS668" s="757"/>
      <c r="AT668" s="757"/>
      <c r="AU668" s="757"/>
      <c r="AV668" s="757"/>
      <c r="AW668" s="757"/>
      <c r="AX668" s="757"/>
      <c r="AY668" s="757"/>
      <c r="AZ668" s="75"/>
      <c r="BA668" s="2"/>
      <c r="BB668" s="2"/>
      <c r="BC668" s="2"/>
      <c r="BD668" s="2"/>
    </row>
    <row r="669" spans="1:56">
      <c r="A669" s="781">
        <v>2</v>
      </c>
      <c r="B669" s="782">
        <v>211</v>
      </c>
      <c r="C669" s="783"/>
      <c r="D669" s="783" t="s">
        <v>729</v>
      </c>
      <c r="E669" s="808">
        <v>4622</v>
      </c>
      <c r="F669" s="799"/>
      <c r="G669" s="799"/>
      <c r="H669" s="1592">
        <f t="shared" si="30"/>
        <v>0</v>
      </c>
      <c r="I669" s="754" t="str">
        <f>IFERROR(VLOOKUP(B669,Mychart!$A$125:$B$911,2,FALSE),"-")</f>
        <v>AHMED AHLI - ASRI</v>
      </c>
      <c r="J669" s="753" t="str">
        <f t="shared" si="31"/>
        <v>-</v>
      </c>
      <c r="K669" s="1540">
        <f t="shared" si="32"/>
        <v>1900</v>
      </c>
      <c r="L669" s="757"/>
      <c r="M669" s="757"/>
      <c r="N669" s="757"/>
      <c r="O669" s="757"/>
      <c r="P669" s="757"/>
      <c r="Q669" s="757"/>
      <c r="R669" s="757"/>
      <c r="S669" s="757"/>
      <c r="T669" s="757"/>
      <c r="U669" s="757"/>
      <c r="V669" s="757"/>
      <c r="W669" s="757"/>
      <c r="X669" s="757"/>
      <c r="Y669" s="757"/>
      <c r="Z669" s="757"/>
      <c r="AA669" s="757"/>
      <c r="AB669" s="757"/>
      <c r="AC669" s="757"/>
      <c r="AD669" s="757"/>
      <c r="AE669" s="757"/>
      <c r="AF669" s="757"/>
      <c r="AG669" s="757"/>
      <c r="AH669" s="757"/>
      <c r="AI669" s="757"/>
      <c r="AJ669" s="757"/>
      <c r="AK669" s="757"/>
      <c r="AL669" s="757"/>
      <c r="AM669" s="757"/>
      <c r="AN669" s="757"/>
      <c r="AO669" s="757"/>
      <c r="AP669" s="757"/>
      <c r="AQ669" s="757"/>
      <c r="AR669" s="757"/>
      <c r="AS669" s="757"/>
      <c r="AT669" s="757"/>
      <c r="AU669" s="757"/>
      <c r="AV669" s="757"/>
      <c r="AW669" s="757"/>
      <c r="AX669" s="757"/>
      <c r="AY669" s="757"/>
      <c r="AZ669" s="75"/>
      <c r="BA669" s="2"/>
      <c r="BB669" s="2"/>
      <c r="BC669" s="2"/>
      <c r="BD669" s="2"/>
    </row>
    <row r="670" spans="1:56">
      <c r="A670" s="781">
        <v>2</v>
      </c>
      <c r="B670" s="782">
        <v>211</v>
      </c>
      <c r="C670" s="783"/>
      <c r="D670" s="783" t="s">
        <v>256</v>
      </c>
      <c r="E670" s="808">
        <v>299</v>
      </c>
      <c r="F670" s="799"/>
      <c r="G670" s="799"/>
      <c r="H670" s="1592">
        <f t="shared" si="30"/>
        <v>0</v>
      </c>
      <c r="I670" s="754" t="str">
        <f>IFERROR(VLOOKUP(B670,Mychart!$A$125:$B$911,2,FALSE),"-")</f>
        <v>AHMED AHLI - ASRI</v>
      </c>
      <c r="J670" s="753" t="str">
        <f t="shared" si="31"/>
        <v>-</v>
      </c>
      <c r="K670" s="1540">
        <f t="shared" si="32"/>
        <v>1900</v>
      </c>
      <c r="L670" s="757"/>
      <c r="M670" s="757"/>
      <c r="N670" s="757"/>
      <c r="O670" s="757"/>
      <c r="P670" s="757"/>
      <c r="Q670" s="757"/>
      <c r="R670" s="757"/>
      <c r="S670" s="757"/>
      <c r="T670" s="757"/>
      <c r="U670" s="757"/>
      <c r="V670" s="757"/>
      <c r="W670" s="757"/>
      <c r="X670" s="757"/>
      <c r="Y670" s="757"/>
      <c r="Z670" s="757"/>
      <c r="AA670" s="757"/>
      <c r="AB670" s="757"/>
      <c r="AC670" s="757"/>
      <c r="AD670" s="757"/>
      <c r="AE670" s="757"/>
      <c r="AF670" s="757"/>
      <c r="AG670" s="757"/>
      <c r="AH670" s="757"/>
      <c r="AI670" s="757"/>
      <c r="AJ670" s="757"/>
      <c r="AK670" s="757"/>
      <c r="AL670" s="757"/>
      <c r="AM670" s="757"/>
      <c r="AN670" s="757"/>
      <c r="AO670" s="757"/>
      <c r="AP670" s="757"/>
      <c r="AQ670" s="757"/>
      <c r="AR670" s="757"/>
      <c r="AS670" s="757"/>
      <c r="AT670" s="757"/>
      <c r="AU670" s="757"/>
      <c r="AV670" s="757"/>
      <c r="AW670" s="757"/>
      <c r="AX670" s="757"/>
      <c r="AY670" s="757"/>
      <c r="AZ670" s="75"/>
      <c r="BA670" s="2"/>
      <c r="BB670" s="2"/>
      <c r="BC670" s="2"/>
      <c r="BD670" s="2"/>
    </row>
    <row r="671" spans="1:56">
      <c r="A671" s="781">
        <v>2</v>
      </c>
      <c r="B671" s="782">
        <v>211</v>
      </c>
      <c r="C671" s="783"/>
      <c r="D671" s="783" t="s">
        <v>729</v>
      </c>
      <c r="E671" s="808">
        <v>242</v>
      </c>
      <c r="F671" s="799"/>
      <c r="G671" s="799"/>
      <c r="H671" s="1592">
        <f t="shared" si="30"/>
        <v>0</v>
      </c>
      <c r="I671" s="754" t="str">
        <f>IFERROR(VLOOKUP(B671,Mychart!$A$125:$B$911,2,FALSE),"-")</f>
        <v>AHMED AHLI - ASRI</v>
      </c>
      <c r="J671" s="753" t="str">
        <f t="shared" si="31"/>
        <v>-</v>
      </c>
      <c r="K671" s="1540">
        <f t="shared" si="32"/>
        <v>1900</v>
      </c>
      <c r="L671" s="757"/>
      <c r="M671" s="757"/>
      <c r="N671" s="757"/>
      <c r="O671" s="757"/>
      <c r="P671" s="757"/>
      <c r="Q671" s="757"/>
      <c r="R671" s="757"/>
      <c r="S671" s="757"/>
      <c r="T671" s="757"/>
      <c r="U671" s="757"/>
      <c r="V671" s="757"/>
      <c r="W671" s="757"/>
      <c r="X671" s="757"/>
      <c r="Y671" s="757"/>
      <c r="Z671" s="757"/>
      <c r="AA671" s="757"/>
      <c r="AB671" s="757"/>
      <c r="AC671" s="757"/>
      <c r="AD671" s="757"/>
      <c r="AE671" s="757"/>
      <c r="AF671" s="757"/>
      <c r="AG671" s="757"/>
      <c r="AH671" s="757"/>
      <c r="AI671" s="757"/>
      <c r="AJ671" s="757"/>
      <c r="AK671" s="757"/>
      <c r="AL671" s="757"/>
      <c r="AM671" s="757"/>
      <c r="AN671" s="757"/>
      <c r="AO671" s="757"/>
      <c r="AP671" s="757"/>
      <c r="AQ671" s="757"/>
      <c r="AR671" s="757"/>
      <c r="AS671" s="757"/>
      <c r="AT671" s="757"/>
      <c r="AU671" s="757"/>
      <c r="AV671" s="757"/>
      <c r="AW671" s="757"/>
      <c r="AX671" s="757"/>
      <c r="AY671" s="757"/>
      <c r="AZ671" s="75"/>
      <c r="BA671" s="2"/>
      <c r="BB671" s="2"/>
      <c r="BC671" s="2"/>
      <c r="BD671" s="2"/>
    </row>
    <row r="672" spans="1:56">
      <c r="A672" s="781">
        <v>2</v>
      </c>
      <c r="B672" s="782">
        <v>211</v>
      </c>
      <c r="C672" s="783"/>
      <c r="D672" s="783" t="s">
        <v>228</v>
      </c>
      <c r="E672" s="808">
        <v>2527</v>
      </c>
      <c r="F672" s="799"/>
      <c r="G672" s="799"/>
      <c r="H672" s="1592">
        <f t="shared" si="30"/>
        <v>0</v>
      </c>
      <c r="I672" s="754" t="str">
        <f>IFERROR(VLOOKUP(B672,Mychart!$A$125:$B$911,2,FALSE),"-")</f>
        <v>AHMED AHLI - ASRI</v>
      </c>
      <c r="J672" s="753" t="str">
        <f t="shared" si="31"/>
        <v>-</v>
      </c>
      <c r="K672" s="1540">
        <f t="shared" si="32"/>
        <v>1900</v>
      </c>
      <c r="L672" s="757"/>
      <c r="M672" s="757"/>
      <c r="N672" s="757"/>
      <c r="O672" s="757"/>
      <c r="P672" s="757"/>
      <c r="Q672" s="757"/>
      <c r="R672" s="757"/>
      <c r="S672" s="757"/>
      <c r="T672" s="757"/>
      <c r="U672" s="757"/>
      <c r="V672" s="757"/>
      <c r="W672" s="757"/>
      <c r="X672" s="757"/>
      <c r="Y672" s="757"/>
      <c r="Z672" s="757"/>
      <c r="AA672" s="757"/>
      <c r="AB672" s="757"/>
      <c r="AC672" s="757"/>
      <c r="AD672" s="757"/>
      <c r="AE672" s="757"/>
      <c r="AF672" s="757"/>
      <c r="AG672" s="757"/>
      <c r="AH672" s="757"/>
      <c r="AI672" s="757"/>
      <c r="AJ672" s="757"/>
      <c r="AK672" s="757"/>
      <c r="AL672" s="757"/>
      <c r="AM672" s="757"/>
      <c r="AN672" s="757"/>
      <c r="AO672" s="757"/>
      <c r="AP672" s="757"/>
      <c r="AQ672" s="757"/>
      <c r="AR672" s="757"/>
      <c r="AS672" s="757"/>
      <c r="AT672" s="757"/>
      <c r="AU672" s="757"/>
      <c r="AV672" s="757"/>
      <c r="AW672" s="757"/>
      <c r="AX672" s="757"/>
      <c r="AY672" s="757"/>
      <c r="AZ672" s="75"/>
      <c r="BA672" s="2"/>
      <c r="BB672" s="2"/>
      <c r="BC672" s="2"/>
      <c r="BD672" s="2"/>
    </row>
    <row r="673" spans="1:56">
      <c r="A673" s="781">
        <v>2</v>
      </c>
      <c r="B673" s="782">
        <v>211</v>
      </c>
      <c r="C673" s="783"/>
      <c r="D673" s="783" t="s">
        <v>729</v>
      </c>
      <c r="E673" s="808">
        <v>445</v>
      </c>
      <c r="F673" s="799"/>
      <c r="G673" s="799"/>
      <c r="H673" s="1592">
        <f t="shared" si="30"/>
        <v>0</v>
      </c>
      <c r="I673" s="754" t="str">
        <f>IFERROR(VLOOKUP(B673,Mychart!$A$125:$B$911,2,FALSE),"-")</f>
        <v>AHMED AHLI - ASRI</v>
      </c>
      <c r="J673" s="753" t="str">
        <f t="shared" si="31"/>
        <v>-</v>
      </c>
      <c r="K673" s="1540">
        <f t="shared" si="32"/>
        <v>1900</v>
      </c>
      <c r="L673" s="757"/>
      <c r="M673" s="757"/>
      <c r="N673" s="757"/>
      <c r="O673" s="757"/>
      <c r="P673" s="757"/>
      <c r="Q673" s="757"/>
      <c r="R673" s="757"/>
      <c r="S673" s="757"/>
      <c r="T673" s="757"/>
      <c r="U673" s="757"/>
      <c r="V673" s="757"/>
      <c r="W673" s="757"/>
      <c r="X673" s="757"/>
      <c r="Y673" s="757"/>
      <c r="Z673" s="757"/>
      <c r="AA673" s="757"/>
      <c r="AB673" s="757"/>
      <c r="AC673" s="757"/>
      <c r="AD673" s="757"/>
      <c r="AE673" s="757"/>
      <c r="AF673" s="757"/>
      <c r="AG673" s="757"/>
      <c r="AH673" s="757"/>
      <c r="AI673" s="757"/>
      <c r="AJ673" s="757"/>
      <c r="AK673" s="757"/>
      <c r="AL673" s="757"/>
      <c r="AM673" s="757"/>
      <c r="AN673" s="757"/>
      <c r="AO673" s="757"/>
      <c r="AP673" s="757"/>
      <c r="AQ673" s="757"/>
      <c r="AR673" s="757"/>
      <c r="AS673" s="757"/>
      <c r="AT673" s="757"/>
      <c r="AU673" s="757"/>
      <c r="AV673" s="757"/>
      <c r="AW673" s="757"/>
      <c r="AX673" s="757"/>
      <c r="AY673" s="757"/>
      <c r="AZ673" s="75"/>
      <c r="BA673" s="2"/>
      <c r="BB673" s="2"/>
      <c r="BC673" s="2"/>
      <c r="BD673" s="2"/>
    </row>
    <row r="674" spans="1:56">
      <c r="A674" s="781">
        <v>2</v>
      </c>
      <c r="B674" s="782">
        <v>211</v>
      </c>
      <c r="C674" s="783"/>
      <c r="D674" s="783" t="s">
        <v>256</v>
      </c>
      <c r="E674" s="808">
        <v>1027</v>
      </c>
      <c r="F674" s="799"/>
      <c r="G674" s="799"/>
      <c r="H674" s="1592">
        <f t="shared" si="30"/>
        <v>0</v>
      </c>
      <c r="I674" s="754" t="str">
        <f>IFERROR(VLOOKUP(B674,Mychart!$A$125:$B$911,2,FALSE),"-")</f>
        <v>AHMED AHLI - ASRI</v>
      </c>
      <c r="J674" s="753" t="str">
        <f t="shared" si="31"/>
        <v>-</v>
      </c>
      <c r="K674" s="1540">
        <f t="shared" si="32"/>
        <v>1900</v>
      </c>
      <c r="L674" s="757"/>
      <c r="M674" s="757"/>
      <c r="N674" s="757"/>
      <c r="O674" s="757"/>
      <c r="P674" s="757"/>
      <c r="Q674" s="757"/>
      <c r="R674" s="757"/>
      <c r="S674" s="757"/>
      <c r="T674" s="757"/>
      <c r="U674" s="757"/>
      <c r="V674" s="757"/>
      <c r="W674" s="757"/>
      <c r="X674" s="757"/>
      <c r="Y674" s="757"/>
      <c r="Z674" s="757"/>
      <c r="AA674" s="757"/>
      <c r="AB674" s="757"/>
      <c r="AC674" s="757"/>
      <c r="AD674" s="757"/>
      <c r="AE674" s="757"/>
      <c r="AF674" s="757"/>
      <c r="AG674" s="757"/>
      <c r="AH674" s="757"/>
      <c r="AI674" s="757"/>
      <c r="AJ674" s="757"/>
      <c r="AK674" s="757"/>
      <c r="AL674" s="757"/>
      <c r="AM674" s="757"/>
      <c r="AN674" s="757"/>
      <c r="AO674" s="757"/>
      <c r="AP674" s="757"/>
      <c r="AQ674" s="757"/>
      <c r="AR674" s="757"/>
      <c r="AS674" s="757"/>
      <c r="AT674" s="757"/>
      <c r="AU674" s="757"/>
      <c r="AV674" s="757"/>
      <c r="AW674" s="757"/>
      <c r="AX674" s="757"/>
      <c r="AY674" s="757"/>
      <c r="AZ674" s="75"/>
      <c r="BA674" s="2"/>
      <c r="BB674" s="2"/>
      <c r="BC674" s="2"/>
      <c r="BD674" s="2"/>
    </row>
    <row r="675" spans="1:56">
      <c r="A675" s="781">
        <v>2</v>
      </c>
      <c r="B675" s="782">
        <v>211</v>
      </c>
      <c r="C675" s="783"/>
      <c r="D675" s="783" t="s">
        <v>510</v>
      </c>
      <c r="E675" s="808">
        <v>85155</v>
      </c>
      <c r="F675" s="799"/>
      <c r="G675" s="799"/>
      <c r="H675" s="1592">
        <f t="shared" si="30"/>
        <v>0</v>
      </c>
      <c r="I675" s="754" t="str">
        <f>IFERROR(VLOOKUP(B675,Mychart!$A$125:$B$911,2,FALSE),"-")</f>
        <v>AHMED AHLI - ASRI</v>
      </c>
      <c r="J675" s="753" t="str">
        <f t="shared" si="31"/>
        <v>-</v>
      </c>
      <c r="K675" s="1540">
        <f t="shared" si="32"/>
        <v>1900</v>
      </c>
      <c r="L675" s="757"/>
      <c r="M675" s="757"/>
      <c r="N675" s="757"/>
      <c r="O675" s="757"/>
      <c r="P675" s="757"/>
      <c r="Q675" s="757"/>
      <c r="R675" s="757"/>
      <c r="S675" s="757"/>
      <c r="T675" s="757"/>
      <c r="U675" s="757"/>
      <c r="V675" s="757"/>
      <c r="W675" s="757"/>
      <c r="X675" s="757"/>
      <c r="Y675" s="757"/>
      <c r="Z675" s="757"/>
      <c r="AA675" s="757"/>
      <c r="AB675" s="757"/>
      <c r="AC675" s="757"/>
      <c r="AD675" s="757"/>
      <c r="AE675" s="757"/>
      <c r="AF675" s="757"/>
      <c r="AG675" s="757"/>
      <c r="AH675" s="757"/>
      <c r="AI675" s="757"/>
      <c r="AJ675" s="757"/>
      <c r="AK675" s="757"/>
      <c r="AL675" s="757"/>
      <c r="AM675" s="757"/>
      <c r="AN675" s="757"/>
      <c r="AO675" s="757"/>
      <c r="AP675" s="757"/>
      <c r="AQ675" s="757"/>
      <c r="AR675" s="757"/>
      <c r="AS675" s="757"/>
      <c r="AT675" s="757"/>
      <c r="AU675" s="757"/>
      <c r="AV675" s="757"/>
      <c r="AW675" s="757"/>
      <c r="AX675" s="757"/>
      <c r="AY675" s="757"/>
      <c r="AZ675" s="75"/>
      <c r="BA675" s="2"/>
      <c r="BB675" s="2"/>
      <c r="BC675" s="2"/>
      <c r="BD675" s="2"/>
    </row>
    <row r="676" spans="1:56">
      <c r="A676" s="781">
        <v>2</v>
      </c>
      <c r="B676" s="782">
        <v>211</v>
      </c>
      <c r="C676" s="783"/>
      <c r="D676" s="783" t="s">
        <v>510</v>
      </c>
      <c r="E676" s="808">
        <v>5218</v>
      </c>
      <c r="F676" s="799"/>
      <c r="G676" s="799"/>
      <c r="H676" s="1592">
        <f t="shared" si="30"/>
        <v>0</v>
      </c>
      <c r="I676" s="754" t="str">
        <f>IFERROR(VLOOKUP(B676,Mychart!$A$125:$B$911,2,FALSE),"-")</f>
        <v>AHMED AHLI - ASRI</v>
      </c>
      <c r="J676" s="753" t="str">
        <f t="shared" si="31"/>
        <v>-</v>
      </c>
      <c r="K676" s="1540">
        <f t="shared" si="32"/>
        <v>1900</v>
      </c>
      <c r="L676" s="757"/>
      <c r="M676" s="757"/>
      <c r="N676" s="757"/>
      <c r="O676" s="757"/>
      <c r="P676" s="757"/>
      <c r="Q676" s="757"/>
      <c r="R676" s="757"/>
      <c r="S676" s="757"/>
      <c r="T676" s="757"/>
      <c r="U676" s="757"/>
      <c r="V676" s="757"/>
      <c r="W676" s="757"/>
      <c r="X676" s="757"/>
      <c r="Y676" s="757"/>
      <c r="Z676" s="757"/>
      <c r="AA676" s="757"/>
      <c r="AB676" s="757"/>
      <c r="AC676" s="757"/>
      <c r="AD676" s="757"/>
      <c r="AE676" s="757"/>
      <c r="AF676" s="757"/>
      <c r="AG676" s="757"/>
      <c r="AH676" s="757"/>
      <c r="AI676" s="757"/>
      <c r="AJ676" s="757"/>
      <c r="AK676" s="757"/>
      <c r="AL676" s="757"/>
      <c r="AM676" s="757"/>
      <c r="AN676" s="757"/>
      <c r="AO676" s="757"/>
      <c r="AP676" s="757"/>
      <c r="AQ676" s="757"/>
      <c r="AR676" s="757"/>
      <c r="AS676" s="757"/>
      <c r="AT676" s="757"/>
      <c r="AU676" s="757"/>
      <c r="AV676" s="757"/>
      <c r="AW676" s="757"/>
      <c r="AX676" s="757"/>
      <c r="AY676" s="757"/>
      <c r="AZ676" s="75"/>
      <c r="BA676" s="2"/>
      <c r="BB676" s="2"/>
      <c r="BC676" s="2"/>
      <c r="BD676" s="2"/>
    </row>
    <row r="677" spans="1:56">
      <c r="A677" s="781">
        <v>2</v>
      </c>
      <c r="B677" s="782">
        <v>211</v>
      </c>
      <c r="C677" s="783"/>
      <c r="D677" s="783" t="s">
        <v>510</v>
      </c>
      <c r="E677" s="808">
        <v>50820</v>
      </c>
      <c r="F677" s="799"/>
      <c r="G677" s="799"/>
      <c r="H677" s="1592">
        <f t="shared" si="30"/>
        <v>0</v>
      </c>
      <c r="I677" s="754" t="str">
        <f>IFERROR(VLOOKUP(B677,Mychart!$A$125:$B$911,2,FALSE),"-")</f>
        <v>AHMED AHLI - ASRI</v>
      </c>
      <c r="J677" s="753" t="str">
        <f t="shared" si="31"/>
        <v>-</v>
      </c>
      <c r="K677" s="1540">
        <f t="shared" si="32"/>
        <v>1900</v>
      </c>
      <c r="L677" s="757"/>
      <c r="M677" s="757"/>
      <c r="N677" s="757"/>
      <c r="O677" s="757"/>
      <c r="P677" s="757"/>
      <c r="Q677" s="757"/>
      <c r="R677" s="757"/>
      <c r="S677" s="757"/>
      <c r="T677" s="757"/>
      <c r="U677" s="757"/>
      <c r="V677" s="757"/>
      <c r="W677" s="757"/>
      <c r="X677" s="757"/>
      <c r="Y677" s="757"/>
      <c r="Z677" s="757"/>
      <c r="AA677" s="757"/>
      <c r="AB677" s="757"/>
      <c r="AC677" s="757"/>
      <c r="AD677" s="757"/>
      <c r="AE677" s="757"/>
      <c r="AF677" s="757"/>
      <c r="AG677" s="757"/>
      <c r="AH677" s="757"/>
      <c r="AI677" s="757"/>
      <c r="AJ677" s="757"/>
      <c r="AK677" s="757"/>
      <c r="AL677" s="757"/>
      <c r="AM677" s="757"/>
      <c r="AN677" s="757"/>
      <c r="AO677" s="757"/>
      <c r="AP677" s="757"/>
      <c r="AQ677" s="757"/>
      <c r="AR677" s="757"/>
      <c r="AS677" s="757"/>
      <c r="AT677" s="757"/>
      <c r="AU677" s="757"/>
      <c r="AV677" s="757"/>
      <c r="AW677" s="757"/>
      <c r="AX677" s="757"/>
      <c r="AY677" s="757"/>
      <c r="AZ677" s="75"/>
      <c r="BA677" s="2"/>
      <c r="BB677" s="2"/>
      <c r="BC677" s="2"/>
      <c r="BD677" s="2"/>
    </row>
    <row r="678" spans="1:56">
      <c r="A678" s="781">
        <v>2</v>
      </c>
      <c r="B678" s="782">
        <v>211</v>
      </c>
      <c r="C678" s="783"/>
      <c r="D678" s="783" t="s">
        <v>729</v>
      </c>
      <c r="E678" s="808">
        <v>3768</v>
      </c>
      <c r="F678" s="799"/>
      <c r="G678" s="799"/>
      <c r="H678" s="1592">
        <f t="shared" si="30"/>
        <v>0</v>
      </c>
      <c r="I678" s="754" t="str">
        <f>IFERROR(VLOOKUP(B678,Mychart!$A$125:$B$911,2,FALSE),"-")</f>
        <v>AHMED AHLI - ASRI</v>
      </c>
      <c r="J678" s="753" t="str">
        <f t="shared" si="31"/>
        <v>-</v>
      </c>
      <c r="K678" s="1540">
        <f t="shared" si="32"/>
        <v>1900</v>
      </c>
      <c r="L678" s="757"/>
      <c r="M678" s="757"/>
      <c r="N678" s="757"/>
      <c r="O678" s="757"/>
      <c r="P678" s="757"/>
      <c r="Q678" s="757"/>
      <c r="R678" s="757"/>
      <c r="S678" s="757"/>
      <c r="T678" s="757"/>
      <c r="U678" s="757"/>
      <c r="V678" s="757"/>
      <c r="W678" s="757"/>
      <c r="X678" s="757"/>
      <c r="Y678" s="757"/>
      <c r="Z678" s="757"/>
      <c r="AA678" s="757"/>
      <c r="AB678" s="757"/>
      <c r="AC678" s="757"/>
      <c r="AD678" s="757"/>
      <c r="AE678" s="757"/>
      <c r="AF678" s="757"/>
      <c r="AG678" s="757"/>
      <c r="AH678" s="757"/>
      <c r="AI678" s="757"/>
      <c r="AJ678" s="757"/>
      <c r="AK678" s="757"/>
      <c r="AL678" s="757"/>
      <c r="AM678" s="757"/>
      <c r="AN678" s="757"/>
      <c r="AO678" s="757"/>
      <c r="AP678" s="757"/>
      <c r="AQ678" s="757"/>
      <c r="AR678" s="757"/>
      <c r="AS678" s="757"/>
      <c r="AT678" s="757"/>
      <c r="AU678" s="757"/>
      <c r="AV678" s="757"/>
      <c r="AW678" s="757"/>
      <c r="AX678" s="757"/>
      <c r="AY678" s="757"/>
      <c r="AZ678" s="75"/>
      <c r="BA678" s="2"/>
      <c r="BB678" s="2"/>
      <c r="BC678" s="2"/>
      <c r="BD678" s="2"/>
    </row>
    <row r="679" spans="1:56">
      <c r="A679" s="781">
        <v>2</v>
      </c>
      <c r="B679" s="782">
        <v>211</v>
      </c>
      <c r="C679" s="783"/>
      <c r="D679" s="783" t="s">
        <v>256</v>
      </c>
      <c r="E679" s="808">
        <v>2340.27</v>
      </c>
      <c r="F679" s="799"/>
      <c r="G679" s="799"/>
      <c r="H679" s="1592">
        <f t="shared" si="30"/>
        <v>0</v>
      </c>
      <c r="I679" s="754" t="str">
        <f>IFERROR(VLOOKUP(B679,Mychart!$A$125:$B$911,2,FALSE),"-")</f>
        <v>AHMED AHLI - ASRI</v>
      </c>
      <c r="J679" s="753" t="str">
        <f t="shared" si="31"/>
        <v>-</v>
      </c>
      <c r="K679" s="1540">
        <f t="shared" si="32"/>
        <v>1900</v>
      </c>
      <c r="L679" s="757"/>
      <c r="M679" s="757"/>
      <c r="N679" s="757"/>
      <c r="O679" s="757"/>
      <c r="P679" s="757"/>
      <c r="Q679" s="757"/>
      <c r="R679" s="757"/>
      <c r="S679" s="757"/>
      <c r="T679" s="757"/>
      <c r="U679" s="757"/>
      <c r="V679" s="757"/>
      <c r="W679" s="757"/>
      <c r="X679" s="757"/>
      <c r="Y679" s="757"/>
      <c r="Z679" s="757"/>
      <c r="AA679" s="757"/>
      <c r="AB679" s="757"/>
      <c r="AC679" s="757"/>
      <c r="AD679" s="757"/>
      <c r="AE679" s="757"/>
      <c r="AF679" s="757"/>
      <c r="AG679" s="757"/>
      <c r="AH679" s="757"/>
      <c r="AI679" s="757"/>
      <c r="AJ679" s="757"/>
      <c r="AK679" s="757"/>
      <c r="AL679" s="757"/>
      <c r="AM679" s="757"/>
      <c r="AN679" s="757"/>
      <c r="AO679" s="757"/>
      <c r="AP679" s="757"/>
      <c r="AQ679" s="757"/>
      <c r="AR679" s="757"/>
      <c r="AS679" s="757"/>
      <c r="AT679" s="757"/>
      <c r="AU679" s="757"/>
      <c r="AV679" s="757"/>
      <c r="AW679" s="757"/>
      <c r="AX679" s="757"/>
      <c r="AY679" s="757"/>
      <c r="AZ679" s="75"/>
      <c r="BA679" s="2"/>
      <c r="BB679" s="2"/>
      <c r="BC679" s="2"/>
      <c r="BD679" s="2"/>
    </row>
    <row r="680" spans="1:56">
      <c r="A680" s="781">
        <v>2</v>
      </c>
      <c r="B680" s="782">
        <v>211</v>
      </c>
      <c r="C680" s="783">
        <v>45260</v>
      </c>
      <c r="D680" s="783" t="s">
        <v>729</v>
      </c>
      <c r="E680" s="808">
        <v>1033</v>
      </c>
      <c r="F680" s="799"/>
      <c r="G680" s="799"/>
      <c r="H680" s="1592">
        <f t="shared" si="30"/>
        <v>0</v>
      </c>
      <c r="I680" s="754" t="str">
        <f>IFERROR(VLOOKUP(B680,Mychart!$A$125:$B$911,2,FALSE),"-")</f>
        <v>AHMED AHLI - ASRI</v>
      </c>
      <c r="J680" s="753">
        <f t="shared" si="31"/>
        <v>11</v>
      </c>
      <c r="K680" s="1540">
        <f t="shared" si="32"/>
        <v>2023</v>
      </c>
      <c r="L680" s="757"/>
      <c r="M680" s="757"/>
      <c r="N680" s="757"/>
      <c r="O680" s="757"/>
      <c r="P680" s="757"/>
      <c r="Q680" s="757"/>
      <c r="R680" s="757"/>
      <c r="S680" s="757"/>
      <c r="T680" s="757"/>
      <c r="U680" s="757"/>
      <c r="V680" s="757"/>
      <c r="W680" s="757"/>
      <c r="X680" s="757"/>
      <c r="Y680" s="757"/>
      <c r="Z680" s="757"/>
      <c r="AA680" s="757"/>
      <c r="AB680" s="757"/>
      <c r="AC680" s="757"/>
      <c r="AD680" s="757"/>
      <c r="AE680" s="757"/>
      <c r="AF680" s="757"/>
      <c r="AG680" s="757"/>
      <c r="AH680" s="757"/>
      <c r="AI680" s="757"/>
      <c r="AJ680" s="757"/>
      <c r="AK680" s="757"/>
      <c r="AL680" s="757"/>
      <c r="AM680" s="757"/>
      <c r="AN680" s="757"/>
      <c r="AO680" s="757"/>
      <c r="AP680" s="757"/>
      <c r="AQ680" s="757"/>
      <c r="AR680" s="757"/>
      <c r="AS680" s="757"/>
      <c r="AT680" s="757"/>
      <c r="AU680" s="757"/>
      <c r="AV680" s="757"/>
      <c r="AW680" s="757"/>
      <c r="AX680" s="757"/>
      <c r="AY680" s="757"/>
      <c r="AZ680" s="75"/>
      <c r="BA680" s="2"/>
      <c r="BB680" s="2"/>
      <c r="BC680" s="2"/>
      <c r="BD680" s="2"/>
    </row>
    <row r="681" spans="1:56">
      <c r="A681" s="781">
        <v>2</v>
      </c>
      <c r="B681" s="782">
        <v>211</v>
      </c>
      <c r="C681" s="783">
        <v>45322</v>
      </c>
      <c r="D681" s="791" t="s">
        <v>729</v>
      </c>
      <c r="E681" s="808">
        <v>230</v>
      </c>
      <c r="F681" s="799"/>
      <c r="G681" s="799"/>
      <c r="H681" s="1592">
        <f t="shared" si="30"/>
        <v>0</v>
      </c>
      <c r="I681" s="754" t="str">
        <f>IFERROR(VLOOKUP(B681,Mychart!$A$125:$B$911,2,FALSE),"-")</f>
        <v>AHMED AHLI - ASRI</v>
      </c>
      <c r="J681" s="753">
        <f t="shared" si="31"/>
        <v>1</v>
      </c>
      <c r="K681" s="1540">
        <f t="shared" si="32"/>
        <v>2024</v>
      </c>
      <c r="L681" s="757"/>
      <c r="M681" s="757"/>
      <c r="N681" s="757"/>
      <c r="O681" s="757"/>
      <c r="P681" s="757"/>
      <c r="Q681" s="757"/>
      <c r="R681" s="757"/>
      <c r="S681" s="757"/>
      <c r="T681" s="757"/>
      <c r="U681" s="757"/>
      <c r="V681" s="757"/>
      <c r="W681" s="757"/>
      <c r="X681" s="757"/>
      <c r="Y681" s="757"/>
      <c r="Z681" s="757"/>
      <c r="AA681" s="757"/>
      <c r="AB681" s="757"/>
      <c r="AC681" s="757"/>
      <c r="AD681" s="757"/>
      <c r="AE681" s="757"/>
      <c r="AF681" s="757"/>
      <c r="AG681" s="757"/>
      <c r="AH681" s="757"/>
      <c r="AI681" s="757"/>
      <c r="AJ681" s="757"/>
      <c r="AK681" s="757"/>
      <c r="AL681" s="757"/>
      <c r="AM681" s="757"/>
      <c r="AN681" s="757"/>
      <c r="AO681" s="757"/>
      <c r="AP681" s="757"/>
      <c r="AQ681" s="757"/>
      <c r="AR681" s="757"/>
      <c r="AS681" s="757"/>
      <c r="AT681" s="757"/>
      <c r="AU681" s="757"/>
      <c r="AV681" s="757"/>
      <c r="AW681" s="757"/>
      <c r="AX681" s="757"/>
      <c r="AY681" s="757"/>
      <c r="AZ681" s="75"/>
      <c r="BA681" s="2"/>
      <c r="BB681" s="2"/>
      <c r="BC681" s="2"/>
      <c r="BD681" s="2"/>
    </row>
    <row r="682" spans="1:56">
      <c r="A682" s="781">
        <v>2</v>
      </c>
      <c r="B682" s="782">
        <v>211</v>
      </c>
      <c r="C682" s="783">
        <v>45379</v>
      </c>
      <c r="D682" s="791" t="s">
        <v>259</v>
      </c>
      <c r="E682" s="808">
        <v>11000</v>
      </c>
      <c r="F682" s="799"/>
      <c r="G682" s="799"/>
      <c r="H682" s="1592">
        <f t="shared" si="30"/>
        <v>0</v>
      </c>
      <c r="I682" s="754" t="str">
        <f>IFERROR(VLOOKUP(B682,Mychart!$A$125:$B$911,2,FALSE),"-")</f>
        <v>AHMED AHLI - ASRI</v>
      </c>
      <c r="J682" s="753">
        <f t="shared" si="31"/>
        <v>3</v>
      </c>
      <c r="K682" s="1540">
        <f t="shared" si="32"/>
        <v>2024</v>
      </c>
      <c r="L682" s="757"/>
      <c r="M682" s="757"/>
      <c r="N682" s="757"/>
      <c r="O682" s="757"/>
      <c r="P682" s="757"/>
      <c r="Q682" s="757"/>
      <c r="R682" s="757"/>
      <c r="S682" s="757"/>
      <c r="T682" s="757"/>
      <c r="U682" s="757"/>
      <c r="V682" s="757"/>
      <c r="W682" s="757"/>
      <c r="X682" s="757"/>
      <c r="Y682" s="757"/>
      <c r="Z682" s="757"/>
      <c r="AA682" s="757"/>
      <c r="AB682" s="757"/>
      <c r="AC682" s="757"/>
      <c r="AD682" s="757"/>
      <c r="AE682" s="757"/>
      <c r="AF682" s="757"/>
      <c r="AG682" s="757"/>
      <c r="AH682" s="757"/>
      <c r="AI682" s="757"/>
      <c r="AJ682" s="757"/>
      <c r="AK682" s="757"/>
      <c r="AL682" s="757"/>
      <c r="AM682" s="757"/>
      <c r="AN682" s="757"/>
      <c r="AO682" s="757"/>
      <c r="AP682" s="757"/>
      <c r="AQ682" s="757"/>
      <c r="AR682" s="757"/>
      <c r="AS682" s="757"/>
      <c r="AT682" s="757"/>
      <c r="AU682" s="757"/>
      <c r="AV682" s="757"/>
      <c r="AW682" s="757"/>
      <c r="AX682" s="757"/>
      <c r="AY682" s="757"/>
      <c r="AZ682" s="75"/>
      <c r="BA682" s="2"/>
      <c r="BB682" s="2"/>
      <c r="BC682" s="2"/>
      <c r="BD682" s="2"/>
    </row>
    <row r="683" spans="1:56">
      <c r="A683" s="781">
        <v>2</v>
      </c>
      <c r="B683" s="782">
        <v>211</v>
      </c>
      <c r="C683" s="783">
        <v>45382</v>
      </c>
      <c r="D683" s="791" t="s">
        <v>729</v>
      </c>
      <c r="E683" s="808">
        <v>94</v>
      </c>
      <c r="F683" s="799"/>
      <c r="G683" s="799"/>
      <c r="H683" s="1592">
        <f t="shared" si="30"/>
        <v>0</v>
      </c>
      <c r="I683" s="754" t="str">
        <f>IFERROR(VLOOKUP(B683,Mychart!$A$125:$B$911,2,FALSE),"-")</f>
        <v>AHMED AHLI - ASRI</v>
      </c>
      <c r="J683" s="753">
        <f t="shared" si="31"/>
        <v>3</v>
      </c>
      <c r="K683" s="1540">
        <f t="shared" si="32"/>
        <v>2024</v>
      </c>
      <c r="L683" s="757"/>
      <c r="M683" s="757"/>
      <c r="N683" s="757"/>
      <c r="O683" s="757"/>
      <c r="P683" s="757"/>
      <c r="Q683" s="757"/>
      <c r="R683" s="757"/>
      <c r="S683" s="757"/>
      <c r="T683" s="757"/>
      <c r="U683" s="757"/>
      <c r="V683" s="757"/>
      <c r="W683" s="757"/>
      <c r="X683" s="757"/>
      <c r="Y683" s="757"/>
      <c r="Z683" s="757"/>
      <c r="AA683" s="757"/>
      <c r="AB683" s="757"/>
      <c r="AC683" s="757"/>
      <c r="AD683" s="757"/>
      <c r="AE683" s="757"/>
      <c r="AF683" s="757"/>
      <c r="AG683" s="757"/>
      <c r="AH683" s="757"/>
      <c r="AI683" s="757"/>
      <c r="AJ683" s="757"/>
      <c r="AK683" s="757"/>
      <c r="AL683" s="757"/>
      <c r="AM683" s="757"/>
      <c r="AN683" s="757"/>
      <c r="AO683" s="757"/>
      <c r="AP683" s="757"/>
      <c r="AQ683" s="757"/>
      <c r="AR683" s="757"/>
      <c r="AS683" s="757"/>
      <c r="AT683" s="757"/>
      <c r="AU683" s="757"/>
      <c r="AV683" s="757"/>
      <c r="AW683" s="757"/>
      <c r="AX683" s="757"/>
      <c r="AY683" s="757"/>
      <c r="AZ683" s="75"/>
      <c r="BA683" s="2"/>
      <c r="BB683" s="2"/>
      <c r="BC683" s="2"/>
      <c r="BD683" s="2"/>
    </row>
    <row r="684" spans="1:56">
      <c r="A684" s="781">
        <v>2</v>
      </c>
      <c r="B684" s="782">
        <v>211</v>
      </c>
      <c r="C684" s="783">
        <v>45407</v>
      </c>
      <c r="D684" s="791" t="s">
        <v>730</v>
      </c>
      <c r="E684" s="808">
        <v>7884</v>
      </c>
      <c r="F684" s="799"/>
      <c r="G684" s="799"/>
      <c r="H684" s="1592">
        <f t="shared" si="30"/>
        <v>0</v>
      </c>
      <c r="I684" s="754" t="str">
        <f>IFERROR(VLOOKUP(B684,Mychart!$A$125:$B$911,2,FALSE),"-")</f>
        <v>AHMED AHLI - ASRI</v>
      </c>
      <c r="J684" s="753">
        <f t="shared" si="31"/>
        <v>4</v>
      </c>
      <c r="K684" s="1540">
        <f t="shared" si="32"/>
        <v>2024</v>
      </c>
      <c r="L684" s="757"/>
      <c r="M684" s="757"/>
      <c r="N684" s="757"/>
      <c r="O684" s="757"/>
      <c r="P684" s="757"/>
      <c r="Q684" s="757"/>
      <c r="R684" s="757"/>
      <c r="S684" s="757"/>
      <c r="T684" s="757"/>
      <c r="U684" s="757"/>
      <c r="V684" s="757"/>
      <c r="W684" s="757"/>
      <c r="X684" s="757"/>
      <c r="Y684" s="757"/>
      <c r="Z684" s="757"/>
      <c r="AA684" s="757"/>
      <c r="AB684" s="757"/>
      <c r="AC684" s="757"/>
      <c r="AD684" s="757"/>
      <c r="AE684" s="757"/>
      <c r="AF684" s="757"/>
      <c r="AG684" s="757"/>
      <c r="AH684" s="757"/>
      <c r="AI684" s="757"/>
      <c r="AJ684" s="757"/>
      <c r="AK684" s="757"/>
      <c r="AL684" s="757"/>
      <c r="AM684" s="757"/>
      <c r="AN684" s="757"/>
      <c r="AO684" s="757"/>
      <c r="AP684" s="757"/>
      <c r="AQ684" s="757"/>
      <c r="AR684" s="757"/>
      <c r="AS684" s="757"/>
      <c r="AT684" s="757"/>
      <c r="AU684" s="757"/>
      <c r="AV684" s="757"/>
      <c r="AW684" s="757"/>
      <c r="AX684" s="757"/>
      <c r="AY684" s="757"/>
      <c r="AZ684" s="75"/>
      <c r="BA684" s="2"/>
      <c r="BB684" s="2"/>
      <c r="BC684" s="2"/>
      <c r="BD684" s="2"/>
    </row>
    <row r="685" spans="1:56">
      <c r="A685" s="781">
        <v>2</v>
      </c>
      <c r="B685" s="782">
        <v>211</v>
      </c>
      <c r="C685" s="783">
        <v>45412</v>
      </c>
      <c r="D685" s="791" t="s">
        <v>729</v>
      </c>
      <c r="E685" s="808">
        <v>175</v>
      </c>
      <c r="F685" s="799"/>
      <c r="G685" s="799"/>
      <c r="H685" s="1592">
        <f t="shared" si="30"/>
        <v>0</v>
      </c>
      <c r="I685" s="754" t="str">
        <f>IFERROR(VLOOKUP(B685,Mychart!$A$125:$B$911,2,FALSE),"-")</f>
        <v>AHMED AHLI - ASRI</v>
      </c>
      <c r="J685" s="753">
        <f t="shared" si="31"/>
        <v>4</v>
      </c>
      <c r="K685" s="1540">
        <f t="shared" si="32"/>
        <v>2024</v>
      </c>
      <c r="L685" s="757"/>
      <c r="M685" s="757"/>
      <c r="N685" s="757"/>
      <c r="O685" s="757"/>
      <c r="P685" s="757"/>
      <c r="Q685" s="757"/>
      <c r="R685" s="757"/>
      <c r="S685" s="757"/>
      <c r="T685" s="757"/>
      <c r="U685" s="757"/>
      <c r="V685" s="757"/>
      <c r="W685" s="757"/>
      <c r="X685" s="757"/>
      <c r="Y685" s="757"/>
      <c r="Z685" s="757"/>
      <c r="AA685" s="757"/>
      <c r="AB685" s="757"/>
      <c r="AC685" s="757"/>
      <c r="AD685" s="757"/>
      <c r="AE685" s="757"/>
      <c r="AF685" s="757"/>
      <c r="AG685" s="757"/>
      <c r="AH685" s="757"/>
      <c r="AI685" s="757"/>
      <c r="AJ685" s="757"/>
      <c r="AK685" s="757"/>
      <c r="AL685" s="757"/>
      <c r="AM685" s="757"/>
      <c r="AN685" s="757"/>
      <c r="AO685" s="757"/>
      <c r="AP685" s="757"/>
      <c r="AQ685" s="757"/>
      <c r="AR685" s="757"/>
      <c r="AS685" s="757"/>
      <c r="AT685" s="757"/>
      <c r="AU685" s="757"/>
      <c r="AV685" s="757"/>
      <c r="AW685" s="757"/>
      <c r="AX685" s="757"/>
      <c r="AY685" s="757"/>
      <c r="AZ685" s="75"/>
      <c r="BA685" s="2"/>
      <c r="BB685" s="2"/>
      <c r="BC685" s="2"/>
      <c r="BD685" s="2"/>
    </row>
    <row r="686" spans="1:56">
      <c r="A686" s="781">
        <v>2</v>
      </c>
      <c r="B686" s="782">
        <v>211</v>
      </c>
      <c r="C686" s="783"/>
      <c r="D686" s="791" t="s">
        <v>259</v>
      </c>
      <c r="E686" s="808">
        <v>549</v>
      </c>
      <c r="F686" s="799"/>
      <c r="G686" s="799"/>
      <c r="H686" s="1592">
        <f t="shared" si="30"/>
        <v>0</v>
      </c>
      <c r="I686" s="754" t="str">
        <f>IFERROR(VLOOKUP(B686,Mychart!$A$125:$B$911,2,FALSE),"-")</f>
        <v>AHMED AHLI - ASRI</v>
      </c>
      <c r="J686" s="753" t="str">
        <f t="shared" si="31"/>
        <v>-</v>
      </c>
      <c r="K686" s="1540">
        <f t="shared" si="32"/>
        <v>1900</v>
      </c>
      <c r="L686" s="757"/>
      <c r="M686" s="757"/>
      <c r="N686" s="757"/>
      <c r="O686" s="757"/>
      <c r="P686" s="757"/>
      <c r="Q686" s="757"/>
      <c r="R686" s="757"/>
      <c r="S686" s="757"/>
      <c r="T686" s="757"/>
      <c r="U686" s="757"/>
      <c r="V686" s="757"/>
      <c r="W686" s="757"/>
      <c r="X686" s="757"/>
      <c r="Y686" s="757"/>
      <c r="Z686" s="757"/>
      <c r="AA686" s="757"/>
      <c r="AB686" s="757"/>
      <c r="AC686" s="757"/>
      <c r="AD686" s="757"/>
      <c r="AE686" s="757"/>
      <c r="AF686" s="757"/>
      <c r="AG686" s="757"/>
      <c r="AH686" s="757"/>
      <c r="AI686" s="757"/>
      <c r="AJ686" s="757"/>
      <c r="AK686" s="757"/>
      <c r="AL686" s="757"/>
      <c r="AM686" s="757"/>
      <c r="AN686" s="757"/>
      <c r="AO686" s="757"/>
      <c r="AP686" s="757"/>
      <c r="AQ686" s="757"/>
      <c r="AR686" s="757"/>
      <c r="AS686" s="757"/>
      <c r="AT686" s="757"/>
      <c r="AU686" s="757"/>
      <c r="AV686" s="757"/>
      <c r="AW686" s="757"/>
      <c r="AX686" s="757"/>
      <c r="AY686" s="757"/>
      <c r="AZ686" s="75"/>
      <c r="BA686" s="2"/>
      <c r="BB686" s="2"/>
      <c r="BC686" s="2"/>
      <c r="BD686" s="2"/>
    </row>
    <row r="687" spans="1:56">
      <c r="A687" s="781">
        <v>1</v>
      </c>
      <c r="B687" s="782">
        <v>247</v>
      </c>
      <c r="C687" s="783">
        <v>45364</v>
      </c>
      <c r="D687" s="786" t="s">
        <v>735</v>
      </c>
      <c r="E687" s="807"/>
      <c r="F687" s="798">
        <v>24000</v>
      </c>
      <c r="G687" s="798">
        <v>1200</v>
      </c>
      <c r="H687" s="1592">
        <f t="shared" si="30"/>
        <v>25200</v>
      </c>
      <c r="I687" s="754" t="str">
        <f>IFERROR(VLOOKUP(B687,Mychart!$A$125:$B$911,2,FALSE),"-")</f>
        <v>ABDULLAH MULLAH</v>
      </c>
      <c r="J687" s="753">
        <f t="shared" si="31"/>
        <v>3</v>
      </c>
      <c r="K687" s="1540">
        <f t="shared" si="32"/>
        <v>2024</v>
      </c>
      <c r="L687" s="757"/>
      <c r="M687" s="757"/>
      <c r="N687" s="757"/>
      <c r="O687" s="757"/>
      <c r="P687" s="757"/>
      <c r="Q687" s="757"/>
      <c r="R687" s="757"/>
      <c r="S687" s="757"/>
      <c r="T687" s="757"/>
      <c r="U687" s="757"/>
      <c r="V687" s="757"/>
      <c r="W687" s="757"/>
      <c r="X687" s="757"/>
      <c r="Y687" s="757"/>
      <c r="Z687" s="757"/>
      <c r="AA687" s="757"/>
      <c r="AB687" s="757"/>
      <c r="AC687" s="757"/>
      <c r="AD687" s="757"/>
      <c r="AE687" s="757"/>
      <c r="AF687" s="757"/>
      <c r="AG687" s="757"/>
      <c r="AH687" s="757"/>
      <c r="AI687" s="757"/>
      <c r="AJ687" s="757"/>
      <c r="AK687" s="757"/>
      <c r="AL687" s="757"/>
      <c r="AM687" s="757"/>
      <c r="AN687" s="757"/>
      <c r="AO687" s="757"/>
      <c r="AP687" s="757"/>
      <c r="AQ687" s="757"/>
      <c r="AR687" s="757"/>
      <c r="AS687" s="757"/>
      <c r="AT687" s="757"/>
      <c r="AU687" s="757"/>
      <c r="AV687" s="757"/>
      <c r="AW687" s="757"/>
      <c r="AX687" s="757"/>
      <c r="AY687" s="757"/>
      <c r="AZ687" s="75"/>
      <c r="BA687" s="2"/>
      <c r="BB687" s="2"/>
      <c r="BC687" s="2"/>
      <c r="BD687" s="2"/>
    </row>
    <row r="688" spans="1:56">
      <c r="A688" s="781">
        <v>2</v>
      </c>
      <c r="B688" s="782">
        <v>247</v>
      </c>
      <c r="C688" s="783">
        <v>45352</v>
      </c>
      <c r="D688" s="783" t="s">
        <v>736</v>
      </c>
      <c r="E688" s="808">
        <v>500</v>
      </c>
      <c r="F688" s="799"/>
      <c r="G688" s="799"/>
      <c r="H688" s="1592">
        <f t="shared" si="30"/>
        <v>0</v>
      </c>
      <c r="I688" s="754" t="str">
        <f>IFERROR(VLOOKUP(B688,Mychart!$A$125:$B$911,2,FALSE),"-")</f>
        <v>ABDULLAH MULLAH</v>
      </c>
      <c r="J688" s="753">
        <f t="shared" si="31"/>
        <v>3</v>
      </c>
      <c r="K688" s="1540">
        <f t="shared" si="32"/>
        <v>2024</v>
      </c>
      <c r="L688" s="757"/>
      <c r="M688" s="757"/>
      <c r="N688" s="757"/>
      <c r="O688" s="757"/>
      <c r="P688" s="757"/>
      <c r="Q688" s="757"/>
      <c r="R688" s="757"/>
      <c r="S688" s="757"/>
      <c r="T688" s="757"/>
      <c r="U688" s="757"/>
      <c r="V688" s="757"/>
      <c r="W688" s="757"/>
      <c r="X688" s="757"/>
      <c r="Y688" s="757"/>
      <c r="Z688" s="757"/>
      <c r="AA688" s="757"/>
      <c r="AB688" s="757"/>
      <c r="AC688" s="757"/>
      <c r="AD688" s="757"/>
      <c r="AE688" s="757"/>
      <c r="AF688" s="757"/>
      <c r="AG688" s="757"/>
      <c r="AH688" s="757"/>
      <c r="AI688" s="757"/>
      <c r="AJ688" s="757"/>
      <c r="AK688" s="757"/>
      <c r="AL688" s="757"/>
      <c r="AM688" s="757"/>
      <c r="AN688" s="757"/>
      <c r="AO688" s="757"/>
      <c r="AP688" s="757"/>
      <c r="AQ688" s="757"/>
      <c r="AR688" s="757"/>
      <c r="AS688" s="757"/>
      <c r="AT688" s="757"/>
      <c r="AU688" s="757"/>
      <c r="AV688" s="757"/>
      <c r="AW688" s="757"/>
      <c r="AX688" s="757"/>
      <c r="AY688" s="757"/>
      <c r="AZ688" s="75"/>
      <c r="BA688" s="2"/>
      <c r="BB688" s="2"/>
      <c r="BC688" s="2"/>
      <c r="BD688" s="2"/>
    </row>
    <row r="689" spans="1:56">
      <c r="A689" s="781">
        <v>2</v>
      </c>
      <c r="B689" s="782">
        <v>247</v>
      </c>
      <c r="C689" s="783" t="s">
        <v>737</v>
      </c>
      <c r="D689" s="783" t="s">
        <v>258</v>
      </c>
      <c r="E689" s="808">
        <v>7900</v>
      </c>
      <c r="F689" s="799"/>
      <c r="G689" s="799"/>
      <c r="H689" s="1592">
        <f t="shared" si="30"/>
        <v>0</v>
      </c>
      <c r="I689" s="754" t="str">
        <f>IFERROR(VLOOKUP(B689,Mychart!$A$125:$B$911,2,FALSE),"-")</f>
        <v>ABDULLAH MULLAH</v>
      </c>
      <c r="J689" s="753">
        <f t="shared" si="31"/>
        <v>6</v>
      </c>
      <c r="K689" s="1540">
        <f t="shared" si="32"/>
        <v>2024</v>
      </c>
      <c r="L689" s="757"/>
      <c r="M689" s="757"/>
      <c r="N689" s="757"/>
      <c r="O689" s="757"/>
      <c r="P689" s="757"/>
      <c r="Q689" s="757"/>
      <c r="R689" s="757"/>
      <c r="S689" s="757"/>
      <c r="T689" s="757"/>
      <c r="U689" s="757"/>
      <c r="V689" s="757"/>
      <c r="W689" s="757"/>
      <c r="X689" s="757"/>
      <c r="Y689" s="757"/>
      <c r="Z689" s="757"/>
      <c r="AA689" s="757"/>
      <c r="AB689" s="757"/>
      <c r="AC689" s="757"/>
      <c r="AD689" s="757"/>
      <c r="AE689" s="757"/>
      <c r="AF689" s="757"/>
      <c r="AG689" s="757"/>
      <c r="AH689" s="757"/>
      <c r="AI689" s="757"/>
      <c r="AJ689" s="757"/>
      <c r="AK689" s="757"/>
      <c r="AL689" s="757"/>
      <c r="AM689" s="757"/>
      <c r="AN689" s="757"/>
      <c r="AO689" s="757"/>
      <c r="AP689" s="757"/>
      <c r="AQ689" s="757"/>
      <c r="AR689" s="757"/>
      <c r="AS689" s="757"/>
      <c r="AT689" s="757"/>
      <c r="AU689" s="757"/>
      <c r="AV689" s="757"/>
      <c r="AW689" s="757"/>
      <c r="AX689" s="757"/>
      <c r="AY689" s="757"/>
      <c r="AZ689" s="75"/>
      <c r="BA689" s="2"/>
      <c r="BB689" s="2"/>
      <c r="BC689" s="2"/>
      <c r="BD689" s="2"/>
    </row>
    <row r="690" spans="1:56">
      <c r="A690" s="781">
        <v>1</v>
      </c>
      <c r="B690" s="782">
        <v>142</v>
      </c>
      <c r="C690" s="783">
        <v>43928</v>
      </c>
      <c r="D690" s="786" t="s">
        <v>740</v>
      </c>
      <c r="E690" s="807"/>
      <c r="F690" s="798">
        <v>47620</v>
      </c>
      <c r="G690" s="801">
        <v>2380</v>
      </c>
      <c r="H690" s="1592">
        <f t="shared" si="30"/>
        <v>50000</v>
      </c>
      <c r="I690" s="754" t="str">
        <f>IFERROR(VLOOKUP(B690,Mychart!$A$125:$B$911,2,FALSE),"-")</f>
        <v>KHALAF FALASI</v>
      </c>
      <c r="J690" s="753">
        <f t="shared" si="31"/>
        <v>4</v>
      </c>
      <c r="K690" s="1540">
        <f t="shared" si="32"/>
        <v>2020</v>
      </c>
      <c r="L690" s="757"/>
      <c r="M690" s="757"/>
      <c r="N690" s="757"/>
      <c r="O690" s="757"/>
      <c r="P690" s="757"/>
      <c r="Q690" s="757"/>
      <c r="R690" s="757"/>
      <c r="S690" s="757"/>
      <c r="T690" s="757"/>
      <c r="U690" s="757"/>
      <c r="V690" s="757"/>
      <c r="W690" s="757"/>
      <c r="X690" s="757"/>
      <c r="Y690" s="757"/>
      <c r="Z690" s="757"/>
      <c r="AA690" s="757"/>
      <c r="AB690" s="757"/>
      <c r="AC690" s="757"/>
      <c r="AD690" s="757"/>
      <c r="AE690" s="757"/>
      <c r="AF690" s="757"/>
      <c r="AG690" s="757"/>
      <c r="AH690" s="757"/>
      <c r="AI690" s="757"/>
      <c r="AJ690" s="757"/>
      <c r="AK690" s="757"/>
      <c r="AL690" s="757"/>
      <c r="AM690" s="757"/>
      <c r="AN690" s="757"/>
      <c r="AO690" s="757"/>
      <c r="AP690" s="757"/>
      <c r="AQ690" s="757"/>
      <c r="AR690" s="757"/>
      <c r="AS690" s="757"/>
      <c r="AT690" s="757"/>
      <c r="AU690" s="757"/>
      <c r="AV690" s="757"/>
      <c r="AW690" s="757"/>
      <c r="AX690" s="757"/>
      <c r="AY690" s="757"/>
      <c r="AZ690" s="75"/>
      <c r="BA690" s="2"/>
      <c r="BB690" s="2"/>
      <c r="BC690" s="2"/>
      <c r="BD690" s="2"/>
    </row>
    <row r="691" spans="1:56">
      <c r="A691" s="781">
        <v>1</v>
      </c>
      <c r="B691" s="782">
        <v>142</v>
      </c>
      <c r="C691" s="783">
        <v>43975</v>
      </c>
      <c r="D691" s="784" t="s">
        <v>741</v>
      </c>
      <c r="E691" s="807"/>
      <c r="F691" s="798">
        <v>53705</v>
      </c>
      <c r="G691" s="801">
        <v>2685.25</v>
      </c>
      <c r="H691" s="1592">
        <f t="shared" si="30"/>
        <v>56390.25</v>
      </c>
      <c r="I691" s="754" t="str">
        <f>IFERROR(VLOOKUP(B691,Mychart!$A$125:$B$911,2,FALSE),"-")</f>
        <v>KHALAF FALASI</v>
      </c>
      <c r="J691" s="753">
        <f t="shared" si="31"/>
        <v>5</v>
      </c>
      <c r="K691" s="1540">
        <f t="shared" si="32"/>
        <v>2020</v>
      </c>
      <c r="L691" s="757"/>
      <c r="M691" s="757"/>
      <c r="N691" s="757"/>
      <c r="O691" s="757"/>
      <c r="P691" s="757"/>
      <c r="Q691" s="757"/>
      <c r="R691" s="757"/>
      <c r="S691" s="757"/>
      <c r="T691" s="757"/>
      <c r="U691" s="757"/>
      <c r="V691" s="757"/>
      <c r="W691" s="757"/>
      <c r="X691" s="757"/>
      <c r="Y691" s="757"/>
      <c r="Z691" s="757"/>
      <c r="AA691" s="757"/>
      <c r="AB691" s="757"/>
      <c r="AC691" s="757"/>
      <c r="AD691" s="757"/>
      <c r="AE691" s="757"/>
      <c r="AF691" s="757"/>
      <c r="AG691" s="757"/>
      <c r="AH691" s="757"/>
      <c r="AI691" s="757"/>
      <c r="AJ691" s="757"/>
      <c r="AK691" s="757"/>
      <c r="AL691" s="757"/>
      <c r="AM691" s="757"/>
      <c r="AN691" s="757"/>
      <c r="AO691" s="757"/>
      <c r="AP691" s="757"/>
      <c r="AQ691" s="757"/>
      <c r="AR691" s="757"/>
      <c r="AS691" s="757"/>
      <c r="AT691" s="757"/>
      <c r="AU691" s="757"/>
      <c r="AV691" s="757"/>
      <c r="AW691" s="757"/>
      <c r="AX691" s="757"/>
      <c r="AY691" s="757"/>
      <c r="AZ691" s="75"/>
      <c r="BA691" s="2"/>
      <c r="BB691" s="2"/>
      <c r="BC691" s="2"/>
      <c r="BD691" s="2"/>
    </row>
    <row r="692" spans="1:56">
      <c r="A692" s="781">
        <v>1</v>
      </c>
      <c r="B692" s="782">
        <v>142</v>
      </c>
      <c r="C692" s="783">
        <v>44987</v>
      </c>
      <c r="D692" s="784" t="s">
        <v>742</v>
      </c>
      <c r="E692" s="807"/>
      <c r="F692" s="798">
        <v>90000</v>
      </c>
      <c r="G692" s="801">
        <v>4500</v>
      </c>
      <c r="H692" s="1592">
        <f t="shared" si="30"/>
        <v>94500</v>
      </c>
      <c r="I692" s="754" t="str">
        <f>IFERROR(VLOOKUP(B692,Mychart!$A$125:$B$911,2,FALSE),"-")</f>
        <v>KHALAF FALASI</v>
      </c>
      <c r="J692" s="753">
        <f t="shared" si="31"/>
        <v>3</v>
      </c>
      <c r="K692" s="1540">
        <f t="shared" si="32"/>
        <v>2023</v>
      </c>
      <c r="L692" s="757"/>
      <c r="M692" s="757"/>
      <c r="N692" s="757"/>
      <c r="O692" s="757"/>
      <c r="P692" s="757"/>
      <c r="Q692" s="757"/>
      <c r="R692" s="757"/>
      <c r="S692" s="757"/>
      <c r="T692" s="757"/>
      <c r="U692" s="757"/>
      <c r="V692" s="757"/>
      <c r="W692" s="757"/>
      <c r="X692" s="757"/>
      <c r="Y692" s="757"/>
      <c r="Z692" s="757"/>
      <c r="AA692" s="757"/>
      <c r="AB692" s="757"/>
      <c r="AC692" s="757"/>
      <c r="AD692" s="757"/>
      <c r="AE692" s="757"/>
      <c r="AF692" s="757"/>
      <c r="AG692" s="757"/>
      <c r="AH692" s="757"/>
      <c r="AI692" s="757"/>
      <c r="AJ692" s="757"/>
      <c r="AK692" s="757"/>
      <c r="AL692" s="757"/>
      <c r="AM692" s="757"/>
      <c r="AN692" s="757"/>
      <c r="AO692" s="757"/>
      <c r="AP692" s="757"/>
      <c r="AQ692" s="757"/>
      <c r="AR692" s="757"/>
      <c r="AS692" s="757"/>
      <c r="AT692" s="757"/>
      <c r="AU692" s="757"/>
      <c r="AV692" s="757"/>
      <c r="AW692" s="757"/>
      <c r="AX692" s="757"/>
      <c r="AY692" s="757"/>
      <c r="AZ692" s="75"/>
      <c r="BA692" s="2"/>
      <c r="BB692" s="2"/>
      <c r="BC692" s="2"/>
      <c r="BD692" s="2"/>
    </row>
    <row r="693" spans="1:56">
      <c r="A693" s="781">
        <v>1</v>
      </c>
      <c r="B693" s="782">
        <v>142</v>
      </c>
      <c r="C693" s="783">
        <v>45318</v>
      </c>
      <c r="D693" s="784" t="s">
        <v>646</v>
      </c>
      <c r="E693" s="807"/>
      <c r="F693" s="798">
        <v>5000</v>
      </c>
      <c r="G693" s="801"/>
      <c r="H693" s="1592">
        <f t="shared" si="30"/>
        <v>5000</v>
      </c>
      <c r="I693" s="754" t="str">
        <f>IFERROR(VLOOKUP(B693,Mychart!$A$125:$B$911,2,FALSE),"-")</f>
        <v>KHALAF FALASI</v>
      </c>
      <c r="J693" s="753">
        <f t="shared" si="31"/>
        <v>1</v>
      </c>
      <c r="K693" s="1540">
        <f t="shared" si="32"/>
        <v>2024</v>
      </c>
      <c r="L693" s="757"/>
      <c r="M693" s="757"/>
      <c r="N693" s="757"/>
      <c r="O693" s="757"/>
      <c r="P693" s="757"/>
      <c r="Q693" s="757"/>
      <c r="R693" s="757"/>
      <c r="S693" s="757"/>
      <c r="T693" s="757"/>
      <c r="U693" s="757"/>
      <c r="V693" s="757"/>
      <c r="W693" s="757"/>
      <c r="X693" s="757"/>
      <c r="Y693" s="757"/>
      <c r="Z693" s="757"/>
      <c r="AA693" s="757"/>
      <c r="AB693" s="757"/>
      <c r="AC693" s="757"/>
      <c r="AD693" s="757"/>
      <c r="AE693" s="757"/>
      <c r="AF693" s="757"/>
      <c r="AG693" s="757"/>
      <c r="AH693" s="757"/>
      <c r="AI693" s="757"/>
      <c r="AJ693" s="757"/>
      <c r="AK693" s="757"/>
      <c r="AL693" s="757"/>
      <c r="AM693" s="757"/>
      <c r="AN693" s="757"/>
      <c r="AO693" s="757"/>
      <c r="AP693" s="757"/>
      <c r="AQ693" s="757"/>
      <c r="AR693" s="757"/>
      <c r="AS693" s="757"/>
      <c r="AT693" s="757"/>
      <c r="AU693" s="757"/>
      <c r="AV693" s="757"/>
      <c r="AW693" s="757"/>
      <c r="AX693" s="757"/>
      <c r="AY693" s="757"/>
      <c r="AZ693" s="75"/>
      <c r="BA693" s="2"/>
      <c r="BB693" s="2"/>
      <c r="BC693" s="2"/>
      <c r="BD693" s="2"/>
    </row>
    <row r="694" spans="1:56">
      <c r="A694" s="781">
        <v>1</v>
      </c>
      <c r="B694" s="782">
        <v>142</v>
      </c>
      <c r="C694" s="783">
        <v>45379</v>
      </c>
      <c r="D694" s="784" t="s">
        <v>743</v>
      </c>
      <c r="E694" s="807"/>
      <c r="F694" s="798">
        <v>5000</v>
      </c>
      <c r="G694" s="801"/>
      <c r="H694" s="1592">
        <f t="shared" si="30"/>
        <v>5000</v>
      </c>
      <c r="I694" s="754" t="str">
        <f>IFERROR(VLOOKUP(B694,Mychart!$A$125:$B$911,2,FALSE),"-")</f>
        <v>KHALAF FALASI</v>
      </c>
      <c r="J694" s="753">
        <f t="shared" si="31"/>
        <v>3</v>
      </c>
      <c r="K694" s="1540">
        <f t="shared" si="32"/>
        <v>2024</v>
      </c>
      <c r="L694" s="757"/>
      <c r="M694" s="757"/>
      <c r="N694" s="757"/>
      <c r="O694" s="757"/>
      <c r="P694" s="757"/>
      <c r="Q694" s="757"/>
      <c r="R694" s="757"/>
      <c r="S694" s="757"/>
      <c r="T694" s="757"/>
      <c r="U694" s="757"/>
      <c r="V694" s="757"/>
      <c r="W694" s="757"/>
      <c r="X694" s="757"/>
      <c r="Y694" s="757"/>
      <c r="Z694" s="757"/>
      <c r="AA694" s="757"/>
      <c r="AB694" s="757"/>
      <c r="AC694" s="757"/>
      <c r="AD694" s="757"/>
      <c r="AE694" s="757"/>
      <c r="AF694" s="757"/>
      <c r="AG694" s="757"/>
      <c r="AH694" s="757"/>
      <c r="AI694" s="757"/>
      <c r="AJ694" s="757"/>
      <c r="AK694" s="757"/>
      <c r="AL694" s="757"/>
      <c r="AM694" s="757"/>
      <c r="AN694" s="757"/>
      <c r="AO694" s="757"/>
      <c r="AP694" s="757"/>
      <c r="AQ694" s="757"/>
      <c r="AR694" s="757"/>
      <c r="AS694" s="757"/>
      <c r="AT694" s="757"/>
      <c r="AU694" s="757"/>
      <c r="AV694" s="757"/>
      <c r="AW694" s="757"/>
      <c r="AX694" s="757"/>
      <c r="AY694" s="757"/>
      <c r="AZ694" s="75"/>
      <c r="BA694" s="2"/>
      <c r="BB694" s="2"/>
      <c r="BC694" s="2"/>
      <c r="BD694" s="2"/>
    </row>
    <row r="695" spans="1:56">
      <c r="A695" s="781">
        <v>2</v>
      </c>
      <c r="B695" s="782">
        <v>142</v>
      </c>
      <c r="C695" s="783"/>
      <c r="D695" s="783" t="s">
        <v>744</v>
      </c>
      <c r="E695" s="808">
        <v>500</v>
      </c>
      <c r="F695" s="799"/>
      <c r="G695" s="799"/>
      <c r="H695" s="1592">
        <f t="shared" si="30"/>
        <v>0</v>
      </c>
      <c r="I695" s="754" t="str">
        <f>IFERROR(VLOOKUP(B695,Mychart!$A$125:$B$911,2,FALSE),"-")</f>
        <v>KHALAF FALASI</v>
      </c>
      <c r="J695" s="753" t="str">
        <f t="shared" si="31"/>
        <v>-</v>
      </c>
      <c r="K695" s="1540">
        <f t="shared" si="32"/>
        <v>1900</v>
      </c>
      <c r="L695" s="757"/>
      <c r="M695" s="757"/>
      <c r="N695" s="757"/>
      <c r="O695" s="757"/>
      <c r="P695" s="757"/>
      <c r="Q695" s="757"/>
      <c r="R695" s="757"/>
      <c r="S695" s="757"/>
      <c r="T695" s="757"/>
      <c r="U695" s="757"/>
      <c r="V695" s="757"/>
      <c r="W695" s="757"/>
      <c r="X695" s="757"/>
      <c r="Y695" s="757"/>
      <c r="Z695" s="757"/>
      <c r="AA695" s="757"/>
      <c r="AB695" s="757"/>
      <c r="AC695" s="757"/>
      <c r="AD695" s="757"/>
      <c r="AE695" s="757"/>
      <c r="AF695" s="757"/>
      <c r="AG695" s="757"/>
      <c r="AH695" s="757"/>
      <c r="AI695" s="757"/>
      <c r="AJ695" s="757"/>
      <c r="AK695" s="757"/>
      <c r="AL695" s="757"/>
      <c r="AM695" s="757"/>
      <c r="AN695" s="757"/>
      <c r="AO695" s="757"/>
      <c r="AP695" s="757"/>
      <c r="AQ695" s="757"/>
      <c r="AR695" s="757"/>
      <c r="AS695" s="757"/>
      <c r="AT695" s="757"/>
      <c r="AU695" s="757"/>
      <c r="AV695" s="757"/>
      <c r="AW695" s="757"/>
      <c r="AX695" s="757"/>
      <c r="AY695" s="757"/>
      <c r="AZ695" s="75"/>
      <c r="BA695" s="2"/>
      <c r="BB695" s="2"/>
      <c r="BC695" s="2"/>
      <c r="BD695" s="2"/>
    </row>
    <row r="696" spans="1:56">
      <c r="A696" s="781">
        <v>2</v>
      </c>
      <c r="B696" s="782">
        <v>142</v>
      </c>
      <c r="C696" s="783"/>
      <c r="D696" s="783" t="s">
        <v>228</v>
      </c>
      <c r="E696" s="808">
        <v>5088</v>
      </c>
      <c r="F696" s="799"/>
      <c r="G696" s="799"/>
      <c r="H696" s="1592">
        <f t="shared" si="30"/>
        <v>0</v>
      </c>
      <c r="I696" s="754" t="str">
        <f>IFERROR(VLOOKUP(B696,Mychart!$A$125:$B$911,2,FALSE),"-")</f>
        <v>KHALAF FALASI</v>
      </c>
      <c r="J696" s="753" t="str">
        <f t="shared" si="31"/>
        <v>-</v>
      </c>
      <c r="K696" s="1540">
        <f t="shared" si="32"/>
        <v>1900</v>
      </c>
      <c r="L696" s="757"/>
      <c r="M696" s="757"/>
      <c r="N696" s="757"/>
      <c r="O696" s="757"/>
      <c r="P696" s="757"/>
      <c r="Q696" s="757"/>
      <c r="R696" s="757"/>
      <c r="S696" s="757"/>
      <c r="T696" s="757"/>
      <c r="U696" s="757"/>
      <c r="V696" s="757"/>
      <c r="W696" s="757"/>
      <c r="X696" s="757"/>
      <c r="Y696" s="757"/>
      <c r="Z696" s="757"/>
      <c r="AA696" s="757"/>
      <c r="AB696" s="757"/>
      <c r="AC696" s="757"/>
      <c r="AD696" s="757"/>
      <c r="AE696" s="757"/>
      <c r="AF696" s="757"/>
      <c r="AG696" s="757"/>
      <c r="AH696" s="757"/>
      <c r="AI696" s="757"/>
      <c r="AJ696" s="757"/>
      <c r="AK696" s="757"/>
      <c r="AL696" s="757"/>
      <c r="AM696" s="757"/>
      <c r="AN696" s="757"/>
      <c r="AO696" s="757"/>
      <c r="AP696" s="757"/>
      <c r="AQ696" s="757"/>
      <c r="AR696" s="757"/>
      <c r="AS696" s="757"/>
      <c r="AT696" s="757"/>
      <c r="AU696" s="757"/>
      <c r="AV696" s="757"/>
      <c r="AW696" s="757"/>
      <c r="AX696" s="757"/>
      <c r="AY696" s="757"/>
      <c r="AZ696" s="75"/>
      <c r="BA696" s="2"/>
      <c r="BB696" s="2"/>
      <c r="BC696" s="2"/>
      <c r="BD696" s="2"/>
    </row>
    <row r="697" spans="1:56">
      <c r="A697" s="781">
        <v>2</v>
      </c>
      <c r="B697" s="782">
        <v>142</v>
      </c>
      <c r="C697" s="783"/>
      <c r="D697" s="783" t="s">
        <v>224</v>
      </c>
      <c r="E697" s="808">
        <v>6898</v>
      </c>
      <c r="F697" s="799"/>
      <c r="G697" s="799"/>
      <c r="H697" s="1592">
        <f t="shared" si="30"/>
        <v>0</v>
      </c>
      <c r="I697" s="754" t="str">
        <f>IFERROR(VLOOKUP(B697,Mychart!$A$125:$B$911,2,FALSE),"-")</f>
        <v>KHALAF FALASI</v>
      </c>
      <c r="J697" s="753" t="str">
        <f t="shared" si="31"/>
        <v>-</v>
      </c>
      <c r="K697" s="1540">
        <f t="shared" si="32"/>
        <v>1900</v>
      </c>
      <c r="L697" s="757"/>
      <c r="M697" s="757"/>
      <c r="N697" s="757"/>
      <c r="O697" s="757"/>
      <c r="P697" s="757"/>
      <c r="Q697" s="757"/>
      <c r="R697" s="757"/>
      <c r="S697" s="757"/>
      <c r="T697" s="757"/>
      <c r="U697" s="757"/>
      <c r="V697" s="757"/>
      <c r="W697" s="757"/>
      <c r="X697" s="757"/>
      <c r="Y697" s="757"/>
      <c r="Z697" s="757"/>
      <c r="AA697" s="757"/>
      <c r="AB697" s="757"/>
      <c r="AC697" s="757"/>
      <c r="AD697" s="757"/>
      <c r="AE697" s="757"/>
      <c r="AF697" s="757"/>
      <c r="AG697" s="757"/>
      <c r="AH697" s="757"/>
      <c r="AI697" s="757"/>
      <c r="AJ697" s="757"/>
      <c r="AK697" s="757"/>
      <c r="AL697" s="757"/>
      <c r="AM697" s="757"/>
      <c r="AN697" s="757"/>
      <c r="AO697" s="757"/>
      <c r="AP697" s="757"/>
      <c r="AQ697" s="757"/>
      <c r="AR697" s="757"/>
      <c r="AS697" s="757"/>
      <c r="AT697" s="757"/>
      <c r="AU697" s="757"/>
      <c r="AV697" s="757"/>
      <c r="AW697" s="757"/>
      <c r="AX697" s="757"/>
      <c r="AY697" s="757"/>
      <c r="AZ697" s="75"/>
      <c r="BA697" s="2"/>
      <c r="BB697" s="2"/>
      <c r="BC697" s="2"/>
      <c r="BD697" s="2"/>
    </row>
    <row r="698" spans="1:56">
      <c r="A698" s="781">
        <v>2</v>
      </c>
      <c r="B698" s="782">
        <v>142</v>
      </c>
      <c r="C698" s="783"/>
      <c r="D698" s="783" t="s">
        <v>745</v>
      </c>
      <c r="E698" s="808">
        <v>10000</v>
      </c>
      <c r="F698" s="799"/>
      <c r="G698" s="799"/>
      <c r="H698" s="1592">
        <f t="shared" si="30"/>
        <v>0</v>
      </c>
      <c r="I698" s="754" t="str">
        <f>IFERROR(VLOOKUP(B698,Mychart!$A$125:$B$911,2,FALSE),"-")</f>
        <v>KHALAF FALASI</v>
      </c>
      <c r="J698" s="753" t="str">
        <f t="shared" si="31"/>
        <v>-</v>
      </c>
      <c r="K698" s="1540">
        <f t="shared" si="32"/>
        <v>1900</v>
      </c>
      <c r="L698" s="757"/>
      <c r="M698" s="757"/>
      <c r="N698" s="757"/>
      <c r="O698" s="757"/>
      <c r="P698" s="757"/>
      <c r="Q698" s="757"/>
      <c r="R698" s="757"/>
      <c r="S698" s="757"/>
      <c r="T698" s="757"/>
      <c r="U698" s="757"/>
      <c r="V698" s="757"/>
      <c r="W698" s="757"/>
      <c r="X698" s="757"/>
      <c r="Y698" s="757"/>
      <c r="Z698" s="757"/>
      <c r="AA698" s="757"/>
      <c r="AB698" s="757"/>
      <c r="AC698" s="757"/>
      <c r="AD698" s="757"/>
      <c r="AE698" s="757"/>
      <c r="AF698" s="757"/>
      <c r="AG698" s="757"/>
      <c r="AH698" s="757"/>
      <c r="AI698" s="757"/>
      <c r="AJ698" s="757"/>
      <c r="AK698" s="757"/>
      <c r="AL698" s="757"/>
      <c r="AM698" s="757"/>
      <c r="AN698" s="757"/>
      <c r="AO698" s="757"/>
      <c r="AP698" s="757"/>
      <c r="AQ698" s="757"/>
      <c r="AR698" s="757"/>
      <c r="AS698" s="757"/>
      <c r="AT698" s="757"/>
      <c r="AU698" s="757"/>
      <c r="AV698" s="757"/>
      <c r="AW698" s="757"/>
      <c r="AX698" s="757"/>
      <c r="AY698" s="757"/>
      <c r="AZ698" s="75"/>
      <c r="BA698" s="2"/>
      <c r="BB698" s="2"/>
      <c r="BC698" s="2"/>
      <c r="BD698" s="2"/>
    </row>
    <row r="699" spans="1:56">
      <c r="A699" s="781">
        <v>2</v>
      </c>
      <c r="B699" s="782">
        <v>142</v>
      </c>
      <c r="C699" s="783"/>
      <c r="D699" s="783" t="s">
        <v>191</v>
      </c>
      <c r="E699" s="808">
        <v>10450</v>
      </c>
      <c r="F699" s="799"/>
      <c r="G699" s="799"/>
      <c r="H699" s="1592">
        <f t="shared" si="30"/>
        <v>0</v>
      </c>
      <c r="I699" s="754" t="str">
        <f>IFERROR(VLOOKUP(B699,Mychart!$A$125:$B$911,2,FALSE),"-")</f>
        <v>KHALAF FALASI</v>
      </c>
      <c r="J699" s="753" t="str">
        <f t="shared" si="31"/>
        <v>-</v>
      </c>
      <c r="K699" s="1540">
        <f t="shared" si="32"/>
        <v>1900</v>
      </c>
      <c r="L699" s="757"/>
      <c r="M699" s="757"/>
      <c r="N699" s="757"/>
      <c r="O699" s="757"/>
      <c r="P699" s="757"/>
      <c r="Q699" s="757"/>
      <c r="R699" s="757"/>
      <c r="S699" s="757"/>
      <c r="T699" s="757"/>
      <c r="U699" s="757"/>
      <c r="V699" s="757"/>
      <c r="W699" s="757"/>
      <c r="X699" s="757"/>
      <c r="Y699" s="757"/>
      <c r="Z699" s="757"/>
      <c r="AA699" s="757"/>
      <c r="AB699" s="757"/>
      <c r="AC699" s="757"/>
      <c r="AD699" s="757"/>
      <c r="AE699" s="757"/>
      <c r="AF699" s="757"/>
      <c r="AG699" s="757"/>
      <c r="AH699" s="757"/>
      <c r="AI699" s="757"/>
      <c r="AJ699" s="757"/>
      <c r="AK699" s="757"/>
      <c r="AL699" s="757"/>
      <c r="AM699" s="757"/>
      <c r="AN699" s="757"/>
      <c r="AO699" s="757"/>
      <c r="AP699" s="757"/>
      <c r="AQ699" s="757"/>
      <c r="AR699" s="757"/>
      <c r="AS699" s="757"/>
      <c r="AT699" s="757"/>
      <c r="AU699" s="757"/>
      <c r="AV699" s="757"/>
      <c r="AW699" s="757"/>
      <c r="AX699" s="757"/>
      <c r="AY699" s="757"/>
      <c r="AZ699" s="75"/>
      <c r="BA699" s="2"/>
      <c r="BB699" s="2"/>
      <c r="BC699" s="2"/>
      <c r="BD699" s="2"/>
    </row>
    <row r="700" spans="1:56">
      <c r="A700" s="781">
        <v>2</v>
      </c>
      <c r="B700" s="782">
        <v>142</v>
      </c>
      <c r="C700" s="783"/>
      <c r="D700" s="783" t="s">
        <v>746</v>
      </c>
      <c r="E700" s="808">
        <v>-2280</v>
      </c>
      <c r="F700" s="799"/>
      <c r="G700" s="799"/>
      <c r="H700" s="1592">
        <f t="shared" si="30"/>
        <v>0</v>
      </c>
      <c r="I700" s="754" t="str">
        <f>IFERROR(VLOOKUP(B700,Mychart!$A$125:$B$911,2,FALSE),"-")</f>
        <v>KHALAF FALASI</v>
      </c>
      <c r="J700" s="753" t="str">
        <f t="shared" si="31"/>
        <v>-</v>
      </c>
      <c r="K700" s="1540">
        <f t="shared" si="32"/>
        <v>1900</v>
      </c>
      <c r="L700" s="757"/>
      <c r="M700" s="757"/>
      <c r="N700" s="757"/>
      <c r="O700" s="757"/>
      <c r="P700" s="757"/>
      <c r="Q700" s="757"/>
      <c r="R700" s="757"/>
      <c r="S700" s="757"/>
      <c r="T700" s="757"/>
      <c r="U700" s="757"/>
      <c r="V700" s="757"/>
      <c r="W700" s="757"/>
      <c r="X700" s="757"/>
      <c r="Y700" s="757"/>
      <c r="Z700" s="757"/>
      <c r="AA700" s="757"/>
      <c r="AB700" s="757"/>
      <c r="AC700" s="757"/>
      <c r="AD700" s="757"/>
      <c r="AE700" s="757"/>
      <c r="AF700" s="757"/>
      <c r="AG700" s="757"/>
      <c r="AH700" s="757"/>
      <c r="AI700" s="757"/>
      <c r="AJ700" s="757"/>
      <c r="AK700" s="757"/>
      <c r="AL700" s="757"/>
      <c r="AM700" s="757"/>
      <c r="AN700" s="757"/>
      <c r="AO700" s="757"/>
      <c r="AP700" s="757"/>
      <c r="AQ700" s="757"/>
      <c r="AR700" s="757"/>
      <c r="AS700" s="757"/>
      <c r="AT700" s="757"/>
      <c r="AU700" s="757"/>
      <c r="AV700" s="757"/>
      <c r="AW700" s="757"/>
      <c r="AX700" s="757"/>
      <c r="AY700" s="757"/>
      <c r="AZ700" s="75"/>
      <c r="BA700" s="2"/>
      <c r="BB700" s="2"/>
      <c r="BC700" s="2"/>
      <c r="BD700" s="2"/>
    </row>
    <row r="701" spans="1:56">
      <c r="A701" s="781">
        <v>2</v>
      </c>
      <c r="B701" s="782">
        <v>142</v>
      </c>
      <c r="C701" s="783"/>
      <c r="D701" s="783" t="s">
        <v>191</v>
      </c>
      <c r="E701" s="808">
        <v>4359</v>
      </c>
      <c r="F701" s="799"/>
      <c r="G701" s="799"/>
      <c r="H701" s="1592">
        <f t="shared" si="30"/>
        <v>0</v>
      </c>
      <c r="I701" s="754" t="str">
        <f>IFERROR(VLOOKUP(B701,Mychart!$A$125:$B$911,2,FALSE),"-")</f>
        <v>KHALAF FALASI</v>
      </c>
      <c r="J701" s="753" t="str">
        <f t="shared" si="31"/>
        <v>-</v>
      </c>
      <c r="K701" s="1540">
        <f t="shared" si="32"/>
        <v>1900</v>
      </c>
      <c r="L701" s="757"/>
      <c r="M701" s="757"/>
      <c r="N701" s="757"/>
      <c r="O701" s="757"/>
      <c r="P701" s="757"/>
      <c r="Q701" s="757"/>
      <c r="R701" s="757"/>
      <c r="S701" s="757"/>
      <c r="T701" s="757"/>
      <c r="U701" s="757"/>
      <c r="V701" s="757"/>
      <c r="W701" s="757"/>
      <c r="X701" s="757"/>
      <c r="Y701" s="757"/>
      <c r="Z701" s="757"/>
      <c r="AA701" s="757"/>
      <c r="AB701" s="757"/>
      <c r="AC701" s="757"/>
      <c r="AD701" s="757"/>
      <c r="AE701" s="757"/>
      <c r="AF701" s="757"/>
      <c r="AG701" s="757"/>
      <c r="AH701" s="757"/>
      <c r="AI701" s="757"/>
      <c r="AJ701" s="757"/>
      <c r="AK701" s="757"/>
      <c r="AL701" s="757"/>
      <c r="AM701" s="757"/>
      <c r="AN701" s="757"/>
      <c r="AO701" s="757"/>
      <c r="AP701" s="757"/>
      <c r="AQ701" s="757"/>
      <c r="AR701" s="757"/>
      <c r="AS701" s="757"/>
      <c r="AT701" s="757"/>
      <c r="AU701" s="757"/>
      <c r="AV701" s="757"/>
      <c r="AW701" s="757"/>
      <c r="AX701" s="757"/>
      <c r="AY701" s="757"/>
      <c r="AZ701" s="75"/>
      <c r="BA701" s="2"/>
      <c r="BB701" s="2"/>
      <c r="BC701" s="2"/>
      <c r="BD701" s="2"/>
    </row>
    <row r="702" spans="1:56">
      <c r="A702" s="781">
        <v>2</v>
      </c>
      <c r="B702" s="782">
        <v>142</v>
      </c>
      <c r="C702" s="783"/>
      <c r="D702" s="783" t="s">
        <v>747</v>
      </c>
      <c r="E702" s="808">
        <v>950</v>
      </c>
      <c r="F702" s="799"/>
      <c r="G702" s="799"/>
      <c r="H702" s="1592">
        <f t="shared" si="30"/>
        <v>0</v>
      </c>
      <c r="I702" s="754" t="str">
        <f>IFERROR(VLOOKUP(B702,Mychart!$A$125:$B$911,2,FALSE),"-")</f>
        <v>KHALAF FALASI</v>
      </c>
      <c r="J702" s="753" t="str">
        <f t="shared" si="31"/>
        <v>-</v>
      </c>
      <c r="K702" s="1540">
        <f t="shared" si="32"/>
        <v>1900</v>
      </c>
      <c r="L702" s="757"/>
      <c r="M702" s="757"/>
      <c r="N702" s="757"/>
      <c r="O702" s="757"/>
      <c r="P702" s="757"/>
      <c r="Q702" s="757"/>
      <c r="R702" s="757"/>
      <c r="S702" s="757"/>
      <c r="T702" s="757"/>
      <c r="U702" s="757"/>
      <c r="V702" s="757"/>
      <c r="W702" s="757"/>
      <c r="X702" s="757"/>
      <c r="Y702" s="757"/>
      <c r="Z702" s="757"/>
      <c r="AA702" s="757"/>
      <c r="AB702" s="757"/>
      <c r="AC702" s="757"/>
      <c r="AD702" s="757"/>
      <c r="AE702" s="757"/>
      <c r="AF702" s="757"/>
      <c r="AG702" s="757"/>
      <c r="AH702" s="757"/>
      <c r="AI702" s="757"/>
      <c r="AJ702" s="757"/>
      <c r="AK702" s="757"/>
      <c r="AL702" s="757"/>
      <c r="AM702" s="757"/>
      <c r="AN702" s="757"/>
      <c r="AO702" s="757"/>
      <c r="AP702" s="757"/>
      <c r="AQ702" s="757"/>
      <c r="AR702" s="757"/>
      <c r="AS702" s="757"/>
      <c r="AT702" s="757"/>
      <c r="AU702" s="757"/>
      <c r="AV702" s="757"/>
      <c r="AW702" s="757"/>
      <c r="AX702" s="757"/>
      <c r="AY702" s="757"/>
      <c r="AZ702" s="75"/>
      <c r="BA702" s="2"/>
      <c r="BB702" s="2"/>
      <c r="BC702" s="2"/>
      <c r="BD702" s="2"/>
    </row>
    <row r="703" spans="1:56">
      <c r="A703" s="781">
        <v>2</v>
      </c>
      <c r="B703" s="782">
        <v>142</v>
      </c>
      <c r="C703" s="783"/>
      <c r="D703" s="783" t="s">
        <v>177</v>
      </c>
      <c r="E703" s="808">
        <v>1302</v>
      </c>
      <c r="F703" s="799"/>
      <c r="G703" s="799"/>
      <c r="H703" s="1592">
        <f t="shared" si="30"/>
        <v>0</v>
      </c>
      <c r="I703" s="754" t="str">
        <f>IFERROR(VLOOKUP(B703,Mychart!$A$125:$B$911,2,FALSE),"-")</f>
        <v>KHALAF FALASI</v>
      </c>
      <c r="J703" s="753" t="str">
        <f t="shared" si="31"/>
        <v>-</v>
      </c>
      <c r="K703" s="1540">
        <f t="shared" si="32"/>
        <v>1900</v>
      </c>
      <c r="L703" s="757"/>
      <c r="M703" s="757"/>
      <c r="N703" s="757"/>
      <c r="O703" s="757"/>
      <c r="P703" s="757"/>
      <c r="Q703" s="757"/>
      <c r="R703" s="757"/>
      <c r="S703" s="757"/>
      <c r="T703" s="757"/>
      <c r="U703" s="757"/>
      <c r="V703" s="757"/>
      <c r="W703" s="757"/>
      <c r="X703" s="757"/>
      <c r="Y703" s="757"/>
      <c r="Z703" s="757"/>
      <c r="AA703" s="757"/>
      <c r="AB703" s="757"/>
      <c r="AC703" s="757"/>
      <c r="AD703" s="757"/>
      <c r="AE703" s="757"/>
      <c r="AF703" s="757"/>
      <c r="AG703" s="757"/>
      <c r="AH703" s="757"/>
      <c r="AI703" s="757"/>
      <c r="AJ703" s="757"/>
      <c r="AK703" s="757"/>
      <c r="AL703" s="757"/>
      <c r="AM703" s="757"/>
      <c r="AN703" s="757"/>
      <c r="AO703" s="757"/>
      <c r="AP703" s="757"/>
      <c r="AQ703" s="757"/>
      <c r="AR703" s="757"/>
      <c r="AS703" s="757"/>
      <c r="AT703" s="757"/>
      <c r="AU703" s="757"/>
      <c r="AV703" s="757"/>
      <c r="AW703" s="757"/>
      <c r="AX703" s="757"/>
      <c r="AY703" s="757"/>
      <c r="AZ703" s="75"/>
      <c r="BA703" s="2"/>
      <c r="BB703" s="2"/>
      <c r="BC703" s="2"/>
      <c r="BD703" s="2"/>
    </row>
    <row r="704" spans="1:56">
      <c r="A704" s="781">
        <v>2</v>
      </c>
      <c r="B704" s="782">
        <v>142</v>
      </c>
      <c r="C704" s="783"/>
      <c r="D704" s="783" t="s">
        <v>747</v>
      </c>
      <c r="E704" s="808">
        <v>320</v>
      </c>
      <c r="F704" s="799"/>
      <c r="G704" s="799"/>
      <c r="H704" s="1592">
        <f t="shared" si="30"/>
        <v>0</v>
      </c>
      <c r="I704" s="754" t="str">
        <f>IFERROR(VLOOKUP(B704,Mychart!$A$125:$B$911,2,FALSE),"-")</f>
        <v>KHALAF FALASI</v>
      </c>
      <c r="J704" s="753" t="str">
        <f t="shared" si="31"/>
        <v>-</v>
      </c>
      <c r="K704" s="1540">
        <f t="shared" si="32"/>
        <v>1900</v>
      </c>
      <c r="L704" s="757"/>
      <c r="M704" s="757"/>
      <c r="N704" s="757"/>
      <c r="O704" s="757"/>
      <c r="P704" s="757"/>
      <c r="Q704" s="757"/>
      <c r="R704" s="757"/>
      <c r="S704" s="757"/>
      <c r="T704" s="757"/>
      <c r="U704" s="757"/>
      <c r="V704" s="757"/>
      <c r="W704" s="757"/>
      <c r="X704" s="757"/>
      <c r="Y704" s="757"/>
      <c r="Z704" s="757"/>
      <c r="AA704" s="757"/>
      <c r="AB704" s="757"/>
      <c r="AC704" s="757"/>
      <c r="AD704" s="757"/>
      <c r="AE704" s="757"/>
      <c r="AF704" s="757"/>
      <c r="AG704" s="757"/>
      <c r="AH704" s="757"/>
      <c r="AI704" s="757"/>
      <c r="AJ704" s="757"/>
      <c r="AK704" s="757"/>
      <c r="AL704" s="757"/>
      <c r="AM704" s="757"/>
      <c r="AN704" s="757"/>
      <c r="AO704" s="757"/>
      <c r="AP704" s="757"/>
      <c r="AQ704" s="757"/>
      <c r="AR704" s="757"/>
      <c r="AS704" s="757"/>
      <c r="AT704" s="757"/>
      <c r="AU704" s="757"/>
      <c r="AV704" s="757"/>
      <c r="AW704" s="757"/>
      <c r="AX704" s="757"/>
      <c r="AY704" s="757"/>
      <c r="AZ704" s="75"/>
      <c r="BA704" s="2"/>
      <c r="BB704" s="2"/>
      <c r="BC704" s="2"/>
      <c r="BD704" s="2"/>
    </row>
    <row r="705" spans="1:56">
      <c r="A705" s="781">
        <v>2</v>
      </c>
      <c r="B705" s="782">
        <v>142</v>
      </c>
      <c r="C705" s="783"/>
      <c r="D705" s="783" t="s">
        <v>177</v>
      </c>
      <c r="E705" s="808">
        <v>2737</v>
      </c>
      <c r="F705" s="799"/>
      <c r="G705" s="799"/>
      <c r="H705" s="1592">
        <f t="shared" si="30"/>
        <v>0</v>
      </c>
      <c r="I705" s="754" t="str">
        <f>IFERROR(VLOOKUP(B705,Mychart!$A$125:$B$911,2,FALSE),"-")</f>
        <v>KHALAF FALASI</v>
      </c>
      <c r="J705" s="753" t="str">
        <f t="shared" si="31"/>
        <v>-</v>
      </c>
      <c r="K705" s="1540">
        <f t="shared" si="32"/>
        <v>1900</v>
      </c>
      <c r="L705" s="757"/>
      <c r="M705" s="757"/>
      <c r="N705" s="757"/>
      <c r="O705" s="757"/>
      <c r="P705" s="757"/>
      <c r="Q705" s="757"/>
      <c r="R705" s="757"/>
      <c r="S705" s="757"/>
      <c r="T705" s="757"/>
      <c r="U705" s="757"/>
      <c r="V705" s="757"/>
      <c r="W705" s="757"/>
      <c r="X705" s="757"/>
      <c r="Y705" s="757"/>
      <c r="Z705" s="757"/>
      <c r="AA705" s="757"/>
      <c r="AB705" s="757"/>
      <c r="AC705" s="757"/>
      <c r="AD705" s="757"/>
      <c r="AE705" s="757"/>
      <c r="AF705" s="757"/>
      <c r="AG705" s="757"/>
      <c r="AH705" s="757"/>
      <c r="AI705" s="757"/>
      <c r="AJ705" s="757"/>
      <c r="AK705" s="757"/>
      <c r="AL705" s="757"/>
      <c r="AM705" s="757"/>
      <c r="AN705" s="757"/>
      <c r="AO705" s="757"/>
      <c r="AP705" s="757"/>
      <c r="AQ705" s="757"/>
      <c r="AR705" s="757"/>
      <c r="AS705" s="757"/>
      <c r="AT705" s="757"/>
      <c r="AU705" s="757"/>
      <c r="AV705" s="757"/>
      <c r="AW705" s="757"/>
      <c r="AX705" s="757"/>
      <c r="AY705" s="757"/>
      <c r="AZ705" s="75"/>
      <c r="BA705" s="2"/>
      <c r="BB705" s="2"/>
      <c r="BC705" s="2"/>
      <c r="BD705" s="2"/>
    </row>
    <row r="706" spans="1:56">
      <c r="A706" s="781">
        <v>2</v>
      </c>
      <c r="B706" s="782">
        <v>142</v>
      </c>
      <c r="C706" s="783"/>
      <c r="D706" s="783" t="s">
        <v>177</v>
      </c>
      <c r="E706" s="808">
        <v>163</v>
      </c>
      <c r="F706" s="799"/>
      <c r="G706" s="799"/>
      <c r="H706" s="1592">
        <f t="shared" si="30"/>
        <v>0</v>
      </c>
      <c r="I706" s="754" t="str">
        <f>IFERROR(VLOOKUP(B706,Mychart!$A$125:$B$911,2,FALSE),"-")</f>
        <v>KHALAF FALASI</v>
      </c>
      <c r="J706" s="753" t="str">
        <f t="shared" si="31"/>
        <v>-</v>
      </c>
      <c r="K706" s="1540">
        <f t="shared" si="32"/>
        <v>1900</v>
      </c>
      <c r="L706" s="757"/>
      <c r="M706" s="757"/>
      <c r="N706" s="757"/>
      <c r="O706" s="757"/>
      <c r="P706" s="757"/>
      <c r="Q706" s="757"/>
      <c r="R706" s="757"/>
      <c r="S706" s="757"/>
      <c r="T706" s="757"/>
      <c r="U706" s="757"/>
      <c r="V706" s="757"/>
      <c r="W706" s="757"/>
      <c r="X706" s="757"/>
      <c r="Y706" s="757"/>
      <c r="Z706" s="757"/>
      <c r="AA706" s="757"/>
      <c r="AB706" s="757"/>
      <c r="AC706" s="757"/>
      <c r="AD706" s="757"/>
      <c r="AE706" s="757"/>
      <c r="AF706" s="757"/>
      <c r="AG706" s="757"/>
      <c r="AH706" s="757"/>
      <c r="AI706" s="757"/>
      <c r="AJ706" s="757"/>
      <c r="AK706" s="757"/>
      <c r="AL706" s="757"/>
      <c r="AM706" s="757"/>
      <c r="AN706" s="757"/>
      <c r="AO706" s="757"/>
      <c r="AP706" s="757"/>
      <c r="AQ706" s="757"/>
      <c r="AR706" s="757"/>
      <c r="AS706" s="757"/>
      <c r="AT706" s="757"/>
      <c r="AU706" s="757"/>
      <c r="AV706" s="757"/>
      <c r="AW706" s="757"/>
      <c r="AX706" s="757"/>
      <c r="AY706" s="757"/>
      <c r="AZ706" s="75"/>
      <c r="BA706" s="2"/>
      <c r="BB706" s="2"/>
      <c r="BC706" s="2"/>
      <c r="BD706" s="2"/>
    </row>
    <row r="707" spans="1:56">
      <c r="A707" s="781">
        <v>2</v>
      </c>
      <c r="B707" s="782">
        <v>142</v>
      </c>
      <c r="C707" s="783"/>
      <c r="D707" s="783" t="s">
        <v>224</v>
      </c>
      <c r="E707" s="808">
        <v>34067</v>
      </c>
      <c r="F707" s="799"/>
      <c r="G707" s="799"/>
      <c r="H707" s="1592">
        <f t="shared" si="30"/>
        <v>0</v>
      </c>
      <c r="I707" s="754" t="str">
        <f>IFERROR(VLOOKUP(B707,Mychart!$A$125:$B$911,2,FALSE),"-")</f>
        <v>KHALAF FALASI</v>
      </c>
      <c r="J707" s="753" t="str">
        <f t="shared" si="31"/>
        <v>-</v>
      </c>
      <c r="K707" s="1540">
        <f t="shared" si="32"/>
        <v>1900</v>
      </c>
      <c r="L707" s="757"/>
      <c r="M707" s="757"/>
      <c r="N707" s="757"/>
      <c r="O707" s="757"/>
      <c r="P707" s="757"/>
      <c r="Q707" s="757"/>
      <c r="R707" s="757"/>
      <c r="S707" s="757"/>
      <c r="T707" s="757"/>
      <c r="U707" s="757"/>
      <c r="V707" s="757"/>
      <c r="W707" s="757"/>
      <c r="X707" s="757"/>
      <c r="Y707" s="757"/>
      <c r="Z707" s="757"/>
      <c r="AA707" s="757"/>
      <c r="AB707" s="757"/>
      <c r="AC707" s="757"/>
      <c r="AD707" s="757"/>
      <c r="AE707" s="757"/>
      <c r="AF707" s="757"/>
      <c r="AG707" s="757"/>
      <c r="AH707" s="757"/>
      <c r="AI707" s="757"/>
      <c r="AJ707" s="757"/>
      <c r="AK707" s="757"/>
      <c r="AL707" s="757"/>
      <c r="AM707" s="757"/>
      <c r="AN707" s="757"/>
      <c r="AO707" s="757"/>
      <c r="AP707" s="757"/>
      <c r="AQ707" s="757"/>
      <c r="AR707" s="757"/>
      <c r="AS707" s="757"/>
      <c r="AT707" s="757"/>
      <c r="AU707" s="757"/>
      <c r="AV707" s="757"/>
      <c r="AW707" s="757"/>
      <c r="AX707" s="757"/>
      <c r="AY707" s="757"/>
      <c r="AZ707" s="75"/>
      <c r="BA707" s="2"/>
      <c r="BB707" s="2"/>
      <c r="BC707" s="2"/>
      <c r="BD707" s="2"/>
    </row>
    <row r="708" spans="1:56">
      <c r="A708" s="781">
        <v>2</v>
      </c>
      <c r="B708" s="782">
        <v>142</v>
      </c>
      <c r="C708" s="783"/>
      <c r="D708" s="783" t="s">
        <v>224</v>
      </c>
      <c r="E708" s="808">
        <v>28281.74</v>
      </c>
      <c r="F708" s="799"/>
      <c r="G708" s="799"/>
      <c r="H708" s="1592">
        <f t="shared" si="30"/>
        <v>0</v>
      </c>
      <c r="I708" s="754" t="str">
        <f>IFERROR(VLOOKUP(B708,Mychart!$A$125:$B$911,2,FALSE),"-")</f>
        <v>KHALAF FALASI</v>
      </c>
      <c r="J708" s="753" t="str">
        <f t="shared" si="31"/>
        <v>-</v>
      </c>
      <c r="K708" s="1540">
        <f t="shared" si="32"/>
        <v>1900</v>
      </c>
      <c r="L708" s="757"/>
      <c r="M708" s="757"/>
      <c r="N708" s="757"/>
      <c r="O708" s="757"/>
      <c r="P708" s="757"/>
      <c r="Q708" s="757"/>
      <c r="R708" s="757"/>
      <c r="S708" s="757"/>
      <c r="T708" s="757"/>
      <c r="U708" s="757"/>
      <c r="V708" s="757"/>
      <c r="W708" s="757"/>
      <c r="X708" s="757"/>
      <c r="Y708" s="757"/>
      <c r="Z708" s="757"/>
      <c r="AA708" s="757"/>
      <c r="AB708" s="757"/>
      <c r="AC708" s="757"/>
      <c r="AD708" s="757"/>
      <c r="AE708" s="757"/>
      <c r="AF708" s="757"/>
      <c r="AG708" s="757"/>
      <c r="AH708" s="757"/>
      <c r="AI708" s="757"/>
      <c r="AJ708" s="757"/>
      <c r="AK708" s="757"/>
      <c r="AL708" s="757"/>
      <c r="AM708" s="757"/>
      <c r="AN708" s="757"/>
      <c r="AO708" s="757"/>
      <c r="AP708" s="757"/>
      <c r="AQ708" s="757"/>
      <c r="AR708" s="757"/>
      <c r="AS708" s="757"/>
      <c r="AT708" s="757"/>
      <c r="AU708" s="757"/>
      <c r="AV708" s="757"/>
      <c r="AW708" s="757"/>
      <c r="AX708" s="757"/>
      <c r="AY708" s="757"/>
      <c r="AZ708" s="75"/>
      <c r="BA708" s="2"/>
      <c r="BB708" s="2"/>
      <c r="BC708" s="2"/>
      <c r="BD708" s="2"/>
    </row>
    <row r="709" spans="1:56">
      <c r="A709" s="781">
        <v>2</v>
      </c>
      <c r="B709" s="782">
        <v>142</v>
      </c>
      <c r="C709" s="783"/>
      <c r="D709" s="783" t="s">
        <v>224</v>
      </c>
      <c r="E709" s="808">
        <v>25042</v>
      </c>
      <c r="F709" s="799"/>
      <c r="G709" s="799"/>
      <c r="H709" s="1592">
        <f t="shared" si="30"/>
        <v>0</v>
      </c>
      <c r="I709" s="754" t="str">
        <f>IFERROR(VLOOKUP(B709,Mychart!$A$125:$B$911,2,FALSE),"-")</f>
        <v>KHALAF FALASI</v>
      </c>
      <c r="J709" s="753" t="str">
        <f t="shared" si="31"/>
        <v>-</v>
      </c>
      <c r="K709" s="1540">
        <f t="shared" si="32"/>
        <v>1900</v>
      </c>
      <c r="L709" s="757"/>
      <c r="M709" s="757"/>
      <c r="N709" s="757"/>
      <c r="O709" s="757"/>
      <c r="P709" s="757"/>
      <c r="Q709" s="757"/>
      <c r="R709" s="757"/>
      <c r="S709" s="757"/>
      <c r="T709" s="757"/>
      <c r="U709" s="757"/>
      <c r="V709" s="757"/>
      <c r="W709" s="757"/>
      <c r="X709" s="757"/>
      <c r="Y709" s="757"/>
      <c r="Z709" s="757"/>
      <c r="AA709" s="757"/>
      <c r="AB709" s="757"/>
      <c r="AC709" s="757"/>
      <c r="AD709" s="757"/>
      <c r="AE709" s="757"/>
      <c r="AF709" s="757"/>
      <c r="AG709" s="757"/>
      <c r="AH709" s="757"/>
      <c r="AI709" s="757"/>
      <c r="AJ709" s="757"/>
      <c r="AK709" s="757"/>
      <c r="AL709" s="757"/>
      <c r="AM709" s="757"/>
      <c r="AN709" s="757"/>
      <c r="AO709" s="757"/>
      <c r="AP709" s="757"/>
      <c r="AQ709" s="757"/>
      <c r="AR709" s="757"/>
      <c r="AS709" s="757"/>
      <c r="AT709" s="757"/>
      <c r="AU709" s="757"/>
      <c r="AV709" s="757"/>
      <c r="AW709" s="757"/>
      <c r="AX709" s="757"/>
      <c r="AY709" s="757"/>
      <c r="AZ709" s="75"/>
      <c r="BA709" s="2"/>
      <c r="BB709" s="2"/>
      <c r="BC709" s="2"/>
      <c r="BD709" s="2"/>
    </row>
    <row r="710" spans="1:56">
      <c r="A710" s="781">
        <v>2</v>
      </c>
      <c r="B710" s="782">
        <v>142</v>
      </c>
      <c r="C710" s="783"/>
      <c r="D710" s="783" t="s">
        <v>224</v>
      </c>
      <c r="E710" s="808">
        <v>15513</v>
      </c>
      <c r="F710" s="799"/>
      <c r="G710" s="799"/>
      <c r="H710" s="1592">
        <f t="shared" si="30"/>
        <v>0</v>
      </c>
      <c r="I710" s="754" t="str">
        <f>IFERROR(VLOOKUP(B710,Mychart!$A$125:$B$911,2,FALSE),"-")</f>
        <v>KHALAF FALASI</v>
      </c>
      <c r="J710" s="753" t="str">
        <f t="shared" si="31"/>
        <v>-</v>
      </c>
      <c r="K710" s="1540">
        <f t="shared" si="32"/>
        <v>1900</v>
      </c>
      <c r="L710" s="757"/>
      <c r="M710" s="757"/>
      <c r="N710" s="757"/>
      <c r="O710" s="757"/>
      <c r="P710" s="757"/>
      <c r="Q710" s="757"/>
      <c r="R710" s="757"/>
      <c r="S710" s="757"/>
      <c r="T710" s="757"/>
      <c r="U710" s="757"/>
      <c r="V710" s="757"/>
      <c r="W710" s="757"/>
      <c r="X710" s="757"/>
      <c r="Y710" s="757"/>
      <c r="Z710" s="757"/>
      <c r="AA710" s="757"/>
      <c r="AB710" s="757"/>
      <c r="AC710" s="757"/>
      <c r="AD710" s="757"/>
      <c r="AE710" s="757"/>
      <c r="AF710" s="757"/>
      <c r="AG710" s="757"/>
      <c r="AH710" s="757"/>
      <c r="AI710" s="757"/>
      <c r="AJ710" s="757"/>
      <c r="AK710" s="757"/>
      <c r="AL710" s="757"/>
      <c r="AM710" s="757"/>
      <c r="AN710" s="757"/>
      <c r="AO710" s="757"/>
      <c r="AP710" s="757"/>
      <c r="AQ710" s="757"/>
      <c r="AR710" s="757"/>
      <c r="AS710" s="757"/>
      <c r="AT710" s="757"/>
      <c r="AU710" s="757"/>
      <c r="AV710" s="757"/>
      <c r="AW710" s="757"/>
      <c r="AX710" s="757"/>
      <c r="AY710" s="757"/>
      <c r="AZ710" s="75"/>
      <c r="BA710" s="2"/>
      <c r="BB710" s="2"/>
      <c r="BC710" s="2"/>
      <c r="BD710" s="2"/>
    </row>
    <row r="711" spans="1:56">
      <c r="A711" s="781">
        <v>2</v>
      </c>
      <c r="B711" s="782">
        <v>142</v>
      </c>
      <c r="C711" s="783"/>
      <c r="D711" s="783" t="s">
        <v>224</v>
      </c>
      <c r="E711" s="808">
        <v>5171</v>
      </c>
      <c r="F711" s="799"/>
      <c r="G711" s="799"/>
      <c r="H711" s="1592">
        <f t="shared" si="30"/>
        <v>0</v>
      </c>
      <c r="I711" s="754" t="str">
        <f>IFERROR(VLOOKUP(B711,Mychart!$A$125:$B$911,2,FALSE),"-")</f>
        <v>KHALAF FALASI</v>
      </c>
      <c r="J711" s="753" t="str">
        <f t="shared" si="31"/>
        <v>-</v>
      </c>
      <c r="K711" s="1540">
        <f t="shared" si="32"/>
        <v>1900</v>
      </c>
      <c r="L711" s="757"/>
      <c r="M711" s="757"/>
      <c r="N711" s="757"/>
      <c r="O711" s="757"/>
      <c r="P711" s="757"/>
      <c r="Q711" s="757"/>
      <c r="R711" s="757"/>
      <c r="S711" s="757"/>
      <c r="T711" s="757"/>
      <c r="U711" s="757"/>
      <c r="V711" s="757"/>
      <c r="W711" s="757"/>
      <c r="X711" s="757"/>
      <c r="Y711" s="757"/>
      <c r="Z711" s="757"/>
      <c r="AA711" s="757"/>
      <c r="AB711" s="757"/>
      <c r="AC711" s="757"/>
      <c r="AD711" s="757"/>
      <c r="AE711" s="757"/>
      <c r="AF711" s="757"/>
      <c r="AG711" s="757"/>
      <c r="AH711" s="757"/>
      <c r="AI711" s="757"/>
      <c r="AJ711" s="757"/>
      <c r="AK711" s="757"/>
      <c r="AL711" s="757"/>
      <c r="AM711" s="757"/>
      <c r="AN711" s="757"/>
      <c r="AO711" s="757"/>
      <c r="AP711" s="757"/>
      <c r="AQ711" s="757"/>
      <c r="AR711" s="757"/>
      <c r="AS711" s="757"/>
      <c r="AT711" s="757"/>
      <c r="AU711" s="757"/>
      <c r="AV711" s="757"/>
      <c r="AW711" s="757"/>
      <c r="AX711" s="757"/>
      <c r="AY711" s="757"/>
      <c r="AZ711" s="75"/>
      <c r="BA711" s="2"/>
      <c r="BB711" s="2"/>
      <c r="BC711" s="2"/>
      <c r="BD711" s="2"/>
    </row>
    <row r="712" spans="1:56">
      <c r="A712" s="781">
        <v>2</v>
      </c>
      <c r="B712" s="782">
        <v>142</v>
      </c>
      <c r="C712" s="783"/>
      <c r="D712" s="783" t="s">
        <v>177</v>
      </c>
      <c r="E712" s="808">
        <v>3047</v>
      </c>
      <c r="F712" s="799"/>
      <c r="G712" s="799"/>
      <c r="H712" s="1592">
        <f t="shared" si="30"/>
        <v>0</v>
      </c>
      <c r="I712" s="754" t="str">
        <f>IFERROR(VLOOKUP(B712,Mychart!$A$125:$B$911,2,FALSE),"-")</f>
        <v>KHALAF FALASI</v>
      </c>
      <c r="J712" s="753" t="str">
        <f t="shared" si="31"/>
        <v>-</v>
      </c>
      <c r="K712" s="1540">
        <f t="shared" si="32"/>
        <v>1900</v>
      </c>
      <c r="L712" s="757"/>
      <c r="M712" s="757"/>
      <c r="N712" s="757"/>
      <c r="O712" s="757"/>
      <c r="P712" s="757"/>
      <c r="Q712" s="757"/>
      <c r="R712" s="757"/>
      <c r="S712" s="757"/>
      <c r="T712" s="757"/>
      <c r="U712" s="757"/>
      <c r="V712" s="757"/>
      <c r="W712" s="757"/>
      <c r="X712" s="757"/>
      <c r="Y712" s="757"/>
      <c r="Z712" s="757"/>
      <c r="AA712" s="757"/>
      <c r="AB712" s="757"/>
      <c r="AC712" s="757"/>
      <c r="AD712" s="757"/>
      <c r="AE712" s="757"/>
      <c r="AF712" s="757"/>
      <c r="AG712" s="757"/>
      <c r="AH712" s="757"/>
      <c r="AI712" s="757"/>
      <c r="AJ712" s="757"/>
      <c r="AK712" s="757"/>
      <c r="AL712" s="757"/>
      <c r="AM712" s="757"/>
      <c r="AN712" s="757"/>
      <c r="AO712" s="757"/>
      <c r="AP712" s="757"/>
      <c r="AQ712" s="757"/>
      <c r="AR712" s="757"/>
      <c r="AS712" s="757"/>
      <c r="AT712" s="757"/>
      <c r="AU712" s="757"/>
      <c r="AV712" s="757"/>
      <c r="AW712" s="757"/>
      <c r="AX712" s="757"/>
      <c r="AY712" s="757"/>
      <c r="AZ712" s="75"/>
      <c r="BA712" s="2"/>
      <c r="BB712" s="2"/>
      <c r="BC712" s="2"/>
      <c r="BD712" s="2"/>
    </row>
    <row r="713" spans="1:56">
      <c r="A713" s="781">
        <v>2</v>
      </c>
      <c r="B713" s="782">
        <v>142</v>
      </c>
      <c r="C713" s="783"/>
      <c r="D713" s="783" t="s">
        <v>259</v>
      </c>
      <c r="E713" s="808">
        <v>4000</v>
      </c>
      <c r="F713" s="799"/>
      <c r="G713" s="799"/>
      <c r="H713" s="1592">
        <f t="shared" si="30"/>
        <v>0</v>
      </c>
      <c r="I713" s="754" t="str">
        <f>IFERROR(VLOOKUP(B713,Mychart!$A$125:$B$911,2,FALSE),"-")</f>
        <v>KHALAF FALASI</v>
      </c>
      <c r="J713" s="753" t="str">
        <f t="shared" si="31"/>
        <v>-</v>
      </c>
      <c r="K713" s="1540">
        <f t="shared" si="32"/>
        <v>1900</v>
      </c>
      <c r="L713" s="757"/>
      <c r="M713" s="757"/>
      <c r="N713" s="757"/>
      <c r="O713" s="757"/>
      <c r="P713" s="757"/>
      <c r="Q713" s="757"/>
      <c r="R713" s="757"/>
      <c r="S713" s="757"/>
      <c r="T713" s="757"/>
      <c r="U713" s="757"/>
      <c r="V713" s="757"/>
      <c r="W713" s="757"/>
      <c r="X713" s="757"/>
      <c r="Y713" s="757"/>
      <c r="Z713" s="757"/>
      <c r="AA713" s="757"/>
      <c r="AB713" s="757"/>
      <c r="AC713" s="757"/>
      <c r="AD713" s="757"/>
      <c r="AE713" s="757"/>
      <c r="AF713" s="757"/>
      <c r="AG713" s="757"/>
      <c r="AH713" s="757"/>
      <c r="AI713" s="757"/>
      <c r="AJ713" s="757"/>
      <c r="AK713" s="757"/>
      <c r="AL713" s="757"/>
      <c r="AM713" s="757"/>
      <c r="AN713" s="757"/>
      <c r="AO713" s="757"/>
      <c r="AP713" s="757"/>
      <c r="AQ713" s="757"/>
      <c r="AR713" s="757"/>
      <c r="AS713" s="757"/>
      <c r="AT713" s="757"/>
      <c r="AU713" s="757"/>
      <c r="AV713" s="757"/>
      <c r="AW713" s="757"/>
      <c r="AX713" s="757"/>
      <c r="AY713" s="757"/>
      <c r="AZ713" s="75"/>
      <c r="BA713" s="2"/>
      <c r="BB713" s="2"/>
      <c r="BC713" s="2"/>
      <c r="BD713" s="2"/>
    </row>
    <row r="714" spans="1:56">
      <c r="A714" s="781">
        <v>2</v>
      </c>
      <c r="B714" s="782">
        <v>142</v>
      </c>
      <c r="C714" s="783"/>
      <c r="D714" s="783" t="s">
        <v>191</v>
      </c>
      <c r="E714" s="808">
        <v>372</v>
      </c>
      <c r="F714" s="799"/>
      <c r="G714" s="799"/>
      <c r="H714" s="1592">
        <f t="shared" si="30"/>
        <v>0</v>
      </c>
      <c r="I714" s="754" t="str">
        <f>IFERROR(VLOOKUP(B714,Mychart!$A$125:$B$911,2,FALSE),"-")</f>
        <v>KHALAF FALASI</v>
      </c>
      <c r="J714" s="753" t="str">
        <f t="shared" si="31"/>
        <v>-</v>
      </c>
      <c r="K714" s="1540">
        <f t="shared" si="32"/>
        <v>1900</v>
      </c>
      <c r="L714" s="757"/>
      <c r="M714" s="757"/>
      <c r="N714" s="757"/>
      <c r="O714" s="757"/>
      <c r="P714" s="757"/>
      <c r="Q714" s="757"/>
      <c r="R714" s="757"/>
      <c r="S714" s="757"/>
      <c r="T714" s="757"/>
      <c r="U714" s="757"/>
      <c r="V714" s="757"/>
      <c r="W714" s="757"/>
      <c r="X714" s="757"/>
      <c r="Y714" s="757"/>
      <c r="Z714" s="757"/>
      <c r="AA714" s="757"/>
      <c r="AB714" s="757"/>
      <c r="AC714" s="757"/>
      <c r="AD714" s="757"/>
      <c r="AE714" s="757"/>
      <c r="AF714" s="757"/>
      <c r="AG714" s="757"/>
      <c r="AH714" s="757"/>
      <c r="AI714" s="757"/>
      <c r="AJ714" s="757"/>
      <c r="AK714" s="757"/>
      <c r="AL714" s="757"/>
      <c r="AM714" s="757"/>
      <c r="AN714" s="757"/>
      <c r="AO714" s="757"/>
      <c r="AP714" s="757"/>
      <c r="AQ714" s="757"/>
      <c r="AR714" s="757"/>
      <c r="AS714" s="757"/>
      <c r="AT714" s="757"/>
      <c r="AU714" s="757"/>
      <c r="AV714" s="757"/>
      <c r="AW714" s="757"/>
      <c r="AX714" s="757"/>
      <c r="AY714" s="757"/>
      <c r="AZ714" s="75"/>
      <c r="BA714" s="2"/>
      <c r="BB714" s="2"/>
      <c r="BC714" s="2"/>
      <c r="BD714" s="2"/>
    </row>
    <row r="715" spans="1:56">
      <c r="A715" s="781">
        <v>2</v>
      </c>
      <c r="B715" s="782">
        <v>142</v>
      </c>
      <c r="C715" s="783"/>
      <c r="D715" s="783" t="s">
        <v>191</v>
      </c>
      <c r="E715" s="808">
        <v>232</v>
      </c>
      <c r="F715" s="799"/>
      <c r="G715" s="799"/>
      <c r="H715" s="1592">
        <f t="shared" ref="H715:H778" si="33">F715+G715</f>
        <v>0</v>
      </c>
      <c r="I715" s="754" t="str">
        <f>IFERROR(VLOOKUP(B715,Mychart!$A$125:$B$911,2,FALSE),"-")</f>
        <v>KHALAF FALASI</v>
      </c>
      <c r="J715" s="753" t="str">
        <f t="shared" ref="J715:J778" si="34">IF(C715&lt;&gt;"", MONTH(C715),"-")</f>
        <v>-</v>
      </c>
      <c r="K715" s="1540">
        <f t="shared" ref="K715:K778" si="35">YEAR(C715)</f>
        <v>1900</v>
      </c>
      <c r="L715" s="757"/>
      <c r="M715" s="757"/>
      <c r="N715" s="757"/>
      <c r="O715" s="757"/>
      <c r="P715" s="757"/>
      <c r="Q715" s="757"/>
      <c r="R715" s="757"/>
      <c r="S715" s="757"/>
      <c r="T715" s="757"/>
      <c r="U715" s="757"/>
      <c r="V715" s="757"/>
      <c r="W715" s="757"/>
      <c r="X715" s="757"/>
      <c r="Y715" s="757"/>
      <c r="Z715" s="757"/>
      <c r="AA715" s="757"/>
      <c r="AB715" s="757"/>
      <c r="AC715" s="757"/>
      <c r="AD715" s="757"/>
      <c r="AE715" s="757"/>
      <c r="AF715" s="757"/>
      <c r="AG715" s="757"/>
      <c r="AH715" s="757"/>
      <c r="AI715" s="757"/>
      <c r="AJ715" s="757"/>
      <c r="AK715" s="757"/>
      <c r="AL715" s="757"/>
      <c r="AM715" s="757"/>
      <c r="AN715" s="757"/>
      <c r="AO715" s="757"/>
      <c r="AP715" s="757"/>
      <c r="AQ715" s="757"/>
      <c r="AR715" s="757"/>
      <c r="AS715" s="757"/>
      <c r="AT715" s="757"/>
      <c r="AU715" s="757"/>
      <c r="AV715" s="757"/>
      <c r="AW715" s="757"/>
      <c r="AX715" s="757"/>
      <c r="AY715" s="757"/>
      <c r="AZ715" s="75"/>
      <c r="BA715" s="2"/>
      <c r="BB715" s="2"/>
      <c r="BC715" s="2"/>
      <c r="BD715" s="2"/>
    </row>
    <row r="716" spans="1:56">
      <c r="A716" s="781">
        <v>2</v>
      </c>
      <c r="B716" s="782">
        <v>142</v>
      </c>
      <c r="C716" s="783"/>
      <c r="D716" s="783" t="s">
        <v>748</v>
      </c>
      <c r="E716" s="808">
        <v>161</v>
      </c>
      <c r="F716" s="799"/>
      <c r="G716" s="799"/>
      <c r="H716" s="1592">
        <f t="shared" si="33"/>
        <v>0</v>
      </c>
      <c r="I716" s="754" t="str">
        <f>IFERROR(VLOOKUP(B716,Mychart!$A$125:$B$911,2,FALSE),"-")</f>
        <v>KHALAF FALASI</v>
      </c>
      <c r="J716" s="753" t="str">
        <f t="shared" si="34"/>
        <v>-</v>
      </c>
      <c r="K716" s="1540">
        <f t="shared" si="35"/>
        <v>1900</v>
      </c>
      <c r="L716" s="757"/>
      <c r="M716" s="757"/>
      <c r="N716" s="757"/>
      <c r="O716" s="757"/>
      <c r="P716" s="757"/>
      <c r="Q716" s="757"/>
      <c r="R716" s="757"/>
      <c r="S716" s="757"/>
      <c r="T716" s="757"/>
      <c r="U716" s="757"/>
      <c r="V716" s="757"/>
      <c r="W716" s="757"/>
      <c r="X716" s="757"/>
      <c r="Y716" s="757"/>
      <c r="Z716" s="757"/>
      <c r="AA716" s="757"/>
      <c r="AB716" s="757"/>
      <c r="AC716" s="757"/>
      <c r="AD716" s="757"/>
      <c r="AE716" s="757"/>
      <c r="AF716" s="757"/>
      <c r="AG716" s="757"/>
      <c r="AH716" s="757"/>
      <c r="AI716" s="757"/>
      <c r="AJ716" s="757"/>
      <c r="AK716" s="757"/>
      <c r="AL716" s="757"/>
      <c r="AM716" s="757"/>
      <c r="AN716" s="757"/>
      <c r="AO716" s="757"/>
      <c r="AP716" s="757"/>
      <c r="AQ716" s="757"/>
      <c r="AR716" s="757"/>
      <c r="AS716" s="757"/>
      <c r="AT716" s="757"/>
      <c r="AU716" s="757"/>
      <c r="AV716" s="757"/>
      <c r="AW716" s="757"/>
      <c r="AX716" s="757"/>
      <c r="AY716" s="757"/>
      <c r="AZ716" s="75"/>
      <c r="BA716" s="2"/>
      <c r="BB716" s="2"/>
      <c r="BC716" s="2"/>
      <c r="BD716" s="2"/>
    </row>
    <row r="717" spans="1:56">
      <c r="A717" s="781">
        <v>2</v>
      </c>
      <c r="B717" s="782">
        <v>142</v>
      </c>
      <c r="C717" s="783"/>
      <c r="D717" s="783" t="s">
        <v>229</v>
      </c>
      <c r="E717" s="808">
        <v>137</v>
      </c>
      <c r="F717" s="799"/>
      <c r="G717" s="799"/>
      <c r="H717" s="1592">
        <f t="shared" si="33"/>
        <v>0</v>
      </c>
      <c r="I717" s="754" t="str">
        <f>IFERROR(VLOOKUP(B717,Mychart!$A$125:$B$911,2,FALSE),"-")</f>
        <v>KHALAF FALASI</v>
      </c>
      <c r="J717" s="753" t="str">
        <f t="shared" si="34"/>
        <v>-</v>
      </c>
      <c r="K717" s="1540">
        <f t="shared" si="35"/>
        <v>1900</v>
      </c>
      <c r="L717" s="757"/>
      <c r="M717" s="757"/>
      <c r="N717" s="757"/>
      <c r="O717" s="757"/>
      <c r="P717" s="757"/>
      <c r="Q717" s="757"/>
      <c r="R717" s="757"/>
      <c r="S717" s="757"/>
      <c r="T717" s="757"/>
      <c r="U717" s="757"/>
      <c r="V717" s="757"/>
      <c r="W717" s="757"/>
      <c r="X717" s="757"/>
      <c r="Y717" s="757"/>
      <c r="Z717" s="757"/>
      <c r="AA717" s="757"/>
      <c r="AB717" s="757"/>
      <c r="AC717" s="757"/>
      <c r="AD717" s="757"/>
      <c r="AE717" s="757"/>
      <c r="AF717" s="757"/>
      <c r="AG717" s="757"/>
      <c r="AH717" s="757"/>
      <c r="AI717" s="757"/>
      <c r="AJ717" s="757"/>
      <c r="AK717" s="757"/>
      <c r="AL717" s="757"/>
      <c r="AM717" s="757"/>
      <c r="AN717" s="757"/>
      <c r="AO717" s="757"/>
      <c r="AP717" s="757"/>
      <c r="AQ717" s="757"/>
      <c r="AR717" s="757"/>
      <c r="AS717" s="757"/>
      <c r="AT717" s="757"/>
      <c r="AU717" s="757"/>
      <c r="AV717" s="757"/>
      <c r="AW717" s="757"/>
      <c r="AX717" s="757"/>
      <c r="AY717" s="757"/>
      <c r="AZ717" s="75"/>
      <c r="BA717" s="2"/>
      <c r="BB717" s="2"/>
      <c r="BC717" s="2"/>
      <c r="BD717" s="2"/>
    </row>
    <row r="718" spans="1:56">
      <c r="A718" s="781">
        <v>2</v>
      </c>
      <c r="B718" s="782">
        <v>142</v>
      </c>
      <c r="C718" s="783"/>
      <c r="D718" s="783" t="s">
        <v>229</v>
      </c>
      <c r="E718" s="808">
        <v>89</v>
      </c>
      <c r="F718" s="799"/>
      <c r="G718" s="799"/>
      <c r="H718" s="1592">
        <f t="shared" si="33"/>
        <v>0</v>
      </c>
      <c r="I718" s="754" t="str">
        <f>IFERROR(VLOOKUP(B718,Mychart!$A$125:$B$911,2,FALSE),"-")</f>
        <v>KHALAF FALASI</v>
      </c>
      <c r="J718" s="753" t="str">
        <f t="shared" si="34"/>
        <v>-</v>
      </c>
      <c r="K718" s="1540">
        <f t="shared" si="35"/>
        <v>1900</v>
      </c>
      <c r="L718" s="757"/>
      <c r="M718" s="757"/>
      <c r="N718" s="757"/>
      <c r="O718" s="757"/>
      <c r="P718" s="757"/>
      <c r="Q718" s="757"/>
      <c r="R718" s="757"/>
      <c r="S718" s="757"/>
      <c r="T718" s="757"/>
      <c r="U718" s="757"/>
      <c r="V718" s="757"/>
      <c r="W718" s="757"/>
      <c r="X718" s="757"/>
      <c r="Y718" s="757"/>
      <c r="Z718" s="757"/>
      <c r="AA718" s="757"/>
      <c r="AB718" s="757"/>
      <c r="AC718" s="757"/>
      <c r="AD718" s="757"/>
      <c r="AE718" s="757"/>
      <c r="AF718" s="757"/>
      <c r="AG718" s="757"/>
      <c r="AH718" s="757"/>
      <c r="AI718" s="757"/>
      <c r="AJ718" s="757"/>
      <c r="AK718" s="757"/>
      <c r="AL718" s="757"/>
      <c r="AM718" s="757"/>
      <c r="AN718" s="757"/>
      <c r="AO718" s="757"/>
      <c r="AP718" s="757"/>
      <c r="AQ718" s="757"/>
      <c r="AR718" s="757"/>
      <c r="AS718" s="757"/>
      <c r="AT718" s="757"/>
      <c r="AU718" s="757"/>
      <c r="AV718" s="757"/>
      <c r="AW718" s="757"/>
      <c r="AX718" s="757"/>
      <c r="AY718" s="757"/>
      <c r="AZ718" s="75"/>
      <c r="BA718" s="2"/>
      <c r="BB718" s="2"/>
      <c r="BC718" s="2"/>
      <c r="BD718" s="2"/>
    </row>
    <row r="719" spans="1:56">
      <c r="A719" s="781">
        <v>1</v>
      </c>
      <c r="B719" s="782">
        <v>220</v>
      </c>
      <c r="C719" s="783">
        <v>44965</v>
      </c>
      <c r="D719" s="786" t="s">
        <v>757</v>
      </c>
      <c r="E719" s="807"/>
      <c r="F719" s="798">
        <v>33000</v>
      </c>
      <c r="G719" s="798">
        <v>1650</v>
      </c>
      <c r="H719" s="1592">
        <f t="shared" si="33"/>
        <v>34650</v>
      </c>
      <c r="I719" s="754" t="str">
        <f>IFERROR(VLOOKUP(B719,Mychart!$A$125:$B$911,2,FALSE),"-")</f>
        <v>KHALFAN AHMED - ANAAB</v>
      </c>
      <c r="J719" s="753">
        <f t="shared" si="34"/>
        <v>2</v>
      </c>
      <c r="K719" s="1540">
        <f t="shared" si="35"/>
        <v>2023</v>
      </c>
      <c r="L719" s="757"/>
      <c r="M719" s="757"/>
      <c r="N719" s="757"/>
      <c r="O719" s="757"/>
      <c r="P719" s="757"/>
      <c r="Q719" s="757"/>
      <c r="R719" s="757"/>
      <c r="S719" s="757"/>
      <c r="T719" s="757"/>
      <c r="U719" s="757"/>
      <c r="V719" s="757"/>
      <c r="W719" s="757"/>
      <c r="X719" s="757"/>
      <c r="Y719" s="757"/>
      <c r="Z719" s="757"/>
      <c r="AA719" s="757"/>
      <c r="AB719" s="757"/>
      <c r="AC719" s="757"/>
      <c r="AD719" s="757"/>
      <c r="AE719" s="757"/>
      <c r="AF719" s="757"/>
      <c r="AG719" s="757"/>
      <c r="AH719" s="757"/>
      <c r="AI719" s="757"/>
      <c r="AJ719" s="757"/>
      <c r="AK719" s="757"/>
      <c r="AL719" s="757"/>
      <c r="AM719" s="757"/>
      <c r="AN719" s="757"/>
      <c r="AO719" s="757"/>
      <c r="AP719" s="757"/>
      <c r="AQ719" s="757"/>
      <c r="AR719" s="757"/>
      <c r="AS719" s="757"/>
      <c r="AT719" s="757"/>
      <c r="AU719" s="757"/>
      <c r="AV719" s="757"/>
      <c r="AW719" s="757"/>
      <c r="AX719" s="757"/>
      <c r="AY719" s="757"/>
      <c r="AZ719" s="75"/>
      <c r="BA719" s="2"/>
      <c r="BB719" s="2"/>
      <c r="BC719" s="2"/>
      <c r="BD719" s="2"/>
    </row>
    <row r="720" spans="1:56">
      <c r="A720" s="781">
        <v>1</v>
      </c>
      <c r="B720" s="782">
        <v>220</v>
      </c>
      <c r="C720" s="783">
        <v>45178</v>
      </c>
      <c r="D720" s="784" t="s">
        <v>758</v>
      </c>
      <c r="E720" s="807"/>
      <c r="F720" s="798">
        <v>61875</v>
      </c>
      <c r="G720" s="798">
        <v>3093.75</v>
      </c>
      <c r="H720" s="1592">
        <f t="shared" si="33"/>
        <v>64968.75</v>
      </c>
      <c r="I720" s="754" t="str">
        <f>IFERROR(VLOOKUP(B720,Mychart!$A$125:$B$911,2,FALSE),"-")</f>
        <v>KHALFAN AHMED - ANAAB</v>
      </c>
      <c r="J720" s="753">
        <f t="shared" si="34"/>
        <v>9</v>
      </c>
      <c r="K720" s="1540">
        <f t="shared" si="35"/>
        <v>2023</v>
      </c>
      <c r="L720" s="757"/>
      <c r="M720" s="757"/>
      <c r="N720" s="757"/>
      <c r="O720" s="757"/>
      <c r="P720" s="757"/>
      <c r="Q720" s="757"/>
      <c r="R720" s="757"/>
      <c r="S720" s="757"/>
      <c r="T720" s="757"/>
      <c r="U720" s="757"/>
      <c r="V720" s="757"/>
      <c r="W720" s="757"/>
      <c r="X720" s="757"/>
      <c r="Y720" s="757"/>
      <c r="Z720" s="757"/>
      <c r="AA720" s="757"/>
      <c r="AB720" s="757"/>
      <c r="AC720" s="757"/>
      <c r="AD720" s="757"/>
      <c r="AE720" s="757"/>
      <c r="AF720" s="757"/>
      <c r="AG720" s="757"/>
      <c r="AH720" s="757"/>
      <c r="AI720" s="757"/>
      <c r="AJ720" s="757"/>
      <c r="AK720" s="757"/>
      <c r="AL720" s="757"/>
      <c r="AM720" s="757"/>
      <c r="AN720" s="757"/>
      <c r="AO720" s="757"/>
      <c r="AP720" s="757"/>
      <c r="AQ720" s="757"/>
      <c r="AR720" s="757"/>
      <c r="AS720" s="757"/>
      <c r="AT720" s="757"/>
      <c r="AU720" s="757"/>
      <c r="AV720" s="757"/>
      <c r="AW720" s="757"/>
      <c r="AX720" s="757"/>
      <c r="AY720" s="757"/>
      <c r="AZ720" s="75"/>
      <c r="BA720" s="2"/>
      <c r="BB720" s="2"/>
      <c r="BC720" s="2"/>
      <c r="BD720" s="2"/>
    </row>
    <row r="721" spans="1:56">
      <c r="A721" s="781">
        <v>1</v>
      </c>
      <c r="B721" s="782">
        <v>220</v>
      </c>
      <c r="C721" s="783">
        <v>45372</v>
      </c>
      <c r="D721" s="784" t="s">
        <v>759</v>
      </c>
      <c r="E721" s="807"/>
      <c r="F721" s="798">
        <v>10000</v>
      </c>
      <c r="G721" s="798"/>
      <c r="H721" s="1592">
        <f t="shared" si="33"/>
        <v>10000</v>
      </c>
      <c r="I721" s="754" t="str">
        <f>IFERROR(VLOOKUP(B721,Mychart!$A$125:$B$911,2,FALSE),"-")</f>
        <v>KHALFAN AHMED - ANAAB</v>
      </c>
      <c r="J721" s="753">
        <f t="shared" si="34"/>
        <v>3</v>
      </c>
      <c r="K721" s="1540">
        <f t="shared" si="35"/>
        <v>2024</v>
      </c>
      <c r="L721" s="757"/>
      <c r="M721" s="757"/>
      <c r="N721" s="757"/>
      <c r="O721" s="757"/>
      <c r="P721" s="757"/>
      <c r="Q721" s="757"/>
      <c r="R721" s="757"/>
      <c r="S721" s="757"/>
      <c r="T721" s="757"/>
      <c r="U721" s="757"/>
      <c r="V721" s="757"/>
      <c r="W721" s="757"/>
      <c r="X721" s="757"/>
      <c r="Y721" s="757"/>
      <c r="Z721" s="757"/>
      <c r="AA721" s="757"/>
      <c r="AB721" s="757"/>
      <c r="AC721" s="757"/>
      <c r="AD721" s="757"/>
      <c r="AE721" s="757"/>
      <c r="AF721" s="757"/>
      <c r="AG721" s="757"/>
      <c r="AH721" s="757"/>
      <c r="AI721" s="757"/>
      <c r="AJ721" s="757"/>
      <c r="AK721" s="757"/>
      <c r="AL721" s="757"/>
      <c r="AM721" s="757"/>
      <c r="AN721" s="757"/>
      <c r="AO721" s="757"/>
      <c r="AP721" s="757"/>
      <c r="AQ721" s="757"/>
      <c r="AR721" s="757"/>
      <c r="AS721" s="757"/>
      <c r="AT721" s="757"/>
      <c r="AU721" s="757"/>
      <c r="AV721" s="757"/>
      <c r="AW721" s="757"/>
      <c r="AX721" s="757"/>
      <c r="AY721" s="757"/>
      <c r="AZ721" s="75"/>
      <c r="BA721" s="2"/>
      <c r="BB721" s="2"/>
      <c r="BC721" s="2"/>
      <c r="BD721" s="2"/>
    </row>
    <row r="722" spans="1:56">
      <c r="A722" s="781">
        <v>2</v>
      </c>
      <c r="B722" s="782">
        <v>220</v>
      </c>
      <c r="C722" s="783"/>
      <c r="D722" s="783" t="s">
        <v>177</v>
      </c>
      <c r="E722" s="808">
        <v>4698</v>
      </c>
      <c r="F722" s="799"/>
      <c r="G722" s="799"/>
      <c r="H722" s="1592">
        <f t="shared" si="33"/>
        <v>0</v>
      </c>
      <c r="I722" s="754" t="str">
        <f>IFERROR(VLOOKUP(B722,Mychart!$A$125:$B$911,2,FALSE),"-")</f>
        <v>KHALFAN AHMED - ANAAB</v>
      </c>
      <c r="J722" s="753" t="str">
        <f t="shared" si="34"/>
        <v>-</v>
      </c>
      <c r="K722" s="1540">
        <f t="shared" si="35"/>
        <v>1900</v>
      </c>
      <c r="L722" s="757"/>
      <c r="M722" s="757"/>
      <c r="N722" s="757"/>
      <c r="O722" s="757"/>
      <c r="P722" s="757"/>
      <c r="Q722" s="757"/>
      <c r="R722" s="757"/>
      <c r="S722" s="757"/>
      <c r="T722" s="757"/>
      <c r="U722" s="757"/>
      <c r="V722" s="757"/>
      <c r="W722" s="757"/>
      <c r="X722" s="757"/>
      <c r="Y722" s="757"/>
      <c r="Z722" s="757"/>
      <c r="AA722" s="757"/>
      <c r="AB722" s="757"/>
      <c r="AC722" s="757"/>
      <c r="AD722" s="757"/>
      <c r="AE722" s="757"/>
      <c r="AF722" s="757"/>
      <c r="AG722" s="757"/>
      <c r="AH722" s="757"/>
      <c r="AI722" s="757"/>
      <c r="AJ722" s="757"/>
      <c r="AK722" s="757"/>
      <c r="AL722" s="757"/>
      <c r="AM722" s="757"/>
      <c r="AN722" s="757"/>
      <c r="AO722" s="757"/>
      <c r="AP722" s="757"/>
      <c r="AQ722" s="757"/>
      <c r="AR722" s="757"/>
      <c r="AS722" s="757"/>
      <c r="AT722" s="757"/>
      <c r="AU722" s="757"/>
      <c r="AV722" s="757"/>
      <c r="AW722" s="757"/>
      <c r="AX722" s="757"/>
      <c r="AY722" s="757"/>
      <c r="AZ722" s="75"/>
      <c r="BA722" s="2"/>
      <c r="BB722" s="2"/>
      <c r="BC722" s="2"/>
      <c r="BD722" s="2"/>
    </row>
    <row r="723" spans="1:56">
      <c r="A723" s="781">
        <v>2</v>
      </c>
      <c r="B723" s="782">
        <v>220</v>
      </c>
      <c r="C723" s="783"/>
      <c r="D723" s="783" t="s">
        <v>258</v>
      </c>
      <c r="E723" s="808">
        <v>7645</v>
      </c>
      <c r="F723" s="799"/>
      <c r="G723" s="799"/>
      <c r="H723" s="1592">
        <f t="shared" si="33"/>
        <v>0</v>
      </c>
      <c r="I723" s="754" t="str">
        <f>IFERROR(VLOOKUP(B723,Mychart!$A$125:$B$911,2,FALSE),"-")</f>
        <v>KHALFAN AHMED - ANAAB</v>
      </c>
      <c r="J723" s="753" t="str">
        <f t="shared" si="34"/>
        <v>-</v>
      </c>
      <c r="K723" s="1540">
        <f t="shared" si="35"/>
        <v>1900</v>
      </c>
      <c r="L723" s="757"/>
      <c r="M723" s="757"/>
      <c r="N723" s="757"/>
      <c r="O723" s="757"/>
      <c r="P723" s="757"/>
      <c r="Q723" s="757"/>
      <c r="R723" s="757"/>
      <c r="S723" s="757"/>
      <c r="T723" s="757"/>
      <c r="U723" s="757"/>
      <c r="V723" s="757"/>
      <c r="W723" s="757"/>
      <c r="X723" s="757"/>
      <c r="Y723" s="757"/>
      <c r="Z723" s="757"/>
      <c r="AA723" s="757"/>
      <c r="AB723" s="757"/>
      <c r="AC723" s="757"/>
      <c r="AD723" s="757"/>
      <c r="AE723" s="757"/>
      <c r="AF723" s="757"/>
      <c r="AG723" s="757"/>
      <c r="AH723" s="757"/>
      <c r="AI723" s="757"/>
      <c r="AJ723" s="757"/>
      <c r="AK723" s="757"/>
      <c r="AL723" s="757"/>
      <c r="AM723" s="757"/>
      <c r="AN723" s="757"/>
      <c r="AO723" s="757"/>
      <c r="AP723" s="757"/>
      <c r="AQ723" s="757"/>
      <c r="AR723" s="757"/>
      <c r="AS723" s="757"/>
      <c r="AT723" s="757"/>
      <c r="AU723" s="757"/>
      <c r="AV723" s="757"/>
      <c r="AW723" s="757"/>
      <c r="AX723" s="757"/>
      <c r="AY723" s="757"/>
      <c r="AZ723" s="75"/>
      <c r="BA723" s="2"/>
      <c r="BB723" s="2"/>
      <c r="BC723" s="2"/>
      <c r="BD723" s="2"/>
    </row>
    <row r="724" spans="1:56">
      <c r="A724" s="781">
        <v>2</v>
      </c>
      <c r="B724" s="782">
        <v>220</v>
      </c>
      <c r="C724" s="783"/>
      <c r="D724" s="783" t="s">
        <v>177</v>
      </c>
      <c r="E724" s="808">
        <v>4950</v>
      </c>
      <c r="F724" s="799"/>
      <c r="G724" s="799"/>
      <c r="H724" s="1592">
        <f t="shared" si="33"/>
        <v>0</v>
      </c>
      <c r="I724" s="754" t="str">
        <f>IFERROR(VLOOKUP(B724,Mychart!$A$125:$B$911,2,FALSE),"-")</f>
        <v>KHALFAN AHMED - ANAAB</v>
      </c>
      <c r="J724" s="753" t="str">
        <f t="shared" si="34"/>
        <v>-</v>
      </c>
      <c r="K724" s="1540">
        <f t="shared" si="35"/>
        <v>1900</v>
      </c>
      <c r="L724" s="757"/>
      <c r="M724" s="757"/>
      <c r="N724" s="757"/>
      <c r="O724" s="757"/>
      <c r="P724" s="757"/>
      <c r="Q724" s="757"/>
      <c r="R724" s="757"/>
      <c r="S724" s="757"/>
      <c r="T724" s="757"/>
      <c r="U724" s="757"/>
      <c r="V724" s="757"/>
      <c r="W724" s="757"/>
      <c r="X724" s="757"/>
      <c r="Y724" s="757"/>
      <c r="Z724" s="757"/>
      <c r="AA724" s="757"/>
      <c r="AB724" s="757"/>
      <c r="AC724" s="757"/>
      <c r="AD724" s="757"/>
      <c r="AE724" s="757"/>
      <c r="AF724" s="757"/>
      <c r="AG724" s="757"/>
      <c r="AH724" s="757"/>
      <c r="AI724" s="757"/>
      <c r="AJ724" s="757"/>
      <c r="AK724" s="757"/>
      <c r="AL724" s="757"/>
      <c r="AM724" s="757"/>
      <c r="AN724" s="757"/>
      <c r="AO724" s="757"/>
      <c r="AP724" s="757"/>
      <c r="AQ724" s="757"/>
      <c r="AR724" s="757"/>
      <c r="AS724" s="757"/>
      <c r="AT724" s="757"/>
      <c r="AU724" s="757"/>
      <c r="AV724" s="757"/>
      <c r="AW724" s="757"/>
      <c r="AX724" s="757"/>
      <c r="AY724" s="757"/>
      <c r="AZ724" s="75"/>
      <c r="BA724" s="2"/>
      <c r="BB724" s="2"/>
      <c r="BC724" s="2"/>
      <c r="BD724" s="2"/>
    </row>
    <row r="725" spans="1:56">
      <c r="A725" s="781">
        <v>2</v>
      </c>
      <c r="B725" s="782">
        <v>220</v>
      </c>
      <c r="C725" s="783"/>
      <c r="D725" s="783" t="s">
        <v>177</v>
      </c>
      <c r="E725" s="808">
        <v>1465</v>
      </c>
      <c r="F725" s="799"/>
      <c r="G725" s="799"/>
      <c r="H725" s="1592">
        <f t="shared" si="33"/>
        <v>0</v>
      </c>
      <c r="I725" s="754" t="str">
        <f>IFERROR(VLOOKUP(B725,Mychart!$A$125:$B$911,2,FALSE),"-")</f>
        <v>KHALFAN AHMED - ANAAB</v>
      </c>
      <c r="J725" s="753" t="str">
        <f t="shared" si="34"/>
        <v>-</v>
      </c>
      <c r="K725" s="1540">
        <f t="shared" si="35"/>
        <v>1900</v>
      </c>
      <c r="L725" s="757"/>
      <c r="M725" s="757"/>
      <c r="N725" s="757"/>
      <c r="O725" s="757"/>
      <c r="P725" s="757"/>
      <c r="Q725" s="757"/>
      <c r="R725" s="757"/>
      <c r="S725" s="757"/>
      <c r="T725" s="757"/>
      <c r="U725" s="757"/>
      <c r="V725" s="757"/>
      <c r="W725" s="757"/>
      <c r="X725" s="757"/>
      <c r="Y725" s="757"/>
      <c r="Z725" s="757"/>
      <c r="AA725" s="757"/>
      <c r="AB725" s="757"/>
      <c r="AC725" s="757"/>
      <c r="AD725" s="757"/>
      <c r="AE725" s="757"/>
      <c r="AF725" s="757"/>
      <c r="AG725" s="757"/>
      <c r="AH725" s="757"/>
      <c r="AI725" s="757"/>
      <c r="AJ725" s="757"/>
      <c r="AK725" s="757"/>
      <c r="AL725" s="757"/>
      <c r="AM725" s="757"/>
      <c r="AN725" s="757"/>
      <c r="AO725" s="757"/>
      <c r="AP725" s="757"/>
      <c r="AQ725" s="757"/>
      <c r="AR725" s="757"/>
      <c r="AS725" s="757"/>
      <c r="AT725" s="757"/>
      <c r="AU725" s="757"/>
      <c r="AV725" s="757"/>
      <c r="AW725" s="757"/>
      <c r="AX725" s="757"/>
      <c r="AY725" s="757"/>
      <c r="AZ725" s="75"/>
      <c r="BA725" s="2"/>
      <c r="BB725" s="2"/>
      <c r="BC725" s="2"/>
      <c r="BD725" s="2"/>
    </row>
    <row r="726" spans="1:56">
      <c r="A726" s="781">
        <v>2</v>
      </c>
      <c r="B726" s="782">
        <v>220</v>
      </c>
      <c r="C726" s="783"/>
      <c r="D726" s="783" t="s">
        <v>224</v>
      </c>
      <c r="E726" s="808">
        <v>36073</v>
      </c>
      <c r="F726" s="799"/>
      <c r="G726" s="799"/>
      <c r="H726" s="1592">
        <f t="shared" si="33"/>
        <v>0</v>
      </c>
      <c r="I726" s="754" t="str">
        <f>IFERROR(VLOOKUP(B726,Mychart!$A$125:$B$911,2,FALSE),"-")</f>
        <v>KHALFAN AHMED - ANAAB</v>
      </c>
      <c r="J726" s="753" t="str">
        <f t="shared" si="34"/>
        <v>-</v>
      </c>
      <c r="K726" s="1540">
        <f t="shared" si="35"/>
        <v>1900</v>
      </c>
      <c r="L726" s="757"/>
      <c r="M726" s="757"/>
      <c r="N726" s="757"/>
      <c r="O726" s="757"/>
      <c r="P726" s="757"/>
      <c r="Q726" s="757"/>
      <c r="R726" s="757"/>
      <c r="S726" s="757"/>
      <c r="T726" s="757"/>
      <c r="U726" s="757"/>
      <c r="V726" s="757"/>
      <c r="W726" s="757"/>
      <c r="X726" s="757"/>
      <c r="Y726" s="757"/>
      <c r="Z726" s="757"/>
      <c r="AA726" s="757"/>
      <c r="AB726" s="757"/>
      <c r="AC726" s="757"/>
      <c r="AD726" s="757"/>
      <c r="AE726" s="757"/>
      <c r="AF726" s="757"/>
      <c r="AG726" s="757"/>
      <c r="AH726" s="757"/>
      <c r="AI726" s="757"/>
      <c r="AJ726" s="757"/>
      <c r="AK726" s="757"/>
      <c r="AL726" s="757"/>
      <c r="AM726" s="757"/>
      <c r="AN726" s="757"/>
      <c r="AO726" s="757"/>
      <c r="AP726" s="757"/>
      <c r="AQ726" s="757"/>
      <c r="AR726" s="757"/>
      <c r="AS726" s="757"/>
      <c r="AT726" s="757"/>
      <c r="AU726" s="757"/>
      <c r="AV726" s="757"/>
      <c r="AW726" s="757"/>
      <c r="AX726" s="757"/>
      <c r="AY726" s="757"/>
      <c r="AZ726" s="75"/>
      <c r="BA726" s="2"/>
      <c r="BB726" s="2"/>
      <c r="BC726" s="2"/>
      <c r="BD726" s="2"/>
    </row>
    <row r="727" spans="1:56">
      <c r="A727" s="781">
        <v>2</v>
      </c>
      <c r="B727" s="782">
        <v>220</v>
      </c>
      <c r="C727" s="783"/>
      <c r="D727" s="783" t="s">
        <v>177</v>
      </c>
      <c r="E727" s="808">
        <v>673</v>
      </c>
      <c r="F727" s="799"/>
      <c r="G727" s="799"/>
      <c r="H727" s="1592">
        <f t="shared" si="33"/>
        <v>0</v>
      </c>
      <c r="I727" s="754" t="str">
        <f>IFERROR(VLOOKUP(B727,Mychart!$A$125:$B$911,2,FALSE),"-")</f>
        <v>KHALFAN AHMED - ANAAB</v>
      </c>
      <c r="J727" s="753" t="str">
        <f t="shared" si="34"/>
        <v>-</v>
      </c>
      <c r="K727" s="1540">
        <f t="shared" si="35"/>
        <v>1900</v>
      </c>
      <c r="L727" s="757"/>
      <c r="M727" s="757"/>
      <c r="N727" s="757"/>
      <c r="O727" s="757"/>
      <c r="P727" s="757"/>
      <c r="Q727" s="757"/>
      <c r="R727" s="757"/>
      <c r="S727" s="757"/>
      <c r="T727" s="757"/>
      <c r="U727" s="757"/>
      <c r="V727" s="757"/>
      <c r="W727" s="757"/>
      <c r="X727" s="757"/>
      <c r="Y727" s="757"/>
      <c r="Z727" s="757"/>
      <c r="AA727" s="757"/>
      <c r="AB727" s="757"/>
      <c r="AC727" s="757"/>
      <c r="AD727" s="757"/>
      <c r="AE727" s="757"/>
      <c r="AF727" s="757"/>
      <c r="AG727" s="757"/>
      <c r="AH727" s="757"/>
      <c r="AI727" s="757"/>
      <c r="AJ727" s="757"/>
      <c r="AK727" s="757"/>
      <c r="AL727" s="757"/>
      <c r="AM727" s="757"/>
      <c r="AN727" s="757"/>
      <c r="AO727" s="757"/>
      <c r="AP727" s="757"/>
      <c r="AQ727" s="757"/>
      <c r="AR727" s="757"/>
      <c r="AS727" s="757"/>
      <c r="AT727" s="757"/>
      <c r="AU727" s="757"/>
      <c r="AV727" s="757"/>
      <c r="AW727" s="757"/>
      <c r="AX727" s="757"/>
      <c r="AY727" s="757"/>
      <c r="AZ727" s="75"/>
      <c r="BA727" s="2"/>
      <c r="BB727" s="2"/>
      <c r="BC727" s="2"/>
      <c r="BD727" s="2"/>
    </row>
    <row r="728" spans="1:56">
      <c r="A728" s="781">
        <v>2</v>
      </c>
      <c r="B728" s="782">
        <v>220</v>
      </c>
      <c r="C728" s="783"/>
      <c r="D728" s="783" t="s">
        <v>177</v>
      </c>
      <c r="E728" s="808">
        <v>3795</v>
      </c>
      <c r="F728" s="799"/>
      <c r="G728" s="799"/>
      <c r="H728" s="1592">
        <f t="shared" si="33"/>
        <v>0</v>
      </c>
      <c r="I728" s="754" t="str">
        <f>IFERROR(VLOOKUP(B728,Mychart!$A$125:$B$911,2,FALSE),"-")</f>
        <v>KHALFAN AHMED - ANAAB</v>
      </c>
      <c r="J728" s="753" t="str">
        <f t="shared" si="34"/>
        <v>-</v>
      </c>
      <c r="K728" s="1540">
        <f t="shared" si="35"/>
        <v>1900</v>
      </c>
      <c r="L728" s="757"/>
      <c r="M728" s="757"/>
      <c r="N728" s="757"/>
      <c r="O728" s="757"/>
      <c r="P728" s="757"/>
      <c r="Q728" s="757"/>
      <c r="R728" s="757"/>
      <c r="S728" s="757"/>
      <c r="T728" s="757"/>
      <c r="U728" s="757"/>
      <c r="V728" s="757"/>
      <c r="W728" s="757"/>
      <c r="X728" s="757"/>
      <c r="Y728" s="757"/>
      <c r="Z728" s="757"/>
      <c r="AA728" s="757"/>
      <c r="AB728" s="757"/>
      <c r="AC728" s="757"/>
      <c r="AD728" s="757"/>
      <c r="AE728" s="757"/>
      <c r="AF728" s="757"/>
      <c r="AG728" s="757"/>
      <c r="AH728" s="757"/>
      <c r="AI728" s="757"/>
      <c r="AJ728" s="757"/>
      <c r="AK728" s="757"/>
      <c r="AL728" s="757"/>
      <c r="AM728" s="757"/>
      <c r="AN728" s="757"/>
      <c r="AO728" s="757"/>
      <c r="AP728" s="757"/>
      <c r="AQ728" s="757"/>
      <c r="AR728" s="757"/>
      <c r="AS728" s="757"/>
      <c r="AT728" s="757"/>
      <c r="AU728" s="757"/>
      <c r="AV728" s="757"/>
      <c r="AW728" s="757"/>
      <c r="AX728" s="757"/>
      <c r="AY728" s="757"/>
      <c r="AZ728" s="75"/>
      <c r="BA728" s="2"/>
      <c r="BB728" s="2"/>
      <c r="BC728" s="2"/>
      <c r="BD728" s="2"/>
    </row>
    <row r="729" spans="1:56">
      <c r="A729" s="781">
        <v>2</v>
      </c>
      <c r="B729" s="782">
        <v>220</v>
      </c>
      <c r="C729" s="783"/>
      <c r="D729" s="783" t="s">
        <v>736</v>
      </c>
      <c r="E729" s="808">
        <v>500</v>
      </c>
      <c r="F729" s="799"/>
      <c r="G729" s="799"/>
      <c r="H729" s="1592">
        <f t="shared" si="33"/>
        <v>0</v>
      </c>
      <c r="I729" s="754" t="str">
        <f>IFERROR(VLOOKUP(B729,Mychart!$A$125:$B$911,2,FALSE),"-")</f>
        <v>KHALFAN AHMED - ANAAB</v>
      </c>
      <c r="J729" s="753" t="str">
        <f t="shared" si="34"/>
        <v>-</v>
      </c>
      <c r="K729" s="1540">
        <f t="shared" si="35"/>
        <v>1900</v>
      </c>
      <c r="L729" s="757"/>
      <c r="M729" s="757"/>
      <c r="N729" s="757"/>
      <c r="O729" s="757"/>
      <c r="P729" s="757"/>
      <c r="Q729" s="757"/>
      <c r="R729" s="757"/>
      <c r="S729" s="757"/>
      <c r="T729" s="757"/>
      <c r="U729" s="757"/>
      <c r="V729" s="757"/>
      <c r="W729" s="757"/>
      <c r="X729" s="757"/>
      <c r="Y729" s="757"/>
      <c r="Z729" s="757"/>
      <c r="AA729" s="757"/>
      <c r="AB729" s="757"/>
      <c r="AC729" s="757"/>
      <c r="AD729" s="757"/>
      <c r="AE729" s="757"/>
      <c r="AF729" s="757"/>
      <c r="AG729" s="757"/>
      <c r="AH729" s="757"/>
      <c r="AI729" s="757"/>
      <c r="AJ729" s="757"/>
      <c r="AK729" s="757"/>
      <c r="AL729" s="757"/>
      <c r="AM729" s="757"/>
      <c r="AN729" s="757"/>
      <c r="AO729" s="757"/>
      <c r="AP729" s="757"/>
      <c r="AQ729" s="757"/>
      <c r="AR729" s="757"/>
      <c r="AS729" s="757"/>
      <c r="AT729" s="757"/>
      <c r="AU729" s="757"/>
      <c r="AV729" s="757"/>
      <c r="AW729" s="757"/>
      <c r="AX729" s="757"/>
      <c r="AY729" s="757"/>
      <c r="AZ729" s="75"/>
      <c r="BA729" s="2"/>
      <c r="BB729" s="2"/>
      <c r="BC729" s="2"/>
      <c r="BD729" s="2"/>
    </row>
    <row r="730" spans="1:56">
      <c r="A730" s="781">
        <v>2</v>
      </c>
      <c r="B730" s="782">
        <v>220</v>
      </c>
      <c r="C730" s="783" t="s">
        <v>760</v>
      </c>
      <c r="D730" s="783" t="s">
        <v>761</v>
      </c>
      <c r="E730" s="808">
        <v>1262</v>
      </c>
      <c r="F730" s="799"/>
      <c r="G730" s="799"/>
      <c r="H730" s="1592">
        <f t="shared" si="33"/>
        <v>0</v>
      </c>
      <c r="I730" s="754" t="str">
        <f>IFERROR(VLOOKUP(B730,Mychart!$A$125:$B$911,2,FALSE),"-")</f>
        <v>KHALFAN AHMED - ANAAB</v>
      </c>
      <c r="J730" s="753">
        <f t="shared" si="34"/>
        <v>3</v>
      </c>
      <c r="K730" s="1540">
        <f t="shared" si="35"/>
        <v>2024</v>
      </c>
      <c r="L730" s="757"/>
      <c r="M730" s="757"/>
      <c r="N730" s="757"/>
      <c r="O730" s="757"/>
      <c r="P730" s="757"/>
      <c r="Q730" s="757"/>
      <c r="R730" s="757"/>
      <c r="S730" s="757"/>
      <c r="T730" s="757"/>
      <c r="U730" s="757"/>
      <c r="V730" s="757"/>
      <c r="W730" s="757"/>
      <c r="X730" s="757"/>
      <c r="Y730" s="757"/>
      <c r="Z730" s="757"/>
      <c r="AA730" s="757"/>
      <c r="AB730" s="757"/>
      <c r="AC730" s="757"/>
      <c r="AD730" s="757"/>
      <c r="AE730" s="757"/>
      <c r="AF730" s="757"/>
      <c r="AG730" s="757"/>
      <c r="AH730" s="757"/>
      <c r="AI730" s="757"/>
      <c r="AJ730" s="757"/>
      <c r="AK730" s="757"/>
      <c r="AL730" s="757"/>
      <c r="AM730" s="757"/>
      <c r="AN730" s="757"/>
      <c r="AO730" s="757"/>
      <c r="AP730" s="757"/>
      <c r="AQ730" s="757"/>
      <c r="AR730" s="757"/>
      <c r="AS730" s="757"/>
      <c r="AT730" s="757"/>
      <c r="AU730" s="757"/>
      <c r="AV730" s="757"/>
      <c r="AW730" s="757"/>
      <c r="AX730" s="757"/>
      <c r="AY730" s="757"/>
      <c r="AZ730" s="75"/>
      <c r="BA730" s="2"/>
      <c r="BB730" s="2"/>
      <c r="BC730" s="2"/>
      <c r="BD730" s="2"/>
    </row>
    <row r="731" spans="1:56">
      <c r="A731" s="781">
        <v>1</v>
      </c>
      <c r="B731" s="782">
        <v>241</v>
      </c>
      <c r="C731" s="783">
        <v>45196</v>
      </c>
      <c r="D731" s="786" t="s">
        <v>767</v>
      </c>
      <c r="E731" s="807"/>
      <c r="F731" s="798">
        <v>25500</v>
      </c>
      <c r="G731" s="798">
        <v>1275</v>
      </c>
      <c r="H731" s="1592">
        <f t="shared" si="33"/>
        <v>26775</v>
      </c>
      <c r="I731" s="754" t="str">
        <f>IFERROR(VLOOKUP(B731,Mychart!$A$125:$B$911,2,FALSE),"-")</f>
        <v>KHALIFA . ARCHPIX</v>
      </c>
      <c r="J731" s="753">
        <f t="shared" si="34"/>
        <v>9</v>
      </c>
      <c r="K731" s="1540">
        <f t="shared" si="35"/>
        <v>2023</v>
      </c>
      <c r="L731" s="757"/>
      <c r="M731" s="757"/>
      <c r="N731" s="757"/>
      <c r="O731" s="757"/>
      <c r="P731" s="757"/>
      <c r="Q731" s="757"/>
      <c r="R731" s="757"/>
      <c r="S731" s="757"/>
      <c r="T731" s="757"/>
      <c r="U731" s="757"/>
      <c r="V731" s="757"/>
      <c r="W731" s="757"/>
      <c r="X731" s="757"/>
      <c r="Y731" s="757"/>
      <c r="Z731" s="757"/>
      <c r="AA731" s="757"/>
      <c r="AB731" s="757"/>
      <c r="AC731" s="757"/>
      <c r="AD731" s="757"/>
      <c r="AE731" s="757"/>
      <c r="AF731" s="757"/>
      <c r="AG731" s="757"/>
      <c r="AH731" s="757"/>
      <c r="AI731" s="757"/>
      <c r="AJ731" s="757"/>
      <c r="AK731" s="757"/>
      <c r="AL731" s="757"/>
      <c r="AM731" s="757"/>
      <c r="AN731" s="757"/>
      <c r="AO731" s="757"/>
      <c r="AP731" s="757"/>
      <c r="AQ731" s="757"/>
      <c r="AR731" s="757"/>
      <c r="AS731" s="757"/>
      <c r="AT731" s="757"/>
      <c r="AU731" s="757"/>
      <c r="AV731" s="757"/>
      <c r="AW731" s="757"/>
      <c r="AX731" s="757"/>
      <c r="AY731" s="757"/>
      <c r="AZ731" s="75"/>
      <c r="BA731" s="2"/>
      <c r="BB731" s="2"/>
      <c r="BC731" s="2"/>
      <c r="BD731" s="2"/>
    </row>
    <row r="732" spans="1:56">
      <c r="A732" s="781">
        <v>1</v>
      </c>
      <c r="B732" s="782">
        <v>241</v>
      </c>
      <c r="C732" s="783"/>
      <c r="D732" s="784" t="s">
        <v>419</v>
      </c>
      <c r="E732" s="807"/>
      <c r="F732" s="798">
        <v>60000</v>
      </c>
      <c r="G732" s="798"/>
      <c r="H732" s="1592">
        <f t="shared" si="33"/>
        <v>60000</v>
      </c>
      <c r="I732" s="754" t="str">
        <f>IFERROR(VLOOKUP(B732,Mychart!$A$125:$B$911,2,FALSE),"-")</f>
        <v>KHALIFA . ARCHPIX</v>
      </c>
      <c r="J732" s="753" t="str">
        <f t="shared" si="34"/>
        <v>-</v>
      </c>
      <c r="K732" s="1540">
        <f t="shared" si="35"/>
        <v>1900</v>
      </c>
      <c r="L732" s="757"/>
      <c r="M732" s="757"/>
      <c r="N732" s="757"/>
      <c r="O732" s="757"/>
      <c r="P732" s="757"/>
      <c r="Q732" s="757"/>
      <c r="R732" s="757"/>
      <c r="S732" s="757"/>
      <c r="T732" s="757"/>
      <c r="U732" s="757"/>
      <c r="V732" s="757"/>
      <c r="W732" s="757"/>
      <c r="X732" s="757"/>
      <c r="Y732" s="757"/>
      <c r="Z732" s="757"/>
      <c r="AA732" s="757"/>
      <c r="AB732" s="757"/>
      <c r="AC732" s="757"/>
      <c r="AD732" s="757"/>
      <c r="AE732" s="757"/>
      <c r="AF732" s="757"/>
      <c r="AG732" s="757"/>
      <c r="AH732" s="757"/>
      <c r="AI732" s="757"/>
      <c r="AJ732" s="757"/>
      <c r="AK732" s="757"/>
      <c r="AL732" s="757"/>
      <c r="AM732" s="757"/>
      <c r="AN732" s="757"/>
      <c r="AO732" s="757"/>
      <c r="AP732" s="757"/>
      <c r="AQ732" s="757"/>
      <c r="AR732" s="757"/>
      <c r="AS732" s="757"/>
      <c r="AT732" s="757"/>
      <c r="AU732" s="757"/>
      <c r="AV732" s="757"/>
      <c r="AW732" s="757"/>
      <c r="AX732" s="757"/>
      <c r="AY732" s="757"/>
      <c r="AZ732" s="75"/>
      <c r="BA732" s="2"/>
      <c r="BB732" s="2"/>
      <c r="BC732" s="2"/>
      <c r="BD732" s="2"/>
    </row>
    <row r="733" spans="1:56">
      <c r="A733" s="781">
        <v>1</v>
      </c>
      <c r="B733" s="782">
        <v>241</v>
      </c>
      <c r="C733" s="783"/>
      <c r="D733" s="784" t="s">
        <v>420</v>
      </c>
      <c r="E733" s="807"/>
      <c r="F733" s="798">
        <v>5000</v>
      </c>
      <c r="G733" s="798"/>
      <c r="H733" s="1592">
        <f t="shared" si="33"/>
        <v>5000</v>
      </c>
      <c r="I733" s="754" t="str">
        <f>IFERROR(VLOOKUP(B733,Mychart!$A$125:$B$911,2,FALSE),"-")</f>
        <v>KHALIFA . ARCHPIX</v>
      </c>
      <c r="J733" s="753" t="str">
        <f t="shared" si="34"/>
        <v>-</v>
      </c>
      <c r="K733" s="1540">
        <f t="shared" si="35"/>
        <v>1900</v>
      </c>
      <c r="L733" s="757"/>
      <c r="M733" s="757"/>
      <c r="N733" s="757"/>
      <c r="O733" s="757"/>
      <c r="P733" s="757"/>
      <c r="Q733" s="757"/>
      <c r="R733" s="757"/>
      <c r="S733" s="757"/>
      <c r="T733" s="757"/>
      <c r="U733" s="757"/>
      <c r="V733" s="757"/>
      <c r="W733" s="757"/>
      <c r="X733" s="757"/>
      <c r="Y733" s="757"/>
      <c r="Z733" s="757"/>
      <c r="AA733" s="757"/>
      <c r="AB733" s="757"/>
      <c r="AC733" s="757"/>
      <c r="AD733" s="757"/>
      <c r="AE733" s="757"/>
      <c r="AF733" s="757"/>
      <c r="AG733" s="757"/>
      <c r="AH733" s="757"/>
      <c r="AI733" s="757"/>
      <c r="AJ733" s="757"/>
      <c r="AK733" s="757"/>
      <c r="AL733" s="757"/>
      <c r="AM733" s="757"/>
      <c r="AN733" s="757"/>
      <c r="AO733" s="757"/>
      <c r="AP733" s="757"/>
      <c r="AQ733" s="757"/>
      <c r="AR733" s="757"/>
      <c r="AS733" s="757"/>
      <c r="AT733" s="757"/>
      <c r="AU733" s="757"/>
      <c r="AV733" s="757"/>
      <c r="AW733" s="757"/>
      <c r="AX733" s="757"/>
      <c r="AY733" s="757"/>
      <c r="AZ733" s="75"/>
      <c r="BA733" s="2"/>
      <c r="BB733" s="2"/>
      <c r="BC733" s="2"/>
      <c r="BD733" s="2"/>
    </row>
    <row r="734" spans="1:56">
      <c r="A734" s="781">
        <v>1</v>
      </c>
      <c r="B734" s="782">
        <v>241</v>
      </c>
      <c r="C734" s="783"/>
      <c r="D734" s="784" t="s">
        <v>768</v>
      </c>
      <c r="E734" s="807"/>
      <c r="F734" s="798">
        <v>3000</v>
      </c>
      <c r="G734" s="798">
        <v>3400</v>
      </c>
      <c r="H734" s="1592">
        <f t="shared" si="33"/>
        <v>6400</v>
      </c>
      <c r="I734" s="754" t="str">
        <f>IFERROR(VLOOKUP(B734,Mychart!$A$125:$B$911,2,FALSE),"-")</f>
        <v>KHALIFA . ARCHPIX</v>
      </c>
      <c r="J734" s="753" t="str">
        <f t="shared" si="34"/>
        <v>-</v>
      </c>
      <c r="K734" s="1540">
        <f t="shared" si="35"/>
        <v>1900</v>
      </c>
      <c r="L734" s="757"/>
      <c r="M734" s="757"/>
      <c r="N734" s="757"/>
      <c r="O734" s="757"/>
      <c r="P734" s="757"/>
      <c r="Q734" s="757"/>
      <c r="R734" s="757"/>
      <c r="S734" s="757"/>
      <c r="T734" s="757"/>
      <c r="U734" s="757"/>
      <c r="V734" s="757"/>
      <c r="W734" s="757"/>
      <c r="X734" s="757"/>
      <c r="Y734" s="757"/>
      <c r="Z734" s="757"/>
      <c r="AA734" s="757"/>
      <c r="AB734" s="757"/>
      <c r="AC734" s="757"/>
      <c r="AD734" s="757"/>
      <c r="AE734" s="757"/>
      <c r="AF734" s="757"/>
      <c r="AG734" s="757"/>
      <c r="AH734" s="757"/>
      <c r="AI734" s="757"/>
      <c r="AJ734" s="757"/>
      <c r="AK734" s="757"/>
      <c r="AL734" s="757"/>
      <c r="AM734" s="757"/>
      <c r="AN734" s="757"/>
      <c r="AO734" s="757"/>
      <c r="AP734" s="757"/>
      <c r="AQ734" s="757"/>
      <c r="AR734" s="757"/>
      <c r="AS734" s="757"/>
      <c r="AT734" s="757"/>
      <c r="AU734" s="757"/>
      <c r="AV734" s="757"/>
      <c r="AW734" s="757"/>
      <c r="AX734" s="757"/>
      <c r="AY734" s="757"/>
      <c r="AZ734" s="75"/>
      <c r="BA734" s="2"/>
      <c r="BB734" s="2"/>
      <c r="BC734" s="2"/>
      <c r="BD734" s="2"/>
    </row>
    <row r="735" spans="1:56">
      <c r="A735" s="781">
        <v>2</v>
      </c>
      <c r="B735" s="782">
        <v>241</v>
      </c>
      <c r="C735" s="783"/>
      <c r="D735" s="783" t="s">
        <v>444</v>
      </c>
      <c r="E735" s="808">
        <v>10500</v>
      </c>
      <c r="F735" s="799"/>
      <c r="G735" s="799"/>
      <c r="H735" s="1592">
        <f t="shared" si="33"/>
        <v>0</v>
      </c>
      <c r="I735" s="754" t="str">
        <f>IFERROR(VLOOKUP(B735,Mychart!$A$125:$B$911,2,FALSE),"-")</f>
        <v>KHALIFA . ARCHPIX</v>
      </c>
      <c r="J735" s="753" t="str">
        <f t="shared" si="34"/>
        <v>-</v>
      </c>
      <c r="K735" s="1540">
        <f t="shared" si="35"/>
        <v>1900</v>
      </c>
      <c r="L735" s="757"/>
      <c r="M735" s="757"/>
      <c r="N735" s="757"/>
      <c r="O735" s="757"/>
      <c r="P735" s="757"/>
      <c r="Q735" s="757"/>
      <c r="R735" s="757"/>
      <c r="S735" s="757"/>
      <c r="T735" s="757"/>
      <c r="U735" s="757"/>
      <c r="V735" s="757"/>
      <c r="W735" s="757"/>
      <c r="X735" s="757"/>
      <c r="Y735" s="757"/>
      <c r="Z735" s="757"/>
      <c r="AA735" s="757"/>
      <c r="AB735" s="757"/>
      <c r="AC735" s="757"/>
      <c r="AD735" s="757"/>
      <c r="AE735" s="757"/>
      <c r="AF735" s="757"/>
      <c r="AG735" s="757"/>
      <c r="AH735" s="757"/>
      <c r="AI735" s="757"/>
      <c r="AJ735" s="757"/>
      <c r="AK735" s="757"/>
      <c r="AL735" s="757"/>
      <c r="AM735" s="757"/>
      <c r="AN735" s="757"/>
      <c r="AO735" s="757"/>
      <c r="AP735" s="757"/>
      <c r="AQ735" s="757"/>
      <c r="AR735" s="757"/>
      <c r="AS735" s="757"/>
      <c r="AT735" s="757"/>
      <c r="AU735" s="757"/>
      <c r="AV735" s="757"/>
      <c r="AW735" s="757"/>
      <c r="AX735" s="757"/>
      <c r="AY735" s="757"/>
      <c r="AZ735" s="75"/>
      <c r="BA735" s="2"/>
      <c r="BB735" s="2"/>
      <c r="BC735" s="2"/>
      <c r="BD735" s="2"/>
    </row>
    <row r="736" spans="1:56">
      <c r="A736" s="781">
        <v>2</v>
      </c>
      <c r="B736" s="782">
        <v>241</v>
      </c>
      <c r="C736" s="783"/>
      <c r="D736" s="783" t="s">
        <v>445</v>
      </c>
      <c r="E736" s="808">
        <v>2000</v>
      </c>
      <c r="F736" s="799"/>
      <c r="G736" s="799"/>
      <c r="H736" s="1592">
        <f t="shared" si="33"/>
        <v>0</v>
      </c>
      <c r="I736" s="754" t="str">
        <f>IFERROR(VLOOKUP(B736,Mychart!$A$125:$B$911,2,FALSE),"-")</f>
        <v>KHALIFA . ARCHPIX</v>
      </c>
      <c r="J736" s="753" t="str">
        <f t="shared" si="34"/>
        <v>-</v>
      </c>
      <c r="K736" s="1540">
        <f t="shared" si="35"/>
        <v>1900</v>
      </c>
      <c r="L736" s="757"/>
      <c r="M736" s="757"/>
      <c r="N736" s="757"/>
      <c r="O736" s="757"/>
      <c r="P736" s="757"/>
      <c r="Q736" s="757"/>
      <c r="R736" s="757"/>
      <c r="S736" s="757"/>
      <c r="T736" s="757"/>
      <c r="U736" s="757"/>
      <c r="V736" s="757"/>
      <c r="W736" s="757"/>
      <c r="X736" s="757"/>
      <c r="Y736" s="757"/>
      <c r="Z736" s="757"/>
      <c r="AA736" s="757"/>
      <c r="AB736" s="757"/>
      <c r="AC736" s="757"/>
      <c r="AD736" s="757"/>
      <c r="AE736" s="757"/>
      <c r="AF736" s="757"/>
      <c r="AG736" s="757"/>
      <c r="AH736" s="757"/>
      <c r="AI736" s="757"/>
      <c r="AJ736" s="757"/>
      <c r="AK736" s="757"/>
      <c r="AL736" s="757"/>
      <c r="AM736" s="757"/>
      <c r="AN736" s="757"/>
      <c r="AO736" s="757"/>
      <c r="AP736" s="757"/>
      <c r="AQ736" s="757"/>
      <c r="AR736" s="757"/>
      <c r="AS736" s="757"/>
      <c r="AT736" s="757"/>
      <c r="AU736" s="757"/>
      <c r="AV736" s="757"/>
      <c r="AW736" s="757"/>
      <c r="AX736" s="757"/>
      <c r="AY736" s="757"/>
      <c r="AZ736" s="75"/>
      <c r="BA736" s="2"/>
      <c r="BB736" s="2"/>
      <c r="BC736" s="2"/>
      <c r="BD736" s="2"/>
    </row>
    <row r="737" spans="1:56">
      <c r="A737" s="781">
        <v>2</v>
      </c>
      <c r="B737" s="782">
        <v>241</v>
      </c>
      <c r="C737" s="783"/>
      <c r="D737" s="783" t="s">
        <v>769</v>
      </c>
      <c r="E737" s="808">
        <v>1000</v>
      </c>
      <c r="F737" s="799"/>
      <c r="G737" s="799"/>
      <c r="H737" s="1592">
        <f t="shared" si="33"/>
        <v>0</v>
      </c>
      <c r="I737" s="754" t="str">
        <f>IFERROR(VLOOKUP(B737,Mychart!$A$125:$B$911,2,FALSE),"-")</f>
        <v>KHALIFA . ARCHPIX</v>
      </c>
      <c r="J737" s="753" t="str">
        <f t="shared" si="34"/>
        <v>-</v>
      </c>
      <c r="K737" s="1540">
        <f t="shared" si="35"/>
        <v>1900</v>
      </c>
      <c r="L737" s="757"/>
      <c r="M737" s="757"/>
      <c r="N737" s="757"/>
      <c r="O737" s="757"/>
      <c r="P737" s="757"/>
      <c r="Q737" s="757"/>
      <c r="R737" s="757"/>
      <c r="S737" s="757"/>
      <c r="T737" s="757"/>
      <c r="U737" s="757"/>
      <c r="V737" s="757"/>
      <c r="W737" s="757"/>
      <c r="X737" s="757"/>
      <c r="Y737" s="757"/>
      <c r="Z737" s="757"/>
      <c r="AA737" s="757"/>
      <c r="AB737" s="757"/>
      <c r="AC737" s="757"/>
      <c r="AD737" s="757"/>
      <c r="AE737" s="757"/>
      <c r="AF737" s="757"/>
      <c r="AG737" s="757"/>
      <c r="AH737" s="757"/>
      <c r="AI737" s="757"/>
      <c r="AJ737" s="757"/>
      <c r="AK737" s="757"/>
      <c r="AL737" s="757"/>
      <c r="AM737" s="757"/>
      <c r="AN737" s="757"/>
      <c r="AO737" s="757"/>
      <c r="AP737" s="757"/>
      <c r="AQ737" s="757"/>
      <c r="AR737" s="757"/>
      <c r="AS737" s="757"/>
      <c r="AT737" s="757"/>
      <c r="AU737" s="757"/>
      <c r="AV737" s="757"/>
      <c r="AW737" s="757"/>
      <c r="AX737" s="757"/>
      <c r="AY737" s="757"/>
      <c r="AZ737" s="75"/>
      <c r="BA737" s="2"/>
      <c r="BB737" s="2"/>
      <c r="BC737" s="2"/>
      <c r="BD737" s="2"/>
    </row>
    <row r="738" spans="1:56">
      <c r="A738" s="781">
        <v>2</v>
      </c>
      <c r="B738" s="782">
        <v>241</v>
      </c>
      <c r="C738" s="783">
        <v>45387</v>
      </c>
      <c r="D738" s="783" t="s">
        <v>228</v>
      </c>
      <c r="E738" s="808">
        <v>5112.9799999999996</v>
      </c>
      <c r="F738" s="799"/>
      <c r="G738" s="799"/>
      <c r="H738" s="1592">
        <f t="shared" si="33"/>
        <v>0</v>
      </c>
      <c r="I738" s="754" t="str">
        <f>IFERROR(VLOOKUP(B738,Mychart!$A$125:$B$911,2,FALSE),"-")</f>
        <v>KHALIFA . ARCHPIX</v>
      </c>
      <c r="J738" s="753">
        <f t="shared" si="34"/>
        <v>4</v>
      </c>
      <c r="K738" s="1540">
        <f t="shared" si="35"/>
        <v>2024</v>
      </c>
      <c r="L738" s="757"/>
      <c r="M738" s="757"/>
      <c r="N738" s="757"/>
      <c r="O738" s="757"/>
      <c r="P738" s="757"/>
      <c r="Q738" s="757"/>
      <c r="R738" s="757"/>
      <c r="S738" s="757"/>
      <c r="T738" s="757"/>
      <c r="U738" s="757"/>
      <c r="V738" s="757"/>
      <c r="W738" s="757"/>
      <c r="X738" s="757"/>
      <c r="Y738" s="757"/>
      <c r="Z738" s="757"/>
      <c r="AA738" s="757"/>
      <c r="AB738" s="757"/>
      <c r="AC738" s="757"/>
      <c r="AD738" s="757"/>
      <c r="AE738" s="757"/>
      <c r="AF738" s="757"/>
      <c r="AG738" s="757"/>
      <c r="AH738" s="757"/>
      <c r="AI738" s="757"/>
      <c r="AJ738" s="757"/>
      <c r="AK738" s="757"/>
      <c r="AL738" s="757"/>
      <c r="AM738" s="757"/>
      <c r="AN738" s="757"/>
      <c r="AO738" s="757"/>
      <c r="AP738" s="757"/>
      <c r="AQ738" s="757"/>
      <c r="AR738" s="757"/>
      <c r="AS738" s="757"/>
      <c r="AT738" s="757"/>
      <c r="AU738" s="757"/>
      <c r="AV738" s="757"/>
      <c r="AW738" s="757"/>
      <c r="AX738" s="757"/>
      <c r="AY738" s="757"/>
      <c r="AZ738" s="75"/>
      <c r="BA738" s="2"/>
      <c r="BB738" s="2"/>
      <c r="BC738" s="2"/>
      <c r="BD738" s="2"/>
    </row>
    <row r="739" spans="1:56">
      <c r="A739" s="781">
        <v>2</v>
      </c>
      <c r="B739" s="782">
        <v>241</v>
      </c>
      <c r="C739" s="783">
        <v>45411</v>
      </c>
      <c r="D739" s="783" t="s">
        <v>383</v>
      </c>
      <c r="E739" s="808">
        <v>32208.75</v>
      </c>
      <c r="F739" s="799"/>
      <c r="G739" s="799"/>
      <c r="H739" s="1592">
        <f t="shared" si="33"/>
        <v>0</v>
      </c>
      <c r="I739" s="754" t="str">
        <f>IFERROR(VLOOKUP(B739,Mychart!$A$125:$B$911,2,FALSE),"-")</f>
        <v>KHALIFA . ARCHPIX</v>
      </c>
      <c r="J739" s="753">
        <f t="shared" si="34"/>
        <v>4</v>
      </c>
      <c r="K739" s="1540">
        <f t="shared" si="35"/>
        <v>2024</v>
      </c>
      <c r="L739" s="757"/>
      <c r="M739" s="757"/>
      <c r="N739" s="757"/>
      <c r="O739" s="757"/>
      <c r="P739" s="757"/>
      <c r="Q739" s="757"/>
      <c r="R739" s="757"/>
      <c r="S739" s="757"/>
      <c r="T739" s="757"/>
      <c r="U739" s="757"/>
      <c r="V739" s="757"/>
      <c r="W739" s="757"/>
      <c r="X739" s="757"/>
      <c r="Y739" s="757"/>
      <c r="Z739" s="757"/>
      <c r="AA739" s="757"/>
      <c r="AB739" s="757"/>
      <c r="AC739" s="757"/>
      <c r="AD739" s="757"/>
      <c r="AE739" s="757"/>
      <c r="AF739" s="757"/>
      <c r="AG739" s="757"/>
      <c r="AH739" s="757"/>
      <c r="AI739" s="757"/>
      <c r="AJ739" s="757"/>
      <c r="AK739" s="757"/>
      <c r="AL739" s="757"/>
      <c r="AM739" s="757"/>
      <c r="AN739" s="757"/>
      <c r="AO739" s="757"/>
      <c r="AP739" s="757"/>
      <c r="AQ739" s="757"/>
      <c r="AR739" s="757"/>
      <c r="AS739" s="757"/>
      <c r="AT739" s="757"/>
      <c r="AU739" s="757"/>
      <c r="AV739" s="757"/>
      <c r="AW739" s="757"/>
      <c r="AX739" s="757"/>
      <c r="AY739" s="757"/>
      <c r="AZ739" s="75"/>
      <c r="BA739" s="2"/>
      <c r="BB739" s="2"/>
      <c r="BC739" s="2"/>
      <c r="BD739" s="2"/>
    </row>
    <row r="740" spans="1:56">
      <c r="A740" s="781">
        <v>2</v>
      </c>
      <c r="B740" s="782">
        <v>241</v>
      </c>
      <c r="C740" s="783">
        <v>45382</v>
      </c>
      <c r="D740" s="783" t="s">
        <v>177</v>
      </c>
      <c r="E740" s="808">
        <v>6333</v>
      </c>
      <c r="F740" s="799"/>
      <c r="G740" s="799"/>
      <c r="H740" s="1592">
        <f t="shared" si="33"/>
        <v>0</v>
      </c>
      <c r="I740" s="754" t="str">
        <f>IFERROR(VLOOKUP(B740,Mychart!$A$125:$B$911,2,FALSE),"-")</f>
        <v>KHALIFA . ARCHPIX</v>
      </c>
      <c r="J740" s="753">
        <f t="shared" si="34"/>
        <v>3</v>
      </c>
      <c r="K740" s="1540">
        <f t="shared" si="35"/>
        <v>2024</v>
      </c>
      <c r="L740" s="757"/>
      <c r="M740" s="757"/>
      <c r="N740" s="757"/>
      <c r="O740" s="757"/>
      <c r="P740" s="757"/>
      <c r="Q740" s="757"/>
      <c r="R740" s="757"/>
      <c r="S740" s="757"/>
      <c r="T740" s="757"/>
      <c r="U740" s="757"/>
      <c r="V740" s="757"/>
      <c r="W740" s="757"/>
      <c r="X740" s="757"/>
      <c r="Y740" s="757"/>
      <c r="Z740" s="757"/>
      <c r="AA740" s="757"/>
      <c r="AB740" s="757"/>
      <c r="AC740" s="757"/>
      <c r="AD740" s="757"/>
      <c r="AE740" s="757"/>
      <c r="AF740" s="757"/>
      <c r="AG740" s="757"/>
      <c r="AH740" s="757"/>
      <c r="AI740" s="757"/>
      <c r="AJ740" s="757"/>
      <c r="AK740" s="757"/>
      <c r="AL740" s="757"/>
      <c r="AM740" s="757"/>
      <c r="AN740" s="757"/>
      <c r="AO740" s="757"/>
      <c r="AP740" s="757"/>
      <c r="AQ740" s="757"/>
      <c r="AR740" s="757"/>
      <c r="AS740" s="757"/>
      <c r="AT740" s="757"/>
      <c r="AU740" s="757"/>
      <c r="AV740" s="757"/>
      <c r="AW740" s="757"/>
      <c r="AX740" s="757"/>
      <c r="AY740" s="757"/>
      <c r="AZ740" s="75"/>
      <c r="BA740" s="2"/>
      <c r="BB740" s="2"/>
      <c r="BC740" s="2"/>
      <c r="BD740" s="2"/>
    </row>
    <row r="741" spans="1:56">
      <c r="A741" s="781">
        <v>2</v>
      </c>
      <c r="B741" s="782">
        <v>241</v>
      </c>
      <c r="C741" s="783">
        <v>45412</v>
      </c>
      <c r="D741" s="783" t="s">
        <v>177</v>
      </c>
      <c r="E741" s="808">
        <v>100</v>
      </c>
      <c r="F741" s="799"/>
      <c r="G741" s="799"/>
      <c r="H741" s="1592">
        <f t="shared" si="33"/>
        <v>0</v>
      </c>
      <c r="I741" s="754" t="str">
        <f>IFERROR(VLOOKUP(B741,Mychart!$A$125:$B$911,2,FALSE),"-")</f>
        <v>KHALIFA . ARCHPIX</v>
      </c>
      <c r="J741" s="753">
        <f t="shared" si="34"/>
        <v>4</v>
      </c>
      <c r="K741" s="1540">
        <f t="shared" si="35"/>
        <v>2024</v>
      </c>
      <c r="L741" s="757"/>
      <c r="M741" s="757"/>
      <c r="N741" s="757"/>
      <c r="O741" s="757"/>
      <c r="P741" s="757"/>
      <c r="Q741" s="757"/>
      <c r="R741" s="757"/>
      <c r="S741" s="757"/>
      <c r="T741" s="757"/>
      <c r="U741" s="757"/>
      <c r="V741" s="757"/>
      <c r="W741" s="757"/>
      <c r="X741" s="757"/>
      <c r="Y741" s="757"/>
      <c r="Z741" s="757"/>
      <c r="AA741" s="757"/>
      <c r="AB741" s="757"/>
      <c r="AC741" s="757"/>
      <c r="AD741" s="757"/>
      <c r="AE741" s="757"/>
      <c r="AF741" s="757"/>
      <c r="AG741" s="757"/>
      <c r="AH741" s="757"/>
      <c r="AI741" s="757"/>
      <c r="AJ741" s="757"/>
      <c r="AK741" s="757"/>
      <c r="AL741" s="757"/>
      <c r="AM741" s="757"/>
      <c r="AN741" s="757"/>
      <c r="AO741" s="757"/>
      <c r="AP741" s="757"/>
      <c r="AQ741" s="757"/>
      <c r="AR741" s="757"/>
      <c r="AS741" s="757"/>
      <c r="AT741" s="757"/>
      <c r="AU741" s="757"/>
      <c r="AV741" s="757"/>
      <c r="AW741" s="757"/>
      <c r="AX741" s="757"/>
      <c r="AY741" s="757"/>
      <c r="AZ741" s="75"/>
      <c r="BA741" s="2"/>
      <c r="BB741" s="2"/>
      <c r="BC741" s="2"/>
      <c r="BD741" s="2"/>
    </row>
    <row r="742" spans="1:56">
      <c r="A742" s="781">
        <v>2</v>
      </c>
      <c r="B742" s="782">
        <v>241</v>
      </c>
      <c r="C742" s="783">
        <v>45443</v>
      </c>
      <c r="D742" s="785" t="s">
        <v>177</v>
      </c>
      <c r="E742" s="808">
        <v>6639</v>
      </c>
      <c r="F742" s="799"/>
      <c r="G742" s="799"/>
      <c r="H742" s="1592">
        <f t="shared" si="33"/>
        <v>0</v>
      </c>
      <c r="I742" s="754" t="str">
        <f>IFERROR(VLOOKUP(B742,Mychart!$A$125:$B$911,2,FALSE),"-")</f>
        <v>KHALIFA . ARCHPIX</v>
      </c>
      <c r="J742" s="753">
        <f t="shared" si="34"/>
        <v>5</v>
      </c>
      <c r="K742" s="1540">
        <f t="shared" si="35"/>
        <v>2024</v>
      </c>
      <c r="L742" s="757"/>
      <c r="M742" s="757"/>
      <c r="N742" s="757"/>
      <c r="O742" s="757"/>
      <c r="P742" s="757"/>
      <c r="Q742" s="757"/>
      <c r="R742" s="757"/>
      <c r="S742" s="757"/>
      <c r="T742" s="757"/>
      <c r="U742" s="757"/>
      <c r="V742" s="757"/>
      <c r="W742" s="757"/>
      <c r="X742" s="757"/>
      <c r="Y742" s="757"/>
      <c r="Z742" s="757"/>
      <c r="AA742" s="757"/>
      <c r="AB742" s="757"/>
      <c r="AC742" s="757"/>
      <c r="AD742" s="757"/>
      <c r="AE742" s="757"/>
      <c r="AF742" s="757"/>
      <c r="AG742" s="757"/>
      <c r="AH742" s="757"/>
      <c r="AI742" s="757"/>
      <c r="AJ742" s="757"/>
      <c r="AK742" s="757"/>
      <c r="AL742" s="757"/>
      <c r="AM742" s="757"/>
      <c r="AN742" s="757"/>
      <c r="AO742" s="757"/>
      <c r="AP742" s="757"/>
      <c r="AQ742" s="757"/>
      <c r="AR742" s="757"/>
      <c r="AS742" s="757"/>
      <c r="AT742" s="757"/>
      <c r="AU742" s="757"/>
      <c r="AV742" s="757"/>
      <c r="AW742" s="757"/>
      <c r="AX742" s="757"/>
      <c r="AY742" s="757"/>
      <c r="AZ742" s="75"/>
      <c r="BA742" s="2"/>
      <c r="BB742" s="2"/>
      <c r="BC742" s="2"/>
      <c r="BD742" s="2"/>
    </row>
    <row r="743" spans="1:56">
      <c r="A743" s="781">
        <v>1</v>
      </c>
      <c r="B743" s="782">
        <v>223</v>
      </c>
      <c r="C743" s="783">
        <v>44971</v>
      </c>
      <c r="D743" s="786" t="s">
        <v>494</v>
      </c>
      <c r="E743" s="807"/>
      <c r="F743" s="798">
        <v>10000</v>
      </c>
      <c r="G743" s="798">
        <v>500</v>
      </c>
      <c r="H743" s="1592">
        <f t="shared" si="33"/>
        <v>10500</v>
      </c>
      <c r="I743" s="754" t="str">
        <f>IFERROR(VLOOKUP(B743,Mychart!$A$125:$B$911,2,FALSE),"-")</f>
        <v>MARWAN - IBTESAM</v>
      </c>
      <c r="J743" s="753">
        <f t="shared" si="34"/>
        <v>2</v>
      </c>
      <c r="K743" s="1540">
        <f t="shared" si="35"/>
        <v>2023</v>
      </c>
      <c r="L743" s="757"/>
      <c r="M743" s="757"/>
      <c r="N743" s="757"/>
      <c r="O743" s="757"/>
      <c r="P743" s="757"/>
      <c r="Q743" s="757"/>
      <c r="R743" s="757"/>
      <c r="S743" s="757"/>
      <c r="T743" s="757"/>
      <c r="U743" s="757"/>
      <c r="V743" s="757"/>
      <c r="W743" s="757"/>
      <c r="X743" s="757"/>
      <c r="Y743" s="757"/>
      <c r="Z743" s="757"/>
      <c r="AA743" s="757"/>
      <c r="AB743" s="757"/>
      <c r="AC743" s="757"/>
      <c r="AD743" s="757"/>
      <c r="AE743" s="757"/>
      <c r="AF743" s="757"/>
      <c r="AG743" s="757"/>
      <c r="AH743" s="757"/>
      <c r="AI743" s="757"/>
      <c r="AJ743" s="757"/>
      <c r="AK743" s="757"/>
      <c r="AL743" s="757"/>
      <c r="AM743" s="757"/>
      <c r="AN743" s="757"/>
      <c r="AO743" s="757"/>
      <c r="AP743" s="757"/>
      <c r="AQ743" s="757"/>
      <c r="AR743" s="757"/>
      <c r="AS743" s="757"/>
      <c r="AT743" s="757"/>
      <c r="AU743" s="757"/>
      <c r="AV743" s="757"/>
      <c r="AW743" s="757"/>
      <c r="AX743" s="757"/>
      <c r="AY743" s="757"/>
      <c r="AZ743" s="75"/>
      <c r="BA743" s="2"/>
      <c r="BB743" s="2"/>
      <c r="BC743" s="2"/>
      <c r="BD743" s="2"/>
    </row>
    <row r="744" spans="1:56">
      <c r="A744" s="781">
        <v>1</v>
      </c>
      <c r="B744" s="782">
        <v>223</v>
      </c>
      <c r="C744" s="783">
        <v>45059</v>
      </c>
      <c r="D744" s="784" t="s">
        <v>772</v>
      </c>
      <c r="E744" s="807"/>
      <c r="F744" s="798">
        <v>45000</v>
      </c>
      <c r="G744" s="798">
        <v>2250</v>
      </c>
      <c r="H744" s="1592">
        <f t="shared" si="33"/>
        <v>47250</v>
      </c>
      <c r="I744" s="754" t="str">
        <f>IFERROR(VLOOKUP(B744,Mychart!$A$125:$B$911,2,FALSE),"-")</f>
        <v>MARWAN - IBTESAM</v>
      </c>
      <c r="J744" s="753">
        <f t="shared" si="34"/>
        <v>5</v>
      </c>
      <c r="K744" s="1540">
        <f t="shared" si="35"/>
        <v>2023</v>
      </c>
      <c r="L744" s="757"/>
      <c r="M744" s="757"/>
      <c r="N744" s="757"/>
      <c r="O744" s="757"/>
      <c r="P744" s="757"/>
      <c r="Q744" s="757"/>
      <c r="R744" s="757"/>
      <c r="S744" s="757"/>
      <c r="T744" s="757"/>
      <c r="U744" s="757"/>
      <c r="V744" s="757"/>
      <c r="W744" s="757"/>
      <c r="X744" s="757"/>
      <c r="Y744" s="757"/>
      <c r="Z744" s="757"/>
      <c r="AA744" s="757"/>
      <c r="AB744" s="757"/>
      <c r="AC744" s="757"/>
      <c r="AD744" s="757"/>
      <c r="AE744" s="757"/>
      <c r="AF744" s="757"/>
      <c r="AG744" s="757"/>
      <c r="AH744" s="757"/>
      <c r="AI744" s="757"/>
      <c r="AJ744" s="757"/>
      <c r="AK744" s="757"/>
      <c r="AL744" s="757"/>
      <c r="AM744" s="757"/>
      <c r="AN744" s="757"/>
      <c r="AO744" s="757"/>
      <c r="AP744" s="757"/>
      <c r="AQ744" s="757"/>
      <c r="AR744" s="757"/>
      <c r="AS744" s="757"/>
      <c r="AT744" s="757"/>
      <c r="AU744" s="757"/>
      <c r="AV744" s="757"/>
      <c r="AW744" s="757"/>
      <c r="AX744" s="757"/>
      <c r="AY744" s="757"/>
      <c r="AZ744" s="75"/>
      <c r="BA744" s="2"/>
      <c r="BB744" s="2"/>
      <c r="BC744" s="2"/>
      <c r="BD744" s="2"/>
    </row>
    <row r="745" spans="1:56">
      <c r="A745" s="781">
        <v>1</v>
      </c>
      <c r="B745" s="782">
        <v>223</v>
      </c>
      <c r="C745" s="783"/>
      <c r="D745" s="784" t="s">
        <v>773</v>
      </c>
      <c r="E745" s="807"/>
      <c r="F745" s="798">
        <v>41040</v>
      </c>
      <c r="G745" s="798">
        <v>2052</v>
      </c>
      <c r="H745" s="1592">
        <f t="shared" si="33"/>
        <v>43092</v>
      </c>
      <c r="I745" s="754" t="str">
        <f>IFERROR(VLOOKUP(B745,Mychart!$A$125:$B$911,2,FALSE),"-")</f>
        <v>MARWAN - IBTESAM</v>
      </c>
      <c r="J745" s="753" t="str">
        <f t="shared" si="34"/>
        <v>-</v>
      </c>
      <c r="K745" s="1540">
        <f t="shared" si="35"/>
        <v>1900</v>
      </c>
      <c r="L745" s="757"/>
      <c r="M745" s="757"/>
      <c r="N745" s="757"/>
      <c r="O745" s="757"/>
      <c r="P745" s="757"/>
      <c r="Q745" s="757"/>
      <c r="R745" s="757"/>
      <c r="S745" s="757"/>
      <c r="T745" s="757"/>
      <c r="U745" s="757"/>
      <c r="V745" s="757"/>
      <c r="W745" s="757"/>
      <c r="X745" s="757"/>
      <c r="Y745" s="757"/>
      <c r="Z745" s="757"/>
      <c r="AA745" s="757"/>
      <c r="AB745" s="757"/>
      <c r="AC745" s="757"/>
      <c r="AD745" s="757"/>
      <c r="AE745" s="757"/>
      <c r="AF745" s="757"/>
      <c r="AG745" s="757"/>
      <c r="AH745" s="757"/>
      <c r="AI745" s="757"/>
      <c r="AJ745" s="757"/>
      <c r="AK745" s="757"/>
      <c r="AL745" s="757"/>
      <c r="AM745" s="757"/>
      <c r="AN745" s="757"/>
      <c r="AO745" s="757"/>
      <c r="AP745" s="757"/>
      <c r="AQ745" s="757"/>
      <c r="AR745" s="757"/>
      <c r="AS745" s="757"/>
      <c r="AT745" s="757"/>
      <c r="AU745" s="757"/>
      <c r="AV745" s="757"/>
      <c r="AW745" s="757"/>
      <c r="AX745" s="757"/>
      <c r="AY745" s="757"/>
      <c r="AZ745" s="75"/>
      <c r="BA745" s="2"/>
      <c r="BB745" s="2"/>
      <c r="BC745" s="2"/>
      <c r="BD745" s="2"/>
    </row>
    <row r="746" spans="1:56">
      <c r="A746" s="781">
        <v>1</v>
      </c>
      <c r="B746" s="782">
        <v>223</v>
      </c>
      <c r="C746" s="783" t="s">
        <v>774</v>
      </c>
      <c r="D746" s="784" t="s">
        <v>768</v>
      </c>
      <c r="E746" s="807"/>
      <c r="F746" s="798">
        <v>4062</v>
      </c>
      <c r="G746" s="798">
        <v>203.10000000000002</v>
      </c>
      <c r="H746" s="1592">
        <f t="shared" si="33"/>
        <v>4265.1000000000004</v>
      </c>
      <c r="I746" s="754" t="str">
        <f>IFERROR(VLOOKUP(B746,Mychart!$A$125:$B$911,2,FALSE),"-")</f>
        <v>MARWAN - IBTESAM</v>
      </c>
      <c r="J746" s="753">
        <f t="shared" si="34"/>
        <v>5</v>
      </c>
      <c r="K746" s="1540">
        <f t="shared" si="35"/>
        <v>2024</v>
      </c>
      <c r="L746" s="757"/>
      <c r="M746" s="757"/>
      <c r="N746" s="757"/>
      <c r="O746" s="757"/>
      <c r="P746" s="757"/>
      <c r="Q746" s="757"/>
      <c r="R746" s="757"/>
      <c r="S746" s="757"/>
      <c r="T746" s="757"/>
      <c r="U746" s="757"/>
      <c r="V746" s="757"/>
      <c r="W746" s="757"/>
      <c r="X746" s="757"/>
      <c r="Y746" s="757"/>
      <c r="Z746" s="757"/>
      <c r="AA746" s="757"/>
      <c r="AB746" s="757"/>
      <c r="AC746" s="757"/>
      <c r="AD746" s="757"/>
      <c r="AE746" s="757"/>
      <c r="AF746" s="757"/>
      <c r="AG746" s="757"/>
      <c r="AH746" s="757"/>
      <c r="AI746" s="757"/>
      <c r="AJ746" s="757"/>
      <c r="AK746" s="757"/>
      <c r="AL746" s="757"/>
      <c r="AM746" s="757"/>
      <c r="AN746" s="757"/>
      <c r="AO746" s="757"/>
      <c r="AP746" s="757"/>
      <c r="AQ746" s="757"/>
      <c r="AR746" s="757"/>
      <c r="AS746" s="757"/>
      <c r="AT746" s="757"/>
      <c r="AU746" s="757"/>
      <c r="AV746" s="757"/>
      <c r="AW746" s="757"/>
      <c r="AX746" s="757"/>
      <c r="AY746" s="757"/>
      <c r="AZ746" s="75"/>
      <c r="BA746" s="2"/>
      <c r="BB746" s="2"/>
      <c r="BC746" s="2"/>
      <c r="BD746" s="2"/>
    </row>
    <row r="747" spans="1:56">
      <c r="A747" s="781">
        <v>2</v>
      </c>
      <c r="B747" s="782">
        <v>223</v>
      </c>
      <c r="C747" s="783"/>
      <c r="D747" s="783" t="s">
        <v>775</v>
      </c>
      <c r="E747" s="808">
        <v>3169</v>
      </c>
      <c r="F747" s="799"/>
      <c r="G747" s="799"/>
      <c r="H747" s="1592">
        <f t="shared" si="33"/>
        <v>0</v>
      </c>
      <c r="I747" s="754" t="str">
        <f>IFERROR(VLOOKUP(B747,Mychart!$A$125:$B$911,2,FALSE),"-")</f>
        <v>MARWAN - IBTESAM</v>
      </c>
      <c r="J747" s="753" t="str">
        <f t="shared" si="34"/>
        <v>-</v>
      </c>
      <c r="K747" s="1540">
        <f t="shared" si="35"/>
        <v>1900</v>
      </c>
      <c r="L747" s="757"/>
      <c r="M747" s="757"/>
      <c r="N747" s="757"/>
      <c r="O747" s="757"/>
      <c r="P747" s="757"/>
      <c r="Q747" s="757"/>
      <c r="R747" s="757"/>
      <c r="S747" s="757"/>
      <c r="T747" s="757"/>
      <c r="U747" s="757"/>
      <c r="V747" s="757"/>
      <c r="W747" s="757"/>
      <c r="X747" s="757"/>
      <c r="Y747" s="757"/>
      <c r="Z747" s="757"/>
      <c r="AA747" s="757"/>
      <c r="AB747" s="757"/>
      <c r="AC747" s="757"/>
      <c r="AD747" s="757"/>
      <c r="AE747" s="757"/>
      <c r="AF747" s="757"/>
      <c r="AG747" s="757"/>
      <c r="AH747" s="757"/>
      <c r="AI747" s="757"/>
      <c r="AJ747" s="757"/>
      <c r="AK747" s="757"/>
      <c r="AL747" s="757"/>
      <c r="AM747" s="757"/>
      <c r="AN747" s="757"/>
      <c r="AO747" s="757"/>
      <c r="AP747" s="757"/>
      <c r="AQ747" s="757"/>
      <c r="AR747" s="757"/>
      <c r="AS747" s="757"/>
      <c r="AT747" s="757"/>
      <c r="AU747" s="757"/>
      <c r="AV747" s="757"/>
      <c r="AW747" s="757"/>
      <c r="AX747" s="757"/>
      <c r="AY747" s="757"/>
      <c r="AZ747" s="75"/>
      <c r="BA747" s="2"/>
      <c r="BB747" s="2"/>
      <c r="BC747" s="2"/>
      <c r="BD747" s="2"/>
    </row>
    <row r="748" spans="1:56">
      <c r="A748" s="781">
        <v>2</v>
      </c>
      <c r="B748" s="782">
        <v>223</v>
      </c>
      <c r="C748" s="783"/>
      <c r="D748" s="783" t="s">
        <v>510</v>
      </c>
      <c r="E748" s="808">
        <v>7995</v>
      </c>
      <c r="F748" s="799"/>
      <c r="G748" s="799"/>
      <c r="H748" s="1592">
        <f t="shared" si="33"/>
        <v>0</v>
      </c>
      <c r="I748" s="754" t="str">
        <f>IFERROR(VLOOKUP(B748,Mychart!$A$125:$B$911,2,FALSE),"-")</f>
        <v>MARWAN - IBTESAM</v>
      </c>
      <c r="J748" s="753" t="str">
        <f t="shared" si="34"/>
        <v>-</v>
      </c>
      <c r="K748" s="1540">
        <f t="shared" si="35"/>
        <v>1900</v>
      </c>
      <c r="L748" s="757"/>
      <c r="M748" s="757"/>
      <c r="N748" s="757"/>
      <c r="O748" s="757"/>
      <c r="P748" s="757"/>
      <c r="Q748" s="757"/>
      <c r="R748" s="757"/>
      <c r="S748" s="757"/>
      <c r="T748" s="757"/>
      <c r="U748" s="757"/>
      <c r="V748" s="757"/>
      <c r="W748" s="757"/>
      <c r="X748" s="757"/>
      <c r="Y748" s="757"/>
      <c r="Z748" s="757"/>
      <c r="AA748" s="757"/>
      <c r="AB748" s="757"/>
      <c r="AC748" s="757"/>
      <c r="AD748" s="757"/>
      <c r="AE748" s="757"/>
      <c r="AF748" s="757"/>
      <c r="AG748" s="757"/>
      <c r="AH748" s="757"/>
      <c r="AI748" s="757"/>
      <c r="AJ748" s="757"/>
      <c r="AK748" s="757"/>
      <c r="AL748" s="757"/>
      <c r="AM748" s="757"/>
      <c r="AN748" s="757"/>
      <c r="AO748" s="757"/>
      <c r="AP748" s="757"/>
      <c r="AQ748" s="757"/>
      <c r="AR748" s="757"/>
      <c r="AS748" s="757"/>
      <c r="AT748" s="757"/>
      <c r="AU748" s="757"/>
      <c r="AV748" s="757"/>
      <c r="AW748" s="757"/>
      <c r="AX748" s="757"/>
      <c r="AY748" s="757"/>
      <c r="AZ748" s="75"/>
      <c r="BA748" s="2"/>
      <c r="BB748" s="2"/>
      <c r="BC748" s="2"/>
      <c r="BD748" s="2"/>
    </row>
    <row r="749" spans="1:56">
      <c r="A749" s="781">
        <v>2</v>
      </c>
      <c r="B749" s="782">
        <v>223</v>
      </c>
      <c r="C749" s="783"/>
      <c r="D749" s="783" t="s">
        <v>510</v>
      </c>
      <c r="E749" s="808">
        <v>8904</v>
      </c>
      <c r="F749" s="799"/>
      <c r="G749" s="799"/>
      <c r="H749" s="1592">
        <f t="shared" si="33"/>
        <v>0</v>
      </c>
      <c r="I749" s="754" t="str">
        <f>IFERROR(VLOOKUP(B749,Mychart!$A$125:$B$911,2,FALSE),"-")</f>
        <v>MARWAN - IBTESAM</v>
      </c>
      <c r="J749" s="753" t="str">
        <f t="shared" si="34"/>
        <v>-</v>
      </c>
      <c r="K749" s="1540">
        <f t="shared" si="35"/>
        <v>1900</v>
      </c>
      <c r="L749" s="757"/>
      <c r="M749" s="757"/>
      <c r="N749" s="757"/>
      <c r="O749" s="757"/>
      <c r="P749" s="757"/>
      <c r="Q749" s="757"/>
      <c r="R749" s="757"/>
      <c r="S749" s="757"/>
      <c r="T749" s="757"/>
      <c r="U749" s="757"/>
      <c r="V749" s="757"/>
      <c r="W749" s="757"/>
      <c r="X749" s="757"/>
      <c r="Y749" s="757"/>
      <c r="Z749" s="757"/>
      <c r="AA749" s="757"/>
      <c r="AB749" s="757"/>
      <c r="AC749" s="757"/>
      <c r="AD749" s="757"/>
      <c r="AE749" s="757"/>
      <c r="AF749" s="757"/>
      <c r="AG749" s="757"/>
      <c r="AH749" s="757"/>
      <c r="AI749" s="757"/>
      <c r="AJ749" s="757"/>
      <c r="AK749" s="757"/>
      <c r="AL749" s="757"/>
      <c r="AM749" s="757"/>
      <c r="AN749" s="757"/>
      <c r="AO749" s="757"/>
      <c r="AP749" s="757"/>
      <c r="AQ749" s="757"/>
      <c r="AR749" s="757"/>
      <c r="AS749" s="757"/>
      <c r="AT749" s="757"/>
      <c r="AU749" s="757"/>
      <c r="AV749" s="757"/>
      <c r="AW749" s="757"/>
      <c r="AX749" s="757"/>
      <c r="AY749" s="757"/>
      <c r="AZ749" s="75"/>
      <c r="BA749" s="2"/>
      <c r="BB749" s="2"/>
      <c r="BC749" s="2"/>
      <c r="BD749" s="2"/>
    </row>
    <row r="750" spans="1:56">
      <c r="A750" s="781">
        <v>2</v>
      </c>
      <c r="B750" s="782">
        <v>223</v>
      </c>
      <c r="C750" s="783"/>
      <c r="D750" s="783" t="s">
        <v>499</v>
      </c>
      <c r="E750" s="808">
        <v>600</v>
      </c>
      <c r="F750" s="799"/>
      <c r="G750" s="799"/>
      <c r="H750" s="1592">
        <f t="shared" si="33"/>
        <v>0</v>
      </c>
      <c r="I750" s="754" t="str">
        <f>IFERROR(VLOOKUP(B750,Mychart!$A$125:$B$911,2,FALSE),"-")</f>
        <v>MARWAN - IBTESAM</v>
      </c>
      <c r="J750" s="753" t="str">
        <f t="shared" si="34"/>
        <v>-</v>
      </c>
      <c r="K750" s="1540">
        <f t="shared" si="35"/>
        <v>1900</v>
      </c>
      <c r="L750" s="757"/>
      <c r="M750" s="757"/>
      <c r="N750" s="757"/>
      <c r="O750" s="757"/>
      <c r="P750" s="757"/>
      <c r="Q750" s="757"/>
      <c r="R750" s="757"/>
      <c r="S750" s="757"/>
      <c r="T750" s="757"/>
      <c r="U750" s="757"/>
      <c r="V750" s="757"/>
      <c r="W750" s="757"/>
      <c r="X750" s="757"/>
      <c r="Y750" s="757"/>
      <c r="Z750" s="757"/>
      <c r="AA750" s="757"/>
      <c r="AB750" s="757"/>
      <c r="AC750" s="757"/>
      <c r="AD750" s="757"/>
      <c r="AE750" s="757"/>
      <c r="AF750" s="757"/>
      <c r="AG750" s="757"/>
      <c r="AH750" s="757"/>
      <c r="AI750" s="757"/>
      <c r="AJ750" s="757"/>
      <c r="AK750" s="757"/>
      <c r="AL750" s="757"/>
      <c r="AM750" s="757"/>
      <c r="AN750" s="757"/>
      <c r="AO750" s="757"/>
      <c r="AP750" s="757"/>
      <c r="AQ750" s="757"/>
      <c r="AR750" s="757"/>
      <c r="AS750" s="757"/>
      <c r="AT750" s="757"/>
      <c r="AU750" s="757"/>
      <c r="AV750" s="757"/>
      <c r="AW750" s="757"/>
      <c r="AX750" s="757"/>
      <c r="AY750" s="757"/>
      <c r="AZ750" s="75"/>
      <c r="BA750" s="2"/>
      <c r="BB750" s="2"/>
      <c r="BC750" s="2"/>
      <c r="BD750" s="2"/>
    </row>
    <row r="751" spans="1:56">
      <c r="A751" s="781">
        <v>2</v>
      </c>
      <c r="B751" s="782">
        <v>223</v>
      </c>
      <c r="C751" s="783"/>
      <c r="D751" s="783" t="s">
        <v>258</v>
      </c>
      <c r="E751" s="808">
        <v>2544</v>
      </c>
      <c r="F751" s="799"/>
      <c r="G751" s="799"/>
      <c r="H751" s="1592">
        <f t="shared" si="33"/>
        <v>0</v>
      </c>
      <c r="I751" s="754" t="str">
        <f>IFERROR(VLOOKUP(B751,Mychart!$A$125:$B$911,2,FALSE),"-")</f>
        <v>MARWAN - IBTESAM</v>
      </c>
      <c r="J751" s="753" t="str">
        <f t="shared" si="34"/>
        <v>-</v>
      </c>
      <c r="K751" s="1540">
        <f t="shared" si="35"/>
        <v>1900</v>
      </c>
      <c r="L751" s="757"/>
      <c r="M751" s="757"/>
      <c r="N751" s="757"/>
      <c r="O751" s="757"/>
      <c r="P751" s="757"/>
      <c r="Q751" s="757"/>
      <c r="R751" s="757"/>
      <c r="S751" s="757"/>
      <c r="T751" s="757"/>
      <c r="U751" s="757"/>
      <c r="V751" s="757"/>
      <c r="W751" s="757"/>
      <c r="X751" s="757"/>
      <c r="Y751" s="757"/>
      <c r="Z751" s="757"/>
      <c r="AA751" s="757"/>
      <c r="AB751" s="757"/>
      <c r="AC751" s="757"/>
      <c r="AD751" s="757"/>
      <c r="AE751" s="757"/>
      <c r="AF751" s="757"/>
      <c r="AG751" s="757"/>
      <c r="AH751" s="757"/>
      <c r="AI751" s="757"/>
      <c r="AJ751" s="757"/>
      <c r="AK751" s="757"/>
      <c r="AL751" s="757"/>
      <c r="AM751" s="757"/>
      <c r="AN751" s="757"/>
      <c r="AO751" s="757"/>
      <c r="AP751" s="757"/>
      <c r="AQ751" s="757"/>
      <c r="AR751" s="757"/>
      <c r="AS751" s="757"/>
      <c r="AT751" s="757"/>
      <c r="AU751" s="757"/>
      <c r="AV751" s="757"/>
      <c r="AW751" s="757"/>
      <c r="AX751" s="757"/>
      <c r="AY751" s="757"/>
      <c r="AZ751" s="75"/>
      <c r="BA751" s="2"/>
      <c r="BB751" s="2"/>
      <c r="BC751" s="2"/>
      <c r="BD751" s="2"/>
    </row>
    <row r="752" spans="1:56">
      <c r="A752" s="781">
        <v>2</v>
      </c>
      <c r="B752" s="782">
        <v>223</v>
      </c>
      <c r="C752" s="783"/>
      <c r="D752" s="783" t="s">
        <v>775</v>
      </c>
      <c r="E752" s="808">
        <v>2713</v>
      </c>
      <c r="F752" s="799"/>
      <c r="G752" s="799"/>
      <c r="H752" s="1592">
        <f t="shared" si="33"/>
        <v>0</v>
      </c>
      <c r="I752" s="754" t="str">
        <f>IFERROR(VLOOKUP(B752,Mychart!$A$125:$B$911,2,FALSE),"-")</f>
        <v>MARWAN - IBTESAM</v>
      </c>
      <c r="J752" s="753" t="str">
        <f t="shared" si="34"/>
        <v>-</v>
      </c>
      <c r="K752" s="1540">
        <f t="shared" si="35"/>
        <v>1900</v>
      </c>
      <c r="L752" s="757"/>
      <c r="M752" s="757"/>
      <c r="N752" s="757"/>
      <c r="O752" s="757"/>
      <c r="P752" s="757"/>
      <c r="Q752" s="757"/>
      <c r="R752" s="757"/>
      <c r="S752" s="757"/>
      <c r="T752" s="757"/>
      <c r="U752" s="757"/>
      <c r="V752" s="757"/>
      <c r="W752" s="757"/>
      <c r="X752" s="757"/>
      <c r="Y752" s="757"/>
      <c r="Z752" s="757"/>
      <c r="AA752" s="757"/>
      <c r="AB752" s="757"/>
      <c r="AC752" s="757"/>
      <c r="AD752" s="757"/>
      <c r="AE752" s="757"/>
      <c r="AF752" s="757"/>
      <c r="AG752" s="757"/>
      <c r="AH752" s="757"/>
      <c r="AI752" s="757"/>
      <c r="AJ752" s="757"/>
      <c r="AK752" s="757"/>
      <c r="AL752" s="757"/>
      <c r="AM752" s="757"/>
      <c r="AN752" s="757"/>
      <c r="AO752" s="757"/>
      <c r="AP752" s="757"/>
      <c r="AQ752" s="757"/>
      <c r="AR752" s="757"/>
      <c r="AS752" s="757"/>
      <c r="AT752" s="757"/>
      <c r="AU752" s="757"/>
      <c r="AV752" s="757"/>
      <c r="AW752" s="757"/>
      <c r="AX752" s="757"/>
      <c r="AY752" s="757"/>
      <c r="AZ752" s="75"/>
      <c r="BA752" s="2"/>
      <c r="BB752" s="2"/>
      <c r="BC752" s="2"/>
      <c r="BD752" s="2"/>
    </row>
    <row r="753" spans="1:56">
      <c r="A753" s="781">
        <v>2</v>
      </c>
      <c r="B753" s="782">
        <v>223</v>
      </c>
      <c r="C753" s="783"/>
      <c r="D753" s="783" t="s">
        <v>775</v>
      </c>
      <c r="E753" s="808">
        <v>176</v>
      </c>
      <c r="F753" s="799"/>
      <c r="G753" s="799"/>
      <c r="H753" s="1592">
        <f t="shared" si="33"/>
        <v>0</v>
      </c>
      <c r="I753" s="754" t="str">
        <f>IFERROR(VLOOKUP(B753,Mychart!$A$125:$B$911,2,FALSE),"-")</f>
        <v>MARWAN - IBTESAM</v>
      </c>
      <c r="J753" s="753" t="str">
        <f t="shared" si="34"/>
        <v>-</v>
      </c>
      <c r="K753" s="1540">
        <f t="shared" si="35"/>
        <v>1900</v>
      </c>
      <c r="L753" s="757"/>
      <c r="M753" s="757"/>
      <c r="N753" s="757"/>
      <c r="O753" s="757"/>
      <c r="P753" s="757"/>
      <c r="Q753" s="757"/>
      <c r="R753" s="757"/>
      <c r="S753" s="757"/>
      <c r="T753" s="757"/>
      <c r="U753" s="757"/>
      <c r="V753" s="757"/>
      <c r="W753" s="757"/>
      <c r="X753" s="757"/>
      <c r="Y753" s="757"/>
      <c r="Z753" s="757"/>
      <c r="AA753" s="757"/>
      <c r="AB753" s="757"/>
      <c r="AC753" s="757"/>
      <c r="AD753" s="757"/>
      <c r="AE753" s="757"/>
      <c r="AF753" s="757"/>
      <c r="AG753" s="757"/>
      <c r="AH753" s="757"/>
      <c r="AI753" s="757"/>
      <c r="AJ753" s="757"/>
      <c r="AK753" s="757"/>
      <c r="AL753" s="757"/>
      <c r="AM753" s="757"/>
      <c r="AN753" s="757"/>
      <c r="AO753" s="757"/>
      <c r="AP753" s="757"/>
      <c r="AQ753" s="757"/>
      <c r="AR753" s="757"/>
      <c r="AS753" s="757"/>
      <c r="AT753" s="757"/>
      <c r="AU753" s="757"/>
      <c r="AV753" s="757"/>
      <c r="AW753" s="757"/>
      <c r="AX753" s="757"/>
      <c r="AY753" s="757"/>
      <c r="AZ753" s="75"/>
      <c r="BA753" s="2"/>
      <c r="BB753" s="2"/>
      <c r="BC753" s="2"/>
      <c r="BD753" s="2"/>
    </row>
    <row r="754" spans="1:56">
      <c r="A754" s="781">
        <v>2</v>
      </c>
      <c r="B754" s="782">
        <v>223</v>
      </c>
      <c r="C754" s="783"/>
      <c r="D754" s="785" t="s">
        <v>775</v>
      </c>
      <c r="E754" s="808">
        <v>1132</v>
      </c>
      <c r="F754" s="799"/>
      <c r="G754" s="799"/>
      <c r="H754" s="1592">
        <f t="shared" si="33"/>
        <v>0</v>
      </c>
      <c r="I754" s="754" t="str">
        <f>IFERROR(VLOOKUP(B754,Mychart!$A$125:$B$911,2,FALSE),"-")</f>
        <v>MARWAN - IBTESAM</v>
      </c>
      <c r="J754" s="753" t="str">
        <f t="shared" si="34"/>
        <v>-</v>
      </c>
      <c r="K754" s="1540">
        <f t="shared" si="35"/>
        <v>1900</v>
      </c>
      <c r="L754" s="757"/>
      <c r="M754" s="757"/>
      <c r="N754" s="757"/>
      <c r="O754" s="757"/>
      <c r="P754" s="757"/>
      <c r="Q754" s="757"/>
      <c r="R754" s="757"/>
      <c r="S754" s="757"/>
      <c r="T754" s="757"/>
      <c r="U754" s="757"/>
      <c r="V754" s="757"/>
      <c r="W754" s="757"/>
      <c r="X754" s="757"/>
      <c r="Y754" s="757"/>
      <c r="Z754" s="757"/>
      <c r="AA754" s="757"/>
      <c r="AB754" s="757"/>
      <c r="AC754" s="757"/>
      <c r="AD754" s="757"/>
      <c r="AE754" s="757"/>
      <c r="AF754" s="757"/>
      <c r="AG754" s="757"/>
      <c r="AH754" s="757"/>
      <c r="AI754" s="757"/>
      <c r="AJ754" s="757"/>
      <c r="AK754" s="757"/>
      <c r="AL754" s="757"/>
      <c r="AM754" s="757"/>
      <c r="AN754" s="757"/>
      <c r="AO754" s="757"/>
      <c r="AP754" s="757"/>
      <c r="AQ754" s="757"/>
      <c r="AR754" s="757"/>
      <c r="AS754" s="757"/>
      <c r="AT754" s="757"/>
      <c r="AU754" s="757"/>
      <c r="AV754" s="757"/>
      <c r="AW754" s="757"/>
      <c r="AX754" s="757"/>
      <c r="AY754" s="757"/>
      <c r="AZ754" s="75"/>
      <c r="BA754" s="2"/>
      <c r="BB754" s="2"/>
      <c r="BC754" s="2"/>
      <c r="BD754" s="2"/>
    </row>
    <row r="755" spans="1:56">
      <c r="A755" s="781">
        <v>2</v>
      </c>
      <c r="B755" s="782">
        <v>223</v>
      </c>
      <c r="C755" s="783"/>
      <c r="D755" s="783" t="s">
        <v>380</v>
      </c>
      <c r="E755" s="808">
        <v>365</v>
      </c>
      <c r="F755" s="799"/>
      <c r="G755" s="799"/>
      <c r="H755" s="1592">
        <f t="shared" si="33"/>
        <v>0</v>
      </c>
      <c r="I755" s="754" t="str">
        <f>IFERROR(VLOOKUP(B755,Mychart!$A$125:$B$911,2,FALSE),"-")</f>
        <v>MARWAN - IBTESAM</v>
      </c>
      <c r="J755" s="753" t="str">
        <f t="shared" si="34"/>
        <v>-</v>
      </c>
      <c r="K755" s="1540">
        <f t="shared" si="35"/>
        <v>1900</v>
      </c>
      <c r="L755" s="757"/>
      <c r="M755" s="757"/>
      <c r="N755" s="757"/>
      <c r="O755" s="757"/>
      <c r="P755" s="757"/>
      <c r="Q755" s="757"/>
      <c r="R755" s="757"/>
      <c r="S755" s="757"/>
      <c r="T755" s="757"/>
      <c r="U755" s="757"/>
      <c r="V755" s="757"/>
      <c r="W755" s="757"/>
      <c r="X755" s="757"/>
      <c r="Y755" s="757"/>
      <c r="Z755" s="757"/>
      <c r="AA755" s="757"/>
      <c r="AB755" s="757"/>
      <c r="AC755" s="757"/>
      <c r="AD755" s="757"/>
      <c r="AE755" s="757"/>
      <c r="AF755" s="757"/>
      <c r="AG755" s="757"/>
      <c r="AH755" s="757"/>
      <c r="AI755" s="757"/>
      <c r="AJ755" s="757"/>
      <c r="AK755" s="757"/>
      <c r="AL755" s="757"/>
      <c r="AM755" s="757"/>
      <c r="AN755" s="757"/>
      <c r="AO755" s="757"/>
      <c r="AP755" s="757"/>
      <c r="AQ755" s="757"/>
      <c r="AR755" s="757"/>
      <c r="AS755" s="757"/>
      <c r="AT755" s="757"/>
      <c r="AU755" s="757"/>
      <c r="AV755" s="757"/>
      <c r="AW755" s="757"/>
      <c r="AX755" s="757"/>
      <c r="AY755" s="757"/>
      <c r="AZ755" s="75"/>
      <c r="BA755" s="2"/>
      <c r="BB755" s="2"/>
      <c r="BC755" s="2"/>
      <c r="BD755" s="2"/>
    </row>
    <row r="756" spans="1:56">
      <c r="A756" s="781">
        <v>2</v>
      </c>
      <c r="B756" s="782">
        <v>223</v>
      </c>
      <c r="C756" s="783"/>
      <c r="D756" s="783" t="s">
        <v>380</v>
      </c>
      <c r="E756" s="808">
        <v>497</v>
      </c>
      <c r="F756" s="799"/>
      <c r="G756" s="799"/>
      <c r="H756" s="1592">
        <f t="shared" si="33"/>
        <v>0</v>
      </c>
      <c r="I756" s="754" t="str">
        <f>IFERROR(VLOOKUP(B756,Mychart!$A$125:$B$911,2,FALSE),"-")</f>
        <v>MARWAN - IBTESAM</v>
      </c>
      <c r="J756" s="753" t="str">
        <f t="shared" si="34"/>
        <v>-</v>
      </c>
      <c r="K756" s="1540">
        <f t="shared" si="35"/>
        <v>1900</v>
      </c>
      <c r="L756" s="757"/>
      <c r="M756" s="757"/>
      <c r="N756" s="757"/>
      <c r="O756" s="757"/>
      <c r="P756" s="757"/>
      <c r="Q756" s="757"/>
      <c r="R756" s="757"/>
      <c r="S756" s="757"/>
      <c r="T756" s="757"/>
      <c r="U756" s="757"/>
      <c r="V756" s="757"/>
      <c r="W756" s="757"/>
      <c r="X756" s="757"/>
      <c r="Y756" s="757"/>
      <c r="Z756" s="757"/>
      <c r="AA756" s="757"/>
      <c r="AB756" s="757"/>
      <c r="AC756" s="757"/>
      <c r="AD756" s="757"/>
      <c r="AE756" s="757"/>
      <c r="AF756" s="757"/>
      <c r="AG756" s="757"/>
      <c r="AH756" s="757"/>
      <c r="AI756" s="757"/>
      <c r="AJ756" s="757"/>
      <c r="AK756" s="757"/>
      <c r="AL756" s="757"/>
      <c r="AM756" s="757"/>
      <c r="AN756" s="757"/>
      <c r="AO756" s="757"/>
      <c r="AP756" s="757"/>
      <c r="AQ756" s="757"/>
      <c r="AR756" s="757"/>
      <c r="AS756" s="757"/>
      <c r="AT756" s="757"/>
      <c r="AU756" s="757"/>
      <c r="AV756" s="757"/>
      <c r="AW756" s="757"/>
      <c r="AX756" s="757"/>
      <c r="AY756" s="757"/>
      <c r="AZ756" s="75"/>
      <c r="BA756" s="2"/>
      <c r="BB756" s="2"/>
      <c r="BC756" s="2"/>
      <c r="BD756" s="2"/>
    </row>
    <row r="757" spans="1:56">
      <c r="A757" s="781">
        <v>2</v>
      </c>
      <c r="B757" s="782">
        <v>223</v>
      </c>
      <c r="C757" s="783"/>
      <c r="D757" s="783" t="s">
        <v>380</v>
      </c>
      <c r="E757" s="808">
        <v>322</v>
      </c>
      <c r="F757" s="799"/>
      <c r="G757" s="799"/>
      <c r="H757" s="1592">
        <f t="shared" si="33"/>
        <v>0</v>
      </c>
      <c r="I757" s="754" t="str">
        <f>IFERROR(VLOOKUP(B757,Mychart!$A$125:$B$911,2,FALSE),"-")</f>
        <v>MARWAN - IBTESAM</v>
      </c>
      <c r="J757" s="753" t="str">
        <f t="shared" si="34"/>
        <v>-</v>
      </c>
      <c r="K757" s="1540">
        <f t="shared" si="35"/>
        <v>1900</v>
      </c>
      <c r="L757" s="757"/>
      <c r="M757" s="757"/>
      <c r="N757" s="757"/>
      <c r="O757" s="757"/>
      <c r="P757" s="757"/>
      <c r="Q757" s="757"/>
      <c r="R757" s="757"/>
      <c r="S757" s="757"/>
      <c r="T757" s="757"/>
      <c r="U757" s="757"/>
      <c r="V757" s="757"/>
      <c r="W757" s="757"/>
      <c r="X757" s="757"/>
      <c r="Y757" s="757"/>
      <c r="Z757" s="757"/>
      <c r="AA757" s="757"/>
      <c r="AB757" s="757"/>
      <c r="AC757" s="757"/>
      <c r="AD757" s="757"/>
      <c r="AE757" s="757"/>
      <c r="AF757" s="757"/>
      <c r="AG757" s="757"/>
      <c r="AH757" s="757"/>
      <c r="AI757" s="757"/>
      <c r="AJ757" s="757"/>
      <c r="AK757" s="757"/>
      <c r="AL757" s="757"/>
      <c r="AM757" s="757"/>
      <c r="AN757" s="757"/>
      <c r="AO757" s="757"/>
      <c r="AP757" s="757"/>
      <c r="AQ757" s="757"/>
      <c r="AR757" s="757"/>
      <c r="AS757" s="757"/>
      <c r="AT757" s="757"/>
      <c r="AU757" s="757"/>
      <c r="AV757" s="757"/>
      <c r="AW757" s="757"/>
      <c r="AX757" s="757"/>
      <c r="AY757" s="757"/>
      <c r="AZ757" s="75"/>
      <c r="BA757" s="2"/>
      <c r="BB757" s="2"/>
      <c r="BC757" s="2"/>
      <c r="BD757" s="2"/>
    </row>
    <row r="758" spans="1:56">
      <c r="A758" s="781">
        <v>2</v>
      </c>
      <c r="B758" s="782">
        <v>223</v>
      </c>
      <c r="C758" s="783"/>
      <c r="D758" s="783" t="s">
        <v>775</v>
      </c>
      <c r="E758" s="808">
        <v>2596</v>
      </c>
      <c r="F758" s="799"/>
      <c r="G758" s="799"/>
      <c r="H758" s="1592">
        <f t="shared" si="33"/>
        <v>0</v>
      </c>
      <c r="I758" s="754" t="str">
        <f>IFERROR(VLOOKUP(B758,Mychart!$A$125:$B$911,2,FALSE),"-")</f>
        <v>MARWAN - IBTESAM</v>
      </c>
      <c r="J758" s="753" t="str">
        <f t="shared" si="34"/>
        <v>-</v>
      </c>
      <c r="K758" s="1540">
        <f t="shared" si="35"/>
        <v>1900</v>
      </c>
      <c r="L758" s="757"/>
      <c r="M758" s="757"/>
      <c r="N758" s="757"/>
      <c r="O758" s="757"/>
      <c r="P758" s="757"/>
      <c r="Q758" s="757"/>
      <c r="R758" s="757"/>
      <c r="S758" s="757"/>
      <c r="T758" s="757"/>
      <c r="U758" s="757"/>
      <c r="V758" s="757"/>
      <c r="W758" s="757"/>
      <c r="X758" s="757"/>
      <c r="Y758" s="757"/>
      <c r="Z758" s="757"/>
      <c r="AA758" s="757"/>
      <c r="AB758" s="757"/>
      <c r="AC758" s="757"/>
      <c r="AD758" s="757"/>
      <c r="AE758" s="757"/>
      <c r="AF758" s="757"/>
      <c r="AG758" s="757"/>
      <c r="AH758" s="757"/>
      <c r="AI758" s="757"/>
      <c r="AJ758" s="757"/>
      <c r="AK758" s="757"/>
      <c r="AL758" s="757"/>
      <c r="AM758" s="757"/>
      <c r="AN758" s="757"/>
      <c r="AO758" s="757"/>
      <c r="AP758" s="757"/>
      <c r="AQ758" s="757"/>
      <c r="AR758" s="757"/>
      <c r="AS758" s="757"/>
      <c r="AT758" s="757"/>
      <c r="AU758" s="757"/>
      <c r="AV758" s="757"/>
      <c r="AW758" s="757"/>
      <c r="AX758" s="757"/>
      <c r="AY758" s="757"/>
      <c r="AZ758" s="75"/>
      <c r="BA758" s="2"/>
      <c r="BB758" s="2"/>
      <c r="BC758" s="2"/>
      <c r="BD758" s="2"/>
    </row>
    <row r="759" spans="1:56">
      <c r="A759" s="781">
        <v>2</v>
      </c>
      <c r="B759" s="782">
        <v>223</v>
      </c>
      <c r="C759" s="783"/>
      <c r="D759" s="783" t="s">
        <v>776</v>
      </c>
      <c r="E759" s="808">
        <v>2100</v>
      </c>
      <c r="F759" s="799"/>
      <c r="G759" s="799"/>
      <c r="H759" s="1592">
        <f t="shared" si="33"/>
        <v>0</v>
      </c>
      <c r="I759" s="754" t="str">
        <f>IFERROR(VLOOKUP(B759,Mychart!$A$125:$B$911,2,FALSE),"-")</f>
        <v>MARWAN - IBTESAM</v>
      </c>
      <c r="J759" s="753" t="str">
        <f t="shared" si="34"/>
        <v>-</v>
      </c>
      <c r="K759" s="1540">
        <f t="shared" si="35"/>
        <v>1900</v>
      </c>
      <c r="L759" s="757"/>
      <c r="M759" s="757"/>
      <c r="N759" s="757"/>
      <c r="O759" s="757"/>
      <c r="P759" s="757"/>
      <c r="Q759" s="757"/>
      <c r="R759" s="757"/>
      <c r="S759" s="757"/>
      <c r="T759" s="757"/>
      <c r="U759" s="757"/>
      <c r="V759" s="757"/>
      <c r="W759" s="757"/>
      <c r="X759" s="757"/>
      <c r="Y759" s="757"/>
      <c r="Z759" s="757"/>
      <c r="AA759" s="757"/>
      <c r="AB759" s="757"/>
      <c r="AC759" s="757"/>
      <c r="AD759" s="757"/>
      <c r="AE759" s="757"/>
      <c r="AF759" s="757"/>
      <c r="AG759" s="757"/>
      <c r="AH759" s="757"/>
      <c r="AI759" s="757"/>
      <c r="AJ759" s="757"/>
      <c r="AK759" s="757"/>
      <c r="AL759" s="757"/>
      <c r="AM759" s="757"/>
      <c r="AN759" s="757"/>
      <c r="AO759" s="757"/>
      <c r="AP759" s="757"/>
      <c r="AQ759" s="757"/>
      <c r="AR759" s="757"/>
      <c r="AS759" s="757"/>
      <c r="AT759" s="757"/>
      <c r="AU759" s="757"/>
      <c r="AV759" s="757"/>
      <c r="AW759" s="757"/>
      <c r="AX759" s="757"/>
      <c r="AY759" s="757"/>
      <c r="AZ759" s="75"/>
      <c r="BA759" s="2"/>
      <c r="BB759" s="2"/>
      <c r="BC759" s="2"/>
      <c r="BD759" s="2"/>
    </row>
    <row r="760" spans="1:56">
      <c r="A760" s="781">
        <v>2</v>
      </c>
      <c r="B760" s="782">
        <v>223</v>
      </c>
      <c r="C760" s="783"/>
      <c r="D760" s="783" t="s">
        <v>775</v>
      </c>
      <c r="E760" s="808">
        <v>139</v>
      </c>
      <c r="F760" s="799"/>
      <c r="G760" s="799"/>
      <c r="H760" s="1592">
        <f t="shared" si="33"/>
        <v>0</v>
      </c>
      <c r="I760" s="754" t="str">
        <f>IFERROR(VLOOKUP(B760,Mychart!$A$125:$B$911,2,FALSE),"-")</f>
        <v>MARWAN - IBTESAM</v>
      </c>
      <c r="J760" s="753" t="str">
        <f t="shared" si="34"/>
        <v>-</v>
      </c>
      <c r="K760" s="1540">
        <f t="shared" si="35"/>
        <v>1900</v>
      </c>
      <c r="L760" s="757"/>
      <c r="M760" s="757"/>
      <c r="N760" s="757"/>
      <c r="O760" s="757"/>
      <c r="P760" s="757"/>
      <c r="Q760" s="757"/>
      <c r="R760" s="757"/>
      <c r="S760" s="757"/>
      <c r="T760" s="757"/>
      <c r="U760" s="757"/>
      <c r="V760" s="757"/>
      <c r="W760" s="757"/>
      <c r="X760" s="757"/>
      <c r="Y760" s="757"/>
      <c r="Z760" s="757"/>
      <c r="AA760" s="757"/>
      <c r="AB760" s="757"/>
      <c r="AC760" s="757"/>
      <c r="AD760" s="757"/>
      <c r="AE760" s="757"/>
      <c r="AF760" s="757"/>
      <c r="AG760" s="757"/>
      <c r="AH760" s="757"/>
      <c r="AI760" s="757"/>
      <c r="AJ760" s="757"/>
      <c r="AK760" s="757"/>
      <c r="AL760" s="757"/>
      <c r="AM760" s="757"/>
      <c r="AN760" s="757"/>
      <c r="AO760" s="757"/>
      <c r="AP760" s="757"/>
      <c r="AQ760" s="757"/>
      <c r="AR760" s="757"/>
      <c r="AS760" s="757"/>
      <c r="AT760" s="757"/>
      <c r="AU760" s="757"/>
      <c r="AV760" s="757"/>
      <c r="AW760" s="757"/>
      <c r="AX760" s="757"/>
      <c r="AY760" s="757"/>
      <c r="AZ760" s="75"/>
      <c r="BA760" s="2"/>
      <c r="BB760" s="2"/>
      <c r="BC760" s="2"/>
      <c r="BD760" s="2"/>
    </row>
    <row r="761" spans="1:56">
      <c r="A761" s="781">
        <v>2</v>
      </c>
      <c r="B761" s="782">
        <v>223</v>
      </c>
      <c r="C761" s="783"/>
      <c r="D761" s="783" t="s">
        <v>510</v>
      </c>
      <c r="E761" s="808">
        <v>31389.75</v>
      </c>
      <c r="F761" s="799"/>
      <c r="G761" s="799"/>
      <c r="H761" s="1592">
        <f t="shared" si="33"/>
        <v>0</v>
      </c>
      <c r="I761" s="754" t="str">
        <f>IFERROR(VLOOKUP(B761,Mychart!$A$125:$B$911,2,FALSE),"-")</f>
        <v>MARWAN - IBTESAM</v>
      </c>
      <c r="J761" s="753" t="str">
        <f t="shared" si="34"/>
        <v>-</v>
      </c>
      <c r="K761" s="1540">
        <f t="shared" si="35"/>
        <v>1900</v>
      </c>
      <c r="L761" s="757"/>
      <c r="M761" s="757"/>
      <c r="N761" s="757"/>
      <c r="O761" s="757"/>
      <c r="P761" s="757"/>
      <c r="Q761" s="757"/>
      <c r="R761" s="757"/>
      <c r="S761" s="757"/>
      <c r="T761" s="757"/>
      <c r="U761" s="757"/>
      <c r="V761" s="757"/>
      <c r="W761" s="757"/>
      <c r="X761" s="757"/>
      <c r="Y761" s="757"/>
      <c r="Z761" s="757"/>
      <c r="AA761" s="757"/>
      <c r="AB761" s="757"/>
      <c r="AC761" s="757"/>
      <c r="AD761" s="757"/>
      <c r="AE761" s="757"/>
      <c r="AF761" s="757"/>
      <c r="AG761" s="757"/>
      <c r="AH761" s="757"/>
      <c r="AI761" s="757"/>
      <c r="AJ761" s="757"/>
      <c r="AK761" s="757"/>
      <c r="AL761" s="757"/>
      <c r="AM761" s="757"/>
      <c r="AN761" s="757"/>
      <c r="AO761" s="757"/>
      <c r="AP761" s="757"/>
      <c r="AQ761" s="757"/>
      <c r="AR761" s="757"/>
      <c r="AS761" s="757"/>
      <c r="AT761" s="757"/>
      <c r="AU761" s="757"/>
      <c r="AV761" s="757"/>
      <c r="AW761" s="757"/>
      <c r="AX761" s="757"/>
      <c r="AY761" s="757"/>
      <c r="AZ761" s="75"/>
      <c r="BA761" s="2"/>
      <c r="BB761" s="2"/>
      <c r="BC761" s="2"/>
      <c r="BD761" s="2"/>
    </row>
    <row r="762" spans="1:56">
      <c r="A762" s="781">
        <v>2</v>
      </c>
      <c r="B762" s="782">
        <v>223</v>
      </c>
      <c r="C762" s="783">
        <v>45282</v>
      </c>
      <c r="D762" s="783" t="s">
        <v>510</v>
      </c>
      <c r="E762" s="808">
        <v>4074</v>
      </c>
      <c r="F762" s="799"/>
      <c r="G762" s="799"/>
      <c r="H762" s="1592">
        <f t="shared" si="33"/>
        <v>0</v>
      </c>
      <c r="I762" s="754" t="str">
        <f>IFERROR(VLOOKUP(B762,Mychart!$A$125:$B$911,2,FALSE),"-")</f>
        <v>MARWAN - IBTESAM</v>
      </c>
      <c r="J762" s="753">
        <f t="shared" si="34"/>
        <v>12</v>
      </c>
      <c r="K762" s="1540">
        <f t="shared" si="35"/>
        <v>2023</v>
      </c>
      <c r="L762" s="757"/>
      <c r="M762" s="757"/>
      <c r="N762" s="757"/>
      <c r="O762" s="757"/>
      <c r="P762" s="757"/>
      <c r="Q762" s="757"/>
      <c r="R762" s="757"/>
      <c r="S762" s="757"/>
      <c r="T762" s="757"/>
      <c r="U762" s="757"/>
      <c r="V762" s="757"/>
      <c r="W762" s="757"/>
      <c r="X762" s="757"/>
      <c r="Y762" s="757"/>
      <c r="Z762" s="757"/>
      <c r="AA762" s="757"/>
      <c r="AB762" s="757"/>
      <c r="AC762" s="757"/>
      <c r="AD762" s="757"/>
      <c r="AE762" s="757"/>
      <c r="AF762" s="757"/>
      <c r="AG762" s="757"/>
      <c r="AH762" s="757"/>
      <c r="AI762" s="757"/>
      <c r="AJ762" s="757"/>
      <c r="AK762" s="757"/>
      <c r="AL762" s="757"/>
      <c r="AM762" s="757"/>
      <c r="AN762" s="757"/>
      <c r="AO762" s="757"/>
      <c r="AP762" s="757"/>
      <c r="AQ762" s="757"/>
      <c r="AR762" s="757"/>
      <c r="AS762" s="757"/>
      <c r="AT762" s="757"/>
      <c r="AU762" s="757"/>
      <c r="AV762" s="757"/>
      <c r="AW762" s="757"/>
      <c r="AX762" s="757"/>
      <c r="AY762" s="757"/>
      <c r="AZ762" s="75"/>
      <c r="BA762" s="2"/>
      <c r="BB762" s="2"/>
      <c r="BC762" s="2"/>
      <c r="BD762" s="2"/>
    </row>
    <row r="763" spans="1:56">
      <c r="A763" s="781">
        <v>2</v>
      </c>
      <c r="B763" s="782">
        <v>223</v>
      </c>
      <c r="C763" s="783">
        <v>45291</v>
      </c>
      <c r="D763" s="783" t="s">
        <v>777</v>
      </c>
      <c r="E763" s="808">
        <v>2200</v>
      </c>
      <c r="F763" s="799"/>
      <c r="G763" s="799"/>
      <c r="H763" s="1592">
        <f t="shared" si="33"/>
        <v>0</v>
      </c>
      <c r="I763" s="754" t="str">
        <f>IFERROR(VLOOKUP(B763,Mychart!$A$125:$B$911,2,FALSE),"-")</f>
        <v>MARWAN - IBTESAM</v>
      </c>
      <c r="J763" s="753">
        <f t="shared" si="34"/>
        <v>12</v>
      </c>
      <c r="K763" s="1540">
        <f t="shared" si="35"/>
        <v>2023</v>
      </c>
      <c r="L763" s="757"/>
      <c r="M763" s="757"/>
      <c r="N763" s="757"/>
      <c r="O763" s="757"/>
      <c r="P763" s="757"/>
      <c r="Q763" s="757"/>
      <c r="R763" s="757"/>
      <c r="S763" s="757"/>
      <c r="T763" s="757"/>
      <c r="U763" s="757"/>
      <c r="V763" s="757"/>
      <c r="W763" s="757"/>
      <c r="X763" s="757"/>
      <c r="Y763" s="757"/>
      <c r="Z763" s="757"/>
      <c r="AA763" s="757"/>
      <c r="AB763" s="757"/>
      <c r="AC763" s="757"/>
      <c r="AD763" s="757"/>
      <c r="AE763" s="757"/>
      <c r="AF763" s="757"/>
      <c r="AG763" s="757"/>
      <c r="AH763" s="757"/>
      <c r="AI763" s="757"/>
      <c r="AJ763" s="757"/>
      <c r="AK763" s="757"/>
      <c r="AL763" s="757"/>
      <c r="AM763" s="757"/>
      <c r="AN763" s="757"/>
      <c r="AO763" s="757"/>
      <c r="AP763" s="757"/>
      <c r="AQ763" s="757"/>
      <c r="AR763" s="757"/>
      <c r="AS763" s="757"/>
      <c r="AT763" s="757"/>
      <c r="AU763" s="757"/>
      <c r="AV763" s="757"/>
      <c r="AW763" s="757"/>
      <c r="AX763" s="757"/>
      <c r="AY763" s="757"/>
      <c r="AZ763" s="75"/>
      <c r="BA763" s="2"/>
      <c r="BB763" s="2"/>
      <c r="BC763" s="2"/>
      <c r="BD763" s="2"/>
    </row>
    <row r="764" spans="1:56">
      <c r="A764" s="781">
        <v>1</v>
      </c>
      <c r="B764" s="782">
        <v>279</v>
      </c>
      <c r="C764" s="783">
        <v>45476</v>
      </c>
      <c r="D764" s="786" t="s">
        <v>782</v>
      </c>
      <c r="E764" s="807"/>
      <c r="F764" s="798">
        <v>19200</v>
      </c>
      <c r="G764" s="798">
        <v>0</v>
      </c>
      <c r="H764" s="1592">
        <f t="shared" si="33"/>
        <v>19200</v>
      </c>
      <c r="I764" s="754" t="str">
        <f>IFERROR(VLOOKUP(B764,Mychart!$A$125:$B$911,2,FALSE),"-")</f>
        <v>Shams Saeed Sultan AL Kitbee</v>
      </c>
      <c r="J764" s="753">
        <f t="shared" si="34"/>
        <v>7</v>
      </c>
      <c r="K764" s="1540">
        <f t="shared" si="35"/>
        <v>2024</v>
      </c>
      <c r="L764" s="757"/>
      <c r="M764" s="757"/>
      <c r="N764" s="757"/>
      <c r="O764" s="757"/>
      <c r="P764" s="757"/>
      <c r="Q764" s="757"/>
      <c r="R764" s="757"/>
      <c r="S764" s="757"/>
      <c r="T764" s="757"/>
      <c r="U764" s="757"/>
      <c r="V764" s="757"/>
      <c r="W764" s="757"/>
      <c r="X764" s="757"/>
      <c r="Y764" s="757"/>
      <c r="Z764" s="757"/>
      <c r="AA764" s="757"/>
      <c r="AB764" s="757"/>
      <c r="AC764" s="757"/>
      <c r="AD764" s="757"/>
      <c r="AE764" s="757"/>
      <c r="AF764" s="757"/>
      <c r="AG764" s="757"/>
      <c r="AH764" s="757"/>
      <c r="AI764" s="757"/>
      <c r="AJ764" s="757"/>
      <c r="AK764" s="757"/>
      <c r="AL764" s="757"/>
      <c r="AM764" s="757"/>
      <c r="AN764" s="757"/>
      <c r="AO764" s="757"/>
      <c r="AP764" s="757"/>
      <c r="AQ764" s="757"/>
      <c r="AR764" s="757"/>
      <c r="AS764" s="757"/>
      <c r="AT764" s="757"/>
      <c r="AU764" s="757"/>
      <c r="AV764" s="757"/>
      <c r="AW764" s="757"/>
      <c r="AX764" s="757"/>
      <c r="AY764" s="757"/>
      <c r="AZ764" s="75"/>
      <c r="BA764" s="2"/>
      <c r="BB764" s="2"/>
      <c r="BC764" s="2"/>
      <c r="BD764" s="2"/>
    </row>
    <row r="765" spans="1:56">
      <c r="A765" s="781">
        <v>1</v>
      </c>
      <c r="B765" s="782">
        <v>278</v>
      </c>
      <c r="C765" s="783">
        <v>45476</v>
      </c>
      <c r="D765" s="786" t="s">
        <v>786</v>
      </c>
      <c r="E765" s="807"/>
      <c r="F765" s="798">
        <v>33000</v>
      </c>
      <c r="G765" s="798">
        <v>1650</v>
      </c>
      <c r="H765" s="1592">
        <f t="shared" si="33"/>
        <v>34650</v>
      </c>
      <c r="I765" s="754" t="str">
        <f>IFERROR(VLOOKUP(B765,Mychart!$A$125:$B$911,2,FALSE),"-")</f>
        <v>Rashed Ahmed Yousef Mohamed Al Balooshi- Archpix</v>
      </c>
      <c r="J765" s="753">
        <f t="shared" si="34"/>
        <v>7</v>
      </c>
      <c r="K765" s="1540">
        <f t="shared" si="35"/>
        <v>2024</v>
      </c>
      <c r="L765" s="757"/>
      <c r="M765" s="757"/>
      <c r="N765" s="757"/>
      <c r="O765" s="757"/>
      <c r="P765" s="757"/>
      <c r="Q765" s="757"/>
      <c r="R765" s="757"/>
      <c r="S765" s="757"/>
      <c r="T765" s="757"/>
      <c r="U765" s="757"/>
      <c r="V765" s="757"/>
      <c r="W765" s="757"/>
      <c r="X765" s="757"/>
      <c r="Y765" s="757"/>
      <c r="Z765" s="757"/>
      <c r="AA765" s="757"/>
      <c r="AB765" s="757"/>
      <c r="AC765" s="757"/>
      <c r="AD765" s="757"/>
      <c r="AE765" s="757"/>
      <c r="AF765" s="757"/>
      <c r="AG765" s="757"/>
      <c r="AH765" s="757"/>
      <c r="AI765" s="757"/>
      <c r="AJ765" s="757"/>
      <c r="AK765" s="757"/>
      <c r="AL765" s="757"/>
      <c r="AM765" s="757"/>
      <c r="AN765" s="757"/>
      <c r="AO765" s="757"/>
      <c r="AP765" s="757"/>
      <c r="AQ765" s="757"/>
      <c r="AR765" s="757"/>
      <c r="AS765" s="757"/>
      <c r="AT765" s="757"/>
      <c r="AU765" s="757"/>
      <c r="AV765" s="757"/>
      <c r="AW765" s="757"/>
      <c r="AX765" s="757"/>
      <c r="AY765" s="757"/>
      <c r="AZ765" s="75"/>
      <c r="BA765" s="2"/>
      <c r="BB765" s="2"/>
      <c r="BC765" s="2"/>
      <c r="BD765" s="2"/>
    </row>
    <row r="766" spans="1:56">
      <c r="A766" s="781">
        <v>2</v>
      </c>
      <c r="B766" s="782">
        <v>278</v>
      </c>
      <c r="C766" s="783">
        <v>45476</v>
      </c>
      <c r="D766" s="783" t="s">
        <v>787</v>
      </c>
      <c r="E766" s="808">
        <v>11550</v>
      </c>
      <c r="F766" s="799"/>
      <c r="G766" s="799"/>
      <c r="H766" s="1592">
        <f t="shared" si="33"/>
        <v>0</v>
      </c>
      <c r="I766" s="754" t="str">
        <f>IFERROR(VLOOKUP(B766,Mychart!$A$125:$B$911,2,FALSE),"-")</f>
        <v>Rashed Ahmed Yousef Mohamed Al Balooshi- Archpix</v>
      </c>
      <c r="J766" s="753">
        <f t="shared" si="34"/>
        <v>7</v>
      </c>
      <c r="K766" s="1540">
        <f t="shared" si="35"/>
        <v>2024</v>
      </c>
      <c r="L766" s="757"/>
      <c r="M766" s="757"/>
      <c r="N766" s="757"/>
      <c r="O766" s="757"/>
      <c r="P766" s="757"/>
      <c r="Q766" s="757"/>
      <c r="R766" s="757"/>
      <c r="S766" s="757"/>
      <c r="T766" s="757"/>
      <c r="U766" s="757"/>
      <c r="V766" s="757"/>
      <c r="W766" s="757"/>
      <c r="X766" s="757"/>
      <c r="Y766" s="757"/>
      <c r="Z766" s="757"/>
      <c r="AA766" s="757"/>
      <c r="AB766" s="757"/>
      <c r="AC766" s="757"/>
      <c r="AD766" s="757"/>
      <c r="AE766" s="757"/>
      <c r="AF766" s="757"/>
      <c r="AG766" s="757"/>
      <c r="AH766" s="757"/>
      <c r="AI766" s="757"/>
      <c r="AJ766" s="757"/>
      <c r="AK766" s="757"/>
      <c r="AL766" s="757"/>
      <c r="AM766" s="757"/>
      <c r="AN766" s="757"/>
      <c r="AO766" s="757"/>
      <c r="AP766" s="757"/>
      <c r="AQ766" s="757"/>
      <c r="AR766" s="757"/>
      <c r="AS766" s="757"/>
      <c r="AT766" s="757"/>
      <c r="AU766" s="757"/>
      <c r="AV766" s="757"/>
      <c r="AW766" s="757"/>
      <c r="AX766" s="757"/>
      <c r="AY766" s="757"/>
      <c r="AZ766" s="75"/>
      <c r="BA766" s="2"/>
      <c r="BB766" s="2"/>
      <c r="BC766" s="2"/>
      <c r="BD766" s="2"/>
    </row>
    <row r="767" spans="1:56">
      <c r="A767" s="781">
        <v>1</v>
      </c>
      <c r="B767" s="782">
        <v>245</v>
      </c>
      <c r="C767" s="783">
        <v>45258</v>
      </c>
      <c r="D767" s="786" t="s">
        <v>791</v>
      </c>
      <c r="E767" s="807"/>
      <c r="F767" s="798">
        <v>40000</v>
      </c>
      <c r="G767" s="798">
        <v>2000</v>
      </c>
      <c r="H767" s="1592">
        <f t="shared" si="33"/>
        <v>42000</v>
      </c>
      <c r="I767" s="754" t="str">
        <f>IFERROR(VLOOKUP(B767,Mychart!$A$125:$B$911,2,FALSE),"-")</f>
        <v>SALIM SALMIN - ABDEL KHALIQ</v>
      </c>
      <c r="J767" s="753">
        <f t="shared" si="34"/>
        <v>11</v>
      </c>
      <c r="K767" s="1540">
        <f t="shared" si="35"/>
        <v>2023</v>
      </c>
      <c r="L767" s="757"/>
      <c r="M767" s="757"/>
      <c r="N767" s="757"/>
      <c r="O767" s="757"/>
      <c r="P767" s="757"/>
      <c r="Q767" s="757"/>
      <c r="R767" s="757"/>
      <c r="S767" s="757"/>
      <c r="T767" s="757"/>
      <c r="U767" s="757"/>
      <c r="V767" s="757"/>
      <c r="W767" s="757"/>
      <c r="X767" s="757"/>
      <c r="Y767" s="757"/>
      <c r="Z767" s="757"/>
      <c r="AA767" s="757"/>
      <c r="AB767" s="757"/>
      <c r="AC767" s="757"/>
      <c r="AD767" s="757"/>
      <c r="AE767" s="757"/>
      <c r="AF767" s="757"/>
      <c r="AG767" s="757"/>
      <c r="AH767" s="757"/>
      <c r="AI767" s="757"/>
      <c r="AJ767" s="757"/>
      <c r="AK767" s="757"/>
      <c r="AL767" s="757"/>
      <c r="AM767" s="757"/>
      <c r="AN767" s="757"/>
      <c r="AO767" s="757"/>
      <c r="AP767" s="757"/>
      <c r="AQ767" s="757"/>
      <c r="AR767" s="757"/>
      <c r="AS767" s="757"/>
      <c r="AT767" s="757"/>
      <c r="AU767" s="757"/>
      <c r="AV767" s="757"/>
      <c r="AW767" s="757"/>
      <c r="AX767" s="757"/>
      <c r="AY767" s="757"/>
      <c r="AZ767" s="75"/>
      <c r="BA767" s="2"/>
      <c r="BB767" s="2"/>
      <c r="BC767" s="2"/>
      <c r="BD767" s="2"/>
    </row>
    <row r="768" spans="1:56">
      <c r="A768" s="781">
        <v>1</v>
      </c>
      <c r="B768" s="782">
        <v>245</v>
      </c>
      <c r="C768" s="783">
        <v>45442</v>
      </c>
      <c r="D768" s="784" t="s">
        <v>792</v>
      </c>
      <c r="E768" s="807"/>
      <c r="F768" s="798">
        <v>60000</v>
      </c>
      <c r="G768" s="798">
        <v>3000</v>
      </c>
      <c r="H768" s="1592">
        <f t="shared" si="33"/>
        <v>63000</v>
      </c>
      <c r="I768" s="754" t="str">
        <f>IFERROR(VLOOKUP(B768,Mychart!$A$125:$B$911,2,FALSE),"-")</f>
        <v>SALIM SALMIN - ABDEL KHALIQ</v>
      </c>
      <c r="J768" s="753">
        <f t="shared" si="34"/>
        <v>5</v>
      </c>
      <c r="K768" s="1540">
        <f t="shared" si="35"/>
        <v>2024</v>
      </c>
      <c r="L768" s="757"/>
      <c r="M768" s="757"/>
      <c r="N768" s="757"/>
      <c r="O768" s="757"/>
      <c r="P768" s="757"/>
      <c r="Q768" s="757"/>
      <c r="R768" s="757"/>
      <c r="S768" s="757"/>
      <c r="T768" s="757"/>
      <c r="U768" s="757"/>
      <c r="V768" s="757"/>
      <c r="W768" s="757"/>
      <c r="X768" s="757"/>
      <c r="Y768" s="757"/>
      <c r="Z768" s="757"/>
      <c r="AA768" s="757"/>
      <c r="AB768" s="757"/>
      <c r="AC768" s="757"/>
      <c r="AD768" s="757"/>
      <c r="AE768" s="757"/>
      <c r="AF768" s="757"/>
      <c r="AG768" s="757"/>
      <c r="AH768" s="757"/>
      <c r="AI768" s="757"/>
      <c r="AJ768" s="757"/>
      <c r="AK768" s="757"/>
      <c r="AL768" s="757"/>
      <c r="AM768" s="757"/>
      <c r="AN768" s="757"/>
      <c r="AO768" s="757"/>
      <c r="AP768" s="757"/>
      <c r="AQ768" s="757"/>
      <c r="AR768" s="757"/>
      <c r="AS768" s="757"/>
      <c r="AT768" s="757"/>
      <c r="AU768" s="757"/>
      <c r="AV768" s="757"/>
      <c r="AW768" s="757"/>
      <c r="AX768" s="757"/>
      <c r="AY768" s="757"/>
      <c r="AZ768" s="75"/>
      <c r="BA768" s="2"/>
      <c r="BB768" s="2"/>
      <c r="BC768" s="2"/>
      <c r="BD768" s="2"/>
    </row>
    <row r="769" spans="1:56">
      <c r="A769" s="781">
        <v>2</v>
      </c>
      <c r="B769" s="782">
        <v>245</v>
      </c>
      <c r="C769" s="783">
        <v>45260</v>
      </c>
      <c r="D769" s="783" t="s">
        <v>775</v>
      </c>
      <c r="E769" s="808">
        <v>588</v>
      </c>
      <c r="F769" s="799"/>
      <c r="G769" s="799"/>
      <c r="H769" s="1592">
        <f t="shared" si="33"/>
        <v>0</v>
      </c>
      <c r="I769" s="754" t="str">
        <f>IFERROR(VLOOKUP(B769,Mychart!$A$125:$B$911,2,FALSE),"-")</f>
        <v>SALIM SALMIN - ABDEL KHALIQ</v>
      </c>
      <c r="J769" s="753">
        <f t="shared" si="34"/>
        <v>11</v>
      </c>
      <c r="K769" s="1540">
        <f t="shared" si="35"/>
        <v>2023</v>
      </c>
      <c r="L769" s="757"/>
      <c r="M769" s="757"/>
      <c r="N769" s="757"/>
      <c r="O769" s="757"/>
      <c r="P769" s="757"/>
      <c r="Q769" s="757"/>
      <c r="R769" s="757"/>
      <c r="S769" s="757"/>
      <c r="T769" s="757"/>
      <c r="U769" s="757"/>
      <c r="V769" s="757"/>
      <c r="W769" s="757"/>
      <c r="X769" s="757"/>
      <c r="Y769" s="757"/>
      <c r="Z769" s="757"/>
      <c r="AA769" s="757"/>
      <c r="AB769" s="757"/>
      <c r="AC769" s="757"/>
      <c r="AD769" s="757"/>
      <c r="AE769" s="757"/>
      <c r="AF769" s="757"/>
      <c r="AG769" s="757"/>
      <c r="AH769" s="757"/>
      <c r="AI769" s="757"/>
      <c r="AJ769" s="757"/>
      <c r="AK769" s="757"/>
      <c r="AL769" s="757"/>
      <c r="AM769" s="757"/>
      <c r="AN769" s="757"/>
      <c r="AO769" s="757"/>
      <c r="AP769" s="757"/>
      <c r="AQ769" s="757"/>
      <c r="AR769" s="757"/>
      <c r="AS769" s="757"/>
      <c r="AT769" s="757"/>
      <c r="AU769" s="757"/>
      <c r="AV769" s="757"/>
      <c r="AW769" s="757"/>
      <c r="AX769" s="757"/>
      <c r="AY769" s="757"/>
      <c r="AZ769" s="75"/>
      <c r="BA769" s="2"/>
      <c r="BB769" s="2"/>
      <c r="BC769" s="2"/>
      <c r="BD769" s="2"/>
    </row>
    <row r="770" spans="1:56">
      <c r="A770" s="781">
        <v>2</v>
      </c>
      <c r="B770" s="782">
        <v>245</v>
      </c>
      <c r="C770" s="783"/>
      <c r="D770" s="783" t="s">
        <v>793</v>
      </c>
      <c r="E770" s="808">
        <v>12000</v>
      </c>
      <c r="F770" s="799"/>
      <c r="G770" s="799"/>
      <c r="H770" s="1592">
        <f t="shared" si="33"/>
        <v>0</v>
      </c>
      <c r="I770" s="754" t="str">
        <f>IFERROR(VLOOKUP(B770,Mychart!$A$125:$B$911,2,FALSE),"-")</f>
        <v>SALIM SALMIN - ABDEL KHALIQ</v>
      </c>
      <c r="J770" s="753" t="str">
        <f t="shared" si="34"/>
        <v>-</v>
      </c>
      <c r="K770" s="1540">
        <f t="shared" si="35"/>
        <v>1900</v>
      </c>
      <c r="L770" s="757"/>
      <c r="M770" s="757"/>
      <c r="N770" s="757"/>
      <c r="O770" s="757"/>
      <c r="P770" s="757"/>
      <c r="Q770" s="757"/>
      <c r="R770" s="757"/>
      <c r="S770" s="757"/>
      <c r="T770" s="757"/>
      <c r="U770" s="757"/>
      <c r="V770" s="757"/>
      <c r="W770" s="757"/>
      <c r="X770" s="757"/>
      <c r="Y770" s="757"/>
      <c r="Z770" s="757"/>
      <c r="AA770" s="757"/>
      <c r="AB770" s="757"/>
      <c r="AC770" s="757"/>
      <c r="AD770" s="757"/>
      <c r="AE770" s="757"/>
      <c r="AF770" s="757"/>
      <c r="AG770" s="757"/>
      <c r="AH770" s="757"/>
      <c r="AI770" s="757"/>
      <c r="AJ770" s="757"/>
      <c r="AK770" s="757"/>
      <c r="AL770" s="757"/>
      <c r="AM770" s="757"/>
      <c r="AN770" s="757"/>
      <c r="AO770" s="757"/>
      <c r="AP770" s="757"/>
      <c r="AQ770" s="757"/>
      <c r="AR770" s="757"/>
      <c r="AS770" s="757"/>
      <c r="AT770" s="757"/>
      <c r="AU770" s="757"/>
      <c r="AV770" s="757"/>
      <c r="AW770" s="757"/>
      <c r="AX770" s="757"/>
      <c r="AY770" s="757"/>
      <c r="AZ770" s="75"/>
      <c r="BA770" s="2"/>
      <c r="BB770" s="2"/>
      <c r="BC770" s="2"/>
      <c r="BD770" s="2"/>
    </row>
    <row r="771" spans="1:56">
      <c r="A771" s="781">
        <v>2</v>
      </c>
      <c r="B771" s="782">
        <v>245</v>
      </c>
      <c r="C771" s="783">
        <v>45291</v>
      </c>
      <c r="D771" s="783" t="s">
        <v>775</v>
      </c>
      <c r="E771" s="808">
        <v>3886.96</v>
      </c>
      <c r="F771" s="799"/>
      <c r="G771" s="799"/>
      <c r="H771" s="1592">
        <f t="shared" si="33"/>
        <v>0</v>
      </c>
      <c r="I771" s="754" t="str">
        <f>IFERROR(VLOOKUP(B771,Mychart!$A$125:$B$911,2,FALSE),"-")</f>
        <v>SALIM SALMIN - ABDEL KHALIQ</v>
      </c>
      <c r="J771" s="753">
        <f t="shared" si="34"/>
        <v>12</v>
      </c>
      <c r="K771" s="1540">
        <f t="shared" si="35"/>
        <v>2023</v>
      </c>
      <c r="L771" s="757"/>
      <c r="M771" s="757"/>
      <c r="N771" s="757"/>
      <c r="O771" s="757"/>
      <c r="P771" s="757"/>
      <c r="Q771" s="757"/>
      <c r="R771" s="757"/>
      <c r="S771" s="757"/>
      <c r="T771" s="757"/>
      <c r="U771" s="757"/>
      <c r="V771" s="757"/>
      <c r="W771" s="757"/>
      <c r="X771" s="757"/>
      <c r="Y771" s="757"/>
      <c r="Z771" s="757"/>
      <c r="AA771" s="757"/>
      <c r="AB771" s="757"/>
      <c r="AC771" s="757"/>
      <c r="AD771" s="757"/>
      <c r="AE771" s="757"/>
      <c r="AF771" s="757"/>
      <c r="AG771" s="757"/>
      <c r="AH771" s="757"/>
      <c r="AI771" s="757"/>
      <c r="AJ771" s="757"/>
      <c r="AK771" s="757"/>
      <c r="AL771" s="757"/>
      <c r="AM771" s="757"/>
      <c r="AN771" s="757"/>
      <c r="AO771" s="757"/>
      <c r="AP771" s="757"/>
      <c r="AQ771" s="757"/>
      <c r="AR771" s="757"/>
      <c r="AS771" s="757"/>
      <c r="AT771" s="757"/>
      <c r="AU771" s="757"/>
      <c r="AV771" s="757"/>
      <c r="AW771" s="757"/>
      <c r="AX771" s="757"/>
      <c r="AY771" s="757"/>
      <c r="AZ771" s="75"/>
      <c r="BA771" s="2"/>
      <c r="BB771" s="2"/>
      <c r="BC771" s="2"/>
      <c r="BD771" s="2"/>
    </row>
    <row r="772" spans="1:56">
      <c r="A772" s="781">
        <v>2</v>
      </c>
      <c r="B772" s="782">
        <v>245</v>
      </c>
      <c r="C772" s="783">
        <v>45322</v>
      </c>
      <c r="D772" s="783" t="s">
        <v>775</v>
      </c>
      <c r="E772" s="808">
        <v>6009</v>
      </c>
      <c r="F772" s="799"/>
      <c r="G772" s="799"/>
      <c r="H772" s="1592">
        <f t="shared" si="33"/>
        <v>0</v>
      </c>
      <c r="I772" s="754" t="str">
        <f>IFERROR(VLOOKUP(B772,Mychart!$A$125:$B$911,2,FALSE),"-")</f>
        <v>SALIM SALMIN - ABDEL KHALIQ</v>
      </c>
      <c r="J772" s="753">
        <f t="shared" si="34"/>
        <v>1</v>
      </c>
      <c r="K772" s="1540">
        <f t="shared" si="35"/>
        <v>2024</v>
      </c>
      <c r="L772" s="757"/>
      <c r="M772" s="757"/>
      <c r="N772" s="757"/>
      <c r="O772" s="757"/>
      <c r="P772" s="757"/>
      <c r="Q772" s="757"/>
      <c r="R772" s="757"/>
      <c r="S772" s="757"/>
      <c r="T772" s="757"/>
      <c r="U772" s="757"/>
      <c r="V772" s="757"/>
      <c r="W772" s="757"/>
      <c r="X772" s="757"/>
      <c r="Y772" s="757"/>
      <c r="Z772" s="757"/>
      <c r="AA772" s="757"/>
      <c r="AB772" s="757"/>
      <c r="AC772" s="757"/>
      <c r="AD772" s="757"/>
      <c r="AE772" s="757"/>
      <c r="AF772" s="757"/>
      <c r="AG772" s="757"/>
      <c r="AH772" s="757"/>
      <c r="AI772" s="757"/>
      <c r="AJ772" s="757"/>
      <c r="AK772" s="757"/>
      <c r="AL772" s="757"/>
      <c r="AM772" s="757"/>
      <c r="AN772" s="757"/>
      <c r="AO772" s="757"/>
      <c r="AP772" s="757"/>
      <c r="AQ772" s="757"/>
      <c r="AR772" s="757"/>
      <c r="AS772" s="757"/>
      <c r="AT772" s="757"/>
      <c r="AU772" s="757"/>
      <c r="AV772" s="757"/>
      <c r="AW772" s="757"/>
      <c r="AX772" s="757"/>
      <c r="AY772" s="757"/>
      <c r="AZ772" s="75"/>
      <c r="BA772" s="2"/>
      <c r="BB772" s="2"/>
      <c r="BC772" s="2"/>
      <c r="BD772" s="2"/>
    </row>
    <row r="773" spans="1:56">
      <c r="A773" s="781">
        <v>2</v>
      </c>
      <c r="B773" s="782">
        <v>245</v>
      </c>
      <c r="C773" s="783">
        <v>45296</v>
      </c>
      <c r="D773" s="783" t="s">
        <v>258</v>
      </c>
      <c r="E773" s="808">
        <v>5922</v>
      </c>
      <c r="F773" s="799"/>
      <c r="G773" s="799"/>
      <c r="H773" s="1592">
        <f t="shared" si="33"/>
        <v>0</v>
      </c>
      <c r="I773" s="754" t="str">
        <f>IFERROR(VLOOKUP(B773,Mychart!$A$125:$B$911,2,FALSE),"-")</f>
        <v>SALIM SALMIN - ABDEL KHALIQ</v>
      </c>
      <c r="J773" s="753">
        <f t="shared" si="34"/>
        <v>1</v>
      </c>
      <c r="K773" s="1540">
        <f t="shared" si="35"/>
        <v>2024</v>
      </c>
      <c r="L773" s="757"/>
      <c r="M773" s="757"/>
      <c r="N773" s="757"/>
      <c r="O773" s="757"/>
      <c r="P773" s="757"/>
      <c r="Q773" s="757"/>
      <c r="R773" s="757"/>
      <c r="S773" s="757"/>
      <c r="T773" s="757"/>
      <c r="U773" s="757"/>
      <c r="V773" s="757"/>
      <c r="W773" s="757"/>
      <c r="X773" s="757"/>
      <c r="Y773" s="757"/>
      <c r="Z773" s="757"/>
      <c r="AA773" s="757"/>
      <c r="AB773" s="757"/>
      <c r="AC773" s="757"/>
      <c r="AD773" s="757"/>
      <c r="AE773" s="757"/>
      <c r="AF773" s="757"/>
      <c r="AG773" s="757"/>
      <c r="AH773" s="757"/>
      <c r="AI773" s="757"/>
      <c r="AJ773" s="757"/>
      <c r="AK773" s="757"/>
      <c r="AL773" s="757"/>
      <c r="AM773" s="757"/>
      <c r="AN773" s="757"/>
      <c r="AO773" s="757"/>
      <c r="AP773" s="757"/>
      <c r="AQ773" s="757"/>
      <c r="AR773" s="757"/>
      <c r="AS773" s="757"/>
      <c r="AT773" s="757"/>
      <c r="AU773" s="757"/>
      <c r="AV773" s="757"/>
      <c r="AW773" s="757"/>
      <c r="AX773" s="757"/>
      <c r="AY773" s="757"/>
      <c r="AZ773" s="75"/>
      <c r="BA773" s="2"/>
      <c r="BB773" s="2"/>
      <c r="BC773" s="2"/>
      <c r="BD773" s="2"/>
    </row>
    <row r="774" spans="1:56">
      <c r="A774" s="781">
        <v>2</v>
      </c>
      <c r="B774" s="782">
        <v>245</v>
      </c>
      <c r="C774" s="783">
        <v>45351</v>
      </c>
      <c r="D774" s="783" t="s">
        <v>775</v>
      </c>
      <c r="E774" s="808">
        <v>1053</v>
      </c>
      <c r="F774" s="799"/>
      <c r="G774" s="799"/>
      <c r="H774" s="1592">
        <f t="shared" si="33"/>
        <v>0</v>
      </c>
      <c r="I774" s="754" t="str">
        <f>IFERROR(VLOOKUP(B774,Mychart!$A$125:$B$911,2,FALSE),"-")</f>
        <v>SALIM SALMIN - ABDEL KHALIQ</v>
      </c>
      <c r="J774" s="753">
        <f t="shared" si="34"/>
        <v>2</v>
      </c>
      <c r="K774" s="1540">
        <f t="shared" si="35"/>
        <v>2024</v>
      </c>
      <c r="L774" s="757"/>
      <c r="M774" s="757"/>
      <c r="N774" s="757"/>
      <c r="O774" s="757"/>
      <c r="P774" s="757"/>
      <c r="Q774" s="757"/>
      <c r="R774" s="757"/>
      <c r="S774" s="757"/>
      <c r="T774" s="757"/>
      <c r="U774" s="757"/>
      <c r="V774" s="757"/>
      <c r="W774" s="757"/>
      <c r="X774" s="757"/>
      <c r="Y774" s="757"/>
      <c r="Z774" s="757"/>
      <c r="AA774" s="757"/>
      <c r="AB774" s="757"/>
      <c r="AC774" s="757"/>
      <c r="AD774" s="757"/>
      <c r="AE774" s="757"/>
      <c r="AF774" s="757"/>
      <c r="AG774" s="757"/>
      <c r="AH774" s="757"/>
      <c r="AI774" s="757"/>
      <c r="AJ774" s="757"/>
      <c r="AK774" s="757"/>
      <c r="AL774" s="757"/>
      <c r="AM774" s="757"/>
      <c r="AN774" s="757"/>
      <c r="AO774" s="757"/>
      <c r="AP774" s="757"/>
      <c r="AQ774" s="757"/>
      <c r="AR774" s="757"/>
      <c r="AS774" s="757"/>
      <c r="AT774" s="757"/>
      <c r="AU774" s="757"/>
      <c r="AV774" s="757"/>
      <c r="AW774" s="757"/>
      <c r="AX774" s="757"/>
      <c r="AY774" s="757"/>
      <c r="AZ774" s="75"/>
      <c r="BA774" s="2"/>
      <c r="BB774" s="2"/>
      <c r="BC774" s="2"/>
      <c r="BD774" s="2"/>
    </row>
    <row r="775" spans="1:56">
      <c r="A775" s="781">
        <v>2</v>
      </c>
      <c r="B775" s="782">
        <v>245</v>
      </c>
      <c r="C775" s="783">
        <v>45321</v>
      </c>
      <c r="D775" s="783" t="s">
        <v>394</v>
      </c>
      <c r="E775" s="808">
        <v>979.15</v>
      </c>
      <c r="F775" s="799"/>
      <c r="G775" s="799"/>
      <c r="H775" s="1592">
        <f t="shared" si="33"/>
        <v>0</v>
      </c>
      <c r="I775" s="754" t="str">
        <f>IFERROR(VLOOKUP(B775,Mychart!$A$125:$B$911,2,FALSE),"-")</f>
        <v>SALIM SALMIN - ABDEL KHALIQ</v>
      </c>
      <c r="J775" s="753">
        <f t="shared" si="34"/>
        <v>1</v>
      </c>
      <c r="K775" s="1540">
        <f t="shared" si="35"/>
        <v>2024</v>
      </c>
      <c r="L775" s="757"/>
      <c r="M775" s="757"/>
      <c r="N775" s="757"/>
      <c r="O775" s="757"/>
      <c r="P775" s="757"/>
      <c r="Q775" s="757"/>
      <c r="R775" s="757"/>
      <c r="S775" s="757"/>
      <c r="T775" s="757"/>
      <c r="U775" s="757"/>
      <c r="V775" s="757"/>
      <c r="W775" s="757"/>
      <c r="X775" s="757"/>
      <c r="Y775" s="757"/>
      <c r="Z775" s="757"/>
      <c r="AA775" s="757"/>
      <c r="AB775" s="757"/>
      <c r="AC775" s="757"/>
      <c r="AD775" s="757"/>
      <c r="AE775" s="757"/>
      <c r="AF775" s="757"/>
      <c r="AG775" s="757"/>
      <c r="AH775" s="757"/>
      <c r="AI775" s="757"/>
      <c r="AJ775" s="757"/>
      <c r="AK775" s="757"/>
      <c r="AL775" s="757"/>
      <c r="AM775" s="757"/>
      <c r="AN775" s="757"/>
      <c r="AO775" s="757"/>
      <c r="AP775" s="757"/>
      <c r="AQ775" s="757"/>
      <c r="AR775" s="757"/>
      <c r="AS775" s="757"/>
      <c r="AT775" s="757"/>
      <c r="AU775" s="757"/>
      <c r="AV775" s="757"/>
      <c r="AW775" s="757"/>
      <c r="AX775" s="757"/>
      <c r="AY775" s="757"/>
      <c r="AZ775" s="75"/>
      <c r="BA775" s="2"/>
      <c r="BB775" s="2"/>
      <c r="BC775" s="2"/>
      <c r="BD775" s="2"/>
    </row>
    <row r="776" spans="1:56">
      <c r="A776" s="781">
        <v>2</v>
      </c>
      <c r="B776" s="782">
        <v>245</v>
      </c>
      <c r="C776" s="783">
        <v>45448</v>
      </c>
      <c r="D776" s="785" t="s">
        <v>224</v>
      </c>
      <c r="E776" s="808">
        <v>28980</v>
      </c>
      <c r="F776" s="799"/>
      <c r="G776" s="799"/>
      <c r="H776" s="1592">
        <f t="shared" si="33"/>
        <v>0</v>
      </c>
      <c r="I776" s="754" t="str">
        <f>IFERROR(VLOOKUP(B776,Mychart!$A$125:$B$911,2,FALSE),"-")</f>
        <v>SALIM SALMIN - ABDEL KHALIQ</v>
      </c>
      <c r="J776" s="753">
        <f t="shared" si="34"/>
        <v>6</v>
      </c>
      <c r="K776" s="1540">
        <f t="shared" si="35"/>
        <v>2024</v>
      </c>
      <c r="L776" s="757"/>
      <c r="M776" s="757"/>
      <c r="N776" s="757"/>
      <c r="O776" s="757"/>
      <c r="P776" s="757"/>
      <c r="Q776" s="757"/>
      <c r="R776" s="757"/>
      <c r="S776" s="757"/>
      <c r="T776" s="757"/>
      <c r="U776" s="757"/>
      <c r="V776" s="757"/>
      <c r="W776" s="757"/>
      <c r="X776" s="757"/>
      <c r="Y776" s="757"/>
      <c r="Z776" s="757"/>
      <c r="AA776" s="757"/>
      <c r="AB776" s="757"/>
      <c r="AC776" s="757"/>
      <c r="AD776" s="757"/>
      <c r="AE776" s="757"/>
      <c r="AF776" s="757"/>
      <c r="AG776" s="757"/>
      <c r="AH776" s="757"/>
      <c r="AI776" s="757"/>
      <c r="AJ776" s="757"/>
      <c r="AK776" s="757"/>
      <c r="AL776" s="757"/>
      <c r="AM776" s="757"/>
      <c r="AN776" s="757"/>
      <c r="AO776" s="757"/>
      <c r="AP776" s="757"/>
      <c r="AQ776" s="757"/>
      <c r="AR776" s="757"/>
      <c r="AS776" s="757"/>
      <c r="AT776" s="757"/>
      <c r="AU776" s="757"/>
      <c r="AV776" s="757"/>
      <c r="AW776" s="757"/>
      <c r="AX776" s="757"/>
      <c r="AY776" s="757"/>
      <c r="AZ776" s="75"/>
      <c r="BA776" s="2"/>
      <c r="BB776" s="2"/>
      <c r="BC776" s="2"/>
      <c r="BD776" s="2"/>
    </row>
    <row r="777" spans="1:56">
      <c r="A777" s="781">
        <v>2</v>
      </c>
      <c r="B777" s="782">
        <v>245</v>
      </c>
      <c r="C777" s="783"/>
      <c r="D777" s="783" t="s">
        <v>394</v>
      </c>
      <c r="E777" s="808">
        <v>283.17</v>
      </c>
      <c r="F777" s="799"/>
      <c r="G777" s="799"/>
      <c r="H777" s="1592">
        <f t="shared" si="33"/>
        <v>0</v>
      </c>
      <c r="I777" s="754" t="str">
        <f>IFERROR(VLOOKUP(B777,Mychart!$A$125:$B$911,2,FALSE),"-")</f>
        <v>SALIM SALMIN - ABDEL KHALIQ</v>
      </c>
      <c r="J777" s="753" t="str">
        <f t="shared" si="34"/>
        <v>-</v>
      </c>
      <c r="K777" s="1540">
        <f t="shared" si="35"/>
        <v>1900</v>
      </c>
      <c r="L777" s="757"/>
      <c r="M777" s="757"/>
      <c r="N777" s="757"/>
      <c r="O777" s="757"/>
      <c r="P777" s="757"/>
      <c r="Q777" s="757"/>
      <c r="R777" s="757"/>
      <c r="S777" s="757"/>
      <c r="T777" s="757"/>
      <c r="U777" s="757"/>
      <c r="V777" s="757"/>
      <c r="W777" s="757"/>
      <c r="X777" s="757"/>
      <c r="Y777" s="757"/>
      <c r="Z777" s="757"/>
      <c r="AA777" s="757"/>
      <c r="AB777" s="757"/>
      <c r="AC777" s="757"/>
      <c r="AD777" s="757"/>
      <c r="AE777" s="757"/>
      <c r="AF777" s="757"/>
      <c r="AG777" s="757"/>
      <c r="AH777" s="757"/>
      <c r="AI777" s="757"/>
      <c r="AJ777" s="757"/>
      <c r="AK777" s="757"/>
      <c r="AL777" s="757"/>
      <c r="AM777" s="757"/>
      <c r="AN777" s="757"/>
      <c r="AO777" s="757"/>
      <c r="AP777" s="757"/>
      <c r="AQ777" s="757"/>
      <c r="AR777" s="757"/>
      <c r="AS777" s="757"/>
      <c r="AT777" s="757"/>
      <c r="AU777" s="757"/>
      <c r="AV777" s="757"/>
      <c r="AW777" s="757"/>
      <c r="AX777" s="757"/>
      <c r="AY777" s="757"/>
      <c r="AZ777" s="75"/>
      <c r="BA777" s="2"/>
      <c r="BB777" s="2"/>
      <c r="BC777" s="2"/>
      <c r="BD777" s="2"/>
    </row>
    <row r="778" spans="1:56">
      <c r="A778" s="781">
        <v>2</v>
      </c>
      <c r="B778" s="782">
        <v>245</v>
      </c>
      <c r="C778" s="783">
        <v>45260</v>
      </c>
      <c r="D778" s="783" t="s">
        <v>191</v>
      </c>
      <c r="E778" s="808">
        <v>519</v>
      </c>
      <c r="F778" s="799"/>
      <c r="G778" s="799"/>
      <c r="H778" s="1592">
        <f t="shared" si="33"/>
        <v>0</v>
      </c>
      <c r="I778" s="754" t="str">
        <f>IFERROR(VLOOKUP(B778,Mychart!$A$125:$B$911,2,FALSE),"-")</f>
        <v>SALIM SALMIN - ABDEL KHALIQ</v>
      </c>
      <c r="J778" s="753">
        <f t="shared" si="34"/>
        <v>11</v>
      </c>
      <c r="K778" s="1540">
        <f t="shared" si="35"/>
        <v>2023</v>
      </c>
      <c r="L778" s="757"/>
      <c r="M778" s="757"/>
      <c r="N778" s="757"/>
      <c r="O778" s="757"/>
      <c r="P778" s="757"/>
      <c r="Q778" s="757"/>
      <c r="R778" s="757"/>
      <c r="S778" s="757"/>
      <c r="T778" s="757"/>
      <c r="U778" s="757"/>
      <c r="V778" s="757"/>
      <c r="W778" s="757"/>
      <c r="X778" s="757"/>
      <c r="Y778" s="757"/>
      <c r="Z778" s="757"/>
      <c r="AA778" s="757"/>
      <c r="AB778" s="757"/>
      <c r="AC778" s="757"/>
      <c r="AD778" s="757"/>
      <c r="AE778" s="757"/>
      <c r="AF778" s="757"/>
      <c r="AG778" s="757"/>
      <c r="AH778" s="757"/>
      <c r="AI778" s="757"/>
      <c r="AJ778" s="757"/>
      <c r="AK778" s="757"/>
      <c r="AL778" s="757"/>
      <c r="AM778" s="757"/>
      <c r="AN778" s="757"/>
      <c r="AO778" s="757"/>
      <c r="AP778" s="757"/>
      <c r="AQ778" s="757"/>
      <c r="AR778" s="757"/>
      <c r="AS778" s="757"/>
      <c r="AT778" s="757"/>
      <c r="AU778" s="757"/>
      <c r="AV778" s="757"/>
      <c r="AW778" s="757"/>
      <c r="AX778" s="757"/>
      <c r="AY778" s="757"/>
      <c r="AZ778" s="75"/>
      <c r="BA778" s="2"/>
      <c r="BB778" s="2"/>
      <c r="BC778" s="2"/>
      <c r="BD778" s="2"/>
    </row>
    <row r="779" spans="1:56">
      <c r="A779" s="781">
        <v>1</v>
      </c>
      <c r="B779" s="782">
        <v>215</v>
      </c>
      <c r="C779" s="783">
        <v>44915</v>
      </c>
      <c r="D779" s="786" t="s">
        <v>797</v>
      </c>
      <c r="E779" s="807"/>
      <c r="F779" s="798">
        <v>37500</v>
      </c>
      <c r="G779" s="798">
        <v>1875</v>
      </c>
      <c r="H779" s="1592">
        <f t="shared" ref="H779:H842" si="36">F779+G779</f>
        <v>39375</v>
      </c>
      <c r="I779" s="754" t="str">
        <f>IFERROR(VLOOKUP(B779,Mychart!$A$125:$B$911,2,FALSE),"-")</f>
        <v>SAIF - IDEAL SYSTEMS CONTRACTING</v>
      </c>
      <c r="J779" s="753">
        <f t="shared" ref="J779:J842" si="37">IF(C779&lt;&gt;"", MONTH(C779),"-")</f>
        <v>12</v>
      </c>
      <c r="K779" s="1540">
        <f t="shared" ref="K779:K842" si="38">YEAR(C779)</f>
        <v>2022</v>
      </c>
      <c r="L779" s="757"/>
      <c r="M779" s="757"/>
      <c r="N779" s="757"/>
      <c r="O779" s="757"/>
      <c r="P779" s="757"/>
      <c r="Q779" s="757"/>
      <c r="R779" s="757"/>
      <c r="S779" s="757"/>
      <c r="T779" s="757"/>
      <c r="U779" s="757"/>
      <c r="V779" s="757"/>
      <c r="W779" s="757"/>
      <c r="X779" s="757"/>
      <c r="Y779" s="757"/>
      <c r="Z779" s="757"/>
      <c r="AA779" s="757"/>
      <c r="AB779" s="757"/>
      <c r="AC779" s="757"/>
      <c r="AD779" s="757"/>
      <c r="AE779" s="757"/>
      <c r="AF779" s="757"/>
      <c r="AG779" s="757"/>
      <c r="AH779" s="757"/>
      <c r="AI779" s="757"/>
      <c r="AJ779" s="757"/>
      <c r="AK779" s="757"/>
      <c r="AL779" s="757"/>
      <c r="AM779" s="757"/>
      <c r="AN779" s="757"/>
      <c r="AO779" s="757"/>
      <c r="AP779" s="757"/>
      <c r="AQ779" s="757"/>
      <c r="AR779" s="757"/>
      <c r="AS779" s="757"/>
      <c r="AT779" s="757"/>
      <c r="AU779" s="757"/>
      <c r="AV779" s="757"/>
      <c r="AW779" s="757"/>
      <c r="AX779" s="757"/>
      <c r="AY779" s="757"/>
      <c r="AZ779" s="75"/>
      <c r="BA779" s="2"/>
      <c r="BB779" s="2"/>
      <c r="BC779" s="2"/>
      <c r="BD779" s="2"/>
    </row>
    <row r="780" spans="1:56">
      <c r="A780" s="781">
        <v>1</v>
      </c>
      <c r="B780" s="782">
        <v>215</v>
      </c>
      <c r="C780" s="783">
        <v>44989</v>
      </c>
      <c r="D780" s="784" t="s">
        <v>798</v>
      </c>
      <c r="E780" s="807"/>
      <c r="F780" s="798">
        <v>37500</v>
      </c>
      <c r="G780" s="798">
        <v>1875</v>
      </c>
      <c r="H780" s="1592">
        <f t="shared" si="36"/>
        <v>39375</v>
      </c>
      <c r="I780" s="754" t="str">
        <f>IFERROR(VLOOKUP(B780,Mychart!$A$125:$B$911,2,FALSE),"-")</f>
        <v>SAIF - IDEAL SYSTEMS CONTRACTING</v>
      </c>
      <c r="J780" s="753">
        <f t="shared" si="37"/>
        <v>3</v>
      </c>
      <c r="K780" s="1540">
        <f t="shared" si="38"/>
        <v>2023</v>
      </c>
      <c r="L780" s="757"/>
      <c r="M780" s="757"/>
      <c r="N780" s="757"/>
      <c r="O780" s="757"/>
      <c r="P780" s="757"/>
      <c r="Q780" s="757"/>
      <c r="R780" s="757"/>
      <c r="S780" s="757"/>
      <c r="T780" s="757"/>
      <c r="U780" s="757"/>
      <c r="V780" s="757"/>
      <c r="W780" s="757"/>
      <c r="X780" s="757"/>
      <c r="Y780" s="757"/>
      <c r="Z780" s="757"/>
      <c r="AA780" s="757"/>
      <c r="AB780" s="757"/>
      <c r="AC780" s="757"/>
      <c r="AD780" s="757"/>
      <c r="AE780" s="757"/>
      <c r="AF780" s="757"/>
      <c r="AG780" s="757"/>
      <c r="AH780" s="757"/>
      <c r="AI780" s="757"/>
      <c r="AJ780" s="757"/>
      <c r="AK780" s="757"/>
      <c r="AL780" s="757"/>
      <c r="AM780" s="757"/>
      <c r="AN780" s="757"/>
      <c r="AO780" s="757"/>
      <c r="AP780" s="757"/>
      <c r="AQ780" s="757"/>
      <c r="AR780" s="757"/>
      <c r="AS780" s="757"/>
      <c r="AT780" s="757"/>
      <c r="AU780" s="757"/>
      <c r="AV780" s="757"/>
      <c r="AW780" s="757"/>
      <c r="AX780" s="757"/>
      <c r="AY780" s="757"/>
      <c r="AZ780" s="75"/>
      <c r="BA780" s="2"/>
      <c r="BB780" s="2"/>
      <c r="BC780" s="2"/>
      <c r="BD780" s="2"/>
    </row>
    <row r="781" spans="1:56">
      <c r="A781" s="781">
        <v>1</v>
      </c>
      <c r="B781" s="782">
        <v>215</v>
      </c>
      <c r="C781" s="783">
        <v>45048</v>
      </c>
      <c r="D781" s="784" t="s">
        <v>799</v>
      </c>
      <c r="E781" s="807"/>
      <c r="F781" s="798">
        <v>40000</v>
      </c>
      <c r="G781" s="798">
        <v>2000</v>
      </c>
      <c r="H781" s="1592">
        <f t="shared" si="36"/>
        <v>42000</v>
      </c>
      <c r="I781" s="754" t="str">
        <f>IFERROR(VLOOKUP(B781,Mychart!$A$125:$B$911,2,FALSE),"-")</f>
        <v>SAIF - IDEAL SYSTEMS CONTRACTING</v>
      </c>
      <c r="J781" s="753">
        <f t="shared" si="37"/>
        <v>5</v>
      </c>
      <c r="K781" s="1540">
        <f t="shared" si="38"/>
        <v>2023</v>
      </c>
      <c r="L781" s="757"/>
      <c r="M781" s="757"/>
      <c r="N781" s="757"/>
      <c r="O781" s="757"/>
      <c r="P781" s="757"/>
      <c r="Q781" s="757"/>
      <c r="R781" s="757"/>
      <c r="S781" s="757"/>
      <c r="T781" s="757"/>
      <c r="U781" s="757"/>
      <c r="V781" s="757"/>
      <c r="W781" s="757"/>
      <c r="X781" s="757"/>
      <c r="Y781" s="757"/>
      <c r="Z781" s="757"/>
      <c r="AA781" s="757"/>
      <c r="AB781" s="757"/>
      <c r="AC781" s="757"/>
      <c r="AD781" s="757"/>
      <c r="AE781" s="757"/>
      <c r="AF781" s="757"/>
      <c r="AG781" s="757"/>
      <c r="AH781" s="757"/>
      <c r="AI781" s="757"/>
      <c r="AJ781" s="757"/>
      <c r="AK781" s="757"/>
      <c r="AL781" s="757"/>
      <c r="AM781" s="757"/>
      <c r="AN781" s="757"/>
      <c r="AO781" s="757"/>
      <c r="AP781" s="757"/>
      <c r="AQ781" s="757"/>
      <c r="AR781" s="757"/>
      <c r="AS781" s="757"/>
      <c r="AT781" s="757"/>
      <c r="AU781" s="757"/>
      <c r="AV781" s="757"/>
      <c r="AW781" s="757"/>
      <c r="AX781" s="757"/>
      <c r="AY781" s="757"/>
      <c r="AZ781" s="75"/>
      <c r="BA781" s="2"/>
      <c r="BB781" s="2"/>
      <c r="BC781" s="2"/>
      <c r="BD781" s="2"/>
    </row>
    <row r="782" spans="1:56">
      <c r="A782" s="781">
        <v>1</v>
      </c>
      <c r="B782" s="782">
        <v>215</v>
      </c>
      <c r="C782" s="783">
        <v>45071</v>
      </c>
      <c r="D782" s="784" t="s">
        <v>800</v>
      </c>
      <c r="E782" s="807"/>
      <c r="F782" s="798">
        <v>39687.495238095238</v>
      </c>
      <c r="G782" s="798">
        <v>1984.3747619047645</v>
      </c>
      <c r="H782" s="1592">
        <f t="shared" si="36"/>
        <v>41671.870000000003</v>
      </c>
      <c r="I782" s="754" t="str">
        <f>IFERROR(VLOOKUP(B782,Mychart!$A$125:$B$911,2,FALSE),"-")</f>
        <v>SAIF - IDEAL SYSTEMS CONTRACTING</v>
      </c>
      <c r="J782" s="753">
        <f t="shared" si="37"/>
        <v>5</v>
      </c>
      <c r="K782" s="1540">
        <f t="shared" si="38"/>
        <v>2023</v>
      </c>
      <c r="L782" s="757"/>
      <c r="M782" s="757"/>
      <c r="N782" s="757"/>
      <c r="O782" s="757"/>
      <c r="P782" s="757"/>
      <c r="Q782" s="757"/>
      <c r="R782" s="757"/>
      <c r="S782" s="757"/>
      <c r="T782" s="757"/>
      <c r="U782" s="757"/>
      <c r="V782" s="757"/>
      <c r="W782" s="757"/>
      <c r="X782" s="757"/>
      <c r="Y782" s="757"/>
      <c r="Z782" s="757"/>
      <c r="AA782" s="757"/>
      <c r="AB782" s="757"/>
      <c r="AC782" s="757"/>
      <c r="AD782" s="757"/>
      <c r="AE782" s="757"/>
      <c r="AF782" s="757"/>
      <c r="AG782" s="757"/>
      <c r="AH782" s="757"/>
      <c r="AI782" s="757"/>
      <c r="AJ782" s="757"/>
      <c r="AK782" s="757"/>
      <c r="AL782" s="757"/>
      <c r="AM782" s="757"/>
      <c r="AN782" s="757"/>
      <c r="AO782" s="757"/>
      <c r="AP782" s="757"/>
      <c r="AQ782" s="757"/>
      <c r="AR782" s="757"/>
      <c r="AS782" s="757"/>
      <c r="AT782" s="757"/>
      <c r="AU782" s="757"/>
      <c r="AV782" s="757"/>
      <c r="AW782" s="757"/>
      <c r="AX782" s="757"/>
      <c r="AY782" s="757"/>
      <c r="AZ782" s="75"/>
      <c r="BA782" s="2"/>
      <c r="BB782" s="2"/>
      <c r="BC782" s="2"/>
      <c r="BD782" s="2"/>
    </row>
    <row r="783" spans="1:56">
      <c r="A783" s="781">
        <v>1</v>
      </c>
      <c r="B783" s="782">
        <v>215</v>
      </c>
      <c r="C783" s="783">
        <v>45263</v>
      </c>
      <c r="D783" s="784" t="s">
        <v>801</v>
      </c>
      <c r="E783" s="807"/>
      <c r="F783" s="798">
        <v>131250.47619047618</v>
      </c>
      <c r="G783" s="798">
        <v>6562.5238095238165</v>
      </c>
      <c r="H783" s="1592">
        <f t="shared" si="36"/>
        <v>137813</v>
      </c>
      <c r="I783" s="754" t="str">
        <f>IFERROR(VLOOKUP(B783,Mychart!$A$125:$B$911,2,FALSE),"-")</f>
        <v>SAIF - IDEAL SYSTEMS CONTRACTING</v>
      </c>
      <c r="J783" s="753">
        <f t="shared" si="37"/>
        <v>12</v>
      </c>
      <c r="K783" s="1540">
        <f t="shared" si="38"/>
        <v>2023</v>
      </c>
      <c r="L783" s="757"/>
      <c r="M783" s="757"/>
      <c r="N783" s="757"/>
      <c r="O783" s="757"/>
      <c r="P783" s="757"/>
      <c r="Q783" s="757"/>
      <c r="R783" s="757"/>
      <c r="S783" s="757"/>
      <c r="T783" s="757"/>
      <c r="U783" s="757"/>
      <c r="V783" s="757"/>
      <c r="W783" s="757"/>
      <c r="X783" s="757"/>
      <c r="Y783" s="757"/>
      <c r="Z783" s="757"/>
      <c r="AA783" s="757"/>
      <c r="AB783" s="757"/>
      <c r="AC783" s="757"/>
      <c r="AD783" s="757"/>
      <c r="AE783" s="757"/>
      <c r="AF783" s="757"/>
      <c r="AG783" s="757"/>
      <c r="AH783" s="757"/>
      <c r="AI783" s="757"/>
      <c r="AJ783" s="757"/>
      <c r="AK783" s="757"/>
      <c r="AL783" s="757"/>
      <c r="AM783" s="757"/>
      <c r="AN783" s="757"/>
      <c r="AO783" s="757"/>
      <c r="AP783" s="757"/>
      <c r="AQ783" s="757"/>
      <c r="AR783" s="757"/>
      <c r="AS783" s="757"/>
      <c r="AT783" s="757"/>
      <c r="AU783" s="757"/>
      <c r="AV783" s="757"/>
      <c r="AW783" s="757"/>
      <c r="AX783" s="757"/>
      <c r="AY783" s="757"/>
      <c r="AZ783" s="75"/>
      <c r="BA783" s="2"/>
      <c r="BB783" s="2"/>
      <c r="BC783" s="2"/>
      <c r="BD783" s="2"/>
    </row>
    <row r="784" spans="1:56">
      <c r="A784" s="781">
        <v>1</v>
      </c>
      <c r="B784" s="782">
        <v>215</v>
      </c>
      <c r="C784" s="783">
        <v>45337</v>
      </c>
      <c r="D784" s="784" t="s">
        <v>802</v>
      </c>
      <c r="E784" s="807"/>
      <c r="F784" s="798">
        <v>51562.5</v>
      </c>
      <c r="G784" s="798">
        <v>2578</v>
      </c>
      <c r="H784" s="1592">
        <f t="shared" si="36"/>
        <v>54140.5</v>
      </c>
      <c r="I784" s="754" t="str">
        <f>IFERROR(VLOOKUP(B784,Mychart!$A$125:$B$911,2,FALSE),"-")</f>
        <v>SAIF - IDEAL SYSTEMS CONTRACTING</v>
      </c>
      <c r="J784" s="753">
        <f t="shared" si="37"/>
        <v>2</v>
      </c>
      <c r="K784" s="1540">
        <f t="shared" si="38"/>
        <v>2024</v>
      </c>
      <c r="L784" s="757"/>
      <c r="M784" s="757"/>
      <c r="N784" s="757"/>
      <c r="O784" s="757"/>
      <c r="P784" s="757"/>
      <c r="Q784" s="757"/>
      <c r="R784" s="757"/>
      <c r="S784" s="757"/>
      <c r="T784" s="757"/>
      <c r="U784" s="757"/>
      <c r="V784" s="757"/>
      <c r="W784" s="757"/>
      <c r="X784" s="757"/>
      <c r="Y784" s="757"/>
      <c r="Z784" s="757"/>
      <c r="AA784" s="757"/>
      <c r="AB784" s="757"/>
      <c r="AC784" s="757"/>
      <c r="AD784" s="757"/>
      <c r="AE784" s="757"/>
      <c r="AF784" s="757"/>
      <c r="AG784" s="757"/>
      <c r="AH784" s="757"/>
      <c r="AI784" s="757"/>
      <c r="AJ784" s="757"/>
      <c r="AK784" s="757"/>
      <c r="AL784" s="757"/>
      <c r="AM784" s="757"/>
      <c r="AN784" s="757"/>
      <c r="AO784" s="757"/>
      <c r="AP784" s="757"/>
      <c r="AQ784" s="757"/>
      <c r="AR784" s="757"/>
      <c r="AS784" s="757"/>
      <c r="AT784" s="757"/>
      <c r="AU784" s="757"/>
      <c r="AV784" s="757"/>
      <c r="AW784" s="757"/>
      <c r="AX784" s="757"/>
      <c r="AY784" s="757"/>
      <c r="AZ784" s="75"/>
      <c r="BA784" s="2"/>
      <c r="BB784" s="2"/>
      <c r="BC784" s="2"/>
      <c r="BD784" s="2"/>
    </row>
    <row r="785" spans="1:56">
      <c r="A785" s="781">
        <v>2</v>
      </c>
      <c r="B785" s="782">
        <v>215</v>
      </c>
      <c r="C785" s="783"/>
      <c r="D785" s="783" t="s">
        <v>803</v>
      </c>
      <c r="E785" s="808">
        <v>881</v>
      </c>
      <c r="F785" s="799"/>
      <c r="G785" s="799"/>
      <c r="H785" s="1592">
        <f t="shared" si="36"/>
        <v>0</v>
      </c>
      <c r="I785" s="754" t="str">
        <f>IFERROR(VLOOKUP(B785,Mychart!$A$125:$B$911,2,FALSE),"-")</f>
        <v>SAIF - IDEAL SYSTEMS CONTRACTING</v>
      </c>
      <c r="J785" s="753" t="str">
        <f t="shared" si="37"/>
        <v>-</v>
      </c>
      <c r="K785" s="1540">
        <f t="shared" si="38"/>
        <v>1900</v>
      </c>
      <c r="L785" s="757"/>
      <c r="M785" s="757"/>
      <c r="N785" s="757"/>
      <c r="O785" s="757"/>
      <c r="P785" s="757"/>
      <c r="Q785" s="757"/>
      <c r="R785" s="757"/>
      <c r="S785" s="757"/>
      <c r="T785" s="757"/>
      <c r="U785" s="757"/>
      <c r="V785" s="757"/>
      <c r="W785" s="757"/>
      <c r="X785" s="757"/>
      <c r="Y785" s="757"/>
      <c r="Z785" s="757"/>
      <c r="AA785" s="757"/>
      <c r="AB785" s="757"/>
      <c r="AC785" s="757"/>
      <c r="AD785" s="757"/>
      <c r="AE785" s="757"/>
      <c r="AF785" s="757"/>
      <c r="AG785" s="757"/>
      <c r="AH785" s="757"/>
      <c r="AI785" s="757"/>
      <c r="AJ785" s="757"/>
      <c r="AK785" s="757"/>
      <c r="AL785" s="757"/>
      <c r="AM785" s="757"/>
      <c r="AN785" s="757"/>
      <c r="AO785" s="757"/>
      <c r="AP785" s="757"/>
      <c r="AQ785" s="757"/>
      <c r="AR785" s="757"/>
      <c r="AS785" s="757"/>
      <c r="AT785" s="757"/>
      <c r="AU785" s="757"/>
      <c r="AV785" s="757"/>
      <c r="AW785" s="757"/>
      <c r="AX785" s="757"/>
      <c r="AY785" s="757"/>
      <c r="AZ785" s="75"/>
      <c r="BA785" s="2"/>
      <c r="BB785" s="2"/>
      <c r="BC785" s="2"/>
      <c r="BD785" s="2"/>
    </row>
    <row r="786" spans="1:56">
      <c r="A786" s="781">
        <v>2</v>
      </c>
      <c r="B786" s="782">
        <v>215</v>
      </c>
      <c r="C786" s="783"/>
      <c r="D786" s="783" t="s">
        <v>256</v>
      </c>
      <c r="E786" s="808">
        <v>994</v>
      </c>
      <c r="F786" s="799"/>
      <c r="G786" s="799"/>
      <c r="H786" s="1592">
        <f t="shared" si="36"/>
        <v>0</v>
      </c>
      <c r="I786" s="754" t="str">
        <f>IFERROR(VLOOKUP(B786,Mychart!$A$125:$B$911,2,FALSE),"-")</f>
        <v>SAIF - IDEAL SYSTEMS CONTRACTING</v>
      </c>
      <c r="J786" s="753" t="str">
        <f t="shared" si="37"/>
        <v>-</v>
      </c>
      <c r="K786" s="1540">
        <f t="shared" si="38"/>
        <v>1900</v>
      </c>
      <c r="L786" s="757"/>
      <c r="M786" s="757"/>
      <c r="N786" s="757"/>
      <c r="O786" s="757"/>
      <c r="P786" s="757"/>
      <c r="Q786" s="757"/>
      <c r="R786" s="757"/>
      <c r="S786" s="757"/>
      <c r="T786" s="757"/>
      <c r="U786" s="757"/>
      <c r="V786" s="757"/>
      <c r="W786" s="757"/>
      <c r="X786" s="757"/>
      <c r="Y786" s="757"/>
      <c r="Z786" s="757"/>
      <c r="AA786" s="757"/>
      <c r="AB786" s="757"/>
      <c r="AC786" s="757"/>
      <c r="AD786" s="757"/>
      <c r="AE786" s="757"/>
      <c r="AF786" s="757"/>
      <c r="AG786" s="757"/>
      <c r="AH786" s="757"/>
      <c r="AI786" s="757"/>
      <c r="AJ786" s="757"/>
      <c r="AK786" s="757"/>
      <c r="AL786" s="757"/>
      <c r="AM786" s="757"/>
      <c r="AN786" s="757"/>
      <c r="AO786" s="757"/>
      <c r="AP786" s="757"/>
      <c r="AQ786" s="757"/>
      <c r="AR786" s="757"/>
      <c r="AS786" s="757"/>
      <c r="AT786" s="757"/>
      <c r="AU786" s="757"/>
      <c r="AV786" s="757"/>
      <c r="AW786" s="757"/>
      <c r="AX786" s="757"/>
      <c r="AY786" s="757"/>
      <c r="AZ786" s="75"/>
      <c r="BA786" s="2"/>
      <c r="BB786" s="2"/>
      <c r="BC786" s="2"/>
      <c r="BD786" s="2"/>
    </row>
    <row r="787" spans="1:56">
      <c r="A787" s="781">
        <v>2</v>
      </c>
      <c r="B787" s="782">
        <v>215</v>
      </c>
      <c r="C787" s="783"/>
      <c r="D787" s="783" t="s">
        <v>256</v>
      </c>
      <c r="E787" s="808">
        <v>1660</v>
      </c>
      <c r="F787" s="799"/>
      <c r="G787" s="799"/>
      <c r="H787" s="1592">
        <f t="shared" si="36"/>
        <v>0</v>
      </c>
      <c r="I787" s="754" t="str">
        <f>IFERROR(VLOOKUP(B787,Mychart!$A$125:$B$911,2,FALSE),"-")</f>
        <v>SAIF - IDEAL SYSTEMS CONTRACTING</v>
      </c>
      <c r="J787" s="753" t="str">
        <f t="shared" si="37"/>
        <v>-</v>
      </c>
      <c r="K787" s="1540">
        <f t="shared" si="38"/>
        <v>1900</v>
      </c>
      <c r="L787" s="757"/>
      <c r="M787" s="757"/>
      <c r="N787" s="757"/>
      <c r="O787" s="757"/>
      <c r="P787" s="757"/>
      <c r="Q787" s="757"/>
      <c r="R787" s="757"/>
      <c r="S787" s="757"/>
      <c r="T787" s="757"/>
      <c r="U787" s="757"/>
      <c r="V787" s="757"/>
      <c r="W787" s="757"/>
      <c r="X787" s="757"/>
      <c r="Y787" s="757"/>
      <c r="Z787" s="757"/>
      <c r="AA787" s="757"/>
      <c r="AB787" s="757"/>
      <c r="AC787" s="757"/>
      <c r="AD787" s="757"/>
      <c r="AE787" s="757"/>
      <c r="AF787" s="757"/>
      <c r="AG787" s="757"/>
      <c r="AH787" s="757"/>
      <c r="AI787" s="757"/>
      <c r="AJ787" s="757"/>
      <c r="AK787" s="757"/>
      <c r="AL787" s="757"/>
      <c r="AM787" s="757"/>
      <c r="AN787" s="757"/>
      <c r="AO787" s="757"/>
      <c r="AP787" s="757"/>
      <c r="AQ787" s="757"/>
      <c r="AR787" s="757"/>
      <c r="AS787" s="757"/>
      <c r="AT787" s="757"/>
      <c r="AU787" s="757"/>
      <c r="AV787" s="757"/>
      <c r="AW787" s="757"/>
      <c r="AX787" s="757"/>
      <c r="AY787" s="757"/>
      <c r="AZ787" s="75"/>
      <c r="BA787" s="2"/>
      <c r="BB787" s="2"/>
      <c r="BC787" s="2"/>
      <c r="BD787" s="2"/>
    </row>
    <row r="788" spans="1:56">
      <c r="A788" s="781">
        <v>2</v>
      </c>
      <c r="B788" s="782">
        <v>215</v>
      </c>
      <c r="C788" s="783"/>
      <c r="D788" s="783" t="s">
        <v>258</v>
      </c>
      <c r="E788" s="808">
        <v>14000</v>
      </c>
      <c r="F788" s="799"/>
      <c r="G788" s="799"/>
      <c r="H788" s="1592">
        <f t="shared" si="36"/>
        <v>0</v>
      </c>
      <c r="I788" s="754" t="str">
        <f>IFERROR(VLOOKUP(B788,Mychart!$A$125:$B$911,2,FALSE),"-")</f>
        <v>SAIF - IDEAL SYSTEMS CONTRACTING</v>
      </c>
      <c r="J788" s="753" t="str">
        <f t="shared" si="37"/>
        <v>-</v>
      </c>
      <c r="K788" s="1540">
        <f t="shared" si="38"/>
        <v>1900</v>
      </c>
      <c r="L788" s="757"/>
      <c r="M788" s="757"/>
      <c r="N788" s="757"/>
      <c r="O788" s="757"/>
      <c r="P788" s="757"/>
      <c r="Q788" s="757"/>
      <c r="R788" s="757"/>
      <c r="S788" s="757"/>
      <c r="T788" s="757"/>
      <c r="U788" s="757"/>
      <c r="V788" s="757"/>
      <c r="W788" s="757"/>
      <c r="X788" s="757"/>
      <c r="Y788" s="757"/>
      <c r="Z788" s="757"/>
      <c r="AA788" s="757"/>
      <c r="AB788" s="757"/>
      <c r="AC788" s="757"/>
      <c r="AD788" s="757"/>
      <c r="AE788" s="757"/>
      <c r="AF788" s="757"/>
      <c r="AG788" s="757"/>
      <c r="AH788" s="757"/>
      <c r="AI788" s="757"/>
      <c r="AJ788" s="757"/>
      <c r="AK788" s="757"/>
      <c r="AL788" s="757"/>
      <c r="AM788" s="757"/>
      <c r="AN788" s="757"/>
      <c r="AO788" s="757"/>
      <c r="AP788" s="757"/>
      <c r="AQ788" s="757"/>
      <c r="AR788" s="757"/>
      <c r="AS788" s="757"/>
      <c r="AT788" s="757"/>
      <c r="AU788" s="757"/>
      <c r="AV788" s="757"/>
      <c r="AW788" s="757"/>
      <c r="AX788" s="757"/>
      <c r="AY788" s="757"/>
      <c r="AZ788" s="75"/>
      <c r="BA788" s="2"/>
      <c r="BB788" s="2"/>
      <c r="BC788" s="2"/>
      <c r="BD788" s="2"/>
    </row>
    <row r="789" spans="1:56">
      <c r="A789" s="781">
        <v>2</v>
      </c>
      <c r="B789" s="782">
        <v>215</v>
      </c>
      <c r="C789" s="783"/>
      <c r="D789" s="783" t="s">
        <v>803</v>
      </c>
      <c r="E789" s="808">
        <v>6686</v>
      </c>
      <c r="F789" s="799"/>
      <c r="G789" s="799"/>
      <c r="H789" s="1592">
        <f t="shared" si="36"/>
        <v>0</v>
      </c>
      <c r="I789" s="754" t="str">
        <f>IFERROR(VLOOKUP(B789,Mychart!$A$125:$B$911,2,FALSE),"-")</f>
        <v>SAIF - IDEAL SYSTEMS CONTRACTING</v>
      </c>
      <c r="J789" s="753" t="str">
        <f t="shared" si="37"/>
        <v>-</v>
      </c>
      <c r="K789" s="1540">
        <f t="shared" si="38"/>
        <v>1900</v>
      </c>
      <c r="L789" s="757"/>
      <c r="M789" s="757"/>
      <c r="N789" s="757"/>
      <c r="O789" s="757"/>
      <c r="P789" s="757"/>
      <c r="Q789" s="757"/>
      <c r="R789" s="757"/>
      <c r="S789" s="757"/>
      <c r="T789" s="757"/>
      <c r="U789" s="757"/>
      <c r="V789" s="757"/>
      <c r="W789" s="757"/>
      <c r="X789" s="757"/>
      <c r="Y789" s="757"/>
      <c r="Z789" s="757"/>
      <c r="AA789" s="757"/>
      <c r="AB789" s="757"/>
      <c r="AC789" s="757"/>
      <c r="AD789" s="757"/>
      <c r="AE789" s="757"/>
      <c r="AF789" s="757"/>
      <c r="AG789" s="757"/>
      <c r="AH789" s="757"/>
      <c r="AI789" s="757"/>
      <c r="AJ789" s="757"/>
      <c r="AK789" s="757"/>
      <c r="AL789" s="757"/>
      <c r="AM789" s="757"/>
      <c r="AN789" s="757"/>
      <c r="AO789" s="757"/>
      <c r="AP789" s="757"/>
      <c r="AQ789" s="757"/>
      <c r="AR789" s="757"/>
      <c r="AS789" s="757"/>
      <c r="AT789" s="757"/>
      <c r="AU789" s="757"/>
      <c r="AV789" s="757"/>
      <c r="AW789" s="757"/>
      <c r="AX789" s="757"/>
      <c r="AY789" s="757"/>
      <c r="AZ789" s="75"/>
      <c r="BA789" s="2"/>
      <c r="BB789" s="2"/>
      <c r="BC789" s="2"/>
      <c r="BD789" s="2"/>
    </row>
    <row r="790" spans="1:56">
      <c r="A790" s="781">
        <v>2</v>
      </c>
      <c r="B790" s="782">
        <v>215</v>
      </c>
      <c r="C790" s="783"/>
      <c r="D790" s="783" t="s">
        <v>803</v>
      </c>
      <c r="E790" s="808">
        <v>6427</v>
      </c>
      <c r="F790" s="799"/>
      <c r="G790" s="799"/>
      <c r="H790" s="1592">
        <f t="shared" si="36"/>
        <v>0</v>
      </c>
      <c r="I790" s="754" t="str">
        <f>IFERROR(VLOOKUP(B790,Mychart!$A$125:$B$911,2,FALSE),"-")</f>
        <v>SAIF - IDEAL SYSTEMS CONTRACTING</v>
      </c>
      <c r="J790" s="753" t="str">
        <f t="shared" si="37"/>
        <v>-</v>
      </c>
      <c r="K790" s="1540">
        <f t="shared" si="38"/>
        <v>1900</v>
      </c>
      <c r="L790" s="757"/>
      <c r="M790" s="757"/>
      <c r="N790" s="757"/>
      <c r="O790" s="757"/>
      <c r="P790" s="757"/>
      <c r="Q790" s="757"/>
      <c r="R790" s="757"/>
      <c r="S790" s="757"/>
      <c r="T790" s="757"/>
      <c r="U790" s="757"/>
      <c r="V790" s="757"/>
      <c r="W790" s="757"/>
      <c r="X790" s="757"/>
      <c r="Y790" s="757"/>
      <c r="Z790" s="757"/>
      <c r="AA790" s="757"/>
      <c r="AB790" s="757"/>
      <c r="AC790" s="757"/>
      <c r="AD790" s="757"/>
      <c r="AE790" s="757"/>
      <c r="AF790" s="757"/>
      <c r="AG790" s="757"/>
      <c r="AH790" s="757"/>
      <c r="AI790" s="757"/>
      <c r="AJ790" s="757"/>
      <c r="AK790" s="757"/>
      <c r="AL790" s="757"/>
      <c r="AM790" s="757"/>
      <c r="AN790" s="757"/>
      <c r="AO790" s="757"/>
      <c r="AP790" s="757"/>
      <c r="AQ790" s="757"/>
      <c r="AR790" s="757"/>
      <c r="AS790" s="757"/>
      <c r="AT790" s="757"/>
      <c r="AU790" s="757"/>
      <c r="AV790" s="757"/>
      <c r="AW790" s="757"/>
      <c r="AX790" s="757"/>
      <c r="AY790" s="757"/>
      <c r="AZ790" s="75"/>
      <c r="BA790" s="2"/>
      <c r="BB790" s="2"/>
      <c r="BC790" s="2"/>
      <c r="BD790" s="2"/>
    </row>
    <row r="791" spans="1:56">
      <c r="A791" s="781">
        <v>2</v>
      </c>
      <c r="B791" s="782">
        <v>215</v>
      </c>
      <c r="C791" s="783"/>
      <c r="D791" s="783" t="s">
        <v>383</v>
      </c>
      <c r="E791" s="808">
        <v>13518</v>
      </c>
      <c r="F791" s="799"/>
      <c r="G791" s="799"/>
      <c r="H791" s="1592">
        <f t="shared" si="36"/>
        <v>0</v>
      </c>
      <c r="I791" s="754" t="str">
        <f>IFERROR(VLOOKUP(B791,Mychart!$A$125:$B$911,2,FALSE),"-")</f>
        <v>SAIF - IDEAL SYSTEMS CONTRACTING</v>
      </c>
      <c r="J791" s="753" t="str">
        <f t="shared" si="37"/>
        <v>-</v>
      </c>
      <c r="K791" s="1540">
        <f t="shared" si="38"/>
        <v>1900</v>
      </c>
      <c r="L791" s="757"/>
      <c r="M791" s="757"/>
      <c r="N791" s="757"/>
      <c r="O791" s="757"/>
      <c r="P791" s="757"/>
      <c r="Q791" s="757"/>
      <c r="R791" s="757"/>
      <c r="S791" s="757"/>
      <c r="T791" s="757"/>
      <c r="U791" s="757"/>
      <c r="V791" s="757"/>
      <c r="W791" s="757"/>
      <c r="X791" s="757"/>
      <c r="Y791" s="757"/>
      <c r="Z791" s="757"/>
      <c r="AA791" s="757"/>
      <c r="AB791" s="757"/>
      <c r="AC791" s="757"/>
      <c r="AD791" s="757"/>
      <c r="AE791" s="757"/>
      <c r="AF791" s="757"/>
      <c r="AG791" s="757"/>
      <c r="AH791" s="757"/>
      <c r="AI791" s="757"/>
      <c r="AJ791" s="757"/>
      <c r="AK791" s="757"/>
      <c r="AL791" s="757"/>
      <c r="AM791" s="757"/>
      <c r="AN791" s="757"/>
      <c r="AO791" s="757"/>
      <c r="AP791" s="757"/>
      <c r="AQ791" s="757"/>
      <c r="AR791" s="757"/>
      <c r="AS791" s="757"/>
      <c r="AT791" s="757"/>
      <c r="AU791" s="757"/>
      <c r="AV791" s="757"/>
      <c r="AW791" s="757"/>
      <c r="AX791" s="757"/>
      <c r="AY791" s="757"/>
      <c r="AZ791" s="75"/>
      <c r="BA791" s="2"/>
      <c r="BB791" s="2"/>
      <c r="BC791" s="2"/>
      <c r="BD791" s="2"/>
    </row>
    <row r="792" spans="1:56">
      <c r="A792" s="781">
        <v>2</v>
      </c>
      <c r="B792" s="782">
        <v>215</v>
      </c>
      <c r="C792" s="783"/>
      <c r="D792" s="783" t="s">
        <v>383</v>
      </c>
      <c r="E792" s="808">
        <v>33390</v>
      </c>
      <c r="F792" s="799"/>
      <c r="G792" s="799"/>
      <c r="H792" s="1592">
        <f t="shared" si="36"/>
        <v>0</v>
      </c>
      <c r="I792" s="754" t="str">
        <f>IFERROR(VLOOKUP(B792,Mychart!$A$125:$B$911,2,FALSE),"-")</f>
        <v>SAIF - IDEAL SYSTEMS CONTRACTING</v>
      </c>
      <c r="J792" s="753" t="str">
        <f t="shared" si="37"/>
        <v>-</v>
      </c>
      <c r="K792" s="1540">
        <f t="shared" si="38"/>
        <v>1900</v>
      </c>
      <c r="L792" s="757"/>
      <c r="M792" s="757"/>
      <c r="N792" s="757"/>
      <c r="O792" s="757"/>
      <c r="P792" s="757"/>
      <c r="Q792" s="757"/>
      <c r="R792" s="757"/>
      <c r="S792" s="757"/>
      <c r="T792" s="757"/>
      <c r="U792" s="757"/>
      <c r="V792" s="757"/>
      <c r="W792" s="757"/>
      <c r="X792" s="757"/>
      <c r="Y792" s="757"/>
      <c r="Z792" s="757"/>
      <c r="AA792" s="757"/>
      <c r="AB792" s="757"/>
      <c r="AC792" s="757"/>
      <c r="AD792" s="757"/>
      <c r="AE792" s="757"/>
      <c r="AF792" s="757"/>
      <c r="AG792" s="757"/>
      <c r="AH792" s="757"/>
      <c r="AI792" s="757"/>
      <c r="AJ792" s="757"/>
      <c r="AK792" s="757"/>
      <c r="AL792" s="757"/>
      <c r="AM792" s="757"/>
      <c r="AN792" s="757"/>
      <c r="AO792" s="757"/>
      <c r="AP792" s="757"/>
      <c r="AQ792" s="757"/>
      <c r="AR792" s="757"/>
      <c r="AS792" s="757"/>
      <c r="AT792" s="757"/>
      <c r="AU792" s="757"/>
      <c r="AV792" s="757"/>
      <c r="AW792" s="757"/>
      <c r="AX792" s="757"/>
      <c r="AY792" s="757"/>
      <c r="AZ792" s="75"/>
      <c r="BA792" s="2"/>
      <c r="BB792" s="2"/>
      <c r="BC792" s="2"/>
      <c r="BD792" s="2"/>
    </row>
    <row r="793" spans="1:56">
      <c r="A793" s="781">
        <v>2</v>
      </c>
      <c r="B793" s="782">
        <v>215</v>
      </c>
      <c r="C793" s="783"/>
      <c r="D793" s="783" t="s">
        <v>256</v>
      </c>
      <c r="E793" s="808">
        <v>576</v>
      </c>
      <c r="F793" s="799"/>
      <c r="G793" s="799"/>
      <c r="H793" s="1592">
        <f t="shared" si="36"/>
        <v>0</v>
      </c>
      <c r="I793" s="754" t="str">
        <f>IFERROR(VLOOKUP(B793,Mychart!$A$125:$B$911,2,FALSE),"-")</f>
        <v>SAIF - IDEAL SYSTEMS CONTRACTING</v>
      </c>
      <c r="J793" s="753" t="str">
        <f t="shared" si="37"/>
        <v>-</v>
      </c>
      <c r="K793" s="1540">
        <f t="shared" si="38"/>
        <v>1900</v>
      </c>
      <c r="L793" s="757"/>
      <c r="M793" s="757"/>
      <c r="N793" s="757"/>
      <c r="O793" s="757"/>
      <c r="P793" s="757"/>
      <c r="Q793" s="757"/>
      <c r="R793" s="757"/>
      <c r="S793" s="757"/>
      <c r="T793" s="757"/>
      <c r="U793" s="757"/>
      <c r="V793" s="757"/>
      <c r="W793" s="757"/>
      <c r="X793" s="757"/>
      <c r="Y793" s="757"/>
      <c r="Z793" s="757"/>
      <c r="AA793" s="757"/>
      <c r="AB793" s="757"/>
      <c r="AC793" s="757"/>
      <c r="AD793" s="757"/>
      <c r="AE793" s="757"/>
      <c r="AF793" s="757"/>
      <c r="AG793" s="757"/>
      <c r="AH793" s="757"/>
      <c r="AI793" s="757"/>
      <c r="AJ793" s="757"/>
      <c r="AK793" s="757"/>
      <c r="AL793" s="757"/>
      <c r="AM793" s="757"/>
      <c r="AN793" s="757"/>
      <c r="AO793" s="757"/>
      <c r="AP793" s="757"/>
      <c r="AQ793" s="757"/>
      <c r="AR793" s="757"/>
      <c r="AS793" s="757"/>
      <c r="AT793" s="757"/>
      <c r="AU793" s="757"/>
      <c r="AV793" s="757"/>
      <c r="AW793" s="757"/>
      <c r="AX793" s="757"/>
      <c r="AY793" s="757"/>
      <c r="AZ793" s="75"/>
      <c r="BA793" s="2"/>
      <c r="BB793" s="2"/>
      <c r="BC793" s="2"/>
      <c r="BD793" s="2"/>
    </row>
    <row r="794" spans="1:56">
      <c r="A794" s="781">
        <v>2</v>
      </c>
      <c r="B794" s="782">
        <v>215</v>
      </c>
      <c r="C794" s="783"/>
      <c r="D794" s="783" t="s">
        <v>499</v>
      </c>
      <c r="E794" s="808">
        <v>1000</v>
      </c>
      <c r="F794" s="799"/>
      <c r="G794" s="799"/>
      <c r="H794" s="1592">
        <f t="shared" si="36"/>
        <v>0</v>
      </c>
      <c r="I794" s="754" t="str">
        <f>IFERROR(VLOOKUP(B794,Mychart!$A$125:$B$911,2,FALSE),"-")</f>
        <v>SAIF - IDEAL SYSTEMS CONTRACTING</v>
      </c>
      <c r="J794" s="753" t="str">
        <f t="shared" si="37"/>
        <v>-</v>
      </c>
      <c r="K794" s="1540">
        <f t="shared" si="38"/>
        <v>1900</v>
      </c>
      <c r="L794" s="757"/>
      <c r="M794" s="757"/>
      <c r="N794" s="757"/>
      <c r="O794" s="757"/>
      <c r="P794" s="757"/>
      <c r="Q794" s="757"/>
      <c r="R794" s="757"/>
      <c r="S794" s="757"/>
      <c r="T794" s="757"/>
      <c r="U794" s="757"/>
      <c r="V794" s="757"/>
      <c r="W794" s="757"/>
      <c r="X794" s="757"/>
      <c r="Y794" s="757"/>
      <c r="Z794" s="757"/>
      <c r="AA794" s="757"/>
      <c r="AB794" s="757"/>
      <c r="AC794" s="757"/>
      <c r="AD794" s="757"/>
      <c r="AE794" s="757"/>
      <c r="AF794" s="757"/>
      <c r="AG794" s="757"/>
      <c r="AH794" s="757"/>
      <c r="AI794" s="757"/>
      <c r="AJ794" s="757"/>
      <c r="AK794" s="757"/>
      <c r="AL794" s="757"/>
      <c r="AM794" s="757"/>
      <c r="AN794" s="757"/>
      <c r="AO794" s="757"/>
      <c r="AP794" s="757"/>
      <c r="AQ794" s="757"/>
      <c r="AR794" s="757"/>
      <c r="AS794" s="757"/>
      <c r="AT794" s="757"/>
      <c r="AU794" s="757"/>
      <c r="AV794" s="757"/>
      <c r="AW794" s="757"/>
      <c r="AX794" s="757"/>
      <c r="AY794" s="757"/>
      <c r="AZ794" s="75"/>
      <c r="BA794" s="2"/>
      <c r="BB794" s="2"/>
      <c r="BC794" s="2"/>
      <c r="BD794" s="2"/>
    </row>
    <row r="795" spans="1:56">
      <c r="A795" s="781">
        <v>2</v>
      </c>
      <c r="B795" s="782">
        <v>215</v>
      </c>
      <c r="C795" s="783"/>
      <c r="D795" s="783" t="s">
        <v>803</v>
      </c>
      <c r="E795" s="808">
        <v>9555</v>
      </c>
      <c r="F795" s="799"/>
      <c r="G795" s="799"/>
      <c r="H795" s="1592">
        <f t="shared" si="36"/>
        <v>0</v>
      </c>
      <c r="I795" s="754" t="str">
        <f>IFERROR(VLOOKUP(B795,Mychart!$A$125:$B$911,2,FALSE),"-")</f>
        <v>SAIF - IDEAL SYSTEMS CONTRACTING</v>
      </c>
      <c r="J795" s="753" t="str">
        <f t="shared" si="37"/>
        <v>-</v>
      </c>
      <c r="K795" s="1540">
        <f t="shared" si="38"/>
        <v>1900</v>
      </c>
      <c r="L795" s="757"/>
      <c r="M795" s="757"/>
      <c r="N795" s="757"/>
      <c r="O795" s="757"/>
      <c r="P795" s="757"/>
      <c r="Q795" s="757"/>
      <c r="R795" s="757"/>
      <c r="S795" s="757"/>
      <c r="T795" s="757"/>
      <c r="U795" s="757"/>
      <c r="V795" s="757"/>
      <c r="W795" s="757"/>
      <c r="X795" s="757"/>
      <c r="Y795" s="757"/>
      <c r="Z795" s="757"/>
      <c r="AA795" s="757"/>
      <c r="AB795" s="757"/>
      <c r="AC795" s="757"/>
      <c r="AD795" s="757"/>
      <c r="AE795" s="757"/>
      <c r="AF795" s="757"/>
      <c r="AG795" s="757"/>
      <c r="AH795" s="757"/>
      <c r="AI795" s="757"/>
      <c r="AJ795" s="757"/>
      <c r="AK795" s="757"/>
      <c r="AL795" s="757"/>
      <c r="AM795" s="757"/>
      <c r="AN795" s="757"/>
      <c r="AO795" s="757"/>
      <c r="AP795" s="757"/>
      <c r="AQ795" s="757"/>
      <c r="AR795" s="757"/>
      <c r="AS795" s="757"/>
      <c r="AT795" s="757"/>
      <c r="AU795" s="757"/>
      <c r="AV795" s="757"/>
      <c r="AW795" s="757"/>
      <c r="AX795" s="757"/>
      <c r="AY795" s="757"/>
      <c r="AZ795" s="75"/>
      <c r="BA795" s="2"/>
      <c r="BB795" s="2"/>
      <c r="BC795" s="2"/>
      <c r="BD795" s="2"/>
    </row>
    <row r="796" spans="1:56">
      <c r="A796" s="781">
        <v>2</v>
      </c>
      <c r="B796" s="782">
        <v>215</v>
      </c>
      <c r="C796" s="783"/>
      <c r="D796" s="783" t="s">
        <v>803</v>
      </c>
      <c r="E796" s="808">
        <v>683</v>
      </c>
      <c r="F796" s="799"/>
      <c r="G796" s="799"/>
      <c r="H796" s="1592">
        <f t="shared" si="36"/>
        <v>0</v>
      </c>
      <c r="I796" s="754" t="str">
        <f>IFERROR(VLOOKUP(B796,Mychart!$A$125:$B$911,2,FALSE),"-")</f>
        <v>SAIF - IDEAL SYSTEMS CONTRACTING</v>
      </c>
      <c r="J796" s="753" t="str">
        <f t="shared" si="37"/>
        <v>-</v>
      </c>
      <c r="K796" s="1540">
        <f t="shared" si="38"/>
        <v>1900</v>
      </c>
      <c r="L796" s="757"/>
      <c r="M796" s="757"/>
      <c r="N796" s="757"/>
      <c r="O796" s="757"/>
      <c r="P796" s="757"/>
      <c r="Q796" s="757"/>
      <c r="R796" s="757"/>
      <c r="S796" s="757"/>
      <c r="T796" s="757"/>
      <c r="U796" s="757"/>
      <c r="V796" s="757"/>
      <c r="W796" s="757"/>
      <c r="X796" s="757"/>
      <c r="Y796" s="757"/>
      <c r="Z796" s="757"/>
      <c r="AA796" s="757"/>
      <c r="AB796" s="757"/>
      <c r="AC796" s="757"/>
      <c r="AD796" s="757"/>
      <c r="AE796" s="757"/>
      <c r="AF796" s="757"/>
      <c r="AG796" s="757"/>
      <c r="AH796" s="757"/>
      <c r="AI796" s="757"/>
      <c r="AJ796" s="757"/>
      <c r="AK796" s="757"/>
      <c r="AL796" s="757"/>
      <c r="AM796" s="757"/>
      <c r="AN796" s="757"/>
      <c r="AO796" s="757"/>
      <c r="AP796" s="757"/>
      <c r="AQ796" s="757"/>
      <c r="AR796" s="757"/>
      <c r="AS796" s="757"/>
      <c r="AT796" s="757"/>
      <c r="AU796" s="757"/>
      <c r="AV796" s="757"/>
      <c r="AW796" s="757"/>
      <c r="AX796" s="757"/>
      <c r="AY796" s="757"/>
      <c r="AZ796" s="75"/>
      <c r="BA796" s="2"/>
      <c r="BB796" s="2"/>
      <c r="BC796" s="2"/>
      <c r="BD796" s="2"/>
    </row>
    <row r="797" spans="1:56">
      <c r="A797" s="781">
        <v>2</v>
      </c>
      <c r="B797" s="782">
        <v>215</v>
      </c>
      <c r="C797" s="783"/>
      <c r="D797" s="783" t="s">
        <v>803</v>
      </c>
      <c r="E797" s="808">
        <v>6703</v>
      </c>
      <c r="F797" s="799"/>
      <c r="G797" s="799"/>
      <c r="H797" s="1592">
        <f t="shared" si="36"/>
        <v>0</v>
      </c>
      <c r="I797" s="754" t="str">
        <f>IFERROR(VLOOKUP(B797,Mychart!$A$125:$B$911,2,FALSE),"-")</f>
        <v>SAIF - IDEAL SYSTEMS CONTRACTING</v>
      </c>
      <c r="J797" s="753" t="str">
        <f t="shared" si="37"/>
        <v>-</v>
      </c>
      <c r="K797" s="1540">
        <f t="shared" si="38"/>
        <v>1900</v>
      </c>
      <c r="L797" s="757"/>
      <c r="M797" s="757"/>
      <c r="N797" s="757"/>
      <c r="O797" s="757"/>
      <c r="P797" s="757"/>
      <c r="Q797" s="757"/>
      <c r="R797" s="757"/>
      <c r="S797" s="757"/>
      <c r="T797" s="757"/>
      <c r="U797" s="757"/>
      <c r="V797" s="757"/>
      <c r="W797" s="757"/>
      <c r="X797" s="757"/>
      <c r="Y797" s="757"/>
      <c r="Z797" s="757"/>
      <c r="AA797" s="757"/>
      <c r="AB797" s="757"/>
      <c r="AC797" s="757"/>
      <c r="AD797" s="757"/>
      <c r="AE797" s="757"/>
      <c r="AF797" s="757"/>
      <c r="AG797" s="757"/>
      <c r="AH797" s="757"/>
      <c r="AI797" s="757"/>
      <c r="AJ797" s="757"/>
      <c r="AK797" s="757"/>
      <c r="AL797" s="757"/>
      <c r="AM797" s="757"/>
      <c r="AN797" s="757"/>
      <c r="AO797" s="757"/>
      <c r="AP797" s="757"/>
      <c r="AQ797" s="757"/>
      <c r="AR797" s="757"/>
      <c r="AS797" s="757"/>
      <c r="AT797" s="757"/>
      <c r="AU797" s="757"/>
      <c r="AV797" s="757"/>
      <c r="AW797" s="757"/>
      <c r="AX797" s="757"/>
      <c r="AY797" s="757"/>
      <c r="AZ797" s="75"/>
      <c r="BA797" s="2"/>
      <c r="BB797" s="2"/>
      <c r="BC797" s="2"/>
      <c r="BD797" s="2"/>
    </row>
    <row r="798" spans="1:56">
      <c r="A798" s="781">
        <v>2</v>
      </c>
      <c r="B798" s="782">
        <v>215</v>
      </c>
      <c r="C798" s="783"/>
      <c r="D798" s="783" t="s">
        <v>256</v>
      </c>
      <c r="E798" s="808">
        <v>1335</v>
      </c>
      <c r="F798" s="799"/>
      <c r="G798" s="799"/>
      <c r="H798" s="1592">
        <f t="shared" si="36"/>
        <v>0</v>
      </c>
      <c r="I798" s="754" t="str">
        <f>IFERROR(VLOOKUP(B798,Mychart!$A$125:$B$911,2,FALSE),"-")</f>
        <v>SAIF - IDEAL SYSTEMS CONTRACTING</v>
      </c>
      <c r="J798" s="753" t="str">
        <f t="shared" si="37"/>
        <v>-</v>
      </c>
      <c r="K798" s="1540">
        <f t="shared" si="38"/>
        <v>1900</v>
      </c>
      <c r="L798" s="757"/>
      <c r="M798" s="757"/>
      <c r="N798" s="757"/>
      <c r="O798" s="757"/>
      <c r="P798" s="757"/>
      <c r="Q798" s="757"/>
      <c r="R798" s="757"/>
      <c r="S798" s="757"/>
      <c r="T798" s="757"/>
      <c r="U798" s="757"/>
      <c r="V798" s="757"/>
      <c r="W798" s="757"/>
      <c r="X798" s="757"/>
      <c r="Y798" s="757"/>
      <c r="Z798" s="757"/>
      <c r="AA798" s="757"/>
      <c r="AB798" s="757"/>
      <c r="AC798" s="757"/>
      <c r="AD798" s="757"/>
      <c r="AE798" s="757"/>
      <c r="AF798" s="757"/>
      <c r="AG798" s="757"/>
      <c r="AH798" s="757"/>
      <c r="AI798" s="757"/>
      <c r="AJ798" s="757"/>
      <c r="AK798" s="757"/>
      <c r="AL798" s="757"/>
      <c r="AM798" s="757"/>
      <c r="AN798" s="757"/>
      <c r="AO798" s="757"/>
      <c r="AP798" s="757"/>
      <c r="AQ798" s="757"/>
      <c r="AR798" s="757"/>
      <c r="AS798" s="757"/>
      <c r="AT798" s="757"/>
      <c r="AU798" s="757"/>
      <c r="AV798" s="757"/>
      <c r="AW798" s="757"/>
      <c r="AX798" s="757"/>
      <c r="AY798" s="757"/>
      <c r="AZ798" s="75"/>
      <c r="BA798" s="2"/>
      <c r="BB798" s="2"/>
      <c r="BC798" s="2"/>
      <c r="BD798" s="2"/>
    </row>
    <row r="799" spans="1:56">
      <c r="A799" s="781">
        <v>2</v>
      </c>
      <c r="B799" s="782">
        <v>215</v>
      </c>
      <c r="C799" s="783"/>
      <c r="D799" s="783" t="s">
        <v>803</v>
      </c>
      <c r="E799" s="810">
        <v>2242</v>
      </c>
      <c r="F799" s="799"/>
      <c r="G799" s="799"/>
      <c r="H799" s="1592">
        <f t="shared" si="36"/>
        <v>0</v>
      </c>
      <c r="I799" s="754" t="str">
        <f>IFERROR(VLOOKUP(B799,Mychart!$A$125:$B$911,2,FALSE),"-")</f>
        <v>SAIF - IDEAL SYSTEMS CONTRACTING</v>
      </c>
      <c r="J799" s="753" t="str">
        <f t="shared" si="37"/>
        <v>-</v>
      </c>
      <c r="K799" s="1540">
        <f t="shared" si="38"/>
        <v>1900</v>
      </c>
      <c r="L799" s="757"/>
      <c r="M799" s="757"/>
      <c r="N799" s="757"/>
      <c r="O799" s="757"/>
      <c r="P799" s="757"/>
      <c r="Q799" s="757"/>
      <c r="R799" s="757"/>
      <c r="S799" s="757"/>
      <c r="T799" s="757"/>
      <c r="U799" s="757"/>
      <c r="V799" s="757"/>
      <c r="W799" s="757"/>
      <c r="X799" s="757"/>
      <c r="Y799" s="757"/>
      <c r="Z799" s="757"/>
      <c r="AA799" s="757"/>
      <c r="AB799" s="757"/>
      <c r="AC799" s="757"/>
      <c r="AD799" s="757"/>
      <c r="AE799" s="757"/>
      <c r="AF799" s="757"/>
      <c r="AG799" s="757"/>
      <c r="AH799" s="757"/>
      <c r="AI799" s="757"/>
      <c r="AJ799" s="757"/>
      <c r="AK799" s="757"/>
      <c r="AL799" s="757"/>
      <c r="AM799" s="757"/>
      <c r="AN799" s="757"/>
      <c r="AO799" s="757"/>
      <c r="AP799" s="757"/>
      <c r="AQ799" s="757"/>
      <c r="AR799" s="757"/>
      <c r="AS799" s="757"/>
      <c r="AT799" s="757"/>
      <c r="AU799" s="757"/>
      <c r="AV799" s="757"/>
      <c r="AW799" s="757"/>
      <c r="AX799" s="757"/>
      <c r="AY799" s="757"/>
      <c r="AZ799" s="75"/>
      <c r="BA799" s="2"/>
      <c r="BB799" s="2"/>
      <c r="BC799" s="2"/>
      <c r="BD799" s="2"/>
    </row>
    <row r="800" spans="1:56">
      <c r="A800" s="781">
        <v>2</v>
      </c>
      <c r="B800" s="782">
        <v>215</v>
      </c>
      <c r="C800" s="783"/>
      <c r="D800" s="783" t="s">
        <v>804</v>
      </c>
      <c r="E800" s="810">
        <v>8000</v>
      </c>
      <c r="F800" s="799"/>
      <c r="G800" s="799"/>
      <c r="H800" s="1592">
        <f t="shared" si="36"/>
        <v>0</v>
      </c>
      <c r="I800" s="754" t="str">
        <f>IFERROR(VLOOKUP(B800,Mychart!$A$125:$B$911,2,FALSE),"-")</f>
        <v>SAIF - IDEAL SYSTEMS CONTRACTING</v>
      </c>
      <c r="J800" s="753" t="str">
        <f t="shared" si="37"/>
        <v>-</v>
      </c>
      <c r="K800" s="1540">
        <f t="shared" si="38"/>
        <v>1900</v>
      </c>
      <c r="L800" s="757"/>
      <c r="M800" s="757"/>
      <c r="N800" s="757"/>
      <c r="O800" s="757"/>
      <c r="P800" s="757"/>
      <c r="Q800" s="757"/>
      <c r="R800" s="757"/>
      <c r="S800" s="757"/>
      <c r="T800" s="757"/>
      <c r="U800" s="757"/>
      <c r="V800" s="757"/>
      <c r="W800" s="757"/>
      <c r="X800" s="757"/>
      <c r="Y800" s="757"/>
      <c r="Z800" s="757"/>
      <c r="AA800" s="757"/>
      <c r="AB800" s="757"/>
      <c r="AC800" s="757"/>
      <c r="AD800" s="757"/>
      <c r="AE800" s="757"/>
      <c r="AF800" s="757"/>
      <c r="AG800" s="757"/>
      <c r="AH800" s="757"/>
      <c r="AI800" s="757"/>
      <c r="AJ800" s="757"/>
      <c r="AK800" s="757"/>
      <c r="AL800" s="757"/>
      <c r="AM800" s="757"/>
      <c r="AN800" s="757"/>
      <c r="AO800" s="757"/>
      <c r="AP800" s="757"/>
      <c r="AQ800" s="757"/>
      <c r="AR800" s="757"/>
      <c r="AS800" s="757"/>
      <c r="AT800" s="757"/>
      <c r="AU800" s="757"/>
      <c r="AV800" s="757"/>
      <c r="AW800" s="757"/>
      <c r="AX800" s="757"/>
      <c r="AY800" s="757"/>
      <c r="AZ800" s="75"/>
      <c r="BA800" s="2"/>
      <c r="BB800" s="2"/>
      <c r="BC800" s="2"/>
      <c r="BD800" s="2"/>
    </row>
    <row r="801" spans="1:56">
      <c r="A801" s="781">
        <v>2</v>
      </c>
      <c r="B801" s="782">
        <v>215</v>
      </c>
      <c r="C801" s="783"/>
      <c r="D801" s="783" t="s">
        <v>256</v>
      </c>
      <c r="E801" s="810">
        <v>28.56</v>
      </c>
      <c r="F801" s="799"/>
      <c r="G801" s="799"/>
      <c r="H801" s="1592">
        <f t="shared" si="36"/>
        <v>0</v>
      </c>
      <c r="I801" s="754" t="str">
        <f>IFERROR(VLOOKUP(B801,Mychart!$A$125:$B$911,2,FALSE),"-")</f>
        <v>SAIF - IDEAL SYSTEMS CONTRACTING</v>
      </c>
      <c r="J801" s="753" t="str">
        <f t="shared" si="37"/>
        <v>-</v>
      </c>
      <c r="K801" s="1540">
        <f t="shared" si="38"/>
        <v>1900</v>
      </c>
      <c r="L801" s="757"/>
      <c r="M801" s="757"/>
      <c r="N801" s="757"/>
      <c r="O801" s="757"/>
      <c r="P801" s="757"/>
      <c r="Q801" s="757"/>
      <c r="R801" s="757"/>
      <c r="S801" s="757"/>
      <c r="T801" s="757"/>
      <c r="U801" s="757"/>
      <c r="V801" s="757"/>
      <c r="W801" s="757"/>
      <c r="X801" s="757"/>
      <c r="Y801" s="757"/>
      <c r="Z801" s="757"/>
      <c r="AA801" s="757"/>
      <c r="AB801" s="757"/>
      <c r="AC801" s="757"/>
      <c r="AD801" s="757"/>
      <c r="AE801" s="757"/>
      <c r="AF801" s="757"/>
      <c r="AG801" s="757"/>
      <c r="AH801" s="757"/>
      <c r="AI801" s="757"/>
      <c r="AJ801" s="757"/>
      <c r="AK801" s="757"/>
      <c r="AL801" s="757"/>
      <c r="AM801" s="757"/>
      <c r="AN801" s="757"/>
      <c r="AO801" s="757"/>
      <c r="AP801" s="757"/>
      <c r="AQ801" s="757"/>
      <c r="AR801" s="757"/>
      <c r="AS801" s="757"/>
      <c r="AT801" s="757"/>
      <c r="AU801" s="757"/>
      <c r="AV801" s="757"/>
      <c r="AW801" s="757"/>
      <c r="AX801" s="757"/>
      <c r="AY801" s="757"/>
      <c r="AZ801" s="75"/>
      <c r="BA801" s="2"/>
      <c r="BB801" s="2"/>
      <c r="BC801" s="2"/>
      <c r="BD801" s="2"/>
    </row>
    <row r="802" spans="1:56">
      <c r="A802" s="781">
        <v>2</v>
      </c>
      <c r="B802" s="782">
        <v>215</v>
      </c>
      <c r="C802" s="783"/>
      <c r="D802" s="783" t="s">
        <v>256</v>
      </c>
      <c r="E802" s="810">
        <v>349.59</v>
      </c>
      <c r="F802" s="799"/>
      <c r="G802" s="799"/>
      <c r="H802" s="1592">
        <f t="shared" si="36"/>
        <v>0</v>
      </c>
      <c r="I802" s="754" t="str">
        <f>IFERROR(VLOOKUP(B802,Mychart!$A$125:$B$911,2,FALSE),"-")</f>
        <v>SAIF - IDEAL SYSTEMS CONTRACTING</v>
      </c>
      <c r="J802" s="753" t="str">
        <f t="shared" si="37"/>
        <v>-</v>
      </c>
      <c r="K802" s="1540">
        <f t="shared" si="38"/>
        <v>1900</v>
      </c>
      <c r="L802" s="757"/>
      <c r="M802" s="757"/>
      <c r="N802" s="757"/>
      <c r="O802" s="757"/>
      <c r="P802" s="757"/>
      <c r="Q802" s="757"/>
      <c r="R802" s="757"/>
      <c r="S802" s="757"/>
      <c r="T802" s="757"/>
      <c r="U802" s="757"/>
      <c r="V802" s="757"/>
      <c r="W802" s="757"/>
      <c r="X802" s="757"/>
      <c r="Y802" s="757"/>
      <c r="Z802" s="757"/>
      <c r="AA802" s="757"/>
      <c r="AB802" s="757"/>
      <c r="AC802" s="757"/>
      <c r="AD802" s="757"/>
      <c r="AE802" s="757"/>
      <c r="AF802" s="757"/>
      <c r="AG802" s="757"/>
      <c r="AH802" s="757"/>
      <c r="AI802" s="757"/>
      <c r="AJ802" s="757"/>
      <c r="AK802" s="757"/>
      <c r="AL802" s="757"/>
      <c r="AM802" s="757"/>
      <c r="AN802" s="757"/>
      <c r="AO802" s="757"/>
      <c r="AP802" s="757"/>
      <c r="AQ802" s="757"/>
      <c r="AR802" s="757"/>
      <c r="AS802" s="757"/>
      <c r="AT802" s="757"/>
      <c r="AU802" s="757"/>
      <c r="AV802" s="757"/>
      <c r="AW802" s="757"/>
      <c r="AX802" s="757"/>
      <c r="AY802" s="757"/>
      <c r="AZ802" s="75"/>
      <c r="BA802" s="2"/>
      <c r="BB802" s="2"/>
      <c r="BC802" s="2"/>
      <c r="BD802" s="2"/>
    </row>
    <row r="803" spans="1:56">
      <c r="A803" s="781">
        <v>2</v>
      </c>
      <c r="B803" s="782">
        <v>215</v>
      </c>
      <c r="C803" s="783"/>
      <c r="D803" s="783" t="s">
        <v>256</v>
      </c>
      <c r="E803" s="810">
        <v>275.97000000000003</v>
      </c>
      <c r="F803" s="799"/>
      <c r="G803" s="799"/>
      <c r="H803" s="1592">
        <f t="shared" si="36"/>
        <v>0</v>
      </c>
      <c r="I803" s="754" t="str">
        <f>IFERROR(VLOOKUP(B803,Mychart!$A$125:$B$911,2,FALSE),"-")</f>
        <v>SAIF - IDEAL SYSTEMS CONTRACTING</v>
      </c>
      <c r="J803" s="753" t="str">
        <f t="shared" si="37"/>
        <v>-</v>
      </c>
      <c r="K803" s="1540">
        <f t="shared" si="38"/>
        <v>1900</v>
      </c>
      <c r="L803" s="757"/>
      <c r="M803" s="757"/>
      <c r="N803" s="757"/>
      <c r="O803" s="757"/>
      <c r="P803" s="757"/>
      <c r="Q803" s="757"/>
      <c r="R803" s="757"/>
      <c r="S803" s="757"/>
      <c r="T803" s="757"/>
      <c r="U803" s="757"/>
      <c r="V803" s="757"/>
      <c r="W803" s="757"/>
      <c r="X803" s="757"/>
      <c r="Y803" s="757"/>
      <c r="Z803" s="757"/>
      <c r="AA803" s="757"/>
      <c r="AB803" s="757"/>
      <c r="AC803" s="757"/>
      <c r="AD803" s="757"/>
      <c r="AE803" s="757"/>
      <c r="AF803" s="757"/>
      <c r="AG803" s="757"/>
      <c r="AH803" s="757"/>
      <c r="AI803" s="757"/>
      <c r="AJ803" s="757"/>
      <c r="AK803" s="757"/>
      <c r="AL803" s="757"/>
      <c r="AM803" s="757"/>
      <c r="AN803" s="757"/>
      <c r="AO803" s="757"/>
      <c r="AP803" s="757"/>
      <c r="AQ803" s="757"/>
      <c r="AR803" s="757"/>
      <c r="AS803" s="757"/>
      <c r="AT803" s="757"/>
      <c r="AU803" s="757"/>
      <c r="AV803" s="757"/>
      <c r="AW803" s="757"/>
      <c r="AX803" s="757"/>
      <c r="AY803" s="757"/>
      <c r="AZ803" s="75"/>
      <c r="BA803" s="2"/>
      <c r="BB803" s="2"/>
      <c r="BC803" s="2"/>
      <c r="BD803" s="2"/>
    </row>
    <row r="804" spans="1:56">
      <c r="A804" s="781">
        <v>2</v>
      </c>
      <c r="B804" s="782">
        <v>215</v>
      </c>
      <c r="C804" s="783"/>
      <c r="D804" s="783" t="s">
        <v>256</v>
      </c>
      <c r="E804" s="810">
        <v>1418.85</v>
      </c>
      <c r="F804" s="799"/>
      <c r="G804" s="799"/>
      <c r="H804" s="1592">
        <f t="shared" si="36"/>
        <v>0</v>
      </c>
      <c r="I804" s="754" t="str">
        <f>IFERROR(VLOOKUP(B804,Mychart!$A$125:$B$911,2,FALSE),"-")</f>
        <v>SAIF - IDEAL SYSTEMS CONTRACTING</v>
      </c>
      <c r="J804" s="753" t="str">
        <f t="shared" si="37"/>
        <v>-</v>
      </c>
      <c r="K804" s="1540">
        <f t="shared" si="38"/>
        <v>1900</v>
      </c>
      <c r="L804" s="757"/>
      <c r="M804" s="757"/>
      <c r="N804" s="757"/>
      <c r="O804" s="757"/>
      <c r="P804" s="757"/>
      <c r="Q804" s="757"/>
      <c r="R804" s="757"/>
      <c r="S804" s="757"/>
      <c r="T804" s="757"/>
      <c r="U804" s="757"/>
      <c r="V804" s="757"/>
      <c r="W804" s="757"/>
      <c r="X804" s="757"/>
      <c r="Y804" s="757"/>
      <c r="Z804" s="757"/>
      <c r="AA804" s="757"/>
      <c r="AB804" s="757"/>
      <c r="AC804" s="757"/>
      <c r="AD804" s="757"/>
      <c r="AE804" s="757"/>
      <c r="AF804" s="757"/>
      <c r="AG804" s="757"/>
      <c r="AH804" s="757"/>
      <c r="AI804" s="757"/>
      <c r="AJ804" s="757"/>
      <c r="AK804" s="757"/>
      <c r="AL804" s="757"/>
      <c r="AM804" s="757"/>
      <c r="AN804" s="757"/>
      <c r="AO804" s="757"/>
      <c r="AP804" s="757"/>
      <c r="AQ804" s="757"/>
      <c r="AR804" s="757"/>
      <c r="AS804" s="757"/>
      <c r="AT804" s="757"/>
      <c r="AU804" s="757"/>
      <c r="AV804" s="757"/>
      <c r="AW804" s="757"/>
      <c r="AX804" s="757"/>
      <c r="AY804" s="757"/>
      <c r="AZ804" s="75"/>
      <c r="BA804" s="2"/>
      <c r="BB804" s="2"/>
      <c r="BC804" s="2"/>
      <c r="BD804" s="2"/>
    </row>
    <row r="805" spans="1:56">
      <c r="A805" s="781">
        <v>2</v>
      </c>
      <c r="B805" s="782">
        <v>215</v>
      </c>
      <c r="C805" s="783"/>
      <c r="D805" s="783" t="s">
        <v>256</v>
      </c>
      <c r="E805" s="810">
        <v>174.14</v>
      </c>
      <c r="F805" s="799"/>
      <c r="G805" s="799"/>
      <c r="H805" s="1592">
        <f t="shared" si="36"/>
        <v>0</v>
      </c>
      <c r="I805" s="754" t="str">
        <f>IFERROR(VLOOKUP(B805,Mychart!$A$125:$B$911,2,FALSE),"-")</f>
        <v>SAIF - IDEAL SYSTEMS CONTRACTING</v>
      </c>
      <c r="J805" s="753" t="str">
        <f t="shared" si="37"/>
        <v>-</v>
      </c>
      <c r="K805" s="1540">
        <f t="shared" si="38"/>
        <v>1900</v>
      </c>
      <c r="L805" s="757"/>
      <c r="M805" s="757"/>
      <c r="N805" s="757"/>
      <c r="O805" s="757"/>
      <c r="P805" s="757"/>
      <c r="Q805" s="757"/>
      <c r="R805" s="757"/>
      <c r="S805" s="757"/>
      <c r="T805" s="757"/>
      <c r="U805" s="757"/>
      <c r="V805" s="757"/>
      <c r="W805" s="757"/>
      <c r="X805" s="757"/>
      <c r="Y805" s="757"/>
      <c r="Z805" s="757"/>
      <c r="AA805" s="757"/>
      <c r="AB805" s="757"/>
      <c r="AC805" s="757"/>
      <c r="AD805" s="757"/>
      <c r="AE805" s="757"/>
      <c r="AF805" s="757"/>
      <c r="AG805" s="757"/>
      <c r="AH805" s="757"/>
      <c r="AI805" s="757"/>
      <c r="AJ805" s="757"/>
      <c r="AK805" s="757"/>
      <c r="AL805" s="757"/>
      <c r="AM805" s="757"/>
      <c r="AN805" s="757"/>
      <c r="AO805" s="757"/>
      <c r="AP805" s="757"/>
      <c r="AQ805" s="757"/>
      <c r="AR805" s="757"/>
      <c r="AS805" s="757"/>
      <c r="AT805" s="757"/>
      <c r="AU805" s="757"/>
      <c r="AV805" s="757"/>
      <c r="AW805" s="757"/>
      <c r="AX805" s="757"/>
      <c r="AY805" s="757"/>
      <c r="AZ805" s="75"/>
      <c r="BA805" s="2"/>
      <c r="BB805" s="2"/>
      <c r="BC805" s="2"/>
      <c r="BD805" s="2"/>
    </row>
    <row r="806" spans="1:56">
      <c r="A806" s="781">
        <v>2</v>
      </c>
      <c r="B806" s="782">
        <v>215</v>
      </c>
      <c r="C806" s="783">
        <v>45260</v>
      </c>
      <c r="D806" s="783" t="s">
        <v>803</v>
      </c>
      <c r="E806" s="810">
        <v>905</v>
      </c>
      <c r="F806" s="799"/>
      <c r="G806" s="799"/>
      <c r="H806" s="1592">
        <f t="shared" si="36"/>
        <v>0</v>
      </c>
      <c r="I806" s="754" t="str">
        <f>IFERROR(VLOOKUP(B806,Mychart!$A$125:$B$911,2,FALSE),"-")</f>
        <v>SAIF - IDEAL SYSTEMS CONTRACTING</v>
      </c>
      <c r="J806" s="753">
        <f t="shared" si="37"/>
        <v>11</v>
      </c>
      <c r="K806" s="1540">
        <f t="shared" si="38"/>
        <v>2023</v>
      </c>
      <c r="L806" s="757"/>
      <c r="M806" s="757"/>
      <c r="N806" s="757"/>
      <c r="O806" s="757"/>
      <c r="P806" s="757"/>
      <c r="Q806" s="757"/>
      <c r="R806" s="757"/>
      <c r="S806" s="757"/>
      <c r="T806" s="757"/>
      <c r="U806" s="757"/>
      <c r="V806" s="757"/>
      <c r="W806" s="757"/>
      <c r="X806" s="757"/>
      <c r="Y806" s="757"/>
      <c r="Z806" s="757"/>
      <c r="AA806" s="757"/>
      <c r="AB806" s="757"/>
      <c r="AC806" s="757"/>
      <c r="AD806" s="757"/>
      <c r="AE806" s="757"/>
      <c r="AF806" s="757"/>
      <c r="AG806" s="757"/>
      <c r="AH806" s="757"/>
      <c r="AI806" s="757"/>
      <c r="AJ806" s="757"/>
      <c r="AK806" s="757"/>
      <c r="AL806" s="757"/>
      <c r="AM806" s="757"/>
      <c r="AN806" s="757"/>
      <c r="AO806" s="757"/>
      <c r="AP806" s="757"/>
      <c r="AQ806" s="757"/>
      <c r="AR806" s="757"/>
      <c r="AS806" s="757"/>
      <c r="AT806" s="757"/>
      <c r="AU806" s="757"/>
      <c r="AV806" s="757"/>
      <c r="AW806" s="757"/>
      <c r="AX806" s="757"/>
      <c r="AY806" s="757"/>
      <c r="AZ806" s="75"/>
      <c r="BA806" s="2"/>
      <c r="BB806" s="2"/>
      <c r="BC806" s="2"/>
      <c r="BD806" s="2"/>
    </row>
    <row r="807" spans="1:56">
      <c r="A807" s="781">
        <v>2</v>
      </c>
      <c r="B807" s="782">
        <v>215</v>
      </c>
      <c r="C807" s="783">
        <v>45275</v>
      </c>
      <c r="D807" s="783" t="s">
        <v>383</v>
      </c>
      <c r="E807" s="810">
        <v>77789.240000000005</v>
      </c>
      <c r="F807" s="799"/>
      <c r="G807" s="799"/>
      <c r="H807" s="1592">
        <f t="shared" si="36"/>
        <v>0</v>
      </c>
      <c r="I807" s="754" t="str">
        <f>IFERROR(VLOOKUP(B807,Mychart!$A$125:$B$911,2,FALSE),"-")</f>
        <v>SAIF - IDEAL SYSTEMS CONTRACTING</v>
      </c>
      <c r="J807" s="753">
        <f t="shared" si="37"/>
        <v>12</v>
      </c>
      <c r="K807" s="1540">
        <f t="shared" si="38"/>
        <v>2023</v>
      </c>
      <c r="L807" s="757"/>
      <c r="M807" s="757"/>
      <c r="N807" s="757"/>
      <c r="O807" s="757"/>
      <c r="P807" s="757"/>
      <c r="Q807" s="757"/>
      <c r="R807" s="757"/>
      <c r="S807" s="757"/>
      <c r="T807" s="757"/>
      <c r="U807" s="757"/>
      <c r="V807" s="757"/>
      <c r="W807" s="757"/>
      <c r="X807" s="757"/>
      <c r="Y807" s="757"/>
      <c r="Z807" s="757"/>
      <c r="AA807" s="757"/>
      <c r="AB807" s="757"/>
      <c r="AC807" s="757"/>
      <c r="AD807" s="757"/>
      <c r="AE807" s="757"/>
      <c r="AF807" s="757"/>
      <c r="AG807" s="757"/>
      <c r="AH807" s="757"/>
      <c r="AI807" s="757"/>
      <c r="AJ807" s="757"/>
      <c r="AK807" s="757"/>
      <c r="AL807" s="757"/>
      <c r="AM807" s="757"/>
      <c r="AN807" s="757"/>
      <c r="AO807" s="757"/>
      <c r="AP807" s="757"/>
      <c r="AQ807" s="757"/>
      <c r="AR807" s="757"/>
      <c r="AS807" s="757"/>
      <c r="AT807" s="757"/>
      <c r="AU807" s="757"/>
      <c r="AV807" s="757"/>
      <c r="AW807" s="757"/>
      <c r="AX807" s="757"/>
      <c r="AY807" s="757"/>
      <c r="AZ807" s="75"/>
      <c r="BA807" s="2"/>
      <c r="BB807" s="2"/>
      <c r="BC807" s="2"/>
      <c r="BD807" s="2"/>
    </row>
    <row r="808" spans="1:56">
      <c r="A808" s="781">
        <v>2</v>
      </c>
      <c r="B808" s="782">
        <v>215</v>
      </c>
      <c r="C808" s="783">
        <v>45274</v>
      </c>
      <c r="D808" s="783" t="s">
        <v>383</v>
      </c>
      <c r="E808" s="810">
        <v>39805.49</v>
      </c>
      <c r="F808" s="799"/>
      <c r="G808" s="799"/>
      <c r="H808" s="1592">
        <f t="shared" si="36"/>
        <v>0</v>
      </c>
      <c r="I808" s="754" t="str">
        <f>IFERROR(VLOOKUP(B808,Mychart!$A$125:$B$911,2,FALSE),"-")</f>
        <v>SAIF - IDEAL SYSTEMS CONTRACTING</v>
      </c>
      <c r="J808" s="753">
        <f t="shared" si="37"/>
        <v>12</v>
      </c>
      <c r="K808" s="1540">
        <f t="shared" si="38"/>
        <v>2023</v>
      </c>
      <c r="L808" s="757"/>
      <c r="M808" s="757"/>
      <c r="N808" s="757"/>
      <c r="O808" s="757"/>
      <c r="P808" s="757"/>
      <c r="Q808" s="757"/>
      <c r="R808" s="757"/>
      <c r="S808" s="757"/>
      <c r="T808" s="757"/>
      <c r="U808" s="757"/>
      <c r="V808" s="757"/>
      <c r="W808" s="757"/>
      <c r="X808" s="757"/>
      <c r="Y808" s="757"/>
      <c r="Z808" s="757"/>
      <c r="AA808" s="757"/>
      <c r="AB808" s="757"/>
      <c r="AC808" s="757"/>
      <c r="AD808" s="757"/>
      <c r="AE808" s="757"/>
      <c r="AF808" s="757"/>
      <c r="AG808" s="757"/>
      <c r="AH808" s="757"/>
      <c r="AI808" s="757"/>
      <c r="AJ808" s="757"/>
      <c r="AK808" s="757"/>
      <c r="AL808" s="757"/>
      <c r="AM808" s="757"/>
      <c r="AN808" s="757"/>
      <c r="AO808" s="757"/>
      <c r="AP808" s="757"/>
      <c r="AQ808" s="757"/>
      <c r="AR808" s="757"/>
      <c r="AS808" s="757"/>
      <c r="AT808" s="757"/>
      <c r="AU808" s="757"/>
      <c r="AV808" s="757"/>
      <c r="AW808" s="757"/>
      <c r="AX808" s="757"/>
      <c r="AY808" s="757"/>
      <c r="AZ808" s="75"/>
      <c r="BA808" s="2"/>
      <c r="BB808" s="2"/>
      <c r="BC808" s="2"/>
      <c r="BD808" s="2"/>
    </row>
    <row r="809" spans="1:56">
      <c r="A809" s="781">
        <v>2</v>
      </c>
      <c r="B809" s="782">
        <v>215</v>
      </c>
      <c r="C809" s="783">
        <v>45300</v>
      </c>
      <c r="D809" s="783" t="s">
        <v>805</v>
      </c>
      <c r="E809" s="810">
        <v>3700</v>
      </c>
      <c r="F809" s="799"/>
      <c r="G809" s="799"/>
      <c r="H809" s="1592">
        <f t="shared" si="36"/>
        <v>0</v>
      </c>
      <c r="I809" s="754" t="str">
        <f>IFERROR(VLOOKUP(B809,Mychart!$A$125:$B$911,2,FALSE),"-")</f>
        <v>SAIF - IDEAL SYSTEMS CONTRACTING</v>
      </c>
      <c r="J809" s="753">
        <f t="shared" si="37"/>
        <v>1</v>
      </c>
      <c r="K809" s="1540">
        <f t="shared" si="38"/>
        <v>2024</v>
      </c>
      <c r="L809" s="757"/>
      <c r="M809" s="757"/>
      <c r="N809" s="757"/>
      <c r="O809" s="757"/>
      <c r="P809" s="757"/>
      <c r="Q809" s="757"/>
      <c r="R809" s="757"/>
      <c r="S809" s="757"/>
      <c r="T809" s="757"/>
      <c r="U809" s="757"/>
      <c r="V809" s="757"/>
      <c r="W809" s="757"/>
      <c r="X809" s="757"/>
      <c r="Y809" s="757"/>
      <c r="Z809" s="757"/>
      <c r="AA809" s="757"/>
      <c r="AB809" s="757"/>
      <c r="AC809" s="757"/>
      <c r="AD809" s="757"/>
      <c r="AE809" s="757"/>
      <c r="AF809" s="757"/>
      <c r="AG809" s="757"/>
      <c r="AH809" s="757"/>
      <c r="AI809" s="757"/>
      <c r="AJ809" s="757"/>
      <c r="AK809" s="757"/>
      <c r="AL809" s="757"/>
      <c r="AM809" s="757"/>
      <c r="AN809" s="757"/>
      <c r="AO809" s="757"/>
      <c r="AP809" s="757"/>
      <c r="AQ809" s="757"/>
      <c r="AR809" s="757"/>
      <c r="AS809" s="757"/>
      <c r="AT809" s="757"/>
      <c r="AU809" s="757"/>
      <c r="AV809" s="757"/>
      <c r="AW809" s="757"/>
      <c r="AX809" s="757"/>
      <c r="AY809" s="757"/>
      <c r="AZ809" s="75"/>
      <c r="BA809" s="2"/>
      <c r="BB809" s="2"/>
      <c r="BC809" s="2"/>
      <c r="BD809" s="2"/>
    </row>
    <row r="810" spans="1:56">
      <c r="A810" s="781">
        <v>2</v>
      </c>
      <c r="B810" s="782">
        <v>215</v>
      </c>
      <c r="C810" s="783">
        <v>45291</v>
      </c>
      <c r="D810" s="783" t="s">
        <v>803</v>
      </c>
      <c r="E810" s="810">
        <v>16415</v>
      </c>
      <c r="F810" s="799"/>
      <c r="G810" s="799"/>
      <c r="H810" s="1592">
        <f t="shared" si="36"/>
        <v>0</v>
      </c>
      <c r="I810" s="754" t="str">
        <f>IFERROR(VLOOKUP(B810,Mychart!$A$125:$B$911,2,FALSE),"-")</f>
        <v>SAIF - IDEAL SYSTEMS CONTRACTING</v>
      </c>
      <c r="J810" s="753">
        <f t="shared" si="37"/>
        <v>12</v>
      </c>
      <c r="K810" s="1540">
        <f t="shared" si="38"/>
        <v>2023</v>
      </c>
      <c r="L810" s="757"/>
      <c r="M810" s="757"/>
      <c r="N810" s="757"/>
      <c r="O810" s="757"/>
      <c r="P810" s="757"/>
      <c r="Q810" s="757"/>
      <c r="R810" s="757"/>
      <c r="S810" s="757"/>
      <c r="T810" s="757"/>
      <c r="U810" s="757"/>
      <c r="V810" s="757"/>
      <c r="W810" s="757"/>
      <c r="X810" s="757"/>
      <c r="Y810" s="757"/>
      <c r="Z810" s="757"/>
      <c r="AA810" s="757"/>
      <c r="AB810" s="757"/>
      <c r="AC810" s="757"/>
      <c r="AD810" s="757"/>
      <c r="AE810" s="757"/>
      <c r="AF810" s="757"/>
      <c r="AG810" s="757"/>
      <c r="AH810" s="757"/>
      <c r="AI810" s="757"/>
      <c r="AJ810" s="757"/>
      <c r="AK810" s="757"/>
      <c r="AL810" s="757"/>
      <c r="AM810" s="757"/>
      <c r="AN810" s="757"/>
      <c r="AO810" s="757"/>
      <c r="AP810" s="757"/>
      <c r="AQ810" s="757"/>
      <c r="AR810" s="757"/>
      <c r="AS810" s="757"/>
      <c r="AT810" s="757"/>
      <c r="AU810" s="757"/>
      <c r="AV810" s="757"/>
      <c r="AW810" s="757"/>
      <c r="AX810" s="757"/>
      <c r="AY810" s="757"/>
      <c r="AZ810" s="75"/>
      <c r="BA810" s="2"/>
      <c r="BB810" s="2"/>
      <c r="BC810" s="2"/>
      <c r="BD810" s="2"/>
    </row>
    <row r="811" spans="1:56">
      <c r="A811" s="781">
        <v>2</v>
      </c>
      <c r="B811" s="782">
        <v>215</v>
      </c>
      <c r="C811" s="783">
        <v>45269</v>
      </c>
      <c r="D811" s="783" t="s">
        <v>806</v>
      </c>
      <c r="E811" s="810">
        <v>79.16</v>
      </c>
      <c r="F811" s="799"/>
      <c r="G811" s="799"/>
      <c r="H811" s="1592">
        <f t="shared" si="36"/>
        <v>0</v>
      </c>
      <c r="I811" s="754" t="str">
        <f>IFERROR(VLOOKUP(B811,Mychart!$A$125:$B$911,2,FALSE),"-")</f>
        <v>SAIF - IDEAL SYSTEMS CONTRACTING</v>
      </c>
      <c r="J811" s="753">
        <f t="shared" si="37"/>
        <v>12</v>
      </c>
      <c r="K811" s="1540">
        <f t="shared" si="38"/>
        <v>2023</v>
      </c>
      <c r="L811" s="757"/>
      <c r="M811" s="757"/>
      <c r="N811" s="757"/>
      <c r="O811" s="757"/>
      <c r="P811" s="757"/>
      <c r="Q811" s="757"/>
      <c r="R811" s="757"/>
      <c r="S811" s="757"/>
      <c r="T811" s="757"/>
      <c r="U811" s="757"/>
      <c r="V811" s="757"/>
      <c r="W811" s="757"/>
      <c r="X811" s="757"/>
      <c r="Y811" s="757"/>
      <c r="Z811" s="757"/>
      <c r="AA811" s="757"/>
      <c r="AB811" s="757"/>
      <c r="AC811" s="757"/>
      <c r="AD811" s="757"/>
      <c r="AE811" s="757"/>
      <c r="AF811" s="757"/>
      <c r="AG811" s="757"/>
      <c r="AH811" s="757"/>
      <c r="AI811" s="757"/>
      <c r="AJ811" s="757"/>
      <c r="AK811" s="757"/>
      <c r="AL811" s="757"/>
      <c r="AM811" s="757"/>
      <c r="AN811" s="757"/>
      <c r="AO811" s="757"/>
      <c r="AP811" s="757"/>
      <c r="AQ811" s="757"/>
      <c r="AR811" s="757"/>
      <c r="AS811" s="757"/>
      <c r="AT811" s="757"/>
      <c r="AU811" s="757"/>
      <c r="AV811" s="757"/>
      <c r="AW811" s="757"/>
      <c r="AX811" s="757"/>
      <c r="AY811" s="757"/>
      <c r="AZ811" s="75"/>
      <c r="BA811" s="2"/>
      <c r="BB811" s="2"/>
      <c r="BC811" s="2"/>
      <c r="BD811" s="2"/>
    </row>
    <row r="812" spans="1:56">
      <c r="A812" s="781">
        <v>2</v>
      </c>
      <c r="B812" s="782">
        <v>215</v>
      </c>
      <c r="C812" s="783">
        <v>45265</v>
      </c>
      <c r="D812" s="783" t="s">
        <v>806</v>
      </c>
      <c r="E812" s="810">
        <v>562.28</v>
      </c>
      <c r="F812" s="799"/>
      <c r="G812" s="799"/>
      <c r="H812" s="1592">
        <f t="shared" si="36"/>
        <v>0</v>
      </c>
      <c r="I812" s="754" t="str">
        <f>IFERROR(VLOOKUP(B812,Mychart!$A$125:$B$911,2,FALSE),"-")</f>
        <v>SAIF - IDEAL SYSTEMS CONTRACTING</v>
      </c>
      <c r="J812" s="753">
        <f t="shared" si="37"/>
        <v>12</v>
      </c>
      <c r="K812" s="1540">
        <f t="shared" si="38"/>
        <v>2023</v>
      </c>
      <c r="L812" s="757"/>
      <c r="M812" s="757"/>
      <c r="N812" s="757"/>
      <c r="O812" s="757"/>
      <c r="P812" s="757"/>
      <c r="Q812" s="757"/>
      <c r="R812" s="757"/>
      <c r="S812" s="757"/>
      <c r="T812" s="757"/>
      <c r="U812" s="757"/>
      <c r="V812" s="757"/>
      <c r="W812" s="757"/>
      <c r="X812" s="757"/>
      <c r="Y812" s="757"/>
      <c r="Z812" s="757"/>
      <c r="AA812" s="757"/>
      <c r="AB812" s="757"/>
      <c r="AC812" s="757"/>
      <c r="AD812" s="757"/>
      <c r="AE812" s="757"/>
      <c r="AF812" s="757"/>
      <c r="AG812" s="757"/>
      <c r="AH812" s="757"/>
      <c r="AI812" s="757"/>
      <c r="AJ812" s="757"/>
      <c r="AK812" s="757"/>
      <c r="AL812" s="757"/>
      <c r="AM812" s="757"/>
      <c r="AN812" s="757"/>
      <c r="AO812" s="757"/>
      <c r="AP812" s="757"/>
      <c r="AQ812" s="757"/>
      <c r="AR812" s="757"/>
      <c r="AS812" s="757"/>
      <c r="AT812" s="757"/>
      <c r="AU812" s="757"/>
      <c r="AV812" s="757"/>
      <c r="AW812" s="757"/>
      <c r="AX812" s="757"/>
      <c r="AY812" s="757"/>
      <c r="AZ812" s="75"/>
      <c r="BA812" s="2"/>
      <c r="BB812" s="2"/>
      <c r="BC812" s="2"/>
      <c r="BD812" s="2"/>
    </row>
    <row r="813" spans="1:56">
      <c r="A813" s="781">
        <v>2</v>
      </c>
      <c r="B813" s="782">
        <v>215</v>
      </c>
      <c r="C813" s="783">
        <v>45267</v>
      </c>
      <c r="D813" s="783" t="s">
        <v>806</v>
      </c>
      <c r="E813" s="810">
        <v>318.48</v>
      </c>
      <c r="F813" s="799"/>
      <c r="G813" s="799"/>
      <c r="H813" s="1592">
        <f t="shared" si="36"/>
        <v>0</v>
      </c>
      <c r="I813" s="754" t="str">
        <f>IFERROR(VLOOKUP(B813,Mychart!$A$125:$B$911,2,FALSE),"-")</f>
        <v>SAIF - IDEAL SYSTEMS CONTRACTING</v>
      </c>
      <c r="J813" s="753">
        <f t="shared" si="37"/>
        <v>12</v>
      </c>
      <c r="K813" s="1540">
        <f t="shared" si="38"/>
        <v>2023</v>
      </c>
      <c r="L813" s="757"/>
      <c r="M813" s="757"/>
      <c r="N813" s="757"/>
      <c r="O813" s="757"/>
      <c r="P813" s="757"/>
      <c r="Q813" s="757"/>
      <c r="R813" s="757"/>
      <c r="S813" s="757"/>
      <c r="T813" s="757"/>
      <c r="U813" s="757"/>
      <c r="V813" s="757"/>
      <c r="W813" s="757"/>
      <c r="X813" s="757"/>
      <c r="Y813" s="757"/>
      <c r="Z813" s="757"/>
      <c r="AA813" s="757"/>
      <c r="AB813" s="757"/>
      <c r="AC813" s="757"/>
      <c r="AD813" s="757"/>
      <c r="AE813" s="757"/>
      <c r="AF813" s="757"/>
      <c r="AG813" s="757"/>
      <c r="AH813" s="757"/>
      <c r="AI813" s="757"/>
      <c r="AJ813" s="757"/>
      <c r="AK813" s="757"/>
      <c r="AL813" s="757"/>
      <c r="AM813" s="757"/>
      <c r="AN813" s="757"/>
      <c r="AO813" s="757"/>
      <c r="AP813" s="757"/>
      <c r="AQ813" s="757"/>
      <c r="AR813" s="757"/>
      <c r="AS813" s="757"/>
      <c r="AT813" s="757"/>
      <c r="AU813" s="757"/>
      <c r="AV813" s="757"/>
      <c r="AW813" s="757"/>
      <c r="AX813" s="757"/>
      <c r="AY813" s="757"/>
      <c r="AZ813" s="75"/>
      <c r="BA813" s="2"/>
      <c r="BB813" s="2"/>
      <c r="BC813" s="2"/>
      <c r="BD813" s="2"/>
    </row>
    <row r="814" spans="1:56">
      <c r="A814" s="781">
        <v>2</v>
      </c>
      <c r="B814" s="782">
        <v>215</v>
      </c>
      <c r="C814" s="783">
        <v>45283</v>
      </c>
      <c r="D814" s="783" t="s">
        <v>806</v>
      </c>
      <c r="E814" s="810">
        <v>1910.42</v>
      </c>
      <c r="F814" s="799"/>
      <c r="G814" s="799"/>
      <c r="H814" s="1592">
        <f t="shared" si="36"/>
        <v>0</v>
      </c>
      <c r="I814" s="754" t="str">
        <f>IFERROR(VLOOKUP(B814,Mychart!$A$125:$B$911,2,FALSE),"-")</f>
        <v>SAIF - IDEAL SYSTEMS CONTRACTING</v>
      </c>
      <c r="J814" s="753">
        <f t="shared" si="37"/>
        <v>12</v>
      </c>
      <c r="K814" s="1540">
        <f t="shared" si="38"/>
        <v>2023</v>
      </c>
      <c r="L814" s="757"/>
      <c r="M814" s="757"/>
      <c r="N814" s="757"/>
      <c r="O814" s="757"/>
      <c r="P814" s="757"/>
      <c r="Q814" s="757"/>
      <c r="R814" s="757"/>
      <c r="S814" s="757"/>
      <c r="T814" s="757"/>
      <c r="U814" s="757"/>
      <c r="V814" s="757"/>
      <c r="W814" s="757"/>
      <c r="X814" s="757"/>
      <c r="Y814" s="757"/>
      <c r="Z814" s="757"/>
      <c r="AA814" s="757"/>
      <c r="AB814" s="757"/>
      <c r="AC814" s="757"/>
      <c r="AD814" s="757"/>
      <c r="AE814" s="757"/>
      <c r="AF814" s="757"/>
      <c r="AG814" s="757"/>
      <c r="AH814" s="757"/>
      <c r="AI814" s="757"/>
      <c r="AJ814" s="757"/>
      <c r="AK814" s="757"/>
      <c r="AL814" s="757"/>
      <c r="AM814" s="757"/>
      <c r="AN814" s="757"/>
      <c r="AO814" s="757"/>
      <c r="AP814" s="757"/>
      <c r="AQ814" s="757"/>
      <c r="AR814" s="757"/>
      <c r="AS814" s="757"/>
      <c r="AT814" s="757"/>
      <c r="AU814" s="757"/>
      <c r="AV814" s="757"/>
      <c r="AW814" s="757"/>
      <c r="AX814" s="757"/>
      <c r="AY814" s="757"/>
      <c r="AZ814" s="75"/>
      <c r="BA814" s="2"/>
      <c r="BB814" s="2"/>
      <c r="BC814" s="2"/>
      <c r="BD814" s="2"/>
    </row>
    <row r="815" spans="1:56">
      <c r="A815" s="781">
        <v>2</v>
      </c>
      <c r="B815" s="782">
        <v>215</v>
      </c>
      <c r="C815" s="783">
        <v>45285</v>
      </c>
      <c r="D815" s="783" t="s">
        <v>807</v>
      </c>
      <c r="E815" s="810">
        <v>3100</v>
      </c>
      <c r="F815" s="799"/>
      <c r="G815" s="799"/>
      <c r="H815" s="1592">
        <f t="shared" si="36"/>
        <v>0</v>
      </c>
      <c r="I815" s="754" t="str">
        <f>IFERROR(VLOOKUP(B815,Mychart!$A$125:$B$911,2,FALSE),"-")</f>
        <v>SAIF - IDEAL SYSTEMS CONTRACTING</v>
      </c>
      <c r="J815" s="753">
        <f t="shared" si="37"/>
        <v>12</v>
      </c>
      <c r="K815" s="1540">
        <f t="shared" si="38"/>
        <v>2023</v>
      </c>
      <c r="L815" s="757"/>
      <c r="M815" s="757"/>
      <c r="N815" s="757"/>
      <c r="O815" s="757"/>
      <c r="P815" s="757"/>
      <c r="Q815" s="757"/>
      <c r="R815" s="757"/>
      <c r="S815" s="757"/>
      <c r="T815" s="757"/>
      <c r="U815" s="757"/>
      <c r="V815" s="757"/>
      <c r="W815" s="757"/>
      <c r="X815" s="757"/>
      <c r="Y815" s="757"/>
      <c r="Z815" s="757"/>
      <c r="AA815" s="757"/>
      <c r="AB815" s="757"/>
      <c r="AC815" s="757"/>
      <c r="AD815" s="757"/>
      <c r="AE815" s="757"/>
      <c r="AF815" s="757"/>
      <c r="AG815" s="757"/>
      <c r="AH815" s="757"/>
      <c r="AI815" s="757"/>
      <c r="AJ815" s="757"/>
      <c r="AK815" s="757"/>
      <c r="AL815" s="757"/>
      <c r="AM815" s="757"/>
      <c r="AN815" s="757"/>
      <c r="AO815" s="757"/>
      <c r="AP815" s="757"/>
      <c r="AQ815" s="757"/>
      <c r="AR815" s="757"/>
      <c r="AS815" s="757"/>
      <c r="AT815" s="757"/>
      <c r="AU815" s="757"/>
      <c r="AV815" s="757"/>
      <c r="AW815" s="757"/>
      <c r="AX815" s="757"/>
      <c r="AY815" s="757"/>
      <c r="AZ815" s="75"/>
      <c r="BA815" s="2"/>
      <c r="BB815" s="2"/>
      <c r="BC815" s="2"/>
      <c r="BD815" s="2"/>
    </row>
    <row r="816" spans="1:56">
      <c r="A816" s="781">
        <v>2</v>
      </c>
      <c r="B816" s="782">
        <v>215</v>
      </c>
      <c r="C816" s="783">
        <v>45322</v>
      </c>
      <c r="D816" s="783" t="s">
        <v>803</v>
      </c>
      <c r="E816" s="810">
        <v>340</v>
      </c>
      <c r="F816" s="799"/>
      <c r="G816" s="799"/>
      <c r="H816" s="1592">
        <f t="shared" si="36"/>
        <v>0</v>
      </c>
      <c r="I816" s="754" t="str">
        <f>IFERROR(VLOOKUP(B816,Mychart!$A$125:$B$911,2,FALSE),"-")</f>
        <v>SAIF - IDEAL SYSTEMS CONTRACTING</v>
      </c>
      <c r="J816" s="753">
        <f t="shared" si="37"/>
        <v>1</v>
      </c>
      <c r="K816" s="1540">
        <f t="shared" si="38"/>
        <v>2024</v>
      </c>
      <c r="L816" s="757"/>
      <c r="M816" s="757"/>
      <c r="N816" s="757"/>
      <c r="O816" s="757"/>
      <c r="P816" s="757"/>
      <c r="Q816" s="757"/>
      <c r="R816" s="757"/>
      <c r="S816" s="757"/>
      <c r="T816" s="757"/>
      <c r="U816" s="757"/>
      <c r="V816" s="757"/>
      <c r="W816" s="757"/>
      <c r="X816" s="757"/>
      <c r="Y816" s="757"/>
      <c r="Z816" s="757"/>
      <c r="AA816" s="757"/>
      <c r="AB816" s="757"/>
      <c r="AC816" s="757"/>
      <c r="AD816" s="757"/>
      <c r="AE816" s="757"/>
      <c r="AF816" s="757"/>
      <c r="AG816" s="757"/>
      <c r="AH816" s="757"/>
      <c r="AI816" s="757"/>
      <c r="AJ816" s="757"/>
      <c r="AK816" s="757"/>
      <c r="AL816" s="757"/>
      <c r="AM816" s="757"/>
      <c r="AN816" s="757"/>
      <c r="AO816" s="757"/>
      <c r="AP816" s="757"/>
      <c r="AQ816" s="757"/>
      <c r="AR816" s="757"/>
      <c r="AS816" s="757"/>
      <c r="AT816" s="757"/>
      <c r="AU816" s="757"/>
      <c r="AV816" s="757"/>
      <c r="AW816" s="757"/>
      <c r="AX816" s="757"/>
      <c r="AY816" s="757"/>
      <c r="AZ816" s="75"/>
      <c r="BA816" s="2"/>
      <c r="BB816" s="2"/>
      <c r="BC816" s="2"/>
      <c r="BD816" s="2"/>
    </row>
    <row r="817" spans="1:56">
      <c r="A817" s="781">
        <v>2</v>
      </c>
      <c r="B817" s="782">
        <v>215</v>
      </c>
      <c r="C817" s="783">
        <v>45344</v>
      </c>
      <c r="D817" s="783" t="s">
        <v>383</v>
      </c>
      <c r="E817" s="810">
        <v>35448.019999999997</v>
      </c>
      <c r="F817" s="799"/>
      <c r="G817" s="799"/>
      <c r="H817" s="1592">
        <f t="shared" si="36"/>
        <v>0</v>
      </c>
      <c r="I817" s="754" t="str">
        <f>IFERROR(VLOOKUP(B817,Mychart!$A$125:$B$911,2,FALSE),"-")</f>
        <v>SAIF - IDEAL SYSTEMS CONTRACTING</v>
      </c>
      <c r="J817" s="753">
        <f t="shared" si="37"/>
        <v>2</v>
      </c>
      <c r="K817" s="1540">
        <f t="shared" si="38"/>
        <v>2024</v>
      </c>
      <c r="L817" s="757"/>
      <c r="M817" s="757"/>
      <c r="N817" s="757"/>
      <c r="O817" s="757"/>
      <c r="P817" s="757"/>
      <c r="Q817" s="757"/>
      <c r="R817" s="757"/>
      <c r="S817" s="757"/>
      <c r="T817" s="757"/>
      <c r="U817" s="757"/>
      <c r="V817" s="757"/>
      <c r="W817" s="757"/>
      <c r="X817" s="757"/>
      <c r="Y817" s="757"/>
      <c r="Z817" s="757"/>
      <c r="AA817" s="757"/>
      <c r="AB817" s="757"/>
      <c r="AC817" s="757"/>
      <c r="AD817" s="757"/>
      <c r="AE817" s="757"/>
      <c r="AF817" s="757"/>
      <c r="AG817" s="757"/>
      <c r="AH817" s="757"/>
      <c r="AI817" s="757"/>
      <c r="AJ817" s="757"/>
      <c r="AK817" s="757"/>
      <c r="AL817" s="757"/>
      <c r="AM817" s="757"/>
      <c r="AN817" s="757"/>
      <c r="AO817" s="757"/>
      <c r="AP817" s="757"/>
      <c r="AQ817" s="757"/>
      <c r="AR817" s="757"/>
      <c r="AS817" s="757"/>
      <c r="AT817" s="757"/>
      <c r="AU817" s="757"/>
      <c r="AV817" s="757"/>
      <c r="AW817" s="757"/>
      <c r="AX817" s="757"/>
      <c r="AY817" s="757"/>
      <c r="AZ817" s="75"/>
      <c r="BA817" s="2"/>
      <c r="BB817" s="2"/>
      <c r="BC817" s="2"/>
      <c r="BD817" s="2"/>
    </row>
    <row r="818" spans="1:56">
      <c r="A818" s="781">
        <v>2</v>
      </c>
      <c r="B818" s="782">
        <v>215</v>
      </c>
      <c r="C818" s="783">
        <v>45351</v>
      </c>
      <c r="D818" s="783" t="s">
        <v>803</v>
      </c>
      <c r="E818" s="810">
        <v>976</v>
      </c>
      <c r="F818" s="799"/>
      <c r="G818" s="799"/>
      <c r="H818" s="1592">
        <f t="shared" si="36"/>
        <v>0</v>
      </c>
      <c r="I818" s="754" t="str">
        <f>IFERROR(VLOOKUP(B818,Mychart!$A$125:$B$911,2,FALSE),"-")</f>
        <v>SAIF - IDEAL SYSTEMS CONTRACTING</v>
      </c>
      <c r="J818" s="753">
        <f t="shared" si="37"/>
        <v>2</v>
      </c>
      <c r="K818" s="1540">
        <f t="shared" si="38"/>
        <v>2024</v>
      </c>
      <c r="L818" s="757"/>
      <c r="M818" s="757"/>
      <c r="N818" s="757"/>
      <c r="O818" s="757"/>
      <c r="P818" s="757"/>
      <c r="Q818" s="757"/>
      <c r="R818" s="757"/>
      <c r="S818" s="757"/>
      <c r="T818" s="757"/>
      <c r="U818" s="757"/>
      <c r="V818" s="757"/>
      <c r="W818" s="757"/>
      <c r="X818" s="757"/>
      <c r="Y818" s="757"/>
      <c r="Z818" s="757"/>
      <c r="AA818" s="757"/>
      <c r="AB818" s="757"/>
      <c r="AC818" s="757"/>
      <c r="AD818" s="757"/>
      <c r="AE818" s="757"/>
      <c r="AF818" s="757"/>
      <c r="AG818" s="757"/>
      <c r="AH818" s="757"/>
      <c r="AI818" s="757"/>
      <c r="AJ818" s="757"/>
      <c r="AK818" s="757"/>
      <c r="AL818" s="757"/>
      <c r="AM818" s="757"/>
      <c r="AN818" s="757"/>
      <c r="AO818" s="757"/>
      <c r="AP818" s="757"/>
      <c r="AQ818" s="757"/>
      <c r="AR818" s="757"/>
      <c r="AS818" s="757"/>
      <c r="AT818" s="757"/>
      <c r="AU818" s="757"/>
      <c r="AV818" s="757"/>
      <c r="AW818" s="757"/>
      <c r="AX818" s="757"/>
      <c r="AY818" s="757"/>
      <c r="AZ818" s="75"/>
      <c r="BA818" s="2"/>
      <c r="BB818" s="2"/>
      <c r="BC818" s="2"/>
      <c r="BD818" s="2"/>
    </row>
    <row r="819" spans="1:56">
      <c r="A819" s="781">
        <v>2</v>
      </c>
      <c r="B819" s="782">
        <v>215</v>
      </c>
      <c r="C819" s="783">
        <v>45348</v>
      </c>
      <c r="D819" s="783" t="s">
        <v>806</v>
      </c>
      <c r="E819" s="810">
        <v>264.60000000000002</v>
      </c>
      <c r="F819" s="799"/>
      <c r="G819" s="799"/>
      <c r="H819" s="1592">
        <f t="shared" si="36"/>
        <v>0</v>
      </c>
      <c r="I819" s="754" t="str">
        <f>IFERROR(VLOOKUP(B819,Mychart!$A$125:$B$911,2,FALSE),"-")</f>
        <v>SAIF - IDEAL SYSTEMS CONTRACTING</v>
      </c>
      <c r="J819" s="753">
        <f t="shared" si="37"/>
        <v>2</v>
      </c>
      <c r="K819" s="1540">
        <f t="shared" si="38"/>
        <v>2024</v>
      </c>
      <c r="L819" s="757"/>
      <c r="M819" s="757"/>
      <c r="N819" s="757"/>
      <c r="O819" s="757"/>
      <c r="P819" s="757"/>
      <c r="Q819" s="757"/>
      <c r="R819" s="757"/>
      <c r="S819" s="757"/>
      <c r="T819" s="757"/>
      <c r="U819" s="757"/>
      <c r="V819" s="757"/>
      <c r="W819" s="757"/>
      <c r="X819" s="757"/>
      <c r="Y819" s="757"/>
      <c r="Z819" s="757"/>
      <c r="AA819" s="757"/>
      <c r="AB819" s="757"/>
      <c r="AC819" s="757"/>
      <c r="AD819" s="757"/>
      <c r="AE819" s="757"/>
      <c r="AF819" s="757"/>
      <c r="AG819" s="757"/>
      <c r="AH819" s="757"/>
      <c r="AI819" s="757"/>
      <c r="AJ819" s="757"/>
      <c r="AK819" s="757"/>
      <c r="AL819" s="757"/>
      <c r="AM819" s="757"/>
      <c r="AN819" s="757"/>
      <c r="AO819" s="757"/>
      <c r="AP819" s="757"/>
      <c r="AQ819" s="757"/>
      <c r="AR819" s="757"/>
      <c r="AS819" s="757"/>
      <c r="AT819" s="757"/>
      <c r="AU819" s="757"/>
      <c r="AV819" s="757"/>
      <c r="AW819" s="757"/>
      <c r="AX819" s="757"/>
      <c r="AY819" s="757"/>
      <c r="AZ819" s="75"/>
      <c r="BA819" s="2"/>
      <c r="BB819" s="2"/>
      <c r="BC819" s="2"/>
      <c r="BD819" s="2"/>
    </row>
    <row r="820" spans="1:56">
      <c r="A820" s="781">
        <v>2</v>
      </c>
      <c r="B820" s="782">
        <v>215</v>
      </c>
      <c r="C820" s="783">
        <v>45350</v>
      </c>
      <c r="D820" s="783" t="s">
        <v>806</v>
      </c>
      <c r="E820" s="810">
        <v>98.28</v>
      </c>
      <c r="F820" s="799"/>
      <c r="G820" s="799"/>
      <c r="H820" s="1592">
        <f t="shared" si="36"/>
        <v>0</v>
      </c>
      <c r="I820" s="754" t="str">
        <f>IFERROR(VLOOKUP(B820,Mychart!$A$125:$B$911,2,FALSE),"-")</f>
        <v>SAIF - IDEAL SYSTEMS CONTRACTING</v>
      </c>
      <c r="J820" s="753">
        <f t="shared" si="37"/>
        <v>2</v>
      </c>
      <c r="K820" s="1540">
        <f t="shared" si="38"/>
        <v>2024</v>
      </c>
      <c r="L820" s="757"/>
      <c r="M820" s="757"/>
      <c r="N820" s="757"/>
      <c r="O820" s="757"/>
      <c r="P820" s="757"/>
      <c r="Q820" s="757"/>
      <c r="R820" s="757"/>
      <c r="S820" s="757"/>
      <c r="T820" s="757"/>
      <c r="U820" s="757"/>
      <c r="V820" s="757"/>
      <c r="W820" s="757"/>
      <c r="X820" s="757"/>
      <c r="Y820" s="757"/>
      <c r="Z820" s="757"/>
      <c r="AA820" s="757"/>
      <c r="AB820" s="757"/>
      <c r="AC820" s="757"/>
      <c r="AD820" s="757"/>
      <c r="AE820" s="757"/>
      <c r="AF820" s="757"/>
      <c r="AG820" s="757"/>
      <c r="AH820" s="757"/>
      <c r="AI820" s="757"/>
      <c r="AJ820" s="757"/>
      <c r="AK820" s="757"/>
      <c r="AL820" s="757"/>
      <c r="AM820" s="757"/>
      <c r="AN820" s="757"/>
      <c r="AO820" s="757"/>
      <c r="AP820" s="757"/>
      <c r="AQ820" s="757"/>
      <c r="AR820" s="757"/>
      <c r="AS820" s="757"/>
      <c r="AT820" s="757"/>
      <c r="AU820" s="757"/>
      <c r="AV820" s="757"/>
      <c r="AW820" s="757"/>
      <c r="AX820" s="757"/>
      <c r="AY820" s="757"/>
      <c r="AZ820" s="75"/>
      <c r="BA820" s="2"/>
      <c r="BB820" s="2"/>
      <c r="BC820" s="2"/>
      <c r="BD820" s="2"/>
    </row>
    <row r="821" spans="1:56">
      <c r="A821" s="781">
        <v>2</v>
      </c>
      <c r="B821" s="782">
        <v>215</v>
      </c>
      <c r="C821" s="783" t="s">
        <v>680</v>
      </c>
      <c r="D821" s="783" t="s">
        <v>380</v>
      </c>
      <c r="E821" s="810">
        <v>422.67</v>
      </c>
      <c r="F821" s="799"/>
      <c r="G821" s="799"/>
      <c r="H821" s="1592">
        <f t="shared" si="36"/>
        <v>0</v>
      </c>
      <c r="I821" s="754" t="str">
        <f>IFERROR(VLOOKUP(B821,Mychart!$A$125:$B$911,2,FALSE),"-")</f>
        <v>SAIF - IDEAL SYSTEMS CONTRACTING</v>
      </c>
      <c r="J821" s="753">
        <f t="shared" si="37"/>
        <v>1</v>
      </c>
      <c r="K821" s="1540">
        <f t="shared" si="38"/>
        <v>2024</v>
      </c>
      <c r="L821" s="757"/>
      <c r="M821" s="757"/>
      <c r="N821" s="757"/>
      <c r="O821" s="757"/>
      <c r="P821" s="757"/>
      <c r="Q821" s="757"/>
      <c r="R821" s="757"/>
      <c r="S821" s="757"/>
      <c r="T821" s="757"/>
      <c r="U821" s="757"/>
      <c r="V821" s="757"/>
      <c r="W821" s="757"/>
      <c r="X821" s="757"/>
      <c r="Y821" s="757"/>
      <c r="Z821" s="757"/>
      <c r="AA821" s="757"/>
      <c r="AB821" s="757"/>
      <c r="AC821" s="757"/>
      <c r="AD821" s="757"/>
      <c r="AE821" s="757"/>
      <c r="AF821" s="757"/>
      <c r="AG821" s="757"/>
      <c r="AH821" s="757"/>
      <c r="AI821" s="757"/>
      <c r="AJ821" s="757"/>
      <c r="AK821" s="757"/>
      <c r="AL821" s="757"/>
      <c r="AM821" s="757"/>
      <c r="AN821" s="757"/>
      <c r="AO821" s="757"/>
      <c r="AP821" s="757"/>
      <c r="AQ821" s="757"/>
      <c r="AR821" s="757"/>
      <c r="AS821" s="757"/>
      <c r="AT821" s="757"/>
      <c r="AU821" s="757"/>
      <c r="AV821" s="757"/>
      <c r="AW821" s="757"/>
      <c r="AX821" s="757"/>
      <c r="AY821" s="757"/>
      <c r="AZ821" s="75"/>
      <c r="BA821" s="2"/>
      <c r="BB821" s="2"/>
      <c r="BC821" s="2"/>
      <c r="BD821" s="2"/>
    </row>
    <row r="822" spans="1:56">
      <c r="A822" s="781">
        <v>2</v>
      </c>
      <c r="B822" s="782">
        <v>215</v>
      </c>
      <c r="C822" s="783" t="s">
        <v>808</v>
      </c>
      <c r="D822" s="783" t="s">
        <v>455</v>
      </c>
      <c r="E822" s="810">
        <v>443.63</v>
      </c>
      <c r="F822" s="799"/>
      <c r="G822" s="799"/>
      <c r="H822" s="1592">
        <f t="shared" si="36"/>
        <v>0</v>
      </c>
      <c r="I822" s="754" t="str">
        <f>IFERROR(VLOOKUP(B822,Mychart!$A$125:$B$911,2,FALSE),"-")</f>
        <v>SAIF - IDEAL SYSTEMS CONTRACTING</v>
      </c>
      <c r="J822" s="753">
        <f t="shared" si="37"/>
        <v>12</v>
      </c>
      <c r="K822" s="1540">
        <f t="shared" si="38"/>
        <v>2023</v>
      </c>
      <c r="L822" s="757"/>
      <c r="M822" s="757"/>
      <c r="N822" s="757"/>
      <c r="O822" s="757"/>
      <c r="P822" s="757"/>
      <c r="Q822" s="757"/>
      <c r="R822" s="757"/>
      <c r="S822" s="757"/>
      <c r="T822" s="757"/>
      <c r="U822" s="757"/>
      <c r="V822" s="757"/>
      <c r="W822" s="757"/>
      <c r="X822" s="757"/>
      <c r="Y822" s="757"/>
      <c r="Z822" s="757"/>
      <c r="AA822" s="757"/>
      <c r="AB822" s="757"/>
      <c r="AC822" s="757"/>
      <c r="AD822" s="757"/>
      <c r="AE822" s="757"/>
      <c r="AF822" s="757"/>
      <c r="AG822" s="757"/>
      <c r="AH822" s="757"/>
      <c r="AI822" s="757"/>
      <c r="AJ822" s="757"/>
      <c r="AK822" s="757"/>
      <c r="AL822" s="757"/>
      <c r="AM822" s="757"/>
      <c r="AN822" s="757"/>
      <c r="AO822" s="757"/>
      <c r="AP822" s="757"/>
      <c r="AQ822" s="757"/>
      <c r="AR822" s="757"/>
      <c r="AS822" s="757"/>
      <c r="AT822" s="757"/>
      <c r="AU822" s="757"/>
      <c r="AV822" s="757"/>
      <c r="AW822" s="757"/>
      <c r="AX822" s="757"/>
      <c r="AY822" s="757"/>
      <c r="AZ822" s="75"/>
      <c r="BA822" s="2"/>
      <c r="BB822" s="2"/>
      <c r="BC822" s="2"/>
      <c r="BD822" s="2"/>
    </row>
    <row r="823" spans="1:56">
      <c r="A823" s="781">
        <v>1</v>
      </c>
      <c r="B823" s="782">
        <v>226</v>
      </c>
      <c r="C823" s="783">
        <v>45014</v>
      </c>
      <c r="D823" s="786" t="s">
        <v>630</v>
      </c>
      <c r="E823" s="807"/>
      <c r="F823" s="798">
        <v>19047.619047619046</v>
      </c>
      <c r="G823" s="798">
        <v>952.38095238095411</v>
      </c>
      <c r="H823" s="1592">
        <f t="shared" si="36"/>
        <v>20000</v>
      </c>
      <c r="I823" s="754" t="str">
        <f>IFERROR(VLOOKUP(B823,Mychart!$A$125:$B$911,2,FALSE),"-")</f>
        <v>SALEM HESSA</v>
      </c>
      <c r="J823" s="753">
        <f t="shared" si="37"/>
        <v>3</v>
      </c>
      <c r="K823" s="1540">
        <f t="shared" si="38"/>
        <v>2023</v>
      </c>
      <c r="L823" s="757"/>
      <c r="M823" s="757"/>
      <c r="N823" s="757"/>
      <c r="O823" s="757"/>
      <c r="P823" s="757"/>
      <c r="Q823" s="757"/>
      <c r="R823" s="757"/>
      <c r="S823" s="757"/>
      <c r="T823" s="757"/>
      <c r="U823" s="757"/>
      <c r="V823" s="757"/>
      <c r="W823" s="757"/>
      <c r="X823" s="757"/>
      <c r="Y823" s="757"/>
      <c r="Z823" s="757"/>
      <c r="AA823" s="757"/>
      <c r="AB823" s="757"/>
      <c r="AC823" s="757"/>
      <c r="AD823" s="757"/>
      <c r="AE823" s="757"/>
      <c r="AF823" s="757"/>
      <c r="AG823" s="757"/>
      <c r="AH823" s="757"/>
      <c r="AI823" s="757"/>
      <c r="AJ823" s="757"/>
      <c r="AK823" s="757"/>
      <c r="AL823" s="757"/>
      <c r="AM823" s="757"/>
      <c r="AN823" s="757"/>
      <c r="AO823" s="757"/>
      <c r="AP823" s="757"/>
      <c r="AQ823" s="757"/>
      <c r="AR823" s="757"/>
      <c r="AS823" s="757"/>
      <c r="AT823" s="757"/>
      <c r="AU823" s="757"/>
      <c r="AV823" s="757"/>
      <c r="AW823" s="757"/>
      <c r="AX823" s="757"/>
      <c r="AY823" s="757"/>
      <c r="AZ823" s="75"/>
      <c r="BA823" s="2"/>
      <c r="BB823" s="2"/>
      <c r="BC823" s="2"/>
      <c r="BD823" s="2"/>
    </row>
    <row r="824" spans="1:56">
      <c r="A824" s="781">
        <v>2</v>
      </c>
      <c r="B824" s="782">
        <v>226</v>
      </c>
      <c r="C824" s="783"/>
      <c r="D824" s="783" t="s">
        <v>421</v>
      </c>
      <c r="E824" s="808">
        <v>500</v>
      </c>
      <c r="F824" s="799"/>
      <c r="G824" s="799"/>
      <c r="H824" s="1592">
        <f t="shared" si="36"/>
        <v>0</v>
      </c>
      <c r="I824" s="754" t="str">
        <f>IFERROR(VLOOKUP(B824,Mychart!$A$125:$B$911,2,FALSE),"-")</f>
        <v>SALEM HESSA</v>
      </c>
      <c r="J824" s="753" t="str">
        <f t="shared" si="37"/>
        <v>-</v>
      </c>
      <c r="K824" s="1540">
        <f t="shared" si="38"/>
        <v>1900</v>
      </c>
      <c r="L824" s="757"/>
      <c r="M824" s="757"/>
      <c r="N824" s="757"/>
      <c r="O824" s="757"/>
      <c r="P824" s="757"/>
      <c r="Q824" s="757"/>
      <c r="R824" s="757"/>
      <c r="S824" s="757"/>
      <c r="T824" s="757"/>
      <c r="U824" s="757"/>
      <c r="V824" s="757"/>
      <c r="W824" s="757"/>
      <c r="X824" s="757"/>
      <c r="Y824" s="757"/>
      <c r="Z824" s="757"/>
      <c r="AA824" s="757"/>
      <c r="AB824" s="757"/>
      <c r="AC824" s="757"/>
      <c r="AD824" s="757"/>
      <c r="AE824" s="757"/>
      <c r="AF824" s="757"/>
      <c r="AG824" s="757"/>
      <c r="AH824" s="757"/>
      <c r="AI824" s="757"/>
      <c r="AJ824" s="757"/>
      <c r="AK824" s="757"/>
      <c r="AL824" s="757"/>
      <c r="AM824" s="757"/>
      <c r="AN824" s="757"/>
      <c r="AO824" s="757"/>
      <c r="AP824" s="757"/>
      <c r="AQ824" s="757"/>
      <c r="AR824" s="757"/>
      <c r="AS824" s="757"/>
      <c r="AT824" s="757"/>
      <c r="AU824" s="757"/>
      <c r="AV824" s="757"/>
      <c r="AW824" s="757"/>
      <c r="AX824" s="757"/>
      <c r="AY824" s="757"/>
      <c r="AZ824" s="75"/>
      <c r="BA824" s="2"/>
      <c r="BB824" s="2"/>
      <c r="BC824" s="2"/>
      <c r="BD824" s="2"/>
    </row>
    <row r="825" spans="1:56">
      <c r="A825" s="781">
        <v>2</v>
      </c>
      <c r="B825" s="782">
        <v>226</v>
      </c>
      <c r="C825" s="783">
        <v>45443</v>
      </c>
      <c r="D825" s="783" t="s">
        <v>191</v>
      </c>
      <c r="E825" s="808">
        <v>4074</v>
      </c>
      <c r="F825" s="799"/>
      <c r="G825" s="799"/>
      <c r="H825" s="1592">
        <f t="shared" si="36"/>
        <v>0</v>
      </c>
      <c r="I825" s="754" t="str">
        <f>IFERROR(VLOOKUP(B825,Mychart!$A$125:$B$911,2,FALSE),"-")</f>
        <v>SALEM HESSA</v>
      </c>
      <c r="J825" s="753">
        <f t="shared" si="37"/>
        <v>5</v>
      </c>
      <c r="K825" s="1540">
        <f t="shared" si="38"/>
        <v>2024</v>
      </c>
      <c r="L825" s="757"/>
      <c r="M825" s="757"/>
      <c r="N825" s="757"/>
      <c r="O825" s="757"/>
      <c r="P825" s="757"/>
      <c r="Q825" s="757"/>
      <c r="R825" s="757"/>
      <c r="S825" s="757"/>
      <c r="T825" s="757"/>
      <c r="U825" s="757"/>
      <c r="V825" s="757"/>
      <c r="W825" s="757"/>
      <c r="X825" s="757"/>
      <c r="Y825" s="757"/>
      <c r="Z825" s="757"/>
      <c r="AA825" s="757"/>
      <c r="AB825" s="757"/>
      <c r="AC825" s="757"/>
      <c r="AD825" s="757"/>
      <c r="AE825" s="757"/>
      <c r="AF825" s="757"/>
      <c r="AG825" s="757"/>
      <c r="AH825" s="757"/>
      <c r="AI825" s="757"/>
      <c r="AJ825" s="757"/>
      <c r="AK825" s="757"/>
      <c r="AL825" s="757"/>
      <c r="AM825" s="757"/>
      <c r="AN825" s="757"/>
      <c r="AO825" s="757"/>
      <c r="AP825" s="757"/>
      <c r="AQ825" s="757"/>
      <c r="AR825" s="757"/>
      <c r="AS825" s="757"/>
      <c r="AT825" s="757"/>
      <c r="AU825" s="757"/>
      <c r="AV825" s="757"/>
      <c r="AW825" s="757"/>
      <c r="AX825" s="757"/>
      <c r="AY825" s="757"/>
      <c r="AZ825" s="75"/>
      <c r="BA825" s="2"/>
      <c r="BB825" s="2"/>
      <c r="BC825" s="2"/>
      <c r="BD825" s="2"/>
    </row>
    <row r="826" spans="1:56">
      <c r="A826" s="781">
        <v>2</v>
      </c>
      <c r="B826" s="782">
        <v>226</v>
      </c>
      <c r="C826" s="783">
        <v>45436</v>
      </c>
      <c r="D826" s="783" t="s">
        <v>258</v>
      </c>
      <c r="E826" s="808">
        <v>4234.24</v>
      </c>
      <c r="F826" s="799"/>
      <c r="G826" s="799"/>
      <c r="H826" s="1592">
        <f t="shared" si="36"/>
        <v>0</v>
      </c>
      <c r="I826" s="754" t="str">
        <f>IFERROR(VLOOKUP(B826,Mychart!$A$125:$B$911,2,FALSE),"-")</f>
        <v>SALEM HESSA</v>
      </c>
      <c r="J826" s="753">
        <f t="shared" si="37"/>
        <v>5</v>
      </c>
      <c r="K826" s="1540">
        <f t="shared" si="38"/>
        <v>2024</v>
      </c>
      <c r="L826" s="757"/>
      <c r="M826" s="757"/>
      <c r="N826" s="757"/>
      <c r="O826" s="757"/>
      <c r="P826" s="757"/>
      <c r="Q826" s="757"/>
      <c r="R826" s="757"/>
      <c r="S826" s="757"/>
      <c r="T826" s="757"/>
      <c r="U826" s="757"/>
      <c r="V826" s="757"/>
      <c r="W826" s="757"/>
      <c r="X826" s="757"/>
      <c r="Y826" s="757"/>
      <c r="Z826" s="757"/>
      <c r="AA826" s="757"/>
      <c r="AB826" s="757"/>
      <c r="AC826" s="757"/>
      <c r="AD826" s="757"/>
      <c r="AE826" s="757"/>
      <c r="AF826" s="757"/>
      <c r="AG826" s="757"/>
      <c r="AH826" s="757"/>
      <c r="AI826" s="757"/>
      <c r="AJ826" s="757"/>
      <c r="AK826" s="757"/>
      <c r="AL826" s="757"/>
      <c r="AM826" s="757"/>
      <c r="AN826" s="757"/>
      <c r="AO826" s="757"/>
      <c r="AP826" s="757"/>
      <c r="AQ826" s="757"/>
      <c r="AR826" s="757"/>
      <c r="AS826" s="757"/>
      <c r="AT826" s="757"/>
      <c r="AU826" s="757"/>
      <c r="AV826" s="757"/>
      <c r="AW826" s="757"/>
      <c r="AX826" s="757"/>
      <c r="AY826" s="757"/>
      <c r="AZ826" s="75"/>
      <c r="BA826" s="2"/>
      <c r="BB826" s="2"/>
      <c r="BC826" s="2"/>
      <c r="BD826" s="2"/>
    </row>
    <row r="827" spans="1:56">
      <c r="A827" s="781">
        <v>1</v>
      </c>
      <c r="B827" s="782">
        <v>194</v>
      </c>
      <c r="C827" s="783">
        <v>44551</v>
      </c>
      <c r="D827" s="786" t="s">
        <v>686</v>
      </c>
      <c r="E827" s="807"/>
      <c r="F827" s="798">
        <v>60000</v>
      </c>
      <c r="G827" s="799"/>
      <c r="H827" s="1592">
        <f t="shared" si="36"/>
        <v>60000</v>
      </c>
      <c r="I827" s="754" t="str">
        <f>IFERROR(VLOOKUP(B827,Mychart!$A$125:$B$911,2,FALSE),"-")</f>
        <v>TCC - MARIAM OBAID</v>
      </c>
      <c r="J827" s="753">
        <f t="shared" si="37"/>
        <v>12</v>
      </c>
      <c r="K827" s="1540">
        <f t="shared" si="38"/>
        <v>2021</v>
      </c>
      <c r="L827" s="757"/>
      <c r="M827" s="757"/>
      <c r="N827" s="757"/>
      <c r="O827" s="757"/>
      <c r="P827" s="757"/>
      <c r="Q827" s="757"/>
      <c r="R827" s="757"/>
      <c r="S827" s="757"/>
      <c r="T827" s="757"/>
      <c r="U827" s="757"/>
      <c r="V827" s="757"/>
      <c r="W827" s="757"/>
      <c r="X827" s="757"/>
      <c r="Y827" s="757"/>
      <c r="Z827" s="757"/>
      <c r="AA827" s="757"/>
      <c r="AB827" s="757"/>
      <c r="AC827" s="757"/>
      <c r="AD827" s="757"/>
      <c r="AE827" s="757"/>
      <c r="AF827" s="757"/>
      <c r="AG827" s="757"/>
      <c r="AH827" s="757"/>
      <c r="AI827" s="757"/>
      <c r="AJ827" s="757"/>
      <c r="AK827" s="757"/>
      <c r="AL827" s="757"/>
      <c r="AM827" s="757"/>
      <c r="AN827" s="757"/>
      <c r="AO827" s="757"/>
      <c r="AP827" s="757"/>
      <c r="AQ827" s="757"/>
      <c r="AR827" s="757"/>
      <c r="AS827" s="757"/>
      <c r="AT827" s="757"/>
      <c r="AU827" s="757"/>
      <c r="AV827" s="757"/>
      <c r="AW827" s="757"/>
      <c r="AX827" s="757"/>
      <c r="AY827" s="757"/>
      <c r="AZ827" s="75"/>
      <c r="BA827" s="2"/>
      <c r="BB827" s="2"/>
      <c r="BC827" s="2"/>
      <c r="BD827" s="2"/>
    </row>
    <row r="828" spans="1:56">
      <c r="A828" s="781">
        <v>1</v>
      </c>
      <c r="B828" s="782">
        <v>194</v>
      </c>
      <c r="C828" s="783">
        <v>44717</v>
      </c>
      <c r="D828" s="784" t="s">
        <v>816</v>
      </c>
      <c r="E828" s="807"/>
      <c r="F828" s="798">
        <v>25000</v>
      </c>
      <c r="G828" s="799"/>
      <c r="H828" s="1592">
        <f t="shared" si="36"/>
        <v>25000</v>
      </c>
      <c r="I828" s="754" t="str">
        <f>IFERROR(VLOOKUP(B828,Mychart!$A$125:$B$911,2,FALSE),"-")</f>
        <v>TCC - MARIAM OBAID</v>
      </c>
      <c r="J828" s="753">
        <f t="shared" si="37"/>
        <v>6</v>
      </c>
      <c r="K828" s="1540">
        <f t="shared" si="38"/>
        <v>2022</v>
      </c>
      <c r="L828" s="757"/>
      <c r="M828" s="757"/>
      <c r="N828" s="757"/>
      <c r="O828" s="757"/>
      <c r="P828" s="757"/>
      <c r="Q828" s="757"/>
      <c r="R828" s="757"/>
      <c r="S828" s="757"/>
      <c r="T828" s="757"/>
      <c r="U828" s="757"/>
      <c r="V828" s="757"/>
      <c r="W828" s="757"/>
      <c r="X828" s="757"/>
      <c r="Y828" s="757"/>
      <c r="Z828" s="757"/>
      <c r="AA828" s="757"/>
      <c r="AB828" s="757"/>
      <c r="AC828" s="757"/>
      <c r="AD828" s="757"/>
      <c r="AE828" s="757"/>
      <c r="AF828" s="757"/>
      <c r="AG828" s="757"/>
      <c r="AH828" s="757"/>
      <c r="AI828" s="757"/>
      <c r="AJ828" s="757"/>
      <c r="AK828" s="757"/>
      <c r="AL828" s="757"/>
      <c r="AM828" s="757"/>
      <c r="AN828" s="757"/>
      <c r="AO828" s="757"/>
      <c r="AP828" s="757"/>
      <c r="AQ828" s="757"/>
      <c r="AR828" s="757"/>
      <c r="AS828" s="757"/>
      <c r="AT828" s="757"/>
      <c r="AU828" s="757"/>
      <c r="AV828" s="757"/>
      <c r="AW828" s="757"/>
      <c r="AX828" s="757"/>
      <c r="AY828" s="757"/>
      <c r="AZ828" s="75"/>
      <c r="BA828" s="2"/>
      <c r="BB828" s="2"/>
      <c r="BC828" s="2"/>
      <c r="BD828" s="2"/>
    </row>
    <row r="829" spans="1:56">
      <c r="A829" s="781">
        <v>1</v>
      </c>
      <c r="B829" s="782">
        <v>194</v>
      </c>
      <c r="C829" s="783">
        <v>44798</v>
      </c>
      <c r="D829" s="784" t="s">
        <v>817</v>
      </c>
      <c r="E829" s="807"/>
      <c r="F829" s="798">
        <v>10500</v>
      </c>
      <c r="G829" s="799"/>
      <c r="H829" s="1592">
        <f t="shared" si="36"/>
        <v>10500</v>
      </c>
      <c r="I829" s="754" t="str">
        <f>IFERROR(VLOOKUP(B829,Mychart!$A$125:$B$911,2,FALSE),"-")</f>
        <v>TCC - MARIAM OBAID</v>
      </c>
      <c r="J829" s="753">
        <f t="shared" si="37"/>
        <v>8</v>
      </c>
      <c r="K829" s="1540">
        <f t="shared" si="38"/>
        <v>2022</v>
      </c>
      <c r="L829" s="757"/>
      <c r="M829" s="757"/>
      <c r="N829" s="757"/>
      <c r="O829" s="757"/>
      <c r="P829" s="757"/>
      <c r="Q829" s="757"/>
      <c r="R829" s="757"/>
      <c r="S829" s="757"/>
      <c r="T829" s="757"/>
      <c r="U829" s="757"/>
      <c r="V829" s="757"/>
      <c r="W829" s="757"/>
      <c r="X829" s="757"/>
      <c r="Y829" s="757"/>
      <c r="Z829" s="757"/>
      <c r="AA829" s="757"/>
      <c r="AB829" s="757"/>
      <c r="AC829" s="757"/>
      <c r="AD829" s="757"/>
      <c r="AE829" s="757"/>
      <c r="AF829" s="757"/>
      <c r="AG829" s="757"/>
      <c r="AH829" s="757"/>
      <c r="AI829" s="757"/>
      <c r="AJ829" s="757"/>
      <c r="AK829" s="757"/>
      <c r="AL829" s="757"/>
      <c r="AM829" s="757"/>
      <c r="AN829" s="757"/>
      <c r="AO829" s="757"/>
      <c r="AP829" s="757"/>
      <c r="AQ829" s="757"/>
      <c r="AR829" s="757"/>
      <c r="AS829" s="757"/>
      <c r="AT829" s="757"/>
      <c r="AU829" s="757"/>
      <c r="AV829" s="757"/>
      <c r="AW829" s="757"/>
      <c r="AX829" s="757"/>
      <c r="AY829" s="757"/>
      <c r="AZ829" s="75"/>
      <c r="BA829" s="2"/>
      <c r="BB829" s="2"/>
      <c r="BC829" s="2"/>
      <c r="BD829" s="2"/>
    </row>
    <row r="830" spans="1:56">
      <c r="A830" s="781">
        <v>1</v>
      </c>
      <c r="B830" s="782">
        <v>194</v>
      </c>
      <c r="C830" s="783">
        <v>45194</v>
      </c>
      <c r="D830" s="784" t="s">
        <v>818</v>
      </c>
      <c r="E830" s="807"/>
      <c r="F830" s="798">
        <v>10000</v>
      </c>
      <c r="G830" s="799"/>
      <c r="H830" s="1592">
        <f t="shared" si="36"/>
        <v>10000</v>
      </c>
      <c r="I830" s="754" t="str">
        <f>IFERROR(VLOOKUP(B830,Mychart!$A$125:$B$911,2,FALSE),"-")</f>
        <v>TCC - MARIAM OBAID</v>
      </c>
      <c r="J830" s="753">
        <f t="shared" si="37"/>
        <v>9</v>
      </c>
      <c r="K830" s="1540">
        <f t="shared" si="38"/>
        <v>2023</v>
      </c>
      <c r="L830" s="757"/>
      <c r="M830" s="757"/>
      <c r="N830" s="757"/>
      <c r="O830" s="757"/>
      <c r="P830" s="757"/>
      <c r="Q830" s="757"/>
      <c r="R830" s="757"/>
      <c r="S830" s="757"/>
      <c r="T830" s="757"/>
      <c r="U830" s="757"/>
      <c r="V830" s="757"/>
      <c r="W830" s="757"/>
      <c r="X830" s="757"/>
      <c r="Y830" s="757"/>
      <c r="Z830" s="757"/>
      <c r="AA830" s="757"/>
      <c r="AB830" s="757"/>
      <c r="AC830" s="757"/>
      <c r="AD830" s="757"/>
      <c r="AE830" s="757"/>
      <c r="AF830" s="757"/>
      <c r="AG830" s="757"/>
      <c r="AH830" s="757"/>
      <c r="AI830" s="757"/>
      <c r="AJ830" s="757"/>
      <c r="AK830" s="757"/>
      <c r="AL830" s="757"/>
      <c r="AM830" s="757"/>
      <c r="AN830" s="757"/>
      <c r="AO830" s="757"/>
      <c r="AP830" s="757"/>
      <c r="AQ830" s="757"/>
      <c r="AR830" s="757"/>
      <c r="AS830" s="757"/>
      <c r="AT830" s="757"/>
      <c r="AU830" s="757"/>
      <c r="AV830" s="757"/>
      <c r="AW830" s="757"/>
      <c r="AX830" s="757"/>
      <c r="AY830" s="757"/>
      <c r="AZ830" s="75"/>
      <c r="BA830" s="2"/>
      <c r="BB830" s="2"/>
      <c r="BC830" s="2"/>
      <c r="BD830" s="2"/>
    </row>
    <row r="831" spans="1:56">
      <c r="A831" s="781">
        <v>2</v>
      </c>
      <c r="B831" s="782">
        <v>194</v>
      </c>
      <c r="C831" s="783"/>
      <c r="D831" s="783" t="s">
        <v>384</v>
      </c>
      <c r="E831" s="808">
        <v>9236</v>
      </c>
      <c r="F831" s="799"/>
      <c r="G831" s="799"/>
      <c r="H831" s="1592">
        <f t="shared" si="36"/>
        <v>0</v>
      </c>
      <c r="I831" s="754" t="str">
        <f>IFERROR(VLOOKUP(B831,Mychart!$A$125:$B$911,2,FALSE),"-")</f>
        <v>TCC - MARIAM OBAID</v>
      </c>
      <c r="J831" s="753" t="str">
        <f t="shared" si="37"/>
        <v>-</v>
      </c>
      <c r="K831" s="1540">
        <f t="shared" si="38"/>
        <v>1900</v>
      </c>
      <c r="L831" s="757"/>
      <c r="M831" s="757"/>
      <c r="N831" s="757"/>
      <c r="O831" s="757"/>
      <c r="P831" s="757"/>
      <c r="Q831" s="757"/>
      <c r="R831" s="757"/>
      <c r="S831" s="757"/>
      <c r="T831" s="757"/>
      <c r="U831" s="757"/>
      <c r="V831" s="757"/>
      <c r="W831" s="757"/>
      <c r="X831" s="757"/>
      <c r="Y831" s="757"/>
      <c r="Z831" s="757"/>
      <c r="AA831" s="757"/>
      <c r="AB831" s="757"/>
      <c r="AC831" s="757"/>
      <c r="AD831" s="757"/>
      <c r="AE831" s="757"/>
      <c r="AF831" s="757"/>
      <c r="AG831" s="757"/>
      <c r="AH831" s="757"/>
      <c r="AI831" s="757"/>
      <c r="AJ831" s="757"/>
      <c r="AK831" s="757"/>
      <c r="AL831" s="757"/>
      <c r="AM831" s="757"/>
      <c r="AN831" s="757"/>
      <c r="AO831" s="757"/>
      <c r="AP831" s="757"/>
      <c r="AQ831" s="757"/>
      <c r="AR831" s="757"/>
      <c r="AS831" s="757"/>
      <c r="AT831" s="757"/>
      <c r="AU831" s="757"/>
      <c r="AV831" s="757"/>
      <c r="AW831" s="757"/>
      <c r="AX831" s="757"/>
      <c r="AY831" s="757"/>
      <c r="AZ831" s="75"/>
      <c r="BA831" s="2"/>
      <c r="BB831" s="2"/>
      <c r="BC831" s="2"/>
      <c r="BD831" s="2"/>
    </row>
    <row r="832" spans="1:56">
      <c r="A832" s="781">
        <v>2</v>
      </c>
      <c r="B832" s="782">
        <v>194</v>
      </c>
      <c r="C832" s="783"/>
      <c r="D832" s="783" t="s">
        <v>384</v>
      </c>
      <c r="E832" s="808">
        <v>4671</v>
      </c>
      <c r="F832" s="799"/>
      <c r="G832" s="799"/>
      <c r="H832" s="1592">
        <f t="shared" si="36"/>
        <v>0</v>
      </c>
      <c r="I832" s="754" t="str">
        <f>IFERROR(VLOOKUP(B832,Mychart!$A$125:$B$911,2,FALSE),"-")</f>
        <v>TCC - MARIAM OBAID</v>
      </c>
      <c r="J832" s="753" t="str">
        <f t="shared" si="37"/>
        <v>-</v>
      </c>
      <c r="K832" s="1540">
        <f t="shared" si="38"/>
        <v>1900</v>
      </c>
      <c r="L832" s="757"/>
      <c r="M832" s="757"/>
      <c r="N832" s="757"/>
      <c r="O832" s="757"/>
      <c r="P832" s="757"/>
      <c r="Q832" s="757"/>
      <c r="R832" s="757"/>
      <c r="S832" s="757"/>
      <c r="T832" s="757"/>
      <c r="U832" s="757"/>
      <c r="V832" s="757"/>
      <c r="W832" s="757"/>
      <c r="X832" s="757"/>
      <c r="Y832" s="757"/>
      <c r="Z832" s="757"/>
      <c r="AA832" s="757"/>
      <c r="AB832" s="757"/>
      <c r="AC832" s="757"/>
      <c r="AD832" s="757"/>
      <c r="AE832" s="757"/>
      <c r="AF832" s="757"/>
      <c r="AG832" s="757"/>
      <c r="AH832" s="757"/>
      <c r="AI832" s="757"/>
      <c r="AJ832" s="757"/>
      <c r="AK832" s="757"/>
      <c r="AL832" s="757"/>
      <c r="AM832" s="757"/>
      <c r="AN832" s="757"/>
      <c r="AO832" s="757"/>
      <c r="AP832" s="757"/>
      <c r="AQ832" s="757"/>
      <c r="AR832" s="757"/>
      <c r="AS832" s="757"/>
      <c r="AT832" s="757"/>
      <c r="AU832" s="757"/>
      <c r="AV832" s="757"/>
      <c r="AW832" s="757"/>
      <c r="AX832" s="757"/>
      <c r="AY832" s="757"/>
      <c r="AZ832" s="75"/>
      <c r="BA832" s="2"/>
      <c r="BB832" s="2"/>
      <c r="BC832" s="2"/>
      <c r="BD832" s="2"/>
    </row>
    <row r="833" spans="1:56">
      <c r="A833" s="781">
        <v>2</v>
      </c>
      <c r="B833" s="782">
        <v>194</v>
      </c>
      <c r="C833" s="783"/>
      <c r="D833" s="783" t="s">
        <v>384</v>
      </c>
      <c r="E833" s="808">
        <v>5103</v>
      </c>
      <c r="F833" s="799"/>
      <c r="G833" s="799"/>
      <c r="H833" s="1592">
        <f t="shared" si="36"/>
        <v>0</v>
      </c>
      <c r="I833" s="754" t="str">
        <f>IFERROR(VLOOKUP(B833,Mychart!$A$125:$B$911,2,FALSE),"-")</f>
        <v>TCC - MARIAM OBAID</v>
      </c>
      <c r="J833" s="753" t="str">
        <f t="shared" si="37"/>
        <v>-</v>
      </c>
      <c r="K833" s="1540">
        <f t="shared" si="38"/>
        <v>1900</v>
      </c>
      <c r="L833" s="757"/>
      <c r="M833" s="757"/>
      <c r="N833" s="757"/>
      <c r="O833" s="757"/>
      <c r="P833" s="757"/>
      <c r="Q833" s="757"/>
      <c r="R833" s="757"/>
      <c r="S833" s="757"/>
      <c r="T833" s="757"/>
      <c r="U833" s="757"/>
      <c r="V833" s="757"/>
      <c r="W833" s="757"/>
      <c r="X833" s="757"/>
      <c r="Y833" s="757"/>
      <c r="Z833" s="757"/>
      <c r="AA833" s="757"/>
      <c r="AB833" s="757"/>
      <c r="AC833" s="757"/>
      <c r="AD833" s="757"/>
      <c r="AE833" s="757"/>
      <c r="AF833" s="757"/>
      <c r="AG833" s="757"/>
      <c r="AH833" s="757"/>
      <c r="AI833" s="757"/>
      <c r="AJ833" s="757"/>
      <c r="AK833" s="757"/>
      <c r="AL833" s="757"/>
      <c r="AM833" s="757"/>
      <c r="AN833" s="757"/>
      <c r="AO833" s="757"/>
      <c r="AP833" s="757"/>
      <c r="AQ833" s="757"/>
      <c r="AR833" s="757"/>
      <c r="AS833" s="757"/>
      <c r="AT833" s="757"/>
      <c r="AU833" s="757"/>
      <c r="AV833" s="757"/>
      <c r="AW833" s="757"/>
      <c r="AX833" s="757"/>
      <c r="AY833" s="757"/>
      <c r="AZ833" s="75"/>
      <c r="BA833" s="2"/>
      <c r="BB833" s="2"/>
      <c r="BC833" s="2"/>
      <c r="BD833" s="2"/>
    </row>
    <row r="834" spans="1:56">
      <c r="A834" s="781">
        <v>2</v>
      </c>
      <c r="B834" s="782">
        <v>194</v>
      </c>
      <c r="C834" s="783"/>
      <c r="D834" s="783" t="s">
        <v>384</v>
      </c>
      <c r="E834" s="808">
        <v>32886</v>
      </c>
      <c r="F834" s="799"/>
      <c r="G834" s="799"/>
      <c r="H834" s="1592">
        <f t="shared" si="36"/>
        <v>0</v>
      </c>
      <c r="I834" s="754" t="str">
        <f>IFERROR(VLOOKUP(B834,Mychart!$A$125:$B$911,2,FALSE),"-")</f>
        <v>TCC - MARIAM OBAID</v>
      </c>
      <c r="J834" s="753" t="str">
        <f t="shared" si="37"/>
        <v>-</v>
      </c>
      <c r="K834" s="1540">
        <f t="shared" si="38"/>
        <v>1900</v>
      </c>
      <c r="L834" s="757"/>
      <c r="M834" s="757"/>
      <c r="N834" s="757"/>
      <c r="O834" s="757"/>
      <c r="P834" s="757"/>
      <c r="Q834" s="757"/>
      <c r="R834" s="757"/>
      <c r="S834" s="757"/>
      <c r="T834" s="757"/>
      <c r="U834" s="757"/>
      <c r="V834" s="757"/>
      <c r="W834" s="757"/>
      <c r="X834" s="757"/>
      <c r="Y834" s="757"/>
      <c r="Z834" s="757"/>
      <c r="AA834" s="757"/>
      <c r="AB834" s="757"/>
      <c r="AC834" s="757"/>
      <c r="AD834" s="757"/>
      <c r="AE834" s="757"/>
      <c r="AF834" s="757"/>
      <c r="AG834" s="757"/>
      <c r="AH834" s="757"/>
      <c r="AI834" s="757"/>
      <c r="AJ834" s="757"/>
      <c r="AK834" s="757"/>
      <c r="AL834" s="757"/>
      <c r="AM834" s="757"/>
      <c r="AN834" s="757"/>
      <c r="AO834" s="757"/>
      <c r="AP834" s="757"/>
      <c r="AQ834" s="757"/>
      <c r="AR834" s="757"/>
      <c r="AS834" s="757"/>
      <c r="AT834" s="757"/>
      <c r="AU834" s="757"/>
      <c r="AV834" s="757"/>
      <c r="AW834" s="757"/>
      <c r="AX834" s="757"/>
      <c r="AY834" s="757"/>
      <c r="AZ834" s="75"/>
      <c r="BA834" s="2"/>
      <c r="BB834" s="2"/>
      <c r="BC834" s="2"/>
      <c r="BD834" s="2"/>
    </row>
    <row r="835" spans="1:56">
      <c r="A835" s="781">
        <v>2</v>
      </c>
      <c r="B835" s="782">
        <v>194</v>
      </c>
      <c r="C835" s="783"/>
      <c r="D835" s="783" t="s">
        <v>432</v>
      </c>
      <c r="E835" s="808">
        <v>500</v>
      </c>
      <c r="F835" s="799"/>
      <c r="G835" s="799"/>
      <c r="H835" s="1592">
        <f t="shared" si="36"/>
        <v>0</v>
      </c>
      <c r="I835" s="754" t="str">
        <f>IFERROR(VLOOKUP(B835,Mychart!$A$125:$B$911,2,FALSE),"-")</f>
        <v>TCC - MARIAM OBAID</v>
      </c>
      <c r="J835" s="753" t="str">
        <f t="shared" si="37"/>
        <v>-</v>
      </c>
      <c r="K835" s="1540">
        <f t="shared" si="38"/>
        <v>1900</v>
      </c>
      <c r="L835" s="757"/>
      <c r="M835" s="757"/>
      <c r="N835" s="757"/>
      <c r="O835" s="757"/>
      <c r="P835" s="757"/>
      <c r="Q835" s="757"/>
      <c r="R835" s="757"/>
      <c r="S835" s="757"/>
      <c r="T835" s="757"/>
      <c r="U835" s="757"/>
      <c r="V835" s="757"/>
      <c r="W835" s="757"/>
      <c r="X835" s="757"/>
      <c r="Y835" s="757"/>
      <c r="Z835" s="757"/>
      <c r="AA835" s="757"/>
      <c r="AB835" s="757"/>
      <c r="AC835" s="757"/>
      <c r="AD835" s="757"/>
      <c r="AE835" s="757"/>
      <c r="AF835" s="757"/>
      <c r="AG835" s="757"/>
      <c r="AH835" s="757"/>
      <c r="AI835" s="757"/>
      <c r="AJ835" s="757"/>
      <c r="AK835" s="757"/>
      <c r="AL835" s="757"/>
      <c r="AM835" s="757"/>
      <c r="AN835" s="757"/>
      <c r="AO835" s="757"/>
      <c r="AP835" s="757"/>
      <c r="AQ835" s="757"/>
      <c r="AR835" s="757"/>
      <c r="AS835" s="757"/>
      <c r="AT835" s="757"/>
      <c r="AU835" s="757"/>
      <c r="AV835" s="757"/>
      <c r="AW835" s="757"/>
      <c r="AX835" s="757"/>
      <c r="AY835" s="757"/>
      <c r="AZ835" s="75"/>
      <c r="BA835" s="2"/>
      <c r="BB835" s="2"/>
      <c r="BC835" s="2"/>
      <c r="BD835" s="2"/>
    </row>
    <row r="836" spans="1:56">
      <c r="A836" s="781">
        <v>2</v>
      </c>
      <c r="B836" s="782">
        <v>194</v>
      </c>
      <c r="C836" s="783"/>
      <c r="D836" s="783" t="s">
        <v>258</v>
      </c>
      <c r="E836" s="808">
        <v>4090</v>
      </c>
      <c r="F836" s="799"/>
      <c r="G836" s="799"/>
      <c r="H836" s="1592">
        <f t="shared" si="36"/>
        <v>0</v>
      </c>
      <c r="I836" s="754" t="str">
        <f>IFERROR(VLOOKUP(B836,Mychart!$A$125:$B$911,2,FALSE),"-")</f>
        <v>TCC - MARIAM OBAID</v>
      </c>
      <c r="J836" s="753" t="str">
        <f t="shared" si="37"/>
        <v>-</v>
      </c>
      <c r="K836" s="1540">
        <f t="shared" si="38"/>
        <v>1900</v>
      </c>
      <c r="L836" s="757"/>
      <c r="M836" s="757"/>
      <c r="N836" s="757"/>
      <c r="O836" s="757"/>
      <c r="P836" s="757"/>
      <c r="Q836" s="757"/>
      <c r="R836" s="757"/>
      <c r="S836" s="757"/>
      <c r="T836" s="757"/>
      <c r="U836" s="757"/>
      <c r="V836" s="757"/>
      <c r="W836" s="757"/>
      <c r="X836" s="757"/>
      <c r="Y836" s="757"/>
      <c r="Z836" s="757"/>
      <c r="AA836" s="757"/>
      <c r="AB836" s="757"/>
      <c r="AC836" s="757"/>
      <c r="AD836" s="757"/>
      <c r="AE836" s="757"/>
      <c r="AF836" s="757"/>
      <c r="AG836" s="757"/>
      <c r="AH836" s="757"/>
      <c r="AI836" s="757"/>
      <c r="AJ836" s="757"/>
      <c r="AK836" s="757"/>
      <c r="AL836" s="757"/>
      <c r="AM836" s="757"/>
      <c r="AN836" s="757"/>
      <c r="AO836" s="757"/>
      <c r="AP836" s="757"/>
      <c r="AQ836" s="757"/>
      <c r="AR836" s="757"/>
      <c r="AS836" s="757"/>
      <c r="AT836" s="757"/>
      <c r="AU836" s="757"/>
      <c r="AV836" s="757"/>
      <c r="AW836" s="757"/>
      <c r="AX836" s="757"/>
      <c r="AY836" s="757"/>
      <c r="AZ836" s="75"/>
      <c r="BA836" s="2"/>
      <c r="BB836" s="2"/>
      <c r="BC836" s="2"/>
      <c r="BD836" s="2"/>
    </row>
    <row r="837" spans="1:56">
      <c r="A837" s="781">
        <v>2</v>
      </c>
      <c r="B837" s="782">
        <v>194</v>
      </c>
      <c r="C837" s="783"/>
      <c r="D837" s="783" t="s">
        <v>819</v>
      </c>
      <c r="E837" s="808">
        <v>15000</v>
      </c>
      <c r="F837" s="799"/>
      <c r="G837" s="799"/>
      <c r="H837" s="1592">
        <f t="shared" si="36"/>
        <v>0</v>
      </c>
      <c r="I837" s="754" t="str">
        <f>IFERROR(VLOOKUP(B837,Mychart!$A$125:$B$911,2,FALSE),"-")</f>
        <v>TCC - MARIAM OBAID</v>
      </c>
      <c r="J837" s="753" t="str">
        <f t="shared" si="37"/>
        <v>-</v>
      </c>
      <c r="K837" s="1540">
        <f t="shared" si="38"/>
        <v>1900</v>
      </c>
      <c r="L837" s="757"/>
      <c r="M837" s="757"/>
      <c r="N837" s="757"/>
      <c r="O837" s="757"/>
      <c r="P837" s="757"/>
      <c r="Q837" s="757"/>
      <c r="R837" s="757"/>
      <c r="S837" s="757"/>
      <c r="T837" s="757"/>
      <c r="U837" s="757"/>
      <c r="V837" s="757"/>
      <c r="W837" s="757"/>
      <c r="X837" s="757"/>
      <c r="Y837" s="757"/>
      <c r="Z837" s="757"/>
      <c r="AA837" s="757"/>
      <c r="AB837" s="757"/>
      <c r="AC837" s="757"/>
      <c r="AD837" s="757"/>
      <c r="AE837" s="757"/>
      <c r="AF837" s="757"/>
      <c r="AG837" s="757"/>
      <c r="AH837" s="757"/>
      <c r="AI837" s="757"/>
      <c r="AJ837" s="757"/>
      <c r="AK837" s="757"/>
      <c r="AL837" s="757"/>
      <c r="AM837" s="757"/>
      <c r="AN837" s="757"/>
      <c r="AO837" s="757"/>
      <c r="AP837" s="757"/>
      <c r="AQ837" s="757"/>
      <c r="AR837" s="757"/>
      <c r="AS837" s="757"/>
      <c r="AT837" s="757"/>
      <c r="AU837" s="757"/>
      <c r="AV837" s="757"/>
      <c r="AW837" s="757"/>
      <c r="AX837" s="757"/>
      <c r="AY837" s="757"/>
      <c r="AZ837" s="75"/>
      <c r="BA837" s="2"/>
      <c r="BB837" s="2"/>
      <c r="BC837" s="2"/>
      <c r="BD837" s="2"/>
    </row>
    <row r="838" spans="1:56">
      <c r="A838" s="781">
        <v>2</v>
      </c>
      <c r="B838" s="782">
        <v>194</v>
      </c>
      <c r="C838" s="783"/>
      <c r="D838" s="785" t="s">
        <v>226</v>
      </c>
      <c r="E838" s="808">
        <v>4934</v>
      </c>
      <c r="F838" s="799"/>
      <c r="G838" s="799"/>
      <c r="H838" s="1592">
        <f t="shared" si="36"/>
        <v>0</v>
      </c>
      <c r="I838" s="754" t="str">
        <f>IFERROR(VLOOKUP(B838,Mychart!$A$125:$B$911,2,FALSE),"-")</f>
        <v>TCC - MARIAM OBAID</v>
      </c>
      <c r="J838" s="753" t="str">
        <f t="shared" si="37"/>
        <v>-</v>
      </c>
      <c r="K838" s="1540">
        <f t="shared" si="38"/>
        <v>1900</v>
      </c>
      <c r="L838" s="757"/>
      <c r="M838" s="757"/>
      <c r="N838" s="757"/>
      <c r="O838" s="757"/>
      <c r="P838" s="757"/>
      <c r="Q838" s="757"/>
      <c r="R838" s="757"/>
      <c r="S838" s="757"/>
      <c r="T838" s="757"/>
      <c r="U838" s="757"/>
      <c r="V838" s="757"/>
      <c r="W838" s="757"/>
      <c r="X838" s="757"/>
      <c r="Y838" s="757"/>
      <c r="Z838" s="757"/>
      <c r="AA838" s="757"/>
      <c r="AB838" s="757"/>
      <c r="AC838" s="757"/>
      <c r="AD838" s="757"/>
      <c r="AE838" s="757"/>
      <c r="AF838" s="757"/>
      <c r="AG838" s="757"/>
      <c r="AH838" s="757"/>
      <c r="AI838" s="757"/>
      <c r="AJ838" s="757"/>
      <c r="AK838" s="757"/>
      <c r="AL838" s="757"/>
      <c r="AM838" s="757"/>
      <c r="AN838" s="757"/>
      <c r="AO838" s="757"/>
      <c r="AP838" s="757"/>
      <c r="AQ838" s="757"/>
      <c r="AR838" s="757"/>
      <c r="AS838" s="757"/>
      <c r="AT838" s="757"/>
      <c r="AU838" s="757"/>
      <c r="AV838" s="757"/>
      <c r="AW838" s="757"/>
      <c r="AX838" s="757"/>
      <c r="AY838" s="757"/>
      <c r="AZ838" s="75"/>
      <c r="BA838" s="2"/>
      <c r="BB838" s="2"/>
      <c r="BC838" s="2"/>
      <c r="BD838" s="2"/>
    </row>
    <row r="839" spans="1:56">
      <c r="A839" s="781">
        <v>2</v>
      </c>
      <c r="B839" s="782">
        <v>194</v>
      </c>
      <c r="C839" s="783"/>
      <c r="D839" s="783" t="s">
        <v>258</v>
      </c>
      <c r="E839" s="808">
        <v>1117.99</v>
      </c>
      <c r="F839" s="799"/>
      <c r="G839" s="799"/>
      <c r="H839" s="1592">
        <f t="shared" si="36"/>
        <v>0</v>
      </c>
      <c r="I839" s="754" t="str">
        <f>IFERROR(VLOOKUP(B839,Mychart!$A$125:$B$911,2,FALSE),"-")</f>
        <v>TCC - MARIAM OBAID</v>
      </c>
      <c r="J839" s="753" t="str">
        <f t="shared" si="37"/>
        <v>-</v>
      </c>
      <c r="K839" s="1540">
        <f t="shared" si="38"/>
        <v>1900</v>
      </c>
      <c r="L839" s="757"/>
      <c r="M839" s="757"/>
      <c r="N839" s="757"/>
      <c r="O839" s="757"/>
      <c r="P839" s="757"/>
      <c r="Q839" s="757"/>
      <c r="R839" s="757"/>
      <c r="S839" s="757"/>
      <c r="T839" s="757"/>
      <c r="U839" s="757"/>
      <c r="V839" s="757"/>
      <c r="W839" s="757"/>
      <c r="X839" s="757"/>
      <c r="Y839" s="757"/>
      <c r="Z839" s="757"/>
      <c r="AA839" s="757"/>
      <c r="AB839" s="757"/>
      <c r="AC839" s="757"/>
      <c r="AD839" s="757"/>
      <c r="AE839" s="757"/>
      <c r="AF839" s="757"/>
      <c r="AG839" s="757"/>
      <c r="AH839" s="757"/>
      <c r="AI839" s="757"/>
      <c r="AJ839" s="757"/>
      <c r="AK839" s="757"/>
      <c r="AL839" s="757"/>
      <c r="AM839" s="757"/>
      <c r="AN839" s="757"/>
      <c r="AO839" s="757"/>
      <c r="AP839" s="757"/>
      <c r="AQ839" s="757"/>
      <c r="AR839" s="757"/>
      <c r="AS839" s="757"/>
      <c r="AT839" s="757"/>
      <c r="AU839" s="757"/>
      <c r="AV839" s="757"/>
      <c r="AW839" s="757"/>
      <c r="AX839" s="757"/>
      <c r="AY839" s="757"/>
      <c r="AZ839" s="75"/>
      <c r="BA839" s="2"/>
      <c r="BB839" s="2"/>
      <c r="BC839" s="2"/>
      <c r="BD839" s="2"/>
    </row>
    <row r="840" spans="1:56">
      <c r="A840" s="781">
        <v>2</v>
      </c>
      <c r="B840" s="782">
        <v>194</v>
      </c>
      <c r="C840" s="783"/>
      <c r="D840" s="785" t="s">
        <v>226</v>
      </c>
      <c r="E840" s="808">
        <v>677</v>
      </c>
      <c r="F840" s="799"/>
      <c r="G840" s="799"/>
      <c r="H840" s="1592">
        <f t="shared" si="36"/>
        <v>0</v>
      </c>
      <c r="I840" s="754" t="str">
        <f>IFERROR(VLOOKUP(B840,Mychart!$A$125:$B$911,2,FALSE),"-")</f>
        <v>TCC - MARIAM OBAID</v>
      </c>
      <c r="J840" s="753" t="str">
        <f t="shared" si="37"/>
        <v>-</v>
      </c>
      <c r="K840" s="1540">
        <f t="shared" si="38"/>
        <v>1900</v>
      </c>
      <c r="L840" s="757"/>
      <c r="M840" s="757"/>
      <c r="N840" s="757"/>
      <c r="O840" s="757"/>
      <c r="P840" s="757"/>
      <c r="Q840" s="757"/>
      <c r="R840" s="757"/>
      <c r="S840" s="757"/>
      <c r="T840" s="757"/>
      <c r="U840" s="757"/>
      <c r="V840" s="757"/>
      <c r="W840" s="757"/>
      <c r="X840" s="757"/>
      <c r="Y840" s="757"/>
      <c r="Z840" s="757"/>
      <c r="AA840" s="757"/>
      <c r="AB840" s="757"/>
      <c r="AC840" s="757"/>
      <c r="AD840" s="757"/>
      <c r="AE840" s="757"/>
      <c r="AF840" s="757"/>
      <c r="AG840" s="757"/>
      <c r="AH840" s="757"/>
      <c r="AI840" s="757"/>
      <c r="AJ840" s="757"/>
      <c r="AK840" s="757"/>
      <c r="AL840" s="757"/>
      <c r="AM840" s="757"/>
      <c r="AN840" s="757"/>
      <c r="AO840" s="757"/>
      <c r="AP840" s="757"/>
      <c r="AQ840" s="757"/>
      <c r="AR840" s="757"/>
      <c r="AS840" s="757"/>
      <c r="AT840" s="757"/>
      <c r="AU840" s="757"/>
      <c r="AV840" s="757"/>
      <c r="AW840" s="757"/>
      <c r="AX840" s="757"/>
      <c r="AY840" s="757"/>
      <c r="AZ840" s="75"/>
      <c r="BA840" s="2"/>
      <c r="BB840" s="2"/>
      <c r="BC840" s="2"/>
      <c r="BD840" s="2"/>
    </row>
    <row r="841" spans="1:56">
      <c r="A841" s="781">
        <v>2</v>
      </c>
      <c r="B841" s="782">
        <v>194</v>
      </c>
      <c r="C841" s="783"/>
      <c r="D841" s="785" t="s">
        <v>226</v>
      </c>
      <c r="E841" s="808">
        <v>2808</v>
      </c>
      <c r="F841" s="799"/>
      <c r="G841" s="799"/>
      <c r="H841" s="1592">
        <f t="shared" si="36"/>
        <v>0</v>
      </c>
      <c r="I841" s="754" t="str">
        <f>IFERROR(VLOOKUP(B841,Mychart!$A$125:$B$911,2,FALSE),"-")</f>
        <v>TCC - MARIAM OBAID</v>
      </c>
      <c r="J841" s="753" t="str">
        <f t="shared" si="37"/>
        <v>-</v>
      </c>
      <c r="K841" s="1540">
        <f t="shared" si="38"/>
        <v>1900</v>
      </c>
      <c r="L841" s="757"/>
      <c r="M841" s="757"/>
      <c r="N841" s="757"/>
      <c r="O841" s="757"/>
      <c r="P841" s="757"/>
      <c r="Q841" s="757"/>
      <c r="R841" s="757"/>
      <c r="S841" s="757"/>
      <c r="T841" s="757"/>
      <c r="U841" s="757"/>
      <c r="V841" s="757"/>
      <c r="W841" s="757"/>
      <c r="X841" s="757"/>
      <c r="Y841" s="757"/>
      <c r="Z841" s="757"/>
      <c r="AA841" s="757"/>
      <c r="AB841" s="757"/>
      <c r="AC841" s="757"/>
      <c r="AD841" s="757"/>
      <c r="AE841" s="757"/>
      <c r="AF841" s="757"/>
      <c r="AG841" s="757"/>
      <c r="AH841" s="757"/>
      <c r="AI841" s="757"/>
      <c r="AJ841" s="757"/>
      <c r="AK841" s="757"/>
      <c r="AL841" s="757"/>
      <c r="AM841" s="757"/>
      <c r="AN841" s="757"/>
      <c r="AO841" s="757"/>
      <c r="AP841" s="757"/>
      <c r="AQ841" s="757"/>
      <c r="AR841" s="757"/>
      <c r="AS841" s="757"/>
      <c r="AT841" s="757"/>
      <c r="AU841" s="757"/>
      <c r="AV841" s="757"/>
      <c r="AW841" s="757"/>
      <c r="AX841" s="757"/>
      <c r="AY841" s="757"/>
      <c r="AZ841" s="75"/>
      <c r="BA841" s="2"/>
      <c r="BB841" s="2"/>
      <c r="BC841" s="2"/>
      <c r="BD841" s="2"/>
    </row>
    <row r="842" spans="1:56">
      <c r="A842" s="781">
        <v>2</v>
      </c>
      <c r="B842" s="782">
        <v>194</v>
      </c>
      <c r="C842" s="783"/>
      <c r="D842" s="783" t="s">
        <v>776</v>
      </c>
      <c r="E842" s="808">
        <v>2800</v>
      </c>
      <c r="F842" s="799"/>
      <c r="G842" s="799"/>
      <c r="H842" s="1592">
        <f t="shared" si="36"/>
        <v>0</v>
      </c>
      <c r="I842" s="754" t="str">
        <f>IFERROR(VLOOKUP(B842,Mychart!$A$125:$B$911,2,FALSE),"-")</f>
        <v>TCC - MARIAM OBAID</v>
      </c>
      <c r="J842" s="753" t="str">
        <f t="shared" si="37"/>
        <v>-</v>
      </c>
      <c r="K842" s="1540">
        <f t="shared" si="38"/>
        <v>1900</v>
      </c>
      <c r="L842" s="757"/>
      <c r="M842" s="757"/>
      <c r="N842" s="757"/>
      <c r="O842" s="757"/>
      <c r="P842" s="757"/>
      <c r="Q842" s="757"/>
      <c r="R842" s="757"/>
      <c r="S842" s="757"/>
      <c r="T842" s="757"/>
      <c r="U842" s="757"/>
      <c r="V842" s="757"/>
      <c r="W842" s="757"/>
      <c r="X842" s="757"/>
      <c r="Y842" s="757"/>
      <c r="Z842" s="757"/>
      <c r="AA842" s="757"/>
      <c r="AB842" s="757"/>
      <c r="AC842" s="757"/>
      <c r="AD842" s="757"/>
      <c r="AE842" s="757"/>
      <c r="AF842" s="757"/>
      <c r="AG842" s="757"/>
      <c r="AH842" s="757"/>
      <c r="AI842" s="757"/>
      <c r="AJ842" s="757"/>
      <c r="AK842" s="757"/>
      <c r="AL842" s="757"/>
      <c r="AM842" s="757"/>
      <c r="AN842" s="757"/>
      <c r="AO842" s="757"/>
      <c r="AP842" s="757"/>
      <c r="AQ842" s="757"/>
      <c r="AR842" s="757"/>
      <c r="AS842" s="757"/>
      <c r="AT842" s="757"/>
      <c r="AU842" s="757"/>
      <c r="AV842" s="757"/>
      <c r="AW842" s="757"/>
      <c r="AX842" s="757"/>
      <c r="AY842" s="757"/>
      <c r="AZ842" s="75"/>
      <c r="BA842" s="2"/>
      <c r="BB842" s="2"/>
      <c r="BC842" s="2"/>
      <c r="BD842" s="2"/>
    </row>
    <row r="843" spans="1:56">
      <c r="A843" s="781">
        <v>2</v>
      </c>
      <c r="B843" s="782">
        <v>194</v>
      </c>
      <c r="C843" s="783"/>
      <c r="D843" s="785" t="s">
        <v>226</v>
      </c>
      <c r="E843" s="808">
        <v>110</v>
      </c>
      <c r="F843" s="799"/>
      <c r="G843" s="799"/>
      <c r="H843" s="1592">
        <f t="shared" ref="H843:H906" si="39">F843+G843</f>
        <v>0</v>
      </c>
      <c r="I843" s="754" t="str">
        <f>IFERROR(VLOOKUP(B843,Mychart!$A$125:$B$911,2,FALSE),"-")</f>
        <v>TCC - MARIAM OBAID</v>
      </c>
      <c r="J843" s="753" t="str">
        <f t="shared" ref="J843:J906" si="40">IF(C843&lt;&gt;"", MONTH(C843),"-")</f>
        <v>-</v>
      </c>
      <c r="K843" s="1540">
        <f t="shared" ref="K843:K906" si="41">YEAR(C843)</f>
        <v>1900</v>
      </c>
      <c r="L843" s="757"/>
      <c r="M843" s="757"/>
      <c r="N843" s="757"/>
      <c r="O843" s="757"/>
      <c r="P843" s="757"/>
      <c r="Q843" s="757"/>
      <c r="R843" s="757"/>
      <c r="S843" s="757"/>
      <c r="T843" s="757"/>
      <c r="U843" s="757"/>
      <c r="V843" s="757"/>
      <c r="W843" s="757"/>
      <c r="X843" s="757"/>
      <c r="Y843" s="757"/>
      <c r="Z843" s="757"/>
      <c r="AA843" s="757"/>
      <c r="AB843" s="757"/>
      <c r="AC843" s="757"/>
      <c r="AD843" s="757"/>
      <c r="AE843" s="757"/>
      <c r="AF843" s="757"/>
      <c r="AG843" s="757"/>
      <c r="AH843" s="757"/>
      <c r="AI843" s="757"/>
      <c r="AJ843" s="757"/>
      <c r="AK843" s="757"/>
      <c r="AL843" s="757"/>
      <c r="AM843" s="757"/>
      <c r="AN843" s="757"/>
      <c r="AO843" s="757"/>
      <c r="AP843" s="757"/>
      <c r="AQ843" s="757"/>
      <c r="AR843" s="757"/>
      <c r="AS843" s="757"/>
      <c r="AT843" s="757"/>
      <c r="AU843" s="757"/>
      <c r="AV843" s="757"/>
      <c r="AW843" s="757"/>
      <c r="AX843" s="757"/>
      <c r="AY843" s="757"/>
      <c r="AZ843" s="75"/>
      <c r="BA843" s="2"/>
      <c r="BB843" s="2"/>
      <c r="BC843" s="2"/>
      <c r="BD843" s="2"/>
    </row>
    <row r="844" spans="1:56">
      <c r="A844" s="781">
        <v>2</v>
      </c>
      <c r="B844" s="782">
        <v>194</v>
      </c>
      <c r="C844" s="783"/>
      <c r="D844" s="785" t="s">
        <v>226</v>
      </c>
      <c r="E844" s="808">
        <v>63</v>
      </c>
      <c r="F844" s="799"/>
      <c r="G844" s="799"/>
      <c r="H844" s="1592">
        <f t="shared" si="39"/>
        <v>0</v>
      </c>
      <c r="I844" s="754" t="str">
        <f>IFERROR(VLOOKUP(B844,Mychart!$A$125:$B$911,2,FALSE),"-")</f>
        <v>TCC - MARIAM OBAID</v>
      </c>
      <c r="J844" s="753" t="str">
        <f t="shared" si="40"/>
        <v>-</v>
      </c>
      <c r="K844" s="1540">
        <f t="shared" si="41"/>
        <v>1900</v>
      </c>
      <c r="L844" s="757"/>
      <c r="M844" s="757"/>
      <c r="N844" s="757"/>
      <c r="O844" s="757"/>
      <c r="P844" s="757"/>
      <c r="Q844" s="757"/>
      <c r="R844" s="757"/>
      <c r="S844" s="757"/>
      <c r="T844" s="757"/>
      <c r="U844" s="757"/>
      <c r="V844" s="757"/>
      <c r="W844" s="757"/>
      <c r="X844" s="757"/>
      <c r="Y844" s="757"/>
      <c r="Z844" s="757"/>
      <c r="AA844" s="757"/>
      <c r="AB844" s="757"/>
      <c r="AC844" s="757"/>
      <c r="AD844" s="757"/>
      <c r="AE844" s="757"/>
      <c r="AF844" s="757"/>
      <c r="AG844" s="757"/>
      <c r="AH844" s="757"/>
      <c r="AI844" s="757"/>
      <c r="AJ844" s="757"/>
      <c r="AK844" s="757"/>
      <c r="AL844" s="757"/>
      <c r="AM844" s="757"/>
      <c r="AN844" s="757"/>
      <c r="AO844" s="757"/>
      <c r="AP844" s="757"/>
      <c r="AQ844" s="757"/>
      <c r="AR844" s="757"/>
      <c r="AS844" s="757"/>
      <c r="AT844" s="757"/>
      <c r="AU844" s="757"/>
      <c r="AV844" s="757"/>
      <c r="AW844" s="757"/>
      <c r="AX844" s="757"/>
      <c r="AY844" s="757"/>
      <c r="AZ844" s="75"/>
      <c r="BA844" s="2"/>
      <c r="BB844" s="2"/>
      <c r="BC844" s="2"/>
      <c r="BD844" s="2"/>
    </row>
    <row r="845" spans="1:56">
      <c r="A845" s="781">
        <v>2</v>
      </c>
      <c r="B845" s="782">
        <v>194</v>
      </c>
      <c r="C845" s="783"/>
      <c r="D845" s="785" t="s">
        <v>226</v>
      </c>
      <c r="E845" s="808">
        <v>999</v>
      </c>
      <c r="F845" s="799"/>
      <c r="G845" s="799"/>
      <c r="H845" s="1592">
        <f t="shared" si="39"/>
        <v>0</v>
      </c>
      <c r="I845" s="754" t="str">
        <f>IFERROR(VLOOKUP(B845,Mychart!$A$125:$B$911,2,FALSE),"-")</f>
        <v>TCC - MARIAM OBAID</v>
      </c>
      <c r="J845" s="753" t="str">
        <f t="shared" si="40"/>
        <v>-</v>
      </c>
      <c r="K845" s="1540">
        <f t="shared" si="41"/>
        <v>1900</v>
      </c>
      <c r="L845" s="757"/>
      <c r="M845" s="757"/>
      <c r="N845" s="757"/>
      <c r="O845" s="757"/>
      <c r="P845" s="757"/>
      <c r="Q845" s="757"/>
      <c r="R845" s="757"/>
      <c r="S845" s="757"/>
      <c r="T845" s="757"/>
      <c r="U845" s="757"/>
      <c r="V845" s="757"/>
      <c r="W845" s="757"/>
      <c r="X845" s="757"/>
      <c r="Y845" s="757"/>
      <c r="Z845" s="757"/>
      <c r="AA845" s="757"/>
      <c r="AB845" s="757"/>
      <c r="AC845" s="757"/>
      <c r="AD845" s="757"/>
      <c r="AE845" s="757"/>
      <c r="AF845" s="757"/>
      <c r="AG845" s="757"/>
      <c r="AH845" s="757"/>
      <c r="AI845" s="757"/>
      <c r="AJ845" s="757"/>
      <c r="AK845" s="757"/>
      <c r="AL845" s="757"/>
      <c r="AM845" s="757"/>
      <c r="AN845" s="757"/>
      <c r="AO845" s="757"/>
      <c r="AP845" s="757"/>
      <c r="AQ845" s="757"/>
      <c r="AR845" s="757"/>
      <c r="AS845" s="757"/>
      <c r="AT845" s="757"/>
      <c r="AU845" s="757"/>
      <c r="AV845" s="757"/>
      <c r="AW845" s="757"/>
      <c r="AX845" s="757"/>
      <c r="AY845" s="757"/>
      <c r="AZ845" s="75"/>
      <c r="BA845" s="2"/>
      <c r="BB845" s="2"/>
      <c r="BC845" s="2"/>
      <c r="BD845" s="2"/>
    </row>
    <row r="846" spans="1:56">
      <c r="A846" s="781">
        <v>2</v>
      </c>
      <c r="B846" s="782">
        <v>194</v>
      </c>
      <c r="C846" s="783"/>
      <c r="D846" s="785" t="s">
        <v>226</v>
      </c>
      <c r="E846" s="808">
        <v>169</v>
      </c>
      <c r="F846" s="799"/>
      <c r="G846" s="799"/>
      <c r="H846" s="1592">
        <f t="shared" si="39"/>
        <v>0</v>
      </c>
      <c r="I846" s="754" t="str">
        <f>IFERROR(VLOOKUP(B846,Mychart!$A$125:$B$911,2,FALSE),"-")</f>
        <v>TCC - MARIAM OBAID</v>
      </c>
      <c r="J846" s="753" t="str">
        <f t="shared" si="40"/>
        <v>-</v>
      </c>
      <c r="K846" s="1540">
        <f t="shared" si="41"/>
        <v>1900</v>
      </c>
      <c r="L846" s="757"/>
      <c r="M846" s="757"/>
      <c r="N846" s="757"/>
      <c r="O846" s="757"/>
      <c r="P846" s="757"/>
      <c r="Q846" s="757"/>
      <c r="R846" s="757"/>
      <c r="S846" s="757"/>
      <c r="T846" s="757"/>
      <c r="U846" s="757"/>
      <c r="V846" s="757"/>
      <c r="W846" s="757"/>
      <c r="X846" s="757"/>
      <c r="Y846" s="757"/>
      <c r="Z846" s="757"/>
      <c r="AA846" s="757"/>
      <c r="AB846" s="757"/>
      <c r="AC846" s="757"/>
      <c r="AD846" s="757"/>
      <c r="AE846" s="757"/>
      <c r="AF846" s="757"/>
      <c r="AG846" s="757"/>
      <c r="AH846" s="757"/>
      <c r="AI846" s="757"/>
      <c r="AJ846" s="757"/>
      <c r="AK846" s="757"/>
      <c r="AL846" s="757"/>
      <c r="AM846" s="757"/>
      <c r="AN846" s="757"/>
      <c r="AO846" s="757"/>
      <c r="AP846" s="757"/>
      <c r="AQ846" s="757"/>
      <c r="AR846" s="757"/>
      <c r="AS846" s="757"/>
      <c r="AT846" s="757"/>
      <c r="AU846" s="757"/>
      <c r="AV846" s="757"/>
      <c r="AW846" s="757"/>
      <c r="AX846" s="757"/>
      <c r="AY846" s="757"/>
      <c r="AZ846" s="75"/>
      <c r="BA846" s="2"/>
      <c r="BB846" s="2"/>
      <c r="BC846" s="2"/>
      <c r="BD846" s="2"/>
    </row>
    <row r="847" spans="1:56">
      <c r="A847" s="781">
        <v>1</v>
      </c>
      <c r="B847" s="782">
        <v>243</v>
      </c>
      <c r="C847" s="783">
        <v>45318</v>
      </c>
      <c r="D847" s="785" t="s">
        <v>844</v>
      </c>
      <c r="E847" s="808"/>
      <c r="F847" s="799">
        <v>19500</v>
      </c>
      <c r="G847" s="799">
        <v>975</v>
      </c>
      <c r="H847" s="1592">
        <f t="shared" si="39"/>
        <v>20475</v>
      </c>
      <c r="I847" s="754" t="str">
        <f>IFERROR(VLOOKUP(B847,Mychart!$A$125:$B$911,2,FALSE),"-")</f>
        <v>SHIHAB - ERTIKAZ</v>
      </c>
      <c r="J847" s="753">
        <f t="shared" si="40"/>
        <v>1</v>
      </c>
      <c r="K847" s="1540">
        <f t="shared" si="41"/>
        <v>2024</v>
      </c>
      <c r="L847" s="757"/>
      <c r="M847" s="757"/>
      <c r="N847" s="757"/>
      <c r="O847" s="757"/>
      <c r="P847" s="757"/>
      <c r="Q847" s="757"/>
      <c r="R847" s="757"/>
      <c r="S847" s="757"/>
      <c r="T847" s="757"/>
      <c r="U847" s="757"/>
      <c r="V847" s="757"/>
      <c r="W847" s="757"/>
      <c r="X847" s="757"/>
      <c r="Y847" s="757"/>
      <c r="Z847" s="757"/>
      <c r="AA847" s="757"/>
      <c r="AB847" s="757"/>
      <c r="AC847" s="757"/>
      <c r="AD847" s="757"/>
      <c r="AE847" s="757"/>
      <c r="AF847" s="757"/>
      <c r="AG847" s="757"/>
      <c r="AH847" s="757"/>
      <c r="AI847" s="757"/>
      <c r="AJ847" s="757"/>
      <c r="AK847" s="757"/>
      <c r="AL847" s="757"/>
      <c r="AM847" s="757"/>
      <c r="AN847" s="757"/>
      <c r="AO847" s="757"/>
      <c r="AP847" s="757"/>
      <c r="AQ847" s="757"/>
      <c r="AR847" s="757"/>
      <c r="AS847" s="757"/>
      <c r="AT847" s="757"/>
      <c r="AU847" s="757"/>
      <c r="AV847" s="757"/>
      <c r="AW847" s="757"/>
      <c r="AX847" s="757"/>
      <c r="AY847" s="757"/>
      <c r="AZ847" s="75"/>
      <c r="BA847" s="2"/>
      <c r="BB847" s="2"/>
      <c r="BC847" s="2"/>
      <c r="BD847" s="2"/>
    </row>
    <row r="848" spans="1:56">
      <c r="A848" s="781">
        <v>1</v>
      </c>
      <c r="B848" s="782">
        <v>243</v>
      </c>
      <c r="C848" s="783">
        <v>45348</v>
      </c>
      <c r="D848" s="785" t="s">
        <v>845</v>
      </c>
      <c r="E848" s="808"/>
      <c r="F848" s="799">
        <v>52000</v>
      </c>
      <c r="G848" s="799">
        <v>2600</v>
      </c>
      <c r="H848" s="1592">
        <f t="shared" si="39"/>
        <v>54600</v>
      </c>
      <c r="I848" s="754" t="str">
        <f>IFERROR(VLOOKUP(B848,Mychart!$A$125:$B$911,2,FALSE),"-")</f>
        <v>SHIHAB - ERTIKAZ</v>
      </c>
      <c r="J848" s="753">
        <f t="shared" si="40"/>
        <v>2</v>
      </c>
      <c r="K848" s="1540">
        <f t="shared" si="41"/>
        <v>2024</v>
      </c>
      <c r="L848" s="757"/>
      <c r="M848" s="757"/>
      <c r="N848" s="757"/>
      <c r="O848" s="757"/>
      <c r="P848" s="757"/>
      <c r="Q848" s="757"/>
      <c r="R848" s="757"/>
      <c r="S848" s="757"/>
      <c r="T848" s="757"/>
      <c r="U848" s="757"/>
      <c r="V848" s="757"/>
      <c r="W848" s="757"/>
      <c r="X848" s="757"/>
      <c r="Y848" s="757"/>
      <c r="Z848" s="757"/>
      <c r="AA848" s="757"/>
      <c r="AB848" s="757"/>
      <c r="AC848" s="757"/>
      <c r="AD848" s="757"/>
      <c r="AE848" s="757"/>
      <c r="AF848" s="757"/>
      <c r="AG848" s="757"/>
      <c r="AH848" s="757"/>
      <c r="AI848" s="757"/>
      <c r="AJ848" s="757"/>
      <c r="AK848" s="757"/>
      <c r="AL848" s="757"/>
      <c r="AM848" s="757"/>
      <c r="AN848" s="757"/>
      <c r="AO848" s="757"/>
      <c r="AP848" s="757"/>
      <c r="AQ848" s="757"/>
      <c r="AR848" s="757"/>
      <c r="AS848" s="757"/>
      <c r="AT848" s="757"/>
      <c r="AU848" s="757"/>
      <c r="AV848" s="757"/>
      <c r="AW848" s="757"/>
      <c r="AX848" s="757"/>
      <c r="AY848" s="757"/>
      <c r="AZ848" s="75"/>
      <c r="BA848" s="2"/>
      <c r="BB848" s="2"/>
      <c r="BC848" s="2"/>
      <c r="BD848" s="2"/>
    </row>
    <row r="849" spans="1:56">
      <c r="A849" s="781">
        <v>1</v>
      </c>
      <c r="B849" s="782">
        <v>243</v>
      </c>
      <c r="C849" s="783">
        <v>45483</v>
      </c>
      <c r="D849" s="785" t="s">
        <v>846</v>
      </c>
      <c r="E849" s="808"/>
      <c r="F849" s="799">
        <v>47424</v>
      </c>
      <c r="G849" s="799">
        <v>2371.2000000000003</v>
      </c>
      <c r="H849" s="1592">
        <f t="shared" si="39"/>
        <v>49795.199999999997</v>
      </c>
      <c r="I849" s="754" t="str">
        <f>IFERROR(VLOOKUP(B849,Mychart!$A$125:$B$911,2,FALSE),"-")</f>
        <v>SHIHAB - ERTIKAZ</v>
      </c>
      <c r="J849" s="753">
        <f t="shared" si="40"/>
        <v>7</v>
      </c>
      <c r="K849" s="1540">
        <f t="shared" si="41"/>
        <v>2024</v>
      </c>
      <c r="L849" s="757"/>
      <c r="M849" s="757"/>
      <c r="N849" s="757"/>
      <c r="O849" s="757"/>
      <c r="P849" s="757"/>
      <c r="Q849" s="757"/>
      <c r="R849" s="757"/>
      <c r="S849" s="757"/>
      <c r="T849" s="757"/>
      <c r="U849" s="757"/>
      <c r="V849" s="757"/>
      <c r="W849" s="757"/>
      <c r="X849" s="757"/>
      <c r="Y849" s="757"/>
      <c r="Z849" s="757"/>
      <c r="AA849" s="757"/>
      <c r="AB849" s="757"/>
      <c r="AC849" s="757"/>
      <c r="AD849" s="757"/>
      <c r="AE849" s="757"/>
      <c r="AF849" s="757"/>
      <c r="AG849" s="757"/>
      <c r="AH849" s="757"/>
      <c r="AI849" s="757"/>
      <c r="AJ849" s="757"/>
      <c r="AK849" s="757"/>
      <c r="AL849" s="757"/>
      <c r="AM849" s="757"/>
      <c r="AN849" s="757"/>
      <c r="AO849" s="757"/>
      <c r="AP849" s="757"/>
      <c r="AQ849" s="757"/>
      <c r="AR849" s="757"/>
      <c r="AS849" s="757"/>
      <c r="AT849" s="757"/>
      <c r="AU849" s="757"/>
      <c r="AV849" s="757"/>
      <c r="AW849" s="757"/>
      <c r="AX849" s="757"/>
      <c r="AY849" s="757"/>
      <c r="AZ849" s="75"/>
      <c r="BA849" s="2"/>
      <c r="BB849" s="2"/>
      <c r="BC849" s="2"/>
      <c r="BD849" s="2"/>
    </row>
    <row r="850" spans="1:56">
      <c r="A850" s="781">
        <v>2</v>
      </c>
      <c r="B850" s="782">
        <v>243</v>
      </c>
      <c r="C850" s="783"/>
      <c r="D850" s="785" t="s">
        <v>177</v>
      </c>
      <c r="E850" s="808">
        <v>78</v>
      </c>
      <c r="F850" s="799"/>
      <c r="G850" s="799"/>
      <c r="H850" s="1592">
        <f t="shared" si="39"/>
        <v>0</v>
      </c>
      <c r="I850" s="754" t="str">
        <f>IFERROR(VLOOKUP(B850,Mychart!$A$125:$B$911,2,FALSE),"-")</f>
        <v>SHIHAB - ERTIKAZ</v>
      </c>
      <c r="J850" s="753" t="str">
        <f t="shared" si="40"/>
        <v>-</v>
      </c>
      <c r="K850" s="1540">
        <f t="shared" si="41"/>
        <v>1900</v>
      </c>
      <c r="L850" s="757"/>
      <c r="M850" s="757"/>
      <c r="N850" s="757"/>
      <c r="O850" s="757"/>
      <c r="P850" s="757"/>
      <c r="Q850" s="757"/>
      <c r="R850" s="757"/>
      <c r="S850" s="757"/>
      <c r="T850" s="757"/>
      <c r="U850" s="757"/>
      <c r="V850" s="757"/>
      <c r="W850" s="757"/>
      <c r="X850" s="757"/>
      <c r="Y850" s="757"/>
      <c r="Z850" s="757"/>
      <c r="AA850" s="757"/>
      <c r="AB850" s="757"/>
      <c r="AC850" s="757"/>
      <c r="AD850" s="757"/>
      <c r="AE850" s="757"/>
      <c r="AF850" s="757"/>
      <c r="AG850" s="757"/>
      <c r="AH850" s="757"/>
      <c r="AI850" s="757"/>
      <c r="AJ850" s="757"/>
      <c r="AK850" s="757"/>
      <c r="AL850" s="757"/>
      <c r="AM850" s="757"/>
      <c r="AN850" s="757"/>
      <c r="AO850" s="757"/>
      <c r="AP850" s="757"/>
      <c r="AQ850" s="757"/>
      <c r="AR850" s="757"/>
      <c r="AS850" s="757"/>
      <c r="AT850" s="757"/>
      <c r="AU850" s="757"/>
      <c r="AV850" s="757"/>
      <c r="AW850" s="757"/>
      <c r="AX850" s="757"/>
      <c r="AY850" s="757"/>
      <c r="AZ850" s="75"/>
      <c r="BA850" s="2"/>
      <c r="BB850" s="2"/>
      <c r="BC850" s="2"/>
      <c r="BD850" s="2"/>
    </row>
    <row r="851" spans="1:56">
      <c r="A851" s="781">
        <v>2</v>
      </c>
      <c r="B851" s="782">
        <v>243</v>
      </c>
      <c r="C851" s="783"/>
      <c r="D851" s="785" t="s">
        <v>847</v>
      </c>
      <c r="E851" s="808">
        <v>500</v>
      </c>
      <c r="F851" s="799"/>
      <c r="G851" s="799"/>
      <c r="H851" s="1592">
        <f t="shared" si="39"/>
        <v>0</v>
      </c>
      <c r="I851" s="754" t="str">
        <f>IFERROR(VLOOKUP(B851,Mychart!$A$125:$B$911,2,FALSE),"-")</f>
        <v>SHIHAB - ERTIKAZ</v>
      </c>
      <c r="J851" s="753" t="str">
        <f t="shared" si="40"/>
        <v>-</v>
      </c>
      <c r="K851" s="1540">
        <f t="shared" si="41"/>
        <v>1900</v>
      </c>
      <c r="L851" s="757"/>
      <c r="M851" s="757"/>
      <c r="N851" s="757"/>
      <c r="O851" s="757"/>
      <c r="P851" s="757"/>
      <c r="Q851" s="757"/>
      <c r="R851" s="757"/>
      <c r="S851" s="757"/>
      <c r="T851" s="757"/>
      <c r="U851" s="757"/>
      <c r="V851" s="757"/>
      <c r="W851" s="757"/>
      <c r="X851" s="757"/>
      <c r="Y851" s="757"/>
      <c r="Z851" s="757"/>
      <c r="AA851" s="757"/>
      <c r="AB851" s="757"/>
      <c r="AC851" s="757"/>
      <c r="AD851" s="757"/>
      <c r="AE851" s="757"/>
      <c r="AF851" s="757"/>
      <c r="AG851" s="757"/>
      <c r="AH851" s="757"/>
      <c r="AI851" s="757"/>
      <c r="AJ851" s="757"/>
      <c r="AK851" s="757"/>
      <c r="AL851" s="757"/>
      <c r="AM851" s="757"/>
      <c r="AN851" s="757"/>
      <c r="AO851" s="757"/>
      <c r="AP851" s="757"/>
      <c r="AQ851" s="757"/>
      <c r="AR851" s="757"/>
      <c r="AS851" s="757"/>
      <c r="AT851" s="757"/>
      <c r="AU851" s="757"/>
      <c r="AV851" s="757"/>
      <c r="AW851" s="757"/>
      <c r="AX851" s="757"/>
      <c r="AY851" s="757"/>
      <c r="AZ851" s="75"/>
      <c r="BA851" s="2"/>
      <c r="BB851" s="2"/>
      <c r="BC851" s="2"/>
      <c r="BD851" s="2"/>
    </row>
    <row r="852" spans="1:56">
      <c r="A852" s="781">
        <v>2</v>
      </c>
      <c r="B852" s="782">
        <v>243</v>
      </c>
      <c r="C852" s="783">
        <v>45260</v>
      </c>
      <c r="D852" s="785" t="s">
        <v>177</v>
      </c>
      <c r="E852" s="808">
        <v>1618</v>
      </c>
      <c r="F852" s="799"/>
      <c r="G852" s="799"/>
      <c r="H852" s="1592">
        <f t="shared" si="39"/>
        <v>0</v>
      </c>
      <c r="I852" s="754" t="str">
        <f>IFERROR(VLOOKUP(B852,Mychart!$A$125:$B$911,2,FALSE),"-")</f>
        <v>SHIHAB - ERTIKAZ</v>
      </c>
      <c r="J852" s="753">
        <f t="shared" si="40"/>
        <v>11</v>
      </c>
      <c r="K852" s="1540">
        <f t="shared" si="41"/>
        <v>2023</v>
      </c>
      <c r="L852" s="757"/>
      <c r="M852" s="757"/>
      <c r="N852" s="757"/>
      <c r="O852" s="757"/>
      <c r="P852" s="757"/>
      <c r="Q852" s="757"/>
      <c r="R852" s="757"/>
      <c r="S852" s="757"/>
      <c r="T852" s="757"/>
      <c r="U852" s="757"/>
      <c r="V852" s="757"/>
      <c r="W852" s="757"/>
      <c r="X852" s="757"/>
      <c r="Y852" s="757"/>
      <c r="Z852" s="757"/>
      <c r="AA852" s="757"/>
      <c r="AB852" s="757"/>
      <c r="AC852" s="757"/>
      <c r="AD852" s="757"/>
      <c r="AE852" s="757"/>
      <c r="AF852" s="757"/>
      <c r="AG852" s="757"/>
      <c r="AH852" s="757"/>
      <c r="AI852" s="757"/>
      <c r="AJ852" s="757"/>
      <c r="AK852" s="757"/>
      <c r="AL852" s="757"/>
      <c r="AM852" s="757"/>
      <c r="AN852" s="757"/>
      <c r="AO852" s="757"/>
      <c r="AP852" s="757"/>
      <c r="AQ852" s="757"/>
      <c r="AR852" s="757"/>
      <c r="AS852" s="757"/>
      <c r="AT852" s="757"/>
      <c r="AU852" s="757"/>
      <c r="AV852" s="757"/>
      <c r="AW852" s="757"/>
      <c r="AX852" s="757"/>
      <c r="AY852" s="757"/>
      <c r="AZ852" s="75"/>
      <c r="BA852" s="2"/>
      <c r="BB852" s="2"/>
      <c r="BC852" s="2"/>
      <c r="BD852" s="2"/>
    </row>
    <row r="853" spans="1:56">
      <c r="A853" s="781">
        <v>2</v>
      </c>
      <c r="B853" s="782">
        <v>243</v>
      </c>
      <c r="C853" s="783">
        <v>45291</v>
      </c>
      <c r="D853" s="785" t="s">
        <v>177</v>
      </c>
      <c r="E853" s="808">
        <v>228</v>
      </c>
      <c r="F853" s="799"/>
      <c r="G853" s="799"/>
      <c r="H853" s="1592">
        <f t="shared" si="39"/>
        <v>0</v>
      </c>
      <c r="I853" s="754" t="str">
        <f>IFERROR(VLOOKUP(B853,Mychart!$A$125:$B$911,2,FALSE),"-")</f>
        <v>SHIHAB - ERTIKAZ</v>
      </c>
      <c r="J853" s="753">
        <f t="shared" si="40"/>
        <v>12</v>
      </c>
      <c r="K853" s="1540">
        <f t="shared" si="41"/>
        <v>2023</v>
      </c>
      <c r="L853" s="757"/>
      <c r="M853" s="757"/>
      <c r="N853" s="757"/>
      <c r="O853" s="757"/>
      <c r="P853" s="757"/>
      <c r="Q853" s="757"/>
      <c r="R853" s="757"/>
      <c r="S853" s="757"/>
      <c r="T853" s="757"/>
      <c r="U853" s="757"/>
      <c r="V853" s="757"/>
      <c r="W853" s="757"/>
      <c r="X853" s="757"/>
      <c r="Y853" s="757"/>
      <c r="Z853" s="757"/>
      <c r="AA853" s="757"/>
      <c r="AB853" s="757"/>
      <c r="AC853" s="757"/>
      <c r="AD853" s="757"/>
      <c r="AE853" s="757"/>
      <c r="AF853" s="757"/>
      <c r="AG853" s="757"/>
      <c r="AH853" s="757"/>
      <c r="AI853" s="757"/>
      <c r="AJ853" s="757"/>
      <c r="AK853" s="757"/>
      <c r="AL853" s="757"/>
      <c r="AM853" s="757"/>
      <c r="AN853" s="757"/>
      <c r="AO853" s="757"/>
      <c r="AP853" s="757"/>
      <c r="AQ853" s="757"/>
      <c r="AR853" s="757"/>
      <c r="AS853" s="757"/>
      <c r="AT853" s="757"/>
      <c r="AU853" s="757"/>
      <c r="AV853" s="757"/>
      <c r="AW853" s="757"/>
      <c r="AX853" s="757"/>
      <c r="AY853" s="757"/>
      <c r="AZ853" s="75"/>
      <c r="BA853" s="2"/>
      <c r="BB853" s="2"/>
      <c r="BC853" s="2"/>
      <c r="BD853" s="2"/>
    </row>
    <row r="854" spans="1:56">
      <c r="A854" s="781">
        <v>2</v>
      </c>
      <c r="B854" s="782">
        <v>243</v>
      </c>
      <c r="C854" s="783">
        <v>45310</v>
      </c>
      <c r="D854" s="785" t="s">
        <v>258</v>
      </c>
      <c r="E854" s="808">
        <v>3235.05</v>
      </c>
      <c r="F854" s="799"/>
      <c r="G854" s="799"/>
      <c r="H854" s="1592">
        <f t="shared" si="39"/>
        <v>0</v>
      </c>
      <c r="I854" s="754" t="str">
        <f>IFERROR(VLOOKUP(B854,Mychart!$A$125:$B$911,2,FALSE),"-")</f>
        <v>SHIHAB - ERTIKAZ</v>
      </c>
      <c r="J854" s="753">
        <f t="shared" si="40"/>
        <v>1</v>
      </c>
      <c r="K854" s="1540">
        <f t="shared" si="41"/>
        <v>2024</v>
      </c>
      <c r="L854" s="757"/>
      <c r="M854" s="757"/>
      <c r="N854" s="757"/>
      <c r="O854" s="757"/>
      <c r="P854" s="757"/>
      <c r="Q854" s="757"/>
      <c r="R854" s="757"/>
      <c r="S854" s="757"/>
      <c r="T854" s="757"/>
      <c r="U854" s="757"/>
      <c r="V854" s="757"/>
      <c r="W854" s="757"/>
      <c r="X854" s="757"/>
      <c r="Y854" s="757"/>
      <c r="Z854" s="757"/>
      <c r="AA854" s="757"/>
      <c r="AB854" s="757"/>
      <c r="AC854" s="757"/>
      <c r="AD854" s="757"/>
      <c r="AE854" s="757"/>
      <c r="AF854" s="757"/>
      <c r="AG854" s="757"/>
      <c r="AH854" s="757"/>
      <c r="AI854" s="757"/>
      <c r="AJ854" s="757"/>
      <c r="AK854" s="757"/>
      <c r="AL854" s="757"/>
      <c r="AM854" s="757"/>
      <c r="AN854" s="757"/>
      <c r="AO854" s="757"/>
      <c r="AP854" s="757"/>
      <c r="AQ854" s="757"/>
      <c r="AR854" s="757"/>
      <c r="AS854" s="757"/>
      <c r="AT854" s="757"/>
      <c r="AU854" s="757"/>
      <c r="AV854" s="757"/>
      <c r="AW854" s="757"/>
      <c r="AX854" s="757"/>
      <c r="AY854" s="757"/>
      <c r="AZ854" s="75"/>
      <c r="BA854" s="2"/>
      <c r="BB854" s="2"/>
      <c r="BC854" s="2"/>
      <c r="BD854" s="2"/>
    </row>
    <row r="855" spans="1:56">
      <c r="A855" s="781">
        <v>2</v>
      </c>
      <c r="B855" s="782">
        <v>243</v>
      </c>
      <c r="C855" s="783">
        <v>45322</v>
      </c>
      <c r="D855" s="785" t="s">
        <v>177</v>
      </c>
      <c r="E855" s="808">
        <v>3044</v>
      </c>
      <c r="F855" s="799"/>
      <c r="G855" s="799"/>
      <c r="H855" s="1592">
        <f t="shared" si="39"/>
        <v>0</v>
      </c>
      <c r="I855" s="754" t="str">
        <f>IFERROR(VLOOKUP(B855,Mychart!$A$125:$B$911,2,FALSE),"-")</f>
        <v>SHIHAB - ERTIKAZ</v>
      </c>
      <c r="J855" s="753">
        <f t="shared" si="40"/>
        <v>1</v>
      </c>
      <c r="K855" s="1540">
        <f t="shared" si="41"/>
        <v>2024</v>
      </c>
      <c r="L855" s="757"/>
      <c r="M855" s="757"/>
      <c r="N855" s="757"/>
      <c r="O855" s="757"/>
      <c r="P855" s="757"/>
      <c r="Q855" s="757"/>
      <c r="R855" s="757"/>
      <c r="S855" s="757"/>
      <c r="T855" s="757"/>
      <c r="U855" s="757"/>
      <c r="V855" s="757"/>
      <c r="W855" s="757"/>
      <c r="X855" s="757"/>
      <c r="Y855" s="757"/>
      <c r="Z855" s="757"/>
      <c r="AA855" s="757"/>
      <c r="AB855" s="757"/>
      <c r="AC855" s="757"/>
      <c r="AD855" s="757"/>
      <c r="AE855" s="757"/>
      <c r="AF855" s="757"/>
      <c r="AG855" s="757"/>
      <c r="AH855" s="757"/>
      <c r="AI855" s="757"/>
      <c r="AJ855" s="757"/>
      <c r="AK855" s="757"/>
      <c r="AL855" s="757"/>
      <c r="AM855" s="757"/>
      <c r="AN855" s="757"/>
      <c r="AO855" s="757"/>
      <c r="AP855" s="757"/>
      <c r="AQ855" s="757"/>
      <c r="AR855" s="757"/>
      <c r="AS855" s="757"/>
      <c r="AT855" s="757"/>
      <c r="AU855" s="757"/>
      <c r="AV855" s="757"/>
      <c r="AW855" s="757"/>
      <c r="AX855" s="757"/>
      <c r="AY855" s="757"/>
      <c r="AZ855" s="75"/>
      <c r="BA855" s="2"/>
      <c r="BB855" s="2"/>
      <c r="BC855" s="2"/>
      <c r="BD855" s="2"/>
    </row>
    <row r="856" spans="1:56">
      <c r="A856" s="781">
        <v>2</v>
      </c>
      <c r="B856" s="782">
        <v>243</v>
      </c>
      <c r="C856" s="783">
        <v>45355</v>
      </c>
      <c r="D856" s="785" t="s">
        <v>383</v>
      </c>
      <c r="E856" s="808">
        <v>17771.25</v>
      </c>
      <c r="F856" s="799"/>
      <c r="G856" s="799"/>
      <c r="H856" s="1592">
        <f t="shared" si="39"/>
        <v>0</v>
      </c>
      <c r="I856" s="754" t="str">
        <f>IFERROR(VLOOKUP(B856,Mychart!$A$125:$B$911,2,FALSE),"-")</f>
        <v>SHIHAB - ERTIKAZ</v>
      </c>
      <c r="J856" s="753">
        <f t="shared" si="40"/>
        <v>3</v>
      </c>
      <c r="K856" s="1540">
        <f t="shared" si="41"/>
        <v>2024</v>
      </c>
      <c r="L856" s="757"/>
      <c r="M856" s="757"/>
      <c r="N856" s="757"/>
      <c r="O856" s="757"/>
      <c r="P856" s="757"/>
      <c r="Q856" s="757"/>
      <c r="R856" s="757"/>
      <c r="S856" s="757"/>
      <c r="T856" s="757"/>
      <c r="U856" s="757"/>
      <c r="V856" s="757"/>
      <c r="W856" s="757"/>
      <c r="X856" s="757"/>
      <c r="Y856" s="757"/>
      <c r="Z856" s="757"/>
      <c r="AA856" s="757"/>
      <c r="AB856" s="757"/>
      <c r="AC856" s="757"/>
      <c r="AD856" s="757"/>
      <c r="AE856" s="757"/>
      <c r="AF856" s="757"/>
      <c r="AG856" s="757"/>
      <c r="AH856" s="757"/>
      <c r="AI856" s="757"/>
      <c r="AJ856" s="757"/>
      <c r="AK856" s="757"/>
      <c r="AL856" s="757"/>
      <c r="AM856" s="757"/>
      <c r="AN856" s="757"/>
      <c r="AO856" s="757"/>
      <c r="AP856" s="757"/>
      <c r="AQ856" s="757"/>
      <c r="AR856" s="757"/>
      <c r="AS856" s="757"/>
      <c r="AT856" s="757"/>
      <c r="AU856" s="757"/>
      <c r="AV856" s="757"/>
      <c r="AW856" s="757"/>
      <c r="AX856" s="757"/>
      <c r="AY856" s="757"/>
      <c r="AZ856" s="75"/>
      <c r="BA856" s="2"/>
      <c r="BB856" s="2"/>
      <c r="BC856" s="2"/>
      <c r="BD856" s="2"/>
    </row>
    <row r="857" spans="1:56">
      <c r="A857" s="781">
        <v>2</v>
      </c>
      <c r="B857" s="782">
        <v>243</v>
      </c>
      <c r="C857" s="783">
        <v>45351</v>
      </c>
      <c r="D857" s="785" t="s">
        <v>177</v>
      </c>
      <c r="E857" s="808">
        <v>585</v>
      </c>
      <c r="F857" s="799"/>
      <c r="G857" s="799"/>
      <c r="H857" s="1592">
        <f t="shared" si="39"/>
        <v>0</v>
      </c>
      <c r="I857" s="754" t="str">
        <f>IFERROR(VLOOKUP(B857,Mychart!$A$125:$B$911,2,FALSE),"-")</f>
        <v>SHIHAB - ERTIKAZ</v>
      </c>
      <c r="J857" s="753">
        <f t="shared" si="40"/>
        <v>2</v>
      </c>
      <c r="K857" s="1540">
        <f t="shared" si="41"/>
        <v>2024</v>
      </c>
      <c r="L857" s="757"/>
      <c r="M857" s="757"/>
      <c r="N857" s="757"/>
      <c r="O857" s="757"/>
      <c r="P857" s="757"/>
      <c r="Q857" s="757"/>
      <c r="R857" s="757"/>
      <c r="S857" s="757"/>
      <c r="T857" s="757"/>
      <c r="U857" s="757"/>
      <c r="V857" s="757"/>
      <c r="W857" s="757"/>
      <c r="X857" s="757"/>
      <c r="Y857" s="757"/>
      <c r="Z857" s="757"/>
      <c r="AA857" s="757"/>
      <c r="AB857" s="757"/>
      <c r="AC857" s="757"/>
      <c r="AD857" s="757"/>
      <c r="AE857" s="757"/>
      <c r="AF857" s="757"/>
      <c r="AG857" s="757"/>
      <c r="AH857" s="757"/>
      <c r="AI857" s="757"/>
      <c r="AJ857" s="757"/>
      <c r="AK857" s="757"/>
      <c r="AL857" s="757"/>
      <c r="AM857" s="757"/>
      <c r="AN857" s="757"/>
      <c r="AO857" s="757"/>
      <c r="AP857" s="757"/>
      <c r="AQ857" s="757"/>
      <c r="AR857" s="757"/>
      <c r="AS857" s="757"/>
      <c r="AT857" s="757"/>
      <c r="AU857" s="757"/>
      <c r="AV857" s="757"/>
      <c r="AW857" s="757"/>
      <c r="AX857" s="757"/>
      <c r="AY857" s="757"/>
      <c r="AZ857" s="75"/>
      <c r="BA857" s="2"/>
      <c r="BB857" s="2"/>
      <c r="BC857" s="2"/>
      <c r="BD857" s="2"/>
    </row>
    <row r="858" spans="1:56">
      <c r="A858" s="781">
        <v>2</v>
      </c>
      <c r="B858" s="782">
        <v>243</v>
      </c>
      <c r="C858" s="783">
        <v>45335</v>
      </c>
      <c r="D858" s="785" t="s">
        <v>380</v>
      </c>
      <c r="E858" s="808">
        <v>332.58</v>
      </c>
      <c r="F858" s="799"/>
      <c r="G858" s="799"/>
      <c r="H858" s="1592">
        <f t="shared" si="39"/>
        <v>0</v>
      </c>
      <c r="I858" s="754" t="str">
        <f>IFERROR(VLOOKUP(B858,Mychart!$A$125:$B$911,2,FALSE),"-")</f>
        <v>SHIHAB - ERTIKAZ</v>
      </c>
      <c r="J858" s="753">
        <f t="shared" si="40"/>
        <v>2</v>
      </c>
      <c r="K858" s="1540">
        <f t="shared" si="41"/>
        <v>2024</v>
      </c>
      <c r="L858" s="757"/>
      <c r="M858" s="757"/>
      <c r="N858" s="757"/>
      <c r="O858" s="757"/>
      <c r="P858" s="757"/>
      <c r="Q858" s="757"/>
      <c r="R858" s="757"/>
      <c r="S858" s="757"/>
      <c r="T858" s="757"/>
      <c r="U858" s="757"/>
      <c r="V858" s="757"/>
      <c r="W858" s="757"/>
      <c r="X858" s="757"/>
      <c r="Y858" s="757"/>
      <c r="Z858" s="757"/>
      <c r="AA858" s="757"/>
      <c r="AB858" s="757"/>
      <c r="AC858" s="757"/>
      <c r="AD858" s="757"/>
      <c r="AE858" s="757"/>
      <c r="AF858" s="757"/>
      <c r="AG858" s="757"/>
      <c r="AH858" s="757"/>
      <c r="AI858" s="757"/>
      <c r="AJ858" s="757"/>
      <c r="AK858" s="757"/>
      <c r="AL858" s="757"/>
      <c r="AM858" s="757"/>
      <c r="AN858" s="757"/>
      <c r="AO858" s="757"/>
      <c r="AP858" s="757"/>
      <c r="AQ858" s="757"/>
      <c r="AR858" s="757"/>
      <c r="AS858" s="757"/>
      <c r="AT858" s="757"/>
      <c r="AU858" s="757"/>
      <c r="AV858" s="757"/>
      <c r="AW858" s="757"/>
      <c r="AX858" s="757"/>
      <c r="AY858" s="757"/>
      <c r="AZ858" s="75"/>
      <c r="BA858" s="2"/>
      <c r="BB858" s="2"/>
      <c r="BC858" s="2"/>
      <c r="BD858" s="2"/>
    </row>
    <row r="859" spans="1:56">
      <c r="A859" s="781">
        <v>2</v>
      </c>
      <c r="B859" s="782">
        <v>243</v>
      </c>
      <c r="C859" s="783">
        <v>45382</v>
      </c>
      <c r="D859" s="785" t="s">
        <v>177</v>
      </c>
      <c r="E859" s="808">
        <v>5281</v>
      </c>
      <c r="F859" s="799"/>
      <c r="G859" s="799"/>
      <c r="H859" s="1592">
        <f t="shared" si="39"/>
        <v>0</v>
      </c>
      <c r="I859" s="754" t="str">
        <f>IFERROR(VLOOKUP(B859,Mychart!$A$125:$B$911,2,FALSE),"-")</f>
        <v>SHIHAB - ERTIKAZ</v>
      </c>
      <c r="J859" s="753">
        <f t="shared" si="40"/>
        <v>3</v>
      </c>
      <c r="K859" s="1540">
        <f t="shared" si="41"/>
        <v>2024</v>
      </c>
      <c r="L859" s="757"/>
      <c r="M859" s="757"/>
      <c r="N859" s="757"/>
      <c r="O859" s="757"/>
      <c r="P859" s="757"/>
      <c r="Q859" s="757"/>
      <c r="R859" s="757"/>
      <c r="S859" s="757"/>
      <c r="T859" s="757"/>
      <c r="U859" s="757"/>
      <c r="V859" s="757"/>
      <c r="W859" s="757"/>
      <c r="X859" s="757"/>
      <c r="Y859" s="757"/>
      <c r="Z859" s="757"/>
      <c r="AA859" s="757"/>
      <c r="AB859" s="757"/>
      <c r="AC859" s="757"/>
      <c r="AD859" s="757"/>
      <c r="AE859" s="757"/>
      <c r="AF859" s="757"/>
      <c r="AG859" s="757"/>
      <c r="AH859" s="757"/>
      <c r="AI859" s="757"/>
      <c r="AJ859" s="757"/>
      <c r="AK859" s="757"/>
      <c r="AL859" s="757"/>
      <c r="AM859" s="757"/>
      <c r="AN859" s="757"/>
      <c r="AO859" s="757"/>
      <c r="AP859" s="757"/>
      <c r="AQ859" s="757"/>
      <c r="AR859" s="757"/>
      <c r="AS859" s="757"/>
      <c r="AT859" s="757"/>
      <c r="AU859" s="757"/>
      <c r="AV859" s="757"/>
      <c r="AW859" s="757"/>
      <c r="AX859" s="757"/>
      <c r="AY859" s="757"/>
      <c r="AZ859" s="75"/>
      <c r="BA859" s="2"/>
      <c r="BB859" s="2"/>
      <c r="BC859" s="2"/>
      <c r="BD859" s="2"/>
    </row>
    <row r="860" spans="1:56">
      <c r="A860" s="781">
        <v>2</v>
      </c>
      <c r="B860" s="782">
        <v>243</v>
      </c>
      <c r="C860" s="783">
        <v>45443</v>
      </c>
      <c r="D860" s="785" t="s">
        <v>177</v>
      </c>
      <c r="E860" s="808">
        <v>2061</v>
      </c>
      <c r="F860" s="799"/>
      <c r="G860" s="799"/>
      <c r="H860" s="1592">
        <f t="shared" si="39"/>
        <v>0</v>
      </c>
      <c r="I860" s="754" t="str">
        <f>IFERROR(VLOOKUP(B860,Mychart!$A$125:$B$911,2,FALSE),"-")</f>
        <v>SHIHAB - ERTIKAZ</v>
      </c>
      <c r="J860" s="753">
        <f t="shared" si="40"/>
        <v>5</v>
      </c>
      <c r="K860" s="1540">
        <f t="shared" si="41"/>
        <v>2024</v>
      </c>
      <c r="L860" s="757"/>
      <c r="M860" s="757"/>
      <c r="N860" s="757"/>
      <c r="O860" s="757"/>
      <c r="P860" s="757"/>
      <c r="Q860" s="757"/>
      <c r="R860" s="757"/>
      <c r="S860" s="757"/>
      <c r="T860" s="757"/>
      <c r="U860" s="757"/>
      <c r="V860" s="757"/>
      <c r="W860" s="757"/>
      <c r="X860" s="757"/>
      <c r="Y860" s="757"/>
      <c r="Z860" s="757"/>
      <c r="AA860" s="757"/>
      <c r="AB860" s="757"/>
      <c r="AC860" s="757"/>
      <c r="AD860" s="757"/>
      <c r="AE860" s="757"/>
      <c r="AF860" s="757"/>
      <c r="AG860" s="757"/>
      <c r="AH860" s="757"/>
      <c r="AI860" s="757"/>
      <c r="AJ860" s="757"/>
      <c r="AK860" s="757"/>
      <c r="AL860" s="757"/>
      <c r="AM860" s="757"/>
      <c r="AN860" s="757"/>
      <c r="AO860" s="757"/>
      <c r="AP860" s="757"/>
      <c r="AQ860" s="757"/>
      <c r="AR860" s="757"/>
      <c r="AS860" s="757"/>
      <c r="AT860" s="757"/>
      <c r="AU860" s="757"/>
      <c r="AV860" s="757"/>
      <c r="AW860" s="757"/>
      <c r="AX860" s="757"/>
      <c r="AY860" s="757"/>
      <c r="AZ860" s="75"/>
      <c r="BA860" s="2"/>
      <c r="BB860" s="2"/>
      <c r="BC860" s="2"/>
      <c r="BD860" s="2"/>
    </row>
    <row r="861" spans="1:56">
      <c r="A861" s="781">
        <v>1</v>
      </c>
      <c r="B861" s="782">
        <v>252</v>
      </c>
      <c r="C861" s="783">
        <v>45482</v>
      </c>
      <c r="D861" s="785" t="s">
        <v>848</v>
      </c>
      <c r="E861" s="808"/>
      <c r="F861" s="799">
        <v>79657.5</v>
      </c>
      <c r="G861" s="799">
        <v>3982.875</v>
      </c>
      <c r="H861" s="1592">
        <f t="shared" si="39"/>
        <v>83640.375</v>
      </c>
      <c r="I861" s="754" t="str">
        <f>IFERROR(VLOOKUP(B861,Mychart!$A$125:$B$911,2,FALSE),"-")</f>
        <v>Mohamed Saif - HBC</v>
      </c>
      <c r="J861" s="753">
        <f t="shared" si="40"/>
        <v>7</v>
      </c>
      <c r="K861" s="1540">
        <f t="shared" si="41"/>
        <v>2024</v>
      </c>
      <c r="L861" s="757"/>
      <c r="M861" s="757"/>
      <c r="N861" s="757"/>
      <c r="O861" s="757"/>
      <c r="P861" s="757"/>
      <c r="Q861" s="757"/>
      <c r="R861" s="757"/>
      <c r="S861" s="757"/>
      <c r="T861" s="757"/>
      <c r="U861" s="757"/>
      <c r="V861" s="757"/>
      <c r="W861" s="757"/>
      <c r="X861" s="757"/>
      <c r="Y861" s="757"/>
      <c r="Z861" s="757"/>
      <c r="AA861" s="757"/>
      <c r="AB861" s="757"/>
      <c r="AC861" s="757"/>
      <c r="AD861" s="757"/>
      <c r="AE861" s="757"/>
      <c r="AF861" s="757"/>
      <c r="AG861" s="757"/>
      <c r="AH861" s="757"/>
      <c r="AI861" s="757"/>
      <c r="AJ861" s="757"/>
      <c r="AK861" s="757"/>
      <c r="AL861" s="757"/>
      <c r="AM861" s="757"/>
      <c r="AN861" s="757"/>
      <c r="AO861" s="757"/>
      <c r="AP861" s="757"/>
      <c r="AQ861" s="757"/>
      <c r="AR861" s="757"/>
      <c r="AS861" s="757"/>
      <c r="AT861" s="757"/>
      <c r="AU861" s="757"/>
      <c r="AV861" s="757"/>
      <c r="AW861" s="757"/>
      <c r="AX861" s="757"/>
      <c r="AY861" s="757"/>
      <c r="AZ861" s="75"/>
      <c r="BA861" s="2"/>
      <c r="BB861" s="2"/>
      <c r="BC861" s="2"/>
      <c r="BD861" s="2"/>
    </row>
    <row r="862" spans="1:56">
      <c r="A862" s="781">
        <v>1</v>
      </c>
      <c r="B862" s="782">
        <v>217</v>
      </c>
      <c r="C862" s="783">
        <v>45481</v>
      </c>
      <c r="D862" s="785" t="s">
        <v>1343</v>
      </c>
      <c r="E862" s="808"/>
      <c r="F862" s="799">
        <v>0</v>
      </c>
      <c r="G862" s="799">
        <v>0</v>
      </c>
      <c r="H862" s="1592">
        <f t="shared" si="39"/>
        <v>0</v>
      </c>
      <c r="I862" s="754" t="str">
        <f>IFERROR(VLOOKUP(B862,Mychart!$A$125:$B$911,2,FALSE),"-")</f>
        <v>MOHAMED MUHAIR . AREEJ</v>
      </c>
      <c r="J862" s="753">
        <f t="shared" si="40"/>
        <v>7</v>
      </c>
      <c r="K862" s="1540">
        <f t="shared" si="41"/>
        <v>2024</v>
      </c>
      <c r="L862" s="757"/>
      <c r="M862" s="757"/>
      <c r="N862" s="757"/>
      <c r="O862" s="757"/>
      <c r="P862" s="757"/>
      <c r="Q862" s="757"/>
      <c r="R862" s="757"/>
      <c r="S862" s="757"/>
      <c r="T862" s="757"/>
      <c r="U862" s="757"/>
      <c r="V862" s="757"/>
      <c r="W862" s="757"/>
      <c r="X862" s="757"/>
      <c r="Y862" s="757"/>
      <c r="Z862" s="757"/>
      <c r="AA862" s="757"/>
      <c r="AB862" s="757"/>
      <c r="AC862" s="757"/>
      <c r="AD862" s="757"/>
      <c r="AE862" s="757"/>
      <c r="AF862" s="757"/>
      <c r="AG862" s="757"/>
      <c r="AH862" s="757"/>
      <c r="AI862" s="757"/>
      <c r="AJ862" s="757"/>
      <c r="AK862" s="757"/>
      <c r="AL862" s="757"/>
      <c r="AM862" s="757"/>
      <c r="AN862" s="757"/>
      <c r="AO862" s="757"/>
      <c r="AP862" s="757"/>
      <c r="AQ862" s="757"/>
      <c r="AR862" s="757"/>
      <c r="AS862" s="757"/>
      <c r="AT862" s="757"/>
      <c r="AU862" s="757"/>
      <c r="AV862" s="757"/>
      <c r="AW862" s="757"/>
      <c r="AX862" s="757"/>
      <c r="AY862" s="757"/>
      <c r="AZ862" s="75"/>
      <c r="BA862" s="2"/>
      <c r="BB862" s="2"/>
      <c r="BC862" s="2"/>
      <c r="BD862" s="2"/>
    </row>
    <row r="863" spans="1:56">
      <c r="A863" s="70">
        <v>2</v>
      </c>
      <c r="B863" s="792">
        <v>234</v>
      </c>
      <c r="C863" s="134">
        <v>45476</v>
      </c>
      <c r="D863" s="787" t="s">
        <v>849</v>
      </c>
      <c r="E863" s="807">
        <v>4000</v>
      </c>
      <c r="F863" s="799"/>
      <c r="G863" s="799"/>
      <c r="H863" s="1592">
        <f t="shared" si="39"/>
        <v>0</v>
      </c>
      <c r="I863" s="754" t="str">
        <f>IFERROR(VLOOKUP(B863,Mychart!$A$125:$B$911,2,FALSE),"-")</f>
        <v>HASSAN KAHMIS NAQIB - AREEJ</v>
      </c>
      <c r="J863" s="753">
        <f t="shared" si="40"/>
        <v>7</v>
      </c>
      <c r="K863" s="1540">
        <f t="shared" si="41"/>
        <v>2024</v>
      </c>
      <c r="L863" s="757"/>
      <c r="M863" s="757"/>
      <c r="N863" s="757"/>
      <c r="O863" s="757"/>
      <c r="P863" s="757"/>
      <c r="Q863" s="757"/>
      <c r="R863" s="757"/>
      <c r="S863" s="757"/>
      <c r="T863" s="757"/>
      <c r="U863" s="757"/>
      <c r="V863" s="757"/>
      <c r="W863" s="757"/>
      <c r="X863" s="757"/>
      <c r="Y863" s="757"/>
      <c r="Z863" s="757"/>
      <c r="AA863" s="757"/>
      <c r="AB863" s="757"/>
      <c r="AC863" s="757"/>
      <c r="AD863" s="757"/>
      <c r="AE863" s="757"/>
      <c r="AF863" s="757"/>
      <c r="AG863" s="757"/>
      <c r="AH863" s="757"/>
      <c r="AI863" s="757"/>
      <c r="AJ863" s="757"/>
      <c r="AK863" s="757"/>
      <c r="AL863" s="757"/>
      <c r="AM863" s="757"/>
      <c r="AN863" s="757"/>
      <c r="AO863" s="757"/>
      <c r="AP863" s="757"/>
      <c r="AQ863" s="757"/>
      <c r="AR863" s="757"/>
      <c r="AS863" s="757"/>
      <c r="AT863" s="757"/>
      <c r="AU863" s="757"/>
      <c r="AV863" s="757"/>
      <c r="AW863" s="757"/>
      <c r="AX863" s="757"/>
      <c r="AY863" s="757"/>
      <c r="AZ863" s="75"/>
      <c r="BA863" s="2"/>
      <c r="BB863" s="2"/>
      <c r="BC863" s="2"/>
      <c r="BD863" s="2"/>
    </row>
    <row r="864" spans="1:56">
      <c r="A864" s="781">
        <v>2</v>
      </c>
      <c r="B864" s="782">
        <v>215</v>
      </c>
      <c r="C864" s="783">
        <v>45398</v>
      </c>
      <c r="D864" s="785" t="s">
        <v>851</v>
      </c>
      <c r="E864" s="808">
        <v>5638.49</v>
      </c>
      <c r="F864" s="799"/>
      <c r="G864" s="799"/>
      <c r="H864" s="1592">
        <f t="shared" si="39"/>
        <v>0</v>
      </c>
      <c r="I864" s="754" t="str">
        <f>IFERROR(VLOOKUP(B864,Mychart!$A$125:$B$911,2,FALSE),"-")</f>
        <v>SAIF - IDEAL SYSTEMS CONTRACTING</v>
      </c>
      <c r="J864" s="753">
        <f t="shared" si="40"/>
        <v>4</v>
      </c>
      <c r="K864" s="1540">
        <f t="shared" si="41"/>
        <v>2024</v>
      </c>
      <c r="L864" s="757"/>
      <c r="M864" s="757"/>
      <c r="N864" s="757"/>
      <c r="O864" s="757"/>
      <c r="P864" s="757"/>
      <c r="Q864" s="757"/>
      <c r="R864" s="757"/>
      <c r="S864" s="757"/>
      <c r="T864" s="757"/>
      <c r="U864" s="757"/>
      <c r="V864" s="757"/>
      <c r="W864" s="757"/>
      <c r="X864" s="757"/>
      <c r="Y864" s="757"/>
      <c r="Z864" s="757"/>
      <c r="AA864" s="757"/>
      <c r="AB864" s="757"/>
      <c r="AC864" s="757"/>
      <c r="AD864" s="757"/>
      <c r="AE864" s="757"/>
      <c r="AF864" s="757"/>
      <c r="AG864" s="757"/>
      <c r="AH864" s="757"/>
      <c r="AI864" s="757"/>
      <c r="AJ864" s="757"/>
      <c r="AK864" s="757"/>
      <c r="AL864" s="757"/>
      <c r="AM864" s="757"/>
      <c r="AN864" s="757"/>
      <c r="AO864" s="757"/>
      <c r="AP864" s="757"/>
      <c r="AQ864" s="757"/>
      <c r="AR864" s="757"/>
      <c r="AS864" s="757"/>
      <c r="AT864" s="757"/>
      <c r="AU864" s="757"/>
      <c r="AV864" s="757"/>
      <c r="AW864" s="757"/>
      <c r="AX864" s="757"/>
      <c r="AY864" s="757"/>
      <c r="AZ864" s="75"/>
      <c r="BA864" s="2"/>
      <c r="BB864" s="2"/>
      <c r="BC864" s="2"/>
      <c r="BD864" s="2"/>
    </row>
    <row r="865" spans="1:56">
      <c r="A865" s="781">
        <v>1</v>
      </c>
      <c r="B865" s="782">
        <v>250</v>
      </c>
      <c r="C865" s="783">
        <v>45273</v>
      </c>
      <c r="D865" s="785" t="s">
        <v>992</v>
      </c>
      <c r="E865" s="808"/>
      <c r="F865" s="799">
        <v>8500</v>
      </c>
      <c r="G865" s="799">
        <v>425</v>
      </c>
      <c r="H865" s="1592">
        <f t="shared" si="39"/>
        <v>8925</v>
      </c>
      <c r="I865" s="754" t="str">
        <f>IFERROR(VLOOKUP(B865,Mychart!$A$125:$B$911,2,FALSE),"-")</f>
        <v>ABDULLAH JASSEM-DYNAMIC</v>
      </c>
      <c r="J865" s="753">
        <f t="shared" si="40"/>
        <v>12</v>
      </c>
      <c r="K865" s="1540">
        <f t="shared" si="41"/>
        <v>2023</v>
      </c>
      <c r="L865" s="757"/>
      <c r="M865" s="757"/>
      <c r="N865" s="757"/>
      <c r="O865" s="757"/>
      <c r="P865" s="757"/>
      <c r="Q865" s="757"/>
      <c r="R865" s="757"/>
      <c r="S865" s="757"/>
      <c r="T865" s="757"/>
      <c r="U865" s="757"/>
      <c r="V865" s="757"/>
      <c r="W865" s="757"/>
      <c r="X865" s="757"/>
      <c r="Y865" s="757"/>
      <c r="Z865" s="757"/>
      <c r="AA865" s="757"/>
      <c r="AB865" s="757"/>
      <c r="AC865" s="757"/>
      <c r="AD865" s="757"/>
      <c r="AE865" s="757"/>
      <c r="AF865" s="757"/>
      <c r="AG865" s="757"/>
      <c r="AH865" s="757"/>
      <c r="AI865" s="757"/>
      <c r="AJ865" s="757"/>
      <c r="AK865" s="757"/>
      <c r="AL865" s="757"/>
      <c r="AM865" s="757"/>
      <c r="AN865" s="757"/>
      <c r="AO865" s="757"/>
      <c r="AP865" s="757"/>
      <c r="AQ865" s="757"/>
      <c r="AR865" s="757"/>
      <c r="AS865" s="757"/>
      <c r="AT865" s="757"/>
      <c r="AU865" s="757"/>
      <c r="AV865" s="757"/>
      <c r="AW865" s="757"/>
      <c r="AX865" s="757"/>
      <c r="AY865" s="757"/>
      <c r="AZ865" s="75"/>
      <c r="BA865" s="2"/>
      <c r="BB865" s="2"/>
      <c r="BC865" s="2"/>
      <c r="BD865" s="2"/>
    </row>
    <row r="866" spans="1:56">
      <c r="A866" s="781">
        <v>1</v>
      </c>
      <c r="B866" s="782">
        <v>250</v>
      </c>
      <c r="C866" s="783">
        <v>45381</v>
      </c>
      <c r="D866" s="785" t="s">
        <v>993</v>
      </c>
      <c r="E866" s="808"/>
      <c r="F866" s="799">
        <v>40125</v>
      </c>
      <c r="G866" s="799">
        <v>2006.25</v>
      </c>
      <c r="H866" s="1592">
        <f t="shared" si="39"/>
        <v>42131.25</v>
      </c>
      <c r="I866" s="754" t="str">
        <f>IFERROR(VLOOKUP(B866,Mychart!$A$125:$B$911,2,FALSE),"-")</f>
        <v>ABDULLAH JASSEM-DYNAMIC</v>
      </c>
      <c r="J866" s="753">
        <f t="shared" si="40"/>
        <v>3</v>
      </c>
      <c r="K866" s="1540">
        <f t="shared" si="41"/>
        <v>2024</v>
      </c>
      <c r="L866" s="757"/>
      <c r="M866" s="757"/>
      <c r="N866" s="757"/>
      <c r="O866" s="757"/>
      <c r="P866" s="757"/>
      <c r="Q866" s="757"/>
      <c r="R866" s="757"/>
      <c r="S866" s="757"/>
      <c r="T866" s="757"/>
      <c r="U866" s="757"/>
      <c r="V866" s="757"/>
      <c r="W866" s="757"/>
      <c r="X866" s="757"/>
      <c r="Y866" s="757"/>
      <c r="Z866" s="757"/>
      <c r="AA866" s="757"/>
      <c r="AB866" s="757"/>
      <c r="AC866" s="757"/>
      <c r="AD866" s="757"/>
      <c r="AE866" s="757"/>
      <c r="AF866" s="757"/>
      <c r="AG866" s="757"/>
      <c r="AH866" s="757"/>
      <c r="AI866" s="757"/>
      <c r="AJ866" s="757"/>
      <c r="AK866" s="757"/>
      <c r="AL866" s="757"/>
      <c r="AM866" s="757"/>
      <c r="AN866" s="757"/>
      <c r="AO866" s="757"/>
      <c r="AP866" s="757"/>
      <c r="AQ866" s="757"/>
      <c r="AR866" s="757"/>
      <c r="AS866" s="757"/>
      <c r="AT866" s="757"/>
      <c r="AU866" s="757"/>
      <c r="AV866" s="757"/>
      <c r="AW866" s="757"/>
      <c r="AX866" s="757"/>
      <c r="AY866" s="757"/>
      <c r="AZ866" s="75"/>
      <c r="BA866" s="2"/>
      <c r="BB866" s="2"/>
      <c r="BC866" s="2"/>
      <c r="BD866" s="2"/>
    </row>
    <row r="867" spans="1:56">
      <c r="A867" s="781">
        <v>1</v>
      </c>
      <c r="B867" s="782">
        <v>250</v>
      </c>
      <c r="C867" s="783">
        <v>45416</v>
      </c>
      <c r="D867" s="785" t="s">
        <v>994</v>
      </c>
      <c r="E867" s="808"/>
      <c r="F867" s="799">
        <v>32946</v>
      </c>
      <c r="G867" s="799">
        <v>1647.3000000000002</v>
      </c>
      <c r="H867" s="1592">
        <f t="shared" si="39"/>
        <v>34593.300000000003</v>
      </c>
      <c r="I867" s="754" t="str">
        <f>IFERROR(VLOOKUP(B867,Mychart!$A$125:$B$911,2,FALSE),"-")</f>
        <v>ABDULLAH JASSEM-DYNAMIC</v>
      </c>
      <c r="J867" s="753">
        <f t="shared" si="40"/>
        <v>5</v>
      </c>
      <c r="K867" s="1540">
        <f t="shared" si="41"/>
        <v>2024</v>
      </c>
      <c r="L867" s="757"/>
      <c r="M867" s="757"/>
      <c r="N867" s="757"/>
      <c r="O867" s="757"/>
      <c r="P867" s="757"/>
      <c r="Q867" s="757"/>
      <c r="R867" s="757"/>
      <c r="S867" s="757"/>
      <c r="T867" s="757"/>
      <c r="U867" s="757"/>
      <c r="V867" s="757"/>
      <c r="W867" s="757"/>
      <c r="X867" s="757"/>
      <c r="Y867" s="757"/>
      <c r="Z867" s="757"/>
      <c r="AA867" s="757"/>
      <c r="AB867" s="757"/>
      <c r="AC867" s="757"/>
      <c r="AD867" s="757"/>
      <c r="AE867" s="757"/>
      <c r="AF867" s="757"/>
      <c r="AG867" s="757"/>
      <c r="AH867" s="757"/>
      <c r="AI867" s="757"/>
      <c r="AJ867" s="757"/>
      <c r="AK867" s="757"/>
      <c r="AL867" s="757"/>
      <c r="AM867" s="757"/>
      <c r="AN867" s="757"/>
      <c r="AO867" s="757"/>
      <c r="AP867" s="757"/>
      <c r="AQ867" s="757"/>
      <c r="AR867" s="757"/>
      <c r="AS867" s="757"/>
      <c r="AT867" s="757"/>
      <c r="AU867" s="757"/>
      <c r="AV867" s="757"/>
      <c r="AW867" s="757"/>
      <c r="AX867" s="757"/>
      <c r="AY867" s="757"/>
      <c r="AZ867" s="75"/>
      <c r="BA867" s="2"/>
      <c r="BB867" s="2"/>
      <c r="BC867" s="2"/>
      <c r="BD867" s="2"/>
    </row>
    <row r="868" spans="1:56">
      <c r="A868" s="781">
        <v>1</v>
      </c>
      <c r="B868" s="782">
        <v>250</v>
      </c>
      <c r="C868" s="783">
        <v>45493</v>
      </c>
      <c r="D868" s="785" t="s">
        <v>1035</v>
      </c>
      <c r="E868" s="808"/>
      <c r="F868" s="799">
        <v>7179</v>
      </c>
      <c r="G868" s="799">
        <v>358</v>
      </c>
      <c r="H868" s="1592">
        <f t="shared" si="39"/>
        <v>7537</v>
      </c>
      <c r="I868" s="754" t="str">
        <f>IFERROR(VLOOKUP(B868,Mychart!$A$125:$B$911,2,FALSE),"-")</f>
        <v>ABDULLAH JASSEM-DYNAMIC</v>
      </c>
      <c r="J868" s="753">
        <f t="shared" si="40"/>
        <v>7</v>
      </c>
      <c r="K868" s="1540">
        <f t="shared" si="41"/>
        <v>2024</v>
      </c>
      <c r="L868" s="757"/>
      <c r="M868" s="757"/>
      <c r="N868" s="757"/>
      <c r="O868" s="757"/>
      <c r="P868" s="757"/>
      <c r="Q868" s="757"/>
      <c r="R868" s="757"/>
      <c r="S868" s="757"/>
      <c r="T868" s="757"/>
      <c r="U868" s="757"/>
      <c r="V868" s="757"/>
      <c r="W868" s="757"/>
      <c r="X868" s="757"/>
      <c r="Y868" s="757"/>
      <c r="Z868" s="757"/>
      <c r="AA868" s="757"/>
      <c r="AB868" s="757"/>
      <c r="AC868" s="757"/>
      <c r="AD868" s="757"/>
      <c r="AE868" s="757"/>
      <c r="AF868" s="757"/>
      <c r="AG868" s="757"/>
      <c r="AH868" s="757"/>
      <c r="AI868" s="757"/>
      <c r="AJ868" s="757"/>
      <c r="AK868" s="757"/>
      <c r="AL868" s="757"/>
      <c r="AM868" s="757"/>
      <c r="AN868" s="757"/>
      <c r="AO868" s="757"/>
      <c r="AP868" s="757"/>
      <c r="AQ868" s="757"/>
      <c r="AR868" s="757"/>
      <c r="AS868" s="757"/>
      <c r="AT868" s="757"/>
      <c r="AU868" s="757"/>
      <c r="AV868" s="757"/>
      <c r="AW868" s="757"/>
      <c r="AX868" s="757"/>
      <c r="AY868" s="757"/>
      <c r="AZ868" s="75"/>
      <c r="BA868" s="2"/>
      <c r="BB868" s="2"/>
      <c r="BC868" s="2"/>
      <c r="BD868" s="2"/>
    </row>
    <row r="869" spans="1:56">
      <c r="A869" s="781">
        <v>2</v>
      </c>
      <c r="B869" s="782">
        <v>250</v>
      </c>
      <c r="C869" s="783">
        <v>45351</v>
      </c>
      <c r="D869" s="785" t="s">
        <v>393</v>
      </c>
      <c r="E869" s="808">
        <v>2349</v>
      </c>
      <c r="F869" s="799"/>
      <c r="G869" s="799"/>
      <c r="H869" s="1592">
        <f t="shared" si="39"/>
        <v>0</v>
      </c>
      <c r="I869" s="754" t="str">
        <f>IFERROR(VLOOKUP(B869,Mychart!$A$125:$B$911,2,FALSE),"-")</f>
        <v>ABDULLAH JASSEM-DYNAMIC</v>
      </c>
      <c r="J869" s="753">
        <f t="shared" si="40"/>
        <v>2</v>
      </c>
      <c r="K869" s="1540">
        <f t="shared" si="41"/>
        <v>2024</v>
      </c>
      <c r="L869" s="757"/>
      <c r="M869" s="757"/>
      <c r="N869" s="757"/>
      <c r="O869" s="757"/>
      <c r="P869" s="757"/>
      <c r="Q869" s="757"/>
      <c r="R869" s="757"/>
      <c r="S869" s="757"/>
      <c r="T869" s="757"/>
      <c r="U869" s="757"/>
      <c r="V869" s="757"/>
      <c r="W869" s="757"/>
      <c r="X869" s="757"/>
      <c r="Y869" s="757"/>
      <c r="Z869" s="757"/>
      <c r="AA869" s="757"/>
      <c r="AB869" s="757"/>
      <c r="AC869" s="757"/>
      <c r="AD869" s="757"/>
      <c r="AE869" s="757"/>
      <c r="AF869" s="757"/>
      <c r="AG869" s="757"/>
      <c r="AH869" s="757"/>
      <c r="AI869" s="757"/>
      <c r="AJ869" s="757"/>
      <c r="AK869" s="757"/>
      <c r="AL869" s="757"/>
      <c r="AM869" s="757"/>
      <c r="AN869" s="757"/>
      <c r="AO869" s="757"/>
      <c r="AP869" s="757"/>
      <c r="AQ869" s="757"/>
      <c r="AR869" s="757"/>
      <c r="AS869" s="757"/>
      <c r="AT869" s="757"/>
      <c r="AU869" s="757"/>
      <c r="AV869" s="757"/>
      <c r="AW869" s="757"/>
      <c r="AX869" s="757"/>
      <c r="AY869" s="757"/>
      <c r="AZ869" s="75"/>
      <c r="BA869" s="2"/>
      <c r="BB869" s="2"/>
      <c r="BC869" s="2"/>
      <c r="BD869" s="2"/>
    </row>
    <row r="870" spans="1:56">
      <c r="A870" s="781">
        <v>2</v>
      </c>
      <c r="B870" s="782">
        <v>250</v>
      </c>
      <c r="C870" s="783">
        <v>45341</v>
      </c>
      <c r="D870" s="785" t="s">
        <v>258</v>
      </c>
      <c r="E870" s="808">
        <v>1780.81</v>
      </c>
      <c r="F870" s="799"/>
      <c r="G870" s="799"/>
      <c r="H870" s="1592">
        <f t="shared" si="39"/>
        <v>0</v>
      </c>
      <c r="I870" s="754" t="str">
        <f>IFERROR(VLOOKUP(B870,Mychart!$A$125:$B$911,2,FALSE),"-")</f>
        <v>ABDULLAH JASSEM-DYNAMIC</v>
      </c>
      <c r="J870" s="753">
        <f t="shared" si="40"/>
        <v>2</v>
      </c>
      <c r="K870" s="1540">
        <f t="shared" si="41"/>
        <v>2024</v>
      </c>
      <c r="L870" s="757"/>
      <c r="M870" s="757"/>
      <c r="N870" s="757"/>
      <c r="O870" s="757"/>
      <c r="P870" s="757"/>
      <c r="Q870" s="757"/>
      <c r="R870" s="757"/>
      <c r="S870" s="757"/>
      <c r="T870" s="757"/>
      <c r="U870" s="757"/>
      <c r="V870" s="757"/>
      <c r="W870" s="757"/>
      <c r="X870" s="757"/>
      <c r="Y870" s="757"/>
      <c r="Z870" s="757"/>
      <c r="AA870" s="757"/>
      <c r="AB870" s="757"/>
      <c r="AC870" s="757"/>
      <c r="AD870" s="757"/>
      <c r="AE870" s="757"/>
      <c r="AF870" s="757"/>
      <c r="AG870" s="757"/>
      <c r="AH870" s="757"/>
      <c r="AI870" s="757"/>
      <c r="AJ870" s="757"/>
      <c r="AK870" s="757"/>
      <c r="AL870" s="757"/>
      <c r="AM870" s="757"/>
      <c r="AN870" s="757"/>
      <c r="AO870" s="757"/>
      <c r="AP870" s="757"/>
      <c r="AQ870" s="757"/>
      <c r="AR870" s="757"/>
      <c r="AS870" s="757"/>
      <c r="AT870" s="757"/>
      <c r="AU870" s="757"/>
      <c r="AV870" s="757"/>
      <c r="AW870" s="757"/>
      <c r="AX870" s="757"/>
      <c r="AY870" s="757"/>
      <c r="AZ870" s="75"/>
      <c r="BA870" s="2"/>
      <c r="BB870" s="2"/>
      <c r="BC870" s="2"/>
      <c r="BD870" s="2"/>
    </row>
    <row r="871" spans="1:56">
      <c r="A871" s="781">
        <v>2</v>
      </c>
      <c r="B871" s="782">
        <v>250</v>
      </c>
      <c r="C871" s="783">
        <v>45382</v>
      </c>
      <c r="D871" s="785" t="s">
        <v>393</v>
      </c>
      <c r="E871" s="808">
        <v>1984</v>
      </c>
      <c r="F871" s="799"/>
      <c r="G871" s="799"/>
      <c r="H871" s="1592">
        <f t="shared" si="39"/>
        <v>0</v>
      </c>
      <c r="I871" s="754" t="str">
        <f>IFERROR(VLOOKUP(B871,Mychart!$A$125:$B$911,2,FALSE),"-")</f>
        <v>ABDULLAH JASSEM-DYNAMIC</v>
      </c>
      <c r="J871" s="753">
        <f t="shared" si="40"/>
        <v>3</v>
      </c>
      <c r="K871" s="1540">
        <f t="shared" si="41"/>
        <v>2024</v>
      </c>
      <c r="L871" s="757"/>
      <c r="M871" s="757"/>
      <c r="N871" s="757"/>
      <c r="O871" s="757"/>
      <c r="P871" s="757"/>
      <c r="Q871" s="757"/>
      <c r="R871" s="757"/>
      <c r="S871" s="757"/>
      <c r="T871" s="757"/>
      <c r="U871" s="757"/>
      <c r="V871" s="757"/>
      <c r="W871" s="757"/>
      <c r="X871" s="757"/>
      <c r="Y871" s="757"/>
      <c r="Z871" s="757"/>
      <c r="AA871" s="757"/>
      <c r="AB871" s="757"/>
      <c r="AC871" s="757"/>
      <c r="AD871" s="757"/>
      <c r="AE871" s="757"/>
      <c r="AF871" s="757"/>
      <c r="AG871" s="757"/>
      <c r="AH871" s="757"/>
      <c r="AI871" s="757"/>
      <c r="AJ871" s="757"/>
      <c r="AK871" s="757"/>
      <c r="AL871" s="757"/>
      <c r="AM871" s="757"/>
      <c r="AN871" s="757"/>
      <c r="AO871" s="757"/>
      <c r="AP871" s="757"/>
      <c r="AQ871" s="757"/>
      <c r="AR871" s="757"/>
      <c r="AS871" s="757"/>
      <c r="AT871" s="757"/>
      <c r="AU871" s="757"/>
      <c r="AV871" s="757"/>
      <c r="AW871" s="757"/>
      <c r="AX871" s="757"/>
      <c r="AY871" s="757"/>
      <c r="AZ871" s="75"/>
      <c r="BA871" s="2"/>
      <c r="BB871" s="2"/>
      <c r="BC871" s="2"/>
      <c r="BD871" s="2"/>
    </row>
    <row r="872" spans="1:56">
      <c r="A872" s="781">
        <v>2</v>
      </c>
      <c r="B872" s="782">
        <v>250</v>
      </c>
      <c r="C872" s="783">
        <v>45372</v>
      </c>
      <c r="D872" s="785" t="s">
        <v>224</v>
      </c>
      <c r="E872" s="808">
        <v>14280</v>
      </c>
      <c r="F872" s="799"/>
      <c r="G872" s="799"/>
      <c r="H872" s="1592">
        <f t="shared" si="39"/>
        <v>0</v>
      </c>
      <c r="I872" s="754" t="str">
        <f>IFERROR(VLOOKUP(B872,Mychart!$A$125:$B$911,2,FALSE),"-")</f>
        <v>ABDULLAH JASSEM-DYNAMIC</v>
      </c>
      <c r="J872" s="753">
        <f t="shared" si="40"/>
        <v>3</v>
      </c>
      <c r="K872" s="1540">
        <f t="shared" si="41"/>
        <v>2024</v>
      </c>
      <c r="L872" s="757"/>
      <c r="M872" s="757"/>
      <c r="N872" s="757"/>
      <c r="O872" s="757"/>
      <c r="P872" s="757"/>
      <c r="Q872" s="757"/>
      <c r="R872" s="757"/>
      <c r="S872" s="757"/>
      <c r="T872" s="757"/>
      <c r="U872" s="757"/>
      <c r="V872" s="757"/>
      <c r="W872" s="757"/>
      <c r="X872" s="757"/>
      <c r="Y872" s="757"/>
      <c r="Z872" s="757"/>
      <c r="AA872" s="757"/>
      <c r="AB872" s="757"/>
      <c r="AC872" s="757"/>
      <c r="AD872" s="757"/>
      <c r="AE872" s="757"/>
      <c r="AF872" s="757"/>
      <c r="AG872" s="757"/>
      <c r="AH872" s="757"/>
      <c r="AI872" s="757"/>
      <c r="AJ872" s="757"/>
      <c r="AK872" s="757"/>
      <c r="AL872" s="757"/>
      <c r="AM872" s="757"/>
      <c r="AN872" s="757"/>
      <c r="AO872" s="757"/>
      <c r="AP872" s="757"/>
      <c r="AQ872" s="757"/>
      <c r="AR872" s="757"/>
      <c r="AS872" s="757"/>
      <c r="AT872" s="757"/>
      <c r="AU872" s="757"/>
      <c r="AV872" s="757"/>
      <c r="AW872" s="757"/>
      <c r="AX872" s="757"/>
      <c r="AY872" s="757"/>
      <c r="AZ872" s="75"/>
      <c r="BA872" s="2"/>
      <c r="BB872" s="2"/>
      <c r="BC872" s="2"/>
      <c r="BD872" s="2"/>
    </row>
    <row r="873" spans="1:56">
      <c r="A873" s="781">
        <v>2</v>
      </c>
      <c r="B873" s="782">
        <v>250</v>
      </c>
      <c r="C873" s="783">
        <v>45412</v>
      </c>
      <c r="D873" s="785" t="s">
        <v>393</v>
      </c>
      <c r="E873" s="808">
        <v>1921</v>
      </c>
      <c r="F873" s="799"/>
      <c r="G873" s="799"/>
      <c r="H873" s="1592">
        <f t="shared" si="39"/>
        <v>0</v>
      </c>
      <c r="I873" s="754" t="str">
        <f>IFERROR(VLOOKUP(B873,Mychart!$A$125:$B$911,2,FALSE),"-")</f>
        <v>ABDULLAH JASSEM-DYNAMIC</v>
      </c>
      <c r="J873" s="753">
        <f t="shared" si="40"/>
        <v>4</v>
      </c>
      <c r="K873" s="1540">
        <f t="shared" si="41"/>
        <v>2024</v>
      </c>
      <c r="L873" s="757"/>
      <c r="M873" s="757"/>
      <c r="N873" s="757"/>
      <c r="O873" s="757"/>
      <c r="P873" s="757"/>
      <c r="Q873" s="757"/>
      <c r="R873" s="757"/>
      <c r="S873" s="757"/>
      <c r="T873" s="757"/>
      <c r="U873" s="757"/>
      <c r="V873" s="757"/>
      <c r="W873" s="757"/>
      <c r="X873" s="757"/>
      <c r="Y873" s="757"/>
      <c r="Z873" s="757"/>
      <c r="AA873" s="757"/>
      <c r="AB873" s="757"/>
      <c r="AC873" s="757"/>
      <c r="AD873" s="757"/>
      <c r="AE873" s="757"/>
      <c r="AF873" s="757"/>
      <c r="AG873" s="757"/>
      <c r="AH873" s="757"/>
      <c r="AI873" s="757"/>
      <c r="AJ873" s="757"/>
      <c r="AK873" s="757"/>
      <c r="AL873" s="757"/>
      <c r="AM873" s="757"/>
      <c r="AN873" s="757"/>
      <c r="AO873" s="757"/>
      <c r="AP873" s="757"/>
      <c r="AQ873" s="757"/>
      <c r="AR873" s="757"/>
      <c r="AS873" s="757"/>
      <c r="AT873" s="757"/>
      <c r="AU873" s="757"/>
      <c r="AV873" s="757"/>
      <c r="AW873" s="757"/>
      <c r="AX873" s="757"/>
      <c r="AY873" s="757"/>
      <c r="AZ873" s="75"/>
      <c r="BA873" s="2"/>
      <c r="BB873" s="2"/>
      <c r="BC873" s="2"/>
      <c r="BD873" s="2"/>
    </row>
    <row r="874" spans="1:56">
      <c r="A874" s="781">
        <v>2</v>
      </c>
      <c r="B874" s="782">
        <v>250</v>
      </c>
      <c r="C874" s="783"/>
      <c r="D874" s="785" t="s">
        <v>179</v>
      </c>
      <c r="E874" s="808">
        <v>5000</v>
      </c>
      <c r="F874" s="799"/>
      <c r="G874" s="799"/>
      <c r="H874" s="1592">
        <f t="shared" si="39"/>
        <v>0</v>
      </c>
      <c r="I874" s="754" t="str">
        <f>IFERROR(VLOOKUP(B874,Mychart!$A$125:$B$911,2,FALSE),"-")</f>
        <v>ABDULLAH JASSEM-DYNAMIC</v>
      </c>
      <c r="J874" s="753" t="str">
        <f t="shared" si="40"/>
        <v>-</v>
      </c>
      <c r="K874" s="1540">
        <f t="shared" si="41"/>
        <v>1900</v>
      </c>
      <c r="L874" s="757"/>
      <c r="M874" s="757"/>
      <c r="N874" s="757"/>
      <c r="O874" s="757"/>
      <c r="P874" s="757"/>
      <c r="Q874" s="757"/>
      <c r="R874" s="757"/>
      <c r="S874" s="757"/>
      <c r="T874" s="757"/>
      <c r="U874" s="757"/>
      <c r="V874" s="757"/>
      <c r="W874" s="757"/>
      <c r="X874" s="757"/>
      <c r="Y874" s="757"/>
      <c r="Z874" s="757"/>
      <c r="AA874" s="757"/>
      <c r="AB874" s="757"/>
      <c r="AC874" s="757"/>
      <c r="AD874" s="757"/>
      <c r="AE874" s="757"/>
      <c r="AF874" s="757"/>
      <c r="AG874" s="757"/>
      <c r="AH874" s="757"/>
      <c r="AI874" s="757"/>
      <c r="AJ874" s="757"/>
      <c r="AK874" s="757"/>
      <c r="AL874" s="757"/>
      <c r="AM874" s="757"/>
      <c r="AN874" s="757"/>
      <c r="AO874" s="757"/>
      <c r="AP874" s="757"/>
      <c r="AQ874" s="757"/>
      <c r="AR874" s="757"/>
      <c r="AS874" s="757"/>
      <c r="AT874" s="757"/>
      <c r="AU874" s="757"/>
      <c r="AV874" s="757"/>
      <c r="AW874" s="757"/>
      <c r="AX874" s="757"/>
      <c r="AY874" s="757"/>
      <c r="AZ874" s="75"/>
      <c r="BA874" s="2"/>
      <c r="BB874" s="2"/>
      <c r="BC874" s="2"/>
      <c r="BD874" s="2"/>
    </row>
    <row r="875" spans="1:56">
      <c r="A875" s="781">
        <v>2</v>
      </c>
      <c r="B875" s="782">
        <v>250</v>
      </c>
      <c r="C875" s="783">
        <v>45420</v>
      </c>
      <c r="D875" s="785" t="s">
        <v>224</v>
      </c>
      <c r="E875" s="808">
        <v>4383.75</v>
      </c>
      <c r="F875" s="799"/>
      <c r="G875" s="799"/>
      <c r="H875" s="1592">
        <f t="shared" si="39"/>
        <v>0</v>
      </c>
      <c r="I875" s="754" t="str">
        <f>IFERROR(VLOOKUP(B875,Mychart!$A$125:$B$911,2,FALSE),"-")</f>
        <v>ABDULLAH JASSEM-DYNAMIC</v>
      </c>
      <c r="J875" s="753">
        <f t="shared" si="40"/>
        <v>5</v>
      </c>
      <c r="K875" s="1540">
        <f t="shared" si="41"/>
        <v>2024</v>
      </c>
      <c r="L875" s="757"/>
      <c r="M875" s="757"/>
      <c r="N875" s="757"/>
      <c r="O875" s="757"/>
      <c r="P875" s="757"/>
      <c r="Q875" s="757"/>
      <c r="R875" s="757"/>
      <c r="S875" s="757"/>
      <c r="T875" s="757"/>
      <c r="U875" s="757"/>
      <c r="V875" s="757"/>
      <c r="W875" s="757"/>
      <c r="X875" s="757"/>
      <c r="Y875" s="757"/>
      <c r="Z875" s="757"/>
      <c r="AA875" s="757"/>
      <c r="AB875" s="757"/>
      <c r="AC875" s="757"/>
      <c r="AD875" s="757"/>
      <c r="AE875" s="757"/>
      <c r="AF875" s="757"/>
      <c r="AG875" s="757"/>
      <c r="AH875" s="757"/>
      <c r="AI875" s="757"/>
      <c r="AJ875" s="757"/>
      <c r="AK875" s="757"/>
      <c r="AL875" s="757"/>
      <c r="AM875" s="757"/>
      <c r="AN875" s="757"/>
      <c r="AO875" s="757"/>
      <c r="AP875" s="757"/>
      <c r="AQ875" s="757"/>
      <c r="AR875" s="757"/>
      <c r="AS875" s="757"/>
      <c r="AT875" s="757"/>
      <c r="AU875" s="757"/>
      <c r="AV875" s="757"/>
      <c r="AW875" s="757"/>
      <c r="AX875" s="757"/>
      <c r="AY875" s="757"/>
      <c r="AZ875" s="75"/>
      <c r="BA875" s="2"/>
      <c r="BB875" s="2"/>
      <c r="BC875" s="2"/>
      <c r="BD875" s="2"/>
    </row>
    <row r="876" spans="1:56">
      <c r="A876" s="781">
        <v>2</v>
      </c>
      <c r="B876" s="782">
        <v>250</v>
      </c>
      <c r="C876" s="783">
        <v>45420</v>
      </c>
      <c r="D876" s="785" t="s">
        <v>224</v>
      </c>
      <c r="E876" s="808">
        <v>8137</v>
      </c>
      <c r="F876" s="799"/>
      <c r="G876" s="799"/>
      <c r="H876" s="1592">
        <f t="shared" si="39"/>
        <v>0</v>
      </c>
      <c r="I876" s="754" t="str">
        <f>IFERROR(VLOOKUP(B876,Mychart!$A$125:$B$911,2,FALSE),"-")</f>
        <v>ABDULLAH JASSEM-DYNAMIC</v>
      </c>
      <c r="J876" s="753">
        <f t="shared" si="40"/>
        <v>5</v>
      </c>
      <c r="K876" s="1540">
        <f t="shared" si="41"/>
        <v>2024</v>
      </c>
      <c r="L876" s="757"/>
      <c r="M876" s="757"/>
      <c r="N876" s="757"/>
      <c r="O876" s="757"/>
      <c r="P876" s="757"/>
      <c r="Q876" s="757"/>
      <c r="R876" s="757"/>
      <c r="S876" s="757"/>
      <c r="T876" s="757"/>
      <c r="U876" s="757"/>
      <c r="V876" s="757"/>
      <c r="W876" s="757"/>
      <c r="X876" s="757"/>
      <c r="Y876" s="757"/>
      <c r="Z876" s="757"/>
      <c r="AA876" s="757"/>
      <c r="AB876" s="757"/>
      <c r="AC876" s="757"/>
      <c r="AD876" s="757"/>
      <c r="AE876" s="757"/>
      <c r="AF876" s="757"/>
      <c r="AG876" s="757"/>
      <c r="AH876" s="757"/>
      <c r="AI876" s="757"/>
      <c r="AJ876" s="757"/>
      <c r="AK876" s="757"/>
      <c r="AL876" s="757"/>
      <c r="AM876" s="757"/>
      <c r="AN876" s="757"/>
      <c r="AO876" s="757"/>
      <c r="AP876" s="757"/>
      <c r="AQ876" s="757"/>
      <c r="AR876" s="757"/>
      <c r="AS876" s="757"/>
      <c r="AT876" s="757"/>
      <c r="AU876" s="757"/>
      <c r="AV876" s="757"/>
      <c r="AW876" s="757"/>
      <c r="AX876" s="757"/>
      <c r="AY876" s="757"/>
      <c r="AZ876" s="75"/>
      <c r="BA876" s="2"/>
      <c r="BB876" s="2"/>
      <c r="BC876" s="2"/>
      <c r="BD876" s="2"/>
    </row>
    <row r="877" spans="1:56">
      <c r="A877" s="781">
        <v>2</v>
      </c>
      <c r="B877" s="782">
        <v>250</v>
      </c>
      <c r="C877" s="783">
        <v>45434</v>
      </c>
      <c r="D877" s="785" t="s">
        <v>224</v>
      </c>
      <c r="E877" s="808">
        <v>10347.75</v>
      </c>
      <c r="F877" s="799"/>
      <c r="G877" s="799"/>
      <c r="H877" s="1592">
        <f t="shared" si="39"/>
        <v>0</v>
      </c>
      <c r="I877" s="754" t="str">
        <f>IFERROR(VLOOKUP(B877,Mychart!$A$125:$B$911,2,FALSE),"-")</f>
        <v>ABDULLAH JASSEM-DYNAMIC</v>
      </c>
      <c r="J877" s="753">
        <f t="shared" si="40"/>
        <v>5</v>
      </c>
      <c r="K877" s="1540">
        <f t="shared" si="41"/>
        <v>2024</v>
      </c>
      <c r="L877" s="757"/>
      <c r="M877" s="757"/>
      <c r="N877" s="757"/>
      <c r="O877" s="757"/>
      <c r="P877" s="757"/>
      <c r="Q877" s="757"/>
      <c r="R877" s="757"/>
      <c r="S877" s="757"/>
      <c r="T877" s="757"/>
      <c r="U877" s="757"/>
      <c r="V877" s="757"/>
      <c r="W877" s="757"/>
      <c r="X877" s="757"/>
      <c r="Y877" s="757"/>
      <c r="Z877" s="757"/>
      <c r="AA877" s="757"/>
      <c r="AB877" s="757"/>
      <c r="AC877" s="757"/>
      <c r="AD877" s="757"/>
      <c r="AE877" s="757"/>
      <c r="AF877" s="757"/>
      <c r="AG877" s="757"/>
      <c r="AH877" s="757"/>
      <c r="AI877" s="757"/>
      <c r="AJ877" s="757"/>
      <c r="AK877" s="757"/>
      <c r="AL877" s="757"/>
      <c r="AM877" s="757"/>
      <c r="AN877" s="757"/>
      <c r="AO877" s="757"/>
      <c r="AP877" s="757"/>
      <c r="AQ877" s="757"/>
      <c r="AR877" s="757"/>
      <c r="AS877" s="757"/>
      <c r="AT877" s="757"/>
      <c r="AU877" s="757"/>
      <c r="AV877" s="757"/>
      <c r="AW877" s="757"/>
      <c r="AX877" s="757"/>
      <c r="AY877" s="757"/>
      <c r="AZ877" s="75"/>
      <c r="BA877" s="2"/>
      <c r="BB877" s="2"/>
      <c r="BC877" s="2"/>
      <c r="BD877" s="2"/>
    </row>
    <row r="878" spans="1:56">
      <c r="A878" s="781">
        <v>2</v>
      </c>
      <c r="B878" s="782">
        <v>250</v>
      </c>
      <c r="C878" s="783">
        <v>45442</v>
      </c>
      <c r="D878" s="785" t="s">
        <v>177</v>
      </c>
      <c r="E878" s="808">
        <v>88</v>
      </c>
      <c r="F878" s="799"/>
      <c r="G878" s="799"/>
      <c r="H878" s="1592">
        <f t="shared" si="39"/>
        <v>0</v>
      </c>
      <c r="I878" s="754" t="str">
        <f>IFERROR(VLOOKUP(B878,Mychart!$A$125:$B$911,2,FALSE),"-")</f>
        <v>ABDULLAH JASSEM-DYNAMIC</v>
      </c>
      <c r="J878" s="753">
        <f t="shared" si="40"/>
        <v>5</v>
      </c>
      <c r="K878" s="1540">
        <f t="shared" si="41"/>
        <v>2024</v>
      </c>
      <c r="L878" s="757"/>
      <c r="M878" s="757"/>
      <c r="N878" s="757"/>
      <c r="O878" s="757"/>
      <c r="P878" s="757"/>
      <c r="Q878" s="757"/>
      <c r="R878" s="757"/>
      <c r="S878" s="757"/>
      <c r="T878" s="757"/>
      <c r="U878" s="757"/>
      <c r="V878" s="757"/>
      <c r="W878" s="757"/>
      <c r="X878" s="757"/>
      <c r="Y878" s="757"/>
      <c r="Z878" s="757"/>
      <c r="AA878" s="757"/>
      <c r="AB878" s="757"/>
      <c r="AC878" s="757"/>
      <c r="AD878" s="757"/>
      <c r="AE878" s="757"/>
      <c r="AF878" s="757"/>
      <c r="AG878" s="757"/>
      <c r="AH878" s="757"/>
      <c r="AI878" s="757"/>
      <c r="AJ878" s="757"/>
      <c r="AK878" s="757"/>
      <c r="AL878" s="757"/>
      <c r="AM878" s="757"/>
      <c r="AN878" s="757"/>
      <c r="AO878" s="757"/>
      <c r="AP878" s="757"/>
      <c r="AQ878" s="757"/>
      <c r="AR878" s="757"/>
      <c r="AS878" s="757"/>
      <c r="AT878" s="757"/>
      <c r="AU878" s="757"/>
      <c r="AV878" s="757"/>
      <c r="AW878" s="757"/>
      <c r="AX878" s="757"/>
      <c r="AY878" s="757"/>
      <c r="AZ878" s="75"/>
      <c r="BA878" s="2"/>
      <c r="BB878" s="2"/>
      <c r="BC878" s="2"/>
      <c r="BD878" s="2"/>
    </row>
    <row r="879" spans="1:56">
      <c r="A879" s="781">
        <v>2</v>
      </c>
      <c r="B879" s="782">
        <v>250</v>
      </c>
      <c r="C879" s="783" t="s">
        <v>995</v>
      </c>
      <c r="D879" s="785" t="s">
        <v>539</v>
      </c>
      <c r="E879" s="808">
        <v>295</v>
      </c>
      <c r="F879" s="799"/>
      <c r="G879" s="799"/>
      <c r="H879" s="1592">
        <f t="shared" si="39"/>
        <v>0</v>
      </c>
      <c r="I879" s="754" t="str">
        <f>IFERROR(VLOOKUP(B879,Mychart!$A$125:$B$911,2,FALSE),"-")</f>
        <v>ABDULLAH JASSEM-DYNAMIC</v>
      </c>
      <c r="J879" s="753">
        <f t="shared" si="40"/>
        <v>3</v>
      </c>
      <c r="K879" s="1540">
        <f t="shared" si="41"/>
        <v>2024</v>
      </c>
      <c r="L879" s="757"/>
      <c r="M879" s="757"/>
      <c r="N879" s="757"/>
      <c r="O879" s="757"/>
      <c r="P879" s="757"/>
      <c r="Q879" s="757"/>
      <c r="R879" s="757"/>
      <c r="S879" s="757"/>
      <c r="T879" s="757"/>
      <c r="U879" s="757"/>
      <c r="V879" s="757"/>
      <c r="W879" s="757"/>
      <c r="X879" s="757"/>
      <c r="Y879" s="757"/>
      <c r="Z879" s="757"/>
      <c r="AA879" s="757"/>
      <c r="AB879" s="757"/>
      <c r="AC879" s="757"/>
      <c r="AD879" s="757"/>
      <c r="AE879" s="757"/>
      <c r="AF879" s="757"/>
      <c r="AG879" s="757"/>
      <c r="AH879" s="757"/>
      <c r="AI879" s="757"/>
      <c r="AJ879" s="757"/>
      <c r="AK879" s="757"/>
      <c r="AL879" s="757"/>
      <c r="AM879" s="757"/>
      <c r="AN879" s="757"/>
      <c r="AO879" s="757"/>
      <c r="AP879" s="757"/>
      <c r="AQ879" s="757"/>
      <c r="AR879" s="757"/>
      <c r="AS879" s="757"/>
      <c r="AT879" s="757"/>
      <c r="AU879" s="757"/>
      <c r="AV879" s="757"/>
      <c r="AW879" s="757"/>
      <c r="AX879" s="757"/>
      <c r="AY879" s="757"/>
      <c r="AZ879" s="75"/>
      <c r="BA879" s="2"/>
      <c r="BB879" s="2"/>
      <c r="BC879" s="2"/>
      <c r="BD879" s="2"/>
    </row>
    <row r="880" spans="1:56">
      <c r="A880" s="781">
        <v>2</v>
      </c>
      <c r="B880" s="782">
        <v>250</v>
      </c>
      <c r="C880" s="783">
        <v>45352</v>
      </c>
      <c r="D880" s="785" t="s">
        <v>499</v>
      </c>
      <c r="E880" s="808">
        <v>500</v>
      </c>
      <c r="F880" s="799"/>
      <c r="G880" s="799"/>
      <c r="H880" s="1592">
        <f t="shared" si="39"/>
        <v>0</v>
      </c>
      <c r="I880" s="754" t="str">
        <f>IFERROR(VLOOKUP(B880,Mychart!$A$125:$B$911,2,FALSE),"-")</f>
        <v>ABDULLAH JASSEM-DYNAMIC</v>
      </c>
      <c r="J880" s="753">
        <f t="shared" si="40"/>
        <v>3</v>
      </c>
      <c r="K880" s="1540">
        <f t="shared" si="41"/>
        <v>2024</v>
      </c>
      <c r="L880" s="757"/>
      <c r="M880" s="757"/>
      <c r="N880" s="757"/>
      <c r="O880" s="757"/>
      <c r="P880" s="757"/>
      <c r="Q880" s="757"/>
      <c r="R880" s="757"/>
      <c r="S880" s="757"/>
      <c r="T880" s="757"/>
      <c r="U880" s="757"/>
      <c r="V880" s="757"/>
      <c r="W880" s="757"/>
      <c r="X880" s="757"/>
      <c r="Y880" s="757"/>
      <c r="Z880" s="757"/>
      <c r="AA880" s="757"/>
      <c r="AB880" s="757"/>
      <c r="AC880" s="757"/>
      <c r="AD880" s="757"/>
      <c r="AE880" s="757"/>
      <c r="AF880" s="757"/>
      <c r="AG880" s="757"/>
      <c r="AH880" s="757"/>
      <c r="AI880" s="757"/>
      <c r="AJ880" s="757"/>
      <c r="AK880" s="757"/>
      <c r="AL880" s="757"/>
      <c r="AM880" s="757"/>
      <c r="AN880" s="757"/>
      <c r="AO880" s="757"/>
      <c r="AP880" s="757"/>
      <c r="AQ880" s="757"/>
      <c r="AR880" s="757"/>
      <c r="AS880" s="757"/>
      <c r="AT880" s="757"/>
      <c r="AU880" s="757"/>
      <c r="AV880" s="757"/>
      <c r="AW880" s="757"/>
      <c r="AX880" s="757"/>
      <c r="AY880" s="757"/>
      <c r="AZ880" s="75"/>
      <c r="BA880" s="2"/>
      <c r="BB880" s="2"/>
      <c r="BC880" s="2"/>
      <c r="BD880" s="2"/>
    </row>
    <row r="881" spans="1:56">
      <c r="A881" s="781">
        <v>2</v>
      </c>
      <c r="B881" s="782">
        <v>250</v>
      </c>
      <c r="C881" s="783">
        <v>45470</v>
      </c>
      <c r="D881" s="785" t="s">
        <v>996</v>
      </c>
      <c r="E881" s="808">
        <v>3200</v>
      </c>
      <c r="F881" s="799"/>
      <c r="G881" s="799"/>
      <c r="H881" s="1592">
        <f t="shared" si="39"/>
        <v>0</v>
      </c>
      <c r="I881" s="754" t="str">
        <f>IFERROR(VLOOKUP(B881,Mychart!$A$125:$B$911,2,FALSE),"-")</f>
        <v>ABDULLAH JASSEM-DYNAMIC</v>
      </c>
      <c r="J881" s="753">
        <f t="shared" si="40"/>
        <v>6</v>
      </c>
      <c r="K881" s="1540">
        <f t="shared" si="41"/>
        <v>2024</v>
      </c>
      <c r="L881" s="757"/>
      <c r="M881" s="757"/>
      <c r="N881" s="757"/>
      <c r="O881" s="757"/>
      <c r="P881" s="757"/>
      <c r="Q881" s="757"/>
      <c r="R881" s="757"/>
      <c r="S881" s="757"/>
      <c r="T881" s="757"/>
      <c r="U881" s="757"/>
      <c r="V881" s="757"/>
      <c r="W881" s="757"/>
      <c r="X881" s="757"/>
      <c r="Y881" s="757"/>
      <c r="Z881" s="757"/>
      <c r="AA881" s="757"/>
      <c r="AB881" s="757"/>
      <c r="AC881" s="757"/>
      <c r="AD881" s="757"/>
      <c r="AE881" s="757"/>
      <c r="AF881" s="757"/>
      <c r="AG881" s="757"/>
      <c r="AH881" s="757"/>
      <c r="AI881" s="757"/>
      <c r="AJ881" s="757"/>
      <c r="AK881" s="757"/>
      <c r="AL881" s="757"/>
      <c r="AM881" s="757"/>
      <c r="AN881" s="757"/>
      <c r="AO881" s="757"/>
      <c r="AP881" s="757"/>
      <c r="AQ881" s="757"/>
      <c r="AR881" s="757"/>
      <c r="AS881" s="757"/>
      <c r="AT881" s="757"/>
      <c r="AU881" s="757"/>
      <c r="AV881" s="757"/>
      <c r="AW881" s="757"/>
      <c r="AX881" s="757"/>
      <c r="AY881" s="757"/>
      <c r="AZ881" s="75"/>
      <c r="BA881" s="2"/>
      <c r="BB881" s="2"/>
      <c r="BC881" s="2"/>
      <c r="BD881" s="2"/>
    </row>
    <row r="882" spans="1:56">
      <c r="A882" s="781">
        <v>1</v>
      </c>
      <c r="B882" s="782">
        <v>258</v>
      </c>
      <c r="C882" s="783">
        <v>45357</v>
      </c>
      <c r="D882" s="785" t="s">
        <v>636</v>
      </c>
      <c r="E882" s="808"/>
      <c r="F882" s="799"/>
      <c r="G882" s="799"/>
      <c r="H882" s="1592">
        <f t="shared" si="39"/>
        <v>0</v>
      </c>
      <c r="I882" s="754" t="str">
        <f>IFERROR(VLOOKUP(B882,Mychart!$A$125:$B$911,2,FALSE),"-")</f>
        <v>MAJID ALSHEHY</v>
      </c>
      <c r="J882" s="753">
        <f t="shared" si="40"/>
        <v>3</v>
      </c>
      <c r="K882" s="1540">
        <f t="shared" si="41"/>
        <v>2024</v>
      </c>
      <c r="L882" s="757"/>
      <c r="M882" s="757"/>
      <c r="N882" s="757"/>
      <c r="O882" s="757"/>
      <c r="P882" s="757"/>
      <c r="Q882" s="757"/>
      <c r="R882" s="757"/>
      <c r="S882" s="757"/>
      <c r="T882" s="757"/>
      <c r="U882" s="757"/>
      <c r="V882" s="757"/>
      <c r="W882" s="757"/>
      <c r="X882" s="757"/>
      <c r="Y882" s="757"/>
      <c r="Z882" s="757"/>
      <c r="AA882" s="757"/>
      <c r="AB882" s="757"/>
      <c r="AC882" s="757"/>
      <c r="AD882" s="757"/>
      <c r="AE882" s="757"/>
      <c r="AF882" s="757"/>
      <c r="AG882" s="757"/>
      <c r="AH882" s="757"/>
      <c r="AI882" s="757"/>
      <c r="AJ882" s="757"/>
      <c r="AK882" s="757"/>
      <c r="AL882" s="757"/>
      <c r="AM882" s="757"/>
      <c r="AN882" s="757"/>
      <c r="AO882" s="757"/>
      <c r="AP882" s="757"/>
      <c r="AQ882" s="757"/>
      <c r="AR882" s="757"/>
      <c r="AS882" s="757"/>
      <c r="AT882" s="757"/>
      <c r="AU882" s="757"/>
      <c r="AV882" s="757"/>
      <c r="AW882" s="757"/>
      <c r="AX882" s="757"/>
      <c r="AY882" s="757"/>
      <c r="AZ882" s="75"/>
      <c r="BA882" s="2"/>
      <c r="BB882" s="2"/>
      <c r="BC882" s="2"/>
      <c r="BD882" s="2"/>
    </row>
    <row r="883" spans="1:56">
      <c r="A883" s="781">
        <v>2</v>
      </c>
      <c r="B883" s="782">
        <v>258</v>
      </c>
      <c r="C883" s="783">
        <v>45364</v>
      </c>
      <c r="D883" s="785" t="s">
        <v>406</v>
      </c>
      <c r="E883" s="808"/>
      <c r="F883" s="799"/>
      <c r="G883" s="799"/>
      <c r="H883" s="1592">
        <f t="shared" si="39"/>
        <v>0</v>
      </c>
      <c r="I883" s="754" t="str">
        <f>IFERROR(VLOOKUP(B883,Mychart!$A$125:$B$911,2,FALSE),"-")</f>
        <v>MAJID ALSHEHY</v>
      </c>
      <c r="J883" s="753">
        <f t="shared" si="40"/>
        <v>3</v>
      </c>
      <c r="K883" s="1540">
        <f t="shared" si="41"/>
        <v>2024</v>
      </c>
      <c r="L883" s="757"/>
      <c r="M883" s="757"/>
      <c r="N883" s="757"/>
      <c r="O883" s="757"/>
      <c r="P883" s="757"/>
      <c r="Q883" s="757"/>
      <c r="R883" s="757"/>
      <c r="S883" s="757"/>
      <c r="T883" s="757"/>
      <c r="U883" s="757"/>
      <c r="V883" s="757"/>
      <c r="W883" s="757"/>
      <c r="X883" s="757"/>
      <c r="Y883" s="757"/>
      <c r="Z883" s="757"/>
      <c r="AA883" s="757"/>
      <c r="AB883" s="757"/>
      <c r="AC883" s="757"/>
      <c r="AD883" s="757"/>
      <c r="AE883" s="757"/>
      <c r="AF883" s="757"/>
      <c r="AG883" s="757"/>
      <c r="AH883" s="757"/>
      <c r="AI883" s="757"/>
      <c r="AJ883" s="757"/>
      <c r="AK883" s="757"/>
      <c r="AL883" s="757"/>
      <c r="AM883" s="757"/>
      <c r="AN883" s="757"/>
      <c r="AO883" s="757"/>
      <c r="AP883" s="757"/>
      <c r="AQ883" s="757"/>
      <c r="AR883" s="757"/>
      <c r="AS883" s="757"/>
      <c r="AT883" s="757"/>
      <c r="AU883" s="757"/>
      <c r="AV883" s="757"/>
      <c r="AW883" s="757"/>
      <c r="AX883" s="757"/>
      <c r="AY883" s="757"/>
      <c r="AZ883" s="75"/>
      <c r="BA883" s="2"/>
      <c r="BB883" s="2"/>
      <c r="BC883" s="2"/>
      <c r="BD883" s="2"/>
    </row>
    <row r="884" spans="1:56">
      <c r="A884" s="781">
        <v>2</v>
      </c>
      <c r="B884" s="782">
        <v>258</v>
      </c>
      <c r="C884" s="783">
        <v>45371</v>
      </c>
      <c r="D884" s="785" t="s">
        <v>368</v>
      </c>
      <c r="E884" s="808"/>
      <c r="F884" s="799"/>
      <c r="G884" s="799"/>
      <c r="H884" s="1592">
        <f t="shared" si="39"/>
        <v>0</v>
      </c>
      <c r="I884" s="754" t="str">
        <f>IFERROR(VLOOKUP(B884,Mychart!$A$125:$B$911,2,FALSE),"-")</f>
        <v>MAJID ALSHEHY</v>
      </c>
      <c r="J884" s="753">
        <f t="shared" si="40"/>
        <v>3</v>
      </c>
      <c r="K884" s="1540">
        <f t="shared" si="41"/>
        <v>2024</v>
      </c>
      <c r="L884" s="757"/>
      <c r="M884" s="757"/>
      <c r="N884" s="757"/>
      <c r="O884" s="757"/>
      <c r="P884" s="757"/>
      <c r="Q884" s="757"/>
      <c r="R884" s="757"/>
      <c r="S884" s="757"/>
      <c r="T884" s="757"/>
      <c r="U884" s="757"/>
      <c r="V884" s="757"/>
      <c r="W884" s="757"/>
      <c r="X884" s="757"/>
      <c r="Y884" s="757"/>
      <c r="Z884" s="757"/>
      <c r="AA884" s="757"/>
      <c r="AB884" s="757"/>
      <c r="AC884" s="757"/>
      <c r="AD884" s="757"/>
      <c r="AE884" s="757"/>
      <c r="AF884" s="757"/>
      <c r="AG884" s="757"/>
      <c r="AH884" s="757"/>
      <c r="AI884" s="757"/>
      <c r="AJ884" s="757"/>
      <c r="AK884" s="757"/>
      <c r="AL884" s="757"/>
      <c r="AM884" s="757"/>
      <c r="AN884" s="757"/>
      <c r="AO884" s="757"/>
      <c r="AP884" s="757"/>
      <c r="AQ884" s="757"/>
      <c r="AR884" s="757"/>
      <c r="AS884" s="757"/>
      <c r="AT884" s="757"/>
      <c r="AU884" s="757"/>
      <c r="AV884" s="757"/>
      <c r="AW884" s="757"/>
      <c r="AX884" s="757"/>
      <c r="AY884" s="757"/>
      <c r="AZ884" s="75"/>
      <c r="BA884" s="2"/>
      <c r="BB884" s="2"/>
      <c r="BC884" s="2"/>
      <c r="BD884" s="2"/>
    </row>
    <row r="885" spans="1:56">
      <c r="A885" s="781">
        <v>2</v>
      </c>
      <c r="B885" s="782">
        <v>258</v>
      </c>
      <c r="C885" s="783">
        <v>45412</v>
      </c>
      <c r="D885" s="785" t="s">
        <v>177</v>
      </c>
      <c r="E885" s="808"/>
      <c r="F885" s="799"/>
      <c r="G885" s="799"/>
      <c r="H885" s="1592">
        <f t="shared" si="39"/>
        <v>0</v>
      </c>
      <c r="I885" s="754" t="str">
        <f>IFERROR(VLOOKUP(B885,Mychart!$A$125:$B$911,2,FALSE),"-")</f>
        <v>MAJID ALSHEHY</v>
      </c>
      <c r="J885" s="753">
        <f t="shared" si="40"/>
        <v>4</v>
      </c>
      <c r="K885" s="1540">
        <f t="shared" si="41"/>
        <v>2024</v>
      </c>
      <c r="L885" s="757"/>
      <c r="M885" s="757"/>
      <c r="N885" s="757"/>
      <c r="O885" s="757"/>
      <c r="P885" s="757"/>
      <c r="Q885" s="757"/>
      <c r="R885" s="757"/>
      <c r="S885" s="757"/>
      <c r="T885" s="757"/>
      <c r="U885" s="757"/>
      <c r="V885" s="757"/>
      <c r="W885" s="757"/>
      <c r="X885" s="757"/>
      <c r="Y885" s="757"/>
      <c r="Z885" s="757"/>
      <c r="AA885" s="757"/>
      <c r="AB885" s="757"/>
      <c r="AC885" s="757"/>
      <c r="AD885" s="757"/>
      <c r="AE885" s="757"/>
      <c r="AF885" s="757"/>
      <c r="AG885" s="757"/>
      <c r="AH885" s="757"/>
      <c r="AI885" s="757"/>
      <c r="AJ885" s="757"/>
      <c r="AK885" s="757"/>
      <c r="AL885" s="757"/>
      <c r="AM885" s="757"/>
      <c r="AN885" s="757"/>
      <c r="AO885" s="757"/>
      <c r="AP885" s="757"/>
      <c r="AQ885" s="757"/>
      <c r="AR885" s="757"/>
      <c r="AS885" s="757"/>
      <c r="AT885" s="757"/>
      <c r="AU885" s="757"/>
      <c r="AV885" s="757"/>
      <c r="AW885" s="757"/>
      <c r="AX885" s="757"/>
      <c r="AY885" s="757"/>
      <c r="AZ885" s="75"/>
      <c r="BA885" s="2"/>
      <c r="BB885" s="2"/>
      <c r="BC885" s="2"/>
      <c r="BD885" s="2"/>
    </row>
    <row r="886" spans="1:56">
      <c r="A886" s="781">
        <v>2</v>
      </c>
      <c r="B886" s="782">
        <v>257</v>
      </c>
      <c r="C886" s="783">
        <v>45473</v>
      </c>
      <c r="D886" s="785" t="s">
        <v>865</v>
      </c>
      <c r="E886" s="808">
        <v>9399</v>
      </c>
      <c r="F886" s="799"/>
      <c r="G886" s="799"/>
      <c r="H886" s="1592">
        <f t="shared" si="39"/>
        <v>0</v>
      </c>
      <c r="I886" s="754" t="str">
        <f>IFERROR(VLOOKUP(B886,Mychart!$A$125:$B$911,2,FALSE),"-")</f>
        <v>NAAEMA SALEH - ERTIKAZ</v>
      </c>
      <c r="J886" s="753">
        <f t="shared" si="40"/>
        <v>6</v>
      </c>
      <c r="K886" s="1540">
        <f t="shared" si="41"/>
        <v>2024</v>
      </c>
      <c r="L886" s="757"/>
      <c r="M886" s="757"/>
      <c r="N886" s="757"/>
      <c r="O886" s="757"/>
      <c r="P886" s="757"/>
      <c r="Q886" s="757"/>
      <c r="R886" s="757"/>
      <c r="S886" s="757"/>
      <c r="T886" s="757"/>
      <c r="U886" s="757"/>
      <c r="V886" s="757"/>
      <c r="W886" s="757"/>
      <c r="X886" s="757"/>
      <c r="Y886" s="757"/>
      <c r="Z886" s="757"/>
      <c r="AA886" s="757"/>
      <c r="AB886" s="757"/>
      <c r="AC886" s="757"/>
      <c r="AD886" s="757"/>
      <c r="AE886" s="757"/>
      <c r="AF886" s="757"/>
      <c r="AG886" s="757"/>
      <c r="AH886" s="757"/>
      <c r="AI886" s="757"/>
      <c r="AJ886" s="757"/>
      <c r="AK886" s="757"/>
      <c r="AL886" s="757"/>
      <c r="AM886" s="757"/>
      <c r="AN886" s="757"/>
      <c r="AO886" s="757"/>
      <c r="AP886" s="757"/>
      <c r="AQ886" s="757"/>
      <c r="AR886" s="757"/>
      <c r="AS886" s="757"/>
      <c r="AT886" s="757"/>
      <c r="AU886" s="757"/>
      <c r="AV886" s="757"/>
      <c r="AW886" s="757"/>
      <c r="AX886" s="757"/>
      <c r="AY886" s="757"/>
      <c r="AZ886" s="75"/>
      <c r="BA886" s="2"/>
      <c r="BB886" s="2"/>
      <c r="BC886" s="2"/>
      <c r="BD886" s="2"/>
    </row>
    <row r="887" spans="1:56">
      <c r="A887" s="781">
        <v>2</v>
      </c>
      <c r="B887" s="782">
        <v>242</v>
      </c>
      <c r="C887" s="783">
        <v>45473</v>
      </c>
      <c r="D887" s="785" t="s">
        <v>865</v>
      </c>
      <c r="E887" s="808">
        <v>8972</v>
      </c>
      <c r="F887" s="799"/>
      <c r="G887" s="799"/>
      <c r="H887" s="1592">
        <f t="shared" si="39"/>
        <v>0</v>
      </c>
      <c r="I887" s="754" t="str">
        <f>IFERROR(VLOOKUP(B887,Mychart!$A$125:$B$911,2,FALSE),"-")</f>
        <v>AMMAR - ARCHPIX</v>
      </c>
      <c r="J887" s="753">
        <f t="shared" si="40"/>
        <v>6</v>
      </c>
      <c r="K887" s="1540">
        <f t="shared" si="41"/>
        <v>2024</v>
      </c>
      <c r="L887" s="757"/>
      <c r="M887" s="757"/>
      <c r="N887" s="757"/>
      <c r="O887" s="757"/>
      <c r="P887" s="757"/>
      <c r="Q887" s="757"/>
      <c r="R887" s="757"/>
      <c r="S887" s="757"/>
      <c r="T887" s="757"/>
      <c r="U887" s="757"/>
      <c r="V887" s="757"/>
      <c r="W887" s="757"/>
      <c r="X887" s="757"/>
      <c r="Y887" s="757"/>
      <c r="Z887" s="757"/>
      <c r="AA887" s="757"/>
      <c r="AB887" s="757"/>
      <c r="AC887" s="757"/>
      <c r="AD887" s="757"/>
      <c r="AE887" s="757"/>
      <c r="AF887" s="757"/>
      <c r="AG887" s="757"/>
      <c r="AH887" s="757"/>
      <c r="AI887" s="757"/>
      <c r="AJ887" s="757"/>
      <c r="AK887" s="757"/>
      <c r="AL887" s="757"/>
      <c r="AM887" s="757"/>
      <c r="AN887" s="757"/>
      <c r="AO887" s="757"/>
      <c r="AP887" s="757"/>
      <c r="AQ887" s="757"/>
      <c r="AR887" s="757"/>
      <c r="AS887" s="757"/>
      <c r="AT887" s="757"/>
      <c r="AU887" s="757"/>
      <c r="AV887" s="757"/>
      <c r="AW887" s="757"/>
      <c r="AX887" s="757"/>
      <c r="AY887" s="757"/>
      <c r="AZ887" s="75"/>
      <c r="BA887" s="2"/>
      <c r="BB887" s="2"/>
      <c r="BC887" s="2"/>
      <c r="BD887" s="2"/>
    </row>
    <row r="888" spans="1:56">
      <c r="A888" s="781">
        <v>2</v>
      </c>
      <c r="B888" s="782">
        <v>245</v>
      </c>
      <c r="C888" s="783">
        <v>45473</v>
      </c>
      <c r="D888" s="785" t="s">
        <v>865</v>
      </c>
      <c r="E888" s="808">
        <v>3516</v>
      </c>
      <c r="F888" s="799"/>
      <c r="G888" s="799"/>
      <c r="H888" s="1592">
        <f t="shared" si="39"/>
        <v>0</v>
      </c>
      <c r="I888" s="754" t="str">
        <f>IFERROR(VLOOKUP(B888,Mychart!$A$125:$B$911,2,FALSE),"-")</f>
        <v>SALIM SALMIN - ABDEL KHALIQ</v>
      </c>
      <c r="J888" s="753">
        <f t="shared" si="40"/>
        <v>6</v>
      </c>
      <c r="K888" s="1540">
        <f t="shared" si="41"/>
        <v>2024</v>
      </c>
      <c r="L888" s="757"/>
      <c r="M888" s="757"/>
      <c r="N888" s="757"/>
      <c r="O888" s="757"/>
      <c r="P888" s="757"/>
      <c r="Q888" s="757"/>
      <c r="R888" s="757"/>
      <c r="S888" s="757"/>
      <c r="T888" s="757"/>
      <c r="U888" s="757"/>
      <c r="V888" s="757"/>
      <c r="W888" s="757"/>
      <c r="X888" s="757"/>
      <c r="Y888" s="757"/>
      <c r="Z888" s="757"/>
      <c r="AA888" s="757"/>
      <c r="AB888" s="757"/>
      <c r="AC888" s="757"/>
      <c r="AD888" s="757"/>
      <c r="AE888" s="757"/>
      <c r="AF888" s="757"/>
      <c r="AG888" s="757"/>
      <c r="AH888" s="757"/>
      <c r="AI888" s="757"/>
      <c r="AJ888" s="757"/>
      <c r="AK888" s="757"/>
      <c r="AL888" s="757"/>
      <c r="AM888" s="757"/>
      <c r="AN888" s="757"/>
      <c r="AO888" s="757"/>
      <c r="AP888" s="757"/>
      <c r="AQ888" s="757"/>
      <c r="AR888" s="757"/>
      <c r="AS888" s="757"/>
      <c r="AT888" s="757"/>
      <c r="AU888" s="757"/>
      <c r="AV888" s="757"/>
      <c r="AW888" s="757"/>
      <c r="AX888" s="757"/>
      <c r="AY888" s="757"/>
      <c r="AZ888" s="75"/>
      <c r="BA888" s="2"/>
      <c r="BB888" s="2"/>
      <c r="BC888" s="2"/>
      <c r="BD888" s="2"/>
    </row>
    <row r="889" spans="1:56">
      <c r="A889" s="781">
        <v>2</v>
      </c>
      <c r="B889" s="782">
        <v>204</v>
      </c>
      <c r="C889" s="783">
        <v>45473</v>
      </c>
      <c r="D889" s="785" t="s">
        <v>865</v>
      </c>
      <c r="E889" s="808">
        <v>573</v>
      </c>
      <c r="F889" s="799"/>
      <c r="G889" s="799"/>
      <c r="H889" s="1592">
        <f t="shared" si="39"/>
        <v>0</v>
      </c>
      <c r="I889" s="754" t="str">
        <f>IFERROR(VLOOKUP(B889,Mychart!$A$125:$B$911,2,FALSE),"-")</f>
        <v>Abdullah Juma - Dar Dubai</v>
      </c>
      <c r="J889" s="753">
        <f t="shared" si="40"/>
        <v>6</v>
      </c>
      <c r="K889" s="1540">
        <f t="shared" si="41"/>
        <v>2024</v>
      </c>
      <c r="L889" s="757"/>
      <c r="M889" s="757"/>
      <c r="N889" s="757"/>
      <c r="O889" s="757"/>
      <c r="P889" s="757"/>
      <c r="Q889" s="757"/>
      <c r="R889" s="757"/>
      <c r="S889" s="757"/>
      <c r="T889" s="757"/>
      <c r="U889" s="757"/>
      <c r="V889" s="757"/>
      <c r="W889" s="757"/>
      <c r="X889" s="757"/>
      <c r="Y889" s="757"/>
      <c r="Z889" s="757"/>
      <c r="AA889" s="757"/>
      <c r="AB889" s="757"/>
      <c r="AC889" s="757"/>
      <c r="AD889" s="757"/>
      <c r="AE889" s="757"/>
      <c r="AF889" s="757"/>
      <c r="AG889" s="757"/>
      <c r="AH889" s="757"/>
      <c r="AI889" s="757"/>
      <c r="AJ889" s="757"/>
      <c r="AK889" s="757"/>
      <c r="AL889" s="757"/>
      <c r="AM889" s="757"/>
      <c r="AN889" s="757"/>
      <c r="AO889" s="757"/>
      <c r="AP889" s="757"/>
      <c r="AQ889" s="757"/>
      <c r="AR889" s="757"/>
      <c r="AS889" s="757"/>
      <c r="AT889" s="757"/>
      <c r="AU889" s="757"/>
      <c r="AV889" s="757"/>
      <c r="AW889" s="757"/>
      <c r="AX889" s="757"/>
      <c r="AY889" s="757"/>
      <c r="AZ889" s="75"/>
      <c r="BA889" s="2"/>
      <c r="BB889" s="2"/>
      <c r="BC889" s="2"/>
      <c r="BD889" s="2"/>
    </row>
    <row r="890" spans="1:56">
      <c r="A890" s="781">
        <v>2</v>
      </c>
      <c r="B890" s="782">
        <v>252</v>
      </c>
      <c r="C890" s="783">
        <v>45473</v>
      </c>
      <c r="D890" s="785" t="s">
        <v>865</v>
      </c>
      <c r="E890" s="808">
        <v>836</v>
      </c>
      <c r="F890" s="799"/>
      <c r="G890" s="799"/>
      <c r="H890" s="1592">
        <f t="shared" si="39"/>
        <v>0</v>
      </c>
      <c r="I890" s="754" t="str">
        <f>IFERROR(VLOOKUP(B890,Mychart!$A$125:$B$911,2,FALSE),"-")</f>
        <v>Mohamed Saif - HBC</v>
      </c>
      <c r="J890" s="753">
        <f t="shared" si="40"/>
        <v>6</v>
      </c>
      <c r="K890" s="1540">
        <f t="shared" si="41"/>
        <v>2024</v>
      </c>
      <c r="L890" s="757"/>
      <c r="M890" s="757"/>
      <c r="N890" s="757"/>
      <c r="O890" s="757"/>
      <c r="P890" s="757"/>
      <c r="Q890" s="757"/>
      <c r="R890" s="757"/>
      <c r="S890" s="757"/>
      <c r="T890" s="757"/>
      <c r="U890" s="757"/>
      <c r="V890" s="757"/>
      <c r="W890" s="757"/>
      <c r="X890" s="757"/>
      <c r="Y890" s="757"/>
      <c r="Z890" s="757"/>
      <c r="AA890" s="757"/>
      <c r="AB890" s="757"/>
      <c r="AC890" s="757"/>
      <c r="AD890" s="757"/>
      <c r="AE890" s="757"/>
      <c r="AF890" s="757"/>
      <c r="AG890" s="757"/>
      <c r="AH890" s="757"/>
      <c r="AI890" s="757"/>
      <c r="AJ890" s="757"/>
      <c r="AK890" s="757"/>
      <c r="AL890" s="757"/>
      <c r="AM890" s="757"/>
      <c r="AN890" s="757"/>
      <c r="AO890" s="757"/>
      <c r="AP890" s="757"/>
      <c r="AQ890" s="757"/>
      <c r="AR890" s="757"/>
      <c r="AS890" s="757"/>
      <c r="AT890" s="757"/>
      <c r="AU890" s="757"/>
      <c r="AV890" s="757"/>
      <c r="AW890" s="757"/>
      <c r="AX890" s="757"/>
      <c r="AY890" s="757"/>
      <c r="AZ890" s="75"/>
      <c r="BA890" s="2"/>
      <c r="BB890" s="2"/>
      <c r="BC890" s="2"/>
      <c r="BD890" s="2"/>
    </row>
    <row r="891" spans="1:56">
      <c r="A891" s="781">
        <v>2</v>
      </c>
      <c r="B891" s="782">
        <v>251</v>
      </c>
      <c r="C891" s="783">
        <v>45473</v>
      </c>
      <c r="D891" s="785" t="s">
        <v>865</v>
      </c>
      <c r="E891" s="808">
        <v>927</v>
      </c>
      <c r="F891" s="799"/>
      <c r="G891" s="799"/>
      <c r="H891" s="1592">
        <f t="shared" si="39"/>
        <v>0</v>
      </c>
      <c r="I891" s="754" t="str">
        <f>IFERROR(VLOOKUP(B891,Mychart!$A$125:$B$911,2,FALSE),"-")</f>
        <v>RASHED SALEM. JUMAIRAH</v>
      </c>
      <c r="J891" s="753">
        <f t="shared" si="40"/>
        <v>6</v>
      </c>
      <c r="K891" s="1540">
        <f t="shared" si="41"/>
        <v>2024</v>
      </c>
      <c r="L891" s="757"/>
      <c r="M891" s="757"/>
      <c r="N891" s="757"/>
      <c r="O891" s="757"/>
      <c r="P891" s="757"/>
      <c r="Q891" s="757"/>
      <c r="R891" s="757"/>
      <c r="S891" s="757"/>
      <c r="T891" s="757"/>
      <c r="U891" s="757"/>
      <c r="V891" s="757"/>
      <c r="W891" s="757"/>
      <c r="X891" s="757"/>
      <c r="Y891" s="757"/>
      <c r="Z891" s="757"/>
      <c r="AA891" s="757"/>
      <c r="AB891" s="757"/>
      <c r="AC891" s="757"/>
      <c r="AD891" s="757"/>
      <c r="AE891" s="757"/>
      <c r="AF891" s="757"/>
      <c r="AG891" s="757"/>
      <c r="AH891" s="757"/>
      <c r="AI891" s="757"/>
      <c r="AJ891" s="757"/>
      <c r="AK891" s="757"/>
      <c r="AL891" s="757"/>
      <c r="AM891" s="757"/>
      <c r="AN891" s="757"/>
      <c r="AO891" s="757"/>
      <c r="AP891" s="757"/>
      <c r="AQ891" s="757"/>
      <c r="AR891" s="757"/>
      <c r="AS891" s="757"/>
      <c r="AT891" s="757"/>
      <c r="AU891" s="757"/>
      <c r="AV891" s="757"/>
      <c r="AW891" s="757"/>
      <c r="AX891" s="757"/>
      <c r="AY891" s="757"/>
      <c r="AZ891" s="75"/>
      <c r="BA891" s="2"/>
      <c r="BB891" s="2"/>
      <c r="BC891" s="2"/>
      <c r="BD891" s="2"/>
    </row>
    <row r="892" spans="1:56">
      <c r="A892" s="781">
        <v>2</v>
      </c>
      <c r="B892" s="782">
        <v>222</v>
      </c>
      <c r="C892" s="783">
        <v>45473</v>
      </c>
      <c r="D892" s="785" t="s">
        <v>865</v>
      </c>
      <c r="E892" s="808">
        <v>267</v>
      </c>
      <c r="F892" s="799"/>
      <c r="G892" s="799"/>
      <c r="H892" s="1592">
        <f t="shared" si="39"/>
        <v>0</v>
      </c>
      <c r="I892" s="754" t="str">
        <f>IFERROR(VLOOKUP(B892,Mychart!$A$125:$B$911,2,FALSE),"-")</f>
        <v>SAMAH - ARCHPIX</v>
      </c>
      <c r="J892" s="753">
        <f t="shared" si="40"/>
        <v>6</v>
      </c>
      <c r="K892" s="1540">
        <f t="shared" si="41"/>
        <v>2024</v>
      </c>
      <c r="L892" s="757"/>
      <c r="M892" s="757"/>
      <c r="N892" s="757"/>
      <c r="O892" s="757"/>
      <c r="P892" s="757"/>
      <c r="Q892" s="757"/>
      <c r="R892" s="757"/>
      <c r="S892" s="757"/>
      <c r="T892" s="757"/>
      <c r="U892" s="757"/>
      <c r="V892" s="757"/>
      <c r="W892" s="757"/>
      <c r="X892" s="757"/>
      <c r="Y892" s="757"/>
      <c r="Z892" s="757"/>
      <c r="AA892" s="757"/>
      <c r="AB892" s="757"/>
      <c r="AC892" s="757"/>
      <c r="AD892" s="757"/>
      <c r="AE892" s="757"/>
      <c r="AF892" s="757"/>
      <c r="AG892" s="757"/>
      <c r="AH892" s="757"/>
      <c r="AI892" s="757"/>
      <c r="AJ892" s="757"/>
      <c r="AK892" s="757"/>
      <c r="AL892" s="757"/>
      <c r="AM892" s="757"/>
      <c r="AN892" s="757"/>
      <c r="AO892" s="757"/>
      <c r="AP892" s="757"/>
      <c r="AQ892" s="757"/>
      <c r="AR892" s="757"/>
      <c r="AS892" s="757"/>
      <c r="AT892" s="757"/>
      <c r="AU892" s="757"/>
      <c r="AV892" s="757"/>
      <c r="AW892" s="757"/>
      <c r="AX892" s="757"/>
      <c r="AY892" s="757"/>
      <c r="AZ892" s="75"/>
      <c r="BA892" s="2"/>
      <c r="BB892" s="2"/>
      <c r="BC892" s="2"/>
      <c r="BD892" s="2"/>
    </row>
    <row r="893" spans="1:56">
      <c r="A893" s="781">
        <v>2</v>
      </c>
      <c r="B893" s="782">
        <v>249</v>
      </c>
      <c r="C893" s="783">
        <v>45473</v>
      </c>
      <c r="D893" s="785" t="s">
        <v>865</v>
      </c>
      <c r="E893" s="808">
        <v>3787</v>
      </c>
      <c r="F893" s="799"/>
      <c r="G893" s="799"/>
      <c r="H893" s="1592">
        <f t="shared" si="39"/>
        <v>0</v>
      </c>
      <c r="I893" s="754" t="str">
        <f>IFERROR(VLOOKUP(B893,Mychart!$A$125:$B$911,2,FALSE),"-")</f>
        <v>farouq marzoki</v>
      </c>
      <c r="J893" s="753">
        <f t="shared" si="40"/>
        <v>6</v>
      </c>
      <c r="K893" s="1540">
        <f t="shared" si="41"/>
        <v>2024</v>
      </c>
      <c r="L893" s="757"/>
      <c r="M893" s="757"/>
      <c r="N893" s="757"/>
      <c r="O893" s="757"/>
      <c r="P893" s="757"/>
      <c r="Q893" s="757"/>
      <c r="R893" s="757"/>
      <c r="S893" s="757"/>
      <c r="T893" s="757"/>
      <c r="U893" s="757"/>
      <c r="V893" s="757"/>
      <c r="W893" s="757"/>
      <c r="X893" s="757"/>
      <c r="Y893" s="757"/>
      <c r="Z893" s="757"/>
      <c r="AA893" s="757"/>
      <c r="AB893" s="757"/>
      <c r="AC893" s="757"/>
      <c r="AD893" s="757"/>
      <c r="AE893" s="757"/>
      <c r="AF893" s="757"/>
      <c r="AG893" s="757"/>
      <c r="AH893" s="757"/>
      <c r="AI893" s="757"/>
      <c r="AJ893" s="757"/>
      <c r="AK893" s="757"/>
      <c r="AL893" s="757"/>
      <c r="AM893" s="757"/>
      <c r="AN893" s="757"/>
      <c r="AO893" s="757"/>
      <c r="AP893" s="757"/>
      <c r="AQ893" s="757"/>
      <c r="AR893" s="757"/>
      <c r="AS893" s="757"/>
      <c r="AT893" s="757"/>
      <c r="AU893" s="757"/>
      <c r="AV893" s="757"/>
      <c r="AW893" s="757"/>
      <c r="AX893" s="757"/>
      <c r="AY893" s="757"/>
      <c r="AZ893" s="75"/>
      <c r="BA893" s="2"/>
      <c r="BB893" s="2"/>
      <c r="BC893" s="2"/>
      <c r="BD893" s="2"/>
    </row>
    <row r="894" spans="1:56">
      <c r="A894" s="781">
        <v>2</v>
      </c>
      <c r="B894" s="782">
        <v>250</v>
      </c>
      <c r="C894" s="783">
        <v>45473</v>
      </c>
      <c r="D894" s="785" t="s">
        <v>865</v>
      </c>
      <c r="E894" s="808">
        <v>291</v>
      </c>
      <c r="F894" s="799"/>
      <c r="G894" s="799"/>
      <c r="H894" s="1592">
        <f t="shared" si="39"/>
        <v>0</v>
      </c>
      <c r="I894" s="754" t="str">
        <f>IFERROR(VLOOKUP(B894,Mychart!$A$125:$B$911,2,FALSE),"-")</f>
        <v>ABDULLAH JASSEM-DYNAMIC</v>
      </c>
      <c r="J894" s="753">
        <f t="shared" si="40"/>
        <v>6</v>
      </c>
      <c r="K894" s="1540">
        <f t="shared" si="41"/>
        <v>2024</v>
      </c>
      <c r="L894" s="757"/>
      <c r="M894" s="757"/>
      <c r="N894" s="757"/>
      <c r="O894" s="757"/>
      <c r="P894" s="757"/>
      <c r="Q894" s="757"/>
      <c r="R894" s="757"/>
      <c r="S894" s="757"/>
      <c r="T894" s="757"/>
      <c r="U894" s="757"/>
      <c r="V894" s="757"/>
      <c r="W894" s="757"/>
      <c r="X894" s="757"/>
      <c r="Y894" s="757"/>
      <c r="Z894" s="757"/>
      <c r="AA894" s="757"/>
      <c r="AB894" s="757"/>
      <c r="AC894" s="757"/>
      <c r="AD894" s="757"/>
      <c r="AE894" s="757"/>
      <c r="AF894" s="757"/>
      <c r="AG894" s="757"/>
      <c r="AH894" s="757"/>
      <c r="AI894" s="757"/>
      <c r="AJ894" s="757"/>
      <c r="AK894" s="757"/>
      <c r="AL894" s="757"/>
      <c r="AM894" s="757"/>
      <c r="AN894" s="757"/>
      <c r="AO894" s="757"/>
      <c r="AP894" s="757"/>
      <c r="AQ894" s="757"/>
      <c r="AR894" s="757"/>
      <c r="AS894" s="757"/>
      <c r="AT894" s="757"/>
      <c r="AU894" s="757"/>
      <c r="AV894" s="757"/>
      <c r="AW894" s="757"/>
      <c r="AX894" s="757"/>
      <c r="AY894" s="757"/>
      <c r="AZ894" s="75"/>
      <c r="BA894" s="2"/>
      <c r="BB894" s="2"/>
      <c r="BC894" s="2"/>
      <c r="BD894" s="2"/>
    </row>
    <row r="895" spans="1:56">
      <c r="A895" s="781">
        <v>2</v>
      </c>
      <c r="B895" s="782">
        <v>241</v>
      </c>
      <c r="C895" s="783">
        <v>45473</v>
      </c>
      <c r="D895" s="785" t="s">
        <v>865</v>
      </c>
      <c r="E895" s="808">
        <v>2869</v>
      </c>
      <c r="F895" s="799"/>
      <c r="G895" s="799"/>
      <c r="H895" s="1592">
        <f t="shared" si="39"/>
        <v>0</v>
      </c>
      <c r="I895" s="754" t="str">
        <f>IFERROR(VLOOKUP(B895,Mychart!$A$125:$B$911,2,FALSE),"-")</f>
        <v>KHALIFA . ARCHPIX</v>
      </c>
      <c r="J895" s="753">
        <f t="shared" si="40"/>
        <v>6</v>
      </c>
      <c r="K895" s="1540">
        <f t="shared" si="41"/>
        <v>2024</v>
      </c>
      <c r="L895" s="757"/>
      <c r="M895" s="757"/>
      <c r="N895" s="757"/>
      <c r="O895" s="757"/>
      <c r="P895" s="757"/>
      <c r="Q895" s="757"/>
      <c r="R895" s="757"/>
      <c r="S895" s="757"/>
      <c r="T895" s="757"/>
      <c r="U895" s="757"/>
      <c r="V895" s="757"/>
      <c r="W895" s="757"/>
      <c r="X895" s="757"/>
      <c r="Y895" s="757"/>
      <c r="Z895" s="757"/>
      <c r="AA895" s="757"/>
      <c r="AB895" s="757"/>
      <c r="AC895" s="757"/>
      <c r="AD895" s="757"/>
      <c r="AE895" s="757"/>
      <c r="AF895" s="757"/>
      <c r="AG895" s="757"/>
      <c r="AH895" s="757"/>
      <c r="AI895" s="757"/>
      <c r="AJ895" s="757"/>
      <c r="AK895" s="757"/>
      <c r="AL895" s="757"/>
      <c r="AM895" s="757"/>
      <c r="AN895" s="757"/>
      <c r="AO895" s="757"/>
      <c r="AP895" s="757"/>
      <c r="AQ895" s="757"/>
      <c r="AR895" s="757"/>
      <c r="AS895" s="757"/>
      <c r="AT895" s="757"/>
      <c r="AU895" s="757"/>
      <c r="AV895" s="757"/>
      <c r="AW895" s="757"/>
      <c r="AX895" s="757"/>
      <c r="AY895" s="757"/>
      <c r="AZ895" s="75"/>
      <c r="BA895" s="2"/>
      <c r="BB895" s="2"/>
      <c r="BC895" s="2"/>
      <c r="BD895" s="2"/>
    </row>
    <row r="896" spans="1:56">
      <c r="A896" s="781">
        <v>2</v>
      </c>
      <c r="B896" s="782">
        <v>217</v>
      </c>
      <c r="C896" s="783">
        <v>45473</v>
      </c>
      <c r="D896" s="785" t="s">
        <v>865</v>
      </c>
      <c r="E896" s="808">
        <v>650</v>
      </c>
      <c r="F896" s="799"/>
      <c r="G896" s="799"/>
      <c r="H896" s="1592">
        <f t="shared" si="39"/>
        <v>0</v>
      </c>
      <c r="I896" s="754" t="str">
        <f>IFERROR(VLOOKUP(B896,Mychart!$A$125:$B$911,2,FALSE),"-")</f>
        <v>MOHAMED MUHAIR . AREEJ</v>
      </c>
      <c r="J896" s="753">
        <f t="shared" si="40"/>
        <v>6</v>
      </c>
      <c r="K896" s="1540">
        <f t="shared" si="41"/>
        <v>2024</v>
      </c>
      <c r="L896" s="757"/>
      <c r="M896" s="757"/>
      <c r="N896" s="757"/>
      <c r="O896" s="757"/>
      <c r="P896" s="757"/>
      <c r="Q896" s="757"/>
      <c r="R896" s="757"/>
      <c r="S896" s="757"/>
      <c r="T896" s="757"/>
      <c r="U896" s="757"/>
      <c r="V896" s="757"/>
      <c r="W896" s="757"/>
      <c r="X896" s="757"/>
      <c r="Y896" s="757"/>
      <c r="Z896" s="757"/>
      <c r="AA896" s="757"/>
      <c r="AB896" s="757"/>
      <c r="AC896" s="757"/>
      <c r="AD896" s="757"/>
      <c r="AE896" s="757"/>
      <c r="AF896" s="757"/>
      <c r="AG896" s="757"/>
      <c r="AH896" s="757"/>
      <c r="AI896" s="757"/>
      <c r="AJ896" s="757"/>
      <c r="AK896" s="757"/>
      <c r="AL896" s="757"/>
      <c r="AM896" s="757"/>
      <c r="AN896" s="757"/>
      <c r="AO896" s="757"/>
      <c r="AP896" s="757"/>
      <c r="AQ896" s="757"/>
      <c r="AR896" s="757"/>
      <c r="AS896" s="757"/>
      <c r="AT896" s="757"/>
      <c r="AU896" s="757"/>
      <c r="AV896" s="757"/>
      <c r="AW896" s="757"/>
      <c r="AX896" s="757"/>
      <c r="AY896" s="757"/>
      <c r="AZ896" s="75"/>
      <c r="BA896" s="2"/>
      <c r="BB896" s="2"/>
      <c r="BC896" s="2"/>
      <c r="BD896" s="2"/>
    </row>
    <row r="897" spans="1:56">
      <c r="A897" s="781">
        <v>2</v>
      </c>
      <c r="B897" s="782">
        <v>247</v>
      </c>
      <c r="C897" s="783">
        <v>45473</v>
      </c>
      <c r="D897" s="785" t="s">
        <v>865</v>
      </c>
      <c r="E897" s="808">
        <v>6356</v>
      </c>
      <c r="F897" s="799"/>
      <c r="G897" s="799"/>
      <c r="H897" s="1592">
        <f t="shared" si="39"/>
        <v>0</v>
      </c>
      <c r="I897" s="754" t="str">
        <f>IFERROR(VLOOKUP(B897,Mychart!$A$125:$B$911,2,FALSE),"-")</f>
        <v>ABDULLAH MULLAH</v>
      </c>
      <c r="J897" s="753">
        <f t="shared" si="40"/>
        <v>6</v>
      </c>
      <c r="K897" s="1540">
        <f t="shared" si="41"/>
        <v>2024</v>
      </c>
      <c r="L897" s="757"/>
      <c r="M897" s="757"/>
      <c r="N897" s="757"/>
      <c r="O897" s="757"/>
      <c r="P897" s="757"/>
      <c r="Q897" s="757"/>
      <c r="R897" s="757"/>
      <c r="S897" s="757"/>
      <c r="T897" s="757"/>
      <c r="U897" s="757"/>
      <c r="V897" s="757"/>
      <c r="W897" s="757"/>
      <c r="X897" s="757"/>
      <c r="Y897" s="757"/>
      <c r="Z897" s="757"/>
      <c r="AA897" s="757"/>
      <c r="AB897" s="757"/>
      <c r="AC897" s="757"/>
      <c r="AD897" s="757"/>
      <c r="AE897" s="757"/>
      <c r="AF897" s="757"/>
      <c r="AG897" s="757"/>
      <c r="AH897" s="757"/>
      <c r="AI897" s="757"/>
      <c r="AJ897" s="757"/>
      <c r="AK897" s="757"/>
      <c r="AL897" s="757"/>
      <c r="AM897" s="757"/>
      <c r="AN897" s="757"/>
      <c r="AO897" s="757"/>
      <c r="AP897" s="757"/>
      <c r="AQ897" s="757"/>
      <c r="AR897" s="757"/>
      <c r="AS897" s="757"/>
      <c r="AT897" s="757"/>
      <c r="AU897" s="757"/>
      <c r="AV897" s="757"/>
      <c r="AW897" s="757"/>
      <c r="AX897" s="757"/>
      <c r="AY897" s="757"/>
      <c r="AZ897" s="75"/>
      <c r="BA897" s="2"/>
      <c r="BB897" s="2"/>
      <c r="BC897" s="2"/>
      <c r="BD897" s="2"/>
    </row>
    <row r="898" spans="1:56">
      <c r="A898" s="781">
        <v>2</v>
      </c>
      <c r="B898" s="782">
        <v>246</v>
      </c>
      <c r="C898" s="783">
        <v>45473</v>
      </c>
      <c r="D898" s="785" t="s">
        <v>865</v>
      </c>
      <c r="E898" s="808">
        <v>3862</v>
      </c>
      <c r="F898" s="799"/>
      <c r="G898" s="799"/>
      <c r="H898" s="1592">
        <f t="shared" si="39"/>
        <v>0</v>
      </c>
      <c r="I898" s="754" t="str">
        <f>IFERROR(VLOOKUP(B898,Mychart!$A$125:$B$911,2,FALSE),"-")</f>
        <v>Marzok Almatroshi - Archpix</v>
      </c>
      <c r="J898" s="753">
        <f t="shared" si="40"/>
        <v>6</v>
      </c>
      <c r="K898" s="1540">
        <f t="shared" si="41"/>
        <v>2024</v>
      </c>
      <c r="L898" s="757"/>
      <c r="M898" s="757"/>
      <c r="N898" s="757"/>
      <c r="O898" s="757"/>
      <c r="P898" s="757"/>
      <c r="Q898" s="757"/>
      <c r="R898" s="757"/>
      <c r="S898" s="757"/>
      <c r="T898" s="757"/>
      <c r="U898" s="757"/>
      <c r="V898" s="757"/>
      <c r="W898" s="757"/>
      <c r="X898" s="757"/>
      <c r="Y898" s="757"/>
      <c r="Z898" s="757"/>
      <c r="AA898" s="757"/>
      <c r="AB898" s="757"/>
      <c r="AC898" s="757"/>
      <c r="AD898" s="757"/>
      <c r="AE898" s="757"/>
      <c r="AF898" s="757"/>
      <c r="AG898" s="757"/>
      <c r="AH898" s="757"/>
      <c r="AI898" s="757"/>
      <c r="AJ898" s="757"/>
      <c r="AK898" s="757"/>
      <c r="AL898" s="757"/>
      <c r="AM898" s="757"/>
      <c r="AN898" s="757"/>
      <c r="AO898" s="757"/>
      <c r="AP898" s="757"/>
      <c r="AQ898" s="757"/>
      <c r="AR898" s="757"/>
      <c r="AS898" s="757"/>
      <c r="AT898" s="757"/>
      <c r="AU898" s="757"/>
      <c r="AV898" s="757"/>
      <c r="AW898" s="757"/>
      <c r="AX898" s="757"/>
      <c r="AY898" s="757"/>
      <c r="AZ898" s="75"/>
      <c r="BA898" s="2"/>
      <c r="BB898" s="2"/>
      <c r="BC898" s="2"/>
      <c r="BD898" s="2"/>
    </row>
    <row r="899" spans="1:56">
      <c r="A899" s="781">
        <v>2</v>
      </c>
      <c r="B899" s="782">
        <v>258</v>
      </c>
      <c r="C899" s="783">
        <v>45473</v>
      </c>
      <c r="D899" s="785" t="s">
        <v>865</v>
      </c>
      <c r="E899" s="808">
        <v>1671</v>
      </c>
      <c r="F899" s="799"/>
      <c r="G899" s="799"/>
      <c r="H899" s="1592">
        <f t="shared" si="39"/>
        <v>0</v>
      </c>
      <c r="I899" s="754" t="str">
        <f>IFERROR(VLOOKUP(B899,Mychart!$A$125:$B$911,2,FALSE),"-")</f>
        <v>MAJID ALSHEHY</v>
      </c>
      <c r="J899" s="753">
        <f t="shared" si="40"/>
        <v>6</v>
      </c>
      <c r="K899" s="1540">
        <f t="shared" si="41"/>
        <v>2024</v>
      </c>
      <c r="L899" s="757"/>
      <c r="M899" s="757"/>
      <c r="N899" s="757"/>
      <c r="O899" s="757"/>
      <c r="P899" s="757"/>
      <c r="Q899" s="757"/>
      <c r="R899" s="757"/>
      <c r="S899" s="757"/>
      <c r="T899" s="757"/>
      <c r="U899" s="757"/>
      <c r="V899" s="757"/>
      <c r="W899" s="757"/>
      <c r="X899" s="757"/>
      <c r="Y899" s="757"/>
      <c r="Z899" s="757"/>
      <c r="AA899" s="757"/>
      <c r="AB899" s="757"/>
      <c r="AC899" s="757"/>
      <c r="AD899" s="757"/>
      <c r="AE899" s="757"/>
      <c r="AF899" s="757"/>
      <c r="AG899" s="757"/>
      <c r="AH899" s="757"/>
      <c r="AI899" s="757"/>
      <c r="AJ899" s="757"/>
      <c r="AK899" s="757"/>
      <c r="AL899" s="757"/>
      <c r="AM899" s="757"/>
      <c r="AN899" s="757"/>
      <c r="AO899" s="757"/>
      <c r="AP899" s="757"/>
      <c r="AQ899" s="757"/>
      <c r="AR899" s="757"/>
      <c r="AS899" s="757"/>
      <c r="AT899" s="757"/>
      <c r="AU899" s="757"/>
      <c r="AV899" s="757"/>
      <c r="AW899" s="757"/>
      <c r="AX899" s="757"/>
      <c r="AY899" s="757"/>
      <c r="AZ899" s="75"/>
      <c r="BA899" s="2"/>
      <c r="BB899" s="2"/>
      <c r="BC899" s="2"/>
      <c r="BD899" s="2"/>
    </row>
    <row r="900" spans="1:56">
      <c r="A900" s="781">
        <v>2</v>
      </c>
      <c r="B900" s="782">
        <v>221</v>
      </c>
      <c r="C900" s="783">
        <v>45473</v>
      </c>
      <c r="D900" s="785" t="s">
        <v>865</v>
      </c>
      <c r="E900" s="808">
        <v>129</v>
      </c>
      <c r="F900" s="799"/>
      <c r="G900" s="799"/>
      <c r="H900" s="1592">
        <f t="shared" si="39"/>
        <v>0</v>
      </c>
      <c r="I900" s="754" t="str">
        <f>IFERROR(VLOOKUP(B900,Mychart!$A$125:$B$911,2,FALSE),"-")</f>
        <v>SAEED - ARCHPIX</v>
      </c>
      <c r="J900" s="753">
        <f t="shared" si="40"/>
        <v>6</v>
      </c>
      <c r="K900" s="1540">
        <f t="shared" si="41"/>
        <v>2024</v>
      </c>
      <c r="L900" s="757"/>
      <c r="M900" s="757"/>
      <c r="N900" s="757"/>
      <c r="O900" s="757"/>
      <c r="P900" s="757"/>
      <c r="Q900" s="757"/>
      <c r="R900" s="757"/>
      <c r="S900" s="757"/>
      <c r="T900" s="757"/>
      <c r="U900" s="757"/>
      <c r="V900" s="757"/>
      <c r="W900" s="757"/>
      <c r="X900" s="757"/>
      <c r="Y900" s="757"/>
      <c r="Z900" s="757"/>
      <c r="AA900" s="757"/>
      <c r="AB900" s="757"/>
      <c r="AC900" s="757"/>
      <c r="AD900" s="757"/>
      <c r="AE900" s="757"/>
      <c r="AF900" s="757"/>
      <c r="AG900" s="757"/>
      <c r="AH900" s="757"/>
      <c r="AI900" s="757"/>
      <c r="AJ900" s="757"/>
      <c r="AK900" s="757"/>
      <c r="AL900" s="757"/>
      <c r="AM900" s="757"/>
      <c r="AN900" s="757"/>
      <c r="AO900" s="757"/>
      <c r="AP900" s="757"/>
      <c r="AQ900" s="757"/>
      <c r="AR900" s="757"/>
      <c r="AS900" s="757"/>
      <c r="AT900" s="757"/>
      <c r="AU900" s="757"/>
      <c r="AV900" s="757"/>
      <c r="AW900" s="757"/>
      <c r="AX900" s="757"/>
      <c r="AY900" s="757"/>
      <c r="AZ900" s="75"/>
      <c r="BA900" s="2"/>
      <c r="BB900" s="2"/>
      <c r="BC900" s="2"/>
      <c r="BD900" s="2"/>
    </row>
    <row r="901" spans="1:56">
      <c r="A901" s="781">
        <v>2</v>
      </c>
      <c r="B901" s="782">
        <v>265</v>
      </c>
      <c r="C901" s="783">
        <v>45473</v>
      </c>
      <c r="D901" s="785" t="s">
        <v>865</v>
      </c>
      <c r="E901" s="808">
        <v>26</v>
      </c>
      <c r="F901" s="799"/>
      <c r="G901" s="799"/>
      <c r="H901" s="1592">
        <f t="shared" si="39"/>
        <v>0</v>
      </c>
      <c r="I901" s="754" t="str">
        <f>IFERROR(VLOOKUP(B901,Mychart!$A$125:$B$911,2,FALSE),"-")</f>
        <v>Omar Sultan</v>
      </c>
      <c r="J901" s="753">
        <f t="shared" si="40"/>
        <v>6</v>
      </c>
      <c r="K901" s="1540">
        <f t="shared" si="41"/>
        <v>2024</v>
      </c>
      <c r="L901" s="757"/>
      <c r="M901" s="757"/>
      <c r="N901" s="757"/>
      <c r="O901" s="757"/>
      <c r="P901" s="757"/>
      <c r="Q901" s="757"/>
      <c r="R901" s="757"/>
      <c r="S901" s="757"/>
      <c r="T901" s="757"/>
      <c r="U901" s="757"/>
      <c r="V901" s="757"/>
      <c r="W901" s="757"/>
      <c r="X901" s="757"/>
      <c r="Y901" s="757"/>
      <c r="Z901" s="757"/>
      <c r="AA901" s="757"/>
      <c r="AB901" s="757"/>
      <c r="AC901" s="757"/>
      <c r="AD901" s="757"/>
      <c r="AE901" s="757"/>
      <c r="AF901" s="757"/>
      <c r="AG901" s="757"/>
      <c r="AH901" s="757"/>
      <c r="AI901" s="757"/>
      <c r="AJ901" s="757"/>
      <c r="AK901" s="757"/>
      <c r="AL901" s="757"/>
      <c r="AM901" s="757"/>
      <c r="AN901" s="757"/>
      <c r="AO901" s="757"/>
      <c r="AP901" s="757"/>
      <c r="AQ901" s="757"/>
      <c r="AR901" s="757"/>
      <c r="AS901" s="757"/>
      <c r="AT901" s="757"/>
      <c r="AU901" s="757"/>
      <c r="AV901" s="757"/>
      <c r="AW901" s="757"/>
      <c r="AX901" s="757"/>
      <c r="AY901" s="757"/>
      <c r="AZ901" s="75"/>
      <c r="BA901" s="2"/>
      <c r="BB901" s="2"/>
      <c r="BC901" s="2"/>
      <c r="BD901" s="2"/>
    </row>
    <row r="902" spans="1:56">
      <c r="A902" s="781">
        <v>2</v>
      </c>
      <c r="B902" s="782">
        <v>275</v>
      </c>
      <c r="C902" s="783">
        <v>45473</v>
      </c>
      <c r="D902" s="785" t="s">
        <v>865</v>
      </c>
      <c r="E902" s="808">
        <v>55</v>
      </c>
      <c r="F902" s="799"/>
      <c r="G902" s="799"/>
      <c r="H902" s="1592">
        <f t="shared" si="39"/>
        <v>0</v>
      </c>
      <c r="I902" s="754" t="str">
        <f>IFERROR(VLOOKUP(B902,Mychart!$A$125:$B$911,2,FALSE),"-")</f>
        <v>meshaal saqar - irtekaz</v>
      </c>
      <c r="J902" s="753">
        <f t="shared" si="40"/>
        <v>6</v>
      </c>
      <c r="K902" s="1540">
        <f t="shared" si="41"/>
        <v>2024</v>
      </c>
      <c r="L902" s="757"/>
      <c r="M902" s="757"/>
      <c r="N902" s="757"/>
      <c r="O902" s="757"/>
      <c r="P902" s="757"/>
      <c r="Q902" s="757"/>
      <c r="R902" s="757"/>
      <c r="S902" s="757"/>
      <c r="T902" s="757"/>
      <c r="U902" s="757"/>
      <c r="V902" s="757"/>
      <c r="W902" s="757"/>
      <c r="X902" s="757"/>
      <c r="Y902" s="757"/>
      <c r="Z902" s="757"/>
      <c r="AA902" s="757"/>
      <c r="AB902" s="757"/>
      <c r="AC902" s="757"/>
      <c r="AD902" s="757"/>
      <c r="AE902" s="757"/>
      <c r="AF902" s="757"/>
      <c r="AG902" s="757"/>
      <c r="AH902" s="757"/>
      <c r="AI902" s="757"/>
      <c r="AJ902" s="757"/>
      <c r="AK902" s="757"/>
      <c r="AL902" s="757"/>
      <c r="AM902" s="757"/>
      <c r="AN902" s="757"/>
      <c r="AO902" s="757"/>
      <c r="AP902" s="757"/>
      <c r="AQ902" s="757"/>
      <c r="AR902" s="757"/>
      <c r="AS902" s="757"/>
      <c r="AT902" s="757"/>
      <c r="AU902" s="757"/>
      <c r="AV902" s="757"/>
      <c r="AW902" s="757"/>
      <c r="AX902" s="757"/>
      <c r="AY902" s="757"/>
      <c r="AZ902" s="75"/>
      <c r="BA902" s="2"/>
      <c r="BB902" s="2"/>
      <c r="BC902" s="2"/>
      <c r="BD902" s="2"/>
    </row>
    <row r="903" spans="1:56">
      <c r="A903" s="781">
        <v>2</v>
      </c>
      <c r="B903" s="782">
        <v>256</v>
      </c>
      <c r="C903" s="783">
        <v>45473</v>
      </c>
      <c r="D903" s="785" t="s">
        <v>865</v>
      </c>
      <c r="E903" s="808">
        <v>208</v>
      </c>
      <c r="F903" s="799"/>
      <c r="G903" s="799"/>
      <c r="H903" s="1592">
        <f t="shared" si="39"/>
        <v>0</v>
      </c>
      <c r="I903" s="754" t="str">
        <f>IFERROR(VLOOKUP(B903,Mychart!$A$125:$B$911,2,FALSE),"-")</f>
        <v>ADNAN DUBAI SKY</v>
      </c>
      <c r="J903" s="753">
        <f t="shared" si="40"/>
        <v>6</v>
      </c>
      <c r="K903" s="1540">
        <f t="shared" si="41"/>
        <v>2024</v>
      </c>
      <c r="L903" s="757"/>
      <c r="M903" s="757"/>
      <c r="N903" s="757"/>
      <c r="O903" s="757"/>
      <c r="P903" s="757"/>
      <c r="Q903" s="757"/>
      <c r="R903" s="757"/>
      <c r="S903" s="757"/>
      <c r="T903" s="757"/>
      <c r="U903" s="757"/>
      <c r="V903" s="757"/>
      <c r="W903" s="757"/>
      <c r="X903" s="757"/>
      <c r="Y903" s="757"/>
      <c r="Z903" s="757"/>
      <c r="AA903" s="757"/>
      <c r="AB903" s="757"/>
      <c r="AC903" s="757"/>
      <c r="AD903" s="757"/>
      <c r="AE903" s="757"/>
      <c r="AF903" s="757"/>
      <c r="AG903" s="757"/>
      <c r="AH903" s="757"/>
      <c r="AI903" s="757"/>
      <c r="AJ903" s="757"/>
      <c r="AK903" s="757"/>
      <c r="AL903" s="757"/>
      <c r="AM903" s="757"/>
      <c r="AN903" s="757"/>
      <c r="AO903" s="757"/>
      <c r="AP903" s="757"/>
      <c r="AQ903" s="757"/>
      <c r="AR903" s="757"/>
      <c r="AS903" s="757"/>
      <c r="AT903" s="757"/>
      <c r="AU903" s="757"/>
      <c r="AV903" s="757"/>
      <c r="AW903" s="757"/>
      <c r="AX903" s="757"/>
      <c r="AY903" s="757"/>
      <c r="AZ903" s="75"/>
      <c r="BA903" s="2"/>
      <c r="BB903" s="2"/>
      <c r="BC903" s="2"/>
      <c r="BD903" s="2"/>
    </row>
    <row r="904" spans="1:56">
      <c r="A904" s="781">
        <v>2</v>
      </c>
      <c r="B904" s="782">
        <v>252</v>
      </c>
      <c r="C904" s="783">
        <v>45447</v>
      </c>
      <c r="D904" s="785" t="s">
        <v>1904</v>
      </c>
      <c r="E904" s="808">
        <v>100</v>
      </c>
      <c r="F904" s="799"/>
      <c r="G904" s="799"/>
      <c r="H904" s="1592">
        <f t="shared" si="39"/>
        <v>0</v>
      </c>
      <c r="I904" s="754" t="str">
        <f>IFERROR(VLOOKUP(B904,Mychart!$A$125:$B$911,2,FALSE),"-")</f>
        <v>Mohamed Saif - HBC</v>
      </c>
      <c r="J904" s="753">
        <f t="shared" si="40"/>
        <v>6</v>
      </c>
      <c r="K904" s="1540">
        <f t="shared" si="41"/>
        <v>2024</v>
      </c>
      <c r="L904" s="757"/>
      <c r="M904" s="757"/>
      <c r="N904" s="757"/>
      <c r="O904" s="757"/>
      <c r="P904" s="757"/>
      <c r="Q904" s="757"/>
      <c r="R904" s="757"/>
      <c r="S904" s="757"/>
      <c r="T904" s="757"/>
      <c r="U904" s="757"/>
      <c r="V904" s="757"/>
      <c r="W904" s="757"/>
      <c r="X904" s="757"/>
      <c r="Y904" s="757"/>
      <c r="Z904" s="757"/>
      <c r="AA904" s="757"/>
      <c r="AB904" s="757"/>
      <c r="AC904" s="757"/>
      <c r="AD904" s="757"/>
      <c r="AE904" s="757"/>
      <c r="AF904" s="757"/>
      <c r="AG904" s="757"/>
      <c r="AH904" s="757"/>
      <c r="AI904" s="757"/>
      <c r="AJ904" s="757"/>
      <c r="AK904" s="757"/>
      <c r="AL904" s="757"/>
      <c r="AM904" s="757"/>
      <c r="AN904" s="757"/>
      <c r="AO904" s="757"/>
      <c r="AP904" s="757"/>
      <c r="AQ904" s="757"/>
      <c r="AR904" s="757"/>
      <c r="AS904" s="757"/>
      <c r="AT904" s="757"/>
      <c r="AU904" s="757"/>
      <c r="AV904" s="757"/>
      <c r="AW904" s="757"/>
      <c r="AX904" s="757"/>
      <c r="AY904" s="757"/>
      <c r="AZ904" s="75"/>
      <c r="BA904" s="2"/>
      <c r="BB904" s="2"/>
      <c r="BC904" s="2"/>
      <c r="BD904" s="2"/>
    </row>
    <row r="905" spans="1:56">
      <c r="A905" s="781">
        <v>2</v>
      </c>
      <c r="B905" s="782">
        <v>226</v>
      </c>
      <c r="C905" s="783">
        <v>45450</v>
      </c>
      <c r="D905" s="785" t="s">
        <v>1904</v>
      </c>
      <c r="E905" s="808">
        <v>424</v>
      </c>
      <c r="F905" s="799"/>
      <c r="G905" s="799"/>
      <c r="H905" s="1592">
        <f t="shared" si="39"/>
        <v>0</v>
      </c>
      <c r="I905" s="754" t="str">
        <f>IFERROR(VLOOKUP(B905,Mychart!$A$125:$B$911,2,FALSE),"-")</f>
        <v>SALEM HESSA</v>
      </c>
      <c r="J905" s="753">
        <f t="shared" si="40"/>
        <v>6</v>
      </c>
      <c r="K905" s="1540">
        <f t="shared" si="41"/>
        <v>2024</v>
      </c>
      <c r="L905" s="757"/>
      <c r="M905" s="757"/>
      <c r="N905" s="757"/>
      <c r="O905" s="757"/>
      <c r="P905" s="757"/>
      <c r="Q905" s="757"/>
      <c r="R905" s="757"/>
      <c r="S905" s="757"/>
      <c r="T905" s="757"/>
      <c r="U905" s="757"/>
      <c r="V905" s="757"/>
      <c r="W905" s="757"/>
      <c r="X905" s="757"/>
      <c r="Y905" s="757"/>
      <c r="Z905" s="757"/>
      <c r="AA905" s="757"/>
      <c r="AB905" s="757"/>
      <c r="AC905" s="757"/>
      <c r="AD905" s="757"/>
      <c r="AE905" s="757"/>
      <c r="AF905" s="757"/>
      <c r="AG905" s="757"/>
      <c r="AH905" s="757"/>
      <c r="AI905" s="757"/>
      <c r="AJ905" s="757"/>
      <c r="AK905" s="757"/>
      <c r="AL905" s="757"/>
      <c r="AM905" s="757"/>
      <c r="AN905" s="757"/>
      <c r="AO905" s="757"/>
      <c r="AP905" s="757"/>
      <c r="AQ905" s="757"/>
      <c r="AR905" s="757"/>
      <c r="AS905" s="757"/>
      <c r="AT905" s="757"/>
      <c r="AU905" s="757"/>
      <c r="AV905" s="757"/>
      <c r="AW905" s="757"/>
      <c r="AX905" s="757"/>
      <c r="AY905" s="757"/>
      <c r="AZ905" s="75"/>
      <c r="BA905" s="2"/>
      <c r="BB905" s="2"/>
      <c r="BC905" s="2"/>
      <c r="BD905" s="2"/>
    </row>
    <row r="906" spans="1:56">
      <c r="A906" s="781">
        <v>2</v>
      </c>
      <c r="B906" s="782">
        <v>257</v>
      </c>
      <c r="C906" s="783">
        <v>45450</v>
      </c>
      <c r="D906" s="785" t="s">
        <v>1904</v>
      </c>
      <c r="E906" s="808">
        <v>1963</v>
      </c>
      <c r="F906" s="799"/>
      <c r="G906" s="799"/>
      <c r="H906" s="1592">
        <f t="shared" si="39"/>
        <v>0</v>
      </c>
      <c r="I906" s="754" t="str">
        <f>IFERROR(VLOOKUP(B906,Mychart!$A$125:$B$911,2,FALSE),"-")</f>
        <v>NAAEMA SALEH - ERTIKAZ</v>
      </c>
      <c r="J906" s="753">
        <f t="shared" si="40"/>
        <v>6</v>
      </c>
      <c r="K906" s="1540">
        <f t="shared" si="41"/>
        <v>2024</v>
      </c>
      <c r="L906" s="757"/>
      <c r="M906" s="757"/>
      <c r="N906" s="757"/>
      <c r="O906" s="757"/>
      <c r="P906" s="757"/>
      <c r="Q906" s="757"/>
      <c r="R906" s="757"/>
      <c r="S906" s="757"/>
      <c r="T906" s="757"/>
      <c r="U906" s="757"/>
      <c r="V906" s="757"/>
      <c r="W906" s="757"/>
      <c r="X906" s="757"/>
      <c r="Y906" s="757"/>
      <c r="Z906" s="757"/>
      <c r="AA906" s="757"/>
      <c r="AB906" s="757"/>
      <c r="AC906" s="757"/>
      <c r="AD906" s="757"/>
      <c r="AE906" s="757"/>
      <c r="AF906" s="757"/>
      <c r="AG906" s="757"/>
      <c r="AH906" s="757"/>
      <c r="AI906" s="757"/>
      <c r="AJ906" s="757"/>
      <c r="AK906" s="757"/>
      <c r="AL906" s="757"/>
      <c r="AM906" s="757"/>
      <c r="AN906" s="757"/>
      <c r="AO906" s="757"/>
      <c r="AP906" s="757"/>
      <c r="AQ906" s="757"/>
      <c r="AR906" s="757"/>
      <c r="AS906" s="757"/>
      <c r="AT906" s="757"/>
      <c r="AU906" s="757"/>
      <c r="AV906" s="757"/>
      <c r="AW906" s="757"/>
      <c r="AX906" s="757"/>
      <c r="AY906" s="757"/>
      <c r="AZ906" s="75"/>
      <c r="BA906" s="2"/>
      <c r="BB906" s="2"/>
      <c r="BC906" s="2"/>
      <c r="BD906" s="2"/>
    </row>
    <row r="907" spans="1:56">
      <c r="A907" s="781">
        <v>2</v>
      </c>
      <c r="B907" s="782">
        <v>252</v>
      </c>
      <c r="C907" s="783">
        <v>45454</v>
      </c>
      <c r="D907" s="785" t="s">
        <v>1904</v>
      </c>
      <c r="E907" s="808">
        <v>107</v>
      </c>
      <c r="F907" s="799"/>
      <c r="G907" s="799"/>
      <c r="H907" s="1592">
        <f t="shared" ref="H907:H970" si="42">F907+G907</f>
        <v>0</v>
      </c>
      <c r="I907" s="754" t="str">
        <f>IFERROR(VLOOKUP(B907,Mychart!$A$125:$B$911,2,FALSE),"-")</f>
        <v>Mohamed Saif - HBC</v>
      </c>
      <c r="J907" s="753">
        <f t="shared" ref="J907:J970" si="43">IF(C907&lt;&gt;"", MONTH(C907),"-")</f>
        <v>6</v>
      </c>
      <c r="K907" s="1540">
        <f t="shared" ref="K907:K970" si="44">YEAR(C907)</f>
        <v>2024</v>
      </c>
      <c r="L907" s="757"/>
      <c r="M907" s="757"/>
      <c r="N907" s="757"/>
      <c r="O907" s="757"/>
      <c r="P907" s="757"/>
      <c r="Q907" s="757"/>
      <c r="R907" s="757"/>
      <c r="S907" s="757"/>
      <c r="T907" s="757"/>
      <c r="U907" s="757"/>
      <c r="V907" s="757"/>
      <c r="W907" s="757"/>
      <c r="X907" s="757"/>
      <c r="Y907" s="757"/>
      <c r="Z907" s="757"/>
      <c r="AA907" s="757"/>
      <c r="AB907" s="757"/>
      <c r="AC907" s="757"/>
      <c r="AD907" s="757"/>
      <c r="AE907" s="757"/>
      <c r="AF907" s="757"/>
      <c r="AG907" s="757"/>
      <c r="AH907" s="757"/>
      <c r="AI907" s="757"/>
      <c r="AJ907" s="757"/>
      <c r="AK907" s="757"/>
      <c r="AL907" s="757"/>
      <c r="AM907" s="757"/>
      <c r="AN907" s="757"/>
      <c r="AO907" s="757"/>
      <c r="AP907" s="757"/>
      <c r="AQ907" s="757"/>
      <c r="AR907" s="757"/>
      <c r="AS907" s="757"/>
      <c r="AT907" s="757"/>
      <c r="AU907" s="757"/>
      <c r="AV907" s="757"/>
      <c r="AW907" s="757"/>
      <c r="AX907" s="757"/>
      <c r="AY907" s="757"/>
      <c r="AZ907" s="75"/>
      <c r="BA907" s="2"/>
      <c r="BB907" s="2"/>
      <c r="BC907" s="2"/>
      <c r="BD907" s="2"/>
    </row>
    <row r="908" spans="1:56">
      <c r="A908" s="781">
        <v>2</v>
      </c>
      <c r="B908" s="782">
        <v>210</v>
      </c>
      <c r="C908" s="783">
        <v>45454</v>
      </c>
      <c r="D908" s="785" t="s">
        <v>1904</v>
      </c>
      <c r="E908" s="808">
        <v>45</v>
      </c>
      <c r="F908" s="799"/>
      <c r="G908" s="799"/>
      <c r="H908" s="1592">
        <f t="shared" si="42"/>
        <v>0</v>
      </c>
      <c r="I908" s="754" t="str">
        <f>IFERROR(VLOOKUP(B908,Mychart!$A$125:$B$911,2,FALSE),"-")</f>
        <v>SUHAIL MAZROIE - ABU MARIAM</v>
      </c>
      <c r="J908" s="753">
        <f t="shared" si="43"/>
        <v>6</v>
      </c>
      <c r="K908" s="1540">
        <f t="shared" si="44"/>
        <v>2024</v>
      </c>
      <c r="L908" s="757"/>
      <c r="M908" s="757"/>
      <c r="N908" s="757"/>
      <c r="O908" s="757"/>
      <c r="P908" s="757"/>
      <c r="Q908" s="757"/>
      <c r="R908" s="757"/>
      <c r="S908" s="757"/>
      <c r="T908" s="757"/>
      <c r="U908" s="757"/>
      <c r="V908" s="757"/>
      <c r="W908" s="757"/>
      <c r="X908" s="757"/>
      <c r="Y908" s="757"/>
      <c r="Z908" s="757"/>
      <c r="AA908" s="757"/>
      <c r="AB908" s="757"/>
      <c r="AC908" s="757"/>
      <c r="AD908" s="757"/>
      <c r="AE908" s="757"/>
      <c r="AF908" s="757"/>
      <c r="AG908" s="757"/>
      <c r="AH908" s="757"/>
      <c r="AI908" s="757"/>
      <c r="AJ908" s="757"/>
      <c r="AK908" s="757"/>
      <c r="AL908" s="757"/>
      <c r="AM908" s="757"/>
      <c r="AN908" s="757"/>
      <c r="AO908" s="757"/>
      <c r="AP908" s="757"/>
      <c r="AQ908" s="757"/>
      <c r="AR908" s="757"/>
      <c r="AS908" s="757"/>
      <c r="AT908" s="757"/>
      <c r="AU908" s="757"/>
      <c r="AV908" s="757"/>
      <c r="AW908" s="757"/>
      <c r="AX908" s="757"/>
      <c r="AY908" s="757"/>
      <c r="AZ908" s="75"/>
      <c r="BA908" s="2"/>
      <c r="BB908" s="2"/>
      <c r="BC908" s="2"/>
      <c r="BD908" s="2"/>
    </row>
    <row r="909" spans="1:56">
      <c r="A909" s="781">
        <v>2</v>
      </c>
      <c r="B909" s="782">
        <v>217</v>
      </c>
      <c r="C909" s="783">
        <v>45464</v>
      </c>
      <c r="D909" s="785" t="s">
        <v>1904</v>
      </c>
      <c r="E909" s="808">
        <v>85</v>
      </c>
      <c r="F909" s="799"/>
      <c r="G909" s="799"/>
      <c r="H909" s="1592">
        <f t="shared" si="42"/>
        <v>0</v>
      </c>
      <c r="I909" s="754" t="str">
        <f>IFERROR(VLOOKUP(B909,Mychart!$A$125:$B$911,2,FALSE),"-")</f>
        <v>MOHAMED MUHAIR . AREEJ</v>
      </c>
      <c r="J909" s="753">
        <f t="shared" si="43"/>
        <v>6</v>
      </c>
      <c r="K909" s="1540">
        <f t="shared" si="44"/>
        <v>2024</v>
      </c>
      <c r="L909" s="757"/>
      <c r="M909" s="757"/>
      <c r="N909" s="757"/>
      <c r="O909" s="757"/>
      <c r="P909" s="757"/>
      <c r="Q909" s="757"/>
      <c r="R909" s="757"/>
      <c r="S909" s="757"/>
      <c r="T909" s="757"/>
      <c r="U909" s="757"/>
      <c r="V909" s="757"/>
      <c r="W909" s="757"/>
      <c r="X909" s="757"/>
      <c r="Y909" s="757"/>
      <c r="Z909" s="757"/>
      <c r="AA909" s="757"/>
      <c r="AB909" s="757"/>
      <c r="AC909" s="757"/>
      <c r="AD909" s="757"/>
      <c r="AE909" s="757"/>
      <c r="AF909" s="757"/>
      <c r="AG909" s="757"/>
      <c r="AH909" s="757"/>
      <c r="AI909" s="757"/>
      <c r="AJ909" s="757"/>
      <c r="AK909" s="757"/>
      <c r="AL909" s="757"/>
      <c r="AM909" s="757"/>
      <c r="AN909" s="757"/>
      <c r="AO909" s="757"/>
      <c r="AP909" s="757"/>
      <c r="AQ909" s="757"/>
      <c r="AR909" s="757"/>
      <c r="AS909" s="757"/>
      <c r="AT909" s="757"/>
      <c r="AU909" s="757"/>
      <c r="AV909" s="757"/>
      <c r="AW909" s="757"/>
      <c r="AX909" s="757"/>
      <c r="AY909" s="757"/>
      <c r="AZ909" s="75"/>
      <c r="BA909" s="2"/>
      <c r="BB909" s="2"/>
      <c r="BC909" s="2"/>
      <c r="BD909" s="2"/>
    </row>
    <row r="910" spans="1:56">
      <c r="A910" s="781">
        <v>2</v>
      </c>
      <c r="B910" s="782">
        <v>242</v>
      </c>
      <c r="C910" s="783">
        <v>45469</v>
      </c>
      <c r="D910" s="785" t="s">
        <v>1904</v>
      </c>
      <c r="E910" s="808">
        <v>1037</v>
      </c>
      <c r="F910" s="799"/>
      <c r="G910" s="799"/>
      <c r="H910" s="1592">
        <f t="shared" si="42"/>
        <v>0</v>
      </c>
      <c r="I910" s="754" t="str">
        <f>IFERROR(VLOOKUP(B910,Mychart!$A$125:$B$911,2,FALSE),"-")</f>
        <v>AMMAR - ARCHPIX</v>
      </c>
      <c r="J910" s="753">
        <f t="shared" si="43"/>
        <v>6</v>
      </c>
      <c r="K910" s="1540">
        <f t="shared" si="44"/>
        <v>2024</v>
      </c>
      <c r="L910" s="757"/>
      <c r="M910" s="757"/>
      <c r="N910" s="757"/>
      <c r="O910" s="757"/>
      <c r="P910" s="757"/>
      <c r="Q910" s="757"/>
      <c r="R910" s="757"/>
      <c r="S910" s="757"/>
      <c r="T910" s="757"/>
      <c r="U910" s="757"/>
      <c r="V910" s="757"/>
      <c r="W910" s="757"/>
      <c r="X910" s="757"/>
      <c r="Y910" s="757"/>
      <c r="Z910" s="757"/>
      <c r="AA910" s="757"/>
      <c r="AB910" s="757"/>
      <c r="AC910" s="757"/>
      <c r="AD910" s="757"/>
      <c r="AE910" s="757"/>
      <c r="AF910" s="757"/>
      <c r="AG910" s="757"/>
      <c r="AH910" s="757"/>
      <c r="AI910" s="757"/>
      <c r="AJ910" s="757"/>
      <c r="AK910" s="757"/>
      <c r="AL910" s="757"/>
      <c r="AM910" s="757"/>
      <c r="AN910" s="757"/>
      <c r="AO910" s="757"/>
      <c r="AP910" s="757"/>
      <c r="AQ910" s="757"/>
      <c r="AR910" s="757"/>
      <c r="AS910" s="757"/>
      <c r="AT910" s="757"/>
      <c r="AU910" s="757"/>
      <c r="AV910" s="757"/>
      <c r="AW910" s="757"/>
      <c r="AX910" s="757"/>
      <c r="AY910" s="757"/>
      <c r="AZ910" s="75"/>
      <c r="BA910" s="2"/>
      <c r="BB910" s="2"/>
      <c r="BC910" s="2"/>
      <c r="BD910" s="2"/>
    </row>
    <row r="911" spans="1:56">
      <c r="A911" s="781">
        <v>2</v>
      </c>
      <c r="B911" s="782">
        <v>252</v>
      </c>
      <c r="C911" s="783">
        <v>45471</v>
      </c>
      <c r="D911" s="785" t="s">
        <v>1904</v>
      </c>
      <c r="E911" s="808">
        <v>116</v>
      </c>
      <c r="F911" s="799"/>
      <c r="G911" s="799"/>
      <c r="H911" s="1592">
        <f t="shared" si="42"/>
        <v>0</v>
      </c>
      <c r="I911" s="754" t="str">
        <f>IFERROR(VLOOKUP(B911,Mychart!$A$125:$B$911,2,FALSE),"-")</f>
        <v>Mohamed Saif - HBC</v>
      </c>
      <c r="J911" s="753">
        <f t="shared" si="43"/>
        <v>6</v>
      </c>
      <c r="K911" s="1540">
        <f t="shared" si="44"/>
        <v>2024</v>
      </c>
      <c r="L911" s="757"/>
      <c r="M911" s="757"/>
      <c r="N911" s="757"/>
      <c r="O911" s="757"/>
      <c r="P911" s="757"/>
      <c r="Q911" s="757"/>
      <c r="R911" s="757"/>
      <c r="S911" s="757"/>
      <c r="T911" s="757"/>
      <c r="U911" s="757"/>
      <c r="V911" s="757"/>
      <c r="W911" s="757"/>
      <c r="X911" s="757"/>
      <c r="Y911" s="757"/>
      <c r="Z911" s="757"/>
      <c r="AA911" s="757"/>
      <c r="AB911" s="757"/>
      <c r="AC911" s="757"/>
      <c r="AD911" s="757"/>
      <c r="AE911" s="757"/>
      <c r="AF911" s="757"/>
      <c r="AG911" s="757"/>
      <c r="AH911" s="757"/>
      <c r="AI911" s="757"/>
      <c r="AJ911" s="757"/>
      <c r="AK911" s="757"/>
      <c r="AL911" s="757"/>
      <c r="AM911" s="757"/>
      <c r="AN911" s="757"/>
      <c r="AO911" s="757"/>
      <c r="AP911" s="757"/>
      <c r="AQ911" s="757"/>
      <c r="AR911" s="757"/>
      <c r="AS911" s="757"/>
      <c r="AT911" s="757"/>
      <c r="AU911" s="757"/>
      <c r="AV911" s="757"/>
      <c r="AW911" s="757"/>
      <c r="AX911" s="757"/>
      <c r="AY911" s="757"/>
      <c r="AZ911" s="75"/>
      <c r="BA911" s="2"/>
      <c r="BB911" s="2"/>
      <c r="BC911" s="2"/>
      <c r="BD911" s="2"/>
    </row>
    <row r="912" spans="1:56">
      <c r="A912" s="781">
        <v>2</v>
      </c>
      <c r="B912" s="782">
        <v>217</v>
      </c>
      <c r="C912" s="783">
        <v>45471</v>
      </c>
      <c r="D912" s="785" t="s">
        <v>1904</v>
      </c>
      <c r="E912" s="808">
        <v>100</v>
      </c>
      <c r="F912" s="799"/>
      <c r="G912" s="799"/>
      <c r="H912" s="1592">
        <f t="shared" si="42"/>
        <v>0</v>
      </c>
      <c r="I912" s="754" t="str">
        <f>IFERROR(VLOOKUP(B912,Mychart!$A$125:$B$911,2,FALSE),"-")</f>
        <v>MOHAMED MUHAIR . AREEJ</v>
      </c>
      <c r="J912" s="753">
        <f t="shared" si="43"/>
        <v>6</v>
      </c>
      <c r="K912" s="1540">
        <f t="shared" si="44"/>
        <v>2024</v>
      </c>
      <c r="L912" s="757"/>
      <c r="M912" s="757"/>
      <c r="N912" s="757"/>
      <c r="O912" s="757"/>
      <c r="P912" s="757"/>
      <c r="Q912" s="757"/>
      <c r="R912" s="757"/>
      <c r="S912" s="757"/>
      <c r="T912" s="757"/>
      <c r="U912" s="757"/>
      <c r="V912" s="757"/>
      <c r="W912" s="757"/>
      <c r="X912" s="757"/>
      <c r="Y912" s="757"/>
      <c r="Z912" s="757"/>
      <c r="AA912" s="757"/>
      <c r="AB912" s="757"/>
      <c r="AC912" s="757"/>
      <c r="AD912" s="757"/>
      <c r="AE912" s="757"/>
      <c r="AF912" s="757"/>
      <c r="AG912" s="757"/>
      <c r="AH912" s="757"/>
      <c r="AI912" s="757"/>
      <c r="AJ912" s="757"/>
      <c r="AK912" s="757"/>
      <c r="AL912" s="757"/>
      <c r="AM912" s="757"/>
      <c r="AN912" s="757"/>
      <c r="AO912" s="757"/>
      <c r="AP912" s="757"/>
      <c r="AQ912" s="757"/>
      <c r="AR912" s="757"/>
      <c r="AS912" s="757"/>
      <c r="AT912" s="757"/>
      <c r="AU912" s="757"/>
      <c r="AV912" s="757"/>
      <c r="AW912" s="757"/>
      <c r="AX912" s="757"/>
      <c r="AY912" s="757"/>
      <c r="AZ912" s="75"/>
      <c r="BA912" s="2"/>
      <c r="BB912" s="2"/>
      <c r="BC912" s="2"/>
      <c r="BD912" s="2"/>
    </row>
    <row r="913" spans="1:56">
      <c r="A913" s="781">
        <v>2</v>
      </c>
      <c r="B913" s="782">
        <v>251</v>
      </c>
      <c r="C913" s="783">
        <v>45472</v>
      </c>
      <c r="D913" s="785" t="s">
        <v>1904</v>
      </c>
      <c r="E913" s="808">
        <v>517</v>
      </c>
      <c r="F913" s="799"/>
      <c r="G913" s="799"/>
      <c r="H913" s="1592">
        <f t="shared" si="42"/>
        <v>0</v>
      </c>
      <c r="I913" s="754" t="str">
        <f>IFERROR(VLOOKUP(B913,Mychart!$A$125:$B$911,2,FALSE),"-")</f>
        <v>RASHED SALEM. JUMAIRAH</v>
      </c>
      <c r="J913" s="753">
        <f t="shared" si="43"/>
        <v>6</v>
      </c>
      <c r="K913" s="1540">
        <f t="shared" si="44"/>
        <v>2024</v>
      </c>
      <c r="L913" s="757"/>
      <c r="M913" s="757"/>
      <c r="N913" s="757"/>
      <c r="O913" s="757"/>
      <c r="P913" s="757"/>
      <c r="Q913" s="757"/>
      <c r="R913" s="757"/>
      <c r="S913" s="757"/>
      <c r="T913" s="757"/>
      <c r="U913" s="757"/>
      <c r="V913" s="757"/>
      <c r="W913" s="757"/>
      <c r="X913" s="757"/>
      <c r="Y913" s="757"/>
      <c r="Z913" s="757"/>
      <c r="AA913" s="757"/>
      <c r="AB913" s="757"/>
      <c r="AC913" s="757"/>
      <c r="AD913" s="757"/>
      <c r="AE913" s="757"/>
      <c r="AF913" s="757"/>
      <c r="AG913" s="757"/>
      <c r="AH913" s="757"/>
      <c r="AI913" s="757"/>
      <c r="AJ913" s="757"/>
      <c r="AK913" s="757"/>
      <c r="AL913" s="757"/>
      <c r="AM913" s="757"/>
      <c r="AN913" s="757"/>
      <c r="AO913" s="757"/>
      <c r="AP913" s="757"/>
      <c r="AQ913" s="757"/>
      <c r="AR913" s="757"/>
      <c r="AS913" s="757"/>
      <c r="AT913" s="757"/>
      <c r="AU913" s="757"/>
      <c r="AV913" s="757"/>
      <c r="AW913" s="757"/>
      <c r="AX913" s="757"/>
      <c r="AY913" s="757"/>
      <c r="AZ913" s="75"/>
      <c r="BA913" s="2"/>
      <c r="BB913" s="2"/>
      <c r="BC913" s="2"/>
      <c r="BD913" s="2"/>
    </row>
    <row r="914" spans="1:56">
      <c r="A914" s="781">
        <v>2</v>
      </c>
      <c r="B914" s="782">
        <v>251</v>
      </c>
      <c r="C914" s="783">
        <v>45472</v>
      </c>
      <c r="D914" s="785" t="s">
        <v>1904</v>
      </c>
      <c r="E914" s="808">
        <v>74</v>
      </c>
      <c r="F914" s="799"/>
      <c r="G914" s="799"/>
      <c r="H914" s="1592">
        <f t="shared" si="42"/>
        <v>0</v>
      </c>
      <c r="I914" s="754" t="str">
        <f>IFERROR(VLOOKUP(B914,Mychart!$A$125:$B$911,2,FALSE),"-")</f>
        <v>RASHED SALEM. JUMAIRAH</v>
      </c>
      <c r="J914" s="753">
        <f t="shared" si="43"/>
        <v>6</v>
      </c>
      <c r="K914" s="1540">
        <f t="shared" si="44"/>
        <v>2024</v>
      </c>
      <c r="L914" s="757"/>
      <c r="M914" s="757"/>
      <c r="N914" s="757"/>
      <c r="O914" s="757"/>
      <c r="P914" s="757"/>
      <c r="Q914" s="757"/>
      <c r="R914" s="757"/>
      <c r="S914" s="757"/>
      <c r="T914" s="757"/>
      <c r="U914" s="757"/>
      <c r="V914" s="757"/>
      <c r="W914" s="757"/>
      <c r="X914" s="757"/>
      <c r="Y914" s="757"/>
      <c r="Z914" s="757"/>
      <c r="AA914" s="757"/>
      <c r="AB914" s="757"/>
      <c r="AC914" s="757"/>
      <c r="AD914" s="757"/>
      <c r="AE914" s="757"/>
      <c r="AF914" s="757"/>
      <c r="AG914" s="757"/>
      <c r="AH914" s="757"/>
      <c r="AI914" s="757"/>
      <c r="AJ914" s="757"/>
      <c r="AK914" s="757"/>
      <c r="AL914" s="757"/>
      <c r="AM914" s="757"/>
      <c r="AN914" s="757"/>
      <c r="AO914" s="757"/>
      <c r="AP914" s="757"/>
      <c r="AQ914" s="757"/>
      <c r="AR914" s="757"/>
      <c r="AS914" s="757"/>
      <c r="AT914" s="757"/>
      <c r="AU914" s="757"/>
      <c r="AV914" s="757"/>
      <c r="AW914" s="757"/>
      <c r="AX914" s="757"/>
      <c r="AY914" s="757"/>
      <c r="AZ914" s="75"/>
      <c r="BA914" s="2"/>
      <c r="BB914" s="2"/>
      <c r="BC914" s="2"/>
      <c r="BD914" s="2"/>
    </row>
    <row r="915" spans="1:56">
      <c r="A915" s="781">
        <v>2</v>
      </c>
      <c r="B915" s="782">
        <v>281</v>
      </c>
      <c r="C915" s="783">
        <v>45486</v>
      </c>
      <c r="D915" s="785" t="s">
        <v>432</v>
      </c>
      <c r="E915" s="808">
        <v>500</v>
      </c>
      <c r="F915" s="799"/>
      <c r="G915" s="799"/>
      <c r="H915" s="1592">
        <f t="shared" si="42"/>
        <v>0</v>
      </c>
      <c r="I915" s="754" t="str">
        <f>IFERROR(VLOOKUP(B915,Mychart!$A$125:$B$911,2,FALSE),"-")</f>
        <v>Mohamed Abbas Al Bloushi</v>
      </c>
      <c r="J915" s="753">
        <f t="shared" si="43"/>
        <v>7</v>
      </c>
      <c r="K915" s="1540">
        <f t="shared" si="44"/>
        <v>2024</v>
      </c>
      <c r="L915" s="757"/>
      <c r="M915" s="757"/>
      <c r="N915" s="757"/>
      <c r="O915" s="757"/>
      <c r="P915" s="757"/>
      <c r="Q915" s="757"/>
      <c r="R915" s="757"/>
      <c r="S915" s="757"/>
      <c r="T915" s="757"/>
      <c r="U915" s="757"/>
      <c r="V915" s="757"/>
      <c r="W915" s="757"/>
      <c r="X915" s="757"/>
      <c r="Y915" s="757"/>
      <c r="Z915" s="757"/>
      <c r="AA915" s="757"/>
      <c r="AB915" s="757"/>
      <c r="AC915" s="757"/>
      <c r="AD915" s="757"/>
      <c r="AE915" s="757"/>
      <c r="AF915" s="757"/>
      <c r="AG915" s="757"/>
      <c r="AH915" s="757"/>
      <c r="AI915" s="757"/>
      <c r="AJ915" s="757"/>
      <c r="AK915" s="757"/>
      <c r="AL915" s="757"/>
      <c r="AM915" s="757"/>
      <c r="AN915" s="757"/>
      <c r="AO915" s="757"/>
      <c r="AP915" s="757"/>
      <c r="AQ915" s="757"/>
      <c r="AR915" s="757"/>
      <c r="AS915" s="757"/>
      <c r="AT915" s="757"/>
      <c r="AU915" s="757"/>
      <c r="AV915" s="757"/>
      <c r="AW915" s="757"/>
      <c r="AX915" s="757"/>
      <c r="AY915" s="757"/>
      <c r="AZ915" s="75"/>
      <c r="BA915" s="2"/>
      <c r="BB915" s="2"/>
      <c r="BC915" s="2"/>
      <c r="BD915" s="2"/>
    </row>
    <row r="916" spans="1:56">
      <c r="A916" s="781">
        <v>2</v>
      </c>
      <c r="B916" s="782">
        <v>280</v>
      </c>
      <c r="C916" s="783">
        <v>45486</v>
      </c>
      <c r="D916" s="785" t="s">
        <v>432</v>
      </c>
      <c r="E916" s="808">
        <v>500</v>
      </c>
      <c r="F916" s="799"/>
      <c r="G916" s="799"/>
      <c r="H916" s="1592">
        <f t="shared" si="42"/>
        <v>0</v>
      </c>
      <c r="I916" s="754" t="str">
        <f>IFERROR(VLOOKUP(B916,Mychart!$A$125:$B$911,2,FALSE),"-")</f>
        <v>Gaith Mohammad Aiahli</v>
      </c>
      <c r="J916" s="753">
        <f t="shared" si="43"/>
        <v>7</v>
      </c>
      <c r="K916" s="1540">
        <f t="shared" si="44"/>
        <v>2024</v>
      </c>
      <c r="L916" s="757"/>
      <c r="M916" s="757"/>
      <c r="N916" s="757"/>
      <c r="O916" s="757"/>
      <c r="P916" s="757"/>
      <c r="Q916" s="757"/>
      <c r="R916" s="757"/>
      <c r="S916" s="757"/>
      <c r="T916" s="757"/>
      <c r="U916" s="757"/>
      <c r="V916" s="757"/>
      <c r="W916" s="757"/>
      <c r="X916" s="757"/>
      <c r="Y916" s="757"/>
      <c r="Z916" s="757"/>
      <c r="AA916" s="757"/>
      <c r="AB916" s="757"/>
      <c r="AC916" s="757"/>
      <c r="AD916" s="757"/>
      <c r="AE916" s="757"/>
      <c r="AF916" s="757"/>
      <c r="AG916" s="757"/>
      <c r="AH916" s="757"/>
      <c r="AI916" s="757"/>
      <c r="AJ916" s="757"/>
      <c r="AK916" s="757"/>
      <c r="AL916" s="757"/>
      <c r="AM916" s="757"/>
      <c r="AN916" s="757"/>
      <c r="AO916" s="757"/>
      <c r="AP916" s="757"/>
      <c r="AQ916" s="757"/>
      <c r="AR916" s="757"/>
      <c r="AS916" s="757"/>
      <c r="AT916" s="757"/>
      <c r="AU916" s="757"/>
      <c r="AV916" s="757"/>
      <c r="AW916" s="757"/>
      <c r="AX916" s="757"/>
      <c r="AY916" s="757"/>
      <c r="AZ916" s="75"/>
      <c r="BA916" s="2"/>
      <c r="BB916" s="2"/>
      <c r="BC916" s="2"/>
      <c r="BD916" s="2"/>
    </row>
    <row r="917" spans="1:56">
      <c r="A917" s="781">
        <v>2</v>
      </c>
      <c r="B917" s="782">
        <v>278</v>
      </c>
      <c r="C917" s="783">
        <v>45486</v>
      </c>
      <c r="D917" s="785" t="s">
        <v>432</v>
      </c>
      <c r="E917" s="808">
        <v>700</v>
      </c>
      <c r="F917" s="799"/>
      <c r="G917" s="799"/>
      <c r="H917" s="1592">
        <f t="shared" si="42"/>
        <v>0</v>
      </c>
      <c r="I917" s="754" t="str">
        <f>IFERROR(VLOOKUP(B917,Mychart!$A$125:$B$911,2,FALSE),"-")</f>
        <v>Rashed Ahmed Yousef Mohamed Al Balooshi- Archpix</v>
      </c>
      <c r="J917" s="753">
        <f t="shared" si="43"/>
        <v>7</v>
      </c>
      <c r="K917" s="1540">
        <f t="shared" si="44"/>
        <v>2024</v>
      </c>
      <c r="L917" s="757"/>
      <c r="M917" s="757"/>
      <c r="N917" s="757"/>
      <c r="O917" s="757"/>
      <c r="P917" s="757"/>
      <c r="Q917" s="757"/>
      <c r="R917" s="757"/>
      <c r="S917" s="757"/>
      <c r="T917" s="757"/>
      <c r="U917" s="757"/>
      <c r="V917" s="757"/>
      <c r="W917" s="757"/>
      <c r="X917" s="757"/>
      <c r="Y917" s="757"/>
      <c r="Z917" s="757"/>
      <c r="AA917" s="757"/>
      <c r="AB917" s="757"/>
      <c r="AC917" s="757"/>
      <c r="AD917" s="757"/>
      <c r="AE917" s="757"/>
      <c r="AF917" s="757"/>
      <c r="AG917" s="757"/>
      <c r="AH917" s="757"/>
      <c r="AI917" s="757"/>
      <c r="AJ917" s="757"/>
      <c r="AK917" s="757"/>
      <c r="AL917" s="757"/>
      <c r="AM917" s="757"/>
      <c r="AN917" s="757"/>
      <c r="AO917" s="757"/>
      <c r="AP917" s="757"/>
      <c r="AQ917" s="757"/>
      <c r="AR917" s="757"/>
      <c r="AS917" s="757"/>
      <c r="AT917" s="757"/>
      <c r="AU917" s="757"/>
      <c r="AV917" s="757"/>
      <c r="AW917" s="757"/>
      <c r="AX917" s="757"/>
      <c r="AY917" s="757"/>
      <c r="AZ917" s="75"/>
      <c r="BA917" s="2"/>
      <c r="BB917" s="2"/>
      <c r="BC917" s="2"/>
      <c r="BD917" s="2"/>
    </row>
    <row r="918" spans="1:56">
      <c r="A918" s="781">
        <v>2</v>
      </c>
      <c r="B918" s="782">
        <v>277</v>
      </c>
      <c r="C918" s="783">
        <v>45486</v>
      </c>
      <c r="D918" s="785" t="s">
        <v>432</v>
      </c>
      <c r="E918" s="808">
        <v>500</v>
      </c>
      <c r="F918" s="799"/>
      <c r="G918" s="799"/>
      <c r="H918" s="1592">
        <f t="shared" si="42"/>
        <v>0</v>
      </c>
      <c r="I918" s="754" t="str">
        <f>IFERROR(VLOOKUP(B918,Mychart!$A$125:$B$911,2,FALSE),"-")</f>
        <v>ABDULRHMAN ESSA ALI</v>
      </c>
      <c r="J918" s="753">
        <f t="shared" si="43"/>
        <v>7</v>
      </c>
      <c r="K918" s="1540">
        <f t="shared" si="44"/>
        <v>2024</v>
      </c>
      <c r="L918" s="757"/>
      <c r="M918" s="757"/>
      <c r="N918" s="757"/>
      <c r="O918" s="757"/>
      <c r="P918" s="757"/>
      <c r="Q918" s="757"/>
      <c r="R918" s="757"/>
      <c r="S918" s="757"/>
      <c r="T918" s="757"/>
      <c r="U918" s="757"/>
      <c r="V918" s="757"/>
      <c r="W918" s="757"/>
      <c r="X918" s="757"/>
      <c r="Y918" s="757"/>
      <c r="Z918" s="757"/>
      <c r="AA918" s="757"/>
      <c r="AB918" s="757"/>
      <c r="AC918" s="757"/>
      <c r="AD918" s="757"/>
      <c r="AE918" s="757"/>
      <c r="AF918" s="757"/>
      <c r="AG918" s="757"/>
      <c r="AH918" s="757"/>
      <c r="AI918" s="757"/>
      <c r="AJ918" s="757"/>
      <c r="AK918" s="757"/>
      <c r="AL918" s="757"/>
      <c r="AM918" s="757"/>
      <c r="AN918" s="757"/>
      <c r="AO918" s="757"/>
      <c r="AP918" s="757"/>
      <c r="AQ918" s="757"/>
      <c r="AR918" s="757"/>
      <c r="AS918" s="757"/>
      <c r="AT918" s="757"/>
      <c r="AU918" s="757"/>
      <c r="AV918" s="757"/>
      <c r="AW918" s="757"/>
      <c r="AX918" s="757"/>
      <c r="AY918" s="757"/>
      <c r="AZ918" s="75"/>
      <c r="BA918" s="2"/>
      <c r="BB918" s="2"/>
      <c r="BC918" s="2"/>
      <c r="BD918" s="2"/>
    </row>
    <row r="919" spans="1:56">
      <c r="A919" s="781">
        <v>2</v>
      </c>
      <c r="B919" s="782">
        <v>276</v>
      </c>
      <c r="C919" s="783">
        <v>45486</v>
      </c>
      <c r="D919" s="785" t="s">
        <v>432</v>
      </c>
      <c r="E919" s="808">
        <v>300</v>
      </c>
      <c r="F919" s="799"/>
      <c r="G919" s="799"/>
      <c r="H919" s="1592">
        <f t="shared" si="42"/>
        <v>0</v>
      </c>
      <c r="I919" s="754" t="str">
        <f>IFERROR(VLOOKUP(B919,Mychart!$A$125:$B$911,2,FALSE),"-")</f>
        <v>FATMA ESSA ALI</v>
      </c>
      <c r="J919" s="753">
        <f t="shared" si="43"/>
        <v>7</v>
      </c>
      <c r="K919" s="1540">
        <f t="shared" si="44"/>
        <v>2024</v>
      </c>
      <c r="L919" s="757"/>
      <c r="M919" s="757"/>
      <c r="N919" s="757"/>
      <c r="O919" s="757"/>
      <c r="P919" s="757"/>
      <c r="Q919" s="757"/>
      <c r="R919" s="757"/>
      <c r="S919" s="757"/>
      <c r="T919" s="757"/>
      <c r="U919" s="757"/>
      <c r="V919" s="757"/>
      <c r="W919" s="757"/>
      <c r="X919" s="757"/>
      <c r="Y919" s="757"/>
      <c r="Z919" s="757"/>
      <c r="AA919" s="757"/>
      <c r="AB919" s="757"/>
      <c r="AC919" s="757"/>
      <c r="AD919" s="757"/>
      <c r="AE919" s="757"/>
      <c r="AF919" s="757"/>
      <c r="AG919" s="757"/>
      <c r="AH919" s="757"/>
      <c r="AI919" s="757"/>
      <c r="AJ919" s="757"/>
      <c r="AK919" s="757"/>
      <c r="AL919" s="757"/>
      <c r="AM919" s="757"/>
      <c r="AN919" s="757"/>
      <c r="AO919" s="757"/>
      <c r="AP919" s="757"/>
      <c r="AQ919" s="757"/>
      <c r="AR919" s="757"/>
      <c r="AS919" s="757"/>
      <c r="AT919" s="757"/>
      <c r="AU919" s="757"/>
      <c r="AV919" s="757"/>
      <c r="AW919" s="757"/>
      <c r="AX919" s="757"/>
      <c r="AY919" s="757"/>
      <c r="AZ919" s="75"/>
      <c r="BA919" s="2"/>
      <c r="BB919" s="2"/>
      <c r="BC919" s="2"/>
      <c r="BD919" s="2"/>
    </row>
    <row r="920" spans="1:56">
      <c r="A920" s="781">
        <v>1</v>
      </c>
      <c r="B920" s="782">
        <v>281</v>
      </c>
      <c r="C920" s="783">
        <v>45482</v>
      </c>
      <c r="D920" s="785" t="s">
        <v>871</v>
      </c>
      <c r="E920" s="808"/>
      <c r="F920" s="799">
        <v>6350</v>
      </c>
      <c r="G920" s="799">
        <v>317.5</v>
      </c>
      <c r="H920" s="1592">
        <f t="shared" si="42"/>
        <v>6667.5</v>
      </c>
      <c r="I920" s="754" t="str">
        <f>IFERROR(VLOOKUP(B920,Mychart!$A$125:$B$911,2,FALSE),"-")</f>
        <v>Mohamed Abbas Al Bloushi</v>
      </c>
      <c r="J920" s="753">
        <f t="shared" si="43"/>
        <v>7</v>
      </c>
      <c r="K920" s="1540">
        <f t="shared" si="44"/>
        <v>2024</v>
      </c>
      <c r="L920" s="757"/>
      <c r="M920" s="757"/>
      <c r="N920" s="757"/>
      <c r="O920" s="757"/>
      <c r="P920" s="757"/>
      <c r="Q920" s="757"/>
      <c r="R920" s="757"/>
      <c r="S920" s="757"/>
      <c r="T920" s="757"/>
      <c r="U920" s="757"/>
      <c r="V920" s="757"/>
      <c r="W920" s="757"/>
      <c r="X920" s="757"/>
      <c r="Y920" s="757"/>
      <c r="Z920" s="757"/>
      <c r="AA920" s="757"/>
      <c r="AB920" s="757"/>
      <c r="AC920" s="757"/>
      <c r="AD920" s="757"/>
      <c r="AE920" s="757"/>
      <c r="AF920" s="757"/>
      <c r="AG920" s="757"/>
      <c r="AH920" s="757"/>
      <c r="AI920" s="757"/>
      <c r="AJ920" s="757"/>
      <c r="AK920" s="757"/>
      <c r="AL920" s="757"/>
      <c r="AM920" s="757"/>
      <c r="AN920" s="757"/>
      <c r="AO920" s="757"/>
      <c r="AP920" s="757"/>
      <c r="AQ920" s="757"/>
      <c r="AR920" s="757"/>
      <c r="AS920" s="757"/>
      <c r="AT920" s="757"/>
      <c r="AU920" s="757"/>
      <c r="AV920" s="757"/>
      <c r="AW920" s="757"/>
      <c r="AX920" s="757"/>
      <c r="AY920" s="757"/>
      <c r="AZ920" s="75"/>
      <c r="BA920" s="2"/>
      <c r="BB920" s="2"/>
      <c r="BC920" s="2"/>
      <c r="BD920" s="2"/>
    </row>
    <row r="921" spans="1:56">
      <c r="A921" s="781">
        <v>1</v>
      </c>
      <c r="B921" s="782">
        <v>228</v>
      </c>
      <c r="C921" s="783">
        <v>45018</v>
      </c>
      <c r="D921" s="785" t="s">
        <v>872</v>
      </c>
      <c r="E921" s="808"/>
      <c r="F921" s="799">
        <v>12000</v>
      </c>
      <c r="G921" s="799">
        <v>600</v>
      </c>
      <c r="H921" s="1592">
        <f t="shared" si="42"/>
        <v>12600</v>
      </c>
      <c r="I921" s="754" t="str">
        <f>IFERROR(VLOOKUP(B921,Mychart!$A$125:$B$911,2,FALSE),"-")</f>
        <v>MOHAMED SAIF SHAMSI</v>
      </c>
      <c r="J921" s="753">
        <f t="shared" si="43"/>
        <v>4</v>
      </c>
      <c r="K921" s="1540">
        <f t="shared" si="44"/>
        <v>2023</v>
      </c>
      <c r="L921" s="757"/>
      <c r="M921" s="757"/>
      <c r="N921" s="757"/>
      <c r="O921" s="757"/>
      <c r="P921" s="757"/>
      <c r="Q921" s="757"/>
      <c r="R921" s="757"/>
      <c r="S921" s="757"/>
      <c r="T921" s="757"/>
      <c r="U921" s="757"/>
      <c r="V921" s="757"/>
      <c r="W921" s="757"/>
      <c r="X921" s="757"/>
      <c r="Y921" s="757"/>
      <c r="Z921" s="757"/>
      <c r="AA921" s="757"/>
      <c r="AB921" s="757"/>
      <c r="AC921" s="757"/>
      <c r="AD921" s="757"/>
      <c r="AE921" s="757"/>
      <c r="AF921" s="757"/>
      <c r="AG921" s="757"/>
      <c r="AH921" s="757"/>
      <c r="AI921" s="757"/>
      <c r="AJ921" s="757"/>
      <c r="AK921" s="757"/>
      <c r="AL921" s="757"/>
      <c r="AM921" s="757"/>
      <c r="AN921" s="757"/>
      <c r="AO921" s="757"/>
      <c r="AP921" s="757"/>
      <c r="AQ921" s="757"/>
      <c r="AR921" s="757"/>
      <c r="AS921" s="757"/>
      <c r="AT921" s="757"/>
      <c r="AU921" s="757"/>
      <c r="AV921" s="757"/>
      <c r="AW921" s="757"/>
      <c r="AX921" s="757"/>
      <c r="AY921" s="757"/>
      <c r="AZ921" s="75"/>
      <c r="BA921" s="2"/>
      <c r="BB921" s="2"/>
      <c r="BC921" s="2"/>
      <c r="BD921" s="2"/>
    </row>
    <row r="922" spans="1:56">
      <c r="A922" s="781">
        <v>1</v>
      </c>
      <c r="B922" s="782">
        <v>228</v>
      </c>
      <c r="C922" s="783">
        <v>45486</v>
      </c>
      <c r="D922" s="785" t="s">
        <v>419</v>
      </c>
      <c r="E922" s="808"/>
      <c r="F922" s="799">
        <v>21150</v>
      </c>
      <c r="G922" s="799">
        <v>1057.5</v>
      </c>
      <c r="H922" s="1592">
        <f t="shared" si="42"/>
        <v>22207.5</v>
      </c>
      <c r="I922" s="754" t="str">
        <f>IFERROR(VLOOKUP(B922,Mychart!$A$125:$B$911,2,FALSE),"-")</f>
        <v>MOHAMED SAIF SHAMSI</v>
      </c>
      <c r="J922" s="753">
        <f t="shared" si="43"/>
        <v>7</v>
      </c>
      <c r="K922" s="1540">
        <f t="shared" si="44"/>
        <v>2024</v>
      </c>
      <c r="L922" s="757"/>
      <c r="M922" s="757"/>
      <c r="N922" s="757"/>
      <c r="O922" s="757"/>
      <c r="P922" s="757"/>
      <c r="Q922" s="757"/>
      <c r="R922" s="757"/>
      <c r="S922" s="757"/>
      <c r="T922" s="757"/>
      <c r="U922" s="757"/>
      <c r="V922" s="757"/>
      <c r="W922" s="757"/>
      <c r="X922" s="757"/>
      <c r="Y922" s="757"/>
      <c r="Z922" s="757"/>
      <c r="AA922" s="757"/>
      <c r="AB922" s="757"/>
      <c r="AC922" s="757"/>
      <c r="AD922" s="757"/>
      <c r="AE922" s="757"/>
      <c r="AF922" s="757"/>
      <c r="AG922" s="757"/>
      <c r="AH922" s="757"/>
      <c r="AI922" s="757"/>
      <c r="AJ922" s="757"/>
      <c r="AK922" s="757"/>
      <c r="AL922" s="757"/>
      <c r="AM922" s="757"/>
      <c r="AN922" s="757"/>
      <c r="AO922" s="757"/>
      <c r="AP922" s="757"/>
      <c r="AQ922" s="757"/>
      <c r="AR922" s="757"/>
      <c r="AS922" s="757"/>
      <c r="AT922" s="757"/>
      <c r="AU922" s="757"/>
      <c r="AV922" s="757"/>
      <c r="AW922" s="757"/>
      <c r="AX922" s="757"/>
      <c r="AY922" s="757"/>
      <c r="AZ922" s="75"/>
      <c r="BA922" s="2"/>
      <c r="BB922" s="2"/>
      <c r="BC922" s="2"/>
      <c r="BD922" s="2"/>
    </row>
    <row r="923" spans="1:56">
      <c r="A923" s="781">
        <v>2</v>
      </c>
      <c r="B923" s="782">
        <v>228</v>
      </c>
      <c r="C923" s="783"/>
      <c r="D923" s="785" t="s">
        <v>421</v>
      </c>
      <c r="E923" s="808">
        <v>500</v>
      </c>
      <c r="F923" s="799"/>
      <c r="G923" s="799"/>
      <c r="H923" s="1592">
        <f t="shared" si="42"/>
        <v>0</v>
      </c>
      <c r="I923" s="754" t="str">
        <f>IFERROR(VLOOKUP(B923,Mychart!$A$125:$B$911,2,FALSE),"-")</f>
        <v>MOHAMED SAIF SHAMSI</v>
      </c>
      <c r="J923" s="753" t="str">
        <f t="shared" si="43"/>
        <v>-</v>
      </c>
      <c r="K923" s="1540">
        <f t="shared" si="44"/>
        <v>1900</v>
      </c>
      <c r="L923" s="757"/>
      <c r="M923" s="757"/>
      <c r="N923" s="757"/>
      <c r="O923" s="757"/>
      <c r="P923" s="757"/>
      <c r="Q923" s="757"/>
      <c r="R923" s="757"/>
      <c r="S923" s="757"/>
      <c r="T923" s="757"/>
      <c r="U923" s="757"/>
      <c r="V923" s="757"/>
      <c r="W923" s="757"/>
      <c r="X923" s="757"/>
      <c r="Y923" s="757"/>
      <c r="Z923" s="757"/>
      <c r="AA923" s="757"/>
      <c r="AB923" s="757"/>
      <c r="AC923" s="757"/>
      <c r="AD923" s="757"/>
      <c r="AE923" s="757"/>
      <c r="AF923" s="757"/>
      <c r="AG923" s="757"/>
      <c r="AH923" s="757"/>
      <c r="AI923" s="757"/>
      <c r="AJ923" s="757"/>
      <c r="AK923" s="757"/>
      <c r="AL923" s="757"/>
      <c r="AM923" s="757"/>
      <c r="AN923" s="757"/>
      <c r="AO923" s="757"/>
      <c r="AP923" s="757"/>
      <c r="AQ923" s="757"/>
      <c r="AR923" s="757"/>
      <c r="AS923" s="757"/>
      <c r="AT923" s="757"/>
      <c r="AU923" s="757"/>
      <c r="AV923" s="757"/>
      <c r="AW923" s="757"/>
      <c r="AX923" s="757"/>
      <c r="AY923" s="757"/>
      <c r="AZ923" s="75"/>
      <c r="BA923" s="2"/>
      <c r="BB923" s="2"/>
      <c r="BC923" s="2"/>
      <c r="BD923" s="2"/>
    </row>
    <row r="924" spans="1:56">
      <c r="A924" s="781">
        <v>2</v>
      </c>
      <c r="B924" s="782">
        <v>228</v>
      </c>
      <c r="C924" s="783">
        <v>45412</v>
      </c>
      <c r="D924" s="785" t="s">
        <v>177</v>
      </c>
      <c r="E924" s="808">
        <v>1029</v>
      </c>
      <c r="F924" s="799"/>
      <c r="G924" s="799"/>
      <c r="H924" s="1592">
        <f t="shared" si="42"/>
        <v>0</v>
      </c>
      <c r="I924" s="754" t="str">
        <f>IFERROR(VLOOKUP(B924,Mychart!$A$125:$B$911,2,FALSE),"-")</f>
        <v>MOHAMED SAIF SHAMSI</v>
      </c>
      <c r="J924" s="753">
        <f t="shared" si="43"/>
        <v>4</v>
      </c>
      <c r="K924" s="1540">
        <f t="shared" si="44"/>
        <v>2024</v>
      </c>
      <c r="L924" s="757"/>
      <c r="M924" s="757"/>
      <c r="N924" s="757"/>
      <c r="O924" s="757"/>
      <c r="P924" s="757"/>
      <c r="Q924" s="757"/>
      <c r="R924" s="757"/>
      <c r="S924" s="757"/>
      <c r="T924" s="757"/>
      <c r="U924" s="757"/>
      <c r="V924" s="757"/>
      <c r="W924" s="757"/>
      <c r="X924" s="757"/>
      <c r="Y924" s="757"/>
      <c r="Z924" s="757"/>
      <c r="AA924" s="757"/>
      <c r="AB924" s="757"/>
      <c r="AC924" s="757"/>
      <c r="AD924" s="757"/>
      <c r="AE924" s="757"/>
      <c r="AF924" s="757"/>
      <c r="AG924" s="757"/>
      <c r="AH924" s="757"/>
      <c r="AI924" s="757"/>
      <c r="AJ924" s="757"/>
      <c r="AK924" s="757"/>
      <c r="AL924" s="757"/>
      <c r="AM924" s="757"/>
      <c r="AN924" s="757"/>
      <c r="AO924" s="757"/>
      <c r="AP924" s="757"/>
      <c r="AQ924" s="757"/>
      <c r="AR924" s="757"/>
      <c r="AS924" s="757"/>
      <c r="AT924" s="757"/>
      <c r="AU924" s="757"/>
      <c r="AV924" s="757"/>
      <c r="AW924" s="757"/>
      <c r="AX924" s="757"/>
      <c r="AY924" s="757"/>
      <c r="AZ924" s="75"/>
      <c r="BA924" s="2"/>
      <c r="BB924" s="2"/>
      <c r="BC924" s="2"/>
      <c r="BD924" s="2"/>
    </row>
    <row r="925" spans="1:56">
      <c r="A925" s="781">
        <v>2</v>
      </c>
      <c r="B925" s="782">
        <v>228</v>
      </c>
      <c r="C925" s="783" t="s">
        <v>760</v>
      </c>
      <c r="D925" s="785" t="s">
        <v>191</v>
      </c>
      <c r="E925" s="808">
        <v>1047</v>
      </c>
      <c r="F925" s="799"/>
      <c r="G925" s="799"/>
      <c r="H925" s="1592">
        <f t="shared" si="42"/>
        <v>0</v>
      </c>
      <c r="I925" s="754" t="str">
        <f>IFERROR(VLOOKUP(B925,Mychart!$A$125:$B$911,2,FALSE),"-")</f>
        <v>MOHAMED SAIF SHAMSI</v>
      </c>
      <c r="J925" s="753">
        <f t="shared" si="43"/>
        <v>3</v>
      </c>
      <c r="K925" s="1540">
        <f t="shared" si="44"/>
        <v>2024</v>
      </c>
      <c r="L925" s="757"/>
      <c r="M925" s="757"/>
      <c r="N925" s="757"/>
      <c r="O925" s="757"/>
      <c r="P925" s="757"/>
      <c r="Q925" s="757"/>
      <c r="R925" s="757"/>
      <c r="S925" s="757"/>
      <c r="T925" s="757"/>
      <c r="U925" s="757"/>
      <c r="V925" s="757"/>
      <c r="W925" s="757"/>
      <c r="X925" s="757"/>
      <c r="Y925" s="757"/>
      <c r="Z925" s="757"/>
      <c r="AA925" s="757"/>
      <c r="AB925" s="757"/>
      <c r="AC925" s="757"/>
      <c r="AD925" s="757"/>
      <c r="AE925" s="757"/>
      <c r="AF925" s="757"/>
      <c r="AG925" s="757"/>
      <c r="AH925" s="757"/>
      <c r="AI925" s="757"/>
      <c r="AJ925" s="757"/>
      <c r="AK925" s="757"/>
      <c r="AL925" s="757"/>
      <c r="AM925" s="757"/>
      <c r="AN925" s="757"/>
      <c r="AO925" s="757"/>
      <c r="AP925" s="757"/>
      <c r="AQ925" s="757"/>
      <c r="AR925" s="757"/>
      <c r="AS925" s="757"/>
      <c r="AT925" s="757"/>
      <c r="AU925" s="757"/>
      <c r="AV925" s="757"/>
      <c r="AW925" s="757"/>
      <c r="AX925" s="757"/>
      <c r="AY925" s="757"/>
      <c r="AZ925" s="75"/>
      <c r="BA925" s="2"/>
      <c r="BB925" s="2"/>
      <c r="BC925" s="2"/>
      <c r="BD925" s="2"/>
    </row>
    <row r="926" spans="1:56">
      <c r="A926" s="781">
        <v>2</v>
      </c>
      <c r="B926" s="782">
        <v>217</v>
      </c>
      <c r="C926" s="783">
        <v>45488</v>
      </c>
      <c r="D926" s="785" t="s">
        <v>875</v>
      </c>
      <c r="E926" s="808">
        <v>14122</v>
      </c>
      <c r="F926" s="799"/>
      <c r="G926" s="799"/>
      <c r="H926" s="1592">
        <f t="shared" si="42"/>
        <v>0</v>
      </c>
      <c r="I926" s="754" t="str">
        <f>IFERROR(VLOOKUP(B926,Mychart!$A$125:$B$911,2,FALSE),"-")</f>
        <v>MOHAMED MUHAIR . AREEJ</v>
      </c>
      <c r="J926" s="753">
        <f t="shared" si="43"/>
        <v>7</v>
      </c>
      <c r="K926" s="1540">
        <f t="shared" si="44"/>
        <v>2024</v>
      </c>
      <c r="L926" s="757"/>
      <c r="M926" s="757"/>
      <c r="N926" s="757"/>
      <c r="O926" s="757"/>
      <c r="P926" s="757"/>
      <c r="Q926" s="757"/>
      <c r="R926" s="757"/>
      <c r="S926" s="757"/>
      <c r="T926" s="757"/>
      <c r="U926" s="757"/>
      <c r="V926" s="757"/>
      <c r="W926" s="757"/>
      <c r="X926" s="757"/>
      <c r="Y926" s="757"/>
      <c r="Z926" s="757"/>
      <c r="AA926" s="757"/>
      <c r="AB926" s="757"/>
      <c r="AC926" s="757"/>
      <c r="AD926" s="757"/>
      <c r="AE926" s="757"/>
      <c r="AF926" s="757"/>
      <c r="AG926" s="757"/>
      <c r="AH926" s="757"/>
      <c r="AI926" s="757"/>
      <c r="AJ926" s="757"/>
      <c r="AK926" s="757"/>
      <c r="AL926" s="757"/>
      <c r="AM926" s="757"/>
      <c r="AN926" s="757"/>
      <c r="AO926" s="757"/>
      <c r="AP926" s="757"/>
      <c r="AQ926" s="757"/>
      <c r="AR926" s="757"/>
      <c r="AS926" s="757"/>
      <c r="AT926" s="757"/>
      <c r="AU926" s="757"/>
      <c r="AV926" s="757"/>
      <c r="AW926" s="757"/>
      <c r="AX926" s="757"/>
      <c r="AY926" s="757"/>
      <c r="AZ926" s="75"/>
      <c r="BA926" s="2"/>
      <c r="BB926" s="2"/>
      <c r="BC926" s="2"/>
      <c r="BD926" s="2"/>
    </row>
    <row r="927" spans="1:56">
      <c r="A927" s="781">
        <v>2</v>
      </c>
      <c r="B927" s="782">
        <v>228</v>
      </c>
      <c r="C927" s="783">
        <v>45488</v>
      </c>
      <c r="D927" s="785" t="s">
        <v>873</v>
      </c>
      <c r="E927" s="808">
        <v>24884</v>
      </c>
      <c r="F927" s="799"/>
      <c r="G927" s="799"/>
      <c r="H927" s="1592">
        <f t="shared" si="42"/>
        <v>0</v>
      </c>
      <c r="I927" s="754" t="str">
        <f>IFERROR(VLOOKUP(B927,Mychart!$A$125:$B$911,2,FALSE),"-")</f>
        <v>MOHAMED SAIF SHAMSI</v>
      </c>
      <c r="J927" s="753">
        <f t="shared" si="43"/>
        <v>7</v>
      </c>
      <c r="K927" s="1540">
        <f t="shared" si="44"/>
        <v>2024</v>
      </c>
      <c r="L927" s="757"/>
      <c r="M927" s="757"/>
      <c r="N927" s="757"/>
      <c r="O927" s="757"/>
      <c r="P927" s="757"/>
      <c r="Q927" s="757"/>
      <c r="R927" s="757"/>
      <c r="S927" s="757"/>
      <c r="T927" s="757"/>
      <c r="U927" s="757"/>
      <c r="V927" s="757"/>
      <c r="W927" s="757"/>
      <c r="X927" s="757"/>
      <c r="Y927" s="757"/>
      <c r="Z927" s="757"/>
      <c r="AA927" s="757"/>
      <c r="AB927" s="757"/>
      <c r="AC927" s="757"/>
      <c r="AD927" s="757"/>
      <c r="AE927" s="757"/>
      <c r="AF927" s="757"/>
      <c r="AG927" s="757"/>
      <c r="AH927" s="757"/>
      <c r="AI927" s="757"/>
      <c r="AJ927" s="757"/>
      <c r="AK927" s="757"/>
      <c r="AL927" s="757"/>
      <c r="AM927" s="757"/>
      <c r="AN927" s="757"/>
      <c r="AO927" s="757"/>
      <c r="AP927" s="757"/>
      <c r="AQ927" s="757"/>
      <c r="AR927" s="757"/>
      <c r="AS927" s="757"/>
      <c r="AT927" s="757"/>
      <c r="AU927" s="757"/>
      <c r="AV927" s="757"/>
      <c r="AW927" s="757"/>
      <c r="AX927" s="757"/>
      <c r="AY927" s="757"/>
      <c r="AZ927" s="75"/>
      <c r="BA927" s="2"/>
      <c r="BB927" s="2"/>
      <c r="BC927" s="2"/>
      <c r="BD927" s="2"/>
    </row>
    <row r="928" spans="1:56">
      <c r="A928" s="781">
        <v>2</v>
      </c>
      <c r="B928" s="782">
        <v>238</v>
      </c>
      <c r="C928" s="783">
        <v>45386</v>
      </c>
      <c r="D928" s="785" t="s">
        <v>876</v>
      </c>
      <c r="E928" s="808">
        <v>23982</v>
      </c>
      <c r="F928" s="799"/>
      <c r="G928" s="799"/>
      <c r="H928" s="1592">
        <f t="shared" si="42"/>
        <v>0</v>
      </c>
      <c r="I928" s="754" t="str">
        <f>IFERROR(VLOOKUP(B928,Mychart!$A$125:$B$911,2,FALSE),"-")</f>
        <v>HARITH - AREEJ</v>
      </c>
      <c r="J928" s="753">
        <f t="shared" si="43"/>
        <v>4</v>
      </c>
      <c r="K928" s="1540">
        <f t="shared" si="44"/>
        <v>2024</v>
      </c>
      <c r="L928" s="757"/>
      <c r="M928" s="757"/>
      <c r="N928" s="757"/>
      <c r="O928" s="757"/>
      <c r="P928" s="757"/>
      <c r="Q928" s="757"/>
      <c r="R928" s="757"/>
      <c r="S928" s="757"/>
      <c r="T928" s="757"/>
      <c r="U928" s="757"/>
      <c r="V928" s="757"/>
      <c r="W928" s="757"/>
      <c r="X928" s="757"/>
      <c r="Y928" s="757"/>
      <c r="Z928" s="757"/>
      <c r="AA928" s="757"/>
      <c r="AB928" s="757"/>
      <c r="AC928" s="757"/>
      <c r="AD928" s="757"/>
      <c r="AE928" s="757"/>
      <c r="AF928" s="757"/>
      <c r="AG928" s="757"/>
      <c r="AH928" s="757"/>
      <c r="AI928" s="757"/>
      <c r="AJ928" s="757"/>
      <c r="AK928" s="757"/>
      <c r="AL928" s="757"/>
      <c r="AM928" s="757"/>
      <c r="AN928" s="757"/>
      <c r="AO928" s="757"/>
      <c r="AP928" s="757"/>
      <c r="AQ928" s="757"/>
      <c r="AR928" s="757"/>
      <c r="AS928" s="757"/>
      <c r="AT928" s="757"/>
      <c r="AU928" s="757"/>
      <c r="AV928" s="757"/>
      <c r="AW928" s="757"/>
      <c r="AX928" s="757"/>
      <c r="AY928" s="757"/>
      <c r="AZ928" s="75"/>
      <c r="BA928" s="2"/>
      <c r="BB928" s="2"/>
      <c r="BC928" s="2"/>
      <c r="BD928" s="2"/>
    </row>
    <row r="929" spans="1:56">
      <c r="A929" s="781">
        <v>2</v>
      </c>
      <c r="B929" s="782">
        <v>217</v>
      </c>
      <c r="C929" s="783">
        <v>45463</v>
      </c>
      <c r="D929" s="785" t="s">
        <v>877</v>
      </c>
      <c r="E929" s="808">
        <v>2845</v>
      </c>
      <c r="F929" s="799"/>
      <c r="G929" s="799"/>
      <c r="H929" s="1592">
        <f t="shared" si="42"/>
        <v>0</v>
      </c>
      <c r="I929" s="754" t="str">
        <f>IFERROR(VLOOKUP(B929,Mychart!$A$125:$B$911,2,FALSE),"-")</f>
        <v>MOHAMED MUHAIR . AREEJ</v>
      </c>
      <c r="J929" s="753">
        <f t="shared" si="43"/>
        <v>6</v>
      </c>
      <c r="K929" s="1540">
        <f t="shared" si="44"/>
        <v>2024</v>
      </c>
      <c r="L929" s="757"/>
      <c r="M929" s="757"/>
      <c r="N929" s="757"/>
      <c r="O929" s="757"/>
      <c r="P929" s="757"/>
      <c r="Q929" s="757"/>
      <c r="R929" s="757"/>
      <c r="S929" s="757"/>
      <c r="T929" s="757"/>
      <c r="U929" s="757"/>
      <c r="V929" s="757"/>
      <c r="W929" s="757"/>
      <c r="X929" s="757"/>
      <c r="Y929" s="757"/>
      <c r="Z929" s="757"/>
      <c r="AA929" s="757"/>
      <c r="AB929" s="757"/>
      <c r="AC929" s="757"/>
      <c r="AD929" s="757"/>
      <c r="AE929" s="757"/>
      <c r="AF929" s="757"/>
      <c r="AG929" s="757"/>
      <c r="AH929" s="757"/>
      <c r="AI929" s="757"/>
      <c r="AJ929" s="757"/>
      <c r="AK929" s="757"/>
      <c r="AL929" s="757"/>
      <c r="AM929" s="757"/>
      <c r="AN929" s="757"/>
      <c r="AO929" s="757"/>
      <c r="AP929" s="757"/>
      <c r="AQ929" s="757"/>
      <c r="AR929" s="757"/>
      <c r="AS929" s="757"/>
      <c r="AT929" s="757"/>
      <c r="AU929" s="757"/>
      <c r="AV929" s="757"/>
      <c r="AW929" s="757"/>
      <c r="AX929" s="757"/>
      <c r="AY929" s="757"/>
      <c r="AZ929" s="75"/>
      <c r="BA929" s="2"/>
      <c r="BB929" s="2"/>
      <c r="BC929" s="2"/>
      <c r="BD929" s="2"/>
    </row>
    <row r="930" spans="1:56">
      <c r="A930" s="781">
        <v>2</v>
      </c>
      <c r="B930" s="782">
        <v>252</v>
      </c>
      <c r="C930" s="783">
        <v>45493</v>
      </c>
      <c r="D930" s="785" t="s">
        <v>965</v>
      </c>
      <c r="E930" s="808">
        <v>12060</v>
      </c>
      <c r="F930" s="799"/>
      <c r="G930" s="799"/>
      <c r="H930" s="1592">
        <f t="shared" si="42"/>
        <v>0</v>
      </c>
      <c r="I930" s="754" t="str">
        <f>IFERROR(VLOOKUP(B930,Mychart!$A$125:$B$911,2,FALSE),"-")</f>
        <v>Mohamed Saif - HBC</v>
      </c>
      <c r="J930" s="753">
        <f t="shared" si="43"/>
        <v>7</v>
      </c>
      <c r="K930" s="1540">
        <f t="shared" si="44"/>
        <v>2024</v>
      </c>
      <c r="L930" s="757"/>
      <c r="M930" s="757"/>
      <c r="N930" s="757"/>
      <c r="O930" s="757"/>
      <c r="P930" s="757"/>
      <c r="Q930" s="757"/>
      <c r="R930" s="757"/>
      <c r="S930" s="757"/>
      <c r="T930" s="757"/>
      <c r="U930" s="757"/>
      <c r="V930" s="757"/>
      <c r="W930" s="757"/>
      <c r="X930" s="757"/>
      <c r="Y930" s="757"/>
      <c r="Z930" s="757"/>
      <c r="AA930" s="757"/>
      <c r="AB930" s="757"/>
      <c r="AC930" s="757"/>
      <c r="AD930" s="757"/>
      <c r="AE930" s="757"/>
      <c r="AF930" s="757"/>
      <c r="AG930" s="757"/>
      <c r="AH930" s="757"/>
      <c r="AI930" s="757"/>
      <c r="AJ930" s="757"/>
      <c r="AK930" s="757"/>
      <c r="AL930" s="757"/>
      <c r="AM930" s="757"/>
      <c r="AN930" s="757"/>
      <c r="AO930" s="757"/>
      <c r="AP930" s="757"/>
      <c r="AQ930" s="757"/>
      <c r="AR930" s="757"/>
      <c r="AS930" s="757"/>
      <c r="AT930" s="757"/>
      <c r="AU930" s="757"/>
      <c r="AV930" s="757"/>
      <c r="AW930" s="757"/>
      <c r="AX930" s="757"/>
      <c r="AY930" s="757"/>
      <c r="AZ930" s="75"/>
      <c r="BA930" s="2"/>
      <c r="BB930" s="2"/>
      <c r="BC930" s="2"/>
      <c r="BD930" s="2"/>
    </row>
    <row r="931" spans="1:56">
      <c r="A931" s="781">
        <v>2</v>
      </c>
      <c r="B931" s="782">
        <v>243</v>
      </c>
      <c r="C931" s="783">
        <v>45487</v>
      </c>
      <c r="D931" s="785" t="s">
        <v>383</v>
      </c>
      <c r="E931" s="808">
        <v>27043</v>
      </c>
      <c r="F931" s="799"/>
      <c r="G931" s="799"/>
      <c r="H931" s="1592">
        <f t="shared" si="42"/>
        <v>0</v>
      </c>
      <c r="I931" s="754" t="str">
        <f>IFERROR(VLOOKUP(B931,Mychart!$A$125:$B$911,2,FALSE),"-")</f>
        <v>SHIHAB - ERTIKAZ</v>
      </c>
      <c r="J931" s="753">
        <f t="shared" si="43"/>
        <v>7</v>
      </c>
      <c r="K931" s="1540">
        <f t="shared" si="44"/>
        <v>2024</v>
      </c>
      <c r="L931" s="757"/>
      <c r="M931" s="757"/>
      <c r="N931" s="757"/>
      <c r="O931" s="757"/>
      <c r="P931" s="757"/>
      <c r="Q931" s="757"/>
      <c r="R931" s="757"/>
      <c r="S931" s="757"/>
      <c r="T931" s="757"/>
      <c r="U931" s="757"/>
      <c r="V931" s="757"/>
      <c r="W931" s="757"/>
      <c r="X931" s="757"/>
      <c r="Y931" s="757"/>
      <c r="Z931" s="757"/>
      <c r="AA931" s="757"/>
      <c r="AB931" s="757"/>
      <c r="AC931" s="757"/>
      <c r="AD931" s="757"/>
      <c r="AE931" s="757"/>
      <c r="AF931" s="757"/>
      <c r="AG931" s="757"/>
      <c r="AH931" s="757"/>
      <c r="AI931" s="757"/>
      <c r="AJ931" s="757"/>
      <c r="AK931" s="757"/>
      <c r="AL931" s="757"/>
      <c r="AM931" s="757"/>
      <c r="AN931" s="757"/>
      <c r="AO931" s="757"/>
      <c r="AP931" s="757"/>
      <c r="AQ931" s="757"/>
      <c r="AR931" s="757"/>
      <c r="AS931" s="757"/>
      <c r="AT931" s="757"/>
      <c r="AU931" s="757"/>
      <c r="AV931" s="757"/>
      <c r="AW931" s="757"/>
      <c r="AX931" s="757"/>
      <c r="AY931" s="757"/>
      <c r="AZ931" s="75"/>
      <c r="BA931" s="2"/>
      <c r="BB931" s="2"/>
      <c r="BC931" s="2"/>
      <c r="BD931" s="2"/>
    </row>
    <row r="932" spans="1:56">
      <c r="A932" s="781">
        <v>1</v>
      </c>
      <c r="B932" s="782">
        <v>229</v>
      </c>
      <c r="C932" s="783"/>
      <c r="D932" s="785" t="s">
        <v>723</v>
      </c>
      <c r="E932" s="808"/>
      <c r="F932" s="799">
        <v>39400</v>
      </c>
      <c r="G932" s="799">
        <v>1970</v>
      </c>
      <c r="H932" s="1592">
        <f t="shared" si="42"/>
        <v>41370</v>
      </c>
      <c r="I932" s="754" t="str">
        <f>IFERROR(VLOOKUP(B932,Mychart!$A$125:$B$911,2,FALSE),"-")</f>
        <v>AHMED FARES - ANAAB</v>
      </c>
      <c r="J932" s="753" t="str">
        <f t="shared" si="43"/>
        <v>-</v>
      </c>
      <c r="K932" s="1540">
        <f t="shared" si="44"/>
        <v>1900</v>
      </c>
      <c r="L932" s="757"/>
      <c r="M932" s="757"/>
      <c r="N932" s="757"/>
      <c r="O932" s="757"/>
      <c r="P932" s="757"/>
      <c r="Q932" s="757"/>
      <c r="R932" s="757"/>
      <c r="S932" s="757"/>
      <c r="T932" s="757"/>
      <c r="U932" s="757"/>
      <c r="V932" s="757"/>
      <c r="W932" s="757"/>
      <c r="X932" s="757"/>
      <c r="Y932" s="757"/>
      <c r="Z932" s="757"/>
      <c r="AA932" s="757"/>
      <c r="AB932" s="757"/>
      <c r="AC932" s="757"/>
      <c r="AD932" s="757"/>
      <c r="AE932" s="757"/>
      <c r="AF932" s="757"/>
      <c r="AG932" s="757"/>
      <c r="AH932" s="757"/>
      <c r="AI932" s="757"/>
      <c r="AJ932" s="757"/>
      <c r="AK932" s="757"/>
      <c r="AL932" s="757"/>
      <c r="AM932" s="757"/>
      <c r="AN932" s="757"/>
      <c r="AO932" s="757"/>
      <c r="AP932" s="757"/>
      <c r="AQ932" s="757"/>
      <c r="AR932" s="757"/>
      <c r="AS932" s="757"/>
      <c r="AT932" s="757"/>
      <c r="AU932" s="757"/>
      <c r="AV932" s="757"/>
      <c r="AW932" s="757"/>
      <c r="AX932" s="757"/>
      <c r="AY932" s="757"/>
      <c r="AZ932" s="75"/>
      <c r="BA932" s="2"/>
      <c r="BB932" s="2"/>
      <c r="BC932" s="2"/>
      <c r="BD932" s="2"/>
    </row>
    <row r="933" spans="1:56">
      <c r="A933" s="781">
        <v>1</v>
      </c>
      <c r="B933" s="782">
        <v>229</v>
      </c>
      <c r="C933" s="783"/>
      <c r="D933" s="785" t="s">
        <v>452</v>
      </c>
      <c r="E933" s="808"/>
      <c r="F933" s="799">
        <v>73875</v>
      </c>
      <c r="G933" s="799">
        <v>3693.75</v>
      </c>
      <c r="H933" s="1592">
        <f t="shared" si="42"/>
        <v>77568.75</v>
      </c>
      <c r="I933" s="754" t="str">
        <f>IFERROR(VLOOKUP(B933,Mychart!$A$125:$B$911,2,FALSE),"-")</f>
        <v>AHMED FARES - ANAAB</v>
      </c>
      <c r="J933" s="753" t="str">
        <f t="shared" si="43"/>
        <v>-</v>
      </c>
      <c r="K933" s="1540">
        <f t="shared" si="44"/>
        <v>1900</v>
      </c>
      <c r="L933" s="757"/>
      <c r="M933" s="757"/>
      <c r="N933" s="757"/>
      <c r="O933" s="757"/>
      <c r="P933" s="757"/>
      <c r="Q933" s="757"/>
      <c r="R933" s="757"/>
      <c r="S933" s="757"/>
      <c r="T933" s="757"/>
      <c r="U933" s="757"/>
      <c r="V933" s="757"/>
      <c r="W933" s="757"/>
      <c r="X933" s="757"/>
      <c r="Y933" s="757"/>
      <c r="Z933" s="757"/>
      <c r="AA933" s="757"/>
      <c r="AB933" s="757"/>
      <c r="AC933" s="757"/>
      <c r="AD933" s="757"/>
      <c r="AE933" s="757"/>
      <c r="AF933" s="757"/>
      <c r="AG933" s="757"/>
      <c r="AH933" s="757"/>
      <c r="AI933" s="757"/>
      <c r="AJ933" s="757"/>
      <c r="AK933" s="757"/>
      <c r="AL933" s="757"/>
      <c r="AM933" s="757"/>
      <c r="AN933" s="757"/>
      <c r="AO933" s="757"/>
      <c r="AP933" s="757"/>
      <c r="AQ933" s="757"/>
      <c r="AR933" s="757"/>
      <c r="AS933" s="757"/>
      <c r="AT933" s="757"/>
      <c r="AU933" s="757"/>
      <c r="AV933" s="757"/>
      <c r="AW933" s="757"/>
      <c r="AX933" s="757"/>
      <c r="AY933" s="757"/>
      <c r="AZ933" s="75"/>
      <c r="BA933" s="2"/>
      <c r="BB933" s="2"/>
      <c r="BC933" s="2"/>
      <c r="BD933" s="2"/>
    </row>
    <row r="934" spans="1:56">
      <c r="A934" s="781">
        <v>2</v>
      </c>
      <c r="B934" s="782">
        <v>229</v>
      </c>
      <c r="C934" s="783"/>
      <c r="D934" s="785" t="s">
        <v>178</v>
      </c>
      <c r="E934" s="808">
        <v>6392</v>
      </c>
      <c r="F934" s="799"/>
      <c r="G934" s="799"/>
      <c r="H934" s="1592">
        <f t="shared" si="42"/>
        <v>0</v>
      </c>
      <c r="I934" s="754" t="str">
        <f>IFERROR(VLOOKUP(B934,Mychart!$A$125:$B$911,2,FALSE),"-")</f>
        <v>AHMED FARES - ANAAB</v>
      </c>
      <c r="J934" s="753" t="str">
        <f t="shared" si="43"/>
        <v>-</v>
      </c>
      <c r="K934" s="1540">
        <f t="shared" si="44"/>
        <v>1900</v>
      </c>
      <c r="L934" s="757"/>
      <c r="M934" s="757"/>
      <c r="N934" s="757"/>
      <c r="O934" s="757"/>
      <c r="P934" s="757"/>
      <c r="Q934" s="757"/>
      <c r="R934" s="757"/>
      <c r="S934" s="757"/>
      <c r="T934" s="757"/>
      <c r="U934" s="757"/>
      <c r="V934" s="757"/>
      <c r="W934" s="757"/>
      <c r="X934" s="757"/>
      <c r="Y934" s="757"/>
      <c r="Z934" s="757"/>
      <c r="AA934" s="757"/>
      <c r="AB934" s="757"/>
      <c r="AC934" s="757"/>
      <c r="AD934" s="757"/>
      <c r="AE934" s="757"/>
      <c r="AF934" s="757"/>
      <c r="AG934" s="757"/>
      <c r="AH934" s="757"/>
      <c r="AI934" s="757"/>
      <c r="AJ934" s="757"/>
      <c r="AK934" s="757"/>
      <c r="AL934" s="757"/>
      <c r="AM934" s="757"/>
      <c r="AN934" s="757"/>
      <c r="AO934" s="757"/>
      <c r="AP934" s="757"/>
      <c r="AQ934" s="757"/>
      <c r="AR934" s="757"/>
      <c r="AS934" s="757"/>
      <c r="AT934" s="757"/>
      <c r="AU934" s="757"/>
      <c r="AV934" s="757"/>
      <c r="AW934" s="757"/>
      <c r="AX934" s="757"/>
      <c r="AY934" s="757"/>
      <c r="AZ934" s="75"/>
      <c r="BA934" s="2"/>
      <c r="BB934" s="2"/>
      <c r="BC934" s="2"/>
      <c r="BD934" s="2"/>
    </row>
    <row r="935" spans="1:56">
      <c r="A935" s="781">
        <v>2</v>
      </c>
      <c r="B935" s="782">
        <v>229</v>
      </c>
      <c r="C935" s="783"/>
      <c r="D935" s="785" t="s">
        <v>258</v>
      </c>
      <c r="E935" s="808">
        <v>5621</v>
      </c>
      <c r="F935" s="799"/>
      <c r="G935" s="799"/>
      <c r="H935" s="1592">
        <f t="shared" si="42"/>
        <v>0</v>
      </c>
      <c r="I935" s="754" t="str">
        <f>IFERROR(VLOOKUP(B935,Mychart!$A$125:$B$911,2,FALSE),"-")</f>
        <v>AHMED FARES - ANAAB</v>
      </c>
      <c r="J935" s="753" t="str">
        <f t="shared" si="43"/>
        <v>-</v>
      </c>
      <c r="K935" s="1540">
        <f t="shared" si="44"/>
        <v>1900</v>
      </c>
      <c r="L935" s="757"/>
      <c r="M935" s="757"/>
      <c r="N935" s="757"/>
      <c r="O935" s="757"/>
      <c r="P935" s="757"/>
      <c r="Q935" s="757"/>
      <c r="R935" s="757"/>
      <c r="S935" s="757"/>
      <c r="T935" s="757"/>
      <c r="U935" s="757"/>
      <c r="V935" s="757"/>
      <c r="W935" s="757"/>
      <c r="X935" s="757"/>
      <c r="Y935" s="757"/>
      <c r="Z935" s="757"/>
      <c r="AA935" s="757"/>
      <c r="AB935" s="757"/>
      <c r="AC935" s="757"/>
      <c r="AD935" s="757"/>
      <c r="AE935" s="757"/>
      <c r="AF935" s="757"/>
      <c r="AG935" s="757"/>
      <c r="AH935" s="757"/>
      <c r="AI935" s="757"/>
      <c r="AJ935" s="757"/>
      <c r="AK935" s="757"/>
      <c r="AL935" s="757"/>
      <c r="AM935" s="757"/>
      <c r="AN935" s="757"/>
      <c r="AO935" s="757"/>
      <c r="AP935" s="757"/>
      <c r="AQ935" s="757"/>
      <c r="AR935" s="757"/>
      <c r="AS935" s="757"/>
      <c r="AT935" s="757"/>
      <c r="AU935" s="757"/>
      <c r="AV935" s="757"/>
      <c r="AW935" s="757"/>
      <c r="AX935" s="757"/>
      <c r="AY935" s="757"/>
      <c r="AZ935" s="75"/>
      <c r="BA935" s="2"/>
      <c r="BB935" s="2"/>
      <c r="BC935" s="2"/>
      <c r="BD935" s="2"/>
    </row>
    <row r="936" spans="1:56">
      <c r="A936" s="781">
        <v>2</v>
      </c>
      <c r="B936" s="782">
        <v>229</v>
      </c>
      <c r="C936" s="783"/>
      <c r="D936" s="785" t="s">
        <v>178</v>
      </c>
      <c r="E936" s="808">
        <v>3380</v>
      </c>
      <c r="F936" s="799"/>
      <c r="G936" s="799"/>
      <c r="H936" s="1592">
        <f t="shared" si="42"/>
        <v>0</v>
      </c>
      <c r="I936" s="754" t="str">
        <f>IFERROR(VLOOKUP(B936,Mychart!$A$125:$B$911,2,FALSE),"-")</f>
        <v>AHMED FARES - ANAAB</v>
      </c>
      <c r="J936" s="753" t="str">
        <f t="shared" si="43"/>
        <v>-</v>
      </c>
      <c r="K936" s="1540">
        <f t="shared" si="44"/>
        <v>1900</v>
      </c>
      <c r="L936" s="757"/>
      <c r="M936" s="757"/>
      <c r="N936" s="757"/>
      <c r="O936" s="757"/>
      <c r="P936" s="757"/>
      <c r="Q936" s="757"/>
      <c r="R936" s="757"/>
      <c r="S936" s="757"/>
      <c r="T936" s="757"/>
      <c r="U936" s="757"/>
      <c r="V936" s="757"/>
      <c r="W936" s="757"/>
      <c r="X936" s="757"/>
      <c r="Y936" s="757"/>
      <c r="Z936" s="757"/>
      <c r="AA936" s="757"/>
      <c r="AB936" s="757"/>
      <c r="AC936" s="757"/>
      <c r="AD936" s="757"/>
      <c r="AE936" s="757"/>
      <c r="AF936" s="757"/>
      <c r="AG936" s="757"/>
      <c r="AH936" s="757"/>
      <c r="AI936" s="757"/>
      <c r="AJ936" s="757"/>
      <c r="AK936" s="757"/>
      <c r="AL936" s="757"/>
      <c r="AM936" s="757"/>
      <c r="AN936" s="757"/>
      <c r="AO936" s="757"/>
      <c r="AP936" s="757"/>
      <c r="AQ936" s="757"/>
      <c r="AR936" s="757"/>
      <c r="AS936" s="757"/>
      <c r="AT936" s="757"/>
      <c r="AU936" s="757"/>
      <c r="AV936" s="757"/>
      <c r="AW936" s="757"/>
      <c r="AX936" s="757"/>
      <c r="AY936" s="757"/>
      <c r="AZ936" s="75"/>
      <c r="BA936" s="2"/>
      <c r="BB936" s="2"/>
      <c r="BC936" s="2"/>
      <c r="BD936" s="2"/>
    </row>
    <row r="937" spans="1:56">
      <c r="A937" s="781">
        <v>2</v>
      </c>
      <c r="B937" s="782">
        <v>229</v>
      </c>
      <c r="C937" s="783"/>
      <c r="D937" s="785" t="s">
        <v>178</v>
      </c>
      <c r="E937" s="808">
        <v>1012</v>
      </c>
      <c r="F937" s="799"/>
      <c r="G937" s="799"/>
      <c r="H937" s="1592">
        <f t="shared" si="42"/>
        <v>0</v>
      </c>
      <c r="I937" s="754" t="str">
        <f>IFERROR(VLOOKUP(B937,Mychart!$A$125:$B$911,2,FALSE),"-")</f>
        <v>AHMED FARES - ANAAB</v>
      </c>
      <c r="J937" s="753" t="str">
        <f t="shared" si="43"/>
        <v>-</v>
      </c>
      <c r="K937" s="1540">
        <f t="shared" si="44"/>
        <v>1900</v>
      </c>
      <c r="L937" s="757"/>
      <c r="M937" s="757"/>
      <c r="N937" s="757"/>
      <c r="O937" s="757"/>
      <c r="P937" s="757"/>
      <c r="Q937" s="757"/>
      <c r="R937" s="757"/>
      <c r="S937" s="757"/>
      <c r="T937" s="757"/>
      <c r="U937" s="757"/>
      <c r="V937" s="757"/>
      <c r="W937" s="757"/>
      <c r="X937" s="757"/>
      <c r="Y937" s="757"/>
      <c r="Z937" s="757"/>
      <c r="AA937" s="757"/>
      <c r="AB937" s="757"/>
      <c r="AC937" s="757"/>
      <c r="AD937" s="757"/>
      <c r="AE937" s="757"/>
      <c r="AF937" s="757"/>
      <c r="AG937" s="757"/>
      <c r="AH937" s="757"/>
      <c r="AI937" s="757"/>
      <c r="AJ937" s="757"/>
      <c r="AK937" s="757"/>
      <c r="AL937" s="757"/>
      <c r="AM937" s="757"/>
      <c r="AN937" s="757"/>
      <c r="AO937" s="757"/>
      <c r="AP937" s="757"/>
      <c r="AQ937" s="757"/>
      <c r="AR937" s="757"/>
      <c r="AS937" s="757"/>
      <c r="AT937" s="757"/>
      <c r="AU937" s="757"/>
      <c r="AV937" s="757"/>
      <c r="AW937" s="757"/>
      <c r="AX937" s="757"/>
      <c r="AY937" s="757"/>
      <c r="AZ937" s="75"/>
      <c r="BA937" s="2"/>
      <c r="BB937" s="2"/>
      <c r="BC937" s="2"/>
      <c r="BD937" s="2"/>
    </row>
    <row r="938" spans="1:56">
      <c r="A938" s="781">
        <v>2</v>
      </c>
      <c r="B938" s="782">
        <v>229</v>
      </c>
      <c r="C938" s="783"/>
      <c r="D938" s="785" t="s">
        <v>736</v>
      </c>
      <c r="E938" s="808">
        <v>500</v>
      </c>
      <c r="F938" s="799"/>
      <c r="G938" s="799"/>
      <c r="H938" s="1592">
        <f t="shared" si="42"/>
        <v>0</v>
      </c>
      <c r="I938" s="754" t="str">
        <f>IFERROR(VLOOKUP(B938,Mychart!$A$125:$B$911,2,FALSE),"-")</f>
        <v>AHMED FARES - ANAAB</v>
      </c>
      <c r="J938" s="753" t="str">
        <f t="shared" si="43"/>
        <v>-</v>
      </c>
      <c r="K938" s="1540">
        <f t="shared" si="44"/>
        <v>1900</v>
      </c>
      <c r="L938" s="757"/>
      <c r="M938" s="757"/>
      <c r="N938" s="757"/>
      <c r="O938" s="757"/>
      <c r="P938" s="757"/>
      <c r="Q938" s="757"/>
      <c r="R938" s="757"/>
      <c r="S938" s="757"/>
      <c r="T938" s="757"/>
      <c r="U938" s="757"/>
      <c r="V938" s="757"/>
      <c r="W938" s="757"/>
      <c r="X938" s="757"/>
      <c r="Y938" s="757"/>
      <c r="Z938" s="757"/>
      <c r="AA938" s="757"/>
      <c r="AB938" s="757"/>
      <c r="AC938" s="757"/>
      <c r="AD938" s="757"/>
      <c r="AE938" s="757"/>
      <c r="AF938" s="757"/>
      <c r="AG938" s="757"/>
      <c r="AH938" s="757"/>
      <c r="AI938" s="757"/>
      <c r="AJ938" s="757"/>
      <c r="AK938" s="757"/>
      <c r="AL938" s="757"/>
      <c r="AM938" s="757"/>
      <c r="AN938" s="757"/>
      <c r="AO938" s="757"/>
      <c r="AP938" s="757"/>
      <c r="AQ938" s="757"/>
      <c r="AR938" s="757"/>
      <c r="AS938" s="757"/>
      <c r="AT938" s="757"/>
      <c r="AU938" s="757"/>
      <c r="AV938" s="757"/>
      <c r="AW938" s="757"/>
      <c r="AX938" s="757"/>
      <c r="AY938" s="757"/>
      <c r="AZ938" s="75"/>
      <c r="BA938" s="2"/>
      <c r="BB938" s="2"/>
      <c r="BC938" s="2"/>
      <c r="BD938" s="2"/>
    </row>
    <row r="939" spans="1:56">
      <c r="A939" s="781">
        <v>2</v>
      </c>
      <c r="B939" s="782">
        <v>229</v>
      </c>
      <c r="C939" s="783"/>
      <c r="D939" s="785" t="s">
        <v>1023</v>
      </c>
      <c r="E939" s="808">
        <v>575</v>
      </c>
      <c r="F939" s="799"/>
      <c r="G939" s="799"/>
      <c r="H939" s="1592">
        <f t="shared" si="42"/>
        <v>0</v>
      </c>
      <c r="I939" s="754" t="str">
        <f>IFERROR(VLOOKUP(B939,Mychart!$A$125:$B$911,2,FALSE),"-")</f>
        <v>AHMED FARES - ANAAB</v>
      </c>
      <c r="J939" s="753" t="str">
        <f t="shared" si="43"/>
        <v>-</v>
      </c>
      <c r="K939" s="1540">
        <f t="shared" si="44"/>
        <v>1900</v>
      </c>
      <c r="L939" s="757"/>
      <c r="M939" s="757"/>
      <c r="N939" s="757"/>
      <c r="O939" s="757"/>
      <c r="P939" s="757"/>
      <c r="Q939" s="757"/>
      <c r="R939" s="757"/>
      <c r="S939" s="757"/>
      <c r="T939" s="757"/>
      <c r="U939" s="757"/>
      <c r="V939" s="757"/>
      <c r="W939" s="757"/>
      <c r="X939" s="757"/>
      <c r="Y939" s="757"/>
      <c r="Z939" s="757"/>
      <c r="AA939" s="757"/>
      <c r="AB939" s="757"/>
      <c r="AC939" s="757"/>
      <c r="AD939" s="757"/>
      <c r="AE939" s="757"/>
      <c r="AF939" s="757"/>
      <c r="AG939" s="757"/>
      <c r="AH939" s="757"/>
      <c r="AI939" s="757"/>
      <c r="AJ939" s="757"/>
      <c r="AK939" s="757"/>
      <c r="AL939" s="757"/>
      <c r="AM939" s="757"/>
      <c r="AN939" s="757"/>
      <c r="AO939" s="757"/>
      <c r="AP939" s="757"/>
      <c r="AQ939" s="757"/>
      <c r="AR939" s="757"/>
      <c r="AS939" s="757"/>
      <c r="AT939" s="757"/>
      <c r="AU939" s="757"/>
      <c r="AV939" s="757"/>
      <c r="AW939" s="757"/>
      <c r="AX939" s="757"/>
      <c r="AY939" s="757"/>
      <c r="AZ939" s="75"/>
      <c r="BA939" s="2"/>
      <c r="BB939" s="2"/>
      <c r="BC939" s="2"/>
      <c r="BD939" s="2"/>
    </row>
    <row r="940" spans="1:56">
      <c r="A940" s="781">
        <v>2</v>
      </c>
      <c r="B940" s="782">
        <v>229</v>
      </c>
      <c r="C940" s="783"/>
      <c r="D940" s="785" t="s">
        <v>383</v>
      </c>
      <c r="E940" s="808">
        <v>38089</v>
      </c>
      <c r="F940" s="799"/>
      <c r="G940" s="799"/>
      <c r="H940" s="1592">
        <f t="shared" si="42"/>
        <v>0</v>
      </c>
      <c r="I940" s="754" t="str">
        <f>IFERROR(VLOOKUP(B940,Mychart!$A$125:$B$911,2,FALSE),"-")</f>
        <v>AHMED FARES - ANAAB</v>
      </c>
      <c r="J940" s="753" t="str">
        <f t="shared" si="43"/>
        <v>-</v>
      </c>
      <c r="K940" s="1540">
        <f t="shared" si="44"/>
        <v>1900</v>
      </c>
      <c r="L940" s="757"/>
      <c r="M940" s="757"/>
      <c r="N940" s="757"/>
      <c r="O940" s="757"/>
      <c r="P940" s="757"/>
      <c r="Q940" s="757"/>
      <c r="R940" s="757"/>
      <c r="S940" s="757"/>
      <c r="T940" s="757"/>
      <c r="U940" s="757"/>
      <c r="V940" s="757"/>
      <c r="W940" s="757"/>
      <c r="X940" s="757"/>
      <c r="Y940" s="757"/>
      <c r="Z940" s="757"/>
      <c r="AA940" s="757"/>
      <c r="AB940" s="757"/>
      <c r="AC940" s="757"/>
      <c r="AD940" s="757"/>
      <c r="AE940" s="757"/>
      <c r="AF940" s="757"/>
      <c r="AG940" s="757"/>
      <c r="AH940" s="757"/>
      <c r="AI940" s="757"/>
      <c r="AJ940" s="757"/>
      <c r="AK940" s="757"/>
      <c r="AL940" s="757"/>
      <c r="AM940" s="757"/>
      <c r="AN940" s="757"/>
      <c r="AO940" s="757"/>
      <c r="AP940" s="757"/>
      <c r="AQ940" s="757"/>
      <c r="AR940" s="757"/>
      <c r="AS940" s="757"/>
      <c r="AT940" s="757"/>
      <c r="AU940" s="757"/>
      <c r="AV940" s="757"/>
      <c r="AW940" s="757"/>
      <c r="AX940" s="757"/>
      <c r="AY940" s="757"/>
      <c r="AZ940" s="75"/>
      <c r="BA940" s="2"/>
      <c r="BB940" s="2"/>
      <c r="BC940" s="2"/>
      <c r="BD940" s="2"/>
    </row>
    <row r="941" spans="1:56">
      <c r="A941" s="781">
        <v>2</v>
      </c>
      <c r="B941" s="782">
        <v>229</v>
      </c>
      <c r="C941" s="783">
        <v>45291</v>
      </c>
      <c r="D941" s="785" t="s">
        <v>178</v>
      </c>
      <c r="E941" s="808">
        <v>597</v>
      </c>
      <c r="F941" s="799"/>
      <c r="G941" s="799"/>
      <c r="H941" s="1592">
        <f t="shared" si="42"/>
        <v>0</v>
      </c>
      <c r="I941" s="754" t="str">
        <f>IFERROR(VLOOKUP(B941,Mychart!$A$125:$B$911,2,FALSE),"-")</f>
        <v>AHMED FARES - ANAAB</v>
      </c>
      <c r="J941" s="753">
        <f t="shared" si="43"/>
        <v>12</v>
      </c>
      <c r="K941" s="1540">
        <f t="shared" si="44"/>
        <v>2023</v>
      </c>
      <c r="L941" s="757"/>
      <c r="M941" s="757"/>
      <c r="N941" s="757"/>
      <c r="O941" s="757"/>
      <c r="P941" s="757"/>
      <c r="Q941" s="757"/>
      <c r="R941" s="757"/>
      <c r="S941" s="757"/>
      <c r="T941" s="757"/>
      <c r="U941" s="757"/>
      <c r="V941" s="757"/>
      <c r="W941" s="757"/>
      <c r="X941" s="757"/>
      <c r="Y941" s="757"/>
      <c r="Z941" s="757"/>
      <c r="AA941" s="757"/>
      <c r="AB941" s="757"/>
      <c r="AC941" s="757"/>
      <c r="AD941" s="757"/>
      <c r="AE941" s="757"/>
      <c r="AF941" s="757"/>
      <c r="AG941" s="757"/>
      <c r="AH941" s="757"/>
      <c r="AI941" s="757"/>
      <c r="AJ941" s="757"/>
      <c r="AK941" s="757"/>
      <c r="AL941" s="757"/>
      <c r="AM941" s="757"/>
      <c r="AN941" s="757"/>
      <c r="AO941" s="757"/>
      <c r="AP941" s="757"/>
      <c r="AQ941" s="757"/>
      <c r="AR941" s="757"/>
      <c r="AS941" s="757"/>
      <c r="AT941" s="757"/>
      <c r="AU941" s="757"/>
      <c r="AV941" s="757"/>
      <c r="AW941" s="757"/>
      <c r="AX941" s="757"/>
      <c r="AY941" s="757"/>
      <c r="AZ941" s="75"/>
      <c r="BA941" s="2"/>
      <c r="BB941" s="2"/>
      <c r="BC941" s="2"/>
      <c r="BD941" s="2"/>
    </row>
    <row r="942" spans="1:56">
      <c r="A942" s="781">
        <v>2</v>
      </c>
      <c r="B942" s="782">
        <v>229</v>
      </c>
      <c r="C942" s="783">
        <v>45322</v>
      </c>
      <c r="D942" s="785" t="s">
        <v>178</v>
      </c>
      <c r="E942" s="808">
        <v>2022</v>
      </c>
      <c r="F942" s="799"/>
      <c r="G942" s="799"/>
      <c r="H942" s="1592">
        <f t="shared" si="42"/>
        <v>0</v>
      </c>
      <c r="I942" s="754" t="str">
        <f>IFERROR(VLOOKUP(B942,Mychart!$A$125:$B$911,2,FALSE),"-")</f>
        <v>AHMED FARES - ANAAB</v>
      </c>
      <c r="J942" s="753">
        <f t="shared" si="43"/>
        <v>1</v>
      </c>
      <c r="K942" s="1540">
        <f t="shared" si="44"/>
        <v>2024</v>
      </c>
      <c r="L942" s="757"/>
      <c r="M942" s="757"/>
      <c r="N942" s="757"/>
      <c r="O942" s="757"/>
      <c r="P942" s="757"/>
      <c r="Q942" s="757"/>
      <c r="R942" s="757"/>
      <c r="S942" s="757"/>
      <c r="T942" s="757"/>
      <c r="U942" s="757"/>
      <c r="V942" s="757"/>
      <c r="W942" s="757"/>
      <c r="X942" s="757"/>
      <c r="Y942" s="757"/>
      <c r="Z942" s="757"/>
      <c r="AA942" s="757"/>
      <c r="AB942" s="757"/>
      <c r="AC942" s="757"/>
      <c r="AD942" s="757"/>
      <c r="AE942" s="757"/>
      <c r="AF942" s="757"/>
      <c r="AG942" s="757"/>
      <c r="AH942" s="757"/>
      <c r="AI942" s="757"/>
      <c r="AJ942" s="757"/>
      <c r="AK942" s="757"/>
      <c r="AL942" s="757"/>
      <c r="AM942" s="757"/>
      <c r="AN942" s="757"/>
      <c r="AO942" s="757"/>
      <c r="AP942" s="757"/>
      <c r="AQ942" s="757"/>
      <c r="AR942" s="757"/>
      <c r="AS942" s="757"/>
      <c r="AT942" s="757"/>
      <c r="AU942" s="757"/>
      <c r="AV942" s="757"/>
      <c r="AW942" s="757"/>
      <c r="AX942" s="757"/>
      <c r="AY942" s="757"/>
      <c r="AZ942" s="75"/>
      <c r="BA942" s="2"/>
      <c r="BB942" s="2"/>
      <c r="BC942" s="2"/>
      <c r="BD942" s="2"/>
    </row>
    <row r="943" spans="1:56">
      <c r="A943" s="781">
        <v>2</v>
      </c>
      <c r="B943" s="782">
        <v>229</v>
      </c>
      <c r="C943" s="783">
        <v>45351</v>
      </c>
      <c r="D943" s="785" t="s">
        <v>178</v>
      </c>
      <c r="E943" s="808">
        <v>1196</v>
      </c>
      <c r="F943" s="799"/>
      <c r="G943" s="799"/>
      <c r="H943" s="1592">
        <f t="shared" si="42"/>
        <v>0</v>
      </c>
      <c r="I943" s="754" t="str">
        <f>IFERROR(VLOOKUP(B943,Mychart!$A$125:$B$911,2,FALSE),"-")</f>
        <v>AHMED FARES - ANAAB</v>
      </c>
      <c r="J943" s="753">
        <f t="shared" si="43"/>
        <v>2</v>
      </c>
      <c r="K943" s="1540">
        <f t="shared" si="44"/>
        <v>2024</v>
      </c>
      <c r="L943" s="757"/>
      <c r="M943" s="757"/>
      <c r="N943" s="757"/>
      <c r="O943" s="757"/>
      <c r="P943" s="757"/>
      <c r="Q943" s="757"/>
      <c r="R943" s="757"/>
      <c r="S943" s="757"/>
      <c r="T943" s="757"/>
      <c r="U943" s="757"/>
      <c r="V943" s="757"/>
      <c r="W943" s="757"/>
      <c r="X943" s="757"/>
      <c r="Y943" s="757"/>
      <c r="Z943" s="757"/>
      <c r="AA943" s="757"/>
      <c r="AB943" s="757"/>
      <c r="AC943" s="757"/>
      <c r="AD943" s="757"/>
      <c r="AE943" s="757"/>
      <c r="AF943" s="757"/>
      <c r="AG943" s="757"/>
      <c r="AH943" s="757"/>
      <c r="AI943" s="757"/>
      <c r="AJ943" s="757"/>
      <c r="AK943" s="757"/>
      <c r="AL943" s="757"/>
      <c r="AM943" s="757"/>
      <c r="AN943" s="757"/>
      <c r="AO943" s="757"/>
      <c r="AP943" s="757"/>
      <c r="AQ943" s="757"/>
      <c r="AR943" s="757"/>
      <c r="AS943" s="757"/>
      <c r="AT943" s="757"/>
      <c r="AU943" s="757"/>
      <c r="AV943" s="757"/>
      <c r="AW943" s="757"/>
      <c r="AX943" s="757"/>
      <c r="AY943" s="757"/>
      <c r="AZ943" s="75"/>
      <c r="BA943" s="2"/>
      <c r="BB943" s="2"/>
      <c r="BC943" s="2"/>
      <c r="BD943" s="2"/>
    </row>
    <row r="944" spans="1:56">
      <c r="A944" s="781">
        <v>2</v>
      </c>
      <c r="B944" s="782">
        <v>229</v>
      </c>
      <c r="C944" s="783">
        <v>45379</v>
      </c>
      <c r="D944" s="785" t="s">
        <v>259</v>
      </c>
      <c r="E944" s="808"/>
      <c r="F944" s="799"/>
      <c r="G944" s="799"/>
      <c r="H944" s="1592">
        <f t="shared" si="42"/>
        <v>0</v>
      </c>
      <c r="I944" s="754" t="str">
        <f>IFERROR(VLOOKUP(B944,Mychart!$A$125:$B$911,2,FALSE),"-")</f>
        <v>AHMED FARES - ANAAB</v>
      </c>
      <c r="J944" s="753">
        <f t="shared" si="43"/>
        <v>3</v>
      </c>
      <c r="K944" s="1540">
        <f t="shared" si="44"/>
        <v>2024</v>
      </c>
      <c r="L944" s="757"/>
      <c r="M944" s="757"/>
      <c r="N944" s="757"/>
      <c r="O944" s="757"/>
      <c r="P944" s="757"/>
      <c r="Q944" s="757"/>
      <c r="R944" s="757"/>
      <c r="S944" s="757"/>
      <c r="T944" s="757"/>
      <c r="U944" s="757"/>
      <c r="V944" s="757"/>
      <c r="W944" s="757"/>
      <c r="X944" s="757"/>
      <c r="Y944" s="757"/>
      <c r="Z944" s="757"/>
      <c r="AA944" s="757"/>
      <c r="AB944" s="757"/>
      <c r="AC944" s="757"/>
      <c r="AD944" s="757"/>
      <c r="AE944" s="757"/>
      <c r="AF944" s="757"/>
      <c r="AG944" s="757"/>
      <c r="AH944" s="757"/>
      <c r="AI944" s="757"/>
      <c r="AJ944" s="757"/>
      <c r="AK944" s="757"/>
      <c r="AL944" s="757"/>
      <c r="AM944" s="757"/>
      <c r="AN944" s="757"/>
      <c r="AO944" s="757"/>
      <c r="AP944" s="757"/>
      <c r="AQ944" s="757"/>
      <c r="AR944" s="757"/>
      <c r="AS944" s="757"/>
      <c r="AT944" s="757"/>
      <c r="AU944" s="757"/>
      <c r="AV944" s="757"/>
      <c r="AW944" s="757"/>
      <c r="AX944" s="757"/>
      <c r="AY944" s="757"/>
      <c r="AZ944" s="75"/>
      <c r="BA944" s="2"/>
      <c r="BB944" s="2"/>
      <c r="BC944" s="2"/>
      <c r="BD944" s="2"/>
    </row>
    <row r="945" spans="1:56">
      <c r="A945" s="781">
        <v>1</v>
      </c>
      <c r="B945" s="782">
        <v>237</v>
      </c>
      <c r="C945" s="783">
        <v>45129</v>
      </c>
      <c r="D945" s="785" t="s">
        <v>524</v>
      </c>
      <c r="E945" s="808"/>
      <c r="F945" s="799">
        <v>29000</v>
      </c>
      <c r="G945" s="799">
        <v>1450</v>
      </c>
      <c r="H945" s="1592">
        <f t="shared" si="42"/>
        <v>30450</v>
      </c>
      <c r="I945" s="754" t="str">
        <f>IFERROR(VLOOKUP(B945,Mychart!$A$125:$B$911,2,FALSE),"-")</f>
        <v>HAMAD SAWUDI . IBTESAM</v>
      </c>
      <c r="J945" s="753">
        <f t="shared" si="43"/>
        <v>7</v>
      </c>
      <c r="K945" s="1540">
        <f t="shared" si="44"/>
        <v>2023</v>
      </c>
      <c r="L945" s="757"/>
      <c r="M945" s="757"/>
      <c r="N945" s="757"/>
      <c r="O945" s="757"/>
      <c r="P945" s="757"/>
      <c r="Q945" s="757"/>
      <c r="R945" s="757"/>
      <c r="S945" s="757"/>
      <c r="T945" s="757"/>
      <c r="U945" s="757"/>
      <c r="V945" s="757"/>
      <c r="W945" s="757"/>
      <c r="X945" s="757"/>
      <c r="Y945" s="757"/>
      <c r="Z945" s="757"/>
      <c r="AA945" s="757"/>
      <c r="AB945" s="757"/>
      <c r="AC945" s="757"/>
      <c r="AD945" s="757"/>
      <c r="AE945" s="757"/>
      <c r="AF945" s="757"/>
      <c r="AG945" s="757"/>
      <c r="AH945" s="757"/>
      <c r="AI945" s="757"/>
      <c r="AJ945" s="757"/>
      <c r="AK945" s="757"/>
      <c r="AL945" s="757"/>
      <c r="AM945" s="757"/>
      <c r="AN945" s="757"/>
      <c r="AO945" s="757"/>
      <c r="AP945" s="757"/>
      <c r="AQ945" s="757"/>
      <c r="AR945" s="757"/>
      <c r="AS945" s="757"/>
      <c r="AT945" s="757"/>
      <c r="AU945" s="757"/>
      <c r="AV945" s="757"/>
      <c r="AW945" s="757"/>
      <c r="AX945" s="757"/>
      <c r="AY945" s="757"/>
      <c r="AZ945" s="75"/>
      <c r="BA945" s="2"/>
      <c r="BB945" s="2"/>
      <c r="BC945" s="2"/>
      <c r="BD945" s="2"/>
    </row>
    <row r="946" spans="1:56">
      <c r="A946" s="781">
        <v>1</v>
      </c>
      <c r="B946" s="782">
        <v>237</v>
      </c>
      <c r="C946" s="783">
        <v>45318</v>
      </c>
      <c r="D946" s="785" t="s">
        <v>419</v>
      </c>
      <c r="E946" s="808"/>
      <c r="F946" s="799">
        <v>54285</v>
      </c>
      <c r="G946" s="799">
        <v>2714.25</v>
      </c>
      <c r="H946" s="1592">
        <f t="shared" si="42"/>
        <v>56999.25</v>
      </c>
      <c r="I946" s="754" t="str">
        <f>IFERROR(VLOOKUP(B946,Mychart!$A$125:$B$911,2,FALSE),"-")</f>
        <v>HAMAD SAWUDI . IBTESAM</v>
      </c>
      <c r="J946" s="753">
        <f t="shared" si="43"/>
        <v>1</v>
      </c>
      <c r="K946" s="1540">
        <f t="shared" si="44"/>
        <v>2024</v>
      </c>
      <c r="L946" s="757"/>
      <c r="M946" s="757"/>
      <c r="N946" s="757"/>
      <c r="O946" s="757"/>
      <c r="P946" s="757"/>
      <c r="Q946" s="757"/>
      <c r="R946" s="757"/>
      <c r="S946" s="757"/>
      <c r="T946" s="757"/>
      <c r="U946" s="757"/>
      <c r="V946" s="757"/>
      <c r="W946" s="757"/>
      <c r="X946" s="757"/>
      <c r="Y946" s="757"/>
      <c r="Z946" s="757"/>
      <c r="AA946" s="757"/>
      <c r="AB946" s="757"/>
      <c r="AC946" s="757"/>
      <c r="AD946" s="757"/>
      <c r="AE946" s="757"/>
      <c r="AF946" s="757"/>
      <c r="AG946" s="757"/>
      <c r="AH946" s="757"/>
      <c r="AI946" s="757"/>
      <c r="AJ946" s="757"/>
      <c r="AK946" s="757"/>
      <c r="AL946" s="757"/>
      <c r="AM946" s="757"/>
      <c r="AN946" s="757"/>
      <c r="AO946" s="757"/>
      <c r="AP946" s="757"/>
      <c r="AQ946" s="757"/>
      <c r="AR946" s="757"/>
      <c r="AS946" s="757"/>
      <c r="AT946" s="757"/>
      <c r="AU946" s="757"/>
      <c r="AV946" s="757"/>
      <c r="AW946" s="757"/>
      <c r="AX946" s="757"/>
      <c r="AY946" s="757"/>
      <c r="AZ946" s="75"/>
      <c r="BA946" s="2"/>
      <c r="BB946" s="2"/>
      <c r="BC946" s="2"/>
      <c r="BD946" s="2"/>
    </row>
    <row r="947" spans="1:56">
      <c r="A947" s="781">
        <v>1</v>
      </c>
      <c r="B947" s="782">
        <v>237</v>
      </c>
      <c r="C947" s="783">
        <v>45347</v>
      </c>
      <c r="D947" s="785" t="s">
        <v>420</v>
      </c>
      <c r="E947" s="808"/>
      <c r="F947" s="799">
        <v>57180</v>
      </c>
      <c r="G947" s="799">
        <v>2859</v>
      </c>
      <c r="H947" s="1592">
        <f t="shared" si="42"/>
        <v>60039</v>
      </c>
      <c r="I947" s="754" t="str">
        <f>IFERROR(VLOOKUP(B947,Mychart!$A$125:$B$911,2,FALSE),"-")</f>
        <v>HAMAD SAWUDI . IBTESAM</v>
      </c>
      <c r="J947" s="753">
        <f t="shared" si="43"/>
        <v>2</v>
      </c>
      <c r="K947" s="1540">
        <f t="shared" si="44"/>
        <v>2024</v>
      </c>
      <c r="L947" s="757"/>
      <c r="M947" s="757"/>
      <c r="N947" s="757"/>
      <c r="O947" s="757"/>
      <c r="P947" s="757"/>
      <c r="Q947" s="757"/>
      <c r="R947" s="757"/>
      <c r="S947" s="757"/>
      <c r="T947" s="757"/>
      <c r="U947" s="757"/>
      <c r="V947" s="757"/>
      <c r="W947" s="757"/>
      <c r="X947" s="757"/>
      <c r="Y947" s="757"/>
      <c r="Z947" s="757"/>
      <c r="AA947" s="757"/>
      <c r="AB947" s="757"/>
      <c r="AC947" s="757"/>
      <c r="AD947" s="757"/>
      <c r="AE947" s="757"/>
      <c r="AF947" s="757"/>
      <c r="AG947" s="757"/>
      <c r="AH947" s="757"/>
      <c r="AI947" s="757"/>
      <c r="AJ947" s="757"/>
      <c r="AK947" s="757"/>
      <c r="AL947" s="757"/>
      <c r="AM947" s="757"/>
      <c r="AN947" s="757"/>
      <c r="AO947" s="757"/>
      <c r="AP947" s="757"/>
      <c r="AQ947" s="757"/>
      <c r="AR947" s="757"/>
      <c r="AS947" s="757"/>
      <c r="AT947" s="757"/>
      <c r="AU947" s="757"/>
      <c r="AV947" s="757"/>
      <c r="AW947" s="757"/>
      <c r="AX947" s="757"/>
      <c r="AY947" s="757"/>
      <c r="AZ947" s="75"/>
      <c r="BA947" s="2"/>
      <c r="BB947" s="2"/>
      <c r="BC947" s="2"/>
      <c r="BD947" s="2"/>
    </row>
    <row r="948" spans="1:56">
      <c r="A948" s="781">
        <v>2</v>
      </c>
      <c r="B948" s="782">
        <v>237</v>
      </c>
      <c r="C948" s="783"/>
      <c r="D948" s="785" t="s">
        <v>183</v>
      </c>
      <c r="E948" s="808">
        <v>500</v>
      </c>
      <c r="F948" s="799"/>
      <c r="G948" s="799"/>
      <c r="H948" s="1592">
        <f t="shared" si="42"/>
        <v>0</v>
      </c>
      <c r="I948" s="754" t="str">
        <f>IFERROR(VLOOKUP(B948,Mychart!$A$125:$B$911,2,FALSE),"-")</f>
        <v>HAMAD SAWUDI . IBTESAM</v>
      </c>
      <c r="J948" s="753" t="str">
        <f t="shared" si="43"/>
        <v>-</v>
      </c>
      <c r="K948" s="1540">
        <f t="shared" si="44"/>
        <v>1900</v>
      </c>
      <c r="L948" s="757"/>
      <c r="M948" s="757"/>
      <c r="N948" s="757"/>
      <c r="O948" s="757"/>
      <c r="P948" s="757"/>
      <c r="Q948" s="757"/>
      <c r="R948" s="757"/>
      <c r="S948" s="757"/>
      <c r="T948" s="757"/>
      <c r="U948" s="757"/>
      <c r="V948" s="757"/>
      <c r="W948" s="757"/>
      <c r="X948" s="757"/>
      <c r="Y948" s="757"/>
      <c r="Z948" s="757"/>
      <c r="AA948" s="757"/>
      <c r="AB948" s="757"/>
      <c r="AC948" s="757"/>
      <c r="AD948" s="757"/>
      <c r="AE948" s="757"/>
      <c r="AF948" s="757"/>
      <c r="AG948" s="757"/>
      <c r="AH948" s="757"/>
      <c r="AI948" s="757"/>
      <c r="AJ948" s="757"/>
      <c r="AK948" s="757"/>
      <c r="AL948" s="757"/>
      <c r="AM948" s="757"/>
      <c r="AN948" s="757"/>
      <c r="AO948" s="757"/>
      <c r="AP948" s="757"/>
      <c r="AQ948" s="757"/>
      <c r="AR948" s="757"/>
      <c r="AS948" s="757"/>
      <c r="AT948" s="757"/>
      <c r="AU948" s="757"/>
      <c r="AV948" s="757"/>
      <c r="AW948" s="757"/>
      <c r="AX948" s="757"/>
      <c r="AY948" s="757"/>
      <c r="AZ948" s="75"/>
      <c r="BA948" s="2"/>
      <c r="BB948" s="2"/>
      <c r="BC948" s="2"/>
      <c r="BD948" s="2"/>
    </row>
    <row r="949" spans="1:56">
      <c r="A949" s="781">
        <v>2</v>
      </c>
      <c r="B949" s="782">
        <v>237</v>
      </c>
      <c r="C949" s="783">
        <v>45211</v>
      </c>
      <c r="D949" s="785" t="s">
        <v>258</v>
      </c>
      <c r="E949" s="808">
        <v>4348</v>
      </c>
      <c r="F949" s="799"/>
      <c r="G949" s="799"/>
      <c r="H949" s="1592">
        <f t="shared" si="42"/>
        <v>0</v>
      </c>
      <c r="I949" s="754" t="str">
        <f>IFERROR(VLOOKUP(B949,Mychart!$A$125:$B$911,2,FALSE),"-")</f>
        <v>HAMAD SAWUDI . IBTESAM</v>
      </c>
      <c r="J949" s="753">
        <f t="shared" si="43"/>
        <v>10</v>
      </c>
      <c r="K949" s="1540">
        <f t="shared" si="44"/>
        <v>2023</v>
      </c>
      <c r="L949" s="757"/>
      <c r="M949" s="757"/>
      <c r="N949" s="757"/>
      <c r="O949" s="757"/>
      <c r="P949" s="757"/>
      <c r="Q949" s="757"/>
      <c r="R949" s="757"/>
      <c r="S949" s="757"/>
      <c r="T949" s="757"/>
      <c r="U949" s="757"/>
      <c r="V949" s="757"/>
      <c r="W949" s="757"/>
      <c r="X949" s="757"/>
      <c r="Y949" s="757"/>
      <c r="Z949" s="757"/>
      <c r="AA949" s="757"/>
      <c r="AB949" s="757"/>
      <c r="AC949" s="757"/>
      <c r="AD949" s="757"/>
      <c r="AE949" s="757"/>
      <c r="AF949" s="757"/>
      <c r="AG949" s="757"/>
      <c r="AH949" s="757"/>
      <c r="AI949" s="757"/>
      <c r="AJ949" s="757"/>
      <c r="AK949" s="757"/>
      <c r="AL949" s="757"/>
      <c r="AM949" s="757"/>
      <c r="AN949" s="757"/>
      <c r="AO949" s="757"/>
      <c r="AP949" s="757"/>
      <c r="AQ949" s="757"/>
      <c r="AR949" s="757"/>
      <c r="AS949" s="757"/>
      <c r="AT949" s="757"/>
      <c r="AU949" s="757"/>
      <c r="AV949" s="757"/>
      <c r="AW949" s="757"/>
      <c r="AX949" s="757"/>
      <c r="AY949" s="757"/>
      <c r="AZ949" s="75"/>
      <c r="BA949" s="2"/>
      <c r="BB949" s="2"/>
      <c r="BC949" s="2"/>
      <c r="BD949" s="2"/>
    </row>
    <row r="950" spans="1:56">
      <c r="A950" s="781">
        <v>2</v>
      </c>
      <c r="B950" s="782">
        <v>237</v>
      </c>
      <c r="C950" s="783">
        <v>45234</v>
      </c>
      <c r="D950" s="785" t="s">
        <v>177</v>
      </c>
      <c r="E950" s="808">
        <v>3478</v>
      </c>
      <c r="F950" s="799"/>
      <c r="G950" s="799"/>
      <c r="H950" s="1592">
        <f t="shared" si="42"/>
        <v>0</v>
      </c>
      <c r="I950" s="754" t="str">
        <f>IFERROR(VLOOKUP(B950,Mychart!$A$125:$B$911,2,FALSE),"-")</f>
        <v>HAMAD SAWUDI . IBTESAM</v>
      </c>
      <c r="J950" s="753">
        <f t="shared" si="43"/>
        <v>11</v>
      </c>
      <c r="K950" s="1540">
        <f t="shared" si="44"/>
        <v>2023</v>
      </c>
      <c r="L950" s="757"/>
      <c r="M950" s="757"/>
      <c r="N950" s="757"/>
      <c r="O950" s="757"/>
      <c r="P950" s="757"/>
      <c r="Q950" s="757"/>
      <c r="R950" s="757"/>
      <c r="S950" s="757"/>
      <c r="T950" s="757"/>
      <c r="U950" s="757"/>
      <c r="V950" s="757"/>
      <c r="W950" s="757"/>
      <c r="X950" s="757"/>
      <c r="Y950" s="757"/>
      <c r="Z950" s="757"/>
      <c r="AA950" s="757"/>
      <c r="AB950" s="757"/>
      <c r="AC950" s="757"/>
      <c r="AD950" s="757"/>
      <c r="AE950" s="757"/>
      <c r="AF950" s="757"/>
      <c r="AG950" s="757"/>
      <c r="AH950" s="757"/>
      <c r="AI950" s="757"/>
      <c r="AJ950" s="757"/>
      <c r="AK950" s="757"/>
      <c r="AL950" s="757"/>
      <c r="AM950" s="757"/>
      <c r="AN950" s="757"/>
      <c r="AO950" s="757"/>
      <c r="AP950" s="757"/>
      <c r="AQ950" s="757"/>
      <c r="AR950" s="757"/>
      <c r="AS950" s="757"/>
      <c r="AT950" s="757"/>
      <c r="AU950" s="757"/>
      <c r="AV950" s="757"/>
      <c r="AW950" s="757"/>
      <c r="AX950" s="757"/>
      <c r="AY950" s="757"/>
      <c r="AZ950" s="75"/>
      <c r="BA950" s="2"/>
      <c r="BB950" s="2"/>
      <c r="BC950" s="2"/>
      <c r="BD950" s="2"/>
    </row>
    <row r="951" spans="1:56">
      <c r="A951" s="781">
        <v>2</v>
      </c>
      <c r="B951" s="782">
        <v>237</v>
      </c>
      <c r="C951" s="783">
        <v>45291</v>
      </c>
      <c r="D951" s="785" t="s">
        <v>191</v>
      </c>
      <c r="E951" s="808">
        <v>1534</v>
      </c>
      <c r="F951" s="799"/>
      <c r="G951" s="799"/>
      <c r="H951" s="1592">
        <f t="shared" si="42"/>
        <v>0</v>
      </c>
      <c r="I951" s="754" t="str">
        <f>IFERROR(VLOOKUP(B951,Mychart!$A$125:$B$911,2,FALSE),"-")</f>
        <v>HAMAD SAWUDI . IBTESAM</v>
      </c>
      <c r="J951" s="753">
        <f t="shared" si="43"/>
        <v>12</v>
      </c>
      <c r="K951" s="1540">
        <f t="shared" si="44"/>
        <v>2023</v>
      </c>
      <c r="L951" s="757"/>
      <c r="M951" s="757"/>
      <c r="N951" s="757"/>
      <c r="O951" s="757"/>
      <c r="P951" s="757"/>
      <c r="Q951" s="757"/>
      <c r="R951" s="757"/>
      <c r="S951" s="757"/>
      <c r="T951" s="757"/>
      <c r="U951" s="757"/>
      <c r="V951" s="757"/>
      <c r="W951" s="757"/>
      <c r="X951" s="757"/>
      <c r="Y951" s="757"/>
      <c r="Z951" s="757"/>
      <c r="AA951" s="757"/>
      <c r="AB951" s="757"/>
      <c r="AC951" s="757"/>
      <c r="AD951" s="757"/>
      <c r="AE951" s="757"/>
      <c r="AF951" s="757"/>
      <c r="AG951" s="757"/>
      <c r="AH951" s="757"/>
      <c r="AI951" s="757"/>
      <c r="AJ951" s="757"/>
      <c r="AK951" s="757"/>
      <c r="AL951" s="757"/>
      <c r="AM951" s="757"/>
      <c r="AN951" s="757"/>
      <c r="AO951" s="757"/>
      <c r="AP951" s="757"/>
      <c r="AQ951" s="757"/>
      <c r="AR951" s="757"/>
      <c r="AS951" s="757"/>
      <c r="AT951" s="757"/>
      <c r="AU951" s="757"/>
      <c r="AV951" s="757"/>
      <c r="AW951" s="757"/>
      <c r="AX951" s="757"/>
      <c r="AY951" s="757"/>
      <c r="AZ951" s="75"/>
      <c r="BA951" s="2"/>
      <c r="BB951" s="2"/>
      <c r="BC951" s="2"/>
      <c r="BD951" s="2"/>
    </row>
    <row r="952" spans="1:56">
      <c r="A952" s="781">
        <v>2</v>
      </c>
      <c r="B952" s="782">
        <v>237</v>
      </c>
      <c r="C952" s="783">
        <v>45287</v>
      </c>
      <c r="D952" s="785" t="s">
        <v>394</v>
      </c>
      <c r="E952" s="808">
        <v>321.57</v>
      </c>
      <c r="F952" s="799"/>
      <c r="G952" s="799"/>
      <c r="H952" s="1592">
        <f t="shared" si="42"/>
        <v>0</v>
      </c>
      <c r="I952" s="754" t="str">
        <f>IFERROR(VLOOKUP(B952,Mychart!$A$125:$B$911,2,FALSE),"-")</f>
        <v>HAMAD SAWUDI . IBTESAM</v>
      </c>
      <c r="J952" s="753">
        <f t="shared" si="43"/>
        <v>12</v>
      </c>
      <c r="K952" s="1540">
        <f t="shared" si="44"/>
        <v>2023</v>
      </c>
      <c r="L952" s="757"/>
      <c r="M952" s="757"/>
      <c r="N952" s="757"/>
      <c r="O952" s="757"/>
      <c r="P952" s="757"/>
      <c r="Q952" s="757"/>
      <c r="R952" s="757"/>
      <c r="S952" s="757"/>
      <c r="T952" s="757"/>
      <c r="U952" s="757"/>
      <c r="V952" s="757"/>
      <c r="W952" s="757"/>
      <c r="X952" s="757"/>
      <c r="Y952" s="757"/>
      <c r="Z952" s="757"/>
      <c r="AA952" s="757"/>
      <c r="AB952" s="757"/>
      <c r="AC952" s="757"/>
      <c r="AD952" s="757"/>
      <c r="AE952" s="757"/>
      <c r="AF952" s="757"/>
      <c r="AG952" s="757"/>
      <c r="AH952" s="757"/>
      <c r="AI952" s="757"/>
      <c r="AJ952" s="757"/>
      <c r="AK952" s="757"/>
      <c r="AL952" s="757"/>
      <c r="AM952" s="757"/>
      <c r="AN952" s="757"/>
      <c r="AO952" s="757"/>
      <c r="AP952" s="757"/>
      <c r="AQ952" s="757"/>
      <c r="AR952" s="757"/>
      <c r="AS952" s="757"/>
      <c r="AT952" s="757"/>
      <c r="AU952" s="757"/>
      <c r="AV952" s="757"/>
      <c r="AW952" s="757"/>
      <c r="AX952" s="757"/>
      <c r="AY952" s="757"/>
      <c r="AZ952" s="75"/>
      <c r="BA952" s="2"/>
      <c r="BB952" s="2"/>
      <c r="BC952" s="2"/>
      <c r="BD952" s="2"/>
    </row>
    <row r="953" spans="1:56">
      <c r="A953" s="781">
        <v>2</v>
      </c>
      <c r="B953" s="782">
        <v>237</v>
      </c>
      <c r="C953" s="783">
        <v>45287</v>
      </c>
      <c r="D953" s="785" t="s">
        <v>394</v>
      </c>
      <c r="E953" s="808">
        <v>137.34</v>
      </c>
      <c r="F953" s="799"/>
      <c r="G953" s="799"/>
      <c r="H953" s="1592">
        <f t="shared" si="42"/>
        <v>0</v>
      </c>
      <c r="I953" s="754" t="str">
        <f>IFERROR(VLOOKUP(B953,Mychart!$A$125:$B$911,2,FALSE),"-")</f>
        <v>HAMAD SAWUDI . IBTESAM</v>
      </c>
      <c r="J953" s="753">
        <f t="shared" si="43"/>
        <v>12</v>
      </c>
      <c r="K953" s="1540">
        <f t="shared" si="44"/>
        <v>2023</v>
      </c>
      <c r="L953" s="757"/>
      <c r="M953" s="757"/>
      <c r="N953" s="757"/>
      <c r="O953" s="757"/>
      <c r="P953" s="757"/>
      <c r="Q953" s="757"/>
      <c r="R953" s="757"/>
      <c r="S953" s="757"/>
      <c r="T953" s="757"/>
      <c r="U953" s="757"/>
      <c r="V953" s="757"/>
      <c r="W953" s="757"/>
      <c r="X953" s="757"/>
      <c r="Y953" s="757"/>
      <c r="Z953" s="757"/>
      <c r="AA953" s="757"/>
      <c r="AB953" s="757"/>
      <c r="AC953" s="757"/>
      <c r="AD953" s="757"/>
      <c r="AE953" s="757"/>
      <c r="AF953" s="757"/>
      <c r="AG953" s="757"/>
      <c r="AH953" s="757"/>
      <c r="AI953" s="757"/>
      <c r="AJ953" s="757"/>
      <c r="AK953" s="757"/>
      <c r="AL953" s="757"/>
      <c r="AM953" s="757"/>
      <c r="AN953" s="757"/>
      <c r="AO953" s="757"/>
      <c r="AP953" s="757"/>
      <c r="AQ953" s="757"/>
      <c r="AR953" s="757"/>
      <c r="AS953" s="757"/>
      <c r="AT953" s="757"/>
      <c r="AU953" s="757"/>
      <c r="AV953" s="757"/>
      <c r="AW953" s="757"/>
      <c r="AX953" s="757"/>
      <c r="AY953" s="757"/>
      <c r="AZ953" s="75"/>
      <c r="BA953" s="2"/>
      <c r="BB953" s="2"/>
      <c r="BC953" s="2"/>
      <c r="BD953" s="2"/>
    </row>
    <row r="954" spans="1:56">
      <c r="A954" s="781">
        <v>2</v>
      </c>
      <c r="B954" s="782">
        <v>237</v>
      </c>
      <c r="C954" s="783">
        <v>45322</v>
      </c>
      <c r="D954" s="785" t="s">
        <v>177</v>
      </c>
      <c r="E954" s="808">
        <v>8652</v>
      </c>
      <c r="F954" s="799"/>
      <c r="G954" s="799"/>
      <c r="H954" s="1592">
        <f t="shared" si="42"/>
        <v>0</v>
      </c>
      <c r="I954" s="754" t="str">
        <f>IFERROR(VLOOKUP(B954,Mychart!$A$125:$B$911,2,FALSE),"-")</f>
        <v>HAMAD SAWUDI . IBTESAM</v>
      </c>
      <c r="J954" s="753">
        <f t="shared" si="43"/>
        <v>1</v>
      </c>
      <c r="K954" s="1540">
        <f t="shared" si="44"/>
        <v>2024</v>
      </c>
      <c r="L954" s="757"/>
      <c r="M954" s="757"/>
      <c r="N954" s="757"/>
      <c r="O954" s="757"/>
      <c r="P954" s="757"/>
      <c r="Q954" s="757"/>
      <c r="R954" s="757"/>
      <c r="S954" s="757"/>
      <c r="T954" s="757"/>
      <c r="U954" s="757"/>
      <c r="V954" s="757"/>
      <c r="W954" s="757"/>
      <c r="X954" s="757"/>
      <c r="Y954" s="757"/>
      <c r="Z954" s="757"/>
      <c r="AA954" s="757"/>
      <c r="AB954" s="757"/>
      <c r="AC954" s="757"/>
      <c r="AD954" s="757"/>
      <c r="AE954" s="757"/>
      <c r="AF954" s="757"/>
      <c r="AG954" s="757"/>
      <c r="AH954" s="757"/>
      <c r="AI954" s="757"/>
      <c r="AJ954" s="757"/>
      <c r="AK954" s="757"/>
      <c r="AL954" s="757"/>
      <c r="AM954" s="757"/>
      <c r="AN954" s="757"/>
      <c r="AO954" s="757"/>
      <c r="AP954" s="757"/>
      <c r="AQ954" s="757"/>
      <c r="AR954" s="757"/>
      <c r="AS954" s="757"/>
      <c r="AT954" s="757"/>
      <c r="AU954" s="757"/>
      <c r="AV954" s="757"/>
      <c r="AW954" s="757"/>
      <c r="AX954" s="757"/>
      <c r="AY954" s="757"/>
      <c r="AZ954" s="75"/>
      <c r="BA954" s="2"/>
      <c r="BB954" s="2"/>
      <c r="BC954" s="2"/>
      <c r="BD954" s="2"/>
    </row>
    <row r="955" spans="1:56">
      <c r="A955" s="781">
        <v>2</v>
      </c>
      <c r="B955" s="782">
        <v>237</v>
      </c>
      <c r="C955" s="783"/>
      <c r="D955" s="785" t="s">
        <v>177</v>
      </c>
      <c r="E955" s="808">
        <v>2924</v>
      </c>
      <c r="F955" s="799"/>
      <c r="G955" s="799"/>
      <c r="H955" s="1592">
        <f t="shared" si="42"/>
        <v>0</v>
      </c>
      <c r="I955" s="754" t="str">
        <f>IFERROR(VLOOKUP(B955,Mychart!$A$125:$B$911,2,FALSE),"-")</f>
        <v>HAMAD SAWUDI . IBTESAM</v>
      </c>
      <c r="J955" s="753" t="str">
        <f t="shared" si="43"/>
        <v>-</v>
      </c>
      <c r="K955" s="1540">
        <f t="shared" si="44"/>
        <v>1900</v>
      </c>
      <c r="L955" s="757"/>
      <c r="M955" s="757"/>
      <c r="N955" s="757"/>
      <c r="O955" s="757"/>
      <c r="P955" s="757"/>
      <c r="Q955" s="757"/>
      <c r="R955" s="757"/>
      <c r="S955" s="757"/>
      <c r="T955" s="757"/>
      <c r="U955" s="757"/>
      <c r="V955" s="757"/>
      <c r="W955" s="757"/>
      <c r="X955" s="757"/>
      <c r="Y955" s="757"/>
      <c r="Z955" s="757"/>
      <c r="AA955" s="757"/>
      <c r="AB955" s="757"/>
      <c r="AC955" s="757"/>
      <c r="AD955" s="757"/>
      <c r="AE955" s="757"/>
      <c r="AF955" s="757"/>
      <c r="AG955" s="757"/>
      <c r="AH955" s="757"/>
      <c r="AI955" s="757"/>
      <c r="AJ955" s="757"/>
      <c r="AK955" s="757"/>
      <c r="AL955" s="757"/>
      <c r="AM955" s="757"/>
      <c r="AN955" s="757"/>
      <c r="AO955" s="757"/>
      <c r="AP955" s="757"/>
      <c r="AQ955" s="757"/>
      <c r="AR955" s="757"/>
      <c r="AS955" s="757"/>
      <c r="AT955" s="757"/>
      <c r="AU955" s="757"/>
      <c r="AV955" s="757"/>
      <c r="AW955" s="757"/>
      <c r="AX955" s="757"/>
      <c r="AY955" s="757"/>
      <c r="AZ955" s="75"/>
      <c r="BA955" s="2"/>
      <c r="BB955" s="2"/>
      <c r="BC955" s="2"/>
      <c r="BD955" s="2"/>
    </row>
    <row r="956" spans="1:56">
      <c r="A956" s="781">
        <v>2</v>
      </c>
      <c r="B956" s="782">
        <v>237</v>
      </c>
      <c r="C956" s="783">
        <v>45317</v>
      </c>
      <c r="D956" s="785" t="s">
        <v>394</v>
      </c>
      <c r="E956" s="808">
        <v>700.56</v>
      </c>
      <c r="F956" s="799"/>
      <c r="G956" s="799"/>
      <c r="H956" s="1592">
        <f t="shared" si="42"/>
        <v>0</v>
      </c>
      <c r="I956" s="754" t="str">
        <f>IFERROR(VLOOKUP(B956,Mychart!$A$125:$B$911,2,FALSE),"-")</f>
        <v>HAMAD SAWUDI . IBTESAM</v>
      </c>
      <c r="J956" s="753">
        <f t="shared" si="43"/>
        <v>1</v>
      </c>
      <c r="K956" s="1540">
        <f t="shared" si="44"/>
        <v>2024</v>
      </c>
      <c r="L956" s="757"/>
      <c r="M956" s="757"/>
      <c r="N956" s="757"/>
      <c r="O956" s="757"/>
      <c r="P956" s="757"/>
      <c r="Q956" s="757"/>
      <c r="R956" s="757"/>
      <c r="S956" s="757"/>
      <c r="T956" s="757"/>
      <c r="U956" s="757"/>
      <c r="V956" s="757"/>
      <c r="W956" s="757"/>
      <c r="X956" s="757"/>
      <c r="Y956" s="757"/>
      <c r="Z956" s="757"/>
      <c r="AA956" s="757"/>
      <c r="AB956" s="757"/>
      <c r="AC956" s="757"/>
      <c r="AD956" s="757"/>
      <c r="AE956" s="757"/>
      <c r="AF956" s="757"/>
      <c r="AG956" s="757"/>
      <c r="AH956" s="757"/>
      <c r="AI956" s="757"/>
      <c r="AJ956" s="757"/>
      <c r="AK956" s="757"/>
      <c r="AL956" s="757"/>
      <c r="AM956" s="757"/>
      <c r="AN956" s="757"/>
      <c r="AO956" s="757"/>
      <c r="AP956" s="757"/>
      <c r="AQ956" s="757"/>
      <c r="AR956" s="757"/>
      <c r="AS956" s="757"/>
      <c r="AT956" s="757"/>
      <c r="AU956" s="757"/>
      <c r="AV956" s="757"/>
      <c r="AW956" s="757"/>
      <c r="AX956" s="757"/>
      <c r="AY956" s="757"/>
      <c r="AZ956" s="75"/>
      <c r="BA956" s="2"/>
      <c r="BB956" s="2"/>
      <c r="BC956" s="2"/>
      <c r="BD956" s="2"/>
    </row>
    <row r="957" spans="1:56">
      <c r="A957" s="781">
        <v>2</v>
      </c>
      <c r="B957" s="782">
        <v>237</v>
      </c>
      <c r="C957" s="783">
        <v>45350</v>
      </c>
      <c r="D957" s="785" t="s">
        <v>394</v>
      </c>
      <c r="E957" s="808">
        <v>58.38</v>
      </c>
      <c r="F957" s="799"/>
      <c r="G957" s="799"/>
      <c r="H957" s="1592">
        <f t="shared" si="42"/>
        <v>0</v>
      </c>
      <c r="I957" s="754" t="str">
        <f>IFERROR(VLOOKUP(B957,Mychart!$A$125:$B$911,2,FALSE),"-")</f>
        <v>HAMAD SAWUDI . IBTESAM</v>
      </c>
      <c r="J957" s="753">
        <f t="shared" si="43"/>
        <v>2</v>
      </c>
      <c r="K957" s="1540">
        <f t="shared" si="44"/>
        <v>2024</v>
      </c>
      <c r="L957" s="757"/>
      <c r="M957" s="757"/>
      <c r="N957" s="757"/>
      <c r="O957" s="757"/>
      <c r="P957" s="757"/>
      <c r="Q957" s="757"/>
      <c r="R957" s="757"/>
      <c r="S957" s="757"/>
      <c r="T957" s="757"/>
      <c r="U957" s="757"/>
      <c r="V957" s="757"/>
      <c r="W957" s="757"/>
      <c r="X957" s="757"/>
      <c r="Y957" s="757"/>
      <c r="Z957" s="757"/>
      <c r="AA957" s="757"/>
      <c r="AB957" s="757"/>
      <c r="AC957" s="757"/>
      <c r="AD957" s="757"/>
      <c r="AE957" s="757"/>
      <c r="AF957" s="757"/>
      <c r="AG957" s="757"/>
      <c r="AH957" s="757"/>
      <c r="AI957" s="757"/>
      <c r="AJ957" s="757"/>
      <c r="AK957" s="757"/>
      <c r="AL957" s="757"/>
      <c r="AM957" s="757"/>
      <c r="AN957" s="757"/>
      <c r="AO957" s="757"/>
      <c r="AP957" s="757"/>
      <c r="AQ957" s="757"/>
      <c r="AR957" s="757"/>
      <c r="AS957" s="757"/>
      <c r="AT957" s="757"/>
      <c r="AU957" s="757"/>
      <c r="AV957" s="757"/>
      <c r="AW957" s="757"/>
      <c r="AX957" s="757"/>
      <c r="AY957" s="757"/>
      <c r="AZ957" s="75"/>
      <c r="BA957" s="2"/>
      <c r="BB957" s="2"/>
      <c r="BC957" s="2"/>
      <c r="BD957" s="2"/>
    </row>
    <row r="958" spans="1:56">
      <c r="A958" s="781">
        <v>2</v>
      </c>
      <c r="B958" s="782">
        <v>237</v>
      </c>
      <c r="C958" s="783">
        <v>45349</v>
      </c>
      <c r="D958" s="785" t="s">
        <v>224</v>
      </c>
      <c r="E958" s="808">
        <v>35600.25</v>
      </c>
      <c r="F958" s="799"/>
      <c r="G958" s="799"/>
      <c r="H958" s="1592">
        <f t="shared" si="42"/>
        <v>0</v>
      </c>
      <c r="I958" s="754" t="str">
        <f>IFERROR(VLOOKUP(B958,Mychart!$A$125:$B$911,2,FALSE),"-")</f>
        <v>HAMAD SAWUDI . IBTESAM</v>
      </c>
      <c r="J958" s="753">
        <f t="shared" si="43"/>
        <v>2</v>
      </c>
      <c r="K958" s="1540">
        <f t="shared" si="44"/>
        <v>2024</v>
      </c>
      <c r="L958" s="757"/>
      <c r="M958" s="757"/>
      <c r="N958" s="757"/>
      <c r="O958" s="757"/>
      <c r="P958" s="757"/>
      <c r="Q958" s="757"/>
      <c r="R958" s="757"/>
      <c r="S958" s="757"/>
      <c r="T958" s="757"/>
      <c r="U958" s="757"/>
      <c r="V958" s="757"/>
      <c r="W958" s="757"/>
      <c r="X958" s="757"/>
      <c r="Y958" s="757"/>
      <c r="Z958" s="757"/>
      <c r="AA958" s="757"/>
      <c r="AB958" s="757"/>
      <c r="AC958" s="757"/>
      <c r="AD958" s="757"/>
      <c r="AE958" s="757"/>
      <c r="AF958" s="757"/>
      <c r="AG958" s="757"/>
      <c r="AH958" s="757"/>
      <c r="AI958" s="757"/>
      <c r="AJ958" s="757"/>
      <c r="AK958" s="757"/>
      <c r="AL958" s="757"/>
      <c r="AM958" s="757"/>
      <c r="AN958" s="757"/>
      <c r="AO958" s="757"/>
      <c r="AP958" s="757"/>
      <c r="AQ958" s="757"/>
      <c r="AR958" s="757"/>
      <c r="AS958" s="757"/>
      <c r="AT958" s="757"/>
      <c r="AU958" s="757"/>
      <c r="AV958" s="757"/>
      <c r="AW958" s="757"/>
      <c r="AX958" s="757"/>
      <c r="AY958" s="757"/>
      <c r="AZ958" s="75"/>
      <c r="BA958" s="2"/>
      <c r="BB958" s="2"/>
      <c r="BC958" s="2"/>
      <c r="BD958" s="2"/>
    </row>
    <row r="959" spans="1:56">
      <c r="A959" s="781">
        <v>2</v>
      </c>
      <c r="B959" s="782">
        <v>237</v>
      </c>
      <c r="C959" s="783">
        <v>45349</v>
      </c>
      <c r="D959" s="785" t="s">
        <v>224</v>
      </c>
      <c r="E959" s="808">
        <v>16254</v>
      </c>
      <c r="F959" s="799"/>
      <c r="G959" s="799"/>
      <c r="H959" s="1592">
        <f t="shared" si="42"/>
        <v>0</v>
      </c>
      <c r="I959" s="754" t="str">
        <f>IFERROR(VLOOKUP(B959,Mychart!$A$125:$B$911,2,FALSE),"-")</f>
        <v>HAMAD SAWUDI . IBTESAM</v>
      </c>
      <c r="J959" s="753">
        <f t="shared" si="43"/>
        <v>2</v>
      </c>
      <c r="K959" s="1540">
        <f t="shared" si="44"/>
        <v>2024</v>
      </c>
      <c r="L959" s="757"/>
      <c r="M959" s="757"/>
      <c r="N959" s="757"/>
      <c r="O959" s="757"/>
      <c r="P959" s="757"/>
      <c r="Q959" s="757"/>
      <c r="R959" s="757"/>
      <c r="S959" s="757"/>
      <c r="T959" s="757"/>
      <c r="U959" s="757"/>
      <c r="V959" s="757"/>
      <c r="W959" s="757"/>
      <c r="X959" s="757"/>
      <c r="Y959" s="757"/>
      <c r="Z959" s="757"/>
      <c r="AA959" s="757"/>
      <c r="AB959" s="757"/>
      <c r="AC959" s="757"/>
      <c r="AD959" s="757"/>
      <c r="AE959" s="757"/>
      <c r="AF959" s="757"/>
      <c r="AG959" s="757"/>
      <c r="AH959" s="757"/>
      <c r="AI959" s="757"/>
      <c r="AJ959" s="757"/>
      <c r="AK959" s="757"/>
      <c r="AL959" s="757"/>
      <c r="AM959" s="757"/>
      <c r="AN959" s="757"/>
      <c r="AO959" s="757"/>
      <c r="AP959" s="757"/>
      <c r="AQ959" s="757"/>
      <c r="AR959" s="757"/>
      <c r="AS959" s="757"/>
      <c r="AT959" s="757"/>
      <c r="AU959" s="757"/>
      <c r="AV959" s="757"/>
      <c r="AW959" s="757"/>
      <c r="AX959" s="757"/>
      <c r="AY959" s="757"/>
      <c r="AZ959" s="75"/>
      <c r="BA959" s="2"/>
      <c r="BB959" s="2"/>
      <c r="BC959" s="2"/>
      <c r="BD959" s="2"/>
    </row>
    <row r="960" spans="1:56">
      <c r="A960" s="781">
        <v>2</v>
      </c>
      <c r="B960" s="782">
        <v>237</v>
      </c>
      <c r="C960" s="783">
        <v>45307</v>
      </c>
      <c r="D960" s="785" t="s">
        <v>224</v>
      </c>
      <c r="E960" s="808">
        <v>25877</v>
      </c>
      <c r="F960" s="799"/>
      <c r="G960" s="799"/>
      <c r="H960" s="1592">
        <f t="shared" si="42"/>
        <v>0</v>
      </c>
      <c r="I960" s="754" t="str">
        <f>IFERROR(VLOOKUP(B960,Mychart!$A$125:$B$911,2,FALSE),"-")</f>
        <v>HAMAD SAWUDI . IBTESAM</v>
      </c>
      <c r="J960" s="753">
        <f t="shared" si="43"/>
        <v>1</v>
      </c>
      <c r="K960" s="1540">
        <f t="shared" si="44"/>
        <v>2024</v>
      </c>
      <c r="L960" s="757"/>
      <c r="M960" s="757"/>
      <c r="N960" s="757"/>
      <c r="O960" s="757"/>
      <c r="P960" s="757"/>
      <c r="Q960" s="757"/>
      <c r="R960" s="757"/>
      <c r="S960" s="757"/>
      <c r="T960" s="757"/>
      <c r="U960" s="757"/>
      <c r="V960" s="757"/>
      <c r="W960" s="757"/>
      <c r="X960" s="757"/>
      <c r="Y960" s="757"/>
      <c r="Z960" s="757"/>
      <c r="AA960" s="757"/>
      <c r="AB960" s="757"/>
      <c r="AC960" s="757"/>
      <c r="AD960" s="757"/>
      <c r="AE960" s="757"/>
      <c r="AF960" s="757"/>
      <c r="AG960" s="757"/>
      <c r="AH960" s="757"/>
      <c r="AI960" s="757"/>
      <c r="AJ960" s="757"/>
      <c r="AK960" s="757"/>
      <c r="AL960" s="757"/>
      <c r="AM960" s="757"/>
      <c r="AN960" s="757"/>
      <c r="AO960" s="757"/>
      <c r="AP960" s="757"/>
      <c r="AQ960" s="757"/>
      <c r="AR960" s="757"/>
      <c r="AS960" s="757"/>
      <c r="AT960" s="757"/>
      <c r="AU960" s="757"/>
      <c r="AV960" s="757"/>
      <c r="AW960" s="757"/>
      <c r="AX960" s="757"/>
      <c r="AY960" s="757"/>
      <c r="AZ960" s="75"/>
      <c r="BA960" s="2"/>
      <c r="BB960" s="2"/>
      <c r="BC960" s="2"/>
      <c r="BD960" s="2"/>
    </row>
    <row r="961" spans="1:56">
      <c r="A961" s="781">
        <v>2</v>
      </c>
      <c r="B961" s="782">
        <v>237</v>
      </c>
      <c r="C961" s="783">
        <v>45376</v>
      </c>
      <c r="D961" s="785" t="s">
        <v>177</v>
      </c>
      <c r="E961" s="808">
        <v>2131.5</v>
      </c>
      <c r="F961" s="799"/>
      <c r="G961" s="799"/>
      <c r="H961" s="1592">
        <f t="shared" si="42"/>
        <v>0</v>
      </c>
      <c r="I961" s="754" t="str">
        <f>IFERROR(VLOOKUP(B961,Mychart!$A$125:$B$911,2,FALSE),"-")</f>
        <v>HAMAD SAWUDI . IBTESAM</v>
      </c>
      <c r="J961" s="753">
        <f t="shared" si="43"/>
        <v>3</v>
      </c>
      <c r="K961" s="1540">
        <f t="shared" si="44"/>
        <v>2024</v>
      </c>
      <c r="L961" s="757"/>
      <c r="M961" s="757"/>
      <c r="N961" s="757"/>
      <c r="O961" s="757"/>
      <c r="P961" s="757"/>
      <c r="Q961" s="757"/>
      <c r="R961" s="757"/>
      <c r="S961" s="757"/>
      <c r="T961" s="757"/>
      <c r="U961" s="757"/>
      <c r="V961" s="757"/>
      <c r="W961" s="757"/>
      <c r="X961" s="757"/>
      <c r="Y961" s="757"/>
      <c r="Z961" s="757"/>
      <c r="AA961" s="757"/>
      <c r="AB961" s="757"/>
      <c r="AC961" s="757"/>
      <c r="AD961" s="757"/>
      <c r="AE961" s="757"/>
      <c r="AF961" s="757"/>
      <c r="AG961" s="757"/>
      <c r="AH961" s="757"/>
      <c r="AI961" s="757"/>
      <c r="AJ961" s="757"/>
      <c r="AK961" s="757"/>
      <c r="AL961" s="757"/>
      <c r="AM961" s="757"/>
      <c r="AN961" s="757"/>
      <c r="AO961" s="757"/>
      <c r="AP961" s="757"/>
      <c r="AQ961" s="757"/>
      <c r="AR961" s="757"/>
      <c r="AS961" s="757"/>
      <c r="AT961" s="757"/>
      <c r="AU961" s="757"/>
      <c r="AV961" s="757"/>
      <c r="AW961" s="757"/>
      <c r="AX961" s="757"/>
      <c r="AY961" s="757"/>
      <c r="AZ961" s="75"/>
      <c r="BA961" s="2"/>
      <c r="BB961" s="2"/>
      <c r="BC961" s="2"/>
      <c r="BD961" s="2"/>
    </row>
    <row r="962" spans="1:56">
      <c r="A962" s="781">
        <v>2</v>
      </c>
      <c r="B962" s="782">
        <v>237</v>
      </c>
      <c r="C962" s="783">
        <v>45372</v>
      </c>
      <c r="D962" s="785" t="s">
        <v>224</v>
      </c>
      <c r="E962" s="808">
        <v>4452</v>
      </c>
      <c r="F962" s="799"/>
      <c r="G962" s="799"/>
      <c r="H962" s="1592">
        <f t="shared" si="42"/>
        <v>0</v>
      </c>
      <c r="I962" s="754" t="str">
        <f>IFERROR(VLOOKUP(B962,Mychart!$A$125:$B$911,2,FALSE),"-")</f>
        <v>HAMAD SAWUDI . IBTESAM</v>
      </c>
      <c r="J962" s="753">
        <f t="shared" si="43"/>
        <v>3</v>
      </c>
      <c r="K962" s="1540">
        <f t="shared" si="44"/>
        <v>2024</v>
      </c>
      <c r="L962" s="757"/>
      <c r="M962" s="757"/>
      <c r="N962" s="757"/>
      <c r="O962" s="757"/>
      <c r="P962" s="757"/>
      <c r="Q962" s="757"/>
      <c r="R962" s="757"/>
      <c r="S962" s="757"/>
      <c r="T962" s="757"/>
      <c r="U962" s="757"/>
      <c r="V962" s="757"/>
      <c r="W962" s="757"/>
      <c r="X962" s="757"/>
      <c r="Y962" s="757"/>
      <c r="Z962" s="757"/>
      <c r="AA962" s="757"/>
      <c r="AB962" s="757"/>
      <c r="AC962" s="757"/>
      <c r="AD962" s="757"/>
      <c r="AE962" s="757"/>
      <c r="AF962" s="757"/>
      <c r="AG962" s="757"/>
      <c r="AH962" s="757"/>
      <c r="AI962" s="757"/>
      <c r="AJ962" s="757"/>
      <c r="AK962" s="757"/>
      <c r="AL962" s="757"/>
      <c r="AM962" s="757"/>
      <c r="AN962" s="757"/>
      <c r="AO962" s="757"/>
      <c r="AP962" s="757"/>
      <c r="AQ962" s="757"/>
      <c r="AR962" s="757"/>
      <c r="AS962" s="757"/>
      <c r="AT962" s="757"/>
      <c r="AU962" s="757"/>
      <c r="AV962" s="757"/>
      <c r="AW962" s="757"/>
      <c r="AX962" s="757"/>
      <c r="AY962" s="757"/>
      <c r="AZ962" s="75"/>
      <c r="BA962" s="2"/>
      <c r="BB962" s="2"/>
      <c r="BC962" s="2"/>
      <c r="BD962" s="2"/>
    </row>
    <row r="963" spans="1:56">
      <c r="A963" s="781">
        <v>2</v>
      </c>
      <c r="B963" s="782">
        <v>237</v>
      </c>
      <c r="C963" s="783" t="s">
        <v>1024</v>
      </c>
      <c r="D963" s="785" t="s">
        <v>394</v>
      </c>
      <c r="E963" s="808">
        <v>1261</v>
      </c>
      <c r="F963" s="799"/>
      <c r="G963" s="799"/>
      <c r="H963" s="1592">
        <f t="shared" si="42"/>
        <v>0</v>
      </c>
      <c r="I963" s="754" t="str">
        <f>IFERROR(VLOOKUP(B963,Mychart!$A$125:$B$911,2,FALSE),"-")</f>
        <v>HAMAD SAWUDI . IBTESAM</v>
      </c>
      <c r="J963" s="753">
        <f t="shared" si="43"/>
        <v>12</v>
      </c>
      <c r="K963" s="1540">
        <f t="shared" si="44"/>
        <v>2023</v>
      </c>
      <c r="L963" s="757"/>
      <c r="M963" s="757"/>
      <c r="N963" s="757"/>
      <c r="O963" s="757"/>
      <c r="P963" s="757"/>
      <c r="Q963" s="757"/>
      <c r="R963" s="757"/>
      <c r="S963" s="757"/>
      <c r="T963" s="757"/>
      <c r="U963" s="757"/>
      <c r="V963" s="757"/>
      <c r="W963" s="757"/>
      <c r="X963" s="757"/>
      <c r="Y963" s="757"/>
      <c r="Z963" s="757"/>
      <c r="AA963" s="757"/>
      <c r="AB963" s="757"/>
      <c r="AC963" s="757"/>
      <c r="AD963" s="757"/>
      <c r="AE963" s="757"/>
      <c r="AF963" s="757"/>
      <c r="AG963" s="757"/>
      <c r="AH963" s="757"/>
      <c r="AI963" s="757"/>
      <c r="AJ963" s="757"/>
      <c r="AK963" s="757"/>
      <c r="AL963" s="757"/>
      <c r="AM963" s="757"/>
      <c r="AN963" s="757"/>
      <c r="AO963" s="757"/>
      <c r="AP963" s="757"/>
      <c r="AQ963" s="757"/>
      <c r="AR963" s="757"/>
      <c r="AS963" s="757"/>
      <c r="AT963" s="757"/>
      <c r="AU963" s="757"/>
      <c r="AV963" s="757"/>
      <c r="AW963" s="757"/>
      <c r="AX963" s="757"/>
      <c r="AY963" s="757"/>
      <c r="AZ963" s="75"/>
      <c r="BA963" s="2"/>
      <c r="BB963" s="2"/>
      <c r="BC963" s="2"/>
      <c r="BD963" s="2"/>
    </row>
    <row r="964" spans="1:56">
      <c r="A964" s="781">
        <v>1</v>
      </c>
      <c r="B964" s="782">
        <v>233</v>
      </c>
      <c r="C964" s="783">
        <v>45043</v>
      </c>
      <c r="D964" s="785" t="s">
        <v>757</v>
      </c>
      <c r="E964" s="808"/>
      <c r="F964" s="799">
        <v>34500</v>
      </c>
      <c r="G964" s="799">
        <v>1725</v>
      </c>
      <c r="H964" s="1592">
        <f t="shared" si="42"/>
        <v>36225</v>
      </c>
      <c r="I964" s="754" t="str">
        <f>IFERROR(VLOOKUP(B964,Mychart!$A$125:$B$911,2,FALSE),"-")</f>
        <v>MUBARAK . ARCHPIX</v>
      </c>
      <c r="J964" s="753">
        <f t="shared" si="43"/>
        <v>4</v>
      </c>
      <c r="K964" s="1540">
        <f t="shared" si="44"/>
        <v>2023</v>
      </c>
      <c r="L964" s="757"/>
      <c r="M964" s="757"/>
      <c r="N964" s="757"/>
      <c r="O964" s="757"/>
      <c r="P964" s="757"/>
      <c r="Q964" s="757"/>
      <c r="R964" s="757"/>
      <c r="S964" s="757"/>
      <c r="T964" s="757"/>
      <c r="U964" s="757"/>
      <c r="V964" s="757"/>
      <c r="W964" s="757"/>
      <c r="X964" s="757"/>
      <c r="Y964" s="757"/>
      <c r="Z964" s="757"/>
      <c r="AA964" s="757"/>
      <c r="AB964" s="757"/>
      <c r="AC964" s="757"/>
      <c r="AD964" s="757"/>
      <c r="AE964" s="757"/>
      <c r="AF964" s="757"/>
      <c r="AG964" s="757"/>
      <c r="AH964" s="757"/>
      <c r="AI964" s="757"/>
      <c r="AJ964" s="757"/>
      <c r="AK964" s="757"/>
      <c r="AL964" s="757"/>
      <c r="AM964" s="757"/>
      <c r="AN964" s="757"/>
      <c r="AO964" s="757"/>
      <c r="AP964" s="757"/>
      <c r="AQ964" s="757"/>
      <c r="AR964" s="757"/>
      <c r="AS964" s="757"/>
      <c r="AT964" s="757"/>
      <c r="AU964" s="757"/>
      <c r="AV964" s="757"/>
      <c r="AW964" s="757"/>
      <c r="AX964" s="757"/>
      <c r="AY964" s="757"/>
      <c r="AZ964" s="75"/>
      <c r="BA964" s="2"/>
      <c r="BB964" s="2"/>
      <c r="BC964" s="2"/>
      <c r="BD964" s="2"/>
    </row>
    <row r="965" spans="1:56">
      <c r="A965" s="781">
        <v>1</v>
      </c>
      <c r="B965" s="782">
        <v>233</v>
      </c>
      <c r="C965" s="783">
        <v>45222</v>
      </c>
      <c r="D965" s="785" t="s">
        <v>1025</v>
      </c>
      <c r="E965" s="808"/>
      <c r="F965" s="799">
        <v>92000</v>
      </c>
      <c r="G965" s="799">
        <v>4600</v>
      </c>
      <c r="H965" s="1592">
        <f t="shared" si="42"/>
        <v>96600</v>
      </c>
      <c r="I965" s="754" t="str">
        <f>IFERROR(VLOOKUP(B965,Mychart!$A$125:$B$911,2,FALSE),"-")</f>
        <v>MUBARAK . ARCHPIX</v>
      </c>
      <c r="J965" s="753">
        <f t="shared" si="43"/>
        <v>10</v>
      </c>
      <c r="K965" s="1540">
        <f t="shared" si="44"/>
        <v>2023</v>
      </c>
      <c r="L965" s="757"/>
      <c r="M965" s="757"/>
      <c r="N965" s="757"/>
      <c r="O965" s="757"/>
      <c r="P965" s="757"/>
      <c r="Q965" s="757"/>
      <c r="R965" s="757"/>
      <c r="S965" s="757"/>
      <c r="T965" s="757"/>
      <c r="U965" s="757"/>
      <c r="V965" s="757"/>
      <c r="W965" s="757"/>
      <c r="X965" s="757"/>
      <c r="Y965" s="757"/>
      <c r="Z965" s="757"/>
      <c r="AA965" s="757"/>
      <c r="AB965" s="757"/>
      <c r="AC965" s="757"/>
      <c r="AD965" s="757"/>
      <c r="AE965" s="757"/>
      <c r="AF965" s="757"/>
      <c r="AG965" s="757"/>
      <c r="AH965" s="757"/>
      <c r="AI965" s="757"/>
      <c r="AJ965" s="757"/>
      <c r="AK965" s="757"/>
      <c r="AL965" s="757"/>
      <c r="AM965" s="757"/>
      <c r="AN965" s="757"/>
      <c r="AO965" s="757"/>
      <c r="AP965" s="757"/>
      <c r="AQ965" s="757"/>
      <c r="AR965" s="757"/>
      <c r="AS965" s="757"/>
      <c r="AT965" s="757"/>
      <c r="AU965" s="757"/>
      <c r="AV965" s="757"/>
      <c r="AW965" s="757"/>
      <c r="AX965" s="757"/>
      <c r="AY965" s="757"/>
      <c r="AZ965" s="75"/>
      <c r="BA965" s="2"/>
      <c r="BB965" s="2"/>
      <c r="BC965" s="2"/>
      <c r="BD965" s="2"/>
    </row>
    <row r="966" spans="1:56">
      <c r="A966" s="781">
        <v>1</v>
      </c>
      <c r="B966" s="782">
        <v>233</v>
      </c>
      <c r="C966" s="783">
        <v>45342</v>
      </c>
      <c r="D966" s="785" t="s">
        <v>759</v>
      </c>
      <c r="E966" s="808"/>
      <c r="F966" s="799">
        <v>83904</v>
      </c>
      <c r="G966" s="799">
        <v>4195.2</v>
      </c>
      <c r="H966" s="1592">
        <f t="shared" si="42"/>
        <v>88099.199999999997</v>
      </c>
      <c r="I966" s="754" t="str">
        <f>IFERROR(VLOOKUP(B966,Mychart!$A$125:$B$911,2,FALSE),"-")</f>
        <v>MUBARAK . ARCHPIX</v>
      </c>
      <c r="J966" s="753">
        <f t="shared" si="43"/>
        <v>2</v>
      </c>
      <c r="K966" s="1540">
        <f t="shared" si="44"/>
        <v>2024</v>
      </c>
      <c r="L966" s="757"/>
      <c r="M966" s="757"/>
      <c r="N966" s="757"/>
      <c r="O966" s="757"/>
      <c r="P966" s="757"/>
      <c r="Q966" s="757"/>
      <c r="R966" s="757"/>
      <c r="S966" s="757"/>
      <c r="T966" s="757"/>
      <c r="U966" s="757"/>
      <c r="V966" s="757"/>
      <c r="W966" s="757"/>
      <c r="X966" s="757"/>
      <c r="Y966" s="757"/>
      <c r="Z966" s="757"/>
      <c r="AA966" s="757"/>
      <c r="AB966" s="757"/>
      <c r="AC966" s="757"/>
      <c r="AD966" s="757"/>
      <c r="AE966" s="757"/>
      <c r="AF966" s="757"/>
      <c r="AG966" s="757"/>
      <c r="AH966" s="757"/>
      <c r="AI966" s="757"/>
      <c r="AJ966" s="757"/>
      <c r="AK966" s="757"/>
      <c r="AL966" s="757"/>
      <c r="AM966" s="757"/>
      <c r="AN966" s="757"/>
      <c r="AO966" s="757"/>
      <c r="AP966" s="757"/>
      <c r="AQ966" s="757"/>
      <c r="AR966" s="757"/>
      <c r="AS966" s="757"/>
      <c r="AT966" s="757"/>
      <c r="AU966" s="757"/>
      <c r="AV966" s="757"/>
      <c r="AW966" s="757"/>
      <c r="AX966" s="757"/>
      <c r="AY966" s="757"/>
      <c r="AZ966" s="75"/>
      <c r="BA966" s="2"/>
      <c r="BB966" s="2"/>
      <c r="BC966" s="2"/>
      <c r="BD966" s="2"/>
    </row>
    <row r="967" spans="1:56">
      <c r="A967" s="781">
        <v>2</v>
      </c>
      <c r="B967" s="782">
        <v>233</v>
      </c>
      <c r="C967" s="783">
        <v>45043</v>
      </c>
      <c r="D967" s="785" t="s">
        <v>1026</v>
      </c>
      <c r="E967" s="808">
        <v>3000</v>
      </c>
      <c r="F967" s="799"/>
      <c r="G967" s="799"/>
      <c r="H967" s="1592">
        <f t="shared" si="42"/>
        <v>0</v>
      </c>
      <c r="I967" s="754" t="str">
        <f>IFERROR(VLOOKUP(B967,Mychart!$A$125:$B$911,2,FALSE),"-")</f>
        <v>MUBARAK . ARCHPIX</v>
      </c>
      <c r="J967" s="753">
        <f t="shared" si="43"/>
        <v>4</v>
      </c>
      <c r="K967" s="1540">
        <f t="shared" si="44"/>
        <v>2023</v>
      </c>
      <c r="L967" s="757"/>
      <c r="M967" s="757"/>
      <c r="N967" s="757"/>
      <c r="O967" s="757"/>
      <c r="P967" s="757"/>
      <c r="Q967" s="757"/>
      <c r="R967" s="757"/>
      <c r="S967" s="757"/>
      <c r="T967" s="757"/>
      <c r="U967" s="757"/>
      <c r="V967" s="757"/>
      <c r="W967" s="757"/>
      <c r="X967" s="757"/>
      <c r="Y967" s="757"/>
      <c r="Z967" s="757"/>
      <c r="AA967" s="757"/>
      <c r="AB967" s="757"/>
      <c r="AC967" s="757"/>
      <c r="AD967" s="757"/>
      <c r="AE967" s="757"/>
      <c r="AF967" s="757"/>
      <c r="AG967" s="757"/>
      <c r="AH967" s="757"/>
      <c r="AI967" s="757"/>
      <c r="AJ967" s="757"/>
      <c r="AK967" s="757"/>
      <c r="AL967" s="757"/>
      <c r="AM967" s="757"/>
      <c r="AN967" s="757"/>
      <c r="AO967" s="757"/>
      <c r="AP967" s="757"/>
      <c r="AQ967" s="757"/>
      <c r="AR967" s="757"/>
      <c r="AS967" s="757"/>
      <c r="AT967" s="757"/>
      <c r="AU967" s="757"/>
      <c r="AV967" s="757"/>
      <c r="AW967" s="757"/>
      <c r="AX967" s="757"/>
      <c r="AY967" s="757"/>
      <c r="AZ967" s="75"/>
      <c r="BA967" s="2"/>
      <c r="BB967" s="2"/>
      <c r="BC967" s="2"/>
      <c r="BD967" s="2"/>
    </row>
    <row r="968" spans="1:56">
      <c r="A968" s="781">
        <v>2</v>
      </c>
      <c r="B968" s="782">
        <v>233</v>
      </c>
      <c r="C968" s="783">
        <v>45043</v>
      </c>
      <c r="D968" s="785" t="s">
        <v>1027</v>
      </c>
      <c r="E968" s="808">
        <v>12075</v>
      </c>
      <c r="F968" s="799"/>
      <c r="G968" s="799"/>
      <c r="H968" s="1592">
        <f t="shared" si="42"/>
        <v>0</v>
      </c>
      <c r="I968" s="754" t="str">
        <f>IFERROR(VLOOKUP(B968,Mychart!$A$125:$B$911,2,FALSE),"-")</f>
        <v>MUBARAK . ARCHPIX</v>
      </c>
      <c r="J968" s="753">
        <f t="shared" si="43"/>
        <v>4</v>
      </c>
      <c r="K968" s="1540">
        <f t="shared" si="44"/>
        <v>2023</v>
      </c>
      <c r="L968" s="757"/>
      <c r="M968" s="757"/>
      <c r="N968" s="757"/>
      <c r="O968" s="757"/>
      <c r="P968" s="757"/>
      <c r="Q968" s="757"/>
      <c r="R968" s="757"/>
      <c r="S968" s="757"/>
      <c r="T968" s="757"/>
      <c r="U968" s="757"/>
      <c r="V968" s="757"/>
      <c r="W968" s="757"/>
      <c r="X968" s="757"/>
      <c r="Y968" s="757"/>
      <c r="Z968" s="757"/>
      <c r="AA968" s="757"/>
      <c r="AB968" s="757"/>
      <c r="AC968" s="757"/>
      <c r="AD968" s="757"/>
      <c r="AE968" s="757"/>
      <c r="AF968" s="757"/>
      <c r="AG968" s="757"/>
      <c r="AH968" s="757"/>
      <c r="AI968" s="757"/>
      <c r="AJ968" s="757"/>
      <c r="AK968" s="757"/>
      <c r="AL968" s="757"/>
      <c r="AM968" s="757"/>
      <c r="AN968" s="757"/>
      <c r="AO968" s="757"/>
      <c r="AP968" s="757"/>
      <c r="AQ968" s="757"/>
      <c r="AR968" s="757"/>
      <c r="AS968" s="757"/>
      <c r="AT968" s="757"/>
      <c r="AU968" s="757"/>
      <c r="AV968" s="757"/>
      <c r="AW968" s="757"/>
      <c r="AX968" s="757"/>
      <c r="AY968" s="757"/>
      <c r="AZ968" s="75"/>
      <c r="BA968" s="2"/>
      <c r="BB968" s="2"/>
      <c r="BC968" s="2"/>
      <c r="BD968" s="2"/>
    </row>
    <row r="969" spans="1:56">
      <c r="A969" s="781">
        <v>2</v>
      </c>
      <c r="B969" s="782">
        <v>233</v>
      </c>
      <c r="C969" s="783"/>
      <c r="D969" s="785" t="s">
        <v>421</v>
      </c>
      <c r="E969" s="808">
        <v>500</v>
      </c>
      <c r="F969" s="799"/>
      <c r="G969" s="799"/>
      <c r="H969" s="1592">
        <f t="shared" si="42"/>
        <v>0</v>
      </c>
      <c r="I969" s="754" t="str">
        <f>IFERROR(VLOOKUP(B969,Mychart!$A$125:$B$911,2,FALSE),"-")</f>
        <v>MUBARAK . ARCHPIX</v>
      </c>
      <c r="J969" s="753" t="str">
        <f t="shared" si="43"/>
        <v>-</v>
      </c>
      <c r="K969" s="1540">
        <f t="shared" si="44"/>
        <v>1900</v>
      </c>
      <c r="L969" s="757"/>
      <c r="M969" s="757"/>
      <c r="N969" s="757"/>
      <c r="O969" s="757"/>
      <c r="P969" s="757"/>
      <c r="Q969" s="757"/>
      <c r="R969" s="757"/>
      <c r="S969" s="757"/>
      <c r="T969" s="757"/>
      <c r="U969" s="757"/>
      <c r="V969" s="757"/>
      <c r="W969" s="757"/>
      <c r="X969" s="757"/>
      <c r="Y969" s="757"/>
      <c r="Z969" s="757"/>
      <c r="AA969" s="757"/>
      <c r="AB969" s="757"/>
      <c r="AC969" s="757"/>
      <c r="AD969" s="757"/>
      <c r="AE969" s="757"/>
      <c r="AF969" s="757"/>
      <c r="AG969" s="757"/>
      <c r="AH969" s="757"/>
      <c r="AI969" s="757"/>
      <c r="AJ969" s="757"/>
      <c r="AK969" s="757"/>
      <c r="AL969" s="757"/>
      <c r="AM969" s="757"/>
      <c r="AN969" s="757"/>
      <c r="AO969" s="757"/>
      <c r="AP969" s="757"/>
      <c r="AQ969" s="757"/>
      <c r="AR969" s="757"/>
      <c r="AS969" s="757"/>
      <c r="AT969" s="757"/>
      <c r="AU969" s="757"/>
      <c r="AV969" s="757"/>
      <c r="AW969" s="757"/>
      <c r="AX969" s="757"/>
      <c r="AY969" s="757"/>
      <c r="AZ969" s="75"/>
      <c r="BA969" s="2"/>
      <c r="BB969" s="2"/>
      <c r="BC969" s="2"/>
      <c r="BD969" s="2"/>
    </row>
    <row r="970" spans="1:56">
      <c r="A970" s="781">
        <v>2</v>
      </c>
      <c r="B970" s="782">
        <v>233</v>
      </c>
      <c r="C970" s="783"/>
      <c r="D970" s="785" t="s">
        <v>258</v>
      </c>
      <c r="E970" s="808">
        <v>6985</v>
      </c>
      <c r="F970" s="799"/>
      <c r="G970" s="799"/>
      <c r="H970" s="1592">
        <f t="shared" si="42"/>
        <v>0</v>
      </c>
      <c r="I970" s="754" t="str">
        <f>IFERROR(VLOOKUP(B970,Mychart!$A$125:$B$911,2,FALSE),"-")</f>
        <v>MUBARAK . ARCHPIX</v>
      </c>
      <c r="J970" s="753" t="str">
        <f t="shared" si="43"/>
        <v>-</v>
      </c>
      <c r="K970" s="1540">
        <f t="shared" si="44"/>
        <v>1900</v>
      </c>
      <c r="L970" s="757"/>
      <c r="M970" s="757"/>
      <c r="N970" s="757"/>
      <c r="O970" s="757"/>
      <c r="P970" s="757"/>
      <c r="Q970" s="757"/>
      <c r="R970" s="757"/>
      <c r="S970" s="757"/>
      <c r="T970" s="757"/>
      <c r="U970" s="757"/>
      <c r="V970" s="757"/>
      <c r="W970" s="757"/>
      <c r="X970" s="757"/>
      <c r="Y970" s="757"/>
      <c r="Z970" s="757"/>
      <c r="AA970" s="757"/>
      <c r="AB970" s="757"/>
      <c r="AC970" s="757"/>
      <c r="AD970" s="757"/>
      <c r="AE970" s="757"/>
      <c r="AF970" s="757"/>
      <c r="AG970" s="757"/>
      <c r="AH970" s="757"/>
      <c r="AI970" s="757"/>
      <c r="AJ970" s="757"/>
      <c r="AK970" s="757"/>
      <c r="AL970" s="757"/>
      <c r="AM970" s="757"/>
      <c r="AN970" s="757"/>
      <c r="AO970" s="757"/>
      <c r="AP970" s="757"/>
      <c r="AQ970" s="757"/>
      <c r="AR970" s="757"/>
      <c r="AS970" s="757"/>
      <c r="AT970" s="757"/>
      <c r="AU970" s="757"/>
      <c r="AV970" s="757"/>
      <c r="AW970" s="757"/>
      <c r="AX970" s="757"/>
      <c r="AY970" s="757"/>
      <c r="AZ970" s="75"/>
      <c r="BA970" s="2"/>
      <c r="BB970" s="2"/>
      <c r="BC970" s="2"/>
      <c r="BD970" s="2"/>
    </row>
    <row r="971" spans="1:56">
      <c r="A971" s="781">
        <v>2</v>
      </c>
      <c r="B971" s="782">
        <v>233</v>
      </c>
      <c r="C971" s="783"/>
      <c r="D971" s="785" t="s">
        <v>177</v>
      </c>
      <c r="E971" s="808">
        <v>6317</v>
      </c>
      <c r="F971" s="799"/>
      <c r="G971" s="799"/>
      <c r="H971" s="1592">
        <f t="shared" ref="H971:H1034" si="45">F971+G971</f>
        <v>0</v>
      </c>
      <c r="I971" s="754" t="str">
        <f>IFERROR(VLOOKUP(B971,Mychart!$A$125:$B$911,2,FALSE),"-")</f>
        <v>MUBARAK . ARCHPIX</v>
      </c>
      <c r="J971" s="753" t="str">
        <f t="shared" ref="J971:J1034" si="46">IF(C971&lt;&gt;"", MONTH(C971),"-")</f>
        <v>-</v>
      </c>
      <c r="K971" s="1540">
        <f t="shared" ref="K971:K1034" si="47">YEAR(C971)</f>
        <v>1900</v>
      </c>
      <c r="L971" s="757"/>
      <c r="M971" s="757"/>
      <c r="N971" s="757"/>
      <c r="O971" s="757"/>
      <c r="P971" s="757"/>
      <c r="Q971" s="757"/>
      <c r="R971" s="757"/>
      <c r="S971" s="757"/>
      <c r="T971" s="757"/>
      <c r="U971" s="757"/>
      <c r="V971" s="757"/>
      <c r="W971" s="757"/>
      <c r="X971" s="757"/>
      <c r="Y971" s="757"/>
      <c r="Z971" s="757"/>
      <c r="AA971" s="757"/>
      <c r="AB971" s="757"/>
      <c r="AC971" s="757"/>
      <c r="AD971" s="757"/>
      <c r="AE971" s="757"/>
      <c r="AF971" s="757"/>
      <c r="AG971" s="757"/>
      <c r="AH971" s="757"/>
      <c r="AI971" s="757"/>
      <c r="AJ971" s="757"/>
      <c r="AK971" s="757"/>
      <c r="AL971" s="757"/>
      <c r="AM971" s="757"/>
      <c r="AN971" s="757"/>
      <c r="AO971" s="757"/>
      <c r="AP971" s="757"/>
      <c r="AQ971" s="757"/>
      <c r="AR971" s="757"/>
      <c r="AS971" s="757"/>
      <c r="AT971" s="757"/>
      <c r="AU971" s="757"/>
      <c r="AV971" s="757"/>
      <c r="AW971" s="757"/>
      <c r="AX971" s="757"/>
      <c r="AY971" s="757"/>
      <c r="AZ971" s="75"/>
      <c r="BA971" s="2"/>
      <c r="BB971" s="2"/>
      <c r="BC971" s="2"/>
      <c r="BD971" s="2"/>
    </row>
    <row r="972" spans="1:56">
      <c r="A972" s="781">
        <v>2</v>
      </c>
      <c r="B972" s="782">
        <v>233</v>
      </c>
      <c r="C972" s="783"/>
      <c r="D972" s="785" t="s">
        <v>177</v>
      </c>
      <c r="E972" s="808">
        <v>88</v>
      </c>
      <c r="F972" s="799"/>
      <c r="G972" s="799"/>
      <c r="H972" s="1592">
        <f t="shared" si="45"/>
        <v>0</v>
      </c>
      <c r="I972" s="754" t="str">
        <f>IFERROR(VLOOKUP(B972,Mychart!$A$125:$B$911,2,FALSE),"-")</f>
        <v>MUBARAK . ARCHPIX</v>
      </c>
      <c r="J972" s="753" t="str">
        <f t="shared" si="46"/>
        <v>-</v>
      </c>
      <c r="K972" s="1540">
        <f t="shared" si="47"/>
        <v>1900</v>
      </c>
      <c r="L972" s="757"/>
      <c r="M972" s="757"/>
      <c r="N972" s="757"/>
      <c r="O972" s="757"/>
      <c r="P972" s="757"/>
      <c r="Q972" s="757"/>
      <c r="R972" s="757"/>
      <c r="S972" s="757"/>
      <c r="T972" s="757"/>
      <c r="U972" s="757"/>
      <c r="V972" s="757"/>
      <c r="W972" s="757"/>
      <c r="X972" s="757"/>
      <c r="Y972" s="757"/>
      <c r="Z972" s="757"/>
      <c r="AA972" s="757"/>
      <c r="AB972" s="757"/>
      <c r="AC972" s="757"/>
      <c r="AD972" s="757"/>
      <c r="AE972" s="757"/>
      <c r="AF972" s="757"/>
      <c r="AG972" s="757"/>
      <c r="AH972" s="757"/>
      <c r="AI972" s="757"/>
      <c r="AJ972" s="757"/>
      <c r="AK972" s="757"/>
      <c r="AL972" s="757"/>
      <c r="AM972" s="757"/>
      <c r="AN972" s="757"/>
      <c r="AO972" s="757"/>
      <c r="AP972" s="757"/>
      <c r="AQ972" s="757"/>
      <c r="AR972" s="757"/>
      <c r="AS972" s="757"/>
      <c r="AT972" s="757"/>
      <c r="AU972" s="757"/>
      <c r="AV972" s="757"/>
      <c r="AW972" s="757"/>
      <c r="AX972" s="757"/>
      <c r="AY972" s="757"/>
      <c r="AZ972" s="75"/>
      <c r="BA972" s="2"/>
      <c r="BB972" s="2"/>
      <c r="BC972" s="2"/>
      <c r="BD972" s="2"/>
    </row>
    <row r="973" spans="1:56">
      <c r="A973" s="781">
        <v>2</v>
      </c>
      <c r="B973" s="782">
        <v>233</v>
      </c>
      <c r="C973" s="783"/>
      <c r="D973" s="785" t="s">
        <v>177</v>
      </c>
      <c r="E973" s="808">
        <v>83</v>
      </c>
      <c r="F973" s="799"/>
      <c r="G973" s="799"/>
      <c r="H973" s="1592">
        <f t="shared" si="45"/>
        <v>0</v>
      </c>
      <c r="I973" s="754" t="str">
        <f>IFERROR(VLOOKUP(B973,Mychart!$A$125:$B$911,2,FALSE),"-")</f>
        <v>MUBARAK . ARCHPIX</v>
      </c>
      <c r="J973" s="753" t="str">
        <f t="shared" si="46"/>
        <v>-</v>
      </c>
      <c r="K973" s="1540">
        <f t="shared" si="47"/>
        <v>1900</v>
      </c>
      <c r="L973" s="757"/>
      <c r="M973" s="757"/>
      <c r="N973" s="757"/>
      <c r="O973" s="757"/>
      <c r="P973" s="757"/>
      <c r="Q973" s="757"/>
      <c r="R973" s="757"/>
      <c r="S973" s="757"/>
      <c r="T973" s="757"/>
      <c r="U973" s="757"/>
      <c r="V973" s="757"/>
      <c r="W973" s="757"/>
      <c r="X973" s="757"/>
      <c r="Y973" s="757"/>
      <c r="Z973" s="757"/>
      <c r="AA973" s="757"/>
      <c r="AB973" s="757"/>
      <c r="AC973" s="757"/>
      <c r="AD973" s="757"/>
      <c r="AE973" s="757"/>
      <c r="AF973" s="757"/>
      <c r="AG973" s="757"/>
      <c r="AH973" s="757"/>
      <c r="AI973" s="757"/>
      <c r="AJ973" s="757"/>
      <c r="AK973" s="757"/>
      <c r="AL973" s="757"/>
      <c r="AM973" s="757"/>
      <c r="AN973" s="757"/>
      <c r="AO973" s="757"/>
      <c r="AP973" s="757"/>
      <c r="AQ973" s="757"/>
      <c r="AR973" s="757"/>
      <c r="AS973" s="757"/>
      <c r="AT973" s="757"/>
      <c r="AU973" s="757"/>
      <c r="AV973" s="757"/>
      <c r="AW973" s="757"/>
      <c r="AX973" s="757"/>
      <c r="AY973" s="757"/>
      <c r="AZ973" s="75"/>
      <c r="BA973" s="2"/>
      <c r="BB973" s="2"/>
      <c r="BC973" s="2"/>
      <c r="BD973" s="2"/>
    </row>
    <row r="974" spans="1:56">
      <c r="A974" s="781">
        <v>2</v>
      </c>
      <c r="B974" s="782">
        <v>233</v>
      </c>
      <c r="C974" s="783"/>
      <c r="D974" s="785" t="s">
        <v>224</v>
      </c>
      <c r="E974" s="808">
        <v>40913</v>
      </c>
      <c r="F974" s="799"/>
      <c r="G974" s="799"/>
      <c r="H974" s="1592">
        <f t="shared" si="45"/>
        <v>0</v>
      </c>
      <c r="I974" s="754" t="str">
        <f>IFERROR(VLOOKUP(B974,Mychart!$A$125:$B$911,2,FALSE),"-")</f>
        <v>MUBARAK . ARCHPIX</v>
      </c>
      <c r="J974" s="753" t="str">
        <f t="shared" si="46"/>
        <v>-</v>
      </c>
      <c r="K974" s="1540">
        <f t="shared" si="47"/>
        <v>1900</v>
      </c>
      <c r="L974" s="757"/>
      <c r="M974" s="757"/>
      <c r="N974" s="757"/>
      <c r="O974" s="757"/>
      <c r="P974" s="757"/>
      <c r="Q974" s="757"/>
      <c r="R974" s="757"/>
      <c r="S974" s="757"/>
      <c r="T974" s="757"/>
      <c r="U974" s="757"/>
      <c r="V974" s="757"/>
      <c r="W974" s="757"/>
      <c r="X974" s="757"/>
      <c r="Y974" s="757"/>
      <c r="Z974" s="757"/>
      <c r="AA974" s="757"/>
      <c r="AB974" s="757"/>
      <c r="AC974" s="757"/>
      <c r="AD974" s="757"/>
      <c r="AE974" s="757"/>
      <c r="AF974" s="757"/>
      <c r="AG974" s="757"/>
      <c r="AH974" s="757"/>
      <c r="AI974" s="757"/>
      <c r="AJ974" s="757"/>
      <c r="AK974" s="757"/>
      <c r="AL974" s="757"/>
      <c r="AM974" s="757"/>
      <c r="AN974" s="757"/>
      <c r="AO974" s="757"/>
      <c r="AP974" s="757"/>
      <c r="AQ974" s="757"/>
      <c r="AR974" s="757"/>
      <c r="AS974" s="757"/>
      <c r="AT974" s="757"/>
      <c r="AU974" s="757"/>
      <c r="AV974" s="757"/>
      <c r="AW974" s="757"/>
      <c r="AX974" s="757"/>
      <c r="AY974" s="757"/>
      <c r="AZ974" s="75"/>
      <c r="BA974" s="2"/>
      <c r="BB974" s="2"/>
      <c r="BC974" s="2"/>
      <c r="BD974" s="2"/>
    </row>
    <row r="975" spans="1:56">
      <c r="A975" s="781">
        <v>2</v>
      </c>
      <c r="B975" s="782">
        <v>233</v>
      </c>
      <c r="C975" s="783"/>
      <c r="D975" s="785" t="s">
        <v>177</v>
      </c>
      <c r="E975" s="808">
        <v>5766</v>
      </c>
      <c r="F975" s="799"/>
      <c r="G975" s="799"/>
      <c r="H975" s="1592">
        <f t="shared" si="45"/>
        <v>0</v>
      </c>
      <c r="I975" s="754" t="str">
        <f>IFERROR(VLOOKUP(B975,Mychart!$A$125:$B$911,2,FALSE),"-")</f>
        <v>MUBARAK . ARCHPIX</v>
      </c>
      <c r="J975" s="753" t="str">
        <f t="shared" si="46"/>
        <v>-</v>
      </c>
      <c r="K975" s="1540">
        <f t="shared" si="47"/>
        <v>1900</v>
      </c>
      <c r="L975" s="757"/>
      <c r="M975" s="757"/>
      <c r="N975" s="757"/>
      <c r="O975" s="757"/>
      <c r="P975" s="757"/>
      <c r="Q975" s="757"/>
      <c r="R975" s="757"/>
      <c r="S975" s="757"/>
      <c r="T975" s="757"/>
      <c r="U975" s="757"/>
      <c r="V975" s="757"/>
      <c r="W975" s="757"/>
      <c r="X975" s="757"/>
      <c r="Y975" s="757"/>
      <c r="Z975" s="757"/>
      <c r="AA975" s="757"/>
      <c r="AB975" s="757"/>
      <c r="AC975" s="757"/>
      <c r="AD975" s="757"/>
      <c r="AE975" s="757"/>
      <c r="AF975" s="757"/>
      <c r="AG975" s="757"/>
      <c r="AH975" s="757"/>
      <c r="AI975" s="757"/>
      <c r="AJ975" s="757"/>
      <c r="AK975" s="757"/>
      <c r="AL975" s="757"/>
      <c r="AM975" s="757"/>
      <c r="AN975" s="757"/>
      <c r="AO975" s="757"/>
      <c r="AP975" s="757"/>
      <c r="AQ975" s="757"/>
      <c r="AR975" s="757"/>
      <c r="AS975" s="757"/>
      <c r="AT975" s="757"/>
      <c r="AU975" s="757"/>
      <c r="AV975" s="757"/>
      <c r="AW975" s="757"/>
      <c r="AX975" s="757"/>
      <c r="AY975" s="757"/>
      <c r="AZ975" s="75"/>
      <c r="BA975" s="2"/>
      <c r="BB975" s="2"/>
      <c r="BC975" s="2"/>
      <c r="BD975" s="2"/>
    </row>
    <row r="976" spans="1:56">
      <c r="A976" s="781">
        <v>2</v>
      </c>
      <c r="B976" s="782">
        <v>233</v>
      </c>
      <c r="C976" s="783"/>
      <c r="D976" s="785" t="s">
        <v>380</v>
      </c>
      <c r="E976" s="808">
        <v>689.72</v>
      </c>
      <c r="F976" s="799"/>
      <c r="G976" s="799"/>
      <c r="H976" s="1592">
        <f t="shared" si="45"/>
        <v>0</v>
      </c>
      <c r="I976" s="754" t="str">
        <f>IFERROR(VLOOKUP(B976,Mychart!$A$125:$B$911,2,FALSE),"-")</f>
        <v>MUBARAK . ARCHPIX</v>
      </c>
      <c r="J976" s="753" t="str">
        <f t="shared" si="46"/>
        <v>-</v>
      </c>
      <c r="K976" s="1540">
        <f t="shared" si="47"/>
        <v>1900</v>
      </c>
      <c r="L976" s="757"/>
      <c r="M976" s="757"/>
      <c r="N976" s="757"/>
      <c r="O976" s="757"/>
      <c r="P976" s="757"/>
      <c r="Q976" s="757"/>
      <c r="R976" s="757"/>
      <c r="S976" s="757"/>
      <c r="T976" s="757"/>
      <c r="U976" s="757"/>
      <c r="V976" s="757"/>
      <c r="W976" s="757"/>
      <c r="X976" s="757"/>
      <c r="Y976" s="757"/>
      <c r="Z976" s="757"/>
      <c r="AA976" s="757"/>
      <c r="AB976" s="757"/>
      <c r="AC976" s="757"/>
      <c r="AD976" s="757"/>
      <c r="AE976" s="757"/>
      <c r="AF976" s="757"/>
      <c r="AG976" s="757"/>
      <c r="AH976" s="757"/>
      <c r="AI976" s="757"/>
      <c r="AJ976" s="757"/>
      <c r="AK976" s="757"/>
      <c r="AL976" s="757"/>
      <c r="AM976" s="757"/>
      <c r="AN976" s="757"/>
      <c r="AO976" s="757"/>
      <c r="AP976" s="757"/>
      <c r="AQ976" s="757"/>
      <c r="AR976" s="757"/>
      <c r="AS976" s="757"/>
      <c r="AT976" s="757"/>
      <c r="AU976" s="757"/>
      <c r="AV976" s="757"/>
      <c r="AW976" s="757"/>
      <c r="AX976" s="757"/>
      <c r="AY976" s="757"/>
      <c r="AZ976" s="75"/>
      <c r="BA976" s="2"/>
      <c r="BB976" s="2"/>
      <c r="BC976" s="2"/>
      <c r="BD976" s="2"/>
    </row>
    <row r="977" spans="1:56">
      <c r="A977" s="781">
        <v>2</v>
      </c>
      <c r="B977" s="782">
        <v>233</v>
      </c>
      <c r="C977" s="783">
        <v>45260</v>
      </c>
      <c r="D977" s="785" t="s">
        <v>177</v>
      </c>
      <c r="E977" s="808">
        <v>2773</v>
      </c>
      <c r="F977" s="799"/>
      <c r="G977" s="799"/>
      <c r="H977" s="1592">
        <f t="shared" si="45"/>
        <v>0</v>
      </c>
      <c r="I977" s="754" t="str">
        <f>IFERROR(VLOOKUP(B977,Mychart!$A$125:$B$911,2,FALSE),"-")</f>
        <v>MUBARAK . ARCHPIX</v>
      </c>
      <c r="J977" s="753">
        <f t="shared" si="46"/>
        <v>11</v>
      </c>
      <c r="K977" s="1540">
        <f t="shared" si="47"/>
        <v>2023</v>
      </c>
      <c r="L977" s="757"/>
      <c r="M977" s="757"/>
      <c r="N977" s="757"/>
      <c r="O977" s="757"/>
      <c r="P977" s="757"/>
      <c r="Q977" s="757"/>
      <c r="R977" s="757"/>
      <c r="S977" s="757"/>
      <c r="T977" s="757"/>
      <c r="U977" s="757"/>
      <c r="V977" s="757"/>
      <c r="W977" s="757"/>
      <c r="X977" s="757"/>
      <c r="Y977" s="757"/>
      <c r="Z977" s="757"/>
      <c r="AA977" s="757"/>
      <c r="AB977" s="757"/>
      <c r="AC977" s="757"/>
      <c r="AD977" s="757"/>
      <c r="AE977" s="757"/>
      <c r="AF977" s="757"/>
      <c r="AG977" s="757"/>
      <c r="AH977" s="757"/>
      <c r="AI977" s="757"/>
      <c r="AJ977" s="757"/>
      <c r="AK977" s="757"/>
      <c r="AL977" s="757"/>
      <c r="AM977" s="757"/>
      <c r="AN977" s="757"/>
      <c r="AO977" s="757"/>
      <c r="AP977" s="757"/>
      <c r="AQ977" s="757"/>
      <c r="AR977" s="757"/>
      <c r="AS977" s="757"/>
      <c r="AT977" s="757"/>
      <c r="AU977" s="757"/>
      <c r="AV977" s="757"/>
      <c r="AW977" s="757"/>
      <c r="AX977" s="757"/>
      <c r="AY977" s="757"/>
      <c r="AZ977" s="75"/>
      <c r="BA977" s="2"/>
      <c r="BB977" s="2"/>
      <c r="BC977" s="2"/>
      <c r="BD977" s="2"/>
    </row>
    <row r="978" spans="1:56">
      <c r="A978" s="781">
        <v>2</v>
      </c>
      <c r="B978" s="782">
        <v>233</v>
      </c>
      <c r="C978" s="783"/>
      <c r="D978" s="785" t="s">
        <v>380</v>
      </c>
      <c r="E978" s="808">
        <v>630.30999999999995</v>
      </c>
      <c r="F978" s="799"/>
      <c r="G978" s="799"/>
      <c r="H978" s="1592">
        <f t="shared" si="45"/>
        <v>0</v>
      </c>
      <c r="I978" s="754" t="str">
        <f>IFERROR(VLOOKUP(B978,Mychart!$A$125:$B$911,2,FALSE),"-")</f>
        <v>MUBARAK . ARCHPIX</v>
      </c>
      <c r="J978" s="753" t="str">
        <f t="shared" si="46"/>
        <v>-</v>
      </c>
      <c r="K978" s="1540">
        <f t="shared" si="47"/>
        <v>1900</v>
      </c>
      <c r="L978" s="757"/>
      <c r="M978" s="757"/>
      <c r="N978" s="757"/>
      <c r="O978" s="757"/>
      <c r="P978" s="757"/>
      <c r="Q978" s="757"/>
      <c r="R978" s="757"/>
      <c r="S978" s="757"/>
      <c r="T978" s="757"/>
      <c r="U978" s="757"/>
      <c r="V978" s="757"/>
      <c r="W978" s="757"/>
      <c r="X978" s="757"/>
      <c r="Y978" s="757"/>
      <c r="Z978" s="757"/>
      <c r="AA978" s="757"/>
      <c r="AB978" s="757"/>
      <c r="AC978" s="757"/>
      <c r="AD978" s="757"/>
      <c r="AE978" s="757"/>
      <c r="AF978" s="757"/>
      <c r="AG978" s="757"/>
      <c r="AH978" s="757"/>
      <c r="AI978" s="757"/>
      <c r="AJ978" s="757"/>
      <c r="AK978" s="757"/>
      <c r="AL978" s="757"/>
      <c r="AM978" s="757"/>
      <c r="AN978" s="757"/>
      <c r="AO978" s="757"/>
      <c r="AP978" s="757"/>
      <c r="AQ978" s="757"/>
      <c r="AR978" s="757"/>
      <c r="AS978" s="757"/>
      <c r="AT978" s="757"/>
      <c r="AU978" s="757"/>
      <c r="AV978" s="757"/>
      <c r="AW978" s="757"/>
      <c r="AX978" s="757"/>
      <c r="AY978" s="757"/>
      <c r="AZ978" s="75"/>
      <c r="BA978" s="2"/>
      <c r="BB978" s="2"/>
      <c r="BC978" s="2"/>
      <c r="BD978" s="2"/>
    </row>
    <row r="979" spans="1:56">
      <c r="A979" s="781">
        <v>2</v>
      </c>
      <c r="B979" s="782">
        <v>233</v>
      </c>
      <c r="C979" s="783">
        <v>45291</v>
      </c>
      <c r="D979" s="785" t="s">
        <v>178</v>
      </c>
      <c r="E979" s="808">
        <v>4579</v>
      </c>
      <c r="F979" s="799"/>
      <c r="G979" s="799"/>
      <c r="H979" s="1592">
        <f t="shared" si="45"/>
        <v>0</v>
      </c>
      <c r="I979" s="754" t="str">
        <f>IFERROR(VLOOKUP(B979,Mychart!$A$125:$B$911,2,FALSE),"-")</f>
        <v>MUBARAK . ARCHPIX</v>
      </c>
      <c r="J979" s="753">
        <f t="shared" si="46"/>
        <v>12</v>
      </c>
      <c r="K979" s="1540">
        <f t="shared" si="47"/>
        <v>2023</v>
      </c>
      <c r="L979" s="757"/>
      <c r="M979" s="757"/>
      <c r="N979" s="757"/>
      <c r="O979" s="757"/>
      <c r="P979" s="757"/>
      <c r="Q979" s="757"/>
      <c r="R979" s="757"/>
      <c r="S979" s="757"/>
      <c r="T979" s="757"/>
      <c r="U979" s="757"/>
      <c r="V979" s="757"/>
      <c r="W979" s="757"/>
      <c r="X979" s="757"/>
      <c r="Y979" s="757"/>
      <c r="Z979" s="757"/>
      <c r="AA979" s="757"/>
      <c r="AB979" s="757"/>
      <c r="AC979" s="757"/>
      <c r="AD979" s="757"/>
      <c r="AE979" s="757"/>
      <c r="AF979" s="757"/>
      <c r="AG979" s="757"/>
      <c r="AH979" s="757"/>
      <c r="AI979" s="757"/>
      <c r="AJ979" s="757"/>
      <c r="AK979" s="757"/>
      <c r="AL979" s="757"/>
      <c r="AM979" s="757"/>
      <c r="AN979" s="757"/>
      <c r="AO979" s="757"/>
      <c r="AP979" s="757"/>
      <c r="AQ979" s="757"/>
      <c r="AR979" s="757"/>
      <c r="AS979" s="757"/>
      <c r="AT979" s="757"/>
      <c r="AU979" s="757"/>
      <c r="AV979" s="757"/>
      <c r="AW979" s="757"/>
      <c r="AX979" s="757"/>
      <c r="AY979" s="757"/>
      <c r="AZ979" s="75"/>
      <c r="BA979" s="2"/>
      <c r="BB979" s="2"/>
      <c r="BC979" s="2"/>
      <c r="BD979" s="2"/>
    </row>
    <row r="980" spans="1:56">
      <c r="A980" s="781">
        <v>2</v>
      </c>
      <c r="B980" s="782">
        <v>233</v>
      </c>
      <c r="C980" s="783">
        <v>45282</v>
      </c>
      <c r="D980" s="785" t="s">
        <v>380</v>
      </c>
      <c r="E980" s="808">
        <v>287.07</v>
      </c>
      <c r="F980" s="799"/>
      <c r="G980" s="799"/>
      <c r="H980" s="1592">
        <f t="shared" si="45"/>
        <v>0</v>
      </c>
      <c r="I980" s="754" t="str">
        <f>IFERROR(VLOOKUP(B980,Mychart!$A$125:$B$911,2,FALSE),"-")</f>
        <v>MUBARAK . ARCHPIX</v>
      </c>
      <c r="J980" s="753">
        <f t="shared" si="46"/>
        <v>12</v>
      </c>
      <c r="K980" s="1540">
        <f t="shared" si="47"/>
        <v>2023</v>
      </c>
      <c r="L980" s="757"/>
      <c r="M980" s="757"/>
      <c r="N980" s="757"/>
      <c r="O980" s="757"/>
      <c r="P980" s="757"/>
      <c r="Q980" s="757"/>
      <c r="R980" s="757"/>
      <c r="S980" s="757"/>
      <c r="T980" s="757"/>
      <c r="U980" s="757"/>
      <c r="V980" s="757"/>
      <c r="W980" s="757"/>
      <c r="X980" s="757"/>
      <c r="Y980" s="757"/>
      <c r="Z980" s="757"/>
      <c r="AA980" s="757"/>
      <c r="AB980" s="757"/>
      <c r="AC980" s="757"/>
      <c r="AD980" s="757"/>
      <c r="AE980" s="757"/>
      <c r="AF980" s="757"/>
      <c r="AG980" s="757"/>
      <c r="AH980" s="757"/>
      <c r="AI980" s="757"/>
      <c r="AJ980" s="757"/>
      <c r="AK980" s="757"/>
      <c r="AL980" s="757"/>
      <c r="AM980" s="757"/>
      <c r="AN980" s="757"/>
      <c r="AO980" s="757"/>
      <c r="AP980" s="757"/>
      <c r="AQ980" s="757"/>
      <c r="AR980" s="757"/>
      <c r="AS980" s="757"/>
      <c r="AT980" s="757"/>
      <c r="AU980" s="757"/>
      <c r="AV980" s="757"/>
      <c r="AW980" s="757"/>
      <c r="AX980" s="757"/>
      <c r="AY980" s="757"/>
      <c r="AZ980" s="75"/>
      <c r="BA980" s="2"/>
      <c r="BB980" s="2"/>
      <c r="BC980" s="2"/>
      <c r="BD980" s="2"/>
    </row>
    <row r="981" spans="1:56">
      <c r="A981" s="781">
        <v>2</v>
      </c>
      <c r="B981" s="782">
        <v>233</v>
      </c>
      <c r="C981" s="783">
        <v>45348</v>
      </c>
      <c r="D981" s="785" t="s">
        <v>224</v>
      </c>
      <c r="E981" s="808">
        <v>58028.25</v>
      </c>
      <c r="F981" s="799"/>
      <c r="G981" s="799"/>
      <c r="H981" s="1592">
        <f t="shared" si="45"/>
        <v>0</v>
      </c>
      <c r="I981" s="754" t="str">
        <f>IFERROR(VLOOKUP(B981,Mychart!$A$125:$B$911,2,FALSE),"-")</f>
        <v>MUBARAK . ARCHPIX</v>
      </c>
      <c r="J981" s="753">
        <f t="shared" si="46"/>
        <v>2</v>
      </c>
      <c r="K981" s="1540">
        <f t="shared" si="47"/>
        <v>2024</v>
      </c>
      <c r="L981" s="757"/>
      <c r="M981" s="757"/>
      <c r="N981" s="757"/>
      <c r="O981" s="757"/>
      <c r="P981" s="757"/>
      <c r="Q981" s="757"/>
      <c r="R981" s="757"/>
      <c r="S981" s="757"/>
      <c r="T981" s="757"/>
      <c r="U981" s="757"/>
      <c r="V981" s="757"/>
      <c r="W981" s="757"/>
      <c r="X981" s="757"/>
      <c r="Y981" s="757"/>
      <c r="Z981" s="757"/>
      <c r="AA981" s="757"/>
      <c r="AB981" s="757"/>
      <c r="AC981" s="757"/>
      <c r="AD981" s="757"/>
      <c r="AE981" s="757"/>
      <c r="AF981" s="757"/>
      <c r="AG981" s="757"/>
      <c r="AH981" s="757"/>
      <c r="AI981" s="757"/>
      <c r="AJ981" s="757"/>
      <c r="AK981" s="757"/>
      <c r="AL981" s="757"/>
      <c r="AM981" s="757"/>
      <c r="AN981" s="757"/>
      <c r="AO981" s="757"/>
      <c r="AP981" s="757"/>
      <c r="AQ981" s="757"/>
      <c r="AR981" s="757"/>
      <c r="AS981" s="757"/>
      <c r="AT981" s="757"/>
      <c r="AU981" s="757"/>
      <c r="AV981" s="757"/>
      <c r="AW981" s="757"/>
      <c r="AX981" s="757"/>
      <c r="AY981" s="757"/>
      <c r="AZ981" s="75"/>
      <c r="BA981" s="2"/>
      <c r="BB981" s="2"/>
      <c r="BC981" s="2"/>
      <c r="BD981" s="2"/>
    </row>
    <row r="982" spans="1:56">
      <c r="A982" s="781">
        <v>2</v>
      </c>
      <c r="B982" s="782">
        <v>233</v>
      </c>
      <c r="C982" s="783">
        <v>45355</v>
      </c>
      <c r="D982" s="785" t="s">
        <v>224</v>
      </c>
      <c r="E982" s="808">
        <v>22092</v>
      </c>
      <c r="F982" s="799"/>
      <c r="G982" s="799"/>
      <c r="H982" s="1592">
        <f t="shared" si="45"/>
        <v>0</v>
      </c>
      <c r="I982" s="754" t="str">
        <f>IFERROR(VLOOKUP(B982,Mychart!$A$125:$B$911,2,FALSE),"-")</f>
        <v>MUBARAK . ARCHPIX</v>
      </c>
      <c r="J982" s="753">
        <f t="shared" si="46"/>
        <v>3</v>
      </c>
      <c r="K982" s="1540">
        <f t="shared" si="47"/>
        <v>2024</v>
      </c>
      <c r="L982" s="757"/>
      <c r="M982" s="757"/>
      <c r="N982" s="757"/>
      <c r="O982" s="757"/>
      <c r="P982" s="757"/>
      <c r="Q982" s="757"/>
      <c r="R982" s="757"/>
      <c r="S982" s="757"/>
      <c r="T982" s="757"/>
      <c r="U982" s="757"/>
      <c r="V982" s="757"/>
      <c r="W982" s="757"/>
      <c r="X982" s="757"/>
      <c r="Y982" s="757"/>
      <c r="Z982" s="757"/>
      <c r="AA982" s="757"/>
      <c r="AB982" s="757"/>
      <c r="AC982" s="757"/>
      <c r="AD982" s="757"/>
      <c r="AE982" s="757"/>
      <c r="AF982" s="757"/>
      <c r="AG982" s="757"/>
      <c r="AH982" s="757"/>
      <c r="AI982" s="757"/>
      <c r="AJ982" s="757"/>
      <c r="AK982" s="757"/>
      <c r="AL982" s="757"/>
      <c r="AM982" s="757"/>
      <c r="AN982" s="757"/>
      <c r="AO982" s="757"/>
      <c r="AP982" s="757"/>
      <c r="AQ982" s="757"/>
      <c r="AR982" s="757"/>
      <c r="AS982" s="757"/>
      <c r="AT982" s="757"/>
      <c r="AU982" s="757"/>
      <c r="AV982" s="757"/>
      <c r="AW982" s="757"/>
      <c r="AX982" s="757"/>
      <c r="AY982" s="757"/>
      <c r="AZ982" s="75"/>
      <c r="BA982" s="2"/>
      <c r="BB982" s="2"/>
      <c r="BC982" s="2"/>
      <c r="BD982" s="2"/>
    </row>
    <row r="983" spans="1:56">
      <c r="A983" s="781">
        <v>2</v>
      </c>
      <c r="B983" s="782">
        <v>233</v>
      </c>
      <c r="C983" s="783">
        <v>45351</v>
      </c>
      <c r="D983" s="785" t="s">
        <v>177</v>
      </c>
      <c r="E983" s="808">
        <v>1729</v>
      </c>
      <c r="F983" s="799"/>
      <c r="G983" s="799"/>
      <c r="H983" s="1592">
        <f t="shared" si="45"/>
        <v>0</v>
      </c>
      <c r="I983" s="754" t="str">
        <f>IFERROR(VLOOKUP(B983,Mychart!$A$125:$B$911,2,FALSE),"-")</f>
        <v>MUBARAK . ARCHPIX</v>
      </c>
      <c r="J983" s="753">
        <f t="shared" si="46"/>
        <v>2</v>
      </c>
      <c r="K983" s="1540">
        <f t="shared" si="47"/>
        <v>2024</v>
      </c>
      <c r="L983" s="757"/>
      <c r="M983" s="757"/>
      <c r="N983" s="757"/>
      <c r="O983" s="757"/>
      <c r="P983" s="757"/>
      <c r="Q983" s="757"/>
      <c r="R983" s="757"/>
      <c r="S983" s="757"/>
      <c r="T983" s="757"/>
      <c r="U983" s="757"/>
      <c r="V983" s="757"/>
      <c r="W983" s="757"/>
      <c r="X983" s="757"/>
      <c r="Y983" s="757"/>
      <c r="Z983" s="757"/>
      <c r="AA983" s="757"/>
      <c r="AB983" s="757"/>
      <c r="AC983" s="757"/>
      <c r="AD983" s="757"/>
      <c r="AE983" s="757"/>
      <c r="AF983" s="757"/>
      <c r="AG983" s="757"/>
      <c r="AH983" s="757"/>
      <c r="AI983" s="757"/>
      <c r="AJ983" s="757"/>
      <c r="AK983" s="757"/>
      <c r="AL983" s="757"/>
      <c r="AM983" s="757"/>
      <c r="AN983" s="757"/>
      <c r="AO983" s="757"/>
      <c r="AP983" s="757"/>
      <c r="AQ983" s="757"/>
      <c r="AR983" s="757"/>
      <c r="AS983" s="757"/>
      <c r="AT983" s="757"/>
      <c r="AU983" s="757"/>
      <c r="AV983" s="757"/>
      <c r="AW983" s="757"/>
      <c r="AX983" s="757"/>
      <c r="AY983" s="757"/>
      <c r="AZ983" s="75"/>
      <c r="BA983" s="2"/>
      <c r="BB983" s="2"/>
      <c r="BC983" s="2"/>
      <c r="BD983" s="2"/>
    </row>
    <row r="984" spans="1:56">
      <c r="A984" s="781">
        <v>2</v>
      </c>
      <c r="B984" s="782">
        <v>233</v>
      </c>
      <c r="C984" s="783">
        <v>45363</v>
      </c>
      <c r="D984" s="785" t="s">
        <v>1028</v>
      </c>
      <c r="E984" s="808">
        <v>5200</v>
      </c>
      <c r="F984" s="799"/>
      <c r="G984" s="799"/>
      <c r="H984" s="1592">
        <f t="shared" si="45"/>
        <v>0</v>
      </c>
      <c r="I984" s="754" t="str">
        <f>IFERROR(VLOOKUP(B984,Mychart!$A$125:$B$911,2,FALSE),"-")</f>
        <v>MUBARAK . ARCHPIX</v>
      </c>
      <c r="J984" s="753">
        <f t="shared" si="46"/>
        <v>3</v>
      </c>
      <c r="K984" s="1540">
        <f t="shared" si="47"/>
        <v>2024</v>
      </c>
      <c r="L984" s="757"/>
      <c r="M984" s="757"/>
      <c r="N984" s="757"/>
      <c r="O984" s="757"/>
      <c r="P984" s="757"/>
      <c r="Q984" s="757"/>
      <c r="R984" s="757"/>
      <c r="S984" s="757"/>
      <c r="T984" s="757"/>
      <c r="U984" s="757"/>
      <c r="V984" s="757"/>
      <c r="W984" s="757"/>
      <c r="X984" s="757"/>
      <c r="Y984" s="757"/>
      <c r="Z984" s="757"/>
      <c r="AA984" s="757"/>
      <c r="AB984" s="757"/>
      <c r="AC984" s="757"/>
      <c r="AD984" s="757"/>
      <c r="AE984" s="757"/>
      <c r="AF984" s="757"/>
      <c r="AG984" s="757"/>
      <c r="AH984" s="757"/>
      <c r="AI984" s="757"/>
      <c r="AJ984" s="757"/>
      <c r="AK984" s="757"/>
      <c r="AL984" s="757"/>
      <c r="AM984" s="757"/>
      <c r="AN984" s="757"/>
      <c r="AO984" s="757"/>
      <c r="AP984" s="757"/>
      <c r="AQ984" s="757"/>
      <c r="AR984" s="757"/>
      <c r="AS984" s="757"/>
      <c r="AT984" s="757"/>
      <c r="AU984" s="757"/>
      <c r="AV984" s="757"/>
      <c r="AW984" s="757"/>
      <c r="AX984" s="757"/>
      <c r="AY984" s="757"/>
      <c r="AZ984" s="75"/>
      <c r="BA984" s="2"/>
      <c r="BB984" s="2"/>
      <c r="BC984" s="2"/>
      <c r="BD984" s="2"/>
    </row>
    <row r="985" spans="1:56">
      <c r="A985" s="781">
        <v>2</v>
      </c>
      <c r="B985" s="782">
        <v>233</v>
      </c>
      <c r="C985" s="783">
        <v>45383</v>
      </c>
      <c r="D985" s="785" t="s">
        <v>224</v>
      </c>
      <c r="E985" s="808">
        <v>1911</v>
      </c>
      <c r="F985" s="799"/>
      <c r="G985" s="799"/>
      <c r="H985" s="1592">
        <f t="shared" si="45"/>
        <v>0</v>
      </c>
      <c r="I985" s="754" t="str">
        <f>IFERROR(VLOOKUP(B985,Mychart!$A$125:$B$911,2,FALSE),"-")</f>
        <v>MUBARAK . ARCHPIX</v>
      </c>
      <c r="J985" s="753">
        <f t="shared" si="46"/>
        <v>4</v>
      </c>
      <c r="K985" s="1540">
        <f t="shared" si="47"/>
        <v>2024</v>
      </c>
      <c r="L985" s="757"/>
      <c r="M985" s="757"/>
      <c r="N985" s="757"/>
      <c r="O985" s="757"/>
      <c r="P985" s="757"/>
      <c r="Q985" s="757"/>
      <c r="R985" s="757"/>
      <c r="S985" s="757"/>
      <c r="T985" s="757"/>
      <c r="U985" s="757"/>
      <c r="V985" s="757"/>
      <c r="W985" s="757"/>
      <c r="X985" s="757"/>
      <c r="Y985" s="757"/>
      <c r="Z985" s="757"/>
      <c r="AA985" s="757"/>
      <c r="AB985" s="757"/>
      <c r="AC985" s="757"/>
      <c r="AD985" s="757"/>
      <c r="AE985" s="757"/>
      <c r="AF985" s="757"/>
      <c r="AG985" s="757"/>
      <c r="AH985" s="757"/>
      <c r="AI985" s="757"/>
      <c r="AJ985" s="757"/>
      <c r="AK985" s="757"/>
      <c r="AL985" s="757"/>
      <c r="AM985" s="757"/>
      <c r="AN985" s="757"/>
      <c r="AO985" s="757"/>
      <c r="AP985" s="757"/>
      <c r="AQ985" s="757"/>
      <c r="AR985" s="757"/>
      <c r="AS985" s="757"/>
      <c r="AT985" s="757"/>
      <c r="AU985" s="757"/>
      <c r="AV985" s="757"/>
      <c r="AW985" s="757"/>
      <c r="AX985" s="757"/>
      <c r="AY985" s="757"/>
      <c r="AZ985" s="75"/>
      <c r="BA985" s="2"/>
      <c r="BB985" s="2"/>
      <c r="BC985" s="2"/>
      <c r="BD985" s="2"/>
    </row>
    <row r="986" spans="1:56">
      <c r="A986" s="781">
        <v>2</v>
      </c>
      <c r="B986" s="782">
        <v>233</v>
      </c>
      <c r="C986" s="783">
        <v>45362</v>
      </c>
      <c r="D986" s="785" t="s">
        <v>380</v>
      </c>
      <c r="E986" s="808">
        <v>283.94</v>
      </c>
      <c r="F986" s="799"/>
      <c r="G986" s="799"/>
      <c r="H986" s="1592">
        <f t="shared" si="45"/>
        <v>0</v>
      </c>
      <c r="I986" s="754" t="str">
        <f>IFERROR(VLOOKUP(B986,Mychart!$A$125:$B$911,2,FALSE),"-")</f>
        <v>MUBARAK . ARCHPIX</v>
      </c>
      <c r="J986" s="753">
        <f t="shared" si="46"/>
        <v>3</v>
      </c>
      <c r="K986" s="1540">
        <f t="shared" si="47"/>
        <v>2024</v>
      </c>
      <c r="L986" s="757"/>
      <c r="M986" s="757"/>
      <c r="N986" s="757"/>
      <c r="O986" s="757"/>
      <c r="P986" s="757"/>
      <c r="Q986" s="757"/>
      <c r="R986" s="757"/>
      <c r="S986" s="757"/>
      <c r="T986" s="757"/>
      <c r="U986" s="757"/>
      <c r="V986" s="757"/>
      <c r="W986" s="757"/>
      <c r="X986" s="757"/>
      <c r="Y986" s="757"/>
      <c r="Z986" s="757"/>
      <c r="AA986" s="757"/>
      <c r="AB986" s="757"/>
      <c r="AC986" s="757"/>
      <c r="AD986" s="757"/>
      <c r="AE986" s="757"/>
      <c r="AF986" s="757"/>
      <c r="AG986" s="757"/>
      <c r="AH986" s="757"/>
      <c r="AI986" s="757"/>
      <c r="AJ986" s="757"/>
      <c r="AK986" s="757"/>
      <c r="AL986" s="757"/>
      <c r="AM986" s="757"/>
      <c r="AN986" s="757"/>
      <c r="AO986" s="757"/>
      <c r="AP986" s="757"/>
      <c r="AQ986" s="757"/>
      <c r="AR986" s="757"/>
      <c r="AS986" s="757"/>
      <c r="AT986" s="757"/>
      <c r="AU986" s="757"/>
      <c r="AV986" s="757"/>
      <c r="AW986" s="757"/>
      <c r="AX986" s="757"/>
      <c r="AY986" s="757"/>
      <c r="AZ986" s="75"/>
      <c r="BA986" s="2"/>
      <c r="BB986" s="2"/>
      <c r="BC986" s="2"/>
      <c r="BD986" s="2"/>
    </row>
    <row r="987" spans="1:56">
      <c r="A987" s="781">
        <v>2</v>
      </c>
      <c r="B987" s="782">
        <v>233</v>
      </c>
      <c r="C987" s="783">
        <v>45382</v>
      </c>
      <c r="D987" s="785" t="s">
        <v>177</v>
      </c>
      <c r="E987" s="808">
        <v>2141</v>
      </c>
      <c r="F987" s="799"/>
      <c r="G987" s="799"/>
      <c r="H987" s="1592">
        <f t="shared" si="45"/>
        <v>0</v>
      </c>
      <c r="I987" s="754" t="str">
        <f>IFERROR(VLOOKUP(B987,Mychart!$A$125:$B$911,2,FALSE),"-")</f>
        <v>MUBARAK . ARCHPIX</v>
      </c>
      <c r="J987" s="753">
        <f t="shared" si="46"/>
        <v>3</v>
      </c>
      <c r="K987" s="1540">
        <f t="shared" si="47"/>
        <v>2024</v>
      </c>
      <c r="L987" s="757"/>
      <c r="M987" s="757"/>
      <c r="N987" s="757"/>
      <c r="O987" s="757"/>
      <c r="P987" s="757"/>
      <c r="Q987" s="757"/>
      <c r="R987" s="757"/>
      <c r="S987" s="757"/>
      <c r="T987" s="757"/>
      <c r="U987" s="757"/>
      <c r="V987" s="757"/>
      <c r="W987" s="757"/>
      <c r="X987" s="757"/>
      <c r="Y987" s="757"/>
      <c r="Z987" s="757"/>
      <c r="AA987" s="757"/>
      <c r="AB987" s="757"/>
      <c r="AC987" s="757"/>
      <c r="AD987" s="757"/>
      <c r="AE987" s="757"/>
      <c r="AF987" s="757"/>
      <c r="AG987" s="757"/>
      <c r="AH987" s="757"/>
      <c r="AI987" s="757"/>
      <c r="AJ987" s="757"/>
      <c r="AK987" s="757"/>
      <c r="AL987" s="757"/>
      <c r="AM987" s="757"/>
      <c r="AN987" s="757"/>
      <c r="AO987" s="757"/>
      <c r="AP987" s="757"/>
      <c r="AQ987" s="757"/>
      <c r="AR987" s="757"/>
      <c r="AS987" s="757"/>
      <c r="AT987" s="757"/>
      <c r="AU987" s="757"/>
      <c r="AV987" s="757"/>
      <c r="AW987" s="757"/>
      <c r="AX987" s="757"/>
      <c r="AY987" s="757"/>
      <c r="AZ987" s="75"/>
      <c r="BA987" s="2"/>
      <c r="BB987" s="2"/>
      <c r="BC987" s="2"/>
      <c r="BD987" s="2"/>
    </row>
    <row r="988" spans="1:56">
      <c r="A988" s="781">
        <v>2</v>
      </c>
      <c r="B988" s="782">
        <v>233</v>
      </c>
      <c r="C988" s="783" t="s">
        <v>679</v>
      </c>
      <c r="D988" s="785" t="s">
        <v>380</v>
      </c>
      <c r="E988" s="808">
        <v>280.48</v>
      </c>
      <c r="F988" s="799"/>
      <c r="G988" s="799"/>
      <c r="H988" s="1592">
        <f t="shared" si="45"/>
        <v>0</v>
      </c>
      <c r="I988" s="754" t="str">
        <f>IFERROR(VLOOKUP(B988,Mychart!$A$125:$B$911,2,FALSE),"-")</f>
        <v>MUBARAK . ARCHPIX</v>
      </c>
      <c r="J988" s="753">
        <f t="shared" si="46"/>
        <v>1</v>
      </c>
      <c r="K988" s="1540">
        <f t="shared" si="47"/>
        <v>2024</v>
      </c>
      <c r="L988" s="757"/>
      <c r="M988" s="757"/>
      <c r="N988" s="757"/>
      <c r="O988" s="757"/>
      <c r="P988" s="757"/>
      <c r="Q988" s="757"/>
      <c r="R988" s="757"/>
      <c r="S988" s="757"/>
      <c r="T988" s="757"/>
      <c r="U988" s="757"/>
      <c r="V988" s="757"/>
      <c r="W988" s="757"/>
      <c r="X988" s="757"/>
      <c r="Y988" s="757"/>
      <c r="Z988" s="757"/>
      <c r="AA988" s="757"/>
      <c r="AB988" s="757"/>
      <c r="AC988" s="757"/>
      <c r="AD988" s="757"/>
      <c r="AE988" s="757"/>
      <c r="AF988" s="757"/>
      <c r="AG988" s="757"/>
      <c r="AH988" s="757"/>
      <c r="AI988" s="757"/>
      <c r="AJ988" s="757"/>
      <c r="AK988" s="757"/>
      <c r="AL988" s="757"/>
      <c r="AM988" s="757"/>
      <c r="AN988" s="757"/>
      <c r="AO988" s="757"/>
      <c r="AP988" s="757"/>
      <c r="AQ988" s="757"/>
      <c r="AR988" s="757"/>
      <c r="AS988" s="757"/>
      <c r="AT988" s="757"/>
      <c r="AU988" s="757"/>
      <c r="AV988" s="757"/>
      <c r="AW988" s="757"/>
      <c r="AX988" s="757"/>
      <c r="AY988" s="757"/>
      <c r="AZ988" s="75"/>
      <c r="BA988" s="2"/>
      <c r="BB988" s="2"/>
      <c r="BC988" s="2"/>
      <c r="BD988" s="2"/>
    </row>
    <row r="989" spans="1:56">
      <c r="A989" s="781">
        <v>2</v>
      </c>
      <c r="B989" s="782">
        <v>233</v>
      </c>
      <c r="C989" s="783">
        <v>45395</v>
      </c>
      <c r="D989" s="785" t="s">
        <v>224</v>
      </c>
      <c r="E989" s="808">
        <v>1911</v>
      </c>
      <c r="F989" s="799"/>
      <c r="G989" s="799"/>
      <c r="H989" s="1592">
        <f t="shared" si="45"/>
        <v>0</v>
      </c>
      <c r="I989" s="754" t="str">
        <f>IFERROR(VLOOKUP(B989,Mychart!$A$125:$B$911,2,FALSE),"-")</f>
        <v>MUBARAK . ARCHPIX</v>
      </c>
      <c r="J989" s="753">
        <f t="shared" si="46"/>
        <v>4</v>
      </c>
      <c r="K989" s="1540">
        <f t="shared" si="47"/>
        <v>2024</v>
      </c>
      <c r="L989" s="757"/>
      <c r="M989" s="757"/>
      <c r="N989" s="757"/>
      <c r="O989" s="757"/>
      <c r="P989" s="757"/>
      <c r="Q989" s="757"/>
      <c r="R989" s="757"/>
      <c r="S989" s="757"/>
      <c r="T989" s="757"/>
      <c r="U989" s="757"/>
      <c r="V989" s="757"/>
      <c r="W989" s="757"/>
      <c r="X989" s="757"/>
      <c r="Y989" s="757"/>
      <c r="Z989" s="757"/>
      <c r="AA989" s="757"/>
      <c r="AB989" s="757"/>
      <c r="AC989" s="757"/>
      <c r="AD989" s="757"/>
      <c r="AE989" s="757"/>
      <c r="AF989" s="757"/>
      <c r="AG989" s="757"/>
      <c r="AH989" s="757"/>
      <c r="AI989" s="757"/>
      <c r="AJ989" s="757"/>
      <c r="AK989" s="757"/>
      <c r="AL989" s="757"/>
      <c r="AM989" s="757"/>
      <c r="AN989" s="757"/>
      <c r="AO989" s="757"/>
      <c r="AP989" s="757"/>
      <c r="AQ989" s="757"/>
      <c r="AR989" s="757"/>
      <c r="AS989" s="757"/>
      <c r="AT989" s="757"/>
      <c r="AU989" s="757"/>
      <c r="AV989" s="757"/>
      <c r="AW989" s="757"/>
      <c r="AX989" s="757"/>
      <c r="AY989" s="757"/>
      <c r="AZ989" s="75"/>
      <c r="BA989" s="2"/>
      <c r="BB989" s="2"/>
      <c r="BC989" s="2"/>
      <c r="BD989" s="2"/>
    </row>
    <row r="990" spans="1:56">
      <c r="A990" s="781">
        <v>2</v>
      </c>
      <c r="B990" s="782">
        <v>233</v>
      </c>
      <c r="C990" s="783">
        <v>45428</v>
      </c>
      <c r="D990" s="785" t="s">
        <v>224</v>
      </c>
      <c r="E990" s="808">
        <v>4819.5</v>
      </c>
      <c r="F990" s="799"/>
      <c r="G990" s="799"/>
      <c r="H990" s="1592">
        <f t="shared" si="45"/>
        <v>0</v>
      </c>
      <c r="I990" s="754" t="str">
        <f>IFERROR(VLOOKUP(B990,Mychart!$A$125:$B$911,2,FALSE),"-")</f>
        <v>MUBARAK . ARCHPIX</v>
      </c>
      <c r="J990" s="753">
        <f t="shared" si="46"/>
        <v>5</v>
      </c>
      <c r="K990" s="1540">
        <f t="shared" si="47"/>
        <v>2024</v>
      </c>
      <c r="L990" s="757"/>
      <c r="M990" s="757"/>
      <c r="N990" s="757"/>
      <c r="O990" s="757"/>
      <c r="P990" s="757"/>
      <c r="Q990" s="757"/>
      <c r="R990" s="757"/>
      <c r="S990" s="757"/>
      <c r="T990" s="757"/>
      <c r="U990" s="757"/>
      <c r="V990" s="757"/>
      <c r="W990" s="757"/>
      <c r="X990" s="757"/>
      <c r="Y990" s="757"/>
      <c r="Z990" s="757"/>
      <c r="AA990" s="757"/>
      <c r="AB990" s="757"/>
      <c r="AC990" s="757"/>
      <c r="AD990" s="757"/>
      <c r="AE990" s="757"/>
      <c r="AF990" s="757"/>
      <c r="AG990" s="757"/>
      <c r="AH990" s="757"/>
      <c r="AI990" s="757"/>
      <c r="AJ990" s="757"/>
      <c r="AK990" s="757"/>
      <c r="AL990" s="757"/>
      <c r="AM990" s="757"/>
      <c r="AN990" s="757"/>
      <c r="AO990" s="757"/>
      <c r="AP990" s="757"/>
      <c r="AQ990" s="757"/>
      <c r="AR990" s="757"/>
      <c r="AS990" s="757"/>
      <c r="AT990" s="757"/>
      <c r="AU990" s="757"/>
      <c r="AV990" s="757"/>
      <c r="AW990" s="757"/>
      <c r="AX990" s="757"/>
      <c r="AY990" s="757"/>
      <c r="AZ990" s="75"/>
      <c r="BA990" s="2"/>
      <c r="BB990" s="2"/>
      <c r="BC990" s="2"/>
      <c r="BD990" s="2"/>
    </row>
    <row r="991" spans="1:56">
      <c r="A991" s="781">
        <v>2</v>
      </c>
      <c r="B991" s="782">
        <v>233</v>
      </c>
      <c r="C991" s="783">
        <v>45443</v>
      </c>
      <c r="D991" s="785" t="s">
        <v>177</v>
      </c>
      <c r="E991" s="808">
        <v>1034</v>
      </c>
      <c r="F991" s="799"/>
      <c r="G991" s="799"/>
      <c r="H991" s="1592">
        <f t="shared" si="45"/>
        <v>0</v>
      </c>
      <c r="I991" s="754" t="str">
        <f>IFERROR(VLOOKUP(B991,Mychart!$A$125:$B$911,2,FALSE),"-")</f>
        <v>MUBARAK . ARCHPIX</v>
      </c>
      <c r="J991" s="753">
        <f t="shared" si="46"/>
        <v>5</v>
      </c>
      <c r="K991" s="1540">
        <f t="shared" si="47"/>
        <v>2024</v>
      </c>
      <c r="L991" s="757"/>
      <c r="M991" s="757"/>
      <c r="N991" s="757"/>
      <c r="O991" s="757"/>
      <c r="P991" s="757"/>
      <c r="Q991" s="757"/>
      <c r="R991" s="757"/>
      <c r="S991" s="757"/>
      <c r="T991" s="757"/>
      <c r="U991" s="757"/>
      <c r="V991" s="757"/>
      <c r="W991" s="757"/>
      <c r="X991" s="757"/>
      <c r="Y991" s="757"/>
      <c r="Z991" s="757"/>
      <c r="AA991" s="757"/>
      <c r="AB991" s="757"/>
      <c r="AC991" s="757"/>
      <c r="AD991" s="757"/>
      <c r="AE991" s="757"/>
      <c r="AF991" s="757"/>
      <c r="AG991" s="757"/>
      <c r="AH991" s="757"/>
      <c r="AI991" s="757"/>
      <c r="AJ991" s="757"/>
      <c r="AK991" s="757"/>
      <c r="AL991" s="757"/>
      <c r="AM991" s="757"/>
      <c r="AN991" s="757"/>
      <c r="AO991" s="757"/>
      <c r="AP991" s="757"/>
      <c r="AQ991" s="757"/>
      <c r="AR991" s="757"/>
      <c r="AS991" s="757"/>
      <c r="AT991" s="757"/>
      <c r="AU991" s="757"/>
      <c r="AV991" s="757"/>
      <c r="AW991" s="757"/>
      <c r="AX991" s="757"/>
      <c r="AY991" s="757"/>
      <c r="AZ991" s="75"/>
      <c r="BA991" s="2"/>
      <c r="BB991" s="2"/>
      <c r="BC991" s="2"/>
      <c r="BD991" s="2"/>
    </row>
    <row r="992" spans="1:56">
      <c r="A992" s="781">
        <v>2</v>
      </c>
      <c r="B992" s="782">
        <v>233</v>
      </c>
      <c r="C992" s="783">
        <v>45505</v>
      </c>
      <c r="D992" s="785" t="s">
        <v>380</v>
      </c>
      <c r="E992" s="808">
        <v>200</v>
      </c>
      <c r="F992" s="799"/>
      <c r="G992" s="799"/>
      <c r="H992" s="1592">
        <f t="shared" si="45"/>
        <v>0</v>
      </c>
      <c r="I992" s="754" t="str">
        <f>IFERROR(VLOOKUP(B992,Mychart!$A$125:$B$911,2,FALSE),"-")</f>
        <v>MUBARAK . ARCHPIX</v>
      </c>
      <c r="J992" s="753">
        <f t="shared" si="46"/>
        <v>8</v>
      </c>
      <c r="K992" s="1540">
        <f t="shared" si="47"/>
        <v>2024</v>
      </c>
      <c r="L992" s="757"/>
      <c r="M992" s="757"/>
      <c r="N992" s="757"/>
      <c r="O992" s="757"/>
      <c r="P992" s="757"/>
      <c r="Q992" s="757"/>
      <c r="R992" s="757"/>
      <c r="S992" s="757"/>
      <c r="T992" s="757"/>
      <c r="U992" s="757"/>
      <c r="V992" s="757"/>
      <c r="W992" s="757"/>
      <c r="X992" s="757"/>
      <c r="Y992" s="757"/>
      <c r="Z992" s="757"/>
      <c r="AA992" s="757"/>
      <c r="AB992" s="757"/>
      <c r="AC992" s="757"/>
      <c r="AD992" s="757"/>
      <c r="AE992" s="757"/>
      <c r="AF992" s="757"/>
      <c r="AG992" s="757"/>
      <c r="AH992" s="757"/>
      <c r="AI992" s="757"/>
      <c r="AJ992" s="757"/>
      <c r="AK992" s="757"/>
      <c r="AL992" s="757"/>
      <c r="AM992" s="757"/>
      <c r="AN992" s="757"/>
      <c r="AO992" s="757"/>
      <c r="AP992" s="757"/>
      <c r="AQ992" s="757"/>
      <c r="AR992" s="757"/>
      <c r="AS992" s="757"/>
      <c r="AT992" s="757"/>
      <c r="AU992" s="757"/>
      <c r="AV992" s="757"/>
      <c r="AW992" s="757"/>
      <c r="AX992" s="757"/>
      <c r="AY992" s="757"/>
      <c r="AZ992" s="75"/>
      <c r="BA992" s="2"/>
      <c r="BB992" s="2"/>
      <c r="BC992" s="2"/>
      <c r="BD992" s="2"/>
    </row>
    <row r="993" spans="1:56">
      <c r="A993" s="781">
        <v>2</v>
      </c>
      <c r="B993" s="782">
        <v>233</v>
      </c>
      <c r="C993" s="783" t="s">
        <v>1029</v>
      </c>
      <c r="D993" s="785" t="s">
        <v>380</v>
      </c>
      <c r="E993" s="808">
        <v>115</v>
      </c>
      <c r="F993" s="799"/>
      <c r="G993" s="799"/>
      <c r="H993" s="1592">
        <f t="shared" si="45"/>
        <v>0</v>
      </c>
      <c r="I993" s="754" t="str">
        <f>IFERROR(VLOOKUP(B993,Mychart!$A$125:$B$911,2,FALSE),"-")</f>
        <v>MUBARAK . ARCHPIX</v>
      </c>
      <c r="J993" s="753">
        <f t="shared" si="46"/>
        <v>4</v>
      </c>
      <c r="K993" s="1540">
        <f t="shared" si="47"/>
        <v>2024</v>
      </c>
      <c r="L993" s="757"/>
      <c r="M993" s="757"/>
      <c r="N993" s="757"/>
      <c r="O993" s="757"/>
      <c r="P993" s="757"/>
      <c r="Q993" s="757"/>
      <c r="R993" s="757"/>
      <c r="S993" s="757"/>
      <c r="T993" s="757"/>
      <c r="U993" s="757"/>
      <c r="V993" s="757"/>
      <c r="W993" s="757"/>
      <c r="X993" s="757"/>
      <c r="Y993" s="757"/>
      <c r="Z993" s="757"/>
      <c r="AA993" s="757"/>
      <c r="AB993" s="757"/>
      <c r="AC993" s="757"/>
      <c r="AD993" s="757"/>
      <c r="AE993" s="757"/>
      <c r="AF993" s="757"/>
      <c r="AG993" s="757"/>
      <c r="AH993" s="757"/>
      <c r="AI993" s="757"/>
      <c r="AJ993" s="757"/>
      <c r="AK993" s="757"/>
      <c r="AL993" s="757"/>
      <c r="AM993" s="757"/>
      <c r="AN993" s="757"/>
      <c r="AO993" s="757"/>
      <c r="AP993" s="757"/>
      <c r="AQ993" s="757"/>
      <c r="AR993" s="757"/>
      <c r="AS993" s="757"/>
      <c r="AT993" s="757"/>
      <c r="AU993" s="757"/>
      <c r="AV993" s="757"/>
      <c r="AW993" s="757"/>
      <c r="AX993" s="757"/>
      <c r="AY993" s="757"/>
      <c r="AZ993" s="75"/>
      <c r="BA993" s="2"/>
      <c r="BB993" s="2"/>
      <c r="BC993" s="2"/>
      <c r="BD993" s="2"/>
    </row>
    <row r="994" spans="1:56">
      <c r="A994" s="781">
        <v>2</v>
      </c>
      <c r="B994" s="782">
        <v>233</v>
      </c>
      <c r="C994" s="783" t="s">
        <v>1030</v>
      </c>
      <c r="D994" s="785" t="s">
        <v>191</v>
      </c>
      <c r="E994" s="808">
        <v>1325</v>
      </c>
      <c r="F994" s="799"/>
      <c r="G994" s="799"/>
      <c r="H994" s="1592">
        <f t="shared" si="45"/>
        <v>0</v>
      </c>
      <c r="I994" s="754" t="str">
        <f>IFERROR(VLOOKUP(B994,Mychart!$A$125:$B$911,2,FALSE),"-")</f>
        <v>MUBARAK . ARCHPIX</v>
      </c>
      <c r="J994" s="753">
        <f t="shared" si="46"/>
        <v>4</v>
      </c>
      <c r="K994" s="1540">
        <f t="shared" si="47"/>
        <v>2024</v>
      </c>
      <c r="L994" s="757"/>
      <c r="M994" s="757"/>
      <c r="N994" s="757"/>
      <c r="O994" s="757"/>
      <c r="P994" s="757"/>
      <c r="Q994" s="757"/>
      <c r="R994" s="757"/>
      <c r="S994" s="757"/>
      <c r="T994" s="757"/>
      <c r="U994" s="757"/>
      <c r="V994" s="757"/>
      <c r="W994" s="757"/>
      <c r="X994" s="757"/>
      <c r="Y994" s="757"/>
      <c r="Z994" s="757"/>
      <c r="AA994" s="757"/>
      <c r="AB994" s="757"/>
      <c r="AC994" s="757"/>
      <c r="AD994" s="757"/>
      <c r="AE994" s="757"/>
      <c r="AF994" s="757"/>
      <c r="AG994" s="757"/>
      <c r="AH994" s="757"/>
      <c r="AI994" s="757"/>
      <c r="AJ994" s="757"/>
      <c r="AK994" s="757"/>
      <c r="AL994" s="757"/>
      <c r="AM994" s="757"/>
      <c r="AN994" s="757"/>
      <c r="AO994" s="757"/>
      <c r="AP994" s="757"/>
      <c r="AQ994" s="757"/>
      <c r="AR994" s="757"/>
      <c r="AS994" s="757"/>
      <c r="AT994" s="757"/>
      <c r="AU994" s="757"/>
      <c r="AV994" s="757"/>
      <c r="AW994" s="757"/>
      <c r="AX994" s="757"/>
      <c r="AY994" s="757"/>
      <c r="AZ994" s="75"/>
      <c r="BA994" s="2"/>
      <c r="BB994" s="2"/>
      <c r="BC994" s="2"/>
      <c r="BD994" s="2"/>
    </row>
    <row r="995" spans="1:56">
      <c r="A995" s="781">
        <v>2</v>
      </c>
      <c r="B995" s="782">
        <v>233</v>
      </c>
      <c r="C995" s="783" t="s">
        <v>446</v>
      </c>
      <c r="D995" s="785" t="s">
        <v>191</v>
      </c>
      <c r="E995" s="808">
        <v>738</v>
      </c>
      <c r="F995" s="799"/>
      <c r="G995" s="799"/>
      <c r="H995" s="1592">
        <f t="shared" si="45"/>
        <v>0</v>
      </c>
      <c r="I995" s="754" t="str">
        <f>IFERROR(VLOOKUP(B995,Mychart!$A$125:$B$911,2,FALSE),"-")</f>
        <v>MUBARAK . ARCHPIX</v>
      </c>
      <c r="J995" s="753">
        <f t="shared" si="46"/>
        <v>1</v>
      </c>
      <c r="K995" s="1540">
        <f t="shared" si="47"/>
        <v>2024</v>
      </c>
      <c r="L995" s="757"/>
      <c r="M995" s="757"/>
      <c r="N995" s="757"/>
      <c r="O995" s="757"/>
      <c r="P995" s="757"/>
      <c r="Q995" s="757"/>
      <c r="R995" s="757"/>
      <c r="S995" s="757"/>
      <c r="T995" s="757"/>
      <c r="U995" s="757"/>
      <c r="V995" s="757"/>
      <c r="W995" s="757"/>
      <c r="X995" s="757"/>
      <c r="Y995" s="757"/>
      <c r="Z995" s="757"/>
      <c r="AA995" s="757"/>
      <c r="AB995" s="757"/>
      <c r="AC995" s="757"/>
      <c r="AD995" s="757"/>
      <c r="AE995" s="757"/>
      <c r="AF995" s="757"/>
      <c r="AG995" s="757"/>
      <c r="AH995" s="757"/>
      <c r="AI995" s="757"/>
      <c r="AJ995" s="757"/>
      <c r="AK995" s="757"/>
      <c r="AL995" s="757"/>
      <c r="AM995" s="757"/>
      <c r="AN995" s="757"/>
      <c r="AO995" s="757"/>
      <c r="AP995" s="757"/>
      <c r="AQ995" s="757"/>
      <c r="AR995" s="757"/>
      <c r="AS995" s="757"/>
      <c r="AT995" s="757"/>
      <c r="AU995" s="757"/>
      <c r="AV995" s="757"/>
      <c r="AW995" s="757"/>
      <c r="AX995" s="757"/>
      <c r="AY995" s="757"/>
      <c r="AZ995" s="75"/>
      <c r="BA995" s="2"/>
      <c r="BB995" s="2"/>
      <c r="BC995" s="2"/>
      <c r="BD995" s="2"/>
    </row>
    <row r="996" spans="1:56">
      <c r="A996" s="781">
        <v>1</v>
      </c>
      <c r="B996" s="782">
        <v>222</v>
      </c>
      <c r="C996" s="783">
        <v>45490</v>
      </c>
      <c r="D996" s="785" t="s">
        <v>1034</v>
      </c>
      <c r="E996" s="808"/>
      <c r="F996" s="799">
        <v>14484</v>
      </c>
      <c r="G996" s="799">
        <v>724.2</v>
      </c>
      <c r="H996" s="1592">
        <f t="shared" si="45"/>
        <v>15208.2</v>
      </c>
      <c r="I996" s="754" t="str">
        <f>IFERROR(VLOOKUP(B996,Mychart!$A$125:$B$911,2,FALSE),"-")</f>
        <v>SAMAH - ARCHPIX</v>
      </c>
      <c r="J996" s="753">
        <f t="shared" si="46"/>
        <v>7</v>
      </c>
      <c r="K996" s="1540">
        <f t="shared" si="47"/>
        <v>2024</v>
      </c>
      <c r="L996" s="757"/>
      <c r="M996" s="757"/>
      <c r="N996" s="757"/>
      <c r="O996" s="757"/>
      <c r="P996" s="757"/>
      <c r="Q996" s="757"/>
      <c r="R996" s="757"/>
      <c r="S996" s="757"/>
      <c r="T996" s="757"/>
      <c r="U996" s="757"/>
      <c r="V996" s="757"/>
      <c r="W996" s="757"/>
      <c r="X996" s="757"/>
      <c r="Y996" s="757"/>
      <c r="Z996" s="757"/>
      <c r="AA996" s="757"/>
      <c r="AB996" s="757"/>
      <c r="AC996" s="757"/>
      <c r="AD996" s="757"/>
      <c r="AE996" s="757"/>
      <c r="AF996" s="757"/>
      <c r="AG996" s="757"/>
      <c r="AH996" s="757"/>
      <c r="AI996" s="757"/>
      <c r="AJ996" s="757"/>
      <c r="AK996" s="757"/>
      <c r="AL996" s="757"/>
      <c r="AM996" s="757"/>
      <c r="AN996" s="757"/>
      <c r="AO996" s="757"/>
      <c r="AP996" s="757"/>
      <c r="AQ996" s="757"/>
      <c r="AR996" s="757"/>
      <c r="AS996" s="757"/>
      <c r="AT996" s="757"/>
      <c r="AU996" s="757"/>
      <c r="AV996" s="757"/>
      <c r="AW996" s="757"/>
      <c r="AX996" s="757"/>
      <c r="AY996" s="757"/>
      <c r="AZ996" s="75"/>
      <c r="BA996" s="2"/>
      <c r="BB996" s="2"/>
      <c r="BC996" s="2"/>
      <c r="BD996" s="2"/>
    </row>
    <row r="997" spans="1:56">
      <c r="A997" s="781">
        <v>2</v>
      </c>
      <c r="B997" s="782">
        <v>252</v>
      </c>
      <c r="C997" s="783">
        <v>45494</v>
      </c>
      <c r="D997" s="785" t="s">
        <v>162</v>
      </c>
      <c r="E997" s="808">
        <v>14385</v>
      </c>
      <c r="F997" s="799"/>
      <c r="G997" s="799"/>
      <c r="H997" s="1592">
        <f t="shared" si="45"/>
        <v>0</v>
      </c>
      <c r="I997" s="754" t="str">
        <f>IFERROR(VLOOKUP(B997,Mychart!$A$125:$B$911,2,FALSE),"-")</f>
        <v>Mohamed Saif - HBC</v>
      </c>
      <c r="J997" s="753">
        <f t="shared" si="46"/>
        <v>7</v>
      </c>
      <c r="K997" s="1540">
        <f t="shared" si="47"/>
        <v>2024</v>
      </c>
      <c r="L997" s="757"/>
      <c r="M997" s="757"/>
      <c r="N997" s="757"/>
      <c r="O997" s="757"/>
      <c r="P997" s="757"/>
      <c r="Q997" s="757"/>
      <c r="R997" s="757"/>
      <c r="S997" s="757"/>
      <c r="T997" s="757"/>
      <c r="U997" s="757"/>
      <c r="V997" s="757"/>
      <c r="W997" s="757"/>
      <c r="X997" s="757"/>
      <c r="Y997" s="757"/>
      <c r="Z997" s="757"/>
      <c r="AA997" s="757"/>
      <c r="AB997" s="757"/>
      <c r="AC997" s="757"/>
      <c r="AD997" s="757"/>
      <c r="AE997" s="757"/>
      <c r="AF997" s="757"/>
      <c r="AG997" s="757"/>
      <c r="AH997" s="757"/>
      <c r="AI997" s="757"/>
      <c r="AJ997" s="757"/>
      <c r="AK997" s="757"/>
      <c r="AL997" s="757"/>
      <c r="AM997" s="757"/>
      <c r="AN997" s="757"/>
      <c r="AO997" s="757"/>
      <c r="AP997" s="757"/>
      <c r="AQ997" s="757"/>
      <c r="AR997" s="757"/>
      <c r="AS997" s="757"/>
      <c r="AT997" s="757"/>
      <c r="AU997" s="757"/>
      <c r="AV997" s="757"/>
      <c r="AW997" s="757"/>
      <c r="AX997" s="757"/>
      <c r="AY997" s="757"/>
      <c r="AZ997" s="75"/>
      <c r="BA997" s="2"/>
      <c r="BB997" s="2"/>
      <c r="BC997" s="2"/>
      <c r="BD997" s="2"/>
    </row>
    <row r="998" spans="1:56">
      <c r="A998" s="781">
        <v>2</v>
      </c>
      <c r="B998" s="782">
        <v>242</v>
      </c>
      <c r="C998" s="783">
        <v>38169</v>
      </c>
      <c r="D998" s="785" t="s">
        <v>167</v>
      </c>
      <c r="E998" s="808">
        <v>44.215499999999999</v>
      </c>
      <c r="F998" s="799"/>
      <c r="G998" s="799"/>
      <c r="H998" s="1592">
        <f t="shared" si="45"/>
        <v>0</v>
      </c>
      <c r="I998" s="754" t="str">
        <f>IFERROR(VLOOKUP(B998,Mychart!$A$125:$B$911,2,FALSE),"-")</f>
        <v>AMMAR - ARCHPIX</v>
      </c>
      <c r="J998" s="753">
        <f t="shared" si="46"/>
        <v>7</v>
      </c>
      <c r="K998" s="1540">
        <f t="shared" si="47"/>
        <v>2004</v>
      </c>
      <c r="L998" s="757"/>
      <c r="M998" s="757"/>
      <c r="N998" s="757"/>
      <c r="O998" s="757"/>
      <c r="P998" s="757"/>
      <c r="Q998" s="757"/>
      <c r="R998" s="757"/>
      <c r="S998" s="757"/>
      <c r="T998" s="757"/>
      <c r="U998" s="757"/>
      <c r="V998" s="757"/>
      <c r="W998" s="757"/>
      <c r="X998" s="757"/>
      <c r="Y998" s="757"/>
      <c r="Z998" s="757"/>
      <c r="AA998" s="757"/>
      <c r="AB998" s="757"/>
      <c r="AC998" s="757"/>
      <c r="AD998" s="757"/>
      <c r="AE998" s="757"/>
      <c r="AF998" s="757"/>
      <c r="AG998" s="757"/>
      <c r="AH998" s="757"/>
      <c r="AI998" s="757"/>
      <c r="AJ998" s="757"/>
      <c r="AK998" s="757"/>
      <c r="AL998" s="757"/>
      <c r="AM998" s="757"/>
      <c r="AN998" s="757"/>
      <c r="AO998" s="757"/>
      <c r="AP998" s="757"/>
      <c r="AQ998" s="757"/>
      <c r="AR998" s="757"/>
      <c r="AS998" s="757"/>
      <c r="AT998" s="757"/>
      <c r="AU998" s="757"/>
      <c r="AV998" s="757"/>
      <c r="AW998" s="757"/>
      <c r="AX998" s="757"/>
      <c r="AY998" s="757"/>
      <c r="AZ998" s="75"/>
      <c r="BA998" s="2"/>
      <c r="BB998" s="2"/>
      <c r="BC998" s="2"/>
      <c r="BD998" s="2"/>
    </row>
    <row r="999" spans="1:56">
      <c r="A999" s="781">
        <v>2</v>
      </c>
      <c r="B999" s="782">
        <v>258</v>
      </c>
      <c r="C999" s="783">
        <v>45481</v>
      </c>
      <c r="D999" s="785" t="s">
        <v>165</v>
      </c>
      <c r="E999" s="808">
        <v>4374.0375000000004</v>
      </c>
      <c r="F999" s="799"/>
      <c r="G999" s="799"/>
      <c r="H999" s="1592">
        <f t="shared" si="45"/>
        <v>0</v>
      </c>
      <c r="I999" s="754" t="str">
        <f>IFERROR(VLOOKUP(B999,Mychart!$A$125:$B$911,2,FALSE),"-")</f>
        <v>MAJID ALSHEHY</v>
      </c>
      <c r="J999" s="753">
        <f t="shared" si="46"/>
        <v>7</v>
      </c>
      <c r="K999" s="1540">
        <f t="shared" si="47"/>
        <v>2024</v>
      </c>
      <c r="L999" s="757"/>
      <c r="M999" s="757"/>
      <c r="N999" s="757"/>
      <c r="O999" s="757"/>
      <c r="P999" s="757"/>
      <c r="Q999" s="757"/>
      <c r="R999" s="757"/>
      <c r="S999" s="757"/>
      <c r="T999" s="757"/>
      <c r="U999" s="757"/>
      <c r="V999" s="757"/>
      <c r="W999" s="757"/>
      <c r="X999" s="757"/>
      <c r="Y999" s="757"/>
      <c r="Z999" s="757"/>
      <c r="AA999" s="757"/>
      <c r="AB999" s="757"/>
      <c r="AC999" s="757"/>
      <c r="AD999" s="757"/>
      <c r="AE999" s="757"/>
      <c r="AF999" s="757"/>
      <c r="AG999" s="757"/>
      <c r="AH999" s="757"/>
      <c r="AI999" s="757"/>
      <c r="AJ999" s="757"/>
      <c r="AK999" s="757"/>
      <c r="AL999" s="757"/>
      <c r="AM999" s="757"/>
      <c r="AN999" s="757"/>
      <c r="AO999" s="757"/>
      <c r="AP999" s="757"/>
      <c r="AQ999" s="757"/>
      <c r="AR999" s="757"/>
      <c r="AS999" s="757"/>
      <c r="AT999" s="757"/>
      <c r="AU999" s="757"/>
      <c r="AV999" s="757"/>
      <c r="AW999" s="757"/>
      <c r="AX999" s="757"/>
      <c r="AY999" s="757"/>
      <c r="AZ999" s="75"/>
      <c r="BA999" s="2"/>
      <c r="BB999" s="2"/>
      <c r="BC999" s="2"/>
      <c r="BD999" s="2"/>
    </row>
    <row r="1000" spans="1:56">
      <c r="A1000" s="781">
        <v>2</v>
      </c>
      <c r="B1000" s="782">
        <v>217</v>
      </c>
      <c r="C1000" s="783">
        <v>45491</v>
      </c>
      <c r="D1000" s="785" t="s">
        <v>166</v>
      </c>
      <c r="E1000" s="808">
        <v>6448.8060000000005</v>
      </c>
      <c r="F1000" s="799"/>
      <c r="G1000" s="799"/>
      <c r="H1000" s="1592">
        <f t="shared" si="45"/>
        <v>0</v>
      </c>
      <c r="I1000" s="754" t="str">
        <f>IFERROR(VLOOKUP(B1000,Mychart!$A$125:$B$911,2,FALSE),"-")</f>
        <v>MOHAMED MUHAIR . AREEJ</v>
      </c>
      <c r="J1000" s="753">
        <f t="shared" si="46"/>
        <v>7</v>
      </c>
      <c r="K1000" s="1540">
        <f t="shared" si="47"/>
        <v>2024</v>
      </c>
      <c r="L1000" s="757"/>
      <c r="M1000" s="757"/>
      <c r="N1000" s="757"/>
      <c r="O1000" s="757"/>
      <c r="P1000" s="757"/>
      <c r="Q1000" s="757"/>
      <c r="R1000" s="757"/>
      <c r="S1000" s="757"/>
      <c r="T1000" s="757"/>
      <c r="U1000" s="757"/>
      <c r="V1000" s="757"/>
      <c r="W1000" s="757"/>
      <c r="X1000" s="757"/>
      <c r="Y1000" s="757"/>
      <c r="Z1000" s="757"/>
      <c r="AA1000" s="757"/>
      <c r="AB1000" s="757"/>
      <c r="AC1000" s="757"/>
      <c r="AD1000" s="757"/>
      <c r="AE1000" s="757"/>
      <c r="AF1000" s="757"/>
      <c r="AG1000" s="757"/>
      <c r="AH1000" s="757"/>
      <c r="AI1000" s="757"/>
      <c r="AJ1000" s="757"/>
      <c r="AK1000" s="757"/>
      <c r="AL1000" s="757"/>
      <c r="AM1000" s="757"/>
      <c r="AN1000" s="757"/>
      <c r="AO1000" s="757"/>
      <c r="AP1000" s="757"/>
      <c r="AQ1000" s="757"/>
      <c r="AR1000" s="757"/>
      <c r="AS1000" s="757"/>
      <c r="AT1000" s="757"/>
      <c r="AU1000" s="757"/>
      <c r="AV1000" s="757"/>
      <c r="AW1000" s="757"/>
      <c r="AX1000" s="757"/>
      <c r="AY1000" s="757"/>
      <c r="AZ1000" s="75"/>
      <c r="BA1000" s="2"/>
      <c r="BB1000" s="2"/>
      <c r="BC1000" s="2"/>
      <c r="BD1000" s="2"/>
    </row>
    <row r="1001" spans="1:56">
      <c r="A1001" s="781">
        <v>2</v>
      </c>
      <c r="B1001" s="782">
        <v>221</v>
      </c>
      <c r="C1001" s="783">
        <v>45491</v>
      </c>
      <c r="D1001" s="785" t="s">
        <v>166</v>
      </c>
      <c r="E1001" s="808">
        <v>5200.5974999999999</v>
      </c>
      <c r="F1001" s="799"/>
      <c r="G1001" s="799"/>
      <c r="H1001" s="1592">
        <f t="shared" si="45"/>
        <v>0</v>
      </c>
      <c r="I1001" s="754" t="str">
        <f>IFERROR(VLOOKUP(B1001,Mychart!$A$125:$B$911,2,FALSE),"-")</f>
        <v>SAEED - ARCHPIX</v>
      </c>
      <c r="J1001" s="753">
        <f t="shared" si="46"/>
        <v>7</v>
      </c>
      <c r="K1001" s="1540">
        <f t="shared" si="47"/>
        <v>2024</v>
      </c>
      <c r="L1001" s="757"/>
      <c r="M1001" s="757"/>
      <c r="N1001" s="757"/>
      <c r="O1001" s="757"/>
      <c r="P1001" s="757"/>
      <c r="Q1001" s="757"/>
      <c r="R1001" s="757"/>
      <c r="S1001" s="757"/>
      <c r="T1001" s="757"/>
      <c r="U1001" s="757"/>
      <c r="V1001" s="757"/>
      <c r="W1001" s="757"/>
      <c r="X1001" s="757"/>
      <c r="Y1001" s="757"/>
      <c r="Z1001" s="757"/>
      <c r="AA1001" s="757"/>
      <c r="AB1001" s="757"/>
      <c r="AC1001" s="757"/>
      <c r="AD1001" s="757"/>
      <c r="AE1001" s="757"/>
      <c r="AF1001" s="757"/>
      <c r="AG1001" s="757"/>
      <c r="AH1001" s="757"/>
      <c r="AI1001" s="757"/>
      <c r="AJ1001" s="757"/>
      <c r="AK1001" s="757"/>
      <c r="AL1001" s="757"/>
      <c r="AM1001" s="757"/>
      <c r="AN1001" s="757"/>
      <c r="AO1001" s="757"/>
      <c r="AP1001" s="757"/>
      <c r="AQ1001" s="757"/>
      <c r="AR1001" s="757"/>
      <c r="AS1001" s="757"/>
      <c r="AT1001" s="757"/>
      <c r="AU1001" s="757"/>
      <c r="AV1001" s="757"/>
      <c r="AW1001" s="757"/>
      <c r="AX1001" s="757"/>
      <c r="AY1001" s="757"/>
      <c r="AZ1001" s="75"/>
      <c r="BA1001" s="2"/>
      <c r="BB1001" s="2"/>
      <c r="BC1001" s="2"/>
      <c r="BD1001" s="2"/>
    </row>
    <row r="1002" spans="1:56">
      <c r="A1002" s="781">
        <v>2</v>
      </c>
      <c r="B1002" s="782">
        <v>218</v>
      </c>
      <c r="C1002" s="783">
        <v>45496</v>
      </c>
      <c r="D1002" s="785" t="s">
        <v>1061</v>
      </c>
      <c r="E1002" s="808">
        <v>4569.8625000000002</v>
      </c>
      <c r="F1002" s="799"/>
      <c r="G1002" s="799"/>
      <c r="H1002" s="1592">
        <f t="shared" si="45"/>
        <v>0</v>
      </c>
      <c r="I1002" s="754" t="str">
        <f>IFERROR(VLOOKUP(B1002,Mychart!$A$125:$B$911,2,FALSE),"-")</f>
        <v>RASHED FALASI - AREEJ</v>
      </c>
      <c r="J1002" s="753">
        <f t="shared" si="46"/>
        <v>7</v>
      </c>
      <c r="K1002" s="1540">
        <f t="shared" si="47"/>
        <v>2024</v>
      </c>
      <c r="L1002" s="757"/>
      <c r="M1002" s="757"/>
      <c r="N1002" s="757"/>
      <c r="O1002" s="757"/>
      <c r="P1002" s="757"/>
      <c r="Q1002" s="757"/>
      <c r="R1002" s="757"/>
      <c r="S1002" s="757"/>
      <c r="T1002" s="757"/>
      <c r="U1002" s="757"/>
      <c r="V1002" s="757"/>
      <c r="W1002" s="757"/>
      <c r="X1002" s="757"/>
      <c r="Y1002" s="757"/>
      <c r="Z1002" s="757"/>
      <c r="AA1002" s="757"/>
      <c r="AB1002" s="757"/>
      <c r="AC1002" s="757"/>
      <c r="AD1002" s="757"/>
      <c r="AE1002" s="757"/>
      <c r="AF1002" s="757"/>
      <c r="AG1002" s="757"/>
      <c r="AH1002" s="757"/>
      <c r="AI1002" s="757"/>
      <c r="AJ1002" s="757"/>
      <c r="AK1002" s="757"/>
      <c r="AL1002" s="757"/>
      <c r="AM1002" s="757"/>
      <c r="AN1002" s="757"/>
      <c r="AO1002" s="757"/>
      <c r="AP1002" s="757"/>
      <c r="AQ1002" s="757"/>
      <c r="AR1002" s="757"/>
      <c r="AS1002" s="757"/>
      <c r="AT1002" s="757"/>
      <c r="AU1002" s="757"/>
      <c r="AV1002" s="757"/>
      <c r="AW1002" s="757"/>
      <c r="AX1002" s="757"/>
      <c r="AY1002" s="757"/>
      <c r="AZ1002" s="75"/>
      <c r="BA1002" s="2"/>
      <c r="BB1002" s="2"/>
      <c r="BC1002" s="2"/>
      <c r="BD1002" s="2"/>
    </row>
    <row r="1003" spans="1:56">
      <c r="A1003" s="781">
        <v>2</v>
      </c>
      <c r="B1003" s="782">
        <v>252</v>
      </c>
      <c r="C1003" s="783">
        <v>45496</v>
      </c>
      <c r="D1003" s="785" t="s">
        <v>1061</v>
      </c>
      <c r="E1003" s="808">
        <v>4569.8625000000002</v>
      </c>
      <c r="F1003" s="799"/>
      <c r="G1003" s="799"/>
      <c r="H1003" s="1592">
        <f t="shared" si="45"/>
        <v>0</v>
      </c>
      <c r="I1003" s="754" t="str">
        <f>IFERROR(VLOOKUP(B1003,Mychart!$A$125:$B$911,2,FALSE),"-")</f>
        <v>Mohamed Saif - HBC</v>
      </c>
      <c r="J1003" s="753">
        <f t="shared" si="46"/>
        <v>7</v>
      </c>
      <c r="K1003" s="1540">
        <f t="shared" si="47"/>
        <v>2024</v>
      </c>
      <c r="L1003" s="757"/>
      <c r="M1003" s="757"/>
      <c r="N1003" s="757"/>
      <c r="O1003" s="757"/>
      <c r="P1003" s="757"/>
      <c r="Q1003" s="757"/>
      <c r="R1003" s="757"/>
      <c r="S1003" s="757"/>
      <c r="T1003" s="757"/>
      <c r="U1003" s="757"/>
      <c r="V1003" s="757"/>
      <c r="W1003" s="757"/>
      <c r="X1003" s="757"/>
      <c r="Y1003" s="757"/>
      <c r="Z1003" s="757"/>
      <c r="AA1003" s="757"/>
      <c r="AB1003" s="757"/>
      <c r="AC1003" s="757"/>
      <c r="AD1003" s="757"/>
      <c r="AE1003" s="757"/>
      <c r="AF1003" s="757"/>
      <c r="AG1003" s="757"/>
      <c r="AH1003" s="757"/>
      <c r="AI1003" s="757"/>
      <c r="AJ1003" s="757"/>
      <c r="AK1003" s="757"/>
      <c r="AL1003" s="757"/>
      <c r="AM1003" s="757"/>
      <c r="AN1003" s="757"/>
      <c r="AO1003" s="757"/>
      <c r="AP1003" s="757"/>
      <c r="AQ1003" s="757"/>
      <c r="AR1003" s="757"/>
      <c r="AS1003" s="757"/>
      <c r="AT1003" s="757"/>
      <c r="AU1003" s="757"/>
      <c r="AV1003" s="757"/>
      <c r="AW1003" s="757"/>
      <c r="AX1003" s="757"/>
      <c r="AY1003" s="757"/>
      <c r="AZ1003" s="75"/>
      <c r="BA1003" s="2"/>
      <c r="BB1003" s="2"/>
      <c r="BC1003" s="2"/>
      <c r="BD1003" s="2"/>
    </row>
    <row r="1004" spans="1:56">
      <c r="A1004" s="793"/>
      <c r="B1004" s="794">
        <v>218</v>
      </c>
      <c r="C1004" s="795">
        <v>45498</v>
      </c>
      <c r="D1004" s="796" t="s">
        <v>1110</v>
      </c>
      <c r="E1004" s="808">
        <v>0</v>
      </c>
      <c r="F1004" s="799"/>
      <c r="G1004" s="799"/>
      <c r="H1004" s="1592">
        <f t="shared" si="45"/>
        <v>0</v>
      </c>
      <c r="I1004" s="754" t="str">
        <f>IFERROR(VLOOKUP(B1004,Mychart!$A$125:$B$911,2,FALSE),"-")</f>
        <v>RASHED FALASI - AREEJ</v>
      </c>
      <c r="J1004" s="753">
        <f t="shared" si="46"/>
        <v>7</v>
      </c>
      <c r="K1004" s="1540">
        <f t="shared" si="47"/>
        <v>2024</v>
      </c>
      <c r="L1004" s="757"/>
      <c r="M1004" s="757"/>
      <c r="N1004" s="757"/>
      <c r="O1004" s="757"/>
      <c r="P1004" s="757"/>
      <c r="Q1004" s="757"/>
      <c r="R1004" s="757"/>
      <c r="S1004" s="757"/>
      <c r="T1004" s="757"/>
      <c r="U1004" s="757"/>
      <c r="V1004" s="757"/>
      <c r="W1004" s="757"/>
      <c r="X1004" s="757"/>
      <c r="Y1004" s="757"/>
      <c r="Z1004" s="757"/>
      <c r="AA1004" s="757"/>
      <c r="AB1004" s="757"/>
      <c r="AC1004" s="757"/>
      <c r="AD1004" s="757"/>
      <c r="AE1004" s="757"/>
      <c r="AF1004" s="757"/>
      <c r="AG1004" s="757"/>
      <c r="AH1004" s="757"/>
      <c r="AI1004" s="757"/>
      <c r="AJ1004" s="757"/>
      <c r="AK1004" s="757"/>
      <c r="AL1004" s="757"/>
      <c r="AM1004" s="757"/>
      <c r="AN1004" s="757"/>
      <c r="AO1004" s="757"/>
      <c r="AP1004" s="757"/>
      <c r="AQ1004" s="757"/>
      <c r="AR1004" s="757"/>
      <c r="AS1004" s="757"/>
      <c r="AT1004" s="757"/>
      <c r="AU1004" s="757"/>
      <c r="AV1004" s="757"/>
      <c r="AW1004" s="757"/>
      <c r="AX1004" s="757"/>
      <c r="AY1004" s="757"/>
      <c r="AZ1004" s="75"/>
      <c r="BA1004" s="2"/>
      <c r="BB1004" s="2"/>
      <c r="BC1004" s="2"/>
      <c r="BD1004" s="2"/>
    </row>
    <row r="1005" spans="1:56">
      <c r="A1005" s="781">
        <v>1</v>
      </c>
      <c r="B1005" s="782">
        <v>279</v>
      </c>
      <c r="C1005" s="783">
        <v>45502</v>
      </c>
      <c r="D1005" s="785" t="s">
        <v>1103</v>
      </c>
      <c r="E1005" s="808"/>
      <c r="F1005" s="799">
        <v>65200</v>
      </c>
      <c r="G1005" s="799">
        <v>4220</v>
      </c>
      <c r="H1005" s="1592">
        <f t="shared" si="45"/>
        <v>69420</v>
      </c>
      <c r="I1005" s="754" t="str">
        <f>IFERROR(VLOOKUP(B1005,Mychart!$A$125:$B$911,2,FALSE),"-")</f>
        <v>Shams Saeed Sultan AL Kitbee</v>
      </c>
      <c r="J1005" s="753">
        <f t="shared" si="46"/>
        <v>7</v>
      </c>
      <c r="K1005" s="1540">
        <f t="shared" si="47"/>
        <v>2024</v>
      </c>
      <c r="L1005" s="757"/>
      <c r="M1005" s="757"/>
      <c r="N1005" s="757"/>
      <c r="O1005" s="757"/>
      <c r="P1005" s="757"/>
      <c r="Q1005" s="757"/>
      <c r="R1005" s="757"/>
      <c r="S1005" s="757"/>
      <c r="T1005" s="757"/>
      <c r="U1005" s="757"/>
      <c r="V1005" s="757"/>
      <c r="W1005" s="757"/>
      <c r="X1005" s="757"/>
      <c r="Y1005" s="757"/>
      <c r="Z1005" s="757"/>
      <c r="AA1005" s="757"/>
      <c r="AB1005" s="757"/>
      <c r="AC1005" s="757"/>
      <c r="AD1005" s="757"/>
      <c r="AE1005" s="757"/>
      <c r="AF1005" s="757"/>
      <c r="AG1005" s="757"/>
      <c r="AH1005" s="757"/>
      <c r="AI1005" s="757"/>
      <c r="AJ1005" s="757"/>
      <c r="AK1005" s="757"/>
      <c r="AL1005" s="757"/>
      <c r="AM1005" s="757"/>
      <c r="AN1005" s="757"/>
      <c r="AO1005" s="757"/>
      <c r="AP1005" s="757"/>
      <c r="AQ1005" s="757"/>
      <c r="AR1005" s="757"/>
      <c r="AS1005" s="757"/>
      <c r="AT1005" s="757"/>
      <c r="AU1005" s="757"/>
      <c r="AV1005" s="757"/>
      <c r="AW1005" s="757"/>
      <c r="AX1005" s="757"/>
      <c r="AY1005" s="757"/>
      <c r="AZ1005" s="75"/>
      <c r="BA1005" s="2"/>
      <c r="BB1005" s="2"/>
      <c r="BC1005" s="2"/>
      <c r="BD1005" s="2"/>
    </row>
    <row r="1006" spans="1:56">
      <c r="A1006" s="781">
        <v>1</v>
      </c>
      <c r="B1006" s="782">
        <v>239</v>
      </c>
      <c r="C1006" s="783">
        <v>45501</v>
      </c>
      <c r="D1006" s="785" t="s">
        <v>1108</v>
      </c>
      <c r="E1006" s="808"/>
      <c r="F1006" s="799">
        <v>10000</v>
      </c>
      <c r="G1006" s="799">
        <v>0</v>
      </c>
      <c r="H1006" s="1592">
        <f t="shared" si="45"/>
        <v>10000</v>
      </c>
      <c r="I1006" s="754" t="str">
        <f>IFERROR(VLOOKUP(B1006,Mychart!$A$125:$B$911,2,FALSE),"-")</f>
        <v>FAISAL  JASEEM - DIAGRAM</v>
      </c>
      <c r="J1006" s="753">
        <f t="shared" si="46"/>
        <v>7</v>
      </c>
      <c r="K1006" s="1540">
        <f t="shared" si="47"/>
        <v>2024</v>
      </c>
      <c r="L1006" s="757"/>
      <c r="M1006" s="757"/>
      <c r="N1006" s="757"/>
      <c r="O1006" s="757"/>
      <c r="P1006" s="757"/>
      <c r="Q1006" s="757"/>
      <c r="R1006" s="757"/>
      <c r="S1006" s="757"/>
      <c r="T1006" s="757"/>
      <c r="U1006" s="757"/>
      <c r="V1006" s="757"/>
      <c r="W1006" s="757"/>
      <c r="X1006" s="757"/>
      <c r="Y1006" s="757"/>
      <c r="Z1006" s="757"/>
      <c r="AA1006" s="757"/>
      <c r="AB1006" s="757"/>
      <c r="AC1006" s="757"/>
      <c r="AD1006" s="757"/>
      <c r="AE1006" s="757"/>
      <c r="AF1006" s="757"/>
      <c r="AG1006" s="757"/>
      <c r="AH1006" s="757"/>
      <c r="AI1006" s="757"/>
      <c r="AJ1006" s="757"/>
      <c r="AK1006" s="757"/>
      <c r="AL1006" s="757"/>
      <c r="AM1006" s="757"/>
      <c r="AN1006" s="757"/>
      <c r="AO1006" s="757"/>
      <c r="AP1006" s="757"/>
      <c r="AQ1006" s="757"/>
      <c r="AR1006" s="757"/>
      <c r="AS1006" s="757"/>
      <c r="AT1006" s="757"/>
      <c r="AU1006" s="757"/>
      <c r="AV1006" s="757"/>
      <c r="AW1006" s="757"/>
      <c r="AX1006" s="757"/>
      <c r="AY1006" s="757"/>
      <c r="AZ1006" s="75"/>
      <c r="BA1006" s="2"/>
      <c r="BB1006" s="2"/>
      <c r="BC1006" s="2"/>
      <c r="BD1006" s="2"/>
    </row>
    <row r="1007" spans="1:56">
      <c r="A1007" s="781">
        <v>1</v>
      </c>
      <c r="B1007" s="782">
        <v>239</v>
      </c>
      <c r="C1007" s="783">
        <v>45501</v>
      </c>
      <c r="D1007" s="785" t="s">
        <v>1102</v>
      </c>
      <c r="E1007" s="808"/>
      <c r="F1007" s="799">
        <v>9500</v>
      </c>
      <c r="G1007" s="799">
        <v>475</v>
      </c>
      <c r="H1007" s="1592">
        <f t="shared" si="45"/>
        <v>9975</v>
      </c>
      <c r="I1007" s="754" t="str">
        <f>IFERROR(VLOOKUP(B1007,Mychart!$A$125:$B$911,2,FALSE),"-")</f>
        <v>FAISAL  JASEEM - DIAGRAM</v>
      </c>
      <c r="J1007" s="753">
        <f t="shared" si="46"/>
        <v>7</v>
      </c>
      <c r="K1007" s="1540">
        <f t="shared" si="47"/>
        <v>2024</v>
      </c>
      <c r="L1007" s="757"/>
      <c r="M1007" s="757"/>
      <c r="N1007" s="757"/>
      <c r="O1007" s="757"/>
      <c r="P1007" s="757"/>
      <c r="Q1007" s="757"/>
      <c r="R1007" s="757"/>
      <c r="S1007" s="757"/>
      <c r="T1007" s="757"/>
      <c r="U1007" s="757"/>
      <c r="V1007" s="757"/>
      <c r="W1007" s="757"/>
      <c r="X1007" s="757"/>
      <c r="Y1007" s="757"/>
      <c r="Z1007" s="757"/>
      <c r="AA1007" s="757"/>
      <c r="AB1007" s="757"/>
      <c r="AC1007" s="757"/>
      <c r="AD1007" s="757"/>
      <c r="AE1007" s="757"/>
      <c r="AF1007" s="757"/>
      <c r="AG1007" s="757"/>
      <c r="AH1007" s="757"/>
      <c r="AI1007" s="757"/>
      <c r="AJ1007" s="757"/>
      <c r="AK1007" s="757"/>
      <c r="AL1007" s="757"/>
      <c r="AM1007" s="757"/>
      <c r="AN1007" s="757"/>
      <c r="AO1007" s="757"/>
      <c r="AP1007" s="757"/>
      <c r="AQ1007" s="757"/>
      <c r="AR1007" s="757"/>
      <c r="AS1007" s="757"/>
      <c r="AT1007" s="757"/>
      <c r="AU1007" s="757"/>
      <c r="AV1007" s="757"/>
      <c r="AW1007" s="757"/>
      <c r="AX1007" s="757"/>
      <c r="AY1007" s="757"/>
      <c r="AZ1007" s="75"/>
      <c r="BA1007" s="2"/>
      <c r="BB1007" s="2"/>
      <c r="BC1007" s="2"/>
      <c r="BD1007" s="2"/>
    </row>
    <row r="1008" spans="1:56">
      <c r="A1008" s="781">
        <v>1</v>
      </c>
      <c r="B1008" s="782">
        <v>242</v>
      </c>
      <c r="C1008" s="783">
        <v>45498</v>
      </c>
      <c r="D1008" s="785" t="s">
        <v>1104</v>
      </c>
      <c r="E1008" s="808"/>
      <c r="F1008" s="799">
        <v>72300</v>
      </c>
      <c r="G1008" s="799">
        <v>3615</v>
      </c>
      <c r="H1008" s="1592">
        <f t="shared" si="45"/>
        <v>75915</v>
      </c>
      <c r="I1008" s="754" t="str">
        <f>IFERROR(VLOOKUP(B1008,Mychart!$A$125:$B$911,2,FALSE),"-")</f>
        <v>AMMAR - ARCHPIX</v>
      </c>
      <c r="J1008" s="753">
        <f t="shared" si="46"/>
        <v>7</v>
      </c>
      <c r="K1008" s="1540">
        <f t="shared" si="47"/>
        <v>2024</v>
      </c>
      <c r="L1008" s="757"/>
      <c r="M1008" s="757"/>
      <c r="N1008" s="757"/>
      <c r="O1008" s="757"/>
      <c r="P1008" s="757"/>
      <c r="Q1008" s="757"/>
      <c r="R1008" s="757"/>
      <c r="S1008" s="757"/>
      <c r="T1008" s="757"/>
      <c r="U1008" s="757"/>
      <c r="V1008" s="757"/>
      <c r="W1008" s="757"/>
      <c r="X1008" s="757"/>
      <c r="Y1008" s="757"/>
      <c r="Z1008" s="757"/>
      <c r="AA1008" s="757"/>
      <c r="AB1008" s="757"/>
      <c r="AC1008" s="757"/>
      <c r="AD1008" s="757"/>
      <c r="AE1008" s="757"/>
      <c r="AF1008" s="757"/>
      <c r="AG1008" s="757"/>
      <c r="AH1008" s="757"/>
      <c r="AI1008" s="757"/>
      <c r="AJ1008" s="757"/>
      <c r="AK1008" s="757"/>
      <c r="AL1008" s="757"/>
      <c r="AM1008" s="757"/>
      <c r="AN1008" s="757"/>
      <c r="AO1008" s="757"/>
      <c r="AP1008" s="757"/>
      <c r="AQ1008" s="757"/>
      <c r="AR1008" s="757"/>
      <c r="AS1008" s="757"/>
      <c r="AT1008" s="757"/>
      <c r="AU1008" s="757"/>
      <c r="AV1008" s="757"/>
      <c r="AW1008" s="757"/>
      <c r="AX1008" s="757"/>
      <c r="AY1008" s="757"/>
      <c r="AZ1008" s="75"/>
      <c r="BA1008" s="2"/>
      <c r="BB1008" s="2"/>
      <c r="BC1008" s="2"/>
      <c r="BD1008" s="2"/>
    </row>
    <row r="1009" spans="1:56">
      <c r="A1009" s="793"/>
      <c r="B1009" s="794">
        <v>242</v>
      </c>
      <c r="C1009" s="795">
        <v>45503</v>
      </c>
      <c r="D1009" s="1056" t="s">
        <v>1105</v>
      </c>
      <c r="E1009" s="808">
        <v>0</v>
      </c>
      <c r="F1009" s="799"/>
      <c r="G1009" s="799"/>
      <c r="H1009" s="1592">
        <f t="shared" si="45"/>
        <v>0</v>
      </c>
      <c r="I1009" s="754" t="str">
        <f>IFERROR(VLOOKUP(B1009,Mychart!$A$125:$B$911,2,FALSE),"-")</f>
        <v>AMMAR - ARCHPIX</v>
      </c>
      <c r="J1009" s="753">
        <f t="shared" si="46"/>
        <v>7</v>
      </c>
      <c r="K1009" s="1540">
        <f t="shared" si="47"/>
        <v>2024</v>
      </c>
      <c r="L1009" s="757"/>
      <c r="M1009" s="757"/>
      <c r="N1009" s="757"/>
      <c r="O1009" s="757"/>
      <c r="P1009" s="757"/>
      <c r="Q1009" s="757"/>
      <c r="R1009" s="757"/>
      <c r="S1009" s="757"/>
      <c r="T1009" s="757"/>
      <c r="U1009" s="757"/>
      <c r="V1009" s="757"/>
      <c r="W1009" s="757"/>
      <c r="X1009" s="757"/>
      <c r="Y1009" s="757"/>
      <c r="Z1009" s="757"/>
      <c r="AA1009" s="757"/>
      <c r="AB1009" s="757"/>
      <c r="AC1009" s="757"/>
      <c r="AD1009" s="757"/>
      <c r="AE1009" s="757"/>
      <c r="AF1009" s="757"/>
      <c r="AG1009" s="757"/>
      <c r="AH1009" s="757"/>
      <c r="AI1009" s="757"/>
      <c r="AJ1009" s="757"/>
      <c r="AK1009" s="757"/>
      <c r="AL1009" s="757"/>
      <c r="AM1009" s="757"/>
      <c r="AN1009" s="757"/>
      <c r="AO1009" s="757"/>
      <c r="AP1009" s="757"/>
      <c r="AQ1009" s="757"/>
      <c r="AR1009" s="757"/>
      <c r="AS1009" s="757"/>
      <c r="AT1009" s="757"/>
      <c r="AU1009" s="757"/>
      <c r="AV1009" s="757"/>
      <c r="AW1009" s="757"/>
      <c r="AX1009" s="757"/>
      <c r="AY1009" s="757"/>
      <c r="AZ1009" s="75"/>
      <c r="BA1009" s="2"/>
      <c r="BB1009" s="2"/>
      <c r="BC1009" s="2"/>
      <c r="BD1009" s="2"/>
    </row>
    <row r="1010" spans="1:56">
      <c r="A1010" s="781">
        <v>2</v>
      </c>
      <c r="B1010" s="782">
        <v>242</v>
      </c>
      <c r="C1010" s="783">
        <v>45502</v>
      </c>
      <c r="D1010" s="785" t="s">
        <v>1106</v>
      </c>
      <c r="E1010" s="808">
        <v>18942</v>
      </c>
      <c r="F1010" s="799"/>
      <c r="G1010" s="799"/>
      <c r="H1010" s="1592">
        <f t="shared" si="45"/>
        <v>0</v>
      </c>
      <c r="I1010" s="754" t="str">
        <f>IFERROR(VLOOKUP(B1010,Mychart!$A$125:$B$911,2,FALSE),"-")</f>
        <v>AMMAR - ARCHPIX</v>
      </c>
      <c r="J1010" s="753">
        <f t="shared" si="46"/>
        <v>7</v>
      </c>
      <c r="K1010" s="1540">
        <f t="shared" si="47"/>
        <v>2024</v>
      </c>
      <c r="L1010" s="757"/>
      <c r="M1010" s="757"/>
      <c r="N1010" s="757"/>
      <c r="O1010" s="757"/>
      <c r="P1010" s="757"/>
      <c r="Q1010" s="757"/>
      <c r="R1010" s="757"/>
      <c r="S1010" s="757"/>
      <c r="T1010" s="757"/>
      <c r="U1010" s="757"/>
      <c r="V1010" s="757"/>
      <c r="W1010" s="757"/>
      <c r="X1010" s="757"/>
      <c r="Y1010" s="757"/>
      <c r="Z1010" s="757"/>
      <c r="AA1010" s="757"/>
      <c r="AB1010" s="757"/>
      <c r="AC1010" s="757"/>
      <c r="AD1010" s="757"/>
      <c r="AE1010" s="757"/>
      <c r="AF1010" s="757"/>
      <c r="AG1010" s="757"/>
      <c r="AH1010" s="757"/>
      <c r="AI1010" s="757"/>
      <c r="AJ1010" s="757"/>
      <c r="AK1010" s="757"/>
      <c r="AL1010" s="757"/>
      <c r="AM1010" s="757"/>
      <c r="AN1010" s="757"/>
      <c r="AO1010" s="757"/>
      <c r="AP1010" s="757"/>
      <c r="AQ1010" s="757"/>
      <c r="AR1010" s="757"/>
      <c r="AS1010" s="757"/>
      <c r="AT1010" s="757"/>
      <c r="AU1010" s="757"/>
      <c r="AV1010" s="757"/>
      <c r="AW1010" s="757"/>
      <c r="AX1010" s="757"/>
      <c r="AY1010" s="757"/>
      <c r="AZ1010" s="75"/>
      <c r="BA1010" s="2"/>
      <c r="BB1010" s="2"/>
      <c r="BC1010" s="2"/>
      <c r="BD1010" s="2"/>
    </row>
    <row r="1011" spans="1:56">
      <c r="A1011" s="781">
        <v>2</v>
      </c>
      <c r="B1011" s="782">
        <v>252</v>
      </c>
      <c r="C1011" s="783">
        <v>45502</v>
      </c>
      <c r="D1011" s="785" t="s">
        <v>1107</v>
      </c>
      <c r="E1011" s="808">
        <v>4735.5</v>
      </c>
      <c r="F1011" s="799"/>
      <c r="G1011" s="799"/>
      <c r="H1011" s="1592">
        <f t="shared" si="45"/>
        <v>0</v>
      </c>
      <c r="I1011" s="754" t="str">
        <f>IFERROR(VLOOKUP(B1011,Mychart!$A$125:$B$911,2,FALSE),"-")</f>
        <v>Mohamed Saif - HBC</v>
      </c>
      <c r="J1011" s="753">
        <f t="shared" si="46"/>
        <v>7</v>
      </c>
      <c r="K1011" s="1540">
        <f t="shared" si="47"/>
        <v>2024</v>
      </c>
      <c r="L1011" s="757"/>
      <c r="M1011" s="757"/>
      <c r="N1011" s="757"/>
      <c r="O1011" s="757"/>
      <c r="P1011" s="757"/>
      <c r="Q1011" s="757"/>
      <c r="R1011" s="757"/>
      <c r="S1011" s="757"/>
      <c r="T1011" s="757"/>
      <c r="U1011" s="757"/>
      <c r="V1011" s="757"/>
      <c r="W1011" s="757"/>
      <c r="X1011" s="757"/>
      <c r="Y1011" s="757"/>
      <c r="Z1011" s="757"/>
      <c r="AA1011" s="757"/>
      <c r="AB1011" s="757"/>
      <c r="AC1011" s="757"/>
      <c r="AD1011" s="757"/>
      <c r="AE1011" s="757"/>
      <c r="AF1011" s="757"/>
      <c r="AG1011" s="757"/>
      <c r="AH1011" s="757"/>
      <c r="AI1011" s="757"/>
      <c r="AJ1011" s="757"/>
      <c r="AK1011" s="757"/>
      <c r="AL1011" s="757"/>
      <c r="AM1011" s="757"/>
      <c r="AN1011" s="757"/>
      <c r="AO1011" s="757"/>
      <c r="AP1011" s="757"/>
      <c r="AQ1011" s="757"/>
      <c r="AR1011" s="757"/>
      <c r="AS1011" s="757"/>
      <c r="AT1011" s="757"/>
      <c r="AU1011" s="757"/>
      <c r="AV1011" s="757"/>
      <c r="AW1011" s="757"/>
      <c r="AX1011" s="757"/>
      <c r="AY1011" s="757"/>
      <c r="AZ1011" s="75"/>
      <c r="BA1011" s="2"/>
      <c r="BB1011" s="2"/>
      <c r="BC1011" s="2"/>
      <c r="BD1011" s="2"/>
    </row>
    <row r="1012" spans="1:56">
      <c r="A1012" s="781">
        <v>2</v>
      </c>
      <c r="B1012" s="782">
        <v>256</v>
      </c>
      <c r="C1012" s="783">
        <v>45502</v>
      </c>
      <c r="D1012" s="785" t="s">
        <v>165</v>
      </c>
      <c r="E1012" s="808">
        <v>7149.9960000000001</v>
      </c>
      <c r="F1012" s="799"/>
      <c r="G1012" s="799"/>
      <c r="H1012" s="1592">
        <f t="shared" si="45"/>
        <v>0</v>
      </c>
      <c r="I1012" s="754" t="str">
        <f>IFERROR(VLOOKUP(B1012,Mychart!$A$125:$B$911,2,FALSE),"-")</f>
        <v>ADNAN DUBAI SKY</v>
      </c>
      <c r="J1012" s="753">
        <f t="shared" si="46"/>
        <v>7</v>
      </c>
      <c r="K1012" s="1540">
        <f t="shared" si="47"/>
        <v>2024</v>
      </c>
      <c r="L1012" s="757"/>
      <c r="M1012" s="757"/>
      <c r="N1012" s="757"/>
      <c r="O1012" s="757"/>
      <c r="P1012" s="757"/>
      <c r="Q1012" s="757"/>
      <c r="R1012" s="757"/>
      <c r="S1012" s="757"/>
      <c r="T1012" s="757"/>
      <c r="U1012" s="757"/>
      <c r="V1012" s="757"/>
      <c r="W1012" s="757"/>
      <c r="X1012" s="757"/>
      <c r="Y1012" s="757"/>
      <c r="Z1012" s="757"/>
      <c r="AA1012" s="757"/>
      <c r="AB1012" s="757"/>
      <c r="AC1012" s="757"/>
      <c r="AD1012" s="757"/>
      <c r="AE1012" s="757"/>
      <c r="AF1012" s="757"/>
      <c r="AG1012" s="757"/>
      <c r="AH1012" s="757"/>
      <c r="AI1012" s="757"/>
      <c r="AJ1012" s="757"/>
      <c r="AK1012" s="757"/>
      <c r="AL1012" s="757"/>
      <c r="AM1012" s="757"/>
      <c r="AN1012" s="757"/>
      <c r="AO1012" s="757"/>
      <c r="AP1012" s="757"/>
      <c r="AQ1012" s="757"/>
      <c r="AR1012" s="757"/>
      <c r="AS1012" s="757"/>
      <c r="AT1012" s="757"/>
      <c r="AU1012" s="757"/>
      <c r="AV1012" s="757"/>
      <c r="AW1012" s="757"/>
      <c r="AX1012" s="757"/>
      <c r="AY1012" s="757"/>
      <c r="AZ1012" s="75"/>
      <c r="BA1012" s="2"/>
      <c r="BB1012" s="2"/>
      <c r="BC1012" s="2"/>
      <c r="BD1012" s="2"/>
    </row>
    <row r="1013" spans="1:56">
      <c r="A1013" s="781">
        <v>2</v>
      </c>
      <c r="B1013" s="782">
        <v>255</v>
      </c>
      <c r="C1013" s="783">
        <v>45503</v>
      </c>
      <c r="D1013" s="785" t="s">
        <v>165</v>
      </c>
      <c r="E1013" s="808">
        <v>4900.3500000000004</v>
      </c>
      <c r="F1013" s="799"/>
      <c r="G1013" s="799"/>
      <c r="H1013" s="1592">
        <f t="shared" si="45"/>
        <v>0</v>
      </c>
      <c r="I1013" s="754" t="str">
        <f>IFERROR(VLOOKUP(B1013,Mychart!$A$125:$B$911,2,FALSE),"-")</f>
        <v>ESSA KHALIFA</v>
      </c>
      <c r="J1013" s="753">
        <f t="shared" si="46"/>
        <v>7</v>
      </c>
      <c r="K1013" s="1540">
        <f t="shared" si="47"/>
        <v>2024</v>
      </c>
      <c r="L1013" s="757"/>
      <c r="M1013" s="757"/>
      <c r="N1013" s="757"/>
      <c r="O1013" s="757"/>
      <c r="P1013" s="757"/>
      <c r="Q1013" s="757"/>
      <c r="R1013" s="757"/>
      <c r="S1013" s="757"/>
      <c r="T1013" s="757"/>
      <c r="U1013" s="757"/>
      <c r="V1013" s="757"/>
      <c r="W1013" s="757"/>
      <c r="X1013" s="757"/>
      <c r="Y1013" s="757"/>
      <c r="Z1013" s="757"/>
      <c r="AA1013" s="757"/>
      <c r="AB1013" s="757"/>
      <c r="AC1013" s="757"/>
      <c r="AD1013" s="757"/>
      <c r="AE1013" s="757"/>
      <c r="AF1013" s="757"/>
      <c r="AG1013" s="757"/>
      <c r="AH1013" s="757"/>
      <c r="AI1013" s="757"/>
      <c r="AJ1013" s="757"/>
      <c r="AK1013" s="757"/>
      <c r="AL1013" s="757"/>
      <c r="AM1013" s="757"/>
      <c r="AN1013" s="757"/>
      <c r="AO1013" s="757"/>
      <c r="AP1013" s="757"/>
      <c r="AQ1013" s="757"/>
      <c r="AR1013" s="757"/>
      <c r="AS1013" s="757"/>
      <c r="AT1013" s="757"/>
      <c r="AU1013" s="757"/>
      <c r="AV1013" s="757"/>
      <c r="AW1013" s="757"/>
      <c r="AX1013" s="757"/>
      <c r="AY1013" s="757"/>
      <c r="AZ1013" s="75"/>
      <c r="BA1013" s="2"/>
      <c r="BB1013" s="2"/>
      <c r="BC1013" s="2"/>
      <c r="BD1013" s="2"/>
    </row>
    <row r="1014" spans="1:56">
      <c r="A1014" s="781">
        <v>2</v>
      </c>
      <c r="B1014" s="782">
        <v>233</v>
      </c>
      <c r="C1014" s="783">
        <v>45498</v>
      </c>
      <c r="D1014" s="785" t="s">
        <v>166</v>
      </c>
      <c r="E1014" s="808">
        <v>250.10999999999999</v>
      </c>
      <c r="F1014" s="799"/>
      <c r="G1014" s="799"/>
      <c r="H1014" s="1592">
        <f t="shared" si="45"/>
        <v>0</v>
      </c>
      <c r="I1014" s="754" t="str">
        <f>IFERROR(VLOOKUP(B1014,Mychart!$A$125:$B$911,2,FALSE),"-")</f>
        <v>MUBARAK . ARCHPIX</v>
      </c>
      <c r="J1014" s="753">
        <f t="shared" si="46"/>
        <v>7</v>
      </c>
      <c r="K1014" s="1540">
        <f t="shared" si="47"/>
        <v>2024</v>
      </c>
      <c r="L1014" s="757"/>
      <c r="M1014" s="757"/>
      <c r="N1014" s="757"/>
      <c r="O1014" s="757"/>
      <c r="P1014" s="757"/>
      <c r="Q1014" s="757"/>
      <c r="R1014" s="757"/>
      <c r="S1014" s="757"/>
      <c r="T1014" s="757"/>
      <c r="U1014" s="757"/>
      <c r="V1014" s="757"/>
      <c r="W1014" s="757"/>
      <c r="X1014" s="757"/>
      <c r="Y1014" s="757"/>
      <c r="Z1014" s="757"/>
      <c r="AA1014" s="757"/>
      <c r="AB1014" s="757"/>
      <c r="AC1014" s="757"/>
      <c r="AD1014" s="757"/>
      <c r="AE1014" s="757"/>
      <c r="AF1014" s="757"/>
      <c r="AG1014" s="757"/>
      <c r="AH1014" s="757"/>
      <c r="AI1014" s="757"/>
      <c r="AJ1014" s="757"/>
      <c r="AK1014" s="757"/>
      <c r="AL1014" s="757"/>
      <c r="AM1014" s="757"/>
      <c r="AN1014" s="757"/>
      <c r="AO1014" s="757"/>
      <c r="AP1014" s="757"/>
      <c r="AQ1014" s="757"/>
      <c r="AR1014" s="757"/>
      <c r="AS1014" s="757"/>
      <c r="AT1014" s="757"/>
      <c r="AU1014" s="757"/>
      <c r="AV1014" s="757"/>
      <c r="AW1014" s="757"/>
      <c r="AX1014" s="757"/>
      <c r="AY1014" s="757"/>
      <c r="AZ1014" s="75"/>
      <c r="BA1014" s="2"/>
      <c r="BB1014" s="2"/>
      <c r="BC1014" s="2"/>
      <c r="BD1014" s="2"/>
    </row>
    <row r="1015" spans="1:56">
      <c r="A1015" s="781">
        <v>2</v>
      </c>
      <c r="B1015" s="782">
        <v>217</v>
      </c>
      <c r="C1015" s="783">
        <v>45498</v>
      </c>
      <c r="D1015" s="785" t="s">
        <v>166</v>
      </c>
      <c r="E1015" s="808">
        <v>250.10999999999999</v>
      </c>
      <c r="F1015" s="799"/>
      <c r="G1015" s="799"/>
      <c r="H1015" s="1592">
        <f t="shared" si="45"/>
        <v>0</v>
      </c>
      <c r="I1015" s="754" t="str">
        <f>IFERROR(VLOOKUP(B1015,Mychart!$A$125:$B$911,2,FALSE),"-")</f>
        <v>MOHAMED MUHAIR . AREEJ</v>
      </c>
      <c r="J1015" s="753">
        <f t="shared" si="46"/>
        <v>7</v>
      </c>
      <c r="K1015" s="1540">
        <f t="shared" si="47"/>
        <v>2024</v>
      </c>
      <c r="L1015" s="757"/>
      <c r="M1015" s="757"/>
      <c r="N1015" s="757"/>
      <c r="O1015" s="757"/>
      <c r="P1015" s="757"/>
      <c r="Q1015" s="757"/>
      <c r="R1015" s="757"/>
      <c r="S1015" s="757"/>
      <c r="T1015" s="757"/>
      <c r="U1015" s="757"/>
      <c r="V1015" s="757"/>
      <c r="W1015" s="757"/>
      <c r="X1015" s="757"/>
      <c r="Y1015" s="757"/>
      <c r="Z1015" s="757"/>
      <c r="AA1015" s="757"/>
      <c r="AB1015" s="757"/>
      <c r="AC1015" s="757"/>
      <c r="AD1015" s="757"/>
      <c r="AE1015" s="757"/>
      <c r="AF1015" s="757"/>
      <c r="AG1015" s="757"/>
      <c r="AH1015" s="757"/>
      <c r="AI1015" s="757"/>
      <c r="AJ1015" s="757"/>
      <c r="AK1015" s="757"/>
      <c r="AL1015" s="757"/>
      <c r="AM1015" s="757"/>
      <c r="AN1015" s="757"/>
      <c r="AO1015" s="757"/>
      <c r="AP1015" s="757"/>
      <c r="AQ1015" s="757"/>
      <c r="AR1015" s="757"/>
      <c r="AS1015" s="757"/>
      <c r="AT1015" s="757"/>
      <c r="AU1015" s="757"/>
      <c r="AV1015" s="757"/>
      <c r="AW1015" s="757"/>
      <c r="AX1015" s="757"/>
      <c r="AY1015" s="757"/>
      <c r="AZ1015" s="75"/>
      <c r="BA1015" s="2"/>
      <c r="BB1015" s="2"/>
      <c r="BC1015" s="2"/>
      <c r="BD1015" s="2"/>
    </row>
    <row r="1016" spans="1:56">
      <c r="A1016" s="781">
        <v>1</v>
      </c>
      <c r="B1016" s="782">
        <v>250</v>
      </c>
      <c r="C1016" s="783">
        <v>45515</v>
      </c>
      <c r="D1016" s="785" t="s">
        <v>1347</v>
      </c>
      <c r="E1016" s="808">
        <v>315</v>
      </c>
      <c r="F1016" s="799">
        <v>4250</v>
      </c>
      <c r="G1016" s="799">
        <v>212.5</v>
      </c>
      <c r="H1016" s="1592">
        <f t="shared" si="45"/>
        <v>4462.5</v>
      </c>
      <c r="I1016" s="754" t="str">
        <f>IFERROR(VLOOKUP(B1016,Mychart!$A$125:$B$911,2,FALSE),"-")</f>
        <v>ABDULLAH JASSEM-DYNAMIC</v>
      </c>
      <c r="J1016" s="753">
        <f t="shared" si="46"/>
        <v>8</v>
      </c>
      <c r="K1016" s="1540">
        <f t="shared" si="47"/>
        <v>2024</v>
      </c>
      <c r="L1016" s="757"/>
      <c r="M1016" s="757"/>
      <c r="N1016" s="757"/>
      <c r="O1016" s="757"/>
      <c r="P1016" s="757"/>
      <c r="Q1016" s="757"/>
      <c r="R1016" s="757"/>
      <c r="S1016" s="757"/>
      <c r="T1016" s="757"/>
      <c r="U1016" s="757"/>
      <c r="V1016" s="757"/>
      <c r="W1016" s="757"/>
      <c r="X1016" s="757"/>
      <c r="Y1016" s="757"/>
      <c r="Z1016" s="757"/>
      <c r="AA1016" s="757"/>
      <c r="AB1016" s="757"/>
      <c r="AC1016" s="757"/>
      <c r="AD1016" s="757"/>
      <c r="AE1016" s="757"/>
      <c r="AF1016" s="757"/>
      <c r="AG1016" s="757"/>
      <c r="AH1016" s="757"/>
      <c r="AI1016" s="757"/>
      <c r="AJ1016" s="757"/>
      <c r="AK1016" s="757"/>
      <c r="AL1016" s="757"/>
      <c r="AM1016" s="757"/>
      <c r="AN1016" s="757"/>
      <c r="AO1016" s="757"/>
      <c r="AP1016" s="757"/>
      <c r="AQ1016" s="757"/>
      <c r="AR1016" s="757"/>
      <c r="AS1016" s="757"/>
      <c r="AT1016" s="757"/>
      <c r="AU1016" s="757"/>
      <c r="AV1016" s="757"/>
      <c r="AW1016" s="757"/>
      <c r="AX1016" s="757"/>
      <c r="AY1016" s="757"/>
      <c r="AZ1016" s="75"/>
      <c r="BA1016" s="2"/>
      <c r="BB1016" s="2"/>
      <c r="BC1016" s="2"/>
      <c r="BD1016" s="2"/>
    </row>
    <row r="1017" spans="1:56">
      <c r="A1017" s="781">
        <v>2</v>
      </c>
      <c r="B1017" s="782">
        <v>242</v>
      </c>
      <c r="C1017" s="783">
        <v>45503</v>
      </c>
      <c r="D1017" s="785" t="s">
        <v>166</v>
      </c>
      <c r="E1017" s="808">
        <v>9851.7099999999991</v>
      </c>
      <c r="F1017" s="799"/>
      <c r="G1017" s="799"/>
      <c r="H1017" s="1592">
        <f t="shared" si="45"/>
        <v>0</v>
      </c>
      <c r="I1017" s="754" t="str">
        <f>IFERROR(VLOOKUP(B1017,Mychart!$A$125:$B$911,2,FALSE),"-")</f>
        <v>AMMAR - ARCHPIX</v>
      </c>
      <c r="J1017" s="753">
        <f t="shared" si="46"/>
        <v>7</v>
      </c>
      <c r="K1017" s="1540">
        <f t="shared" si="47"/>
        <v>2024</v>
      </c>
      <c r="L1017" s="757"/>
      <c r="M1017" s="757"/>
      <c r="N1017" s="757"/>
      <c r="O1017" s="757"/>
      <c r="P1017" s="757"/>
      <c r="Q1017" s="757"/>
      <c r="R1017" s="757"/>
      <c r="S1017" s="757"/>
      <c r="T1017" s="757"/>
      <c r="U1017" s="757"/>
      <c r="V1017" s="757"/>
      <c r="W1017" s="757"/>
      <c r="X1017" s="757"/>
      <c r="Y1017" s="757"/>
      <c r="Z1017" s="757"/>
      <c r="AA1017" s="757"/>
      <c r="AB1017" s="757"/>
      <c r="AC1017" s="757"/>
      <c r="AD1017" s="757"/>
      <c r="AE1017" s="757"/>
      <c r="AF1017" s="757"/>
      <c r="AG1017" s="757"/>
      <c r="AH1017" s="757"/>
      <c r="AI1017" s="757"/>
      <c r="AJ1017" s="757"/>
      <c r="AK1017" s="757"/>
      <c r="AL1017" s="757"/>
      <c r="AM1017" s="757"/>
      <c r="AN1017" s="757"/>
      <c r="AO1017" s="757"/>
      <c r="AP1017" s="757"/>
      <c r="AQ1017" s="757"/>
      <c r="AR1017" s="757"/>
      <c r="AS1017" s="757"/>
      <c r="AT1017" s="757"/>
      <c r="AU1017" s="757"/>
      <c r="AV1017" s="757"/>
      <c r="AW1017" s="757"/>
      <c r="AX1017" s="757"/>
      <c r="AY1017" s="757"/>
      <c r="AZ1017" s="75"/>
      <c r="BA1017" s="2"/>
      <c r="BB1017" s="2"/>
      <c r="BC1017" s="2"/>
      <c r="BD1017" s="2"/>
    </row>
    <row r="1018" spans="1:56">
      <c r="A1018" s="781">
        <v>2</v>
      </c>
      <c r="B1018" s="782">
        <v>202</v>
      </c>
      <c r="C1018" s="783">
        <v>45497</v>
      </c>
      <c r="D1018" s="785" t="s">
        <v>166</v>
      </c>
      <c r="E1018" s="808">
        <v>315</v>
      </c>
      <c r="F1018" s="799"/>
      <c r="G1018" s="799"/>
      <c r="H1018" s="1592">
        <f t="shared" si="45"/>
        <v>0</v>
      </c>
      <c r="I1018" s="754" t="str">
        <f>IFERROR(VLOOKUP(B1018,Mychart!$A$125:$B$911,2,FALSE),"-")</f>
        <v>AHMED HELAL - ERTIKAZ</v>
      </c>
      <c r="J1018" s="753">
        <f t="shared" si="46"/>
        <v>7</v>
      </c>
      <c r="K1018" s="1540">
        <f t="shared" si="47"/>
        <v>2024</v>
      </c>
      <c r="L1018" s="757"/>
      <c r="M1018" s="757"/>
      <c r="N1018" s="757"/>
      <c r="O1018" s="757"/>
      <c r="P1018" s="757"/>
      <c r="Q1018" s="757"/>
      <c r="R1018" s="757"/>
      <c r="S1018" s="757"/>
      <c r="T1018" s="757"/>
      <c r="U1018" s="757"/>
      <c r="V1018" s="757"/>
      <c r="W1018" s="757"/>
      <c r="X1018" s="757"/>
      <c r="Y1018" s="757"/>
      <c r="Z1018" s="757"/>
      <c r="AA1018" s="757"/>
      <c r="AB1018" s="757"/>
      <c r="AC1018" s="757"/>
      <c r="AD1018" s="757"/>
      <c r="AE1018" s="757"/>
      <c r="AF1018" s="757"/>
      <c r="AG1018" s="757"/>
      <c r="AH1018" s="757"/>
      <c r="AI1018" s="757"/>
      <c r="AJ1018" s="757"/>
      <c r="AK1018" s="757"/>
      <c r="AL1018" s="757"/>
      <c r="AM1018" s="757"/>
      <c r="AN1018" s="757"/>
      <c r="AO1018" s="757"/>
      <c r="AP1018" s="757"/>
      <c r="AQ1018" s="757"/>
      <c r="AR1018" s="757"/>
      <c r="AS1018" s="757"/>
      <c r="AT1018" s="757"/>
      <c r="AU1018" s="757"/>
      <c r="AV1018" s="757"/>
      <c r="AW1018" s="757"/>
      <c r="AX1018" s="757"/>
      <c r="AY1018" s="757"/>
      <c r="AZ1018" s="75"/>
      <c r="BA1018" s="2"/>
      <c r="BB1018" s="2"/>
      <c r="BC1018" s="2"/>
      <c r="BD1018" s="2"/>
    </row>
    <row r="1019" spans="1:56">
      <c r="A1019" s="781">
        <v>2</v>
      </c>
      <c r="B1019" s="782">
        <v>11</v>
      </c>
      <c r="C1019" s="783">
        <v>45502</v>
      </c>
      <c r="D1019" s="785" t="s">
        <v>380</v>
      </c>
      <c r="E1019" s="808">
        <v>42</v>
      </c>
      <c r="F1019" s="799"/>
      <c r="G1019" s="799"/>
      <c r="H1019" s="1592">
        <f t="shared" si="45"/>
        <v>0</v>
      </c>
      <c r="I1019" s="754" t="str">
        <f>IFERROR(VLOOKUP(B1019,Mychart!$A$125:$B$911,2,FALSE),"-")</f>
        <v>Ibrahem Villa</v>
      </c>
      <c r="J1019" s="753">
        <f t="shared" si="46"/>
        <v>7</v>
      </c>
      <c r="K1019" s="1540">
        <f t="shared" si="47"/>
        <v>2024</v>
      </c>
      <c r="L1019" s="757"/>
      <c r="M1019" s="757"/>
      <c r="N1019" s="757"/>
      <c r="O1019" s="757"/>
      <c r="P1019" s="757"/>
      <c r="Q1019" s="757"/>
      <c r="R1019" s="757"/>
      <c r="S1019" s="757"/>
      <c r="T1019" s="757"/>
      <c r="U1019" s="757"/>
      <c r="V1019" s="757"/>
      <c r="W1019" s="757"/>
      <c r="X1019" s="757"/>
      <c r="Y1019" s="757"/>
      <c r="Z1019" s="757"/>
      <c r="AA1019" s="757"/>
      <c r="AB1019" s="757"/>
      <c r="AC1019" s="757"/>
      <c r="AD1019" s="757"/>
      <c r="AE1019" s="757"/>
      <c r="AF1019" s="757"/>
      <c r="AG1019" s="757"/>
      <c r="AH1019" s="757"/>
      <c r="AI1019" s="757"/>
      <c r="AJ1019" s="757"/>
      <c r="AK1019" s="757"/>
      <c r="AL1019" s="757"/>
      <c r="AM1019" s="757"/>
      <c r="AN1019" s="757"/>
      <c r="AO1019" s="757"/>
      <c r="AP1019" s="757"/>
      <c r="AQ1019" s="757"/>
      <c r="AR1019" s="757"/>
      <c r="AS1019" s="757"/>
      <c r="AT1019" s="757"/>
      <c r="AU1019" s="757"/>
      <c r="AV1019" s="757"/>
      <c r="AW1019" s="757"/>
      <c r="AX1019" s="757"/>
      <c r="AY1019" s="757"/>
      <c r="AZ1019" s="75"/>
      <c r="BA1019" s="2"/>
      <c r="BB1019" s="2"/>
      <c r="BC1019" s="2"/>
      <c r="BD1019" s="2"/>
    </row>
    <row r="1020" spans="1:56">
      <c r="A1020" s="781">
        <v>2</v>
      </c>
      <c r="B1020" s="782">
        <v>197</v>
      </c>
      <c r="C1020" s="783">
        <v>45475</v>
      </c>
      <c r="D1020" s="785" t="s">
        <v>380</v>
      </c>
      <c r="E1020" s="808">
        <v>146.66</v>
      </c>
      <c r="F1020" s="799"/>
      <c r="G1020" s="799"/>
      <c r="H1020" s="1592">
        <f t="shared" si="45"/>
        <v>0</v>
      </c>
      <c r="I1020" s="754" t="str">
        <f>IFERROR(VLOOKUP(B1020,Mychart!$A$125:$B$911,2,FALSE),"-")</f>
        <v>OSMAN AHLI</v>
      </c>
      <c r="J1020" s="753">
        <f t="shared" si="46"/>
        <v>7</v>
      </c>
      <c r="K1020" s="1540">
        <f t="shared" si="47"/>
        <v>2024</v>
      </c>
      <c r="L1020" s="757"/>
      <c r="M1020" s="757"/>
      <c r="N1020" s="757"/>
      <c r="O1020" s="757"/>
      <c r="P1020" s="757"/>
      <c r="Q1020" s="757"/>
      <c r="R1020" s="757"/>
      <c r="S1020" s="757"/>
      <c r="T1020" s="757"/>
      <c r="U1020" s="757"/>
      <c r="V1020" s="757"/>
      <c r="W1020" s="757"/>
      <c r="X1020" s="757"/>
      <c r="Y1020" s="757"/>
      <c r="Z1020" s="757"/>
      <c r="AA1020" s="757"/>
      <c r="AB1020" s="757"/>
      <c r="AC1020" s="757"/>
      <c r="AD1020" s="757"/>
      <c r="AE1020" s="757"/>
      <c r="AF1020" s="757"/>
      <c r="AG1020" s="757"/>
      <c r="AH1020" s="757"/>
      <c r="AI1020" s="757"/>
      <c r="AJ1020" s="757"/>
      <c r="AK1020" s="757"/>
      <c r="AL1020" s="757"/>
      <c r="AM1020" s="757"/>
      <c r="AN1020" s="757"/>
      <c r="AO1020" s="757"/>
      <c r="AP1020" s="757"/>
      <c r="AQ1020" s="757"/>
      <c r="AR1020" s="757"/>
      <c r="AS1020" s="757"/>
      <c r="AT1020" s="757"/>
      <c r="AU1020" s="757"/>
      <c r="AV1020" s="757"/>
      <c r="AW1020" s="757"/>
      <c r="AX1020" s="757"/>
      <c r="AY1020" s="757"/>
      <c r="AZ1020" s="75"/>
      <c r="BA1020" s="2"/>
      <c r="BB1020" s="2"/>
      <c r="BC1020" s="2"/>
      <c r="BD1020" s="2"/>
    </row>
    <row r="1021" spans="1:56">
      <c r="A1021" s="781">
        <v>2</v>
      </c>
      <c r="B1021" s="782">
        <v>257</v>
      </c>
      <c r="C1021" s="783">
        <v>45477</v>
      </c>
      <c r="D1021" s="785" t="s">
        <v>380</v>
      </c>
      <c r="E1021" s="808">
        <v>133.75</v>
      </c>
      <c r="F1021" s="799"/>
      <c r="G1021" s="799"/>
      <c r="H1021" s="1592">
        <f t="shared" si="45"/>
        <v>0</v>
      </c>
      <c r="I1021" s="754" t="str">
        <f>IFERROR(VLOOKUP(B1021,Mychart!$A$125:$B$911,2,FALSE),"-")</f>
        <v>NAAEMA SALEH - ERTIKAZ</v>
      </c>
      <c r="J1021" s="753">
        <f t="shared" si="46"/>
        <v>7</v>
      </c>
      <c r="K1021" s="1540">
        <f t="shared" si="47"/>
        <v>2024</v>
      </c>
      <c r="L1021" s="757"/>
      <c r="M1021" s="757"/>
      <c r="N1021" s="757"/>
      <c r="O1021" s="757"/>
      <c r="P1021" s="757"/>
      <c r="Q1021" s="757"/>
      <c r="R1021" s="757"/>
      <c r="S1021" s="757"/>
      <c r="T1021" s="757"/>
      <c r="U1021" s="757"/>
      <c r="V1021" s="757"/>
      <c r="W1021" s="757"/>
      <c r="X1021" s="757"/>
      <c r="Y1021" s="757"/>
      <c r="Z1021" s="757"/>
      <c r="AA1021" s="757"/>
      <c r="AB1021" s="757"/>
      <c r="AC1021" s="757"/>
      <c r="AD1021" s="757"/>
      <c r="AE1021" s="757"/>
      <c r="AF1021" s="757"/>
      <c r="AG1021" s="757"/>
      <c r="AH1021" s="757"/>
      <c r="AI1021" s="757"/>
      <c r="AJ1021" s="757"/>
      <c r="AK1021" s="757"/>
      <c r="AL1021" s="757"/>
      <c r="AM1021" s="757"/>
      <c r="AN1021" s="757"/>
      <c r="AO1021" s="757"/>
      <c r="AP1021" s="757"/>
      <c r="AQ1021" s="757"/>
      <c r="AR1021" s="757"/>
      <c r="AS1021" s="757"/>
      <c r="AT1021" s="757"/>
      <c r="AU1021" s="757"/>
      <c r="AV1021" s="757"/>
      <c r="AW1021" s="757"/>
      <c r="AX1021" s="757"/>
      <c r="AY1021" s="757"/>
      <c r="AZ1021" s="75"/>
      <c r="BA1021" s="2"/>
      <c r="BB1021" s="2"/>
      <c r="BC1021" s="2"/>
      <c r="BD1021" s="2"/>
    </row>
    <row r="1022" spans="1:56">
      <c r="A1022" s="781">
        <v>2</v>
      </c>
      <c r="B1022" s="782">
        <v>242</v>
      </c>
      <c r="C1022" s="783">
        <v>45481</v>
      </c>
      <c r="D1022" s="785" t="s">
        <v>380</v>
      </c>
      <c r="E1022" s="808">
        <v>39.020000000000003</v>
      </c>
      <c r="F1022" s="799"/>
      <c r="G1022" s="799"/>
      <c r="H1022" s="1592">
        <f t="shared" si="45"/>
        <v>0</v>
      </c>
      <c r="I1022" s="754" t="str">
        <f>IFERROR(VLOOKUP(B1022,Mychart!$A$125:$B$911,2,FALSE),"-")</f>
        <v>AMMAR - ARCHPIX</v>
      </c>
      <c r="J1022" s="753">
        <f t="shared" si="46"/>
        <v>7</v>
      </c>
      <c r="K1022" s="1540">
        <f t="shared" si="47"/>
        <v>2024</v>
      </c>
      <c r="L1022" s="757"/>
      <c r="M1022" s="757"/>
      <c r="N1022" s="757"/>
      <c r="O1022" s="757"/>
      <c r="P1022" s="757"/>
      <c r="Q1022" s="757"/>
      <c r="R1022" s="757"/>
      <c r="S1022" s="757"/>
      <c r="T1022" s="757"/>
      <c r="U1022" s="757"/>
      <c r="V1022" s="757"/>
      <c r="W1022" s="757"/>
      <c r="X1022" s="757"/>
      <c r="Y1022" s="757"/>
      <c r="Z1022" s="757"/>
      <c r="AA1022" s="757"/>
      <c r="AB1022" s="757"/>
      <c r="AC1022" s="757"/>
      <c r="AD1022" s="757"/>
      <c r="AE1022" s="757"/>
      <c r="AF1022" s="757"/>
      <c r="AG1022" s="757"/>
      <c r="AH1022" s="757"/>
      <c r="AI1022" s="757"/>
      <c r="AJ1022" s="757"/>
      <c r="AK1022" s="757"/>
      <c r="AL1022" s="757"/>
      <c r="AM1022" s="757"/>
      <c r="AN1022" s="757"/>
      <c r="AO1022" s="757"/>
      <c r="AP1022" s="757"/>
      <c r="AQ1022" s="757"/>
      <c r="AR1022" s="757"/>
      <c r="AS1022" s="757"/>
      <c r="AT1022" s="757"/>
      <c r="AU1022" s="757"/>
      <c r="AV1022" s="757"/>
      <c r="AW1022" s="757"/>
      <c r="AX1022" s="757"/>
      <c r="AY1022" s="757"/>
      <c r="AZ1022" s="75"/>
      <c r="BA1022" s="2"/>
      <c r="BB1022" s="2"/>
      <c r="BC1022" s="2"/>
      <c r="BD1022" s="2"/>
    </row>
    <row r="1023" spans="1:56">
      <c r="A1023" s="781">
        <v>2</v>
      </c>
      <c r="B1023" s="782">
        <v>197</v>
      </c>
      <c r="C1023" s="783">
        <v>45482</v>
      </c>
      <c r="D1023" s="785" t="s">
        <v>380</v>
      </c>
      <c r="E1023" s="808">
        <v>1362.33</v>
      </c>
      <c r="F1023" s="799"/>
      <c r="G1023" s="799"/>
      <c r="H1023" s="1592">
        <f t="shared" si="45"/>
        <v>0</v>
      </c>
      <c r="I1023" s="754" t="str">
        <f>IFERROR(VLOOKUP(B1023,Mychart!$A$125:$B$911,2,FALSE),"-")</f>
        <v>OSMAN AHLI</v>
      </c>
      <c r="J1023" s="753">
        <f t="shared" si="46"/>
        <v>7</v>
      </c>
      <c r="K1023" s="1540">
        <f t="shared" si="47"/>
        <v>2024</v>
      </c>
      <c r="L1023" s="757"/>
      <c r="M1023" s="757"/>
      <c r="N1023" s="757"/>
      <c r="O1023" s="757"/>
      <c r="P1023" s="757"/>
      <c r="Q1023" s="757"/>
      <c r="R1023" s="757"/>
      <c r="S1023" s="757"/>
      <c r="T1023" s="757"/>
      <c r="U1023" s="757"/>
      <c r="V1023" s="757"/>
      <c r="W1023" s="757"/>
      <c r="X1023" s="757"/>
      <c r="Y1023" s="757"/>
      <c r="Z1023" s="757"/>
      <c r="AA1023" s="757"/>
      <c r="AB1023" s="757"/>
      <c r="AC1023" s="757"/>
      <c r="AD1023" s="757"/>
      <c r="AE1023" s="757"/>
      <c r="AF1023" s="757"/>
      <c r="AG1023" s="757"/>
      <c r="AH1023" s="757"/>
      <c r="AI1023" s="757"/>
      <c r="AJ1023" s="757"/>
      <c r="AK1023" s="757"/>
      <c r="AL1023" s="757"/>
      <c r="AM1023" s="757"/>
      <c r="AN1023" s="757"/>
      <c r="AO1023" s="757"/>
      <c r="AP1023" s="757"/>
      <c r="AQ1023" s="757"/>
      <c r="AR1023" s="757"/>
      <c r="AS1023" s="757"/>
      <c r="AT1023" s="757"/>
      <c r="AU1023" s="757"/>
      <c r="AV1023" s="757"/>
      <c r="AW1023" s="757"/>
      <c r="AX1023" s="757"/>
      <c r="AY1023" s="757"/>
      <c r="AZ1023" s="75"/>
      <c r="BA1023" s="2"/>
      <c r="BB1023" s="2"/>
      <c r="BC1023" s="2"/>
      <c r="BD1023" s="2"/>
    </row>
    <row r="1024" spans="1:56">
      <c r="A1024" s="781">
        <v>2</v>
      </c>
      <c r="B1024" s="782">
        <v>197</v>
      </c>
      <c r="C1024" s="783">
        <v>45485</v>
      </c>
      <c r="D1024" s="785" t="s">
        <v>380</v>
      </c>
      <c r="E1024" s="808">
        <v>57.33</v>
      </c>
      <c r="F1024" s="799"/>
      <c r="G1024" s="799"/>
      <c r="H1024" s="1592">
        <f t="shared" si="45"/>
        <v>0</v>
      </c>
      <c r="I1024" s="754" t="str">
        <f>IFERROR(VLOOKUP(B1024,Mychart!$A$125:$B$911,2,FALSE),"-")</f>
        <v>OSMAN AHLI</v>
      </c>
      <c r="J1024" s="753">
        <f t="shared" si="46"/>
        <v>7</v>
      </c>
      <c r="K1024" s="1540">
        <f t="shared" si="47"/>
        <v>2024</v>
      </c>
      <c r="L1024" s="757"/>
      <c r="M1024" s="757"/>
      <c r="N1024" s="757"/>
      <c r="O1024" s="757"/>
      <c r="P1024" s="757"/>
      <c r="Q1024" s="757"/>
      <c r="R1024" s="757"/>
      <c r="S1024" s="757"/>
      <c r="T1024" s="757"/>
      <c r="U1024" s="757"/>
      <c r="V1024" s="757"/>
      <c r="W1024" s="757"/>
      <c r="X1024" s="757"/>
      <c r="Y1024" s="757"/>
      <c r="Z1024" s="757"/>
      <c r="AA1024" s="757"/>
      <c r="AB1024" s="757"/>
      <c r="AC1024" s="757"/>
      <c r="AD1024" s="757"/>
      <c r="AE1024" s="757"/>
      <c r="AF1024" s="757"/>
      <c r="AG1024" s="757"/>
      <c r="AH1024" s="757"/>
      <c r="AI1024" s="757"/>
      <c r="AJ1024" s="757"/>
      <c r="AK1024" s="757"/>
      <c r="AL1024" s="757"/>
      <c r="AM1024" s="757"/>
      <c r="AN1024" s="757"/>
      <c r="AO1024" s="757"/>
      <c r="AP1024" s="757"/>
      <c r="AQ1024" s="757"/>
      <c r="AR1024" s="757"/>
      <c r="AS1024" s="757"/>
      <c r="AT1024" s="757"/>
      <c r="AU1024" s="757"/>
      <c r="AV1024" s="757"/>
      <c r="AW1024" s="757"/>
      <c r="AX1024" s="757"/>
      <c r="AY1024" s="757"/>
      <c r="AZ1024" s="75"/>
      <c r="BA1024" s="2"/>
      <c r="BB1024" s="2"/>
      <c r="BC1024" s="2"/>
      <c r="BD1024" s="2"/>
    </row>
    <row r="1025" spans="1:56">
      <c r="A1025" s="781">
        <v>2</v>
      </c>
      <c r="B1025" s="782">
        <v>242</v>
      </c>
      <c r="C1025" s="783">
        <v>45489</v>
      </c>
      <c r="D1025" s="785" t="s">
        <v>380</v>
      </c>
      <c r="E1025" s="808">
        <v>1676.64</v>
      </c>
      <c r="F1025" s="799"/>
      <c r="G1025" s="799"/>
      <c r="H1025" s="1592">
        <f t="shared" si="45"/>
        <v>0</v>
      </c>
      <c r="I1025" s="754" t="str">
        <f>IFERROR(VLOOKUP(B1025,Mychart!$A$125:$B$911,2,FALSE),"-")</f>
        <v>AMMAR - ARCHPIX</v>
      </c>
      <c r="J1025" s="753">
        <f t="shared" si="46"/>
        <v>7</v>
      </c>
      <c r="K1025" s="1540">
        <f t="shared" si="47"/>
        <v>2024</v>
      </c>
      <c r="L1025" s="757"/>
      <c r="M1025" s="757"/>
      <c r="N1025" s="757"/>
      <c r="O1025" s="757"/>
      <c r="P1025" s="757"/>
      <c r="Q1025" s="757"/>
      <c r="R1025" s="757"/>
      <c r="S1025" s="757"/>
      <c r="T1025" s="757"/>
      <c r="U1025" s="757"/>
      <c r="V1025" s="757"/>
      <c r="W1025" s="757"/>
      <c r="X1025" s="757"/>
      <c r="Y1025" s="757"/>
      <c r="Z1025" s="757"/>
      <c r="AA1025" s="757"/>
      <c r="AB1025" s="757"/>
      <c r="AC1025" s="757"/>
      <c r="AD1025" s="757"/>
      <c r="AE1025" s="757"/>
      <c r="AF1025" s="757"/>
      <c r="AG1025" s="757"/>
      <c r="AH1025" s="757"/>
      <c r="AI1025" s="757"/>
      <c r="AJ1025" s="757"/>
      <c r="AK1025" s="757"/>
      <c r="AL1025" s="757"/>
      <c r="AM1025" s="757"/>
      <c r="AN1025" s="757"/>
      <c r="AO1025" s="757"/>
      <c r="AP1025" s="757"/>
      <c r="AQ1025" s="757"/>
      <c r="AR1025" s="757"/>
      <c r="AS1025" s="757"/>
      <c r="AT1025" s="757"/>
      <c r="AU1025" s="757"/>
      <c r="AV1025" s="757"/>
      <c r="AW1025" s="757"/>
      <c r="AX1025" s="757"/>
      <c r="AY1025" s="757"/>
      <c r="AZ1025" s="75"/>
      <c r="BA1025" s="2"/>
      <c r="BB1025" s="2"/>
      <c r="BC1025" s="2"/>
      <c r="BD1025" s="2"/>
    </row>
    <row r="1026" spans="1:56">
      <c r="A1026" s="781">
        <v>2</v>
      </c>
      <c r="B1026" s="782">
        <v>256</v>
      </c>
      <c r="C1026" s="783">
        <v>45489</v>
      </c>
      <c r="D1026" s="785" t="s">
        <v>380</v>
      </c>
      <c r="E1026" s="808">
        <v>1272.18</v>
      </c>
      <c r="F1026" s="799"/>
      <c r="G1026" s="799"/>
      <c r="H1026" s="1592">
        <f t="shared" si="45"/>
        <v>0</v>
      </c>
      <c r="I1026" s="754" t="str">
        <f>IFERROR(VLOOKUP(B1026,Mychart!$A$125:$B$911,2,FALSE),"-")</f>
        <v>ADNAN DUBAI SKY</v>
      </c>
      <c r="J1026" s="753">
        <f t="shared" si="46"/>
        <v>7</v>
      </c>
      <c r="K1026" s="1540">
        <f t="shared" si="47"/>
        <v>2024</v>
      </c>
      <c r="L1026" s="757"/>
      <c r="M1026" s="757"/>
      <c r="N1026" s="757"/>
      <c r="O1026" s="757"/>
      <c r="P1026" s="757"/>
      <c r="Q1026" s="757"/>
      <c r="R1026" s="757"/>
      <c r="S1026" s="757"/>
      <c r="T1026" s="757"/>
      <c r="U1026" s="757"/>
      <c r="V1026" s="757"/>
      <c r="W1026" s="757"/>
      <c r="X1026" s="757"/>
      <c r="Y1026" s="757"/>
      <c r="Z1026" s="757"/>
      <c r="AA1026" s="757"/>
      <c r="AB1026" s="757"/>
      <c r="AC1026" s="757"/>
      <c r="AD1026" s="757"/>
      <c r="AE1026" s="757"/>
      <c r="AF1026" s="757"/>
      <c r="AG1026" s="757"/>
      <c r="AH1026" s="757"/>
      <c r="AI1026" s="757"/>
      <c r="AJ1026" s="757"/>
      <c r="AK1026" s="757"/>
      <c r="AL1026" s="757"/>
      <c r="AM1026" s="757"/>
      <c r="AN1026" s="757"/>
      <c r="AO1026" s="757"/>
      <c r="AP1026" s="757"/>
      <c r="AQ1026" s="757"/>
      <c r="AR1026" s="757"/>
      <c r="AS1026" s="757"/>
      <c r="AT1026" s="757"/>
      <c r="AU1026" s="757"/>
      <c r="AV1026" s="757"/>
      <c r="AW1026" s="757"/>
      <c r="AX1026" s="757"/>
      <c r="AY1026" s="757"/>
      <c r="AZ1026" s="75"/>
      <c r="BA1026" s="2"/>
      <c r="BB1026" s="2"/>
      <c r="BC1026" s="2"/>
      <c r="BD1026" s="2"/>
    </row>
    <row r="1027" spans="1:56">
      <c r="A1027" s="781">
        <v>2</v>
      </c>
      <c r="B1027" s="782">
        <v>256</v>
      </c>
      <c r="C1027" s="783">
        <v>45491</v>
      </c>
      <c r="D1027" s="785" t="s">
        <v>380</v>
      </c>
      <c r="E1027" s="808">
        <v>490.46</v>
      </c>
      <c r="F1027" s="799"/>
      <c r="G1027" s="799"/>
      <c r="H1027" s="1592">
        <f t="shared" si="45"/>
        <v>0</v>
      </c>
      <c r="I1027" s="754" t="str">
        <f>IFERROR(VLOOKUP(B1027,Mychart!$A$125:$B$911,2,FALSE),"-")</f>
        <v>ADNAN DUBAI SKY</v>
      </c>
      <c r="J1027" s="753">
        <f t="shared" si="46"/>
        <v>7</v>
      </c>
      <c r="K1027" s="1540">
        <f t="shared" si="47"/>
        <v>2024</v>
      </c>
      <c r="L1027" s="757"/>
      <c r="M1027" s="757"/>
      <c r="N1027" s="757"/>
      <c r="O1027" s="757"/>
      <c r="P1027" s="757"/>
      <c r="Q1027" s="757"/>
      <c r="R1027" s="757"/>
      <c r="S1027" s="757"/>
      <c r="T1027" s="757"/>
      <c r="U1027" s="757"/>
      <c r="V1027" s="757"/>
      <c r="W1027" s="757"/>
      <c r="X1027" s="757"/>
      <c r="Y1027" s="757"/>
      <c r="Z1027" s="757"/>
      <c r="AA1027" s="757"/>
      <c r="AB1027" s="757"/>
      <c r="AC1027" s="757"/>
      <c r="AD1027" s="757"/>
      <c r="AE1027" s="757"/>
      <c r="AF1027" s="757"/>
      <c r="AG1027" s="757"/>
      <c r="AH1027" s="757"/>
      <c r="AI1027" s="757"/>
      <c r="AJ1027" s="757"/>
      <c r="AK1027" s="757"/>
      <c r="AL1027" s="757"/>
      <c r="AM1027" s="757"/>
      <c r="AN1027" s="757"/>
      <c r="AO1027" s="757"/>
      <c r="AP1027" s="757"/>
      <c r="AQ1027" s="757"/>
      <c r="AR1027" s="757"/>
      <c r="AS1027" s="757"/>
      <c r="AT1027" s="757"/>
      <c r="AU1027" s="757"/>
      <c r="AV1027" s="757"/>
      <c r="AW1027" s="757"/>
      <c r="AX1027" s="757"/>
      <c r="AY1027" s="757"/>
      <c r="AZ1027" s="75"/>
      <c r="BA1027" s="2"/>
      <c r="BB1027" s="2"/>
      <c r="BC1027" s="2"/>
      <c r="BD1027" s="2"/>
    </row>
    <row r="1028" spans="1:56">
      <c r="A1028" s="781">
        <v>2</v>
      </c>
      <c r="B1028" s="782">
        <v>11</v>
      </c>
      <c r="C1028" s="783">
        <v>45493</v>
      </c>
      <c r="D1028" s="785" t="s">
        <v>380</v>
      </c>
      <c r="E1028" s="808">
        <v>58</v>
      </c>
      <c r="F1028" s="799"/>
      <c r="G1028" s="799"/>
      <c r="H1028" s="1592">
        <f t="shared" si="45"/>
        <v>0</v>
      </c>
      <c r="I1028" s="754" t="str">
        <f>IFERROR(VLOOKUP(B1028,Mychart!$A$125:$B$911,2,FALSE),"-")</f>
        <v>Ibrahem Villa</v>
      </c>
      <c r="J1028" s="753">
        <f t="shared" si="46"/>
        <v>7</v>
      </c>
      <c r="K1028" s="1540">
        <f t="shared" si="47"/>
        <v>2024</v>
      </c>
      <c r="L1028" s="757"/>
      <c r="M1028" s="757"/>
      <c r="N1028" s="757"/>
      <c r="O1028" s="757"/>
      <c r="P1028" s="757"/>
      <c r="Q1028" s="757"/>
      <c r="R1028" s="757"/>
      <c r="S1028" s="757"/>
      <c r="T1028" s="757"/>
      <c r="U1028" s="757"/>
      <c r="V1028" s="757"/>
      <c r="W1028" s="757"/>
      <c r="X1028" s="757"/>
      <c r="Y1028" s="757"/>
      <c r="Z1028" s="757"/>
      <c r="AA1028" s="757"/>
      <c r="AB1028" s="757"/>
      <c r="AC1028" s="757"/>
      <c r="AD1028" s="757"/>
      <c r="AE1028" s="757"/>
      <c r="AF1028" s="757"/>
      <c r="AG1028" s="757"/>
      <c r="AH1028" s="757"/>
      <c r="AI1028" s="757"/>
      <c r="AJ1028" s="757"/>
      <c r="AK1028" s="757"/>
      <c r="AL1028" s="757"/>
      <c r="AM1028" s="757"/>
      <c r="AN1028" s="757"/>
      <c r="AO1028" s="757"/>
      <c r="AP1028" s="757"/>
      <c r="AQ1028" s="757"/>
      <c r="AR1028" s="757"/>
      <c r="AS1028" s="757"/>
      <c r="AT1028" s="757"/>
      <c r="AU1028" s="757"/>
      <c r="AV1028" s="757"/>
      <c r="AW1028" s="757"/>
      <c r="AX1028" s="757"/>
      <c r="AY1028" s="757"/>
      <c r="AZ1028" s="75"/>
      <c r="BA1028" s="2"/>
      <c r="BB1028" s="2"/>
      <c r="BC1028" s="2"/>
      <c r="BD1028" s="2"/>
    </row>
    <row r="1029" spans="1:56">
      <c r="A1029" s="781">
        <v>2</v>
      </c>
      <c r="B1029" s="782">
        <v>279</v>
      </c>
      <c r="C1029" s="783">
        <v>45493</v>
      </c>
      <c r="D1029" s="785" t="s">
        <v>380</v>
      </c>
      <c r="E1029" s="808">
        <v>4300.17</v>
      </c>
      <c r="F1029" s="799"/>
      <c r="G1029" s="799"/>
      <c r="H1029" s="1592">
        <f t="shared" si="45"/>
        <v>0</v>
      </c>
      <c r="I1029" s="754" t="str">
        <f>IFERROR(VLOOKUP(B1029,Mychart!$A$125:$B$911,2,FALSE),"-")</f>
        <v>Shams Saeed Sultan AL Kitbee</v>
      </c>
      <c r="J1029" s="753">
        <f t="shared" si="46"/>
        <v>7</v>
      </c>
      <c r="K1029" s="1540">
        <f t="shared" si="47"/>
        <v>2024</v>
      </c>
      <c r="L1029" s="757"/>
      <c r="M1029" s="757"/>
      <c r="N1029" s="757"/>
      <c r="O1029" s="757"/>
      <c r="P1029" s="757"/>
      <c r="Q1029" s="757"/>
      <c r="R1029" s="757"/>
      <c r="S1029" s="757"/>
      <c r="T1029" s="757"/>
      <c r="U1029" s="757"/>
      <c r="V1029" s="757"/>
      <c r="W1029" s="757"/>
      <c r="X1029" s="757"/>
      <c r="Y1029" s="757"/>
      <c r="Z1029" s="757"/>
      <c r="AA1029" s="757"/>
      <c r="AB1029" s="757"/>
      <c r="AC1029" s="757"/>
      <c r="AD1029" s="757"/>
      <c r="AE1029" s="757"/>
      <c r="AF1029" s="757"/>
      <c r="AG1029" s="757"/>
      <c r="AH1029" s="757"/>
      <c r="AI1029" s="757"/>
      <c r="AJ1029" s="757"/>
      <c r="AK1029" s="757"/>
      <c r="AL1029" s="757"/>
      <c r="AM1029" s="757"/>
      <c r="AN1029" s="757"/>
      <c r="AO1029" s="757"/>
      <c r="AP1029" s="757"/>
      <c r="AQ1029" s="757"/>
      <c r="AR1029" s="757"/>
      <c r="AS1029" s="757"/>
      <c r="AT1029" s="757"/>
      <c r="AU1029" s="757"/>
      <c r="AV1029" s="757"/>
      <c r="AW1029" s="757"/>
      <c r="AX1029" s="757"/>
      <c r="AY1029" s="757"/>
      <c r="AZ1029" s="75"/>
      <c r="BA1029" s="2"/>
      <c r="BB1029" s="2"/>
      <c r="BC1029" s="2"/>
      <c r="BD1029" s="2"/>
    </row>
    <row r="1030" spans="1:56">
      <c r="A1030" s="781">
        <v>2</v>
      </c>
      <c r="B1030" s="782">
        <v>220</v>
      </c>
      <c r="C1030" s="783">
        <v>45497</v>
      </c>
      <c r="D1030" s="785" t="s">
        <v>380</v>
      </c>
      <c r="E1030" s="808">
        <v>2239.66</v>
      </c>
      <c r="F1030" s="799"/>
      <c r="G1030" s="799"/>
      <c r="H1030" s="1592">
        <f t="shared" si="45"/>
        <v>0</v>
      </c>
      <c r="I1030" s="754" t="str">
        <f>IFERROR(VLOOKUP(B1030,Mychart!$A$125:$B$911,2,FALSE),"-")</f>
        <v>KHALFAN AHMED - ANAAB</v>
      </c>
      <c r="J1030" s="753">
        <f t="shared" si="46"/>
        <v>7</v>
      </c>
      <c r="K1030" s="1540">
        <f t="shared" si="47"/>
        <v>2024</v>
      </c>
      <c r="L1030" s="757"/>
      <c r="M1030" s="757"/>
      <c r="N1030" s="757"/>
      <c r="O1030" s="757"/>
      <c r="P1030" s="757"/>
      <c r="Q1030" s="757"/>
      <c r="R1030" s="757"/>
      <c r="S1030" s="757"/>
      <c r="T1030" s="757"/>
      <c r="U1030" s="757"/>
      <c r="V1030" s="757"/>
      <c r="W1030" s="757"/>
      <c r="X1030" s="757"/>
      <c r="Y1030" s="757"/>
      <c r="Z1030" s="757"/>
      <c r="AA1030" s="757"/>
      <c r="AB1030" s="757"/>
      <c r="AC1030" s="757"/>
      <c r="AD1030" s="757"/>
      <c r="AE1030" s="757"/>
      <c r="AF1030" s="757"/>
      <c r="AG1030" s="757"/>
      <c r="AH1030" s="757"/>
      <c r="AI1030" s="757"/>
      <c r="AJ1030" s="757"/>
      <c r="AK1030" s="757"/>
      <c r="AL1030" s="757"/>
      <c r="AM1030" s="757"/>
      <c r="AN1030" s="757"/>
      <c r="AO1030" s="757"/>
      <c r="AP1030" s="757"/>
      <c r="AQ1030" s="757"/>
      <c r="AR1030" s="757"/>
      <c r="AS1030" s="757"/>
      <c r="AT1030" s="757"/>
      <c r="AU1030" s="757"/>
      <c r="AV1030" s="757"/>
      <c r="AW1030" s="757"/>
      <c r="AX1030" s="757"/>
      <c r="AY1030" s="757"/>
      <c r="AZ1030" s="75"/>
      <c r="BA1030" s="2"/>
      <c r="BB1030" s="2"/>
      <c r="BC1030" s="2"/>
      <c r="BD1030" s="2"/>
    </row>
    <row r="1031" spans="1:56">
      <c r="A1031" s="781">
        <v>2</v>
      </c>
      <c r="B1031" s="782">
        <v>262</v>
      </c>
      <c r="C1031" s="783">
        <v>45504</v>
      </c>
      <c r="D1031" s="785" t="s">
        <v>380</v>
      </c>
      <c r="E1031" s="808">
        <v>1147.6300000000001</v>
      </c>
      <c r="F1031" s="799"/>
      <c r="G1031" s="799"/>
      <c r="H1031" s="1592">
        <f t="shared" si="45"/>
        <v>0</v>
      </c>
      <c r="I1031" s="754" t="str">
        <f>IFERROR(VLOOKUP(B1031,Mychart!$A$125:$B$911,2,FALSE),"-")</f>
        <v>Amna Ahmed</v>
      </c>
      <c r="J1031" s="753">
        <f t="shared" si="46"/>
        <v>7</v>
      </c>
      <c r="K1031" s="1540">
        <f t="shared" si="47"/>
        <v>2024</v>
      </c>
      <c r="L1031" s="757"/>
      <c r="M1031" s="757"/>
      <c r="N1031" s="757"/>
      <c r="O1031" s="757"/>
      <c r="P1031" s="757"/>
      <c r="Q1031" s="757"/>
      <c r="R1031" s="757"/>
      <c r="S1031" s="757"/>
      <c r="T1031" s="757"/>
      <c r="U1031" s="757"/>
      <c r="V1031" s="757"/>
      <c r="W1031" s="757"/>
      <c r="X1031" s="757"/>
      <c r="Y1031" s="757"/>
      <c r="Z1031" s="757"/>
      <c r="AA1031" s="757"/>
      <c r="AB1031" s="757"/>
      <c r="AC1031" s="757"/>
      <c r="AD1031" s="757"/>
      <c r="AE1031" s="757"/>
      <c r="AF1031" s="757"/>
      <c r="AG1031" s="757"/>
      <c r="AH1031" s="757"/>
      <c r="AI1031" s="757"/>
      <c r="AJ1031" s="757"/>
      <c r="AK1031" s="757"/>
      <c r="AL1031" s="757"/>
      <c r="AM1031" s="757"/>
      <c r="AN1031" s="757"/>
      <c r="AO1031" s="757"/>
      <c r="AP1031" s="757"/>
      <c r="AQ1031" s="757"/>
      <c r="AR1031" s="757"/>
      <c r="AS1031" s="757"/>
      <c r="AT1031" s="757"/>
      <c r="AU1031" s="757"/>
      <c r="AV1031" s="757"/>
      <c r="AW1031" s="757"/>
      <c r="AX1031" s="757"/>
      <c r="AY1031" s="757"/>
      <c r="AZ1031" s="75"/>
      <c r="BA1031" s="2"/>
      <c r="BB1031" s="2"/>
      <c r="BC1031" s="2"/>
      <c r="BD1031" s="2"/>
    </row>
    <row r="1032" spans="1:56">
      <c r="A1032" s="781">
        <v>2</v>
      </c>
      <c r="B1032" s="782">
        <v>252</v>
      </c>
      <c r="C1032" s="783">
        <v>45504</v>
      </c>
      <c r="D1032" s="785" t="s">
        <v>380</v>
      </c>
      <c r="E1032" s="808">
        <v>142.31</v>
      </c>
      <c r="F1032" s="799"/>
      <c r="G1032" s="799"/>
      <c r="H1032" s="1592">
        <f t="shared" si="45"/>
        <v>0</v>
      </c>
      <c r="I1032" s="754" t="str">
        <f>IFERROR(VLOOKUP(B1032,Mychart!$A$125:$B$911,2,FALSE),"-")</f>
        <v>Mohamed Saif - HBC</v>
      </c>
      <c r="J1032" s="753">
        <f t="shared" si="46"/>
        <v>7</v>
      </c>
      <c r="K1032" s="1540">
        <f t="shared" si="47"/>
        <v>2024</v>
      </c>
      <c r="L1032" s="757"/>
      <c r="M1032" s="757"/>
      <c r="N1032" s="757"/>
      <c r="O1032" s="757"/>
      <c r="P1032" s="757"/>
      <c r="Q1032" s="757"/>
      <c r="R1032" s="757"/>
      <c r="S1032" s="757"/>
      <c r="T1032" s="757"/>
      <c r="U1032" s="757"/>
      <c r="V1032" s="757"/>
      <c r="W1032" s="757"/>
      <c r="X1032" s="757"/>
      <c r="Y1032" s="757"/>
      <c r="Z1032" s="757"/>
      <c r="AA1032" s="757"/>
      <c r="AB1032" s="757"/>
      <c r="AC1032" s="757"/>
      <c r="AD1032" s="757"/>
      <c r="AE1032" s="757"/>
      <c r="AF1032" s="757"/>
      <c r="AG1032" s="757"/>
      <c r="AH1032" s="757"/>
      <c r="AI1032" s="757"/>
      <c r="AJ1032" s="757"/>
      <c r="AK1032" s="757"/>
      <c r="AL1032" s="757"/>
      <c r="AM1032" s="757"/>
      <c r="AN1032" s="757"/>
      <c r="AO1032" s="757"/>
      <c r="AP1032" s="757"/>
      <c r="AQ1032" s="757"/>
      <c r="AR1032" s="757"/>
      <c r="AS1032" s="757"/>
      <c r="AT1032" s="757"/>
      <c r="AU1032" s="757"/>
      <c r="AV1032" s="757"/>
      <c r="AW1032" s="757"/>
      <c r="AX1032" s="757"/>
      <c r="AY1032" s="757"/>
      <c r="AZ1032" s="75"/>
      <c r="BA1032" s="2"/>
      <c r="BB1032" s="2"/>
      <c r="BC1032" s="2"/>
      <c r="BD1032" s="2"/>
    </row>
    <row r="1033" spans="1:56">
      <c r="A1033" s="781">
        <v>2</v>
      </c>
      <c r="B1033" s="782">
        <v>279</v>
      </c>
      <c r="C1033" s="783">
        <v>45502</v>
      </c>
      <c r="D1033" s="785" t="s">
        <v>162</v>
      </c>
      <c r="E1033" s="808">
        <v>18957</v>
      </c>
      <c r="F1033" s="799"/>
      <c r="G1033" s="799"/>
      <c r="H1033" s="1592">
        <f t="shared" si="45"/>
        <v>0</v>
      </c>
      <c r="I1033" s="754" t="str">
        <f>IFERROR(VLOOKUP(B1033,Mychart!$A$125:$B$911,2,FALSE),"-")</f>
        <v>Shams Saeed Sultan AL Kitbee</v>
      </c>
      <c r="J1033" s="753">
        <f t="shared" si="46"/>
        <v>7</v>
      </c>
      <c r="K1033" s="1540">
        <f t="shared" si="47"/>
        <v>2024</v>
      </c>
      <c r="L1033" s="757"/>
      <c r="M1033" s="757"/>
      <c r="N1033" s="757"/>
      <c r="O1033" s="757"/>
      <c r="P1033" s="757"/>
      <c r="Q1033" s="757"/>
      <c r="R1033" s="757"/>
      <c r="S1033" s="757"/>
      <c r="T1033" s="757"/>
      <c r="U1033" s="757"/>
      <c r="V1033" s="757"/>
      <c r="W1033" s="757"/>
      <c r="X1033" s="757"/>
      <c r="Y1033" s="757"/>
      <c r="Z1033" s="757"/>
      <c r="AA1033" s="757"/>
      <c r="AB1033" s="757"/>
      <c r="AC1033" s="757"/>
      <c r="AD1033" s="757"/>
      <c r="AE1033" s="757"/>
      <c r="AF1033" s="757"/>
      <c r="AG1033" s="757"/>
      <c r="AH1033" s="757"/>
      <c r="AI1033" s="757"/>
      <c r="AJ1033" s="757"/>
      <c r="AK1033" s="757"/>
      <c r="AL1033" s="757"/>
      <c r="AM1033" s="757"/>
      <c r="AN1033" s="757"/>
      <c r="AO1033" s="757"/>
      <c r="AP1033" s="757"/>
      <c r="AQ1033" s="757"/>
      <c r="AR1033" s="757"/>
      <c r="AS1033" s="757"/>
      <c r="AT1033" s="757"/>
      <c r="AU1033" s="757"/>
      <c r="AV1033" s="757"/>
      <c r="AW1033" s="757"/>
      <c r="AX1033" s="757"/>
      <c r="AY1033" s="757"/>
      <c r="AZ1033" s="75"/>
      <c r="BA1033" s="2"/>
      <c r="BB1033" s="2"/>
      <c r="BC1033" s="2"/>
      <c r="BD1033" s="2"/>
    </row>
    <row r="1034" spans="1:56">
      <c r="A1034" s="781">
        <v>2</v>
      </c>
      <c r="B1034" s="782">
        <v>242</v>
      </c>
      <c r="C1034" s="783">
        <v>45505</v>
      </c>
      <c r="D1034" s="785" t="s">
        <v>162</v>
      </c>
      <c r="E1034" s="808">
        <v>17314</v>
      </c>
      <c r="F1034" s="799"/>
      <c r="G1034" s="799"/>
      <c r="H1034" s="1592">
        <f t="shared" si="45"/>
        <v>0</v>
      </c>
      <c r="I1034" s="754" t="str">
        <f>IFERROR(VLOOKUP(B1034,Mychart!$A$125:$B$911,2,FALSE),"-")</f>
        <v>AMMAR - ARCHPIX</v>
      </c>
      <c r="J1034" s="753">
        <f t="shared" si="46"/>
        <v>8</v>
      </c>
      <c r="K1034" s="1540">
        <f t="shared" si="47"/>
        <v>2024</v>
      </c>
      <c r="L1034" s="757"/>
      <c r="M1034" s="757"/>
      <c r="N1034" s="757"/>
      <c r="O1034" s="757"/>
      <c r="P1034" s="757"/>
      <c r="Q1034" s="757"/>
      <c r="R1034" s="757"/>
      <c r="S1034" s="757"/>
      <c r="T1034" s="757"/>
      <c r="U1034" s="757"/>
      <c r="V1034" s="757"/>
      <c r="W1034" s="757"/>
      <c r="X1034" s="757"/>
      <c r="Y1034" s="757"/>
      <c r="Z1034" s="757"/>
      <c r="AA1034" s="757"/>
      <c r="AB1034" s="757"/>
      <c r="AC1034" s="757"/>
      <c r="AD1034" s="757"/>
      <c r="AE1034" s="757"/>
      <c r="AF1034" s="757"/>
      <c r="AG1034" s="757"/>
      <c r="AH1034" s="757"/>
      <c r="AI1034" s="757"/>
      <c r="AJ1034" s="757"/>
      <c r="AK1034" s="757"/>
      <c r="AL1034" s="757"/>
      <c r="AM1034" s="757"/>
      <c r="AN1034" s="757"/>
      <c r="AO1034" s="757"/>
      <c r="AP1034" s="757"/>
      <c r="AQ1034" s="757"/>
      <c r="AR1034" s="757"/>
      <c r="AS1034" s="757"/>
      <c r="AT1034" s="757"/>
      <c r="AU1034" s="757"/>
      <c r="AV1034" s="757"/>
      <c r="AW1034" s="757"/>
      <c r="AX1034" s="757"/>
      <c r="AY1034" s="757"/>
      <c r="AZ1034" s="75"/>
      <c r="BA1034" s="2"/>
      <c r="BB1034" s="2"/>
      <c r="BC1034" s="2"/>
      <c r="BD1034" s="2"/>
    </row>
    <row r="1035" spans="1:56">
      <c r="A1035" s="781">
        <v>1</v>
      </c>
      <c r="B1035" s="782">
        <v>282</v>
      </c>
      <c r="C1035" s="783">
        <v>45509</v>
      </c>
      <c r="D1035" s="785" t="s">
        <v>1222</v>
      </c>
      <c r="E1035" s="808"/>
      <c r="F1035" s="799">
        <v>36000</v>
      </c>
      <c r="G1035" s="799">
        <v>1800</v>
      </c>
      <c r="H1035" s="1592">
        <f t="shared" ref="H1035:H1098" si="48">F1035+G1035</f>
        <v>37800</v>
      </c>
      <c r="I1035" s="754" t="str">
        <f>IFERROR(VLOOKUP(B1035,Mychart!$A$125:$B$911,2,FALSE),"-")</f>
        <v>Omar Yousuf Mohamed Al Hajji Al Falasi</v>
      </c>
      <c r="J1035" s="753">
        <f t="shared" ref="J1035:J1098" si="49">IF(C1035&lt;&gt;"", MONTH(C1035),"-")</f>
        <v>8</v>
      </c>
      <c r="K1035" s="1540">
        <f t="shared" ref="K1035:K1098" si="50">YEAR(C1035)</f>
        <v>2024</v>
      </c>
      <c r="L1035" s="757"/>
      <c r="M1035" s="757"/>
      <c r="N1035" s="757"/>
      <c r="O1035" s="757"/>
      <c r="P1035" s="757"/>
      <c r="Q1035" s="757"/>
      <c r="R1035" s="757"/>
      <c r="S1035" s="757"/>
      <c r="T1035" s="757"/>
      <c r="U1035" s="757"/>
      <c r="V1035" s="757"/>
      <c r="W1035" s="757"/>
      <c r="X1035" s="757"/>
      <c r="Y1035" s="757"/>
      <c r="Z1035" s="757"/>
      <c r="AA1035" s="757"/>
      <c r="AB1035" s="757"/>
      <c r="AC1035" s="757"/>
      <c r="AD1035" s="757"/>
      <c r="AE1035" s="757"/>
      <c r="AF1035" s="757"/>
      <c r="AG1035" s="757"/>
      <c r="AH1035" s="757"/>
      <c r="AI1035" s="757"/>
      <c r="AJ1035" s="757"/>
      <c r="AK1035" s="757"/>
      <c r="AL1035" s="757"/>
      <c r="AM1035" s="757"/>
      <c r="AN1035" s="757"/>
      <c r="AO1035" s="757"/>
      <c r="AP1035" s="757"/>
      <c r="AQ1035" s="757"/>
      <c r="AR1035" s="757"/>
      <c r="AS1035" s="757"/>
      <c r="AT1035" s="757"/>
      <c r="AU1035" s="757"/>
      <c r="AV1035" s="757"/>
      <c r="AW1035" s="757"/>
      <c r="AX1035" s="757"/>
      <c r="AY1035" s="757"/>
      <c r="AZ1035" s="75"/>
      <c r="BA1035" s="2"/>
      <c r="BB1035" s="2"/>
      <c r="BC1035" s="2"/>
      <c r="BD1035" s="2"/>
    </row>
    <row r="1036" spans="1:56">
      <c r="A1036" s="781">
        <v>2</v>
      </c>
      <c r="B1036" s="782">
        <v>242</v>
      </c>
      <c r="C1036" s="783">
        <v>45507</v>
      </c>
      <c r="D1036" s="785" t="s">
        <v>162</v>
      </c>
      <c r="E1036" s="808">
        <v>6678</v>
      </c>
      <c r="F1036" s="799"/>
      <c r="G1036" s="799"/>
      <c r="H1036" s="1592">
        <f t="shared" si="48"/>
        <v>0</v>
      </c>
      <c r="I1036" s="754" t="str">
        <f>IFERROR(VLOOKUP(B1036,Mychart!$A$125:$B$911,2,FALSE),"-")</f>
        <v>AMMAR - ARCHPIX</v>
      </c>
      <c r="J1036" s="753">
        <f t="shared" si="49"/>
        <v>8</v>
      </c>
      <c r="K1036" s="1540">
        <f t="shared" si="50"/>
        <v>2024</v>
      </c>
      <c r="L1036" s="757"/>
      <c r="M1036" s="757"/>
      <c r="N1036" s="757"/>
      <c r="O1036" s="757"/>
      <c r="P1036" s="757"/>
      <c r="Q1036" s="757"/>
      <c r="R1036" s="757"/>
      <c r="S1036" s="757"/>
      <c r="T1036" s="757"/>
      <c r="U1036" s="757"/>
      <c r="V1036" s="757"/>
      <c r="W1036" s="757"/>
      <c r="X1036" s="757"/>
      <c r="Y1036" s="757"/>
      <c r="Z1036" s="757"/>
      <c r="AA1036" s="757"/>
      <c r="AB1036" s="757"/>
      <c r="AC1036" s="757"/>
      <c r="AD1036" s="757"/>
      <c r="AE1036" s="757"/>
      <c r="AF1036" s="757"/>
      <c r="AG1036" s="757"/>
      <c r="AH1036" s="757"/>
      <c r="AI1036" s="757"/>
      <c r="AJ1036" s="757"/>
      <c r="AK1036" s="757"/>
      <c r="AL1036" s="757"/>
      <c r="AM1036" s="757"/>
      <c r="AN1036" s="757"/>
      <c r="AO1036" s="757"/>
      <c r="AP1036" s="757"/>
      <c r="AQ1036" s="757"/>
      <c r="AR1036" s="757"/>
      <c r="AS1036" s="757"/>
      <c r="AT1036" s="757"/>
      <c r="AU1036" s="757"/>
      <c r="AV1036" s="757"/>
      <c r="AW1036" s="757"/>
      <c r="AX1036" s="757"/>
      <c r="AY1036" s="757"/>
      <c r="AZ1036" s="75"/>
      <c r="BA1036" s="2"/>
      <c r="BB1036" s="2"/>
      <c r="BC1036" s="2"/>
      <c r="BD1036" s="2"/>
    </row>
    <row r="1037" spans="1:56">
      <c r="A1037" s="781">
        <v>2</v>
      </c>
      <c r="B1037" s="782">
        <v>279</v>
      </c>
      <c r="C1037" s="783">
        <v>45509</v>
      </c>
      <c r="D1037" s="785" t="s">
        <v>162</v>
      </c>
      <c r="E1037" s="808">
        <v>8295</v>
      </c>
      <c r="F1037" s="799"/>
      <c r="G1037" s="799"/>
      <c r="H1037" s="1592">
        <f t="shared" si="48"/>
        <v>0</v>
      </c>
      <c r="I1037" s="754" t="str">
        <f>IFERROR(VLOOKUP(B1037,Mychart!$A$125:$B$911,2,FALSE),"-")</f>
        <v>Shams Saeed Sultan AL Kitbee</v>
      </c>
      <c r="J1037" s="753">
        <f t="shared" si="49"/>
        <v>8</v>
      </c>
      <c r="K1037" s="1540">
        <f t="shared" si="50"/>
        <v>2024</v>
      </c>
      <c r="L1037" s="757"/>
      <c r="M1037" s="757"/>
      <c r="N1037" s="757"/>
      <c r="O1037" s="757"/>
      <c r="P1037" s="757"/>
      <c r="Q1037" s="757"/>
      <c r="R1037" s="757"/>
      <c r="S1037" s="757"/>
      <c r="T1037" s="757"/>
      <c r="U1037" s="757"/>
      <c r="V1037" s="757"/>
      <c r="W1037" s="757"/>
      <c r="X1037" s="757"/>
      <c r="Y1037" s="757"/>
      <c r="Z1037" s="757"/>
      <c r="AA1037" s="757"/>
      <c r="AB1037" s="757"/>
      <c r="AC1037" s="757"/>
      <c r="AD1037" s="757"/>
      <c r="AE1037" s="757"/>
      <c r="AF1037" s="757"/>
      <c r="AG1037" s="757"/>
      <c r="AH1037" s="757"/>
      <c r="AI1037" s="757"/>
      <c r="AJ1037" s="757"/>
      <c r="AK1037" s="757"/>
      <c r="AL1037" s="757"/>
      <c r="AM1037" s="757"/>
      <c r="AN1037" s="757"/>
      <c r="AO1037" s="757"/>
      <c r="AP1037" s="757"/>
      <c r="AQ1037" s="757"/>
      <c r="AR1037" s="757"/>
      <c r="AS1037" s="757"/>
      <c r="AT1037" s="757"/>
      <c r="AU1037" s="757"/>
      <c r="AV1037" s="757"/>
      <c r="AW1037" s="757"/>
      <c r="AX1037" s="757"/>
      <c r="AY1037" s="757"/>
      <c r="AZ1037" s="75"/>
      <c r="BA1037" s="2"/>
      <c r="BB1037" s="2"/>
      <c r="BC1037" s="2"/>
      <c r="BD1037" s="2"/>
    </row>
    <row r="1038" spans="1:56">
      <c r="A1038" s="781">
        <v>2</v>
      </c>
      <c r="B1038" s="782">
        <v>282</v>
      </c>
      <c r="C1038" s="783">
        <v>45509</v>
      </c>
      <c r="D1038" s="785" t="s">
        <v>1319</v>
      </c>
      <c r="E1038" s="808">
        <v>15000</v>
      </c>
      <c r="F1038" s="799"/>
      <c r="G1038" s="799"/>
      <c r="H1038" s="1592">
        <f t="shared" si="48"/>
        <v>0</v>
      </c>
      <c r="I1038" s="754" t="str">
        <f>IFERROR(VLOOKUP(B1038,Mychart!$A$125:$B$911,2,FALSE),"-")</f>
        <v>Omar Yousuf Mohamed Al Hajji Al Falasi</v>
      </c>
      <c r="J1038" s="753">
        <f t="shared" si="49"/>
        <v>8</v>
      </c>
      <c r="K1038" s="1540">
        <f t="shared" si="50"/>
        <v>2024</v>
      </c>
      <c r="L1038" s="757"/>
      <c r="M1038" s="757"/>
      <c r="N1038" s="757"/>
      <c r="O1038" s="757"/>
      <c r="P1038" s="757"/>
      <c r="Q1038" s="757"/>
      <c r="R1038" s="757"/>
      <c r="S1038" s="757"/>
      <c r="T1038" s="757"/>
      <c r="U1038" s="757"/>
      <c r="V1038" s="757"/>
      <c r="W1038" s="757"/>
      <c r="X1038" s="757"/>
      <c r="Y1038" s="757"/>
      <c r="Z1038" s="757"/>
      <c r="AA1038" s="757"/>
      <c r="AB1038" s="757"/>
      <c r="AC1038" s="757"/>
      <c r="AD1038" s="757"/>
      <c r="AE1038" s="757"/>
      <c r="AF1038" s="757"/>
      <c r="AG1038" s="757"/>
      <c r="AH1038" s="757"/>
      <c r="AI1038" s="757"/>
      <c r="AJ1038" s="757"/>
      <c r="AK1038" s="757"/>
      <c r="AL1038" s="757"/>
      <c r="AM1038" s="757"/>
      <c r="AN1038" s="757"/>
      <c r="AO1038" s="757"/>
      <c r="AP1038" s="757"/>
      <c r="AQ1038" s="757"/>
      <c r="AR1038" s="757"/>
      <c r="AS1038" s="757"/>
      <c r="AT1038" s="757"/>
      <c r="AU1038" s="757"/>
      <c r="AV1038" s="757"/>
      <c r="AW1038" s="757"/>
      <c r="AX1038" s="757"/>
      <c r="AY1038" s="757"/>
      <c r="AZ1038" s="75"/>
      <c r="BA1038" s="2"/>
      <c r="BB1038" s="2"/>
      <c r="BC1038" s="2"/>
      <c r="BD1038" s="2"/>
    </row>
    <row r="1039" spans="1:56">
      <c r="A1039" s="781">
        <v>1</v>
      </c>
      <c r="B1039" s="782">
        <v>242</v>
      </c>
      <c r="C1039" s="783">
        <v>45513</v>
      </c>
      <c r="D1039" s="785" t="s">
        <v>1335</v>
      </c>
      <c r="E1039" s="808"/>
      <c r="F1039" s="799">
        <v>16500</v>
      </c>
      <c r="G1039" s="799">
        <v>825</v>
      </c>
      <c r="H1039" s="1592">
        <f t="shared" si="48"/>
        <v>17325</v>
      </c>
      <c r="I1039" s="754" t="str">
        <f>IFERROR(VLOOKUP(B1039,Mychart!$A$125:$B$911,2,FALSE),"-")</f>
        <v>AMMAR - ARCHPIX</v>
      </c>
      <c r="J1039" s="753">
        <f t="shared" si="49"/>
        <v>8</v>
      </c>
      <c r="K1039" s="1540">
        <f t="shared" si="50"/>
        <v>2024</v>
      </c>
      <c r="L1039" s="757"/>
      <c r="M1039" s="757"/>
      <c r="N1039" s="757"/>
      <c r="O1039" s="757"/>
      <c r="P1039" s="757"/>
      <c r="Q1039" s="757"/>
      <c r="R1039" s="757"/>
      <c r="S1039" s="757"/>
      <c r="T1039" s="757"/>
      <c r="U1039" s="757"/>
      <c r="V1039" s="757"/>
      <c r="W1039" s="757"/>
      <c r="X1039" s="757"/>
      <c r="Y1039" s="757"/>
      <c r="Z1039" s="757"/>
      <c r="AA1039" s="757"/>
      <c r="AB1039" s="757"/>
      <c r="AC1039" s="757"/>
      <c r="AD1039" s="757"/>
      <c r="AE1039" s="757"/>
      <c r="AF1039" s="757"/>
      <c r="AG1039" s="757"/>
      <c r="AH1039" s="757"/>
      <c r="AI1039" s="757"/>
      <c r="AJ1039" s="757"/>
      <c r="AK1039" s="757"/>
      <c r="AL1039" s="757"/>
      <c r="AM1039" s="757"/>
      <c r="AN1039" s="757"/>
      <c r="AO1039" s="757"/>
      <c r="AP1039" s="757"/>
      <c r="AQ1039" s="757"/>
      <c r="AR1039" s="757"/>
      <c r="AS1039" s="757"/>
      <c r="AT1039" s="757"/>
      <c r="AU1039" s="757"/>
      <c r="AV1039" s="757"/>
      <c r="AW1039" s="757"/>
      <c r="AX1039" s="757"/>
      <c r="AY1039" s="757"/>
      <c r="AZ1039" s="75"/>
      <c r="BA1039" s="2"/>
      <c r="BB1039" s="2"/>
      <c r="BC1039" s="2"/>
      <c r="BD1039" s="2"/>
    </row>
    <row r="1040" spans="1:56">
      <c r="A1040" s="781">
        <v>1</v>
      </c>
      <c r="B1040" s="782">
        <v>255</v>
      </c>
      <c r="C1040" s="783">
        <v>45514</v>
      </c>
      <c r="D1040" s="785" t="s">
        <v>1336</v>
      </c>
      <c r="E1040" s="808"/>
      <c r="F1040" s="799">
        <v>50750</v>
      </c>
      <c r="G1040" s="799">
        <v>2537.5</v>
      </c>
      <c r="H1040" s="1592">
        <f t="shared" si="48"/>
        <v>53287.5</v>
      </c>
      <c r="I1040" s="754" t="str">
        <f>IFERROR(VLOOKUP(B1040,Mychart!$A$125:$B$911,2,FALSE),"-")</f>
        <v>ESSA KHALIFA</v>
      </c>
      <c r="J1040" s="753">
        <f t="shared" si="49"/>
        <v>8</v>
      </c>
      <c r="K1040" s="1540">
        <f t="shared" si="50"/>
        <v>2024</v>
      </c>
      <c r="L1040" s="757"/>
      <c r="M1040" s="757"/>
      <c r="N1040" s="757"/>
      <c r="O1040" s="757"/>
      <c r="P1040" s="757"/>
      <c r="Q1040" s="757"/>
      <c r="R1040" s="757"/>
      <c r="S1040" s="757"/>
      <c r="T1040" s="757"/>
      <c r="U1040" s="757"/>
      <c r="V1040" s="757"/>
      <c r="W1040" s="757"/>
      <c r="X1040" s="757"/>
      <c r="Y1040" s="757"/>
      <c r="Z1040" s="757"/>
      <c r="AA1040" s="757"/>
      <c r="AB1040" s="757"/>
      <c r="AC1040" s="757"/>
      <c r="AD1040" s="757"/>
      <c r="AE1040" s="757"/>
      <c r="AF1040" s="757"/>
      <c r="AG1040" s="757"/>
      <c r="AH1040" s="757"/>
      <c r="AI1040" s="757"/>
      <c r="AJ1040" s="757"/>
      <c r="AK1040" s="757"/>
      <c r="AL1040" s="757"/>
      <c r="AM1040" s="757"/>
      <c r="AN1040" s="757"/>
      <c r="AO1040" s="757"/>
      <c r="AP1040" s="757"/>
      <c r="AQ1040" s="757"/>
      <c r="AR1040" s="757"/>
      <c r="AS1040" s="757"/>
      <c r="AT1040" s="757"/>
      <c r="AU1040" s="757"/>
      <c r="AV1040" s="757"/>
      <c r="AW1040" s="757"/>
      <c r="AX1040" s="757"/>
      <c r="AY1040" s="757"/>
      <c r="AZ1040" s="75"/>
      <c r="BA1040" s="2"/>
      <c r="BB1040" s="2"/>
      <c r="BC1040" s="2"/>
      <c r="BD1040" s="2"/>
    </row>
    <row r="1041" spans="1:56">
      <c r="A1041" s="781">
        <v>1</v>
      </c>
      <c r="B1041" s="782">
        <v>284</v>
      </c>
      <c r="C1041" s="783">
        <v>45516</v>
      </c>
      <c r="D1041" s="785" t="s">
        <v>1348</v>
      </c>
      <c r="E1041" s="808"/>
      <c r="F1041" s="799">
        <v>15000</v>
      </c>
      <c r="G1041" s="799">
        <v>750</v>
      </c>
      <c r="H1041" s="1592">
        <f t="shared" si="48"/>
        <v>15750</v>
      </c>
      <c r="I1041" s="754" t="str">
        <f>IFERROR(VLOOKUP(B1041,Mychart!$A$125:$B$911,2,FALSE),"-")</f>
        <v xml:space="preserve">ABDULLAH . EBTESAM بدون عقد موقع </v>
      </c>
      <c r="J1041" s="753">
        <f t="shared" si="49"/>
        <v>8</v>
      </c>
      <c r="K1041" s="1540">
        <f t="shared" si="50"/>
        <v>2024</v>
      </c>
      <c r="L1041" s="757"/>
      <c r="M1041" s="757"/>
      <c r="N1041" s="757"/>
      <c r="O1041" s="757"/>
      <c r="P1041" s="757"/>
      <c r="Q1041" s="757"/>
      <c r="R1041" s="757"/>
      <c r="S1041" s="757"/>
      <c r="T1041" s="757"/>
      <c r="U1041" s="757"/>
      <c r="V1041" s="757"/>
      <c r="W1041" s="757"/>
      <c r="X1041" s="757"/>
      <c r="Y1041" s="757"/>
      <c r="Z1041" s="757"/>
      <c r="AA1041" s="757"/>
      <c r="AB1041" s="757"/>
      <c r="AC1041" s="757"/>
      <c r="AD1041" s="757"/>
      <c r="AE1041" s="757"/>
      <c r="AF1041" s="757"/>
      <c r="AG1041" s="757"/>
      <c r="AH1041" s="757"/>
      <c r="AI1041" s="757"/>
      <c r="AJ1041" s="757"/>
      <c r="AK1041" s="757"/>
      <c r="AL1041" s="757"/>
      <c r="AM1041" s="757"/>
      <c r="AN1041" s="757"/>
      <c r="AO1041" s="757"/>
      <c r="AP1041" s="757"/>
      <c r="AQ1041" s="757"/>
      <c r="AR1041" s="757"/>
      <c r="AS1041" s="757"/>
      <c r="AT1041" s="757"/>
      <c r="AU1041" s="757"/>
      <c r="AV1041" s="757"/>
      <c r="AW1041" s="757"/>
      <c r="AX1041" s="757"/>
      <c r="AY1041" s="757"/>
      <c r="AZ1041" s="75"/>
      <c r="BA1041" s="2"/>
      <c r="BB1041" s="2"/>
      <c r="BC1041" s="2"/>
      <c r="BD1041" s="2"/>
    </row>
    <row r="1042" spans="1:56">
      <c r="A1042" s="781">
        <v>1</v>
      </c>
      <c r="B1042" s="782">
        <v>207</v>
      </c>
      <c r="C1042" s="783">
        <v>45517</v>
      </c>
      <c r="D1042" s="785" t="s">
        <v>1350</v>
      </c>
      <c r="E1042" s="808"/>
      <c r="F1042" s="799">
        <v>9750</v>
      </c>
      <c r="G1042" s="799">
        <v>487.5</v>
      </c>
      <c r="H1042" s="1592">
        <f t="shared" si="48"/>
        <v>10237.5</v>
      </c>
      <c r="I1042" s="754" t="str">
        <f>IFERROR(VLOOKUP(B1042,Mychart!$A$125:$B$911,2,FALSE),"-")</f>
        <v>SAEED OBAID SHAMSI</v>
      </c>
      <c r="J1042" s="753">
        <f t="shared" si="49"/>
        <v>8</v>
      </c>
      <c r="K1042" s="1540">
        <f t="shared" si="50"/>
        <v>2024</v>
      </c>
      <c r="L1042" s="757"/>
      <c r="M1042" s="757"/>
      <c r="N1042" s="757"/>
      <c r="O1042" s="757"/>
      <c r="P1042" s="757"/>
      <c r="Q1042" s="757"/>
      <c r="R1042" s="757"/>
      <c r="S1042" s="757"/>
      <c r="T1042" s="757"/>
      <c r="U1042" s="757"/>
      <c r="V1042" s="757"/>
      <c r="W1042" s="757"/>
      <c r="X1042" s="757"/>
      <c r="Y1042" s="757"/>
      <c r="Z1042" s="757"/>
      <c r="AA1042" s="757"/>
      <c r="AB1042" s="757"/>
      <c r="AC1042" s="757"/>
      <c r="AD1042" s="757"/>
      <c r="AE1042" s="757"/>
      <c r="AF1042" s="757"/>
      <c r="AG1042" s="757"/>
      <c r="AH1042" s="757"/>
      <c r="AI1042" s="757"/>
      <c r="AJ1042" s="757"/>
      <c r="AK1042" s="757"/>
      <c r="AL1042" s="757"/>
      <c r="AM1042" s="757"/>
      <c r="AN1042" s="757"/>
      <c r="AO1042" s="757"/>
      <c r="AP1042" s="757"/>
      <c r="AQ1042" s="757"/>
      <c r="AR1042" s="757"/>
      <c r="AS1042" s="757"/>
      <c r="AT1042" s="757"/>
      <c r="AU1042" s="757"/>
      <c r="AV1042" s="757"/>
      <c r="AW1042" s="757"/>
      <c r="AX1042" s="757"/>
      <c r="AY1042" s="757"/>
      <c r="AZ1042" s="75"/>
      <c r="BA1042" s="2"/>
      <c r="BB1042" s="2"/>
      <c r="BC1042" s="2"/>
      <c r="BD1042" s="2"/>
    </row>
    <row r="1043" spans="1:56">
      <c r="A1043" s="781">
        <v>1</v>
      </c>
      <c r="B1043" s="782">
        <v>275</v>
      </c>
      <c r="C1043" s="783">
        <v>45515</v>
      </c>
      <c r="D1043" s="785" t="s">
        <v>1351</v>
      </c>
      <c r="E1043" s="808"/>
      <c r="F1043" s="799">
        <v>17700</v>
      </c>
      <c r="G1043" s="799">
        <v>885</v>
      </c>
      <c r="H1043" s="1592">
        <f t="shared" si="48"/>
        <v>18585</v>
      </c>
      <c r="I1043" s="754" t="str">
        <f>IFERROR(VLOOKUP(B1043,Mychart!$A$125:$B$911,2,FALSE),"-")</f>
        <v>meshaal saqar - irtekaz</v>
      </c>
      <c r="J1043" s="753">
        <f t="shared" si="49"/>
        <v>8</v>
      </c>
      <c r="K1043" s="1540">
        <f t="shared" si="50"/>
        <v>2024</v>
      </c>
      <c r="L1043" s="757"/>
      <c r="M1043" s="757"/>
      <c r="N1043" s="757"/>
      <c r="O1043" s="757"/>
      <c r="P1043" s="757"/>
      <c r="Q1043" s="757"/>
      <c r="R1043" s="757"/>
      <c r="S1043" s="757"/>
      <c r="T1043" s="757"/>
      <c r="U1043" s="757"/>
      <c r="V1043" s="757"/>
      <c r="W1043" s="757"/>
      <c r="X1043" s="757"/>
      <c r="Y1043" s="757"/>
      <c r="Z1043" s="757"/>
      <c r="AA1043" s="757"/>
      <c r="AB1043" s="757"/>
      <c r="AC1043" s="757"/>
      <c r="AD1043" s="757"/>
      <c r="AE1043" s="757"/>
      <c r="AF1043" s="757"/>
      <c r="AG1043" s="757"/>
      <c r="AH1043" s="757"/>
      <c r="AI1043" s="757"/>
      <c r="AJ1043" s="757"/>
      <c r="AK1043" s="757"/>
      <c r="AL1043" s="757"/>
      <c r="AM1043" s="757"/>
      <c r="AN1043" s="757"/>
      <c r="AO1043" s="757"/>
      <c r="AP1043" s="757"/>
      <c r="AQ1043" s="757"/>
      <c r="AR1043" s="757"/>
      <c r="AS1043" s="757"/>
      <c r="AT1043" s="757"/>
      <c r="AU1043" s="757"/>
      <c r="AV1043" s="757"/>
      <c r="AW1043" s="757"/>
      <c r="AX1043" s="757"/>
      <c r="AY1043" s="757"/>
      <c r="AZ1043" s="75"/>
      <c r="BA1043" s="2"/>
      <c r="BB1043" s="2"/>
      <c r="BC1043" s="2"/>
      <c r="BD1043" s="2"/>
    </row>
    <row r="1044" spans="1:56">
      <c r="A1044" s="781">
        <v>2</v>
      </c>
      <c r="B1044" s="782">
        <v>243</v>
      </c>
      <c r="C1044" s="783">
        <v>45516</v>
      </c>
      <c r="D1044" s="785" t="s">
        <v>162</v>
      </c>
      <c r="E1044" s="808">
        <v>22260</v>
      </c>
      <c r="F1044" s="799"/>
      <c r="G1044" s="799"/>
      <c r="H1044" s="1592">
        <f t="shared" si="48"/>
        <v>0</v>
      </c>
      <c r="I1044" s="754" t="str">
        <f>IFERROR(VLOOKUP(B1044,Mychart!$A$125:$B$911,2,FALSE),"-")</f>
        <v>SHIHAB - ERTIKAZ</v>
      </c>
      <c r="J1044" s="753">
        <f t="shared" si="49"/>
        <v>8</v>
      </c>
      <c r="K1044" s="1540">
        <f t="shared" si="50"/>
        <v>2024</v>
      </c>
      <c r="L1044" s="757"/>
      <c r="M1044" s="757"/>
      <c r="N1044" s="757"/>
      <c r="O1044" s="757"/>
      <c r="P1044" s="757"/>
      <c r="Q1044" s="757"/>
      <c r="R1044" s="757"/>
      <c r="S1044" s="757"/>
      <c r="T1044" s="757"/>
      <c r="U1044" s="757"/>
      <c r="V1044" s="757"/>
      <c r="W1044" s="757"/>
      <c r="X1044" s="757"/>
      <c r="Y1044" s="757"/>
      <c r="Z1044" s="757"/>
      <c r="AA1044" s="757"/>
      <c r="AB1044" s="757"/>
      <c r="AC1044" s="757"/>
      <c r="AD1044" s="757"/>
      <c r="AE1044" s="757"/>
      <c r="AF1044" s="757"/>
      <c r="AG1044" s="757"/>
      <c r="AH1044" s="757"/>
      <c r="AI1044" s="757"/>
      <c r="AJ1044" s="757"/>
      <c r="AK1044" s="757"/>
      <c r="AL1044" s="757"/>
      <c r="AM1044" s="757"/>
      <c r="AN1044" s="757"/>
      <c r="AO1044" s="757"/>
      <c r="AP1044" s="757"/>
      <c r="AQ1044" s="757"/>
      <c r="AR1044" s="757"/>
      <c r="AS1044" s="757"/>
      <c r="AT1044" s="757"/>
      <c r="AU1044" s="757"/>
      <c r="AV1044" s="757"/>
      <c r="AW1044" s="757"/>
      <c r="AX1044" s="757"/>
      <c r="AY1044" s="757"/>
      <c r="AZ1044" s="75"/>
      <c r="BA1044" s="2"/>
      <c r="BB1044" s="2"/>
      <c r="BC1044" s="2"/>
      <c r="BD1044" s="2"/>
    </row>
    <row r="1045" spans="1:56">
      <c r="A1045" s="781">
        <v>2</v>
      </c>
      <c r="B1045" s="782">
        <v>250</v>
      </c>
      <c r="C1045" s="783">
        <v>45516</v>
      </c>
      <c r="D1045" s="785" t="s">
        <v>162</v>
      </c>
      <c r="E1045" s="808">
        <v>11004</v>
      </c>
      <c r="F1045" s="799"/>
      <c r="G1045" s="799"/>
      <c r="H1045" s="1592">
        <f t="shared" si="48"/>
        <v>0</v>
      </c>
      <c r="I1045" s="754" t="str">
        <f>IFERROR(VLOOKUP(B1045,Mychart!$A$125:$B$911,2,FALSE),"-")</f>
        <v>ABDULLAH JASSEM-DYNAMIC</v>
      </c>
      <c r="J1045" s="753">
        <f t="shared" si="49"/>
        <v>8</v>
      </c>
      <c r="K1045" s="1540">
        <f t="shared" si="50"/>
        <v>2024</v>
      </c>
      <c r="L1045" s="757"/>
      <c r="M1045" s="757"/>
      <c r="N1045" s="757"/>
      <c r="O1045" s="757"/>
      <c r="P1045" s="757"/>
      <c r="Q1045" s="757"/>
      <c r="R1045" s="757"/>
      <c r="S1045" s="757"/>
      <c r="T1045" s="757"/>
      <c r="U1045" s="757"/>
      <c r="V1045" s="757"/>
      <c r="W1045" s="757"/>
      <c r="X1045" s="757"/>
      <c r="Y1045" s="757"/>
      <c r="Z1045" s="757"/>
      <c r="AA1045" s="757"/>
      <c r="AB1045" s="757"/>
      <c r="AC1045" s="757"/>
      <c r="AD1045" s="757"/>
      <c r="AE1045" s="757"/>
      <c r="AF1045" s="757"/>
      <c r="AG1045" s="757"/>
      <c r="AH1045" s="757"/>
      <c r="AI1045" s="757"/>
      <c r="AJ1045" s="757"/>
      <c r="AK1045" s="757"/>
      <c r="AL1045" s="757"/>
      <c r="AM1045" s="757"/>
      <c r="AN1045" s="757"/>
      <c r="AO1045" s="757"/>
      <c r="AP1045" s="757"/>
      <c r="AQ1045" s="757"/>
      <c r="AR1045" s="757"/>
      <c r="AS1045" s="757"/>
      <c r="AT1045" s="757"/>
      <c r="AU1045" s="757"/>
      <c r="AV1045" s="757"/>
      <c r="AW1045" s="757"/>
      <c r="AX1045" s="757"/>
      <c r="AY1045" s="757"/>
      <c r="AZ1045" s="75"/>
      <c r="BA1045" s="2"/>
      <c r="BB1045" s="2"/>
      <c r="BC1045" s="2"/>
      <c r="BD1045" s="2"/>
    </row>
    <row r="1046" spans="1:56">
      <c r="A1046" s="781">
        <v>2</v>
      </c>
      <c r="B1046" s="782">
        <v>217</v>
      </c>
      <c r="C1046" s="783">
        <v>45516</v>
      </c>
      <c r="D1046" s="785" t="s">
        <v>162</v>
      </c>
      <c r="E1046" s="808">
        <v>11014</v>
      </c>
      <c r="F1046" s="799"/>
      <c r="G1046" s="799"/>
      <c r="H1046" s="1592">
        <f t="shared" si="48"/>
        <v>0</v>
      </c>
      <c r="I1046" s="754" t="str">
        <f>IFERROR(VLOOKUP(B1046,Mychart!$A$125:$B$911,2,FALSE),"-")</f>
        <v>MOHAMED MUHAIR . AREEJ</v>
      </c>
      <c r="J1046" s="753">
        <f t="shared" si="49"/>
        <v>8</v>
      </c>
      <c r="K1046" s="1540">
        <f t="shared" si="50"/>
        <v>2024</v>
      </c>
      <c r="L1046" s="757"/>
      <c r="M1046" s="757"/>
      <c r="N1046" s="757"/>
      <c r="O1046" s="757"/>
      <c r="P1046" s="757"/>
      <c r="Q1046" s="757"/>
      <c r="R1046" s="757"/>
      <c r="S1046" s="757"/>
      <c r="T1046" s="757"/>
      <c r="U1046" s="757"/>
      <c r="V1046" s="757"/>
      <c r="W1046" s="757"/>
      <c r="X1046" s="757"/>
      <c r="Y1046" s="757"/>
      <c r="Z1046" s="757"/>
      <c r="AA1046" s="757"/>
      <c r="AB1046" s="757"/>
      <c r="AC1046" s="757"/>
      <c r="AD1046" s="757"/>
      <c r="AE1046" s="757"/>
      <c r="AF1046" s="757"/>
      <c r="AG1046" s="757"/>
      <c r="AH1046" s="757"/>
      <c r="AI1046" s="757"/>
      <c r="AJ1046" s="757"/>
      <c r="AK1046" s="757"/>
      <c r="AL1046" s="757"/>
      <c r="AM1046" s="757"/>
      <c r="AN1046" s="757"/>
      <c r="AO1046" s="757"/>
      <c r="AP1046" s="757"/>
      <c r="AQ1046" s="757"/>
      <c r="AR1046" s="757"/>
      <c r="AS1046" s="757"/>
      <c r="AT1046" s="757"/>
      <c r="AU1046" s="757"/>
      <c r="AV1046" s="757"/>
      <c r="AW1046" s="757"/>
      <c r="AX1046" s="757"/>
      <c r="AY1046" s="757"/>
      <c r="AZ1046" s="75"/>
      <c r="BA1046" s="2"/>
      <c r="BB1046" s="2"/>
      <c r="BC1046" s="2"/>
      <c r="BD1046" s="2"/>
    </row>
    <row r="1047" spans="1:56">
      <c r="A1047" s="781">
        <v>2</v>
      </c>
      <c r="B1047" s="782">
        <v>216</v>
      </c>
      <c r="C1047" s="783">
        <v>45516</v>
      </c>
      <c r="D1047" s="785" t="s">
        <v>162</v>
      </c>
      <c r="E1047" s="808">
        <v>11518</v>
      </c>
      <c r="F1047" s="799"/>
      <c r="G1047" s="799"/>
      <c r="H1047" s="1592">
        <f t="shared" si="48"/>
        <v>0</v>
      </c>
      <c r="I1047" s="754" t="str">
        <f>IFERROR(VLOOKUP(B1047,Mychart!$A$125:$B$911,2,FALSE),"-")</f>
        <v>MUHAIR . AREEJ ( 165000 )</v>
      </c>
      <c r="J1047" s="753">
        <f t="shared" si="49"/>
        <v>8</v>
      </c>
      <c r="K1047" s="1540">
        <f t="shared" si="50"/>
        <v>2024</v>
      </c>
      <c r="L1047" s="757"/>
      <c r="M1047" s="757"/>
      <c r="N1047" s="757"/>
      <c r="O1047" s="757"/>
      <c r="P1047" s="757"/>
      <c r="Q1047" s="757"/>
      <c r="R1047" s="757"/>
      <c r="S1047" s="757"/>
      <c r="T1047" s="757"/>
      <c r="U1047" s="757"/>
      <c r="V1047" s="757"/>
      <c r="W1047" s="757"/>
      <c r="X1047" s="757"/>
      <c r="Y1047" s="757"/>
      <c r="Z1047" s="757"/>
      <c r="AA1047" s="757"/>
      <c r="AB1047" s="757"/>
      <c r="AC1047" s="757"/>
      <c r="AD1047" s="757"/>
      <c r="AE1047" s="757"/>
      <c r="AF1047" s="757"/>
      <c r="AG1047" s="757"/>
      <c r="AH1047" s="757"/>
      <c r="AI1047" s="757"/>
      <c r="AJ1047" s="757"/>
      <c r="AK1047" s="757"/>
      <c r="AL1047" s="757"/>
      <c r="AM1047" s="757"/>
      <c r="AN1047" s="757"/>
      <c r="AO1047" s="757"/>
      <c r="AP1047" s="757"/>
      <c r="AQ1047" s="757"/>
      <c r="AR1047" s="757"/>
      <c r="AS1047" s="757"/>
      <c r="AT1047" s="757"/>
      <c r="AU1047" s="757"/>
      <c r="AV1047" s="757"/>
      <c r="AW1047" s="757"/>
      <c r="AX1047" s="757"/>
      <c r="AY1047" s="757"/>
      <c r="AZ1047" s="75"/>
      <c r="BA1047" s="2"/>
      <c r="BB1047" s="2"/>
      <c r="BC1047" s="2"/>
      <c r="BD1047" s="2"/>
    </row>
    <row r="1048" spans="1:56">
      <c r="A1048" s="781">
        <v>2</v>
      </c>
      <c r="B1048" s="782">
        <v>242</v>
      </c>
      <c r="C1048" s="783">
        <v>45516</v>
      </c>
      <c r="D1048" s="785" t="s">
        <v>162</v>
      </c>
      <c r="E1048" s="808">
        <v>31122</v>
      </c>
      <c r="F1048" s="799"/>
      <c r="G1048" s="799"/>
      <c r="H1048" s="1592">
        <f t="shared" si="48"/>
        <v>0</v>
      </c>
      <c r="I1048" s="754" t="str">
        <f>IFERROR(VLOOKUP(B1048,Mychart!$A$125:$B$911,2,FALSE),"-")</f>
        <v>AMMAR - ARCHPIX</v>
      </c>
      <c r="J1048" s="753">
        <f t="shared" si="49"/>
        <v>8</v>
      </c>
      <c r="K1048" s="1540">
        <f t="shared" si="50"/>
        <v>2024</v>
      </c>
      <c r="L1048" s="757"/>
      <c r="M1048" s="757"/>
      <c r="N1048" s="757"/>
      <c r="O1048" s="757"/>
      <c r="P1048" s="757"/>
      <c r="Q1048" s="757"/>
      <c r="R1048" s="757"/>
      <c r="S1048" s="757"/>
      <c r="T1048" s="757"/>
      <c r="U1048" s="757"/>
      <c r="V1048" s="757"/>
      <c r="W1048" s="757"/>
      <c r="X1048" s="757"/>
      <c r="Y1048" s="757"/>
      <c r="Z1048" s="757"/>
      <c r="AA1048" s="757"/>
      <c r="AB1048" s="757"/>
      <c r="AC1048" s="757"/>
      <c r="AD1048" s="757"/>
      <c r="AE1048" s="757"/>
      <c r="AF1048" s="757"/>
      <c r="AG1048" s="757"/>
      <c r="AH1048" s="757"/>
      <c r="AI1048" s="757"/>
      <c r="AJ1048" s="757"/>
      <c r="AK1048" s="757"/>
      <c r="AL1048" s="757"/>
      <c r="AM1048" s="757"/>
      <c r="AN1048" s="757"/>
      <c r="AO1048" s="757"/>
      <c r="AP1048" s="757"/>
      <c r="AQ1048" s="757"/>
      <c r="AR1048" s="757"/>
      <c r="AS1048" s="757"/>
      <c r="AT1048" s="757"/>
      <c r="AU1048" s="757"/>
      <c r="AV1048" s="757"/>
      <c r="AW1048" s="757"/>
      <c r="AX1048" s="757"/>
      <c r="AY1048" s="757"/>
      <c r="AZ1048" s="75"/>
      <c r="BA1048" s="2"/>
      <c r="BB1048" s="2"/>
      <c r="BC1048" s="2"/>
      <c r="BD1048" s="2"/>
    </row>
    <row r="1049" spans="1:56">
      <c r="A1049" s="781">
        <v>2</v>
      </c>
      <c r="B1049" s="782">
        <v>197</v>
      </c>
      <c r="C1049" s="783">
        <v>45503</v>
      </c>
      <c r="D1049" s="785" t="s">
        <v>1361</v>
      </c>
      <c r="E1049" s="808">
        <v>6719.28</v>
      </c>
      <c r="F1049" s="799"/>
      <c r="G1049" s="799"/>
      <c r="H1049" s="1592">
        <f t="shared" si="48"/>
        <v>0</v>
      </c>
      <c r="I1049" s="754" t="str">
        <f>IFERROR(VLOOKUP(B1049,Mychart!$A$125:$B$911,2,FALSE),"-")</f>
        <v>OSMAN AHLI</v>
      </c>
      <c r="J1049" s="753">
        <f t="shared" si="49"/>
        <v>7</v>
      </c>
      <c r="K1049" s="1540">
        <f t="shared" si="50"/>
        <v>2024</v>
      </c>
      <c r="L1049" s="757"/>
      <c r="M1049" s="757"/>
      <c r="N1049" s="757"/>
      <c r="O1049" s="757"/>
      <c r="P1049" s="757"/>
      <c r="Q1049" s="757"/>
      <c r="R1049" s="757"/>
      <c r="S1049" s="757"/>
      <c r="T1049" s="757"/>
      <c r="U1049" s="757"/>
      <c r="V1049" s="757"/>
      <c r="W1049" s="757"/>
      <c r="X1049" s="757"/>
      <c r="Y1049" s="757"/>
      <c r="Z1049" s="757"/>
      <c r="AA1049" s="757"/>
      <c r="AB1049" s="757"/>
      <c r="AC1049" s="757"/>
      <c r="AD1049" s="757"/>
      <c r="AE1049" s="757"/>
      <c r="AF1049" s="757"/>
      <c r="AG1049" s="757"/>
      <c r="AH1049" s="757"/>
      <c r="AI1049" s="757"/>
      <c r="AJ1049" s="757"/>
      <c r="AK1049" s="757"/>
      <c r="AL1049" s="757"/>
      <c r="AM1049" s="757"/>
      <c r="AN1049" s="757"/>
      <c r="AO1049" s="757"/>
      <c r="AP1049" s="757"/>
      <c r="AQ1049" s="757"/>
      <c r="AR1049" s="757"/>
      <c r="AS1049" s="757"/>
      <c r="AT1049" s="757"/>
      <c r="AU1049" s="757"/>
      <c r="AV1049" s="757"/>
      <c r="AW1049" s="757"/>
      <c r="AX1049" s="757"/>
      <c r="AY1049" s="757"/>
      <c r="AZ1049" s="75"/>
      <c r="BA1049" s="2"/>
      <c r="BB1049" s="2"/>
      <c r="BC1049" s="2"/>
      <c r="BD1049" s="2"/>
    </row>
    <row r="1050" spans="1:56">
      <c r="A1050" s="781">
        <v>2</v>
      </c>
      <c r="B1050" s="782">
        <v>202</v>
      </c>
      <c r="C1050" s="783">
        <v>45503</v>
      </c>
      <c r="D1050" s="785" t="s">
        <v>1361</v>
      </c>
      <c r="E1050" s="808">
        <v>1374.45</v>
      </c>
      <c r="F1050" s="799"/>
      <c r="G1050" s="799"/>
      <c r="H1050" s="1592">
        <f t="shared" si="48"/>
        <v>0</v>
      </c>
      <c r="I1050" s="754" t="str">
        <f>IFERROR(VLOOKUP(B1050,Mychart!$A$125:$B$911,2,FALSE),"-")</f>
        <v>AHMED HELAL - ERTIKAZ</v>
      </c>
      <c r="J1050" s="753">
        <f t="shared" si="49"/>
        <v>7</v>
      </c>
      <c r="K1050" s="1540">
        <f t="shared" si="50"/>
        <v>2024</v>
      </c>
      <c r="L1050" s="757"/>
      <c r="M1050" s="757"/>
      <c r="N1050" s="757"/>
      <c r="O1050" s="757"/>
      <c r="P1050" s="757"/>
      <c r="Q1050" s="757"/>
      <c r="R1050" s="757"/>
      <c r="S1050" s="757"/>
      <c r="T1050" s="757"/>
      <c r="U1050" s="757"/>
      <c r="V1050" s="757"/>
      <c r="W1050" s="757"/>
      <c r="X1050" s="757"/>
      <c r="Y1050" s="757"/>
      <c r="Z1050" s="757"/>
      <c r="AA1050" s="757"/>
      <c r="AB1050" s="757"/>
      <c r="AC1050" s="757"/>
      <c r="AD1050" s="757"/>
      <c r="AE1050" s="757"/>
      <c r="AF1050" s="757"/>
      <c r="AG1050" s="757"/>
      <c r="AH1050" s="757"/>
      <c r="AI1050" s="757"/>
      <c r="AJ1050" s="757"/>
      <c r="AK1050" s="757"/>
      <c r="AL1050" s="757"/>
      <c r="AM1050" s="757"/>
      <c r="AN1050" s="757"/>
      <c r="AO1050" s="757"/>
      <c r="AP1050" s="757"/>
      <c r="AQ1050" s="757"/>
      <c r="AR1050" s="757"/>
      <c r="AS1050" s="757"/>
      <c r="AT1050" s="757"/>
      <c r="AU1050" s="757"/>
      <c r="AV1050" s="757"/>
      <c r="AW1050" s="757"/>
      <c r="AX1050" s="757"/>
      <c r="AY1050" s="757"/>
      <c r="AZ1050" s="75"/>
      <c r="BA1050" s="2"/>
      <c r="BB1050" s="2"/>
      <c r="BC1050" s="2"/>
      <c r="BD1050" s="2"/>
    </row>
    <row r="1051" spans="1:56">
      <c r="A1051" s="781">
        <v>2</v>
      </c>
      <c r="B1051" s="782">
        <v>204</v>
      </c>
      <c r="C1051" s="783">
        <v>45503</v>
      </c>
      <c r="D1051" s="785" t="s">
        <v>1361</v>
      </c>
      <c r="E1051" s="808">
        <v>210</v>
      </c>
      <c r="F1051" s="799"/>
      <c r="G1051" s="799"/>
      <c r="H1051" s="1592">
        <f t="shared" si="48"/>
        <v>0</v>
      </c>
      <c r="I1051" s="754" t="str">
        <f>IFERROR(VLOOKUP(B1051,Mychart!$A$125:$B$911,2,FALSE),"-")</f>
        <v>Abdullah Juma - Dar Dubai</v>
      </c>
      <c r="J1051" s="753">
        <f t="shared" si="49"/>
        <v>7</v>
      </c>
      <c r="K1051" s="1540">
        <f t="shared" si="50"/>
        <v>2024</v>
      </c>
      <c r="L1051" s="757"/>
      <c r="M1051" s="757"/>
      <c r="N1051" s="757"/>
      <c r="O1051" s="757"/>
      <c r="P1051" s="757"/>
      <c r="Q1051" s="757"/>
      <c r="R1051" s="757"/>
      <c r="S1051" s="757"/>
      <c r="T1051" s="757"/>
      <c r="U1051" s="757"/>
      <c r="V1051" s="757"/>
      <c r="W1051" s="757"/>
      <c r="X1051" s="757"/>
      <c r="Y1051" s="757"/>
      <c r="Z1051" s="757"/>
      <c r="AA1051" s="757"/>
      <c r="AB1051" s="757"/>
      <c r="AC1051" s="757"/>
      <c r="AD1051" s="757"/>
      <c r="AE1051" s="757"/>
      <c r="AF1051" s="757"/>
      <c r="AG1051" s="757"/>
      <c r="AH1051" s="757"/>
      <c r="AI1051" s="757"/>
      <c r="AJ1051" s="757"/>
      <c r="AK1051" s="757"/>
      <c r="AL1051" s="757"/>
      <c r="AM1051" s="757"/>
      <c r="AN1051" s="757"/>
      <c r="AO1051" s="757"/>
      <c r="AP1051" s="757"/>
      <c r="AQ1051" s="757"/>
      <c r="AR1051" s="757"/>
      <c r="AS1051" s="757"/>
      <c r="AT1051" s="757"/>
      <c r="AU1051" s="757"/>
      <c r="AV1051" s="757"/>
      <c r="AW1051" s="757"/>
      <c r="AX1051" s="757"/>
      <c r="AY1051" s="757"/>
      <c r="AZ1051" s="75"/>
      <c r="BA1051" s="2"/>
      <c r="BB1051" s="2"/>
      <c r="BC1051" s="2"/>
      <c r="BD1051" s="2"/>
    </row>
    <row r="1052" spans="1:56">
      <c r="A1052" s="781">
        <v>2</v>
      </c>
      <c r="B1052" s="782">
        <v>212</v>
      </c>
      <c r="C1052" s="783">
        <v>45503</v>
      </c>
      <c r="D1052" s="785" t="s">
        <v>1361</v>
      </c>
      <c r="E1052" s="808">
        <v>66</v>
      </c>
      <c r="F1052" s="799"/>
      <c r="G1052" s="799"/>
      <c r="H1052" s="1592">
        <f t="shared" si="48"/>
        <v>0</v>
      </c>
      <c r="I1052" s="754" t="str">
        <f>IFERROR(VLOOKUP(B1052,Mychart!$A$125:$B$911,2,FALSE),"-")</f>
        <v>SULTAN JUMA - DYNAMIC</v>
      </c>
      <c r="J1052" s="753">
        <f t="shared" si="49"/>
        <v>7</v>
      </c>
      <c r="K1052" s="1540">
        <f t="shared" si="50"/>
        <v>2024</v>
      </c>
      <c r="L1052" s="757"/>
      <c r="M1052" s="757"/>
      <c r="N1052" s="757"/>
      <c r="O1052" s="757"/>
      <c r="P1052" s="757"/>
      <c r="Q1052" s="757"/>
      <c r="R1052" s="757"/>
      <c r="S1052" s="757"/>
      <c r="T1052" s="757"/>
      <c r="U1052" s="757"/>
      <c r="V1052" s="757"/>
      <c r="W1052" s="757"/>
      <c r="X1052" s="757"/>
      <c r="Y1052" s="757"/>
      <c r="Z1052" s="757"/>
      <c r="AA1052" s="757"/>
      <c r="AB1052" s="757"/>
      <c r="AC1052" s="757"/>
      <c r="AD1052" s="757"/>
      <c r="AE1052" s="757"/>
      <c r="AF1052" s="757"/>
      <c r="AG1052" s="757"/>
      <c r="AH1052" s="757"/>
      <c r="AI1052" s="757"/>
      <c r="AJ1052" s="757"/>
      <c r="AK1052" s="757"/>
      <c r="AL1052" s="757"/>
      <c r="AM1052" s="757"/>
      <c r="AN1052" s="757"/>
      <c r="AO1052" s="757"/>
      <c r="AP1052" s="757"/>
      <c r="AQ1052" s="757"/>
      <c r="AR1052" s="757"/>
      <c r="AS1052" s="757"/>
      <c r="AT1052" s="757"/>
      <c r="AU1052" s="757"/>
      <c r="AV1052" s="757"/>
      <c r="AW1052" s="757"/>
      <c r="AX1052" s="757"/>
      <c r="AY1052" s="757"/>
      <c r="AZ1052" s="75"/>
      <c r="BA1052" s="2"/>
      <c r="BB1052" s="2"/>
      <c r="BC1052" s="2"/>
      <c r="BD1052" s="2"/>
    </row>
    <row r="1053" spans="1:56">
      <c r="A1053" s="781">
        <v>2</v>
      </c>
      <c r="B1053" s="782">
        <v>213</v>
      </c>
      <c r="C1053" s="783">
        <v>45503</v>
      </c>
      <c r="D1053" s="785" t="s">
        <v>1361</v>
      </c>
      <c r="E1053" s="808">
        <v>546</v>
      </c>
      <c r="F1053" s="799"/>
      <c r="G1053" s="799"/>
      <c r="H1053" s="1592">
        <f t="shared" si="48"/>
        <v>0</v>
      </c>
      <c r="I1053" s="754" t="str">
        <f>IFERROR(VLOOKUP(B1053,Mychart!$A$125:$B$911,2,FALSE),"-")</f>
        <v>MOZA - IBTESAM</v>
      </c>
      <c r="J1053" s="753">
        <f t="shared" si="49"/>
        <v>7</v>
      </c>
      <c r="K1053" s="1540">
        <f t="shared" si="50"/>
        <v>2024</v>
      </c>
      <c r="L1053" s="757"/>
      <c r="M1053" s="757"/>
      <c r="N1053" s="757"/>
      <c r="O1053" s="757"/>
      <c r="P1053" s="757"/>
      <c r="Q1053" s="757"/>
      <c r="R1053" s="757"/>
      <c r="S1053" s="757"/>
      <c r="T1053" s="757"/>
      <c r="U1053" s="757"/>
      <c r="V1053" s="757"/>
      <c r="W1053" s="757"/>
      <c r="X1053" s="757"/>
      <c r="Y1053" s="757"/>
      <c r="Z1053" s="757"/>
      <c r="AA1053" s="757"/>
      <c r="AB1053" s="757"/>
      <c r="AC1053" s="757"/>
      <c r="AD1053" s="757"/>
      <c r="AE1053" s="757"/>
      <c r="AF1053" s="757"/>
      <c r="AG1053" s="757"/>
      <c r="AH1053" s="757"/>
      <c r="AI1053" s="757"/>
      <c r="AJ1053" s="757"/>
      <c r="AK1053" s="757"/>
      <c r="AL1053" s="757"/>
      <c r="AM1053" s="757"/>
      <c r="AN1053" s="757"/>
      <c r="AO1053" s="757"/>
      <c r="AP1053" s="757"/>
      <c r="AQ1053" s="757"/>
      <c r="AR1053" s="757"/>
      <c r="AS1053" s="757"/>
      <c r="AT1053" s="757"/>
      <c r="AU1053" s="757"/>
      <c r="AV1053" s="757"/>
      <c r="AW1053" s="757"/>
      <c r="AX1053" s="757"/>
      <c r="AY1053" s="757"/>
      <c r="AZ1053" s="75"/>
      <c r="BA1053" s="2"/>
      <c r="BB1053" s="2"/>
      <c r="BC1053" s="2"/>
      <c r="BD1053" s="2"/>
    </row>
    <row r="1054" spans="1:56">
      <c r="A1054" s="781">
        <v>2</v>
      </c>
      <c r="B1054" s="782">
        <v>214</v>
      </c>
      <c r="C1054" s="783">
        <v>45503</v>
      </c>
      <c r="D1054" s="785" t="s">
        <v>1361</v>
      </c>
      <c r="E1054" s="808">
        <v>68</v>
      </c>
      <c r="F1054" s="799"/>
      <c r="G1054" s="799"/>
      <c r="H1054" s="1592">
        <f t="shared" si="48"/>
        <v>0</v>
      </c>
      <c r="I1054" s="754" t="str">
        <f>IFERROR(VLOOKUP(B1054,Mychart!$A$125:$B$911,2,FALSE),"-")</f>
        <v>ALI SHEHI - EBTESAM</v>
      </c>
      <c r="J1054" s="753">
        <f t="shared" si="49"/>
        <v>7</v>
      </c>
      <c r="K1054" s="1540">
        <f t="shared" si="50"/>
        <v>2024</v>
      </c>
      <c r="L1054" s="757"/>
      <c r="M1054" s="757"/>
      <c r="N1054" s="757"/>
      <c r="O1054" s="757"/>
      <c r="P1054" s="757"/>
      <c r="Q1054" s="757"/>
      <c r="R1054" s="757"/>
      <c r="S1054" s="757"/>
      <c r="T1054" s="757"/>
      <c r="U1054" s="757"/>
      <c r="V1054" s="757"/>
      <c r="W1054" s="757"/>
      <c r="X1054" s="757"/>
      <c r="Y1054" s="757"/>
      <c r="Z1054" s="757"/>
      <c r="AA1054" s="757"/>
      <c r="AB1054" s="757"/>
      <c r="AC1054" s="757"/>
      <c r="AD1054" s="757"/>
      <c r="AE1054" s="757"/>
      <c r="AF1054" s="757"/>
      <c r="AG1054" s="757"/>
      <c r="AH1054" s="757"/>
      <c r="AI1054" s="757"/>
      <c r="AJ1054" s="757"/>
      <c r="AK1054" s="757"/>
      <c r="AL1054" s="757"/>
      <c r="AM1054" s="757"/>
      <c r="AN1054" s="757"/>
      <c r="AO1054" s="757"/>
      <c r="AP1054" s="757"/>
      <c r="AQ1054" s="757"/>
      <c r="AR1054" s="757"/>
      <c r="AS1054" s="757"/>
      <c r="AT1054" s="757"/>
      <c r="AU1054" s="757"/>
      <c r="AV1054" s="757"/>
      <c r="AW1054" s="757"/>
      <c r="AX1054" s="757"/>
      <c r="AY1054" s="757"/>
      <c r="AZ1054" s="75"/>
      <c r="BA1054" s="2"/>
      <c r="BB1054" s="2"/>
      <c r="BC1054" s="2"/>
      <c r="BD1054" s="2"/>
    </row>
    <row r="1055" spans="1:56">
      <c r="A1055" s="781">
        <v>2</v>
      </c>
      <c r="B1055" s="782">
        <v>215</v>
      </c>
      <c r="C1055" s="783">
        <v>45503</v>
      </c>
      <c r="D1055" s="785" t="s">
        <v>1361</v>
      </c>
      <c r="E1055" s="808">
        <v>1806.3</v>
      </c>
      <c r="F1055" s="799"/>
      <c r="G1055" s="799"/>
      <c r="H1055" s="1592">
        <f t="shared" si="48"/>
        <v>0</v>
      </c>
      <c r="I1055" s="754" t="str">
        <f>IFERROR(VLOOKUP(B1055,Mychart!$A$125:$B$911,2,FALSE),"-")</f>
        <v>SAIF - IDEAL SYSTEMS CONTRACTING</v>
      </c>
      <c r="J1055" s="753">
        <f t="shared" si="49"/>
        <v>7</v>
      </c>
      <c r="K1055" s="1540">
        <f t="shared" si="50"/>
        <v>2024</v>
      </c>
      <c r="L1055" s="757"/>
      <c r="M1055" s="757"/>
      <c r="N1055" s="757"/>
      <c r="O1055" s="757"/>
      <c r="P1055" s="757"/>
      <c r="Q1055" s="757"/>
      <c r="R1055" s="757"/>
      <c r="S1055" s="757"/>
      <c r="T1055" s="757"/>
      <c r="U1055" s="757"/>
      <c r="V1055" s="757"/>
      <c r="W1055" s="757"/>
      <c r="X1055" s="757"/>
      <c r="Y1055" s="757"/>
      <c r="Z1055" s="757"/>
      <c r="AA1055" s="757"/>
      <c r="AB1055" s="757"/>
      <c r="AC1055" s="757"/>
      <c r="AD1055" s="757"/>
      <c r="AE1055" s="757"/>
      <c r="AF1055" s="757"/>
      <c r="AG1055" s="757"/>
      <c r="AH1055" s="757"/>
      <c r="AI1055" s="757"/>
      <c r="AJ1055" s="757"/>
      <c r="AK1055" s="757"/>
      <c r="AL1055" s="757"/>
      <c r="AM1055" s="757"/>
      <c r="AN1055" s="757"/>
      <c r="AO1055" s="757"/>
      <c r="AP1055" s="757"/>
      <c r="AQ1055" s="757"/>
      <c r="AR1055" s="757"/>
      <c r="AS1055" s="757"/>
      <c r="AT1055" s="757"/>
      <c r="AU1055" s="757"/>
      <c r="AV1055" s="757"/>
      <c r="AW1055" s="757"/>
      <c r="AX1055" s="757"/>
      <c r="AY1055" s="757"/>
      <c r="AZ1055" s="75"/>
      <c r="BA1055" s="2"/>
      <c r="BB1055" s="2"/>
      <c r="BC1055" s="2"/>
      <c r="BD1055" s="2"/>
    </row>
    <row r="1056" spans="1:56">
      <c r="A1056" s="781">
        <v>2</v>
      </c>
      <c r="B1056" s="782">
        <v>216</v>
      </c>
      <c r="C1056" s="783">
        <v>45503</v>
      </c>
      <c r="D1056" s="785" t="s">
        <v>1361</v>
      </c>
      <c r="E1056" s="808">
        <v>5193.82</v>
      </c>
      <c r="F1056" s="799"/>
      <c r="G1056" s="799"/>
      <c r="H1056" s="1592">
        <f t="shared" si="48"/>
        <v>0</v>
      </c>
      <c r="I1056" s="754" t="str">
        <f>IFERROR(VLOOKUP(B1056,Mychart!$A$125:$B$911,2,FALSE),"-")</f>
        <v>MUHAIR . AREEJ ( 165000 )</v>
      </c>
      <c r="J1056" s="753">
        <f t="shared" si="49"/>
        <v>7</v>
      </c>
      <c r="K1056" s="1540">
        <f t="shared" si="50"/>
        <v>2024</v>
      </c>
      <c r="L1056" s="757"/>
      <c r="M1056" s="757"/>
      <c r="N1056" s="757"/>
      <c r="O1056" s="757"/>
      <c r="P1056" s="757"/>
      <c r="Q1056" s="757"/>
      <c r="R1056" s="757"/>
      <c r="S1056" s="757"/>
      <c r="T1056" s="757"/>
      <c r="U1056" s="757"/>
      <c r="V1056" s="757"/>
      <c r="W1056" s="757"/>
      <c r="X1056" s="757"/>
      <c r="Y1056" s="757"/>
      <c r="Z1056" s="757"/>
      <c r="AA1056" s="757"/>
      <c r="AB1056" s="757"/>
      <c r="AC1056" s="757"/>
      <c r="AD1056" s="757"/>
      <c r="AE1056" s="757"/>
      <c r="AF1056" s="757"/>
      <c r="AG1056" s="757"/>
      <c r="AH1056" s="757"/>
      <c r="AI1056" s="757"/>
      <c r="AJ1056" s="757"/>
      <c r="AK1056" s="757"/>
      <c r="AL1056" s="757"/>
      <c r="AM1056" s="757"/>
      <c r="AN1056" s="757"/>
      <c r="AO1056" s="757"/>
      <c r="AP1056" s="757"/>
      <c r="AQ1056" s="757"/>
      <c r="AR1056" s="757"/>
      <c r="AS1056" s="757"/>
      <c r="AT1056" s="757"/>
      <c r="AU1056" s="757"/>
      <c r="AV1056" s="757"/>
      <c r="AW1056" s="757"/>
      <c r="AX1056" s="757"/>
      <c r="AY1056" s="757"/>
      <c r="AZ1056" s="75"/>
      <c r="BA1056" s="2"/>
      <c r="BB1056" s="2"/>
      <c r="BC1056" s="2"/>
      <c r="BD1056" s="2"/>
    </row>
    <row r="1057" spans="1:56">
      <c r="A1057" s="781">
        <v>2</v>
      </c>
      <c r="B1057" s="782">
        <v>217</v>
      </c>
      <c r="C1057" s="783">
        <v>45503</v>
      </c>
      <c r="D1057" s="785" t="s">
        <v>1361</v>
      </c>
      <c r="E1057" s="808">
        <v>1643.08</v>
      </c>
      <c r="F1057" s="799"/>
      <c r="G1057" s="799"/>
      <c r="H1057" s="1592">
        <f t="shared" si="48"/>
        <v>0</v>
      </c>
      <c r="I1057" s="754" t="str">
        <f>IFERROR(VLOOKUP(B1057,Mychart!$A$125:$B$911,2,FALSE),"-")</f>
        <v>MOHAMED MUHAIR . AREEJ</v>
      </c>
      <c r="J1057" s="753">
        <f t="shared" si="49"/>
        <v>7</v>
      </c>
      <c r="K1057" s="1540">
        <f t="shared" si="50"/>
        <v>2024</v>
      </c>
      <c r="L1057" s="757"/>
      <c r="M1057" s="757"/>
      <c r="N1057" s="757"/>
      <c r="O1057" s="757"/>
      <c r="P1057" s="757"/>
      <c r="Q1057" s="757"/>
      <c r="R1057" s="757"/>
      <c r="S1057" s="757"/>
      <c r="T1057" s="757"/>
      <c r="U1057" s="757"/>
      <c r="V1057" s="757"/>
      <c r="W1057" s="757"/>
      <c r="X1057" s="757"/>
      <c r="Y1057" s="757"/>
      <c r="Z1057" s="757"/>
      <c r="AA1057" s="757"/>
      <c r="AB1057" s="757"/>
      <c r="AC1057" s="757"/>
      <c r="AD1057" s="757"/>
      <c r="AE1057" s="757"/>
      <c r="AF1057" s="757"/>
      <c r="AG1057" s="757"/>
      <c r="AH1057" s="757"/>
      <c r="AI1057" s="757"/>
      <c r="AJ1057" s="757"/>
      <c r="AK1057" s="757"/>
      <c r="AL1057" s="757"/>
      <c r="AM1057" s="757"/>
      <c r="AN1057" s="757"/>
      <c r="AO1057" s="757"/>
      <c r="AP1057" s="757"/>
      <c r="AQ1057" s="757"/>
      <c r="AR1057" s="757"/>
      <c r="AS1057" s="757"/>
      <c r="AT1057" s="757"/>
      <c r="AU1057" s="757"/>
      <c r="AV1057" s="757"/>
      <c r="AW1057" s="757"/>
      <c r="AX1057" s="757"/>
      <c r="AY1057" s="757"/>
      <c r="AZ1057" s="75"/>
      <c r="BA1057" s="2"/>
      <c r="BB1057" s="2"/>
      <c r="BC1057" s="2"/>
      <c r="BD1057" s="2"/>
    </row>
    <row r="1058" spans="1:56">
      <c r="A1058" s="781">
        <v>2</v>
      </c>
      <c r="B1058" s="782">
        <v>218</v>
      </c>
      <c r="C1058" s="783">
        <v>45503</v>
      </c>
      <c r="D1058" s="785" t="s">
        <v>1361</v>
      </c>
      <c r="E1058" s="808">
        <v>1119.25</v>
      </c>
      <c r="F1058" s="799"/>
      <c r="G1058" s="799"/>
      <c r="H1058" s="1592">
        <f t="shared" si="48"/>
        <v>0</v>
      </c>
      <c r="I1058" s="754" t="str">
        <f>IFERROR(VLOOKUP(B1058,Mychart!$A$125:$B$911,2,FALSE),"-")</f>
        <v>RASHED FALASI - AREEJ</v>
      </c>
      <c r="J1058" s="753">
        <f t="shared" si="49"/>
        <v>7</v>
      </c>
      <c r="K1058" s="1540">
        <f t="shared" si="50"/>
        <v>2024</v>
      </c>
      <c r="L1058" s="757"/>
      <c r="M1058" s="757"/>
      <c r="N1058" s="757"/>
      <c r="O1058" s="757"/>
      <c r="P1058" s="757"/>
      <c r="Q1058" s="757"/>
      <c r="R1058" s="757"/>
      <c r="S1058" s="757"/>
      <c r="T1058" s="757"/>
      <c r="U1058" s="757"/>
      <c r="V1058" s="757"/>
      <c r="W1058" s="757"/>
      <c r="X1058" s="757"/>
      <c r="Y1058" s="757"/>
      <c r="Z1058" s="757"/>
      <c r="AA1058" s="757"/>
      <c r="AB1058" s="757"/>
      <c r="AC1058" s="757"/>
      <c r="AD1058" s="757"/>
      <c r="AE1058" s="757"/>
      <c r="AF1058" s="757"/>
      <c r="AG1058" s="757"/>
      <c r="AH1058" s="757"/>
      <c r="AI1058" s="757"/>
      <c r="AJ1058" s="757"/>
      <c r="AK1058" s="757"/>
      <c r="AL1058" s="757"/>
      <c r="AM1058" s="757"/>
      <c r="AN1058" s="757"/>
      <c r="AO1058" s="757"/>
      <c r="AP1058" s="757"/>
      <c r="AQ1058" s="757"/>
      <c r="AR1058" s="757"/>
      <c r="AS1058" s="757"/>
      <c r="AT1058" s="757"/>
      <c r="AU1058" s="757"/>
      <c r="AV1058" s="757"/>
      <c r="AW1058" s="757"/>
      <c r="AX1058" s="757"/>
      <c r="AY1058" s="757"/>
      <c r="AZ1058" s="75"/>
      <c r="BA1058" s="2"/>
      <c r="BB1058" s="2"/>
      <c r="BC1058" s="2"/>
      <c r="BD1058" s="2"/>
    </row>
    <row r="1059" spans="1:56">
      <c r="A1059" s="781">
        <v>2</v>
      </c>
      <c r="B1059" s="782">
        <v>220</v>
      </c>
      <c r="C1059" s="783">
        <v>45503</v>
      </c>
      <c r="D1059" s="785" t="s">
        <v>1361</v>
      </c>
      <c r="E1059" s="808">
        <v>113</v>
      </c>
      <c r="F1059" s="799"/>
      <c r="G1059" s="799"/>
      <c r="H1059" s="1592">
        <f t="shared" si="48"/>
        <v>0</v>
      </c>
      <c r="I1059" s="754" t="str">
        <f>IFERROR(VLOOKUP(B1059,Mychart!$A$125:$B$911,2,FALSE),"-")</f>
        <v>KHALFAN AHMED - ANAAB</v>
      </c>
      <c r="J1059" s="753">
        <f t="shared" si="49"/>
        <v>7</v>
      </c>
      <c r="K1059" s="1540">
        <f t="shared" si="50"/>
        <v>2024</v>
      </c>
      <c r="L1059" s="757"/>
      <c r="M1059" s="757"/>
      <c r="N1059" s="757"/>
      <c r="O1059" s="757"/>
      <c r="P1059" s="757"/>
      <c r="Q1059" s="757"/>
      <c r="R1059" s="757"/>
      <c r="S1059" s="757"/>
      <c r="T1059" s="757"/>
      <c r="U1059" s="757"/>
      <c r="V1059" s="757"/>
      <c r="W1059" s="757"/>
      <c r="X1059" s="757"/>
      <c r="Y1059" s="757"/>
      <c r="Z1059" s="757"/>
      <c r="AA1059" s="757"/>
      <c r="AB1059" s="757"/>
      <c r="AC1059" s="757"/>
      <c r="AD1059" s="757"/>
      <c r="AE1059" s="757"/>
      <c r="AF1059" s="757"/>
      <c r="AG1059" s="757"/>
      <c r="AH1059" s="757"/>
      <c r="AI1059" s="757"/>
      <c r="AJ1059" s="757"/>
      <c r="AK1059" s="757"/>
      <c r="AL1059" s="757"/>
      <c r="AM1059" s="757"/>
      <c r="AN1059" s="757"/>
      <c r="AO1059" s="757"/>
      <c r="AP1059" s="757"/>
      <c r="AQ1059" s="757"/>
      <c r="AR1059" s="757"/>
      <c r="AS1059" s="757"/>
      <c r="AT1059" s="757"/>
      <c r="AU1059" s="757"/>
      <c r="AV1059" s="757"/>
      <c r="AW1059" s="757"/>
      <c r="AX1059" s="757"/>
      <c r="AY1059" s="757"/>
      <c r="AZ1059" s="75"/>
      <c r="BA1059" s="2"/>
      <c r="BB1059" s="2"/>
      <c r="BC1059" s="2"/>
      <c r="BD1059" s="2"/>
    </row>
    <row r="1060" spans="1:56">
      <c r="A1060" s="781">
        <v>2</v>
      </c>
      <c r="B1060" s="782">
        <v>221</v>
      </c>
      <c r="C1060" s="783">
        <v>45503</v>
      </c>
      <c r="D1060" s="785" t="s">
        <v>1361</v>
      </c>
      <c r="E1060" s="808">
        <v>1278.3499999999999</v>
      </c>
      <c r="F1060" s="799"/>
      <c r="G1060" s="799"/>
      <c r="H1060" s="1592">
        <f t="shared" si="48"/>
        <v>0</v>
      </c>
      <c r="I1060" s="754" t="str">
        <f>IFERROR(VLOOKUP(B1060,Mychart!$A$125:$B$911,2,FALSE),"-")</f>
        <v>SAEED - ARCHPIX</v>
      </c>
      <c r="J1060" s="753">
        <f t="shared" si="49"/>
        <v>7</v>
      </c>
      <c r="K1060" s="1540">
        <f t="shared" si="50"/>
        <v>2024</v>
      </c>
      <c r="L1060" s="757"/>
      <c r="M1060" s="757"/>
      <c r="N1060" s="757"/>
      <c r="O1060" s="757"/>
      <c r="P1060" s="757"/>
      <c r="Q1060" s="757"/>
      <c r="R1060" s="757"/>
      <c r="S1060" s="757"/>
      <c r="T1060" s="757"/>
      <c r="U1060" s="757"/>
      <c r="V1060" s="757"/>
      <c r="W1060" s="757"/>
      <c r="X1060" s="757"/>
      <c r="Y1060" s="757"/>
      <c r="Z1060" s="757"/>
      <c r="AA1060" s="757"/>
      <c r="AB1060" s="757"/>
      <c r="AC1060" s="757"/>
      <c r="AD1060" s="757"/>
      <c r="AE1060" s="757"/>
      <c r="AF1060" s="757"/>
      <c r="AG1060" s="757"/>
      <c r="AH1060" s="757"/>
      <c r="AI1060" s="757"/>
      <c r="AJ1060" s="757"/>
      <c r="AK1060" s="757"/>
      <c r="AL1060" s="757"/>
      <c r="AM1060" s="757"/>
      <c r="AN1060" s="757"/>
      <c r="AO1060" s="757"/>
      <c r="AP1060" s="757"/>
      <c r="AQ1060" s="757"/>
      <c r="AR1060" s="757"/>
      <c r="AS1060" s="757"/>
      <c r="AT1060" s="757"/>
      <c r="AU1060" s="757"/>
      <c r="AV1060" s="757"/>
      <c r="AW1060" s="757"/>
      <c r="AX1060" s="757"/>
      <c r="AY1060" s="757"/>
      <c r="AZ1060" s="75"/>
      <c r="BA1060" s="2"/>
      <c r="BB1060" s="2"/>
      <c r="BC1060" s="2"/>
      <c r="BD1060" s="2"/>
    </row>
    <row r="1061" spans="1:56">
      <c r="A1061" s="781">
        <v>2</v>
      </c>
      <c r="B1061" s="782">
        <v>227</v>
      </c>
      <c r="C1061" s="783">
        <v>45503</v>
      </c>
      <c r="D1061" s="785" t="s">
        <v>1361</v>
      </c>
      <c r="E1061" s="808">
        <v>430</v>
      </c>
      <c r="F1061" s="799"/>
      <c r="G1061" s="799"/>
      <c r="H1061" s="1592">
        <f t="shared" si="48"/>
        <v>0</v>
      </c>
      <c r="I1061" s="754" t="str">
        <f>IFERROR(VLOOKUP(B1061,Mychart!$A$125:$B$911,2,FALSE),"-")</f>
        <v>AHMED SAIF SHAMSI</v>
      </c>
      <c r="J1061" s="753">
        <f t="shared" si="49"/>
        <v>7</v>
      </c>
      <c r="K1061" s="1540">
        <f t="shared" si="50"/>
        <v>2024</v>
      </c>
      <c r="L1061" s="757"/>
      <c r="M1061" s="757"/>
      <c r="N1061" s="757"/>
      <c r="O1061" s="757"/>
      <c r="P1061" s="757"/>
      <c r="Q1061" s="757"/>
      <c r="R1061" s="757"/>
      <c r="S1061" s="757"/>
      <c r="T1061" s="757"/>
      <c r="U1061" s="757"/>
      <c r="V1061" s="757"/>
      <c r="W1061" s="757"/>
      <c r="X1061" s="757"/>
      <c r="Y1061" s="757"/>
      <c r="Z1061" s="757"/>
      <c r="AA1061" s="757"/>
      <c r="AB1061" s="757"/>
      <c r="AC1061" s="757"/>
      <c r="AD1061" s="757"/>
      <c r="AE1061" s="757"/>
      <c r="AF1061" s="757"/>
      <c r="AG1061" s="757"/>
      <c r="AH1061" s="757"/>
      <c r="AI1061" s="757"/>
      <c r="AJ1061" s="757"/>
      <c r="AK1061" s="757"/>
      <c r="AL1061" s="757"/>
      <c r="AM1061" s="757"/>
      <c r="AN1061" s="757"/>
      <c r="AO1061" s="757"/>
      <c r="AP1061" s="757"/>
      <c r="AQ1061" s="757"/>
      <c r="AR1061" s="757"/>
      <c r="AS1061" s="757"/>
      <c r="AT1061" s="757"/>
      <c r="AU1061" s="757"/>
      <c r="AV1061" s="757"/>
      <c r="AW1061" s="757"/>
      <c r="AX1061" s="757"/>
      <c r="AY1061" s="757"/>
      <c r="AZ1061" s="75"/>
      <c r="BA1061" s="2"/>
      <c r="BB1061" s="2"/>
      <c r="BC1061" s="2"/>
      <c r="BD1061" s="2"/>
    </row>
    <row r="1062" spans="1:56">
      <c r="A1062" s="781">
        <v>2</v>
      </c>
      <c r="B1062" s="782">
        <v>228</v>
      </c>
      <c r="C1062" s="783">
        <v>45503</v>
      </c>
      <c r="D1062" s="785" t="s">
        <v>1361</v>
      </c>
      <c r="E1062" s="808">
        <v>1101.81</v>
      </c>
      <c r="F1062" s="799"/>
      <c r="G1062" s="799"/>
      <c r="H1062" s="1592">
        <f t="shared" si="48"/>
        <v>0</v>
      </c>
      <c r="I1062" s="754" t="str">
        <f>IFERROR(VLOOKUP(B1062,Mychart!$A$125:$B$911,2,FALSE),"-")</f>
        <v>MOHAMED SAIF SHAMSI</v>
      </c>
      <c r="J1062" s="753">
        <f t="shared" si="49"/>
        <v>7</v>
      </c>
      <c r="K1062" s="1540">
        <f t="shared" si="50"/>
        <v>2024</v>
      </c>
      <c r="L1062" s="757"/>
      <c r="M1062" s="757"/>
      <c r="N1062" s="757"/>
      <c r="O1062" s="757"/>
      <c r="P1062" s="757"/>
      <c r="Q1062" s="757"/>
      <c r="R1062" s="757"/>
      <c r="S1062" s="757"/>
      <c r="T1062" s="757"/>
      <c r="U1062" s="757"/>
      <c r="V1062" s="757"/>
      <c r="W1062" s="757"/>
      <c r="X1062" s="757"/>
      <c r="Y1062" s="757"/>
      <c r="Z1062" s="757"/>
      <c r="AA1062" s="757"/>
      <c r="AB1062" s="757"/>
      <c r="AC1062" s="757"/>
      <c r="AD1062" s="757"/>
      <c r="AE1062" s="757"/>
      <c r="AF1062" s="757"/>
      <c r="AG1062" s="757"/>
      <c r="AH1062" s="757"/>
      <c r="AI1062" s="757"/>
      <c r="AJ1062" s="757"/>
      <c r="AK1062" s="757"/>
      <c r="AL1062" s="757"/>
      <c r="AM1062" s="757"/>
      <c r="AN1062" s="757"/>
      <c r="AO1062" s="757"/>
      <c r="AP1062" s="757"/>
      <c r="AQ1062" s="757"/>
      <c r="AR1062" s="757"/>
      <c r="AS1062" s="757"/>
      <c r="AT1062" s="757"/>
      <c r="AU1062" s="757"/>
      <c r="AV1062" s="757"/>
      <c r="AW1062" s="757"/>
      <c r="AX1062" s="757"/>
      <c r="AY1062" s="757"/>
      <c r="AZ1062" s="75"/>
      <c r="BA1062" s="2"/>
      <c r="BB1062" s="2"/>
      <c r="BC1062" s="2"/>
      <c r="BD1062" s="2"/>
    </row>
    <row r="1063" spans="1:56">
      <c r="A1063" s="781">
        <v>2</v>
      </c>
      <c r="B1063" s="782">
        <v>233</v>
      </c>
      <c r="C1063" s="783">
        <v>45503</v>
      </c>
      <c r="D1063" s="785" t="s">
        <v>1361</v>
      </c>
      <c r="E1063" s="808">
        <v>190.8</v>
      </c>
      <c r="F1063" s="799"/>
      <c r="G1063" s="799"/>
      <c r="H1063" s="1592">
        <f t="shared" si="48"/>
        <v>0</v>
      </c>
      <c r="I1063" s="754" t="str">
        <f>IFERROR(VLOOKUP(B1063,Mychart!$A$125:$B$911,2,FALSE),"-")</f>
        <v>MUBARAK . ARCHPIX</v>
      </c>
      <c r="J1063" s="753">
        <f t="shared" si="49"/>
        <v>7</v>
      </c>
      <c r="K1063" s="1540">
        <f t="shared" si="50"/>
        <v>2024</v>
      </c>
      <c r="L1063" s="757"/>
      <c r="M1063" s="757"/>
      <c r="N1063" s="757"/>
      <c r="O1063" s="757"/>
      <c r="P1063" s="757"/>
      <c r="Q1063" s="757"/>
      <c r="R1063" s="757"/>
      <c r="S1063" s="757"/>
      <c r="T1063" s="757"/>
      <c r="U1063" s="757"/>
      <c r="V1063" s="757"/>
      <c r="W1063" s="757"/>
      <c r="X1063" s="757"/>
      <c r="Y1063" s="757"/>
      <c r="Z1063" s="757"/>
      <c r="AA1063" s="757"/>
      <c r="AB1063" s="757"/>
      <c r="AC1063" s="757"/>
      <c r="AD1063" s="757"/>
      <c r="AE1063" s="757"/>
      <c r="AF1063" s="757"/>
      <c r="AG1063" s="757"/>
      <c r="AH1063" s="757"/>
      <c r="AI1063" s="757"/>
      <c r="AJ1063" s="757"/>
      <c r="AK1063" s="757"/>
      <c r="AL1063" s="757"/>
      <c r="AM1063" s="757"/>
      <c r="AN1063" s="757"/>
      <c r="AO1063" s="757"/>
      <c r="AP1063" s="757"/>
      <c r="AQ1063" s="757"/>
      <c r="AR1063" s="757"/>
      <c r="AS1063" s="757"/>
      <c r="AT1063" s="757"/>
      <c r="AU1063" s="757"/>
      <c r="AV1063" s="757"/>
      <c r="AW1063" s="757"/>
      <c r="AX1063" s="757"/>
      <c r="AY1063" s="757"/>
      <c r="AZ1063" s="75"/>
      <c r="BA1063" s="2"/>
      <c r="BB1063" s="2"/>
      <c r="BC1063" s="2"/>
      <c r="BD1063" s="2"/>
    </row>
    <row r="1064" spans="1:56">
      <c r="A1064" s="781">
        <v>2</v>
      </c>
      <c r="B1064" s="782">
        <v>242</v>
      </c>
      <c r="C1064" s="783">
        <v>45503</v>
      </c>
      <c r="D1064" s="785" t="s">
        <v>1361</v>
      </c>
      <c r="E1064" s="808">
        <v>4011.5000000000005</v>
      </c>
      <c r="F1064" s="799"/>
      <c r="G1064" s="799"/>
      <c r="H1064" s="1592">
        <f t="shared" si="48"/>
        <v>0</v>
      </c>
      <c r="I1064" s="754" t="str">
        <f>IFERROR(VLOOKUP(B1064,Mychart!$A$125:$B$911,2,FALSE),"-")</f>
        <v>AMMAR - ARCHPIX</v>
      </c>
      <c r="J1064" s="753">
        <f t="shared" si="49"/>
        <v>7</v>
      </c>
      <c r="K1064" s="1540">
        <f t="shared" si="50"/>
        <v>2024</v>
      </c>
      <c r="L1064" s="757"/>
      <c r="M1064" s="757"/>
      <c r="N1064" s="757"/>
      <c r="O1064" s="757"/>
      <c r="P1064" s="757"/>
      <c r="Q1064" s="757"/>
      <c r="R1064" s="757"/>
      <c r="S1064" s="757"/>
      <c r="T1064" s="757"/>
      <c r="U1064" s="757"/>
      <c r="V1064" s="757"/>
      <c r="W1064" s="757"/>
      <c r="X1064" s="757"/>
      <c r="Y1064" s="757"/>
      <c r="Z1064" s="757"/>
      <c r="AA1064" s="757"/>
      <c r="AB1064" s="757"/>
      <c r="AC1064" s="757"/>
      <c r="AD1064" s="757"/>
      <c r="AE1064" s="757"/>
      <c r="AF1064" s="757"/>
      <c r="AG1064" s="757"/>
      <c r="AH1064" s="757"/>
      <c r="AI1064" s="757"/>
      <c r="AJ1064" s="757"/>
      <c r="AK1064" s="757"/>
      <c r="AL1064" s="757"/>
      <c r="AM1064" s="757"/>
      <c r="AN1064" s="757"/>
      <c r="AO1064" s="757"/>
      <c r="AP1064" s="757"/>
      <c r="AQ1064" s="757"/>
      <c r="AR1064" s="757"/>
      <c r="AS1064" s="757"/>
      <c r="AT1064" s="757"/>
      <c r="AU1064" s="757"/>
      <c r="AV1064" s="757"/>
      <c r="AW1064" s="757"/>
      <c r="AX1064" s="757"/>
      <c r="AY1064" s="757"/>
      <c r="AZ1064" s="75"/>
      <c r="BA1064" s="2"/>
      <c r="BB1064" s="2"/>
      <c r="BC1064" s="2"/>
      <c r="BD1064" s="2"/>
    </row>
    <row r="1065" spans="1:56">
      <c r="A1065" s="781">
        <v>2</v>
      </c>
      <c r="B1065" s="782">
        <v>246</v>
      </c>
      <c r="C1065" s="783">
        <v>45503</v>
      </c>
      <c r="D1065" s="785" t="s">
        <v>1361</v>
      </c>
      <c r="E1065" s="808">
        <v>298</v>
      </c>
      <c r="F1065" s="799"/>
      <c r="G1065" s="799"/>
      <c r="H1065" s="1592">
        <f t="shared" si="48"/>
        <v>0</v>
      </c>
      <c r="I1065" s="754" t="str">
        <f>IFERROR(VLOOKUP(B1065,Mychart!$A$125:$B$911,2,FALSE),"-")</f>
        <v>Marzok Almatroshi - Archpix</v>
      </c>
      <c r="J1065" s="753">
        <f t="shared" si="49"/>
        <v>7</v>
      </c>
      <c r="K1065" s="1540">
        <f t="shared" si="50"/>
        <v>2024</v>
      </c>
      <c r="L1065" s="757"/>
      <c r="M1065" s="757"/>
      <c r="N1065" s="757"/>
      <c r="O1065" s="757"/>
      <c r="P1065" s="757"/>
      <c r="Q1065" s="757"/>
      <c r="R1065" s="757"/>
      <c r="S1065" s="757"/>
      <c r="T1065" s="757"/>
      <c r="U1065" s="757"/>
      <c r="V1065" s="757"/>
      <c r="W1065" s="757"/>
      <c r="X1065" s="757"/>
      <c r="Y1065" s="757"/>
      <c r="Z1065" s="757"/>
      <c r="AA1065" s="757"/>
      <c r="AB1065" s="757"/>
      <c r="AC1065" s="757"/>
      <c r="AD1065" s="757"/>
      <c r="AE1065" s="757"/>
      <c r="AF1065" s="757"/>
      <c r="AG1065" s="757"/>
      <c r="AH1065" s="757"/>
      <c r="AI1065" s="757"/>
      <c r="AJ1065" s="757"/>
      <c r="AK1065" s="757"/>
      <c r="AL1065" s="757"/>
      <c r="AM1065" s="757"/>
      <c r="AN1065" s="757"/>
      <c r="AO1065" s="757"/>
      <c r="AP1065" s="757"/>
      <c r="AQ1065" s="757"/>
      <c r="AR1065" s="757"/>
      <c r="AS1065" s="757"/>
      <c r="AT1065" s="757"/>
      <c r="AU1065" s="757"/>
      <c r="AV1065" s="757"/>
      <c r="AW1065" s="757"/>
      <c r="AX1065" s="757"/>
      <c r="AY1065" s="757"/>
      <c r="AZ1065" s="75"/>
      <c r="BA1065" s="2"/>
      <c r="BB1065" s="2"/>
      <c r="BC1065" s="2"/>
      <c r="BD1065" s="2"/>
    </row>
    <row r="1066" spans="1:56">
      <c r="A1066" s="781">
        <v>2</v>
      </c>
      <c r="B1066" s="782">
        <v>249</v>
      </c>
      <c r="C1066" s="783">
        <v>45503</v>
      </c>
      <c r="D1066" s="785" t="s">
        <v>1361</v>
      </c>
      <c r="E1066" s="808">
        <v>307.11</v>
      </c>
      <c r="F1066" s="799"/>
      <c r="G1066" s="799"/>
      <c r="H1066" s="1592">
        <f t="shared" si="48"/>
        <v>0</v>
      </c>
      <c r="I1066" s="754" t="str">
        <f>IFERROR(VLOOKUP(B1066,Mychart!$A$125:$B$911,2,FALSE),"-")</f>
        <v>farouq marzoki</v>
      </c>
      <c r="J1066" s="753">
        <f t="shared" si="49"/>
        <v>7</v>
      </c>
      <c r="K1066" s="1540">
        <f t="shared" si="50"/>
        <v>2024</v>
      </c>
      <c r="L1066" s="757"/>
      <c r="M1066" s="757"/>
      <c r="N1066" s="757"/>
      <c r="O1066" s="757"/>
      <c r="P1066" s="757"/>
      <c r="Q1066" s="757"/>
      <c r="R1066" s="757"/>
      <c r="S1066" s="757"/>
      <c r="T1066" s="757"/>
      <c r="U1066" s="757"/>
      <c r="V1066" s="757"/>
      <c r="W1066" s="757"/>
      <c r="X1066" s="757"/>
      <c r="Y1066" s="757"/>
      <c r="Z1066" s="757"/>
      <c r="AA1066" s="757"/>
      <c r="AB1066" s="757"/>
      <c r="AC1066" s="757"/>
      <c r="AD1066" s="757"/>
      <c r="AE1066" s="757"/>
      <c r="AF1066" s="757"/>
      <c r="AG1066" s="757"/>
      <c r="AH1066" s="757"/>
      <c r="AI1066" s="757"/>
      <c r="AJ1066" s="757"/>
      <c r="AK1066" s="757"/>
      <c r="AL1066" s="757"/>
      <c r="AM1066" s="757"/>
      <c r="AN1066" s="757"/>
      <c r="AO1066" s="757"/>
      <c r="AP1066" s="757"/>
      <c r="AQ1066" s="757"/>
      <c r="AR1066" s="757"/>
      <c r="AS1066" s="757"/>
      <c r="AT1066" s="757"/>
      <c r="AU1066" s="757"/>
      <c r="AV1066" s="757"/>
      <c r="AW1066" s="757"/>
      <c r="AX1066" s="757"/>
      <c r="AY1066" s="757"/>
      <c r="AZ1066" s="75"/>
      <c r="BA1066" s="2"/>
      <c r="BB1066" s="2"/>
      <c r="BC1066" s="2"/>
      <c r="BD1066" s="2"/>
    </row>
    <row r="1067" spans="1:56">
      <c r="A1067" s="781">
        <v>2</v>
      </c>
      <c r="B1067" s="782">
        <v>250</v>
      </c>
      <c r="C1067" s="783">
        <v>45503</v>
      </c>
      <c r="D1067" s="785" t="s">
        <v>1361</v>
      </c>
      <c r="E1067" s="808">
        <v>693.75</v>
      </c>
      <c r="F1067" s="799"/>
      <c r="G1067" s="799"/>
      <c r="H1067" s="1592">
        <f t="shared" si="48"/>
        <v>0</v>
      </c>
      <c r="I1067" s="754" t="str">
        <f>IFERROR(VLOOKUP(B1067,Mychart!$A$125:$B$911,2,FALSE),"-")</f>
        <v>ABDULLAH JASSEM-DYNAMIC</v>
      </c>
      <c r="J1067" s="753">
        <f t="shared" si="49"/>
        <v>7</v>
      </c>
      <c r="K1067" s="1540">
        <f t="shared" si="50"/>
        <v>2024</v>
      </c>
      <c r="L1067" s="757"/>
      <c r="M1067" s="757"/>
      <c r="N1067" s="757"/>
      <c r="O1067" s="757"/>
      <c r="P1067" s="757"/>
      <c r="Q1067" s="757"/>
      <c r="R1067" s="757"/>
      <c r="S1067" s="757"/>
      <c r="T1067" s="757"/>
      <c r="U1067" s="757"/>
      <c r="V1067" s="757"/>
      <c r="W1067" s="757"/>
      <c r="X1067" s="757"/>
      <c r="Y1067" s="757"/>
      <c r="Z1067" s="757"/>
      <c r="AA1067" s="757"/>
      <c r="AB1067" s="757"/>
      <c r="AC1067" s="757"/>
      <c r="AD1067" s="757"/>
      <c r="AE1067" s="757"/>
      <c r="AF1067" s="757"/>
      <c r="AG1067" s="757"/>
      <c r="AH1067" s="757"/>
      <c r="AI1067" s="757"/>
      <c r="AJ1067" s="757"/>
      <c r="AK1067" s="757"/>
      <c r="AL1067" s="757"/>
      <c r="AM1067" s="757"/>
      <c r="AN1067" s="757"/>
      <c r="AO1067" s="757"/>
      <c r="AP1067" s="757"/>
      <c r="AQ1067" s="757"/>
      <c r="AR1067" s="757"/>
      <c r="AS1067" s="757"/>
      <c r="AT1067" s="757"/>
      <c r="AU1067" s="757"/>
      <c r="AV1067" s="757"/>
      <c r="AW1067" s="757"/>
      <c r="AX1067" s="757"/>
      <c r="AY1067" s="757"/>
      <c r="AZ1067" s="75"/>
      <c r="BA1067" s="2"/>
      <c r="BB1067" s="2"/>
      <c r="BC1067" s="2"/>
      <c r="BD1067" s="2"/>
    </row>
    <row r="1068" spans="1:56">
      <c r="A1068" s="781">
        <v>2</v>
      </c>
      <c r="B1068" s="782">
        <v>251</v>
      </c>
      <c r="C1068" s="783">
        <v>45503</v>
      </c>
      <c r="D1068" s="785" t="s">
        <v>1361</v>
      </c>
      <c r="E1068" s="808">
        <v>891.75</v>
      </c>
      <c r="F1068" s="799"/>
      <c r="G1068" s="799"/>
      <c r="H1068" s="1592">
        <f t="shared" si="48"/>
        <v>0</v>
      </c>
      <c r="I1068" s="754" t="str">
        <f>IFERROR(VLOOKUP(B1068,Mychart!$A$125:$B$911,2,FALSE),"-")</f>
        <v>RASHED SALEM. JUMAIRAH</v>
      </c>
      <c r="J1068" s="753">
        <f t="shared" si="49"/>
        <v>7</v>
      </c>
      <c r="K1068" s="1540">
        <f t="shared" si="50"/>
        <v>2024</v>
      </c>
      <c r="L1068" s="757"/>
      <c r="M1068" s="757"/>
      <c r="N1068" s="757"/>
      <c r="O1068" s="757"/>
      <c r="P1068" s="757"/>
      <c r="Q1068" s="757"/>
      <c r="R1068" s="757"/>
      <c r="S1068" s="757"/>
      <c r="T1068" s="757"/>
      <c r="U1068" s="757"/>
      <c r="V1068" s="757"/>
      <c r="W1068" s="757"/>
      <c r="X1068" s="757"/>
      <c r="Y1068" s="757"/>
      <c r="Z1068" s="757"/>
      <c r="AA1068" s="757"/>
      <c r="AB1068" s="757"/>
      <c r="AC1068" s="757"/>
      <c r="AD1068" s="757"/>
      <c r="AE1068" s="757"/>
      <c r="AF1068" s="757"/>
      <c r="AG1068" s="757"/>
      <c r="AH1068" s="757"/>
      <c r="AI1068" s="757"/>
      <c r="AJ1068" s="757"/>
      <c r="AK1068" s="757"/>
      <c r="AL1068" s="757"/>
      <c r="AM1068" s="757"/>
      <c r="AN1068" s="757"/>
      <c r="AO1068" s="757"/>
      <c r="AP1068" s="757"/>
      <c r="AQ1068" s="757"/>
      <c r="AR1068" s="757"/>
      <c r="AS1068" s="757"/>
      <c r="AT1068" s="757"/>
      <c r="AU1068" s="757"/>
      <c r="AV1068" s="757"/>
      <c r="AW1068" s="757"/>
      <c r="AX1068" s="757"/>
      <c r="AY1068" s="757"/>
      <c r="AZ1068" s="75"/>
      <c r="BA1068" s="2"/>
      <c r="BB1068" s="2"/>
      <c r="BC1068" s="2"/>
      <c r="BD1068" s="2"/>
    </row>
    <row r="1069" spans="1:56">
      <c r="A1069" s="781">
        <v>2</v>
      </c>
      <c r="B1069" s="782">
        <v>252</v>
      </c>
      <c r="C1069" s="783">
        <v>45503</v>
      </c>
      <c r="D1069" s="785" t="s">
        <v>1361</v>
      </c>
      <c r="E1069" s="808">
        <v>8743.94</v>
      </c>
      <c r="F1069" s="799"/>
      <c r="G1069" s="799"/>
      <c r="H1069" s="1592">
        <f t="shared" si="48"/>
        <v>0</v>
      </c>
      <c r="I1069" s="754" t="str">
        <f>IFERROR(VLOOKUP(B1069,Mychart!$A$125:$B$911,2,FALSE),"-")</f>
        <v>Mohamed Saif - HBC</v>
      </c>
      <c r="J1069" s="753">
        <f t="shared" si="49"/>
        <v>7</v>
      </c>
      <c r="K1069" s="1540">
        <f t="shared" si="50"/>
        <v>2024</v>
      </c>
      <c r="L1069" s="757"/>
      <c r="M1069" s="757"/>
      <c r="N1069" s="757"/>
      <c r="O1069" s="757"/>
      <c r="P1069" s="757"/>
      <c r="Q1069" s="757"/>
      <c r="R1069" s="757"/>
      <c r="S1069" s="757"/>
      <c r="T1069" s="757"/>
      <c r="U1069" s="757"/>
      <c r="V1069" s="757"/>
      <c r="W1069" s="757"/>
      <c r="X1069" s="757"/>
      <c r="Y1069" s="757"/>
      <c r="Z1069" s="757"/>
      <c r="AA1069" s="757"/>
      <c r="AB1069" s="757"/>
      <c r="AC1069" s="757"/>
      <c r="AD1069" s="757"/>
      <c r="AE1069" s="757"/>
      <c r="AF1069" s="757"/>
      <c r="AG1069" s="757"/>
      <c r="AH1069" s="757"/>
      <c r="AI1069" s="757"/>
      <c r="AJ1069" s="757"/>
      <c r="AK1069" s="757"/>
      <c r="AL1069" s="757"/>
      <c r="AM1069" s="757"/>
      <c r="AN1069" s="757"/>
      <c r="AO1069" s="757"/>
      <c r="AP1069" s="757"/>
      <c r="AQ1069" s="757"/>
      <c r="AR1069" s="757"/>
      <c r="AS1069" s="757"/>
      <c r="AT1069" s="757"/>
      <c r="AU1069" s="757"/>
      <c r="AV1069" s="757"/>
      <c r="AW1069" s="757"/>
      <c r="AX1069" s="757"/>
      <c r="AY1069" s="757"/>
      <c r="AZ1069" s="75"/>
      <c r="BA1069" s="2"/>
      <c r="BB1069" s="2"/>
      <c r="BC1069" s="2"/>
      <c r="BD1069" s="2"/>
    </row>
    <row r="1070" spans="1:56">
      <c r="A1070" s="781">
        <v>2</v>
      </c>
      <c r="B1070" s="782">
        <v>254</v>
      </c>
      <c r="C1070" s="783">
        <v>45503</v>
      </c>
      <c r="D1070" s="785" t="s">
        <v>1361</v>
      </c>
      <c r="E1070" s="808">
        <v>5552.3899999999985</v>
      </c>
      <c r="F1070" s="799"/>
      <c r="G1070" s="799"/>
      <c r="H1070" s="1592">
        <f t="shared" si="48"/>
        <v>0</v>
      </c>
      <c r="I1070" s="754" t="str">
        <f>IFERROR(VLOOKUP(B1070,Mychart!$A$125:$B$911,2,FALSE),"-")</f>
        <v>NAEEAA BENWAS</v>
      </c>
      <c r="J1070" s="753">
        <f t="shared" si="49"/>
        <v>7</v>
      </c>
      <c r="K1070" s="1540">
        <f t="shared" si="50"/>
        <v>2024</v>
      </c>
      <c r="L1070" s="757"/>
      <c r="M1070" s="757"/>
      <c r="N1070" s="757"/>
      <c r="O1070" s="757"/>
      <c r="P1070" s="757"/>
      <c r="Q1070" s="757"/>
      <c r="R1070" s="757"/>
      <c r="S1070" s="757"/>
      <c r="T1070" s="757"/>
      <c r="U1070" s="757"/>
      <c r="V1070" s="757"/>
      <c r="W1070" s="757"/>
      <c r="X1070" s="757"/>
      <c r="Y1070" s="757"/>
      <c r="Z1070" s="757"/>
      <c r="AA1070" s="757"/>
      <c r="AB1070" s="757"/>
      <c r="AC1070" s="757"/>
      <c r="AD1070" s="757"/>
      <c r="AE1070" s="757"/>
      <c r="AF1070" s="757"/>
      <c r="AG1070" s="757"/>
      <c r="AH1070" s="757"/>
      <c r="AI1070" s="757"/>
      <c r="AJ1070" s="757"/>
      <c r="AK1070" s="757"/>
      <c r="AL1070" s="757"/>
      <c r="AM1070" s="757"/>
      <c r="AN1070" s="757"/>
      <c r="AO1070" s="757"/>
      <c r="AP1070" s="757"/>
      <c r="AQ1070" s="757"/>
      <c r="AR1070" s="757"/>
      <c r="AS1070" s="757"/>
      <c r="AT1070" s="757"/>
      <c r="AU1070" s="757"/>
      <c r="AV1070" s="757"/>
      <c r="AW1070" s="757"/>
      <c r="AX1070" s="757"/>
      <c r="AY1070" s="757"/>
      <c r="AZ1070" s="75"/>
      <c r="BA1070" s="2"/>
      <c r="BB1070" s="2"/>
      <c r="BC1070" s="2"/>
      <c r="BD1070" s="2"/>
    </row>
    <row r="1071" spans="1:56">
      <c r="A1071" s="781">
        <v>2</v>
      </c>
      <c r="B1071" s="782">
        <v>255</v>
      </c>
      <c r="C1071" s="783">
        <v>45503</v>
      </c>
      <c r="D1071" s="785" t="s">
        <v>1361</v>
      </c>
      <c r="E1071" s="808">
        <v>4540.6399999999994</v>
      </c>
      <c r="F1071" s="799"/>
      <c r="G1071" s="799"/>
      <c r="H1071" s="1592">
        <f t="shared" si="48"/>
        <v>0</v>
      </c>
      <c r="I1071" s="754" t="str">
        <f>IFERROR(VLOOKUP(B1071,Mychart!$A$125:$B$911,2,FALSE),"-")</f>
        <v>ESSA KHALIFA</v>
      </c>
      <c r="J1071" s="753">
        <f t="shared" si="49"/>
        <v>7</v>
      </c>
      <c r="K1071" s="1540">
        <f t="shared" si="50"/>
        <v>2024</v>
      </c>
      <c r="L1071" s="757"/>
      <c r="M1071" s="757"/>
      <c r="N1071" s="757"/>
      <c r="O1071" s="757"/>
      <c r="P1071" s="757"/>
      <c r="Q1071" s="757"/>
      <c r="R1071" s="757"/>
      <c r="S1071" s="757"/>
      <c r="T1071" s="757"/>
      <c r="U1071" s="757"/>
      <c r="V1071" s="757"/>
      <c r="W1071" s="757"/>
      <c r="X1071" s="757"/>
      <c r="Y1071" s="757"/>
      <c r="Z1071" s="757"/>
      <c r="AA1071" s="757"/>
      <c r="AB1071" s="757"/>
      <c r="AC1071" s="757"/>
      <c r="AD1071" s="757"/>
      <c r="AE1071" s="757"/>
      <c r="AF1071" s="757"/>
      <c r="AG1071" s="757"/>
      <c r="AH1071" s="757"/>
      <c r="AI1071" s="757"/>
      <c r="AJ1071" s="757"/>
      <c r="AK1071" s="757"/>
      <c r="AL1071" s="757"/>
      <c r="AM1071" s="757"/>
      <c r="AN1071" s="757"/>
      <c r="AO1071" s="757"/>
      <c r="AP1071" s="757"/>
      <c r="AQ1071" s="757"/>
      <c r="AR1071" s="757"/>
      <c r="AS1071" s="757"/>
      <c r="AT1071" s="757"/>
      <c r="AU1071" s="757"/>
      <c r="AV1071" s="757"/>
      <c r="AW1071" s="757"/>
      <c r="AX1071" s="757"/>
      <c r="AY1071" s="757"/>
      <c r="AZ1071" s="75"/>
      <c r="BA1071" s="2"/>
      <c r="BB1071" s="2"/>
      <c r="BC1071" s="2"/>
      <c r="BD1071" s="2"/>
    </row>
    <row r="1072" spans="1:56">
      <c r="A1072" s="781">
        <v>2</v>
      </c>
      <c r="B1072" s="782">
        <v>256</v>
      </c>
      <c r="C1072" s="783">
        <v>45503</v>
      </c>
      <c r="D1072" s="785" t="s">
        <v>1361</v>
      </c>
      <c r="E1072" s="808">
        <v>11751.01</v>
      </c>
      <c r="F1072" s="799"/>
      <c r="G1072" s="799"/>
      <c r="H1072" s="1592">
        <f t="shared" si="48"/>
        <v>0</v>
      </c>
      <c r="I1072" s="754" t="str">
        <f>IFERROR(VLOOKUP(B1072,Mychart!$A$125:$B$911,2,FALSE),"-")</f>
        <v>ADNAN DUBAI SKY</v>
      </c>
      <c r="J1072" s="753">
        <f t="shared" si="49"/>
        <v>7</v>
      </c>
      <c r="K1072" s="1540">
        <f t="shared" si="50"/>
        <v>2024</v>
      </c>
      <c r="L1072" s="757"/>
      <c r="M1072" s="757"/>
      <c r="N1072" s="757"/>
      <c r="O1072" s="757"/>
      <c r="P1072" s="757"/>
      <c r="Q1072" s="757"/>
      <c r="R1072" s="757"/>
      <c r="S1072" s="757"/>
      <c r="T1072" s="757"/>
      <c r="U1072" s="757"/>
      <c r="V1072" s="757"/>
      <c r="W1072" s="757"/>
      <c r="X1072" s="757"/>
      <c r="Y1072" s="757"/>
      <c r="Z1072" s="757"/>
      <c r="AA1072" s="757"/>
      <c r="AB1072" s="757"/>
      <c r="AC1072" s="757"/>
      <c r="AD1072" s="757"/>
      <c r="AE1072" s="757"/>
      <c r="AF1072" s="757"/>
      <c r="AG1072" s="757"/>
      <c r="AH1072" s="757"/>
      <c r="AI1072" s="757"/>
      <c r="AJ1072" s="757"/>
      <c r="AK1072" s="757"/>
      <c r="AL1072" s="757"/>
      <c r="AM1072" s="757"/>
      <c r="AN1072" s="757"/>
      <c r="AO1072" s="757"/>
      <c r="AP1072" s="757"/>
      <c r="AQ1072" s="757"/>
      <c r="AR1072" s="757"/>
      <c r="AS1072" s="757"/>
      <c r="AT1072" s="757"/>
      <c r="AU1072" s="757"/>
      <c r="AV1072" s="757"/>
      <c r="AW1072" s="757"/>
      <c r="AX1072" s="757"/>
      <c r="AY1072" s="757"/>
      <c r="AZ1072" s="75"/>
      <c r="BA1072" s="2"/>
      <c r="BB1072" s="2"/>
      <c r="BC1072" s="2"/>
      <c r="BD1072" s="2"/>
    </row>
    <row r="1073" spans="1:56">
      <c r="A1073" s="781">
        <v>2</v>
      </c>
      <c r="B1073" s="782">
        <v>257</v>
      </c>
      <c r="C1073" s="783">
        <v>45503</v>
      </c>
      <c r="D1073" s="785" t="s">
        <v>1361</v>
      </c>
      <c r="E1073" s="808">
        <v>5356.98</v>
      </c>
      <c r="F1073" s="799"/>
      <c r="G1073" s="799"/>
      <c r="H1073" s="1592">
        <f t="shared" si="48"/>
        <v>0</v>
      </c>
      <c r="I1073" s="754" t="str">
        <f>IFERROR(VLOOKUP(B1073,Mychart!$A$125:$B$911,2,FALSE),"-")</f>
        <v>NAAEMA SALEH - ERTIKAZ</v>
      </c>
      <c r="J1073" s="753">
        <f t="shared" si="49"/>
        <v>7</v>
      </c>
      <c r="K1073" s="1540">
        <f t="shared" si="50"/>
        <v>2024</v>
      </c>
      <c r="L1073" s="757"/>
      <c r="M1073" s="757"/>
      <c r="N1073" s="757"/>
      <c r="O1073" s="757"/>
      <c r="P1073" s="757"/>
      <c r="Q1073" s="757"/>
      <c r="R1073" s="757"/>
      <c r="S1073" s="757"/>
      <c r="T1073" s="757"/>
      <c r="U1073" s="757"/>
      <c r="V1073" s="757"/>
      <c r="W1073" s="757"/>
      <c r="X1073" s="757"/>
      <c r="Y1073" s="757"/>
      <c r="Z1073" s="757"/>
      <c r="AA1073" s="757"/>
      <c r="AB1073" s="757"/>
      <c r="AC1073" s="757"/>
      <c r="AD1073" s="757"/>
      <c r="AE1073" s="757"/>
      <c r="AF1073" s="757"/>
      <c r="AG1073" s="757"/>
      <c r="AH1073" s="757"/>
      <c r="AI1073" s="757"/>
      <c r="AJ1073" s="757"/>
      <c r="AK1073" s="757"/>
      <c r="AL1073" s="757"/>
      <c r="AM1073" s="757"/>
      <c r="AN1073" s="757"/>
      <c r="AO1073" s="757"/>
      <c r="AP1073" s="757"/>
      <c r="AQ1073" s="757"/>
      <c r="AR1073" s="757"/>
      <c r="AS1073" s="757"/>
      <c r="AT1073" s="757"/>
      <c r="AU1073" s="757"/>
      <c r="AV1073" s="757"/>
      <c r="AW1073" s="757"/>
      <c r="AX1073" s="757"/>
      <c r="AY1073" s="757"/>
      <c r="AZ1073" s="75"/>
      <c r="BA1073" s="2"/>
      <c r="BB1073" s="2"/>
      <c r="BC1073" s="2"/>
      <c r="BD1073" s="2"/>
    </row>
    <row r="1074" spans="1:56">
      <c r="A1074" s="781">
        <v>2</v>
      </c>
      <c r="B1074" s="782">
        <v>258</v>
      </c>
      <c r="C1074" s="783">
        <v>45503</v>
      </c>
      <c r="D1074" s="785" t="s">
        <v>1361</v>
      </c>
      <c r="E1074" s="808">
        <v>4239.22</v>
      </c>
      <c r="F1074" s="799"/>
      <c r="G1074" s="799"/>
      <c r="H1074" s="1592">
        <f t="shared" si="48"/>
        <v>0</v>
      </c>
      <c r="I1074" s="754" t="str">
        <f>IFERROR(VLOOKUP(B1074,Mychart!$A$125:$B$911,2,FALSE),"-")</f>
        <v>MAJID ALSHEHY</v>
      </c>
      <c r="J1074" s="753">
        <f t="shared" si="49"/>
        <v>7</v>
      </c>
      <c r="K1074" s="1540">
        <f t="shared" si="50"/>
        <v>2024</v>
      </c>
      <c r="L1074" s="757"/>
      <c r="M1074" s="757"/>
      <c r="N1074" s="757"/>
      <c r="O1074" s="757"/>
      <c r="P1074" s="757"/>
      <c r="Q1074" s="757"/>
      <c r="R1074" s="757"/>
      <c r="S1074" s="757"/>
      <c r="T1074" s="757"/>
      <c r="U1074" s="757"/>
      <c r="V1074" s="757"/>
      <c r="W1074" s="757"/>
      <c r="X1074" s="757"/>
      <c r="Y1074" s="757"/>
      <c r="Z1074" s="757"/>
      <c r="AA1074" s="757"/>
      <c r="AB1074" s="757"/>
      <c r="AC1074" s="757"/>
      <c r="AD1074" s="757"/>
      <c r="AE1074" s="757"/>
      <c r="AF1074" s="757"/>
      <c r="AG1074" s="757"/>
      <c r="AH1074" s="757"/>
      <c r="AI1074" s="757"/>
      <c r="AJ1074" s="757"/>
      <c r="AK1074" s="757"/>
      <c r="AL1074" s="757"/>
      <c r="AM1074" s="757"/>
      <c r="AN1074" s="757"/>
      <c r="AO1074" s="757"/>
      <c r="AP1074" s="757"/>
      <c r="AQ1074" s="757"/>
      <c r="AR1074" s="757"/>
      <c r="AS1074" s="757"/>
      <c r="AT1074" s="757"/>
      <c r="AU1074" s="757"/>
      <c r="AV1074" s="757"/>
      <c r="AW1074" s="757"/>
      <c r="AX1074" s="757"/>
      <c r="AY1074" s="757"/>
      <c r="AZ1074" s="75"/>
      <c r="BA1074" s="2"/>
      <c r="BB1074" s="2"/>
      <c r="BC1074" s="2"/>
      <c r="BD1074" s="2"/>
    </row>
    <row r="1075" spans="1:56">
      <c r="A1075" s="781">
        <v>2</v>
      </c>
      <c r="B1075" s="782">
        <v>260</v>
      </c>
      <c r="C1075" s="783">
        <v>45503</v>
      </c>
      <c r="D1075" s="785" t="s">
        <v>1361</v>
      </c>
      <c r="E1075" s="808">
        <v>212</v>
      </c>
      <c r="F1075" s="799"/>
      <c r="G1075" s="799"/>
      <c r="H1075" s="1592">
        <f t="shared" si="48"/>
        <v>0</v>
      </c>
      <c r="I1075" s="754" t="str">
        <f>IFERROR(VLOOKUP(B1075,Mychart!$A$125:$B$911,2,FALSE),"-")</f>
        <v>ISMAIL ABDULRAHMAN</v>
      </c>
      <c r="J1075" s="753">
        <f t="shared" si="49"/>
        <v>7</v>
      </c>
      <c r="K1075" s="1540">
        <f t="shared" si="50"/>
        <v>2024</v>
      </c>
      <c r="L1075" s="757"/>
      <c r="M1075" s="757"/>
      <c r="N1075" s="757"/>
      <c r="O1075" s="757"/>
      <c r="P1075" s="757"/>
      <c r="Q1075" s="757"/>
      <c r="R1075" s="757"/>
      <c r="S1075" s="757"/>
      <c r="T1075" s="757"/>
      <c r="U1075" s="757"/>
      <c r="V1075" s="757"/>
      <c r="W1075" s="757"/>
      <c r="X1075" s="757"/>
      <c r="Y1075" s="757"/>
      <c r="Z1075" s="757"/>
      <c r="AA1075" s="757"/>
      <c r="AB1075" s="757"/>
      <c r="AC1075" s="757"/>
      <c r="AD1075" s="757"/>
      <c r="AE1075" s="757"/>
      <c r="AF1075" s="757"/>
      <c r="AG1075" s="757"/>
      <c r="AH1075" s="757"/>
      <c r="AI1075" s="757"/>
      <c r="AJ1075" s="757"/>
      <c r="AK1075" s="757"/>
      <c r="AL1075" s="757"/>
      <c r="AM1075" s="757"/>
      <c r="AN1075" s="757"/>
      <c r="AO1075" s="757"/>
      <c r="AP1075" s="757"/>
      <c r="AQ1075" s="757"/>
      <c r="AR1075" s="757"/>
      <c r="AS1075" s="757"/>
      <c r="AT1075" s="757"/>
      <c r="AU1075" s="757"/>
      <c r="AV1075" s="757"/>
      <c r="AW1075" s="757"/>
      <c r="AX1075" s="757"/>
      <c r="AY1075" s="757"/>
      <c r="AZ1075" s="75"/>
      <c r="BA1075" s="2"/>
      <c r="BB1075" s="2"/>
      <c r="BC1075" s="2"/>
      <c r="BD1075" s="2"/>
    </row>
    <row r="1076" spans="1:56">
      <c r="A1076" s="781">
        <v>2</v>
      </c>
      <c r="B1076" s="782">
        <v>262</v>
      </c>
      <c r="C1076" s="783">
        <v>45503</v>
      </c>
      <c r="D1076" s="785" t="s">
        <v>1361</v>
      </c>
      <c r="E1076" s="808">
        <v>8593.61</v>
      </c>
      <c r="F1076" s="799"/>
      <c r="G1076" s="799"/>
      <c r="H1076" s="1592">
        <f t="shared" si="48"/>
        <v>0</v>
      </c>
      <c r="I1076" s="754" t="str">
        <f>IFERROR(VLOOKUP(B1076,Mychart!$A$125:$B$911,2,FALSE),"-")</f>
        <v>Amna Ahmed</v>
      </c>
      <c r="J1076" s="753">
        <f t="shared" si="49"/>
        <v>7</v>
      </c>
      <c r="K1076" s="1540">
        <f t="shared" si="50"/>
        <v>2024</v>
      </c>
      <c r="L1076" s="757"/>
      <c r="M1076" s="757"/>
      <c r="N1076" s="757"/>
      <c r="O1076" s="757"/>
      <c r="P1076" s="757"/>
      <c r="Q1076" s="757"/>
      <c r="R1076" s="757"/>
      <c r="S1076" s="757"/>
      <c r="T1076" s="757"/>
      <c r="U1076" s="757"/>
      <c r="V1076" s="757"/>
      <c r="W1076" s="757"/>
      <c r="X1076" s="757"/>
      <c r="Y1076" s="757"/>
      <c r="Z1076" s="757"/>
      <c r="AA1076" s="757"/>
      <c r="AB1076" s="757"/>
      <c r="AC1076" s="757"/>
      <c r="AD1076" s="757"/>
      <c r="AE1076" s="757"/>
      <c r="AF1076" s="757"/>
      <c r="AG1076" s="757"/>
      <c r="AH1076" s="757"/>
      <c r="AI1076" s="757"/>
      <c r="AJ1076" s="757"/>
      <c r="AK1076" s="757"/>
      <c r="AL1076" s="757"/>
      <c r="AM1076" s="757"/>
      <c r="AN1076" s="757"/>
      <c r="AO1076" s="757"/>
      <c r="AP1076" s="757"/>
      <c r="AQ1076" s="757"/>
      <c r="AR1076" s="757"/>
      <c r="AS1076" s="757"/>
      <c r="AT1076" s="757"/>
      <c r="AU1076" s="757"/>
      <c r="AV1076" s="757"/>
      <c r="AW1076" s="757"/>
      <c r="AX1076" s="757"/>
      <c r="AY1076" s="757"/>
      <c r="AZ1076" s="75"/>
      <c r="BA1076" s="2"/>
      <c r="BB1076" s="2"/>
      <c r="BC1076" s="2"/>
      <c r="BD1076" s="2"/>
    </row>
    <row r="1077" spans="1:56">
      <c r="A1077" s="781">
        <v>2</v>
      </c>
      <c r="B1077" s="782">
        <v>264</v>
      </c>
      <c r="C1077" s="783">
        <v>45503</v>
      </c>
      <c r="D1077" s="785" t="s">
        <v>1361</v>
      </c>
      <c r="E1077" s="808">
        <v>374</v>
      </c>
      <c r="F1077" s="799"/>
      <c r="G1077" s="799"/>
      <c r="H1077" s="1592">
        <f t="shared" si="48"/>
        <v>0</v>
      </c>
      <c r="I1077" s="754" t="str">
        <f>IFERROR(VLOOKUP(B1077,Mychart!$A$125:$B$911,2,FALSE),"-")</f>
        <v>Rashed khalifa abid</v>
      </c>
      <c r="J1077" s="753">
        <f t="shared" si="49"/>
        <v>7</v>
      </c>
      <c r="K1077" s="1540">
        <f t="shared" si="50"/>
        <v>2024</v>
      </c>
      <c r="L1077" s="757"/>
      <c r="M1077" s="757"/>
      <c r="N1077" s="757"/>
      <c r="O1077" s="757"/>
      <c r="P1077" s="757"/>
      <c r="Q1077" s="757"/>
      <c r="R1077" s="757"/>
      <c r="S1077" s="757"/>
      <c r="T1077" s="757"/>
      <c r="U1077" s="757"/>
      <c r="V1077" s="757"/>
      <c r="W1077" s="757"/>
      <c r="X1077" s="757"/>
      <c r="Y1077" s="757"/>
      <c r="Z1077" s="757"/>
      <c r="AA1077" s="757"/>
      <c r="AB1077" s="757"/>
      <c r="AC1077" s="757"/>
      <c r="AD1077" s="757"/>
      <c r="AE1077" s="757"/>
      <c r="AF1077" s="757"/>
      <c r="AG1077" s="757"/>
      <c r="AH1077" s="757"/>
      <c r="AI1077" s="757"/>
      <c r="AJ1077" s="757"/>
      <c r="AK1077" s="757"/>
      <c r="AL1077" s="757"/>
      <c r="AM1077" s="757"/>
      <c r="AN1077" s="757"/>
      <c r="AO1077" s="757"/>
      <c r="AP1077" s="757"/>
      <c r="AQ1077" s="757"/>
      <c r="AR1077" s="757"/>
      <c r="AS1077" s="757"/>
      <c r="AT1077" s="757"/>
      <c r="AU1077" s="757"/>
      <c r="AV1077" s="757"/>
      <c r="AW1077" s="757"/>
      <c r="AX1077" s="757"/>
      <c r="AY1077" s="757"/>
      <c r="AZ1077" s="75"/>
      <c r="BA1077" s="2"/>
      <c r="BB1077" s="2"/>
      <c r="BC1077" s="2"/>
      <c r="BD1077" s="2"/>
    </row>
    <row r="1078" spans="1:56">
      <c r="A1078" s="781">
        <v>2</v>
      </c>
      <c r="B1078" s="782">
        <v>265</v>
      </c>
      <c r="C1078" s="783">
        <v>45503</v>
      </c>
      <c r="D1078" s="785" t="s">
        <v>1361</v>
      </c>
      <c r="E1078" s="808">
        <v>126.53</v>
      </c>
      <c r="F1078" s="799"/>
      <c r="G1078" s="799"/>
      <c r="H1078" s="1592">
        <f t="shared" si="48"/>
        <v>0</v>
      </c>
      <c r="I1078" s="754" t="str">
        <f>IFERROR(VLOOKUP(B1078,Mychart!$A$125:$B$911,2,FALSE),"-")</f>
        <v>Omar Sultan</v>
      </c>
      <c r="J1078" s="753">
        <f t="shared" si="49"/>
        <v>7</v>
      </c>
      <c r="K1078" s="1540">
        <f t="shared" si="50"/>
        <v>2024</v>
      </c>
      <c r="L1078" s="757"/>
      <c r="M1078" s="757"/>
      <c r="N1078" s="757"/>
      <c r="O1078" s="757"/>
      <c r="P1078" s="757"/>
      <c r="Q1078" s="757"/>
      <c r="R1078" s="757"/>
      <c r="S1078" s="757"/>
      <c r="T1078" s="757"/>
      <c r="U1078" s="757"/>
      <c r="V1078" s="757"/>
      <c r="W1078" s="757"/>
      <c r="X1078" s="757"/>
      <c r="Y1078" s="757"/>
      <c r="Z1078" s="757"/>
      <c r="AA1078" s="757"/>
      <c r="AB1078" s="757"/>
      <c r="AC1078" s="757"/>
      <c r="AD1078" s="757"/>
      <c r="AE1078" s="757"/>
      <c r="AF1078" s="757"/>
      <c r="AG1078" s="757"/>
      <c r="AH1078" s="757"/>
      <c r="AI1078" s="757"/>
      <c r="AJ1078" s="757"/>
      <c r="AK1078" s="757"/>
      <c r="AL1078" s="757"/>
      <c r="AM1078" s="757"/>
      <c r="AN1078" s="757"/>
      <c r="AO1078" s="757"/>
      <c r="AP1078" s="757"/>
      <c r="AQ1078" s="757"/>
      <c r="AR1078" s="757"/>
      <c r="AS1078" s="757"/>
      <c r="AT1078" s="757"/>
      <c r="AU1078" s="757"/>
      <c r="AV1078" s="757"/>
      <c r="AW1078" s="757"/>
      <c r="AX1078" s="757"/>
      <c r="AY1078" s="757"/>
      <c r="AZ1078" s="75"/>
      <c r="BA1078" s="2"/>
      <c r="BB1078" s="2"/>
      <c r="BC1078" s="2"/>
      <c r="BD1078" s="2"/>
    </row>
    <row r="1079" spans="1:56">
      <c r="A1079" s="781">
        <v>2</v>
      </c>
      <c r="B1079" s="782">
        <v>275</v>
      </c>
      <c r="C1079" s="783">
        <v>45503</v>
      </c>
      <c r="D1079" s="785" t="s">
        <v>1361</v>
      </c>
      <c r="E1079" s="808">
        <v>70</v>
      </c>
      <c r="F1079" s="799"/>
      <c r="G1079" s="799"/>
      <c r="H1079" s="1592">
        <f t="shared" si="48"/>
        <v>0</v>
      </c>
      <c r="I1079" s="754" t="str">
        <f>IFERROR(VLOOKUP(B1079,Mychart!$A$125:$B$911,2,FALSE),"-")</f>
        <v>meshaal saqar - irtekaz</v>
      </c>
      <c r="J1079" s="753">
        <f t="shared" si="49"/>
        <v>7</v>
      </c>
      <c r="K1079" s="1540">
        <f t="shared" si="50"/>
        <v>2024</v>
      </c>
      <c r="L1079" s="757"/>
      <c r="M1079" s="757"/>
      <c r="N1079" s="757"/>
      <c r="O1079" s="757"/>
      <c r="P1079" s="757"/>
      <c r="Q1079" s="757"/>
      <c r="R1079" s="757"/>
      <c r="S1079" s="757"/>
      <c r="T1079" s="757"/>
      <c r="U1079" s="757"/>
      <c r="V1079" s="757"/>
      <c r="W1079" s="757"/>
      <c r="X1079" s="757"/>
      <c r="Y1079" s="757"/>
      <c r="Z1079" s="757"/>
      <c r="AA1079" s="757"/>
      <c r="AB1079" s="757"/>
      <c r="AC1079" s="757"/>
      <c r="AD1079" s="757"/>
      <c r="AE1079" s="757"/>
      <c r="AF1079" s="757"/>
      <c r="AG1079" s="757"/>
      <c r="AH1079" s="757"/>
      <c r="AI1079" s="757"/>
      <c r="AJ1079" s="757"/>
      <c r="AK1079" s="757"/>
      <c r="AL1079" s="757"/>
      <c r="AM1079" s="757"/>
      <c r="AN1079" s="757"/>
      <c r="AO1079" s="757"/>
      <c r="AP1079" s="757"/>
      <c r="AQ1079" s="757"/>
      <c r="AR1079" s="757"/>
      <c r="AS1079" s="757"/>
      <c r="AT1079" s="757"/>
      <c r="AU1079" s="757"/>
      <c r="AV1079" s="757"/>
      <c r="AW1079" s="757"/>
      <c r="AX1079" s="757"/>
      <c r="AY1079" s="757"/>
      <c r="AZ1079" s="75"/>
      <c r="BA1079" s="2"/>
      <c r="BB1079" s="2"/>
      <c r="BC1079" s="2"/>
      <c r="BD1079" s="2"/>
    </row>
    <row r="1080" spans="1:56">
      <c r="A1080" s="781">
        <v>2</v>
      </c>
      <c r="B1080" s="782">
        <v>276</v>
      </c>
      <c r="C1080" s="783">
        <v>45503</v>
      </c>
      <c r="D1080" s="785" t="s">
        <v>1361</v>
      </c>
      <c r="E1080" s="808">
        <v>18</v>
      </c>
      <c r="F1080" s="799"/>
      <c r="G1080" s="799"/>
      <c r="H1080" s="1592">
        <f t="shared" si="48"/>
        <v>0</v>
      </c>
      <c r="I1080" s="754" t="str">
        <f>IFERROR(VLOOKUP(B1080,Mychart!$A$125:$B$911,2,FALSE),"-")</f>
        <v>FATMA ESSA ALI</v>
      </c>
      <c r="J1080" s="753">
        <f t="shared" si="49"/>
        <v>7</v>
      </c>
      <c r="K1080" s="1540">
        <f t="shared" si="50"/>
        <v>2024</v>
      </c>
      <c r="L1080" s="757"/>
      <c r="M1080" s="757"/>
      <c r="N1080" s="757"/>
      <c r="O1080" s="757"/>
      <c r="P1080" s="757"/>
      <c r="Q1080" s="757"/>
      <c r="R1080" s="757"/>
      <c r="S1080" s="757"/>
      <c r="T1080" s="757"/>
      <c r="U1080" s="757"/>
      <c r="V1080" s="757"/>
      <c r="W1080" s="757"/>
      <c r="X1080" s="757"/>
      <c r="Y1080" s="757"/>
      <c r="Z1080" s="757"/>
      <c r="AA1080" s="757"/>
      <c r="AB1080" s="757"/>
      <c r="AC1080" s="757"/>
      <c r="AD1080" s="757"/>
      <c r="AE1080" s="757"/>
      <c r="AF1080" s="757"/>
      <c r="AG1080" s="757"/>
      <c r="AH1080" s="757"/>
      <c r="AI1080" s="757"/>
      <c r="AJ1080" s="757"/>
      <c r="AK1080" s="757"/>
      <c r="AL1080" s="757"/>
      <c r="AM1080" s="757"/>
      <c r="AN1080" s="757"/>
      <c r="AO1080" s="757"/>
      <c r="AP1080" s="757"/>
      <c r="AQ1080" s="757"/>
      <c r="AR1080" s="757"/>
      <c r="AS1080" s="757"/>
      <c r="AT1080" s="757"/>
      <c r="AU1080" s="757"/>
      <c r="AV1080" s="757"/>
      <c r="AW1080" s="757"/>
      <c r="AX1080" s="757"/>
      <c r="AY1080" s="757"/>
      <c r="AZ1080" s="75"/>
      <c r="BA1080" s="2"/>
      <c r="BB1080" s="2"/>
      <c r="BC1080" s="2"/>
      <c r="BD1080" s="2"/>
    </row>
    <row r="1081" spans="1:56">
      <c r="A1081" s="781">
        <v>2</v>
      </c>
      <c r="B1081" s="782">
        <v>277</v>
      </c>
      <c r="C1081" s="783">
        <v>45503</v>
      </c>
      <c r="D1081" s="785" t="s">
        <v>1361</v>
      </c>
      <c r="E1081" s="808">
        <v>60</v>
      </c>
      <c r="F1081" s="799"/>
      <c r="G1081" s="799"/>
      <c r="H1081" s="1592">
        <f t="shared" si="48"/>
        <v>0</v>
      </c>
      <c r="I1081" s="754" t="str">
        <f>IFERROR(VLOOKUP(B1081,Mychart!$A$125:$B$911,2,FALSE),"-")</f>
        <v>ABDULRHMAN ESSA ALI</v>
      </c>
      <c r="J1081" s="753">
        <f t="shared" si="49"/>
        <v>7</v>
      </c>
      <c r="K1081" s="1540">
        <f t="shared" si="50"/>
        <v>2024</v>
      </c>
      <c r="L1081" s="757"/>
      <c r="M1081" s="757"/>
      <c r="N1081" s="757"/>
      <c r="O1081" s="757"/>
      <c r="P1081" s="757"/>
      <c r="Q1081" s="757"/>
      <c r="R1081" s="757"/>
      <c r="S1081" s="757"/>
      <c r="T1081" s="757"/>
      <c r="U1081" s="757"/>
      <c r="V1081" s="757"/>
      <c r="W1081" s="757"/>
      <c r="X1081" s="757"/>
      <c r="Y1081" s="757"/>
      <c r="Z1081" s="757"/>
      <c r="AA1081" s="757"/>
      <c r="AB1081" s="757"/>
      <c r="AC1081" s="757"/>
      <c r="AD1081" s="757"/>
      <c r="AE1081" s="757"/>
      <c r="AF1081" s="757"/>
      <c r="AG1081" s="757"/>
      <c r="AH1081" s="757"/>
      <c r="AI1081" s="757"/>
      <c r="AJ1081" s="757"/>
      <c r="AK1081" s="757"/>
      <c r="AL1081" s="757"/>
      <c r="AM1081" s="757"/>
      <c r="AN1081" s="757"/>
      <c r="AO1081" s="757"/>
      <c r="AP1081" s="757"/>
      <c r="AQ1081" s="757"/>
      <c r="AR1081" s="757"/>
      <c r="AS1081" s="757"/>
      <c r="AT1081" s="757"/>
      <c r="AU1081" s="757"/>
      <c r="AV1081" s="757"/>
      <c r="AW1081" s="757"/>
      <c r="AX1081" s="757"/>
      <c r="AY1081" s="757"/>
      <c r="AZ1081" s="75"/>
      <c r="BA1081" s="2"/>
      <c r="BB1081" s="2"/>
      <c r="BC1081" s="2"/>
      <c r="BD1081" s="2"/>
    </row>
    <row r="1082" spans="1:56">
      <c r="A1082" s="781">
        <v>2</v>
      </c>
      <c r="B1082" s="782">
        <v>278</v>
      </c>
      <c r="C1082" s="783">
        <v>45503</v>
      </c>
      <c r="D1082" s="785" t="s">
        <v>1361</v>
      </c>
      <c r="E1082" s="808">
        <v>21.9</v>
      </c>
      <c r="F1082" s="799"/>
      <c r="G1082" s="799"/>
      <c r="H1082" s="1592">
        <f t="shared" si="48"/>
        <v>0</v>
      </c>
      <c r="I1082" s="754" t="str">
        <f>IFERROR(VLOOKUP(B1082,Mychart!$A$125:$B$911,2,FALSE),"-")</f>
        <v>Rashed Ahmed Yousef Mohamed Al Balooshi- Archpix</v>
      </c>
      <c r="J1082" s="753">
        <f t="shared" si="49"/>
        <v>7</v>
      </c>
      <c r="K1082" s="1540">
        <f t="shared" si="50"/>
        <v>2024</v>
      </c>
      <c r="L1082" s="757"/>
      <c r="M1082" s="757"/>
      <c r="N1082" s="757"/>
      <c r="O1082" s="757"/>
      <c r="P1082" s="757"/>
      <c r="Q1082" s="757"/>
      <c r="R1082" s="757"/>
      <c r="S1082" s="757"/>
      <c r="T1082" s="757"/>
      <c r="U1082" s="757"/>
      <c r="V1082" s="757"/>
      <c r="W1082" s="757"/>
      <c r="X1082" s="757"/>
      <c r="Y1082" s="757"/>
      <c r="Z1082" s="757"/>
      <c r="AA1082" s="757"/>
      <c r="AB1082" s="757"/>
      <c r="AC1082" s="757"/>
      <c r="AD1082" s="757"/>
      <c r="AE1082" s="757"/>
      <c r="AF1082" s="757"/>
      <c r="AG1082" s="757"/>
      <c r="AH1082" s="757"/>
      <c r="AI1082" s="757"/>
      <c r="AJ1082" s="757"/>
      <c r="AK1082" s="757"/>
      <c r="AL1082" s="757"/>
      <c r="AM1082" s="757"/>
      <c r="AN1082" s="757"/>
      <c r="AO1082" s="757"/>
      <c r="AP1082" s="757"/>
      <c r="AQ1082" s="757"/>
      <c r="AR1082" s="757"/>
      <c r="AS1082" s="757"/>
      <c r="AT1082" s="757"/>
      <c r="AU1082" s="757"/>
      <c r="AV1082" s="757"/>
      <c r="AW1082" s="757"/>
      <c r="AX1082" s="757"/>
      <c r="AY1082" s="757"/>
      <c r="AZ1082" s="75"/>
      <c r="BA1082" s="2"/>
      <c r="BB1082" s="2"/>
      <c r="BC1082" s="2"/>
      <c r="BD1082" s="2"/>
    </row>
    <row r="1083" spans="1:56">
      <c r="A1083" s="781">
        <v>2</v>
      </c>
      <c r="B1083" s="782">
        <v>279</v>
      </c>
      <c r="C1083" s="783">
        <v>45503</v>
      </c>
      <c r="D1083" s="785" t="s">
        <v>1361</v>
      </c>
      <c r="E1083" s="808">
        <v>11308.060000000001</v>
      </c>
      <c r="F1083" s="799"/>
      <c r="G1083" s="799"/>
      <c r="H1083" s="1592">
        <f t="shared" si="48"/>
        <v>0</v>
      </c>
      <c r="I1083" s="754" t="str">
        <f>IFERROR(VLOOKUP(B1083,Mychart!$A$125:$B$911,2,FALSE),"-")</f>
        <v>Shams Saeed Sultan AL Kitbee</v>
      </c>
      <c r="J1083" s="753">
        <f t="shared" si="49"/>
        <v>7</v>
      </c>
      <c r="K1083" s="1540">
        <f t="shared" si="50"/>
        <v>2024</v>
      </c>
      <c r="L1083" s="757"/>
      <c r="M1083" s="757"/>
      <c r="N1083" s="757"/>
      <c r="O1083" s="757"/>
      <c r="P1083" s="757"/>
      <c r="Q1083" s="757"/>
      <c r="R1083" s="757"/>
      <c r="S1083" s="757"/>
      <c r="T1083" s="757"/>
      <c r="U1083" s="757"/>
      <c r="V1083" s="757"/>
      <c r="W1083" s="757"/>
      <c r="X1083" s="757"/>
      <c r="Y1083" s="757"/>
      <c r="Z1083" s="757"/>
      <c r="AA1083" s="757"/>
      <c r="AB1083" s="757"/>
      <c r="AC1083" s="757"/>
      <c r="AD1083" s="757"/>
      <c r="AE1083" s="757"/>
      <c r="AF1083" s="757"/>
      <c r="AG1083" s="757"/>
      <c r="AH1083" s="757"/>
      <c r="AI1083" s="757"/>
      <c r="AJ1083" s="757"/>
      <c r="AK1083" s="757"/>
      <c r="AL1083" s="757"/>
      <c r="AM1083" s="757"/>
      <c r="AN1083" s="757"/>
      <c r="AO1083" s="757"/>
      <c r="AP1083" s="757"/>
      <c r="AQ1083" s="757"/>
      <c r="AR1083" s="757"/>
      <c r="AS1083" s="757"/>
      <c r="AT1083" s="757"/>
      <c r="AU1083" s="757"/>
      <c r="AV1083" s="757"/>
      <c r="AW1083" s="757"/>
      <c r="AX1083" s="757"/>
      <c r="AY1083" s="757"/>
      <c r="AZ1083" s="75"/>
      <c r="BA1083" s="2"/>
      <c r="BB1083" s="2"/>
      <c r="BC1083" s="2"/>
      <c r="BD1083" s="2"/>
    </row>
    <row r="1084" spans="1:56">
      <c r="A1084" s="781">
        <v>2</v>
      </c>
      <c r="B1084" s="782">
        <v>280</v>
      </c>
      <c r="C1084" s="783">
        <v>45503</v>
      </c>
      <c r="D1084" s="785" t="s">
        <v>1361</v>
      </c>
      <c r="E1084" s="808">
        <v>69</v>
      </c>
      <c r="F1084" s="799"/>
      <c r="G1084" s="799"/>
      <c r="H1084" s="1592">
        <f t="shared" si="48"/>
        <v>0</v>
      </c>
      <c r="I1084" s="754" t="str">
        <f>IFERROR(VLOOKUP(B1084,Mychart!$A$125:$B$911,2,FALSE),"-")</f>
        <v>Gaith Mohammad Aiahli</v>
      </c>
      <c r="J1084" s="753">
        <f t="shared" si="49"/>
        <v>7</v>
      </c>
      <c r="K1084" s="1540">
        <f t="shared" si="50"/>
        <v>2024</v>
      </c>
      <c r="L1084" s="757"/>
      <c r="M1084" s="757"/>
      <c r="N1084" s="757"/>
      <c r="O1084" s="757"/>
      <c r="P1084" s="757"/>
      <c r="Q1084" s="757"/>
      <c r="R1084" s="757"/>
      <c r="S1084" s="757"/>
      <c r="T1084" s="757"/>
      <c r="U1084" s="757"/>
      <c r="V1084" s="757"/>
      <c r="W1084" s="757"/>
      <c r="X1084" s="757"/>
      <c r="Y1084" s="757"/>
      <c r="Z1084" s="757"/>
      <c r="AA1084" s="757"/>
      <c r="AB1084" s="757"/>
      <c r="AC1084" s="757"/>
      <c r="AD1084" s="757"/>
      <c r="AE1084" s="757"/>
      <c r="AF1084" s="757"/>
      <c r="AG1084" s="757"/>
      <c r="AH1084" s="757"/>
      <c r="AI1084" s="757"/>
      <c r="AJ1084" s="757"/>
      <c r="AK1084" s="757"/>
      <c r="AL1084" s="757"/>
      <c r="AM1084" s="757"/>
      <c r="AN1084" s="757"/>
      <c r="AO1084" s="757"/>
      <c r="AP1084" s="757"/>
      <c r="AQ1084" s="757"/>
      <c r="AR1084" s="757"/>
      <c r="AS1084" s="757"/>
      <c r="AT1084" s="757"/>
      <c r="AU1084" s="757"/>
      <c r="AV1084" s="757"/>
      <c r="AW1084" s="757"/>
      <c r="AX1084" s="757"/>
      <c r="AY1084" s="757"/>
      <c r="AZ1084" s="75"/>
      <c r="BA1084" s="2"/>
      <c r="BB1084" s="2"/>
      <c r="BC1084" s="2"/>
      <c r="BD1084" s="2"/>
    </row>
    <row r="1085" spans="1:56">
      <c r="A1085" s="781">
        <v>2</v>
      </c>
      <c r="B1085" s="782">
        <v>281</v>
      </c>
      <c r="C1085" s="783">
        <v>45503</v>
      </c>
      <c r="D1085" s="785" t="s">
        <v>1361</v>
      </c>
      <c r="E1085" s="808">
        <v>1480.5</v>
      </c>
      <c r="F1085" s="799"/>
      <c r="G1085" s="799"/>
      <c r="H1085" s="1592">
        <f t="shared" si="48"/>
        <v>0</v>
      </c>
      <c r="I1085" s="754" t="str">
        <f>IFERROR(VLOOKUP(B1085,Mychart!$A$125:$B$911,2,FALSE),"-")</f>
        <v>Mohamed Abbas Al Bloushi</v>
      </c>
      <c r="J1085" s="753">
        <f t="shared" si="49"/>
        <v>7</v>
      </c>
      <c r="K1085" s="1540">
        <f t="shared" si="50"/>
        <v>2024</v>
      </c>
      <c r="L1085" s="757"/>
      <c r="M1085" s="757"/>
      <c r="N1085" s="757"/>
      <c r="O1085" s="757"/>
      <c r="P1085" s="757"/>
      <c r="Q1085" s="757"/>
      <c r="R1085" s="757"/>
      <c r="S1085" s="757"/>
      <c r="T1085" s="757"/>
      <c r="U1085" s="757"/>
      <c r="V1085" s="757"/>
      <c r="W1085" s="757"/>
      <c r="X1085" s="757"/>
      <c r="Y1085" s="757"/>
      <c r="Z1085" s="757"/>
      <c r="AA1085" s="757"/>
      <c r="AB1085" s="757"/>
      <c r="AC1085" s="757"/>
      <c r="AD1085" s="757"/>
      <c r="AE1085" s="757"/>
      <c r="AF1085" s="757"/>
      <c r="AG1085" s="757"/>
      <c r="AH1085" s="757"/>
      <c r="AI1085" s="757"/>
      <c r="AJ1085" s="757"/>
      <c r="AK1085" s="757"/>
      <c r="AL1085" s="757"/>
      <c r="AM1085" s="757"/>
      <c r="AN1085" s="757"/>
      <c r="AO1085" s="757"/>
      <c r="AP1085" s="757"/>
      <c r="AQ1085" s="757"/>
      <c r="AR1085" s="757"/>
      <c r="AS1085" s="757"/>
      <c r="AT1085" s="757"/>
      <c r="AU1085" s="757"/>
      <c r="AV1085" s="757"/>
      <c r="AW1085" s="757"/>
      <c r="AX1085" s="757"/>
      <c r="AY1085" s="757"/>
      <c r="AZ1085" s="75"/>
      <c r="BA1085" s="2"/>
      <c r="BB1085" s="2"/>
      <c r="BC1085" s="2"/>
      <c r="BD1085" s="2"/>
    </row>
    <row r="1086" spans="1:56">
      <c r="A1086" s="781">
        <v>2</v>
      </c>
      <c r="B1086" s="782">
        <v>284</v>
      </c>
      <c r="C1086" s="783">
        <v>45503</v>
      </c>
      <c r="D1086" s="785" t="s">
        <v>1361</v>
      </c>
      <c r="E1086" s="808">
        <v>3707.66</v>
      </c>
      <c r="F1086" s="799"/>
      <c r="G1086" s="799"/>
      <c r="H1086" s="1592">
        <f t="shared" si="48"/>
        <v>0</v>
      </c>
      <c r="I1086" s="754" t="str">
        <f>IFERROR(VLOOKUP(B1086,Mychart!$A$125:$B$911,2,FALSE),"-")</f>
        <v xml:space="preserve">ABDULLAH . EBTESAM بدون عقد موقع </v>
      </c>
      <c r="J1086" s="753">
        <f t="shared" si="49"/>
        <v>7</v>
      </c>
      <c r="K1086" s="1540">
        <f t="shared" si="50"/>
        <v>2024</v>
      </c>
      <c r="L1086" s="757"/>
      <c r="M1086" s="757"/>
      <c r="N1086" s="757"/>
      <c r="O1086" s="757"/>
      <c r="P1086" s="757"/>
      <c r="Q1086" s="757"/>
      <c r="R1086" s="757"/>
      <c r="S1086" s="757"/>
      <c r="T1086" s="757"/>
      <c r="U1086" s="757"/>
      <c r="V1086" s="757"/>
      <c r="W1086" s="757"/>
      <c r="X1086" s="757"/>
      <c r="Y1086" s="757"/>
      <c r="Z1086" s="757"/>
      <c r="AA1086" s="757"/>
      <c r="AB1086" s="757"/>
      <c r="AC1086" s="757"/>
      <c r="AD1086" s="757"/>
      <c r="AE1086" s="757"/>
      <c r="AF1086" s="757"/>
      <c r="AG1086" s="757"/>
      <c r="AH1086" s="757"/>
      <c r="AI1086" s="757"/>
      <c r="AJ1086" s="757"/>
      <c r="AK1086" s="757"/>
      <c r="AL1086" s="757"/>
      <c r="AM1086" s="757"/>
      <c r="AN1086" s="757"/>
      <c r="AO1086" s="757"/>
      <c r="AP1086" s="757"/>
      <c r="AQ1086" s="757"/>
      <c r="AR1086" s="757"/>
      <c r="AS1086" s="757"/>
      <c r="AT1086" s="757"/>
      <c r="AU1086" s="757"/>
      <c r="AV1086" s="757"/>
      <c r="AW1086" s="757"/>
      <c r="AX1086" s="757"/>
      <c r="AY1086" s="757"/>
      <c r="AZ1086" s="75"/>
      <c r="BA1086" s="2"/>
      <c r="BB1086" s="2"/>
      <c r="BC1086" s="2"/>
      <c r="BD1086" s="2"/>
    </row>
    <row r="1087" spans="1:56">
      <c r="A1087" s="781">
        <v>2</v>
      </c>
      <c r="B1087" s="782">
        <v>279</v>
      </c>
      <c r="C1087" s="783">
        <v>45519</v>
      </c>
      <c r="D1087" s="785" t="s">
        <v>162</v>
      </c>
      <c r="E1087" s="808">
        <v>3622.5</v>
      </c>
      <c r="F1087" s="799"/>
      <c r="G1087" s="799"/>
      <c r="H1087" s="1592">
        <f t="shared" si="48"/>
        <v>0</v>
      </c>
      <c r="I1087" s="754" t="str">
        <f>IFERROR(VLOOKUP(B1087,Mychart!$A$125:$B$911,2,FALSE),"-")</f>
        <v>Shams Saeed Sultan AL Kitbee</v>
      </c>
      <c r="J1087" s="753">
        <f t="shared" si="49"/>
        <v>8</v>
      </c>
      <c r="K1087" s="1540">
        <f t="shared" si="50"/>
        <v>2024</v>
      </c>
      <c r="L1087" s="757"/>
      <c r="M1087" s="757"/>
      <c r="N1087" s="757"/>
      <c r="O1087" s="757"/>
      <c r="P1087" s="757"/>
      <c r="Q1087" s="757"/>
      <c r="R1087" s="757"/>
      <c r="S1087" s="757"/>
      <c r="T1087" s="757"/>
      <c r="U1087" s="757"/>
      <c r="V1087" s="757"/>
      <c r="W1087" s="757"/>
      <c r="X1087" s="757"/>
      <c r="Y1087" s="757"/>
      <c r="Z1087" s="757"/>
      <c r="AA1087" s="757"/>
      <c r="AB1087" s="757"/>
      <c r="AC1087" s="757"/>
      <c r="AD1087" s="757"/>
      <c r="AE1087" s="757"/>
      <c r="AF1087" s="757"/>
      <c r="AG1087" s="757"/>
      <c r="AH1087" s="757"/>
      <c r="AI1087" s="757"/>
      <c r="AJ1087" s="757"/>
      <c r="AK1087" s="757"/>
      <c r="AL1087" s="757"/>
      <c r="AM1087" s="757"/>
      <c r="AN1087" s="757"/>
      <c r="AO1087" s="757"/>
      <c r="AP1087" s="757"/>
      <c r="AQ1087" s="757"/>
      <c r="AR1087" s="757"/>
      <c r="AS1087" s="757"/>
      <c r="AT1087" s="757"/>
      <c r="AU1087" s="757"/>
      <c r="AV1087" s="757"/>
      <c r="AW1087" s="757"/>
      <c r="AX1087" s="757"/>
      <c r="AY1087" s="757"/>
      <c r="AZ1087" s="75"/>
      <c r="BA1087" s="2"/>
      <c r="BB1087" s="2"/>
      <c r="BC1087" s="2"/>
      <c r="BD1087" s="2"/>
    </row>
    <row r="1088" spans="1:56">
      <c r="A1088" s="781">
        <v>2</v>
      </c>
      <c r="B1088" s="782">
        <v>255</v>
      </c>
      <c r="C1088" s="783">
        <v>45519</v>
      </c>
      <c r="D1088" s="785" t="s">
        <v>162</v>
      </c>
      <c r="E1088" s="808">
        <v>30061</v>
      </c>
      <c r="F1088" s="799"/>
      <c r="G1088" s="799"/>
      <c r="H1088" s="1592">
        <f t="shared" si="48"/>
        <v>0</v>
      </c>
      <c r="I1088" s="754" t="str">
        <f>IFERROR(VLOOKUP(B1088,Mychart!$A$125:$B$911,2,FALSE),"-")</f>
        <v>ESSA KHALIFA</v>
      </c>
      <c r="J1088" s="753">
        <f t="shared" si="49"/>
        <v>8</v>
      </c>
      <c r="K1088" s="1540">
        <f t="shared" si="50"/>
        <v>2024</v>
      </c>
      <c r="L1088" s="757"/>
      <c r="M1088" s="757"/>
      <c r="N1088" s="757"/>
      <c r="O1088" s="757"/>
      <c r="P1088" s="757"/>
      <c r="Q1088" s="757"/>
      <c r="R1088" s="757"/>
      <c r="S1088" s="757"/>
      <c r="T1088" s="757"/>
      <c r="U1088" s="757"/>
      <c r="V1088" s="757"/>
      <c r="W1088" s="757"/>
      <c r="X1088" s="757"/>
      <c r="Y1088" s="757"/>
      <c r="Z1088" s="757"/>
      <c r="AA1088" s="757"/>
      <c r="AB1088" s="757"/>
      <c r="AC1088" s="757"/>
      <c r="AD1088" s="757"/>
      <c r="AE1088" s="757"/>
      <c r="AF1088" s="757"/>
      <c r="AG1088" s="757"/>
      <c r="AH1088" s="757"/>
      <c r="AI1088" s="757"/>
      <c r="AJ1088" s="757"/>
      <c r="AK1088" s="757"/>
      <c r="AL1088" s="757"/>
      <c r="AM1088" s="757"/>
      <c r="AN1088" s="757"/>
      <c r="AO1088" s="757"/>
      <c r="AP1088" s="757"/>
      <c r="AQ1088" s="757"/>
      <c r="AR1088" s="757"/>
      <c r="AS1088" s="757"/>
      <c r="AT1088" s="757"/>
      <c r="AU1088" s="757"/>
      <c r="AV1088" s="757"/>
      <c r="AW1088" s="757"/>
      <c r="AX1088" s="757"/>
      <c r="AY1088" s="757"/>
      <c r="AZ1088" s="75"/>
      <c r="BA1088" s="2"/>
      <c r="BB1088" s="2"/>
      <c r="BC1088" s="2"/>
      <c r="BD1088" s="2"/>
    </row>
    <row r="1089" spans="1:56">
      <c r="A1089" s="781">
        <v>2</v>
      </c>
      <c r="B1089" s="782">
        <v>243</v>
      </c>
      <c r="C1089" s="783">
        <v>45519</v>
      </c>
      <c r="D1089" s="785" t="s">
        <v>162</v>
      </c>
      <c r="E1089" s="808">
        <v>3354.75</v>
      </c>
      <c r="F1089" s="799"/>
      <c r="G1089" s="799"/>
      <c r="H1089" s="1592">
        <f t="shared" si="48"/>
        <v>0</v>
      </c>
      <c r="I1089" s="754" t="str">
        <f>IFERROR(VLOOKUP(B1089,Mychart!$A$125:$B$911,2,FALSE),"-")</f>
        <v>SHIHAB - ERTIKAZ</v>
      </c>
      <c r="J1089" s="753">
        <f t="shared" si="49"/>
        <v>8</v>
      </c>
      <c r="K1089" s="1540">
        <f t="shared" si="50"/>
        <v>2024</v>
      </c>
      <c r="L1089" s="757"/>
      <c r="M1089" s="757"/>
      <c r="N1089" s="757"/>
      <c r="O1089" s="757"/>
      <c r="P1089" s="757"/>
      <c r="Q1089" s="757"/>
      <c r="R1089" s="757"/>
      <c r="S1089" s="757"/>
      <c r="T1089" s="757"/>
      <c r="U1089" s="757"/>
      <c r="V1089" s="757"/>
      <c r="W1089" s="757"/>
      <c r="X1089" s="757"/>
      <c r="Y1089" s="757"/>
      <c r="Z1089" s="757"/>
      <c r="AA1089" s="757"/>
      <c r="AB1089" s="757"/>
      <c r="AC1089" s="757"/>
      <c r="AD1089" s="757"/>
      <c r="AE1089" s="757"/>
      <c r="AF1089" s="757"/>
      <c r="AG1089" s="757"/>
      <c r="AH1089" s="757"/>
      <c r="AI1089" s="757"/>
      <c r="AJ1089" s="757"/>
      <c r="AK1089" s="757"/>
      <c r="AL1089" s="757"/>
      <c r="AM1089" s="757"/>
      <c r="AN1089" s="757"/>
      <c r="AO1089" s="757"/>
      <c r="AP1089" s="757"/>
      <c r="AQ1089" s="757"/>
      <c r="AR1089" s="757"/>
      <c r="AS1089" s="757"/>
      <c r="AT1089" s="757"/>
      <c r="AU1089" s="757"/>
      <c r="AV1089" s="757"/>
      <c r="AW1089" s="757"/>
      <c r="AX1089" s="757"/>
      <c r="AY1089" s="757"/>
      <c r="AZ1089" s="75"/>
      <c r="BA1089" s="2"/>
      <c r="BB1089" s="2"/>
      <c r="BC1089" s="2"/>
      <c r="BD1089" s="2"/>
    </row>
    <row r="1090" spans="1:56">
      <c r="A1090" s="781">
        <v>2</v>
      </c>
      <c r="B1090" s="782">
        <v>256</v>
      </c>
      <c r="C1090" s="783">
        <v>45493</v>
      </c>
      <c r="D1090" s="785" t="s">
        <v>167</v>
      </c>
      <c r="E1090" s="808">
        <v>58</v>
      </c>
      <c r="F1090" s="799"/>
      <c r="G1090" s="799"/>
      <c r="H1090" s="1592">
        <f t="shared" si="48"/>
        <v>0</v>
      </c>
      <c r="I1090" s="754" t="str">
        <f>IFERROR(VLOOKUP(B1090,Mychart!$A$125:$B$911,2,FALSE),"-")</f>
        <v>ADNAN DUBAI SKY</v>
      </c>
      <c r="J1090" s="753">
        <f t="shared" si="49"/>
        <v>7</v>
      </c>
      <c r="K1090" s="1540">
        <f t="shared" si="50"/>
        <v>2024</v>
      </c>
      <c r="L1090" s="757"/>
      <c r="M1090" s="757"/>
      <c r="N1090" s="757"/>
      <c r="O1090" s="757"/>
      <c r="P1090" s="757"/>
      <c r="Q1090" s="757"/>
      <c r="R1090" s="757"/>
      <c r="S1090" s="757"/>
      <c r="T1090" s="757"/>
      <c r="U1090" s="757"/>
      <c r="V1090" s="757"/>
      <c r="W1090" s="757"/>
      <c r="X1090" s="757"/>
      <c r="Y1090" s="757"/>
      <c r="Z1090" s="757"/>
      <c r="AA1090" s="757"/>
      <c r="AB1090" s="757"/>
      <c r="AC1090" s="757"/>
      <c r="AD1090" s="757"/>
      <c r="AE1090" s="757"/>
      <c r="AF1090" s="757"/>
      <c r="AG1090" s="757"/>
      <c r="AH1090" s="757"/>
      <c r="AI1090" s="757"/>
      <c r="AJ1090" s="757"/>
      <c r="AK1090" s="757"/>
      <c r="AL1090" s="757"/>
      <c r="AM1090" s="757"/>
      <c r="AN1090" s="757"/>
      <c r="AO1090" s="757"/>
      <c r="AP1090" s="757"/>
      <c r="AQ1090" s="757"/>
      <c r="AR1090" s="757"/>
      <c r="AS1090" s="757"/>
      <c r="AT1090" s="757"/>
      <c r="AU1090" s="757"/>
      <c r="AV1090" s="757"/>
      <c r="AW1090" s="757"/>
      <c r="AX1090" s="757"/>
      <c r="AY1090" s="757"/>
      <c r="AZ1090" s="75"/>
      <c r="BA1090" s="2"/>
      <c r="BB1090" s="2"/>
      <c r="BC1090" s="2"/>
      <c r="BD1090" s="2"/>
    </row>
    <row r="1091" spans="1:56">
      <c r="A1091" s="781">
        <v>2</v>
      </c>
      <c r="B1091" s="782">
        <v>252</v>
      </c>
      <c r="C1091" s="783">
        <v>45517</v>
      </c>
      <c r="D1091" s="785" t="s">
        <v>166</v>
      </c>
      <c r="E1091" s="808">
        <v>7350.42</v>
      </c>
      <c r="F1091" s="799"/>
      <c r="G1091" s="799"/>
      <c r="H1091" s="1592">
        <f t="shared" si="48"/>
        <v>0</v>
      </c>
      <c r="I1091" s="754" t="str">
        <f>IFERROR(VLOOKUP(B1091,Mychart!$A$125:$B$911,2,FALSE),"-")</f>
        <v>Mohamed Saif - HBC</v>
      </c>
      <c r="J1091" s="753">
        <f t="shared" si="49"/>
        <v>8</v>
      </c>
      <c r="K1091" s="1540">
        <f t="shared" si="50"/>
        <v>2024</v>
      </c>
      <c r="L1091" s="757"/>
      <c r="M1091" s="757"/>
      <c r="N1091" s="757"/>
      <c r="O1091" s="757"/>
      <c r="P1091" s="757"/>
      <c r="Q1091" s="757"/>
      <c r="R1091" s="757"/>
      <c r="S1091" s="757"/>
      <c r="T1091" s="757"/>
      <c r="U1091" s="757"/>
      <c r="V1091" s="757"/>
      <c r="W1091" s="757"/>
      <c r="X1091" s="757"/>
      <c r="Y1091" s="757"/>
      <c r="Z1091" s="757"/>
      <c r="AA1091" s="757"/>
      <c r="AB1091" s="757"/>
      <c r="AC1091" s="757"/>
      <c r="AD1091" s="757"/>
      <c r="AE1091" s="757"/>
      <c r="AF1091" s="757"/>
      <c r="AG1091" s="757"/>
      <c r="AH1091" s="757"/>
      <c r="AI1091" s="757"/>
      <c r="AJ1091" s="757"/>
      <c r="AK1091" s="757"/>
      <c r="AL1091" s="757"/>
      <c r="AM1091" s="757"/>
      <c r="AN1091" s="757"/>
      <c r="AO1091" s="757"/>
      <c r="AP1091" s="757"/>
      <c r="AQ1091" s="757"/>
      <c r="AR1091" s="757"/>
      <c r="AS1091" s="757"/>
      <c r="AT1091" s="757"/>
      <c r="AU1091" s="757"/>
      <c r="AV1091" s="757"/>
      <c r="AW1091" s="757"/>
      <c r="AX1091" s="757"/>
      <c r="AY1091" s="757"/>
      <c r="AZ1091" s="75"/>
      <c r="BA1091" s="2"/>
      <c r="BB1091" s="2"/>
      <c r="BC1091" s="2"/>
      <c r="BD1091" s="2"/>
    </row>
    <row r="1092" spans="1:56">
      <c r="A1092" s="781">
        <v>2</v>
      </c>
      <c r="B1092" s="782">
        <v>256</v>
      </c>
      <c r="C1092" s="783">
        <v>45509</v>
      </c>
      <c r="D1092" s="785" t="s">
        <v>1379</v>
      </c>
      <c r="E1092" s="808">
        <v>6234.9</v>
      </c>
      <c r="F1092" s="799"/>
      <c r="G1092" s="799"/>
      <c r="H1092" s="1592">
        <f t="shared" si="48"/>
        <v>0</v>
      </c>
      <c r="I1092" s="754" t="str">
        <f>IFERROR(VLOOKUP(B1092,Mychart!$A$125:$B$911,2,FALSE),"-")</f>
        <v>ADNAN DUBAI SKY</v>
      </c>
      <c r="J1092" s="753">
        <f t="shared" si="49"/>
        <v>8</v>
      </c>
      <c r="K1092" s="1540">
        <f t="shared" si="50"/>
        <v>2024</v>
      </c>
      <c r="L1092" s="757"/>
      <c r="M1092" s="757"/>
      <c r="N1092" s="757"/>
      <c r="O1092" s="757"/>
      <c r="P1092" s="757"/>
      <c r="Q1092" s="757"/>
      <c r="R1092" s="757"/>
      <c r="S1092" s="757"/>
      <c r="T1092" s="757"/>
      <c r="U1092" s="757"/>
      <c r="V1092" s="757"/>
      <c r="W1092" s="757"/>
      <c r="X1092" s="757"/>
      <c r="Y1092" s="757"/>
      <c r="Z1092" s="757"/>
      <c r="AA1092" s="757"/>
      <c r="AB1092" s="757"/>
      <c r="AC1092" s="757"/>
      <c r="AD1092" s="757"/>
      <c r="AE1092" s="757"/>
      <c r="AF1092" s="757"/>
      <c r="AG1092" s="757"/>
      <c r="AH1092" s="757"/>
      <c r="AI1092" s="757"/>
      <c r="AJ1092" s="757"/>
      <c r="AK1092" s="757"/>
      <c r="AL1092" s="757"/>
      <c r="AM1092" s="757"/>
      <c r="AN1092" s="757"/>
      <c r="AO1092" s="757"/>
      <c r="AP1092" s="757"/>
      <c r="AQ1092" s="757"/>
      <c r="AR1092" s="757"/>
      <c r="AS1092" s="757"/>
      <c r="AT1092" s="757"/>
      <c r="AU1092" s="757"/>
      <c r="AV1092" s="757"/>
      <c r="AW1092" s="757"/>
      <c r="AX1092" s="757"/>
      <c r="AY1092" s="757"/>
      <c r="AZ1092" s="75"/>
      <c r="BA1092" s="2"/>
      <c r="BB1092" s="2"/>
      <c r="BC1092" s="2"/>
      <c r="BD1092" s="2"/>
    </row>
    <row r="1093" spans="1:56">
      <c r="A1093" s="781">
        <v>1</v>
      </c>
      <c r="B1093" s="782">
        <v>257</v>
      </c>
      <c r="C1093" s="783">
        <v>45526</v>
      </c>
      <c r="D1093" s="785" t="s">
        <v>1405</v>
      </c>
      <c r="E1093" s="808"/>
      <c r="F1093" s="799">
        <v>64807</v>
      </c>
      <c r="G1093" s="799">
        <v>3240</v>
      </c>
      <c r="H1093" s="1592">
        <f t="shared" si="48"/>
        <v>68047</v>
      </c>
      <c r="I1093" s="754" t="str">
        <f>IFERROR(VLOOKUP(B1093,Mychart!$A$125:$B$911,2,FALSE),"-")</f>
        <v>NAAEMA SALEH - ERTIKAZ</v>
      </c>
      <c r="J1093" s="753">
        <f t="shared" si="49"/>
        <v>8</v>
      </c>
      <c r="K1093" s="1540">
        <f t="shared" si="50"/>
        <v>2024</v>
      </c>
      <c r="L1093" s="757"/>
      <c r="M1093" s="757"/>
      <c r="N1093" s="757"/>
      <c r="O1093" s="757"/>
      <c r="P1093" s="757"/>
      <c r="Q1093" s="757"/>
      <c r="R1093" s="757"/>
      <c r="S1093" s="757"/>
      <c r="T1093" s="757"/>
      <c r="U1093" s="757"/>
      <c r="V1093" s="757"/>
      <c r="W1093" s="757"/>
      <c r="X1093" s="757"/>
      <c r="Y1093" s="757"/>
      <c r="Z1093" s="757"/>
      <c r="AA1093" s="757"/>
      <c r="AB1093" s="757"/>
      <c r="AC1093" s="757"/>
      <c r="AD1093" s="757"/>
      <c r="AE1093" s="757"/>
      <c r="AF1093" s="757"/>
      <c r="AG1093" s="757"/>
      <c r="AH1093" s="757"/>
      <c r="AI1093" s="757"/>
      <c r="AJ1093" s="757"/>
      <c r="AK1093" s="757"/>
      <c r="AL1093" s="757"/>
      <c r="AM1093" s="757"/>
      <c r="AN1093" s="757"/>
      <c r="AO1093" s="757"/>
      <c r="AP1093" s="757"/>
      <c r="AQ1093" s="757"/>
      <c r="AR1093" s="757"/>
      <c r="AS1093" s="757"/>
      <c r="AT1093" s="757"/>
      <c r="AU1093" s="757"/>
      <c r="AV1093" s="757"/>
      <c r="AW1093" s="757"/>
      <c r="AX1093" s="757"/>
      <c r="AY1093" s="757"/>
      <c r="AZ1093" s="75"/>
      <c r="BA1093" s="2"/>
      <c r="BB1093" s="2"/>
      <c r="BC1093" s="2"/>
      <c r="BD1093" s="2"/>
    </row>
    <row r="1094" spans="1:56">
      <c r="A1094" s="781">
        <v>2</v>
      </c>
      <c r="B1094" s="782">
        <v>275</v>
      </c>
      <c r="C1094" s="783">
        <v>45530</v>
      </c>
      <c r="D1094" s="785" t="s">
        <v>167</v>
      </c>
      <c r="E1094" s="808">
        <v>0</v>
      </c>
      <c r="F1094" s="799"/>
      <c r="G1094" s="799"/>
      <c r="H1094" s="1592">
        <f t="shared" si="48"/>
        <v>0</v>
      </c>
      <c r="I1094" s="754" t="str">
        <f>IFERROR(VLOOKUP(B1094,Mychart!$A$125:$B$911,2,FALSE),"-")</f>
        <v>meshaal saqar - irtekaz</v>
      </c>
      <c r="J1094" s="753">
        <f t="shared" si="49"/>
        <v>8</v>
      </c>
      <c r="K1094" s="1540">
        <f t="shared" si="50"/>
        <v>2024</v>
      </c>
      <c r="L1094" s="757"/>
      <c r="M1094" s="757"/>
      <c r="N1094" s="757"/>
      <c r="O1094" s="757"/>
      <c r="P1094" s="757"/>
      <c r="Q1094" s="757"/>
      <c r="R1094" s="757"/>
      <c r="S1094" s="757"/>
      <c r="T1094" s="757"/>
      <c r="U1094" s="757"/>
      <c r="V1094" s="757"/>
      <c r="W1094" s="757"/>
      <c r="X1094" s="757"/>
      <c r="Y1094" s="757"/>
      <c r="Z1094" s="757"/>
      <c r="AA1094" s="757"/>
      <c r="AB1094" s="757"/>
      <c r="AC1094" s="757"/>
      <c r="AD1094" s="757"/>
      <c r="AE1094" s="757"/>
      <c r="AF1094" s="757"/>
      <c r="AG1094" s="757"/>
      <c r="AH1094" s="757"/>
      <c r="AI1094" s="757"/>
      <c r="AJ1094" s="757"/>
      <c r="AK1094" s="757"/>
      <c r="AL1094" s="757"/>
      <c r="AM1094" s="757"/>
      <c r="AN1094" s="757"/>
      <c r="AO1094" s="757"/>
      <c r="AP1094" s="757"/>
      <c r="AQ1094" s="757"/>
      <c r="AR1094" s="757"/>
      <c r="AS1094" s="757"/>
      <c r="AT1094" s="757"/>
      <c r="AU1094" s="757"/>
      <c r="AV1094" s="757"/>
      <c r="AW1094" s="757"/>
      <c r="AX1094" s="757"/>
      <c r="AY1094" s="757"/>
      <c r="AZ1094" s="75"/>
      <c r="BA1094" s="2"/>
      <c r="BB1094" s="2"/>
      <c r="BC1094" s="2"/>
      <c r="BD1094" s="2"/>
    </row>
    <row r="1095" spans="1:56">
      <c r="A1095" s="781">
        <v>2</v>
      </c>
      <c r="B1095" s="782">
        <v>216</v>
      </c>
      <c r="C1095" s="783">
        <v>45528</v>
      </c>
      <c r="D1095" s="785" t="s">
        <v>164</v>
      </c>
      <c r="E1095" s="808">
        <v>1050</v>
      </c>
      <c r="F1095" s="799"/>
      <c r="G1095" s="799"/>
      <c r="H1095" s="1592">
        <f t="shared" si="48"/>
        <v>0</v>
      </c>
      <c r="I1095" s="754" t="str">
        <f>IFERROR(VLOOKUP(B1095,Mychart!$A$125:$B$911,2,FALSE),"-")</f>
        <v>MUHAIR . AREEJ ( 165000 )</v>
      </c>
      <c r="J1095" s="753">
        <f t="shared" si="49"/>
        <v>8</v>
      </c>
      <c r="K1095" s="1540">
        <f t="shared" si="50"/>
        <v>2024</v>
      </c>
      <c r="L1095" s="757"/>
      <c r="M1095" s="757"/>
      <c r="N1095" s="757"/>
      <c r="O1095" s="757"/>
      <c r="P1095" s="757"/>
      <c r="Q1095" s="757"/>
      <c r="R1095" s="757"/>
      <c r="S1095" s="757"/>
      <c r="T1095" s="757"/>
      <c r="U1095" s="757"/>
      <c r="V1095" s="757"/>
      <c r="W1095" s="757"/>
      <c r="X1095" s="757"/>
      <c r="Y1095" s="757"/>
      <c r="Z1095" s="757"/>
      <c r="AA1095" s="757"/>
      <c r="AB1095" s="757"/>
      <c r="AC1095" s="757"/>
      <c r="AD1095" s="757"/>
      <c r="AE1095" s="757"/>
      <c r="AF1095" s="757"/>
      <c r="AG1095" s="757"/>
      <c r="AH1095" s="757"/>
      <c r="AI1095" s="757"/>
      <c r="AJ1095" s="757"/>
      <c r="AK1095" s="757"/>
      <c r="AL1095" s="757"/>
      <c r="AM1095" s="757"/>
      <c r="AN1095" s="757"/>
      <c r="AO1095" s="757"/>
      <c r="AP1095" s="757"/>
      <c r="AQ1095" s="757"/>
      <c r="AR1095" s="757"/>
      <c r="AS1095" s="757"/>
      <c r="AT1095" s="757"/>
      <c r="AU1095" s="757"/>
      <c r="AV1095" s="757"/>
      <c r="AW1095" s="757"/>
      <c r="AX1095" s="757"/>
      <c r="AY1095" s="757"/>
      <c r="AZ1095" s="75"/>
      <c r="BA1095" s="2"/>
      <c r="BB1095" s="2"/>
      <c r="BC1095" s="2"/>
      <c r="BD1095" s="2"/>
    </row>
    <row r="1096" spans="1:56">
      <c r="A1096" s="781">
        <v>2</v>
      </c>
      <c r="B1096" s="782">
        <v>257</v>
      </c>
      <c r="C1096" s="783">
        <v>45534</v>
      </c>
      <c r="D1096" s="785" t="s">
        <v>162</v>
      </c>
      <c r="E1096" s="808">
        <v>16826.25</v>
      </c>
      <c r="F1096" s="799"/>
      <c r="G1096" s="799"/>
      <c r="H1096" s="1592">
        <f t="shared" si="48"/>
        <v>0</v>
      </c>
      <c r="I1096" s="754" t="str">
        <f>IFERROR(VLOOKUP(B1096,Mychart!$A$125:$B$911,2,FALSE),"-")</f>
        <v>NAAEMA SALEH - ERTIKAZ</v>
      </c>
      <c r="J1096" s="753">
        <f t="shared" si="49"/>
        <v>8</v>
      </c>
      <c r="K1096" s="1540">
        <f t="shared" si="50"/>
        <v>2024</v>
      </c>
      <c r="L1096" s="757"/>
      <c r="M1096" s="757"/>
      <c r="N1096" s="757"/>
      <c r="O1096" s="757"/>
      <c r="P1096" s="757"/>
      <c r="Q1096" s="757"/>
      <c r="R1096" s="757"/>
      <c r="S1096" s="757"/>
      <c r="T1096" s="757"/>
      <c r="U1096" s="757"/>
      <c r="V1096" s="757"/>
      <c r="W1096" s="757"/>
      <c r="X1096" s="757"/>
      <c r="Y1096" s="757"/>
      <c r="Z1096" s="757"/>
      <c r="AA1096" s="757"/>
      <c r="AB1096" s="757"/>
      <c r="AC1096" s="757"/>
      <c r="AD1096" s="757"/>
      <c r="AE1096" s="757"/>
      <c r="AF1096" s="757"/>
      <c r="AG1096" s="757"/>
      <c r="AH1096" s="757"/>
      <c r="AI1096" s="757"/>
      <c r="AJ1096" s="757"/>
      <c r="AK1096" s="757"/>
      <c r="AL1096" s="757"/>
      <c r="AM1096" s="757"/>
      <c r="AN1096" s="757"/>
      <c r="AO1096" s="757"/>
      <c r="AP1096" s="757"/>
      <c r="AQ1096" s="757"/>
      <c r="AR1096" s="757"/>
      <c r="AS1096" s="757"/>
      <c r="AT1096" s="757"/>
      <c r="AU1096" s="757"/>
      <c r="AV1096" s="757"/>
      <c r="AW1096" s="757"/>
      <c r="AX1096" s="757"/>
      <c r="AY1096" s="757"/>
      <c r="AZ1096" s="75"/>
      <c r="BA1096" s="2"/>
      <c r="BB1096" s="2"/>
      <c r="BC1096" s="2"/>
      <c r="BD1096" s="2"/>
    </row>
    <row r="1097" spans="1:56">
      <c r="A1097" s="781">
        <v>2</v>
      </c>
      <c r="B1097" s="782">
        <v>257</v>
      </c>
      <c r="C1097" s="783">
        <v>45534</v>
      </c>
      <c r="D1097" s="785" t="s">
        <v>162</v>
      </c>
      <c r="E1097" s="808">
        <v>5502</v>
      </c>
      <c r="F1097" s="799"/>
      <c r="G1097" s="799"/>
      <c r="H1097" s="1592">
        <f t="shared" si="48"/>
        <v>0</v>
      </c>
      <c r="I1097" s="754" t="str">
        <f>IFERROR(VLOOKUP(B1097,Mychart!$A$125:$B$911,2,FALSE),"-")</f>
        <v>NAAEMA SALEH - ERTIKAZ</v>
      </c>
      <c r="J1097" s="753">
        <f t="shared" si="49"/>
        <v>8</v>
      </c>
      <c r="K1097" s="1540">
        <f t="shared" si="50"/>
        <v>2024</v>
      </c>
      <c r="L1097" s="757"/>
      <c r="M1097" s="757"/>
      <c r="N1097" s="757"/>
      <c r="O1097" s="757"/>
      <c r="P1097" s="757"/>
      <c r="Q1097" s="757"/>
      <c r="R1097" s="757"/>
      <c r="S1097" s="757"/>
      <c r="T1097" s="757"/>
      <c r="U1097" s="757"/>
      <c r="V1097" s="757"/>
      <c r="W1097" s="757"/>
      <c r="X1097" s="757"/>
      <c r="Y1097" s="757"/>
      <c r="Z1097" s="757"/>
      <c r="AA1097" s="757"/>
      <c r="AB1097" s="757"/>
      <c r="AC1097" s="757"/>
      <c r="AD1097" s="757"/>
      <c r="AE1097" s="757"/>
      <c r="AF1097" s="757"/>
      <c r="AG1097" s="757"/>
      <c r="AH1097" s="757"/>
      <c r="AI1097" s="757"/>
      <c r="AJ1097" s="757"/>
      <c r="AK1097" s="757"/>
      <c r="AL1097" s="757"/>
      <c r="AM1097" s="757"/>
      <c r="AN1097" s="757"/>
      <c r="AO1097" s="757"/>
      <c r="AP1097" s="757"/>
      <c r="AQ1097" s="757"/>
      <c r="AR1097" s="757"/>
      <c r="AS1097" s="757"/>
      <c r="AT1097" s="757"/>
      <c r="AU1097" s="757"/>
      <c r="AV1097" s="757"/>
      <c r="AW1097" s="757"/>
      <c r="AX1097" s="757"/>
      <c r="AY1097" s="757"/>
      <c r="AZ1097" s="75"/>
      <c r="BA1097" s="2"/>
      <c r="BB1097" s="2"/>
      <c r="BC1097" s="2"/>
      <c r="BD1097" s="2"/>
    </row>
    <row r="1098" spans="1:56">
      <c r="A1098" s="781">
        <v>2</v>
      </c>
      <c r="B1098" s="782">
        <v>256</v>
      </c>
      <c r="C1098" s="783">
        <v>45493</v>
      </c>
      <c r="D1098" s="785" t="s">
        <v>167</v>
      </c>
      <c r="E1098" s="808">
        <v>58</v>
      </c>
      <c r="F1098" s="799"/>
      <c r="G1098" s="799"/>
      <c r="H1098" s="1592">
        <f t="shared" si="48"/>
        <v>0</v>
      </c>
      <c r="I1098" s="754" t="str">
        <f>IFERROR(VLOOKUP(B1098,Mychart!$A$125:$B$911,2,FALSE),"-")</f>
        <v>ADNAN DUBAI SKY</v>
      </c>
      <c r="J1098" s="753">
        <f t="shared" si="49"/>
        <v>7</v>
      </c>
      <c r="K1098" s="1540">
        <f t="shared" si="50"/>
        <v>2024</v>
      </c>
      <c r="L1098" s="757"/>
      <c r="M1098" s="757"/>
      <c r="N1098" s="757"/>
      <c r="O1098" s="757"/>
      <c r="P1098" s="757"/>
      <c r="Q1098" s="757"/>
      <c r="R1098" s="757"/>
      <c r="S1098" s="757"/>
      <c r="T1098" s="757"/>
      <c r="U1098" s="757"/>
      <c r="V1098" s="757"/>
      <c r="W1098" s="757"/>
      <c r="X1098" s="757"/>
      <c r="Y1098" s="757"/>
      <c r="Z1098" s="757"/>
      <c r="AA1098" s="757"/>
      <c r="AB1098" s="757"/>
      <c r="AC1098" s="757"/>
      <c r="AD1098" s="757"/>
      <c r="AE1098" s="757"/>
      <c r="AF1098" s="757"/>
      <c r="AG1098" s="757"/>
      <c r="AH1098" s="757"/>
      <c r="AI1098" s="757"/>
      <c r="AJ1098" s="757"/>
      <c r="AK1098" s="757"/>
      <c r="AL1098" s="757"/>
      <c r="AM1098" s="757"/>
      <c r="AN1098" s="757"/>
      <c r="AO1098" s="757"/>
      <c r="AP1098" s="757"/>
      <c r="AQ1098" s="757"/>
      <c r="AR1098" s="757"/>
      <c r="AS1098" s="757"/>
      <c r="AT1098" s="757"/>
      <c r="AU1098" s="757"/>
      <c r="AV1098" s="757"/>
      <c r="AW1098" s="757"/>
      <c r="AX1098" s="757"/>
      <c r="AY1098" s="757"/>
      <c r="AZ1098" s="75"/>
      <c r="BA1098" s="2"/>
      <c r="BB1098" s="2"/>
      <c r="BC1098" s="2"/>
      <c r="BD1098" s="2"/>
    </row>
    <row r="1099" spans="1:56">
      <c r="A1099" s="781">
        <v>2</v>
      </c>
      <c r="B1099" s="782">
        <v>262</v>
      </c>
      <c r="C1099" s="783">
        <v>45509</v>
      </c>
      <c r="D1099" s="785" t="s">
        <v>167</v>
      </c>
      <c r="E1099" s="808">
        <v>525.82000000000005</v>
      </c>
      <c r="F1099" s="799"/>
      <c r="G1099" s="799"/>
      <c r="H1099" s="1592">
        <f t="shared" ref="H1099:H1162" si="51">F1099+G1099</f>
        <v>0</v>
      </c>
      <c r="I1099" s="754" t="str">
        <f>IFERROR(VLOOKUP(B1099,Mychart!$A$125:$B$911,2,FALSE),"-")</f>
        <v>Amna Ahmed</v>
      </c>
      <c r="J1099" s="753">
        <f t="shared" ref="J1099:J1162" si="52">IF(C1099&lt;&gt;"", MONTH(C1099),"-")</f>
        <v>8</v>
      </c>
      <c r="K1099" s="1540">
        <f t="shared" ref="K1099:K1162" si="53">YEAR(C1099)</f>
        <v>2024</v>
      </c>
      <c r="L1099" s="757"/>
      <c r="M1099" s="757"/>
      <c r="N1099" s="757"/>
      <c r="O1099" s="757"/>
      <c r="P1099" s="757"/>
      <c r="Q1099" s="757"/>
      <c r="R1099" s="757"/>
      <c r="S1099" s="757"/>
      <c r="T1099" s="757"/>
      <c r="U1099" s="757"/>
      <c r="V1099" s="757"/>
      <c r="W1099" s="757"/>
      <c r="X1099" s="757"/>
      <c r="Y1099" s="757"/>
      <c r="Z1099" s="757"/>
      <c r="AA1099" s="757"/>
      <c r="AB1099" s="757"/>
      <c r="AC1099" s="757"/>
      <c r="AD1099" s="757"/>
      <c r="AE1099" s="757"/>
      <c r="AF1099" s="757"/>
      <c r="AG1099" s="757"/>
      <c r="AH1099" s="757"/>
      <c r="AI1099" s="757"/>
      <c r="AJ1099" s="757"/>
      <c r="AK1099" s="757"/>
      <c r="AL1099" s="757"/>
      <c r="AM1099" s="757"/>
      <c r="AN1099" s="757"/>
      <c r="AO1099" s="757"/>
      <c r="AP1099" s="757"/>
      <c r="AQ1099" s="757"/>
      <c r="AR1099" s="757"/>
      <c r="AS1099" s="757"/>
      <c r="AT1099" s="757"/>
      <c r="AU1099" s="757"/>
      <c r="AV1099" s="757"/>
      <c r="AW1099" s="757"/>
      <c r="AX1099" s="757"/>
      <c r="AY1099" s="757"/>
      <c r="AZ1099" s="75"/>
      <c r="BA1099" s="2"/>
      <c r="BB1099" s="2"/>
      <c r="BC1099" s="2"/>
      <c r="BD1099" s="2"/>
    </row>
    <row r="1100" spans="1:56">
      <c r="A1100" s="781">
        <v>2</v>
      </c>
      <c r="B1100" s="782">
        <v>233</v>
      </c>
      <c r="C1100" s="783">
        <v>45510</v>
      </c>
      <c r="D1100" s="785" t="s">
        <v>167</v>
      </c>
      <c r="E1100" s="808">
        <v>54.6</v>
      </c>
      <c r="F1100" s="799"/>
      <c r="G1100" s="799"/>
      <c r="H1100" s="1592">
        <f t="shared" si="51"/>
        <v>0</v>
      </c>
      <c r="I1100" s="754" t="str">
        <f>IFERROR(VLOOKUP(B1100,Mychart!$A$125:$B$911,2,FALSE),"-")</f>
        <v>MUBARAK . ARCHPIX</v>
      </c>
      <c r="J1100" s="753">
        <f t="shared" si="52"/>
        <v>8</v>
      </c>
      <c r="K1100" s="1540">
        <f t="shared" si="53"/>
        <v>2024</v>
      </c>
      <c r="L1100" s="757"/>
      <c r="M1100" s="757"/>
      <c r="N1100" s="757"/>
      <c r="O1100" s="757"/>
      <c r="P1100" s="757"/>
      <c r="Q1100" s="757"/>
      <c r="R1100" s="757"/>
      <c r="S1100" s="757"/>
      <c r="T1100" s="757"/>
      <c r="U1100" s="757"/>
      <c r="V1100" s="757"/>
      <c r="W1100" s="757"/>
      <c r="X1100" s="757"/>
      <c r="Y1100" s="757"/>
      <c r="Z1100" s="757"/>
      <c r="AA1100" s="757"/>
      <c r="AB1100" s="757"/>
      <c r="AC1100" s="757"/>
      <c r="AD1100" s="757"/>
      <c r="AE1100" s="757"/>
      <c r="AF1100" s="757"/>
      <c r="AG1100" s="757"/>
      <c r="AH1100" s="757"/>
      <c r="AI1100" s="757"/>
      <c r="AJ1100" s="757"/>
      <c r="AK1100" s="757"/>
      <c r="AL1100" s="757"/>
      <c r="AM1100" s="757"/>
      <c r="AN1100" s="757"/>
      <c r="AO1100" s="757"/>
      <c r="AP1100" s="757"/>
      <c r="AQ1100" s="757"/>
      <c r="AR1100" s="757"/>
      <c r="AS1100" s="757"/>
      <c r="AT1100" s="757"/>
      <c r="AU1100" s="757"/>
      <c r="AV1100" s="757"/>
      <c r="AW1100" s="757"/>
      <c r="AX1100" s="757"/>
      <c r="AY1100" s="757"/>
      <c r="AZ1100" s="75"/>
      <c r="BA1100" s="2"/>
      <c r="BB1100" s="2"/>
      <c r="BC1100" s="2"/>
      <c r="BD1100" s="2"/>
    </row>
    <row r="1101" spans="1:56">
      <c r="A1101" s="781">
        <v>2</v>
      </c>
      <c r="B1101" s="782">
        <v>279</v>
      </c>
      <c r="C1101" s="783">
        <v>45511</v>
      </c>
      <c r="D1101" s="785" t="s">
        <v>167</v>
      </c>
      <c r="E1101" s="808">
        <v>1337.3</v>
      </c>
      <c r="F1101" s="799"/>
      <c r="G1101" s="799"/>
      <c r="H1101" s="1592">
        <f t="shared" si="51"/>
        <v>0</v>
      </c>
      <c r="I1101" s="754" t="str">
        <f>IFERROR(VLOOKUP(B1101,Mychart!$A$125:$B$911,2,FALSE),"-")</f>
        <v>Shams Saeed Sultan AL Kitbee</v>
      </c>
      <c r="J1101" s="753">
        <f t="shared" si="52"/>
        <v>8</v>
      </c>
      <c r="K1101" s="1540">
        <f t="shared" si="53"/>
        <v>2024</v>
      </c>
      <c r="L1101" s="757"/>
      <c r="M1101" s="757"/>
      <c r="N1101" s="757"/>
      <c r="O1101" s="757"/>
      <c r="P1101" s="757"/>
      <c r="Q1101" s="757"/>
      <c r="R1101" s="757"/>
      <c r="S1101" s="757"/>
      <c r="T1101" s="757"/>
      <c r="U1101" s="757"/>
      <c r="V1101" s="757"/>
      <c r="W1101" s="757"/>
      <c r="X1101" s="757"/>
      <c r="Y1101" s="757"/>
      <c r="Z1101" s="757"/>
      <c r="AA1101" s="757"/>
      <c r="AB1101" s="757"/>
      <c r="AC1101" s="757"/>
      <c r="AD1101" s="757"/>
      <c r="AE1101" s="757"/>
      <c r="AF1101" s="757"/>
      <c r="AG1101" s="757"/>
      <c r="AH1101" s="757"/>
      <c r="AI1101" s="757"/>
      <c r="AJ1101" s="757"/>
      <c r="AK1101" s="757"/>
      <c r="AL1101" s="757"/>
      <c r="AM1101" s="757"/>
      <c r="AN1101" s="757"/>
      <c r="AO1101" s="757"/>
      <c r="AP1101" s="757"/>
      <c r="AQ1101" s="757"/>
      <c r="AR1101" s="757"/>
      <c r="AS1101" s="757"/>
      <c r="AT1101" s="757"/>
      <c r="AU1101" s="757"/>
      <c r="AV1101" s="757"/>
      <c r="AW1101" s="757"/>
      <c r="AX1101" s="757"/>
      <c r="AY1101" s="757"/>
      <c r="AZ1101" s="75"/>
      <c r="BA1101" s="2"/>
      <c r="BB1101" s="2"/>
      <c r="BC1101" s="2"/>
      <c r="BD1101" s="2"/>
    </row>
    <row r="1102" spans="1:56">
      <c r="A1102" s="781">
        <v>2</v>
      </c>
      <c r="B1102" s="782">
        <v>246</v>
      </c>
      <c r="C1102" s="783">
        <v>45517</v>
      </c>
      <c r="D1102" s="785" t="s">
        <v>167</v>
      </c>
      <c r="E1102" s="808">
        <v>2307.5</v>
      </c>
      <c r="F1102" s="799"/>
      <c r="G1102" s="799"/>
      <c r="H1102" s="1592">
        <f t="shared" si="51"/>
        <v>0</v>
      </c>
      <c r="I1102" s="754" t="str">
        <f>IFERROR(VLOOKUP(B1102,Mychart!$A$125:$B$911,2,FALSE),"-")</f>
        <v>Marzok Almatroshi - Archpix</v>
      </c>
      <c r="J1102" s="753">
        <f t="shared" si="52"/>
        <v>8</v>
      </c>
      <c r="K1102" s="1540">
        <f t="shared" si="53"/>
        <v>2024</v>
      </c>
      <c r="L1102" s="757"/>
      <c r="M1102" s="757"/>
      <c r="N1102" s="757"/>
      <c r="O1102" s="757"/>
      <c r="P1102" s="757"/>
      <c r="Q1102" s="757"/>
      <c r="R1102" s="757"/>
      <c r="S1102" s="757"/>
      <c r="T1102" s="757"/>
      <c r="U1102" s="757"/>
      <c r="V1102" s="757"/>
      <c r="W1102" s="757"/>
      <c r="X1102" s="757"/>
      <c r="Y1102" s="757"/>
      <c r="Z1102" s="757"/>
      <c r="AA1102" s="757"/>
      <c r="AB1102" s="757"/>
      <c r="AC1102" s="757"/>
      <c r="AD1102" s="757"/>
      <c r="AE1102" s="757"/>
      <c r="AF1102" s="757"/>
      <c r="AG1102" s="757"/>
      <c r="AH1102" s="757"/>
      <c r="AI1102" s="757"/>
      <c r="AJ1102" s="757"/>
      <c r="AK1102" s="757"/>
      <c r="AL1102" s="757"/>
      <c r="AM1102" s="757"/>
      <c r="AN1102" s="757"/>
      <c r="AO1102" s="757"/>
      <c r="AP1102" s="757"/>
      <c r="AQ1102" s="757"/>
      <c r="AR1102" s="757"/>
      <c r="AS1102" s="757"/>
      <c r="AT1102" s="757"/>
      <c r="AU1102" s="757"/>
      <c r="AV1102" s="757"/>
      <c r="AW1102" s="757"/>
      <c r="AX1102" s="757"/>
      <c r="AY1102" s="757"/>
      <c r="AZ1102" s="75"/>
      <c r="BA1102" s="2"/>
      <c r="BB1102" s="2"/>
      <c r="BC1102" s="2"/>
      <c r="BD1102" s="2"/>
    </row>
    <row r="1103" spans="1:56">
      <c r="A1103" s="781">
        <v>2</v>
      </c>
      <c r="B1103" s="782">
        <v>216</v>
      </c>
      <c r="C1103" s="783">
        <v>45528</v>
      </c>
      <c r="D1103" s="785" t="s">
        <v>167</v>
      </c>
      <c r="E1103" s="808">
        <v>2081.1999999999998</v>
      </c>
      <c r="F1103" s="799"/>
      <c r="G1103" s="799"/>
      <c r="H1103" s="1592">
        <f t="shared" si="51"/>
        <v>0</v>
      </c>
      <c r="I1103" s="754" t="str">
        <f>IFERROR(VLOOKUP(B1103,Mychart!$A$125:$B$911,2,FALSE),"-")</f>
        <v>MUHAIR . AREEJ ( 165000 )</v>
      </c>
      <c r="J1103" s="753">
        <f t="shared" si="52"/>
        <v>8</v>
      </c>
      <c r="K1103" s="1540">
        <f t="shared" si="53"/>
        <v>2024</v>
      </c>
      <c r="L1103" s="757"/>
      <c r="M1103" s="757"/>
      <c r="N1103" s="757"/>
      <c r="O1103" s="757"/>
      <c r="P1103" s="757"/>
      <c r="Q1103" s="757"/>
      <c r="R1103" s="757"/>
      <c r="S1103" s="757"/>
      <c r="T1103" s="757"/>
      <c r="U1103" s="757"/>
      <c r="V1103" s="757"/>
      <c r="W1103" s="757"/>
      <c r="X1103" s="757"/>
      <c r="Y1103" s="757"/>
      <c r="Z1103" s="757"/>
      <c r="AA1103" s="757"/>
      <c r="AB1103" s="757"/>
      <c r="AC1103" s="757"/>
      <c r="AD1103" s="757"/>
      <c r="AE1103" s="757"/>
      <c r="AF1103" s="757"/>
      <c r="AG1103" s="757"/>
      <c r="AH1103" s="757"/>
      <c r="AI1103" s="757"/>
      <c r="AJ1103" s="757"/>
      <c r="AK1103" s="757"/>
      <c r="AL1103" s="757"/>
      <c r="AM1103" s="757"/>
      <c r="AN1103" s="757"/>
      <c r="AO1103" s="757"/>
      <c r="AP1103" s="757"/>
      <c r="AQ1103" s="757"/>
      <c r="AR1103" s="757"/>
      <c r="AS1103" s="757"/>
      <c r="AT1103" s="757"/>
      <c r="AU1103" s="757"/>
      <c r="AV1103" s="757"/>
      <c r="AW1103" s="757"/>
      <c r="AX1103" s="757"/>
      <c r="AY1103" s="757"/>
      <c r="AZ1103" s="75"/>
      <c r="BA1103" s="2"/>
      <c r="BB1103" s="2"/>
      <c r="BC1103" s="2"/>
      <c r="BD1103" s="2"/>
    </row>
    <row r="1104" spans="1:56">
      <c r="A1104" s="781">
        <v>2</v>
      </c>
      <c r="B1104" s="782">
        <v>275</v>
      </c>
      <c r="C1104" s="783">
        <v>45530</v>
      </c>
      <c r="D1104" s="785" t="s">
        <v>167</v>
      </c>
      <c r="E1104" s="808">
        <v>219.03</v>
      </c>
      <c r="F1104" s="799"/>
      <c r="G1104" s="799"/>
      <c r="H1104" s="1592">
        <f t="shared" si="51"/>
        <v>0</v>
      </c>
      <c r="I1104" s="754" t="str">
        <f>IFERROR(VLOOKUP(B1104,Mychart!$A$125:$B$911,2,FALSE),"-")</f>
        <v>meshaal saqar - irtekaz</v>
      </c>
      <c r="J1104" s="753">
        <f t="shared" si="52"/>
        <v>8</v>
      </c>
      <c r="K1104" s="1540">
        <f t="shared" si="53"/>
        <v>2024</v>
      </c>
      <c r="L1104" s="757"/>
      <c r="M1104" s="757"/>
      <c r="N1104" s="757"/>
      <c r="O1104" s="757"/>
      <c r="P1104" s="757"/>
      <c r="Q1104" s="757"/>
      <c r="R1104" s="757"/>
      <c r="S1104" s="757"/>
      <c r="T1104" s="757"/>
      <c r="U1104" s="757"/>
      <c r="V1104" s="757"/>
      <c r="W1104" s="757"/>
      <c r="X1104" s="757"/>
      <c r="Y1104" s="757"/>
      <c r="Z1104" s="757"/>
      <c r="AA1104" s="757"/>
      <c r="AB1104" s="757"/>
      <c r="AC1104" s="757"/>
      <c r="AD1104" s="757"/>
      <c r="AE1104" s="757"/>
      <c r="AF1104" s="757"/>
      <c r="AG1104" s="757"/>
      <c r="AH1104" s="757"/>
      <c r="AI1104" s="757"/>
      <c r="AJ1104" s="757"/>
      <c r="AK1104" s="757"/>
      <c r="AL1104" s="757"/>
      <c r="AM1104" s="757"/>
      <c r="AN1104" s="757"/>
      <c r="AO1104" s="757"/>
      <c r="AP1104" s="757"/>
      <c r="AQ1104" s="757"/>
      <c r="AR1104" s="757"/>
      <c r="AS1104" s="757"/>
      <c r="AT1104" s="757"/>
      <c r="AU1104" s="757"/>
      <c r="AV1104" s="757"/>
      <c r="AW1104" s="757"/>
      <c r="AX1104" s="757"/>
      <c r="AY1104" s="757"/>
      <c r="AZ1104" s="75"/>
      <c r="BA1104" s="2"/>
      <c r="BB1104" s="2"/>
      <c r="BC1104" s="2"/>
      <c r="BD1104" s="2"/>
    </row>
    <row r="1105" spans="1:56">
      <c r="A1105" s="781">
        <v>2</v>
      </c>
      <c r="B1105" s="782">
        <v>246</v>
      </c>
      <c r="C1105" s="783">
        <v>45533</v>
      </c>
      <c r="D1105" s="785" t="s">
        <v>167</v>
      </c>
      <c r="E1105" s="808">
        <v>181.63</v>
      </c>
      <c r="F1105" s="799"/>
      <c r="G1105" s="799"/>
      <c r="H1105" s="1592">
        <f t="shared" si="51"/>
        <v>0</v>
      </c>
      <c r="I1105" s="754" t="str">
        <f>IFERROR(VLOOKUP(B1105,Mychart!$A$125:$B$911,2,FALSE),"-")</f>
        <v>Marzok Almatroshi - Archpix</v>
      </c>
      <c r="J1105" s="753">
        <f t="shared" si="52"/>
        <v>8</v>
      </c>
      <c r="K1105" s="1540">
        <f t="shared" si="53"/>
        <v>2024</v>
      </c>
      <c r="L1105" s="757"/>
      <c r="M1105" s="757"/>
      <c r="N1105" s="757"/>
      <c r="O1105" s="757"/>
      <c r="P1105" s="757"/>
      <c r="Q1105" s="757"/>
      <c r="R1105" s="757"/>
      <c r="S1105" s="757"/>
      <c r="T1105" s="757"/>
      <c r="U1105" s="757"/>
      <c r="V1105" s="757"/>
      <c r="W1105" s="757"/>
      <c r="X1105" s="757"/>
      <c r="Y1105" s="757"/>
      <c r="Z1105" s="757"/>
      <c r="AA1105" s="757"/>
      <c r="AB1105" s="757"/>
      <c r="AC1105" s="757"/>
      <c r="AD1105" s="757"/>
      <c r="AE1105" s="757"/>
      <c r="AF1105" s="757"/>
      <c r="AG1105" s="757"/>
      <c r="AH1105" s="757"/>
      <c r="AI1105" s="757"/>
      <c r="AJ1105" s="757"/>
      <c r="AK1105" s="757"/>
      <c r="AL1105" s="757"/>
      <c r="AM1105" s="757"/>
      <c r="AN1105" s="757"/>
      <c r="AO1105" s="757"/>
      <c r="AP1105" s="757"/>
      <c r="AQ1105" s="757"/>
      <c r="AR1105" s="757"/>
      <c r="AS1105" s="757"/>
      <c r="AT1105" s="757"/>
      <c r="AU1105" s="757"/>
      <c r="AV1105" s="757"/>
      <c r="AW1105" s="757"/>
      <c r="AX1105" s="757"/>
      <c r="AY1105" s="757"/>
      <c r="AZ1105" s="75"/>
      <c r="BA1105" s="2"/>
      <c r="BB1105" s="2"/>
      <c r="BC1105" s="2"/>
      <c r="BD1105" s="2"/>
    </row>
    <row r="1106" spans="1:56">
      <c r="A1106" s="781">
        <v>2</v>
      </c>
      <c r="B1106" s="782">
        <v>249</v>
      </c>
      <c r="C1106" s="783">
        <v>45535</v>
      </c>
      <c r="D1106" s="785" t="s">
        <v>167</v>
      </c>
      <c r="E1106" s="808">
        <v>166.8</v>
      </c>
      <c r="F1106" s="799"/>
      <c r="G1106" s="799"/>
      <c r="H1106" s="1592">
        <f t="shared" si="51"/>
        <v>0</v>
      </c>
      <c r="I1106" s="754" t="str">
        <f>IFERROR(VLOOKUP(B1106,Mychart!$A$125:$B$911,2,FALSE),"-")</f>
        <v>farouq marzoki</v>
      </c>
      <c r="J1106" s="753">
        <f t="shared" si="52"/>
        <v>8</v>
      </c>
      <c r="K1106" s="1540">
        <f t="shared" si="53"/>
        <v>2024</v>
      </c>
      <c r="L1106" s="757"/>
      <c r="M1106" s="757"/>
      <c r="N1106" s="757"/>
      <c r="O1106" s="757"/>
      <c r="P1106" s="757"/>
      <c r="Q1106" s="757"/>
      <c r="R1106" s="757"/>
      <c r="S1106" s="757"/>
      <c r="T1106" s="757"/>
      <c r="U1106" s="757"/>
      <c r="V1106" s="757"/>
      <c r="W1106" s="757"/>
      <c r="X1106" s="757"/>
      <c r="Y1106" s="757"/>
      <c r="Z1106" s="757"/>
      <c r="AA1106" s="757"/>
      <c r="AB1106" s="757"/>
      <c r="AC1106" s="757"/>
      <c r="AD1106" s="757"/>
      <c r="AE1106" s="757"/>
      <c r="AF1106" s="757"/>
      <c r="AG1106" s="757"/>
      <c r="AH1106" s="757"/>
      <c r="AI1106" s="757"/>
      <c r="AJ1106" s="757"/>
      <c r="AK1106" s="757"/>
      <c r="AL1106" s="757"/>
      <c r="AM1106" s="757"/>
      <c r="AN1106" s="757"/>
      <c r="AO1106" s="757"/>
      <c r="AP1106" s="757"/>
      <c r="AQ1106" s="757"/>
      <c r="AR1106" s="757"/>
      <c r="AS1106" s="757"/>
      <c r="AT1106" s="757"/>
      <c r="AU1106" s="757"/>
      <c r="AV1106" s="757"/>
      <c r="AW1106" s="757"/>
      <c r="AX1106" s="757"/>
      <c r="AY1106" s="757"/>
      <c r="AZ1106" s="75"/>
      <c r="BA1106" s="2"/>
      <c r="BB1106" s="2"/>
      <c r="BC1106" s="2"/>
      <c r="BD1106" s="2"/>
    </row>
    <row r="1107" spans="1:56">
      <c r="A1107" s="781">
        <v>2</v>
      </c>
      <c r="B1107" s="782">
        <v>262</v>
      </c>
      <c r="C1107" s="783">
        <v>45536</v>
      </c>
      <c r="D1107" s="785" t="s">
        <v>167</v>
      </c>
      <c r="E1107" s="808">
        <v>311.44</v>
      </c>
      <c r="F1107" s="799"/>
      <c r="G1107" s="799"/>
      <c r="H1107" s="1592">
        <f t="shared" si="51"/>
        <v>0</v>
      </c>
      <c r="I1107" s="754" t="str">
        <f>IFERROR(VLOOKUP(B1107,Mychart!$A$125:$B$911,2,FALSE),"-")</f>
        <v>Amna Ahmed</v>
      </c>
      <c r="J1107" s="753">
        <f t="shared" si="52"/>
        <v>9</v>
      </c>
      <c r="K1107" s="1540">
        <f t="shared" si="53"/>
        <v>2024</v>
      </c>
      <c r="L1107" s="757"/>
      <c r="M1107" s="757"/>
      <c r="N1107" s="757"/>
      <c r="O1107" s="757"/>
      <c r="P1107" s="757"/>
      <c r="Q1107" s="757"/>
      <c r="R1107" s="757"/>
      <c r="S1107" s="757"/>
      <c r="T1107" s="757"/>
      <c r="U1107" s="757"/>
      <c r="V1107" s="757"/>
      <c r="W1107" s="757"/>
      <c r="X1107" s="757"/>
      <c r="Y1107" s="757"/>
      <c r="Z1107" s="757"/>
      <c r="AA1107" s="757"/>
      <c r="AB1107" s="757"/>
      <c r="AC1107" s="757"/>
      <c r="AD1107" s="757"/>
      <c r="AE1107" s="757"/>
      <c r="AF1107" s="757"/>
      <c r="AG1107" s="757"/>
      <c r="AH1107" s="757"/>
      <c r="AI1107" s="757"/>
      <c r="AJ1107" s="757"/>
      <c r="AK1107" s="757"/>
      <c r="AL1107" s="757"/>
      <c r="AM1107" s="757"/>
      <c r="AN1107" s="757"/>
      <c r="AO1107" s="757"/>
      <c r="AP1107" s="757"/>
      <c r="AQ1107" s="757"/>
      <c r="AR1107" s="757"/>
      <c r="AS1107" s="757"/>
      <c r="AT1107" s="757"/>
      <c r="AU1107" s="757"/>
      <c r="AV1107" s="757"/>
      <c r="AW1107" s="757"/>
      <c r="AX1107" s="757"/>
      <c r="AY1107" s="757"/>
      <c r="AZ1107" s="75"/>
      <c r="BA1107" s="2"/>
      <c r="BB1107" s="2"/>
      <c r="BC1107" s="2"/>
      <c r="BD1107" s="2"/>
    </row>
    <row r="1108" spans="1:56">
      <c r="A1108" s="781">
        <v>2</v>
      </c>
      <c r="B1108" s="782">
        <v>255</v>
      </c>
      <c r="C1108" s="783">
        <v>45536</v>
      </c>
      <c r="D1108" s="785" t="s">
        <v>167</v>
      </c>
      <c r="E1108" s="808">
        <v>1293.1099999999999</v>
      </c>
      <c r="F1108" s="799"/>
      <c r="G1108" s="799"/>
      <c r="H1108" s="1592">
        <f t="shared" si="51"/>
        <v>0</v>
      </c>
      <c r="I1108" s="754" t="str">
        <f>IFERROR(VLOOKUP(B1108,Mychart!$A$125:$B$911,2,FALSE),"-")</f>
        <v>ESSA KHALIFA</v>
      </c>
      <c r="J1108" s="753">
        <f t="shared" si="52"/>
        <v>9</v>
      </c>
      <c r="K1108" s="1540">
        <f t="shared" si="53"/>
        <v>2024</v>
      </c>
      <c r="L1108" s="757"/>
      <c r="M1108" s="757"/>
      <c r="N1108" s="757"/>
      <c r="O1108" s="757"/>
      <c r="P1108" s="757"/>
      <c r="Q1108" s="757"/>
      <c r="R1108" s="757"/>
      <c r="S1108" s="757"/>
      <c r="T1108" s="757"/>
      <c r="U1108" s="757"/>
      <c r="V1108" s="757"/>
      <c r="W1108" s="757"/>
      <c r="X1108" s="757"/>
      <c r="Y1108" s="757"/>
      <c r="Z1108" s="757"/>
      <c r="AA1108" s="757"/>
      <c r="AB1108" s="757"/>
      <c r="AC1108" s="757"/>
      <c r="AD1108" s="757"/>
      <c r="AE1108" s="757"/>
      <c r="AF1108" s="757"/>
      <c r="AG1108" s="757"/>
      <c r="AH1108" s="757"/>
      <c r="AI1108" s="757"/>
      <c r="AJ1108" s="757"/>
      <c r="AK1108" s="757"/>
      <c r="AL1108" s="757"/>
      <c r="AM1108" s="757"/>
      <c r="AN1108" s="757"/>
      <c r="AO1108" s="757"/>
      <c r="AP1108" s="757"/>
      <c r="AQ1108" s="757"/>
      <c r="AR1108" s="757"/>
      <c r="AS1108" s="757"/>
      <c r="AT1108" s="757"/>
      <c r="AU1108" s="757"/>
      <c r="AV1108" s="757"/>
      <c r="AW1108" s="757"/>
      <c r="AX1108" s="757"/>
      <c r="AY1108" s="757"/>
      <c r="AZ1108" s="75"/>
      <c r="BA1108" s="2"/>
      <c r="BB1108" s="2"/>
      <c r="BC1108" s="2"/>
      <c r="BD1108" s="2"/>
    </row>
    <row r="1109" spans="1:56">
      <c r="A1109" s="781">
        <v>2</v>
      </c>
      <c r="B1109" s="782">
        <v>256</v>
      </c>
      <c r="C1109" s="783">
        <v>45539</v>
      </c>
      <c r="D1109" s="785" t="s">
        <v>167</v>
      </c>
      <c r="E1109" s="808">
        <v>154</v>
      </c>
      <c r="F1109" s="799"/>
      <c r="G1109" s="799"/>
      <c r="H1109" s="1592">
        <f t="shared" si="51"/>
        <v>0</v>
      </c>
      <c r="I1109" s="754" t="str">
        <f>IFERROR(VLOOKUP(B1109,Mychart!$A$125:$B$911,2,FALSE),"-")</f>
        <v>ADNAN DUBAI SKY</v>
      </c>
      <c r="J1109" s="753">
        <f t="shared" si="52"/>
        <v>9</v>
      </c>
      <c r="K1109" s="1540">
        <f t="shared" si="53"/>
        <v>2024</v>
      </c>
      <c r="L1109" s="757"/>
      <c r="M1109" s="757"/>
      <c r="N1109" s="757"/>
      <c r="O1109" s="757"/>
      <c r="P1109" s="757"/>
      <c r="Q1109" s="757"/>
      <c r="R1109" s="757"/>
      <c r="S1109" s="757"/>
      <c r="T1109" s="757"/>
      <c r="U1109" s="757"/>
      <c r="V1109" s="757"/>
      <c r="W1109" s="757"/>
      <c r="X1109" s="757"/>
      <c r="Y1109" s="757"/>
      <c r="Z1109" s="757"/>
      <c r="AA1109" s="757"/>
      <c r="AB1109" s="757"/>
      <c r="AC1109" s="757"/>
      <c r="AD1109" s="757"/>
      <c r="AE1109" s="757"/>
      <c r="AF1109" s="757"/>
      <c r="AG1109" s="757"/>
      <c r="AH1109" s="757"/>
      <c r="AI1109" s="757"/>
      <c r="AJ1109" s="757"/>
      <c r="AK1109" s="757"/>
      <c r="AL1109" s="757"/>
      <c r="AM1109" s="757"/>
      <c r="AN1109" s="757"/>
      <c r="AO1109" s="757"/>
      <c r="AP1109" s="757"/>
      <c r="AQ1109" s="757"/>
      <c r="AR1109" s="757"/>
      <c r="AS1109" s="757"/>
      <c r="AT1109" s="757"/>
      <c r="AU1109" s="757"/>
      <c r="AV1109" s="757"/>
      <c r="AW1109" s="757"/>
      <c r="AX1109" s="757"/>
      <c r="AY1109" s="757"/>
      <c r="AZ1109" s="75"/>
      <c r="BA1109" s="2"/>
      <c r="BB1109" s="2"/>
      <c r="BC1109" s="2"/>
      <c r="BD1109" s="2"/>
    </row>
    <row r="1110" spans="1:56">
      <c r="A1110" s="781">
        <v>2</v>
      </c>
      <c r="B1110" s="782">
        <v>275</v>
      </c>
      <c r="C1110" s="783">
        <v>45514</v>
      </c>
      <c r="D1110" s="785" t="s">
        <v>1379</v>
      </c>
      <c r="E1110" s="808">
        <v>4683.8</v>
      </c>
      <c r="F1110" s="799"/>
      <c r="G1110" s="799"/>
      <c r="H1110" s="1592">
        <f t="shared" si="51"/>
        <v>0</v>
      </c>
      <c r="I1110" s="754" t="str">
        <f>IFERROR(VLOOKUP(B1110,Mychart!$A$125:$B$911,2,FALSE),"-")</f>
        <v>meshaal saqar - irtekaz</v>
      </c>
      <c r="J1110" s="753">
        <f t="shared" si="52"/>
        <v>8</v>
      </c>
      <c r="K1110" s="1540">
        <f t="shared" si="53"/>
        <v>2024</v>
      </c>
      <c r="L1110" s="757"/>
      <c r="M1110" s="757"/>
      <c r="N1110" s="757"/>
      <c r="O1110" s="757"/>
      <c r="P1110" s="757"/>
      <c r="Q1110" s="757"/>
      <c r="R1110" s="757"/>
      <c r="S1110" s="757"/>
      <c r="T1110" s="757"/>
      <c r="U1110" s="757"/>
      <c r="V1110" s="757"/>
      <c r="W1110" s="757"/>
      <c r="X1110" s="757"/>
      <c r="Y1110" s="757"/>
      <c r="Z1110" s="757"/>
      <c r="AA1110" s="757"/>
      <c r="AB1110" s="757"/>
      <c r="AC1110" s="757"/>
      <c r="AD1110" s="757"/>
      <c r="AE1110" s="757"/>
      <c r="AF1110" s="757"/>
      <c r="AG1110" s="757"/>
      <c r="AH1110" s="757"/>
      <c r="AI1110" s="757"/>
      <c r="AJ1110" s="757"/>
      <c r="AK1110" s="757"/>
      <c r="AL1110" s="757"/>
      <c r="AM1110" s="757"/>
      <c r="AN1110" s="757"/>
      <c r="AO1110" s="757"/>
      <c r="AP1110" s="757"/>
      <c r="AQ1110" s="757"/>
      <c r="AR1110" s="757"/>
      <c r="AS1110" s="757"/>
      <c r="AT1110" s="757"/>
      <c r="AU1110" s="757"/>
      <c r="AV1110" s="757"/>
      <c r="AW1110" s="757"/>
      <c r="AX1110" s="757"/>
      <c r="AY1110" s="757"/>
      <c r="AZ1110" s="75"/>
      <c r="BA1110" s="2"/>
      <c r="BB1110" s="2"/>
      <c r="BC1110" s="2"/>
      <c r="BD1110" s="2"/>
    </row>
    <row r="1111" spans="1:56">
      <c r="A1111" s="781">
        <v>2</v>
      </c>
      <c r="B1111" s="782">
        <v>252</v>
      </c>
      <c r="C1111" s="783">
        <v>45518</v>
      </c>
      <c r="D1111" s="785" t="s">
        <v>162</v>
      </c>
      <c r="E1111" s="808">
        <v>26964</v>
      </c>
      <c r="F1111" s="799"/>
      <c r="G1111" s="799"/>
      <c r="H1111" s="1592">
        <f t="shared" si="51"/>
        <v>0</v>
      </c>
      <c r="I1111" s="754" t="str">
        <f>IFERROR(VLOOKUP(B1111,Mychart!$A$125:$B$911,2,FALSE),"-")</f>
        <v>Mohamed Saif - HBC</v>
      </c>
      <c r="J1111" s="753">
        <f t="shared" si="52"/>
        <v>8</v>
      </c>
      <c r="K1111" s="1540">
        <f t="shared" si="53"/>
        <v>2024</v>
      </c>
      <c r="L1111" s="757"/>
      <c r="M1111" s="757"/>
      <c r="N1111" s="757"/>
      <c r="O1111" s="757"/>
      <c r="P1111" s="757"/>
      <c r="Q1111" s="757"/>
      <c r="R1111" s="757"/>
      <c r="S1111" s="757"/>
      <c r="T1111" s="757"/>
      <c r="U1111" s="757"/>
      <c r="V1111" s="757"/>
      <c r="W1111" s="757"/>
      <c r="X1111" s="757"/>
      <c r="Y1111" s="757"/>
      <c r="Z1111" s="757"/>
      <c r="AA1111" s="757"/>
      <c r="AB1111" s="757"/>
      <c r="AC1111" s="757"/>
      <c r="AD1111" s="757"/>
      <c r="AE1111" s="757"/>
      <c r="AF1111" s="757"/>
      <c r="AG1111" s="757"/>
      <c r="AH1111" s="757"/>
      <c r="AI1111" s="757"/>
      <c r="AJ1111" s="757"/>
      <c r="AK1111" s="757"/>
      <c r="AL1111" s="757"/>
      <c r="AM1111" s="757"/>
      <c r="AN1111" s="757"/>
      <c r="AO1111" s="757"/>
      <c r="AP1111" s="757"/>
      <c r="AQ1111" s="757"/>
      <c r="AR1111" s="757"/>
      <c r="AS1111" s="757"/>
      <c r="AT1111" s="757"/>
      <c r="AU1111" s="757"/>
      <c r="AV1111" s="757"/>
      <c r="AW1111" s="757"/>
      <c r="AX1111" s="757"/>
      <c r="AY1111" s="757"/>
      <c r="AZ1111" s="75"/>
      <c r="BA1111" s="2"/>
      <c r="BB1111" s="2"/>
      <c r="BC1111" s="2"/>
      <c r="BD1111" s="2"/>
    </row>
    <row r="1112" spans="1:56">
      <c r="A1112" s="781">
        <v>2</v>
      </c>
      <c r="B1112" s="782">
        <v>212</v>
      </c>
      <c r="C1112" s="783">
        <v>45534</v>
      </c>
      <c r="D1112" s="785" t="s">
        <v>1735</v>
      </c>
      <c r="E1112" s="808">
        <v>1276.25</v>
      </c>
      <c r="F1112" s="799"/>
      <c r="G1112" s="799"/>
      <c r="H1112" s="1592">
        <f t="shared" si="51"/>
        <v>0</v>
      </c>
      <c r="I1112" s="754" t="str">
        <f>IFERROR(VLOOKUP(B1112,Mychart!$A$125:$B$911,2,FALSE),"-")</f>
        <v>SULTAN JUMA - DYNAMIC</v>
      </c>
      <c r="J1112" s="753">
        <f t="shared" si="52"/>
        <v>8</v>
      </c>
      <c r="K1112" s="1540">
        <f t="shared" si="53"/>
        <v>2024</v>
      </c>
      <c r="L1112" s="757"/>
      <c r="M1112" s="757"/>
      <c r="N1112" s="757"/>
      <c r="O1112" s="757"/>
      <c r="P1112" s="757"/>
      <c r="Q1112" s="757"/>
      <c r="R1112" s="757"/>
      <c r="S1112" s="757"/>
      <c r="T1112" s="757"/>
      <c r="U1112" s="757"/>
      <c r="V1112" s="757"/>
      <c r="W1112" s="757"/>
      <c r="X1112" s="757"/>
      <c r="Y1112" s="757"/>
      <c r="Z1112" s="757"/>
      <c r="AA1112" s="757"/>
      <c r="AB1112" s="757"/>
      <c r="AC1112" s="757"/>
      <c r="AD1112" s="757"/>
      <c r="AE1112" s="757"/>
      <c r="AF1112" s="757"/>
      <c r="AG1112" s="757"/>
      <c r="AH1112" s="757"/>
      <c r="AI1112" s="757"/>
      <c r="AJ1112" s="757"/>
      <c r="AK1112" s="757"/>
      <c r="AL1112" s="757"/>
      <c r="AM1112" s="757"/>
      <c r="AN1112" s="757"/>
      <c r="AO1112" s="757"/>
      <c r="AP1112" s="757"/>
      <c r="AQ1112" s="757"/>
      <c r="AR1112" s="757"/>
      <c r="AS1112" s="757"/>
      <c r="AT1112" s="757"/>
      <c r="AU1112" s="757"/>
      <c r="AV1112" s="757"/>
      <c r="AW1112" s="757"/>
      <c r="AX1112" s="757"/>
      <c r="AY1112" s="757"/>
      <c r="AZ1112" s="75"/>
      <c r="BA1112" s="2"/>
      <c r="BB1112" s="2"/>
      <c r="BC1112" s="2"/>
      <c r="BD1112" s="2"/>
    </row>
    <row r="1113" spans="1:56">
      <c r="A1113" s="781">
        <v>2</v>
      </c>
      <c r="B1113" s="782">
        <v>213</v>
      </c>
      <c r="C1113" s="783">
        <v>45534</v>
      </c>
      <c r="D1113" s="785" t="s">
        <v>1735</v>
      </c>
      <c r="E1113" s="808">
        <v>57.5</v>
      </c>
      <c r="F1113" s="799"/>
      <c r="G1113" s="799"/>
      <c r="H1113" s="1592">
        <f t="shared" si="51"/>
        <v>0</v>
      </c>
      <c r="I1113" s="754" t="str">
        <f>IFERROR(VLOOKUP(B1113,Mychart!$A$125:$B$911,2,FALSE),"-")</f>
        <v>MOZA - IBTESAM</v>
      </c>
      <c r="J1113" s="753">
        <f t="shared" si="52"/>
        <v>8</v>
      </c>
      <c r="K1113" s="1540">
        <f t="shared" si="53"/>
        <v>2024</v>
      </c>
      <c r="L1113" s="757"/>
      <c r="M1113" s="757"/>
      <c r="N1113" s="757"/>
      <c r="O1113" s="757"/>
      <c r="P1113" s="757"/>
      <c r="Q1113" s="757"/>
      <c r="R1113" s="757"/>
      <c r="S1113" s="757"/>
      <c r="T1113" s="757"/>
      <c r="U1113" s="757"/>
      <c r="V1113" s="757"/>
      <c r="W1113" s="757"/>
      <c r="X1113" s="757"/>
      <c r="Y1113" s="757"/>
      <c r="Z1113" s="757"/>
      <c r="AA1113" s="757"/>
      <c r="AB1113" s="757"/>
      <c r="AC1113" s="757"/>
      <c r="AD1113" s="757"/>
      <c r="AE1113" s="757"/>
      <c r="AF1113" s="757"/>
      <c r="AG1113" s="757"/>
      <c r="AH1113" s="757"/>
      <c r="AI1113" s="757"/>
      <c r="AJ1113" s="757"/>
      <c r="AK1113" s="757"/>
      <c r="AL1113" s="757"/>
      <c r="AM1113" s="757"/>
      <c r="AN1113" s="757"/>
      <c r="AO1113" s="757"/>
      <c r="AP1113" s="757"/>
      <c r="AQ1113" s="757"/>
      <c r="AR1113" s="757"/>
      <c r="AS1113" s="757"/>
      <c r="AT1113" s="757"/>
      <c r="AU1113" s="757"/>
      <c r="AV1113" s="757"/>
      <c r="AW1113" s="757"/>
      <c r="AX1113" s="757"/>
      <c r="AY1113" s="757"/>
      <c r="AZ1113" s="75"/>
      <c r="BA1113" s="2"/>
      <c r="BB1113" s="2"/>
      <c r="BC1113" s="2"/>
      <c r="BD1113" s="2"/>
    </row>
    <row r="1114" spans="1:56">
      <c r="A1114" s="781">
        <v>2</v>
      </c>
      <c r="B1114" s="782">
        <v>216</v>
      </c>
      <c r="C1114" s="783">
        <v>45534</v>
      </c>
      <c r="D1114" s="785" t="s">
        <v>1735</v>
      </c>
      <c r="E1114" s="808">
        <v>780</v>
      </c>
      <c r="F1114" s="799"/>
      <c r="G1114" s="799"/>
      <c r="H1114" s="1592">
        <f t="shared" si="51"/>
        <v>0</v>
      </c>
      <c r="I1114" s="754" t="str">
        <f>IFERROR(VLOOKUP(B1114,Mychart!$A$125:$B$911,2,FALSE),"-")</f>
        <v>MUHAIR . AREEJ ( 165000 )</v>
      </c>
      <c r="J1114" s="753">
        <f t="shared" si="52"/>
        <v>8</v>
      </c>
      <c r="K1114" s="1540">
        <f t="shared" si="53"/>
        <v>2024</v>
      </c>
      <c r="L1114" s="757"/>
      <c r="M1114" s="757"/>
      <c r="N1114" s="757"/>
      <c r="O1114" s="757"/>
      <c r="P1114" s="757"/>
      <c r="Q1114" s="757"/>
      <c r="R1114" s="757"/>
      <c r="S1114" s="757"/>
      <c r="T1114" s="757"/>
      <c r="U1114" s="757"/>
      <c r="V1114" s="757"/>
      <c r="W1114" s="757"/>
      <c r="X1114" s="757"/>
      <c r="Y1114" s="757"/>
      <c r="Z1114" s="757"/>
      <c r="AA1114" s="757"/>
      <c r="AB1114" s="757"/>
      <c r="AC1114" s="757"/>
      <c r="AD1114" s="757"/>
      <c r="AE1114" s="757"/>
      <c r="AF1114" s="757"/>
      <c r="AG1114" s="757"/>
      <c r="AH1114" s="757"/>
      <c r="AI1114" s="757"/>
      <c r="AJ1114" s="757"/>
      <c r="AK1114" s="757"/>
      <c r="AL1114" s="757"/>
      <c r="AM1114" s="757"/>
      <c r="AN1114" s="757"/>
      <c r="AO1114" s="757"/>
      <c r="AP1114" s="757"/>
      <c r="AQ1114" s="757"/>
      <c r="AR1114" s="757"/>
      <c r="AS1114" s="757"/>
      <c r="AT1114" s="757"/>
      <c r="AU1114" s="757"/>
      <c r="AV1114" s="757"/>
      <c r="AW1114" s="757"/>
      <c r="AX1114" s="757"/>
      <c r="AY1114" s="757"/>
      <c r="AZ1114" s="75"/>
      <c r="BA1114" s="2"/>
      <c r="BB1114" s="2"/>
      <c r="BC1114" s="2"/>
      <c r="BD1114" s="2"/>
    </row>
    <row r="1115" spans="1:56">
      <c r="A1115" s="781">
        <v>2</v>
      </c>
      <c r="B1115" s="782">
        <v>220</v>
      </c>
      <c r="C1115" s="783">
        <v>45534</v>
      </c>
      <c r="D1115" s="785" t="s">
        <v>1735</v>
      </c>
      <c r="E1115" s="808">
        <v>1867.79</v>
      </c>
      <c r="F1115" s="799"/>
      <c r="G1115" s="799"/>
      <c r="H1115" s="1592">
        <f t="shared" si="51"/>
        <v>0</v>
      </c>
      <c r="I1115" s="754" t="str">
        <f>IFERROR(VLOOKUP(B1115,Mychart!$A$125:$B$911,2,FALSE),"-")</f>
        <v>KHALFAN AHMED - ANAAB</v>
      </c>
      <c r="J1115" s="753">
        <f t="shared" si="52"/>
        <v>8</v>
      </c>
      <c r="K1115" s="1540">
        <f t="shared" si="53"/>
        <v>2024</v>
      </c>
      <c r="L1115" s="757"/>
      <c r="M1115" s="757"/>
      <c r="N1115" s="757"/>
      <c r="O1115" s="757"/>
      <c r="P1115" s="757"/>
      <c r="Q1115" s="757"/>
      <c r="R1115" s="757"/>
      <c r="S1115" s="757"/>
      <c r="T1115" s="757"/>
      <c r="U1115" s="757"/>
      <c r="V1115" s="757"/>
      <c r="W1115" s="757"/>
      <c r="X1115" s="757"/>
      <c r="Y1115" s="757"/>
      <c r="Z1115" s="757"/>
      <c r="AA1115" s="757"/>
      <c r="AB1115" s="757"/>
      <c r="AC1115" s="757"/>
      <c r="AD1115" s="757"/>
      <c r="AE1115" s="757"/>
      <c r="AF1115" s="757"/>
      <c r="AG1115" s="757"/>
      <c r="AH1115" s="757"/>
      <c r="AI1115" s="757"/>
      <c r="AJ1115" s="757"/>
      <c r="AK1115" s="757"/>
      <c r="AL1115" s="757"/>
      <c r="AM1115" s="757"/>
      <c r="AN1115" s="757"/>
      <c r="AO1115" s="757"/>
      <c r="AP1115" s="757"/>
      <c r="AQ1115" s="757"/>
      <c r="AR1115" s="757"/>
      <c r="AS1115" s="757"/>
      <c r="AT1115" s="757"/>
      <c r="AU1115" s="757"/>
      <c r="AV1115" s="757"/>
      <c r="AW1115" s="757"/>
      <c r="AX1115" s="757"/>
      <c r="AY1115" s="757"/>
      <c r="AZ1115" s="75"/>
      <c r="BA1115" s="2"/>
      <c r="BB1115" s="2"/>
      <c r="BC1115" s="2"/>
      <c r="BD1115" s="2"/>
    </row>
    <row r="1116" spans="1:56">
      <c r="A1116" s="781">
        <v>2</v>
      </c>
      <c r="B1116" s="782">
        <v>221</v>
      </c>
      <c r="C1116" s="783">
        <v>45534</v>
      </c>
      <c r="D1116" s="785" t="s">
        <v>1735</v>
      </c>
      <c r="E1116" s="808">
        <v>113.75</v>
      </c>
      <c r="F1116" s="799"/>
      <c r="G1116" s="799"/>
      <c r="H1116" s="1592">
        <f t="shared" si="51"/>
        <v>0</v>
      </c>
      <c r="I1116" s="754" t="str">
        <f>IFERROR(VLOOKUP(B1116,Mychart!$A$125:$B$911,2,FALSE),"-")</f>
        <v>SAEED - ARCHPIX</v>
      </c>
      <c r="J1116" s="753">
        <f t="shared" si="52"/>
        <v>8</v>
      </c>
      <c r="K1116" s="1540">
        <f t="shared" si="53"/>
        <v>2024</v>
      </c>
      <c r="L1116" s="757"/>
      <c r="M1116" s="757"/>
      <c r="N1116" s="757"/>
      <c r="O1116" s="757"/>
      <c r="P1116" s="757"/>
      <c r="Q1116" s="757"/>
      <c r="R1116" s="757"/>
      <c r="S1116" s="757"/>
      <c r="T1116" s="757"/>
      <c r="U1116" s="757"/>
      <c r="V1116" s="757"/>
      <c r="W1116" s="757"/>
      <c r="X1116" s="757"/>
      <c r="Y1116" s="757"/>
      <c r="Z1116" s="757"/>
      <c r="AA1116" s="757"/>
      <c r="AB1116" s="757"/>
      <c r="AC1116" s="757"/>
      <c r="AD1116" s="757"/>
      <c r="AE1116" s="757"/>
      <c r="AF1116" s="757"/>
      <c r="AG1116" s="757"/>
      <c r="AH1116" s="757"/>
      <c r="AI1116" s="757"/>
      <c r="AJ1116" s="757"/>
      <c r="AK1116" s="757"/>
      <c r="AL1116" s="757"/>
      <c r="AM1116" s="757"/>
      <c r="AN1116" s="757"/>
      <c r="AO1116" s="757"/>
      <c r="AP1116" s="757"/>
      <c r="AQ1116" s="757"/>
      <c r="AR1116" s="757"/>
      <c r="AS1116" s="757"/>
      <c r="AT1116" s="757"/>
      <c r="AU1116" s="757"/>
      <c r="AV1116" s="757"/>
      <c r="AW1116" s="757"/>
      <c r="AX1116" s="757"/>
      <c r="AY1116" s="757"/>
      <c r="AZ1116" s="75"/>
      <c r="BA1116" s="2"/>
      <c r="BB1116" s="2"/>
      <c r="BC1116" s="2"/>
      <c r="BD1116" s="2"/>
    </row>
    <row r="1117" spans="1:56">
      <c r="A1117" s="781">
        <v>2</v>
      </c>
      <c r="B1117" s="782">
        <v>237</v>
      </c>
      <c r="C1117" s="783">
        <v>45534</v>
      </c>
      <c r="D1117" s="785" t="s">
        <v>1735</v>
      </c>
      <c r="E1117" s="808">
        <v>693</v>
      </c>
      <c r="F1117" s="799"/>
      <c r="G1117" s="799"/>
      <c r="H1117" s="1592">
        <f t="shared" si="51"/>
        <v>0</v>
      </c>
      <c r="I1117" s="754" t="str">
        <f>IFERROR(VLOOKUP(B1117,Mychart!$A$125:$B$911,2,FALSE),"-")</f>
        <v>HAMAD SAWUDI . IBTESAM</v>
      </c>
      <c r="J1117" s="753">
        <f t="shared" si="52"/>
        <v>8</v>
      </c>
      <c r="K1117" s="1540">
        <f t="shared" si="53"/>
        <v>2024</v>
      </c>
      <c r="L1117" s="757"/>
      <c r="M1117" s="757"/>
      <c r="N1117" s="757"/>
      <c r="O1117" s="757"/>
      <c r="P1117" s="757"/>
      <c r="Q1117" s="757"/>
      <c r="R1117" s="757"/>
      <c r="S1117" s="757"/>
      <c r="T1117" s="757"/>
      <c r="U1117" s="757"/>
      <c r="V1117" s="757"/>
      <c r="W1117" s="757"/>
      <c r="X1117" s="757"/>
      <c r="Y1117" s="757"/>
      <c r="Z1117" s="757"/>
      <c r="AA1117" s="757"/>
      <c r="AB1117" s="757"/>
      <c r="AC1117" s="757"/>
      <c r="AD1117" s="757"/>
      <c r="AE1117" s="757"/>
      <c r="AF1117" s="757"/>
      <c r="AG1117" s="757"/>
      <c r="AH1117" s="757"/>
      <c r="AI1117" s="757"/>
      <c r="AJ1117" s="757"/>
      <c r="AK1117" s="757"/>
      <c r="AL1117" s="757"/>
      <c r="AM1117" s="757"/>
      <c r="AN1117" s="757"/>
      <c r="AO1117" s="757"/>
      <c r="AP1117" s="757"/>
      <c r="AQ1117" s="757"/>
      <c r="AR1117" s="757"/>
      <c r="AS1117" s="757"/>
      <c r="AT1117" s="757"/>
      <c r="AU1117" s="757"/>
      <c r="AV1117" s="757"/>
      <c r="AW1117" s="757"/>
      <c r="AX1117" s="757"/>
      <c r="AY1117" s="757"/>
      <c r="AZ1117" s="75"/>
      <c r="BA1117" s="2"/>
      <c r="BB1117" s="2"/>
      <c r="BC1117" s="2"/>
      <c r="BD1117" s="2"/>
    </row>
    <row r="1118" spans="1:56">
      <c r="A1118" s="781">
        <v>2</v>
      </c>
      <c r="B1118" s="782">
        <v>242</v>
      </c>
      <c r="C1118" s="783">
        <v>45534</v>
      </c>
      <c r="D1118" s="785" t="s">
        <v>1735</v>
      </c>
      <c r="E1118" s="808">
        <v>5655.36</v>
      </c>
      <c r="F1118" s="799"/>
      <c r="G1118" s="799"/>
      <c r="H1118" s="1592">
        <f t="shared" si="51"/>
        <v>0</v>
      </c>
      <c r="I1118" s="754" t="str">
        <f>IFERROR(VLOOKUP(B1118,Mychart!$A$125:$B$911,2,FALSE),"-")</f>
        <v>AMMAR - ARCHPIX</v>
      </c>
      <c r="J1118" s="753">
        <f t="shared" si="52"/>
        <v>8</v>
      </c>
      <c r="K1118" s="1540">
        <f t="shared" si="53"/>
        <v>2024</v>
      </c>
      <c r="L1118" s="757"/>
      <c r="M1118" s="757"/>
      <c r="N1118" s="757"/>
      <c r="O1118" s="757"/>
      <c r="P1118" s="757"/>
      <c r="Q1118" s="757"/>
      <c r="R1118" s="757"/>
      <c r="S1118" s="757"/>
      <c r="T1118" s="757"/>
      <c r="U1118" s="757"/>
      <c r="V1118" s="757"/>
      <c r="W1118" s="757"/>
      <c r="X1118" s="757"/>
      <c r="Y1118" s="757"/>
      <c r="Z1118" s="757"/>
      <c r="AA1118" s="757"/>
      <c r="AB1118" s="757"/>
      <c r="AC1118" s="757"/>
      <c r="AD1118" s="757"/>
      <c r="AE1118" s="757"/>
      <c r="AF1118" s="757"/>
      <c r="AG1118" s="757"/>
      <c r="AH1118" s="757"/>
      <c r="AI1118" s="757"/>
      <c r="AJ1118" s="757"/>
      <c r="AK1118" s="757"/>
      <c r="AL1118" s="757"/>
      <c r="AM1118" s="757"/>
      <c r="AN1118" s="757"/>
      <c r="AO1118" s="757"/>
      <c r="AP1118" s="757"/>
      <c r="AQ1118" s="757"/>
      <c r="AR1118" s="757"/>
      <c r="AS1118" s="757"/>
      <c r="AT1118" s="757"/>
      <c r="AU1118" s="757"/>
      <c r="AV1118" s="757"/>
      <c r="AW1118" s="757"/>
      <c r="AX1118" s="757"/>
      <c r="AY1118" s="757"/>
      <c r="AZ1118" s="75"/>
      <c r="BA1118" s="2"/>
      <c r="BB1118" s="2"/>
      <c r="BC1118" s="2"/>
      <c r="BD1118" s="2"/>
    </row>
    <row r="1119" spans="1:56">
      <c r="A1119" s="781">
        <v>2</v>
      </c>
      <c r="B1119" s="782">
        <v>243</v>
      </c>
      <c r="C1119" s="783">
        <v>45534</v>
      </c>
      <c r="D1119" s="785" t="s">
        <v>1735</v>
      </c>
      <c r="E1119" s="808">
        <v>1158</v>
      </c>
      <c r="F1119" s="799"/>
      <c r="G1119" s="799"/>
      <c r="H1119" s="1592">
        <f t="shared" si="51"/>
        <v>0</v>
      </c>
      <c r="I1119" s="754" t="str">
        <f>IFERROR(VLOOKUP(B1119,Mychart!$A$125:$B$911,2,FALSE),"-")</f>
        <v>SHIHAB - ERTIKAZ</v>
      </c>
      <c r="J1119" s="753">
        <f t="shared" si="52"/>
        <v>8</v>
      </c>
      <c r="K1119" s="1540">
        <f t="shared" si="53"/>
        <v>2024</v>
      </c>
      <c r="L1119" s="757"/>
      <c r="M1119" s="757"/>
      <c r="N1119" s="757"/>
      <c r="O1119" s="757"/>
      <c r="P1119" s="757"/>
      <c r="Q1119" s="757"/>
      <c r="R1119" s="757"/>
      <c r="S1119" s="757"/>
      <c r="T1119" s="757"/>
      <c r="U1119" s="757"/>
      <c r="V1119" s="757"/>
      <c r="W1119" s="757"/>
      <c r="X1119" s="757"/>
      <c r="Y1119" s="757"/>
      <c r="Z1119" s="757"/>
      <c r="AA1119" s="757"/>
      <c r="AB1119" s="757"/>
      <c r="AC1119" s="757"/>
      <c r="AD1119" s="757"/>
      <c r="AE1119" s="757"/>
      <c r="AF1119" s="757"/>
      <c r="AG1119" s="757"/>
      <c r="AH1119" s="757"/>
      <c r="AI1119" s="757"/>
      <c r="AJ1119" s="757"/>
      <c r="AK1119" s="757"/>
      <c r="AL1119" s="757"/>
      <c r="AM1119" s="757"/>
      <c r="AN1119" s="757"/>
      <c r="AO1119" s="757"/>
      <c r="AP1119" s="757"/>
      <c r="AQ1119" s="757"/>
      <c r="AR1119" s="757"/>
      <c r="AS1119" s="757"/>
      <c r="AT1119" s="757"/>
      <c r="AU1119" s="757"/>
      <c r="AV1119" s="757"/>
      <c r="AW1119" s="757"/>
      <c r="AX1119" s="757"/>
      <c r="AY1119" s="757"/>
      <c r="AZ1119" s="75"/>
      <c r="BA1119" s="2"/>
      <c r="BB1119" s="2"/>
      <c r="BC1119" s="2"/>
      <c r="BD1119" s="2"/>
    </row>
    <row r="1120" spans="1:56">
      <c r="A1120" s="781">
        <v>2</v>
      </c>
      <c r="B1120" s="782">
        <v>246</v>
      </c>
      <c r="C1120" s="783">
        <v>45534</v>
      </c>
      <c r="D1120" s="785" t="s">
        <v>1735</v>
      </c>
      <c r="E1120" s="808">
        <v>8084.58</v>
      </c>
      <c r="F1120" s="799"/>
      <c r="G1120" s="799"/>
      <c r="H1120" s="1592">
        <f t="shared" si="51"/>
        <v>0</v>
      </c>
      <c r="I1120" s="754" t="str">
        <f>IFERROR(VLOOKUP(B1120,Mychart!$A$125:$B$911,2,FALSE),"-")</f>
        <v>Marzok Almatroshi - Archpix</v>
      </c>
      <c r="J1120" s="753">
        <f t="shared" si="52"/>
        <v>8</v>
      </c>
      <c r="K1120" s="1540">
        <f t="shared" si="53"/>
        <v>2024</v>
      </c>
      <c r="L1120" s="757"/>
      <c r="M1120" s="757"/>
      <c r="N1120" s="757"/>
      <c r="O1120" s="757"/>
      <c r="P1120" s="757"/>
      <c r="Q1120" s="757"/>
      <c r="R1120" s="757"/>
      <c r="S1120" s="757"/>
      <c r="T1120" s="757"/>
      <c r="U1120" s="757"/>
      <c r="V1120" s="757"/>
      <c r="W1120" s="757"/>
      <c r="X1120" s="757"/>
      <c r="Y1120" s="757"/>
      <c r="Z1120" s="757"/>
      <c r="AA1120" s="757"/>
      <c r="AB1120" s="757"/>
      <c r="AC1120" s="757"/>
      <c r="AD1120" s="757"/>
      <c r="AE1120" s="757"/>
      <c r="AF1120" s="757"/>
      <c r="AG1120" s="757"/>
      <c r="AH1120" s="757"/>
      <c r="AI1120" s="757"/>
      <c r="AJ1120" s="757"/>
      <c r="AK1120" s="757"/>
      <c r="AL1120" s="757"/>
      <c r="AM1120" s="757"/>
      <c r="AN1120" s="757"/>
      <c r="AO1120" s="757"/>
      <c r="AP1120" s="757"/>
      <c r="AQ1120" s="757"/>
      <c r="AR1120" s="757"/>
      <c r="AS1120" s="757"/>
      <c r="AT1120" s="757"/>
      <c r="AU1120" s="757"/>
      <c r="AV1120" s="757"/>
      <c r="AW1120" s="757"/>
      <c r="AX1120" s="757"/>
      <c r="AY1120" s="757"/>
      <c r="AZ1120" s="75"/>
      <c r="BA1120" s="2"/>
      <c r="BB1120" s="2"/>
      <c r="BC1120" s="2"/>
      <c r="BD1120" s="2"/>
    </row>
    <row r="1121" spans="1:56">
      <c r="A1121" s="781">
        <v>2</v>
      </c>
      <c r="B1121" s="782">
        <v>250</v>
      </c>
      <c r="C1121" s="783">
        <v>45534</v>
      </c>
      <c r="D1121" s="785" t="s">
        <v>1735</v>
      </c>
      <c r="E1121" s="808">
        <v>96.6</v>
      </c>
      <c r="F1121" s="799"/>
      <c r="G1121" s="799"/>
      <c r="H1121" s="1592">
        <f t="shared" si="51"/>
        <v>0</v>
      </c>
      <c r="I1121" s="754" t="str">
        <f>IFERROR(VLOOKUP(B1121,Mychart!$A$125:$B$911,2,FALSE),"-")</f>
        <v>ABDULLAH JASSEM-DYNAMIC</v>
      </c>
      <c r="J1121" s="753">
        <f t="shared" si="52"/>
        <v>8</v>
      </c>
      <c r="K1121" s="1540">
        <f t="shared" si="53"/>
        <v>2024</v>
      </c>
      <c r="L1121" s="757"/>
      <c r="M1121" s="757"/>
      <c r="N1121" s="757"/>
      <c r="O1121" s="757"/>
      <c r="P1121" s="757"/>
      <c r="Q1121" s="757"/>
      <c r="R1121" s="757"/>
      <c r="S1121" s="757"/>
      <c r="T1121" s="757"/>
      <c r="U1121" s="757"/>
      <c r="V1121" s="757"/>
      <c r="W1121" s="757"/>
      <c r="X1121" s="757"/>
      <c r="Y1121" s="757"/>
      <c r="Z1121" s="757"/>
      <c r="AA1121" s="757"/>
      <c r="AB1121" s="757"/>
      <c r="AC1121" s="757"/>
      <c r="AD1121" s="757"/>
      <c r="AE1121" s="757"/>
      <c r="AF1121" s="757"/>
      <c r="AG1121" s="757"/>
      <c r="AH1121" s="757"/>
      <c r="AI1121" s="757"/>
      <c r="AJ1121" s="757"/>
      <c r="AK1121" s="757"/>
      <c r="AL1121" s="757"/>
      <c r="AM1121" s="757"/>
      <c r="AN1121" s="757"/>
      <c r="AO1121" s="757"/>
      <c r="AP1121" s="757"/>
      <c r="AQ1121" s="757"/>
      <c r="AR1121" s="757"/>
      <c r="AS1121" s="757"/>
      <c r="AT1121" s="757"/>
      <c r="AU1121" s="757"/>
      <c r="AV1121" s="757"/>
      <c r="AW1121" s="757"/>
      <c r="AX1121" s="757"/>
      <c r="AY1121" s="757"/>
      <c r="AZ1121" s="75"/>
      <c r="BA1121" s="2"/>
      <c r="BB1121" s="2"/>
      <c r="BC1121" s="2"/>
      <c r="BD1121" s="2"/>
    </row>
    <row r="1122" spans="1:56">
      <c r="A1122" s="781">
        <v>2</v>
      </c>
      <c r="B1122" s="782">
        <v>252</v>
      </c>
      <c r="C1122" s="783">
        <v>45534</v>
      </c>
      <c r="D1122" s="785" t="s">
        <v>1735</v>
      </c>
      <c r="E1122" s="808">
        <v>2120.6</v>
      </c>
      <c r="F1122" s="799"/>
      <c r="G1122" s="799"/>
      <c r="H1122" s="1592">
        <f t="shared" si="51"/>
        <v>0</v>
      </c>
      <c r="I1122" s="754" t="str">
        <f>IFERROR(VLOOKUP(B1122,Mychart!$A$125:$B$911,2,FALSE),"-")</f>
        <v>Mohamed Saif - HBC</v>
      </c>
      <c r="J1122" s="753">
        <f t="shared" si="52"/>
        <v>8</v>
      </c>
      <c r="K1122" s="1540">
        <f t="shared" si="53"/>
        <v>2024</v>
      </c>
      <c r="L1122" s="757"/>
      <c r="M1122" s="757"/>
      <c r="N1122" s="757"/>
      <c r="O1122" s="757"/>
      <c r="P1122" s="757"/>
      <c r="Q1122" s="757"/>
      <c r="R1122" s="757"/>
      <c r="S1122" s="757"/>
      <c r="T1122" s="757"/>
      <c r="U1122" s="757"/>
      <c r="V1122" s="757"/>
      <c r="W1122" s="757"/>
      <c r="X1122" s="757"/>
      <c r="Y1122" s="757"/>
      <c r="Z1122" s="757"/>
      <c r="AA1122" s="757"/>
      <c r="AB1122" s="757"/>
      <c r="AC1122" s="757"/>
      <c r="AD1122" s="757"/>
      <c r="AE1122" s="757"/>
      <c r="AF1122" s="757"/>
      <c r="AG1122" s="757"/>
      <c r="AH1122" s="757"/>
      <c r="AI1122" s="757"/>
      <c r="AJ1122" s="757"/>
      <c r="AK1122" s="757"/>
      <c r="AL1122" s="757"/>
      <c r="AM1122" s="757"/>
      <c r="AN1122" s="757"/>
      <c r="AO1122" s="757"/>
      <c r="AP1122" s="757"/>
      <c r="AQ1122" s="757"/>
      <c r="AR1122" s="757"/>
      <c r="AS1122" s="757"/>
      <c r="AT1122" s="757"/>
      <c r="AU1122" s="757"/>
      <c r="AV1122" s="757"/>
      <c r="AW1122" s="757"/>
      <c r="AX1122" s="757"/>
      <c r="AY1122" s="757"/>
      <c r="AZ1122" s="75"/>
      <c r="BA1122" s="2"/>
      <c r="BB1122" s="2"/>
      <c r="BC1122" s="2"/>
      <c r="BD1122" s="2"/>
    </row>
    <row r="1123" spans="1:56">
      <c r="A1123" s="781">
        <v>2</v>
      </c>
      <c r="B1123" s="782">
        <v>255</v>
      </c>
      <c r="C1123" s="783">
        <v>45534</v>
      </c>
      <c r="D1123" s="785" t="s">
        <v>1735</v>
      </c>
      <c r="E1123" s="808">
        <v>7235.01</v>
      </c>
      <c r="F1123" s="799"/>
      <c r="G1123" s="799"/>
      <c r="H1123" s="1592">
        <f t="shared" si="51"/>
        <v>0</v>
      </c>
      <c r="I1123" s="754" t="str">
        <f>IFERROR(VLOOKUP(B1123,Mychart!$A$125:$B$911,2,FALSE),"-")</f>
        <v>ESSA KHALIFA</v>
      </c>
      <c r="J1123" s="753">
        <f t="shared" si="52"/>
        <v>8</v>
      </c>
      <c r="K1123" s="1540">
        <f t="shared" si="53"/>
        <v>2024</v>
      </c>
      <c r="L1123" s="757"/>
      <c r="M1123" s="757"/>
      <c r="N1123" s="757"/>
      <c r="O1123" s="757"/>
      <c r="P1123" s="757"/>
      <c r="Q1123" s="757"/>
      <c r="R1123" s="757"/>
      <c r="S1123" s="757"/>
      <c r="T1123" s="757"/>
      <c r="U1123" s="757"/>
      <c r="V1123" s="757"/>
      <c r="W1123" s="757"/>
      <c r="X1123" s="757"/>
      <c r="Y1123" s="757"/>
      <c r="Z1123" s="757"/>
      <c r="AA1123" s="757"/>
      <c r="AB1123" s="757"/>
      <c r="AC1123" s="757"/>
      <c r="AD1123" s="757"/>
      <c r="AE1123" s="757"/>
      <c r="AF1123" s="757"/>
      <c r="AG1123" s="757"/>
      <c r="AH1123" s="757"/>
      <c r="AI1123" s="757"/>
      <c r="AJ1123" s="757"/>
      <c r="AK1123" s="757"/>
      <c r="AL1123" s="757"/>
      <c r="AM1123" s="757"/>
      <c r="AN1123" s="757"/>
      <c r="AO1123" s="757"/>
      <c r="AP1123" s="757"/>
      <c r="AQ1123" s="757"/>
      <c r="AR1123" s="757"/>
      <c r="AS1123" s="757"/>
      <c r="AT1123" s="757"/>
      <c r="AU1123" s="757"/>
      <c r="AV1123" s="757"/>
      <c r="AW1123" s="757"/>
      <c r="AX1123" s="757"/>
      <c r="AY1123" s="757"/>
      <c r="AZ1123" s="75"/>
      <c r="BA1123" s="2"/>
      <c r="BB1123" s="2"/>
      <c r="BC1123" s="2"/>
      <c r="BD1123" s="2"/>
    </row>
    <row r="1124" spans="1:56">
      <c r="A1124" s="781">
        <v>2</v>
      </c>
      <c r="B1124" s="782">
        <v>256</v>
      </c>
      <c r="C1124" s="783">
        <v>45534</v>
      </c>
      <c r="D1124" s="785" t="s">
        <v>1735</v>
      </c>
      <c r="E1124" s="808">
        <v>144.19999999999999</v>
      </c>
      <c r="F1124" s="799"/>
      <c r="G1124" s="799"/>
      <c r="H1124" s="1592">
        <f t="shared" si="51"/>
        <v>0</v>
      </c>
      <c r="I1124" s="754" t="str">
        <f>IFERROR(VLOOKUP(B1124,Mychart!$A$125:$B$911,2,FALSE),"-")</f>
        <v>ADNAN DUBAI SKY</v>
      </c>
      <c r="J1124" s="753">
        <f t="shared" si="52"/>
        <v>8</v>
      </c>
      <c r="K1124" s="1540">
        <f t="shared" si="53"/>
        <v>2024</v>
      </c>
      <c r="L1124" s="757"/>
      <c r="M1124" s="757"/>
      <c r="N1124" s="757"/>
      <c r="O1124" s="757"/>
      <c r="P1124" s="757"/>
      <c r="Q1124" s="757"/>
      <c r="R1124" s="757"/>
      <c r="S1124" s="757"/>
      <c r="T1124" s="757"/>
      <c r="U1124" s="757"/>
      <c r="V1124" s="757"/>
      <c r="W1124" s="757"/>
      <c r="X1124" s="757"/>
      <c r="Y1124" s="757"/>
      <c r="Z1124" s="757"/>
      <c r="AA1124" s="757"/>
      <c r="AB1124" s="757"/>
      <c r="AC1124" s="757"/>
      <c r="AD1124" s="757"/>
      <c r="AE1124" s="757"/>
      <c r="AF1124" s="757"/>
      <c r="AG1124" s="757"/>
      <c r="AH1124" s="757"/>
      <c r="AI1124" s="757"/>
      <c r="AJ1124" s="757"/>
      <c r="AK1124" s="757"/>
      <c r="AL1124" s="757"/>
      <c r="AM1124" s="757"/>
      <c r="AN1124" s="757"/>
      <c r="AO1124" s="757"/>
      <c r="AP1124" s="757"/>
      <c r="AQ1124" s="757"/>
      <c r="AR1124" s="757"/>
      <c r="AS1124" s="757"/>
      <c r="AT1124" s="757"/>
      <c r="AU1124" s="757"/>
      <c r="AV1124" s="757"/>
      <c r="AW1124" s="757"/>
      <c r="AX1124" s="757"/>
      <c r="AY1124" s="757"/>
      <c r="AZ1124" s="75"/>
      <c r="BA1124" s="2"/>
      <c r="BB1124" s="2"/>
      <c r="BC1124" s="2"/>
      <c r="BD1124" s="2"/>
    </row>
    <row r="1125" spans="1:56">
      <c r="A1125" s="781">
        <v>2</v>
      </c>
      <c r="B1125" s="782">
        <v>262</v>
      </c>
      <c r="C1125" s="783">
        <v>45534</v>
      </c>
      <c r="D1125" s="785" t="s">
        <v>1735</v>
      </c>
      <c r="E1125" s="808">
        <v>474.09</v>
      </c>
      <c r="F1125" s="799"/>
      <c r="G1125" s="799"/>
      <c r="H1125" s="1592">
        <f t="shared" si="51"/>
        <v>0</v>
      </c>
      <c r="I1125" s="754" t="str">
        <f>IFERROR(VLOOKUP(B1125,Mychart!$A$125:$B$911,2,FALSE),"-")</f>
        <v>Amna Ahmed</v>
      </c>
      <c r="J1125" s="753">
        <f t="shared" si="52"/>
        <v>8</v>
      </c>
      <c r="K1125" s="1540">
        <f t="shared" si="53"/>
        <v>2024</v>
      </c>
      <c r="L1125" s="757"/>
      <c r="M1125" s="757"/>
      <c r="N1125" s="757"/>
      <c r="O1125" s="757"/>
      <c r="P1125" s="757"/>
      <c r="Q1125" s="757"/>
      <c r="R1125" s="757"/>
      <c r="S1125" s="757"/>
      <c r="T1125" s="757"/>
      <c r="U1125" s="757"/>
      <c r="V1125" s="757"/>
      <c r="W1125" s="757"/>
      <c r="X1125" s="757"/>
      <c r="Y1125" s="757"/>
      <c r="Z1125" s="757"/>
      <c r="AA1125" s="757"/>
      <c r="AB1125" s="757"/>
      <c r="AC1125" s="757"/>
      <c r="AD1125" s="757"/>
      <c r="AE1125" s="757"/>
      <c r="AF1125" s="757"/>
      <c r="AG1125" s="757"/>
      <c r="AH1125" s="757"/>
      <c r="AI1125" s="757"/>
      <c r="AJ1125" s="757"/>
      <c r="AK1125" s="757"/>
      <c r="AL1125" s="757"/>
      <c r="AM1125" s="757"/>
      <c r="AN1125" s="757"/>
      <c r="AO1125" s="757"/>
      <c r="AP1125" s="757"/>
      <c r="AQ1125" s="757"/>
      <c r="AR1125" s="757"/>
      <c r="AS1125" s="757"/>
      <c r="AT1125" s="757"/>
      <c r="AU1125" s="757"/>
      <c r="AV1125" s="757"/>
      <c r="AW1125" s="757"/>
      <c r="AX1125" s="757"/>
      <c r="AY1125" s="757"/>
      <c r="AZ1125" s="75"/>
      <c r="BA1125" s="2"/>
      <c r="BB1125" s="2"/>
      <c r="BC1125" s="2"/>
      <c r="BD1125" s="2"/>
    </row>
    <row r="1126" spans="1:56">
      <c r="A1126" s="781">
        <v>2</v>
      </c>
      <c r="B1126" s="782">
        <v>275</v>
      </c>
      <c r="C1126" s="783">
        <v>45534</v>
      </c>
      <c r="D1126" s="785" t="s">
        <v>1735</v>
      </c>
      <c r="E1126" s="808">
        <v>4078.88</v>
      </c>
      <c r="F1126" s="799"/>
      <c r="G1126" s="799"/>
      <c r="H1126" s="1592">
        <f t="shared" si="51"/>
        <v>0</v>
      </c>
      <c r="I1126" s="754" t="str">
        <f>IFERROR(VLOOKUP(B1126,Mychart!$A$125:$B$911,2,FALSE),"-")</f>
        <v>meshaal saqar - irtekaz</v>
      </c>
      <c r="J1126" s="753">
        <f t="shared" si="52"/>
        <v>8</v>
      </c>
      <c r="K1126" s="1540">
        <f t="shared" si="53"/>
        <v>2024</v>
      </c>
      <c r="L1126" s="757"/>
      <c r="M1126" s="757"/>
      <c r="N1126" s="757"/>
      <c r="O1126" s="757"/>
      <c r="P1126" s="757"/>
      <c r="Q1126" s="757"/>
      <c r="R1126" s="757"/>
      <c r="S1126" s="757"/>
      <c r="T1126" s="757"/>
      <c r="U1126" s="757"/>
      <c r="V1126" s="757"/>
      <c r="W1126" s="757"/>
      <c r="X1126" s="757"/>
      <c r="Y1126" s="757"/>
      <c r="Z1126" s="757"/>
      <c r="AA1126" s="757"/>
      <c r="AB1126" s="757"/>
      <c r="AC1126" s="757"/>
      <c r="AD1126" s="757"/>
      <c r="AE1126" s="757"/>
      <c r="AF1126" s="757"/>
      <c r="AG1126" s="757"/>
      <c r="AH1126" s="757"/>
      <c r="AI1126" s="757"/>
      <c r="AJ1126" s="757"/>
      <c r="AK1126" s="757"/>
      <c r="AL1126" s="757"/>
      <c r="AM1126" s="757"/>
      <c r="AN1126" s="757"/>
      <c r="AO1126" s="757"/>
      <c r="AP1126" s="757"/>
      <c r="AQ1126" s="757"/>
      <c r="AR1126" s="757"/>
      <c r="AS1126" s="757"/>
      <c r="AT1126" s="757"/>
      <c r="AU1126" s="757"/>
      <c r="AV1126" s="757"/>
      <c r="AW1126" s="757"/>
      <c r="AX1126" s="757"/>
      <c r="AY1126" s="757"/>
      <c r="AZ1126" s="75"/>
      <c r="BA1126" s="2"/>
      <c r="BB1126" s="2"/>
      <c r="BC1126" s="2"/>
      <c r="BD1126" s="2"/>
    </row>
    <row r="1127" spans="1:56">
      <c r="A1127" s="781">
        <v>2</v>
      </c>
      <c r="B1127" s="782">
        <v>277</v>
      </c>
      <c r="C1127" s="783">
        <v>45534</v>
      </c>
      <c r="D1127" s="785" t="s">
        <v>1735</v>
      </c>
      <c r="E1127" s="808">
        <v>223.45</v>
      </c>
      <c r="F1127" s="799"/>
      <c r="G1127" s="799"/>
      <c r="H1127" s="1592">
        <f t="shared" si="51"/>
        <v>0</v>
      </c>
      <c r="I1127" s="754" t="str">
        <f>IFERROR(VLOOKUP(B1127,Mychart!$A$125:$B$911,2,FALSE),"-")</f>
        <v>ABDULRHMAN ESSA ALI</v>
      </c>
      <c r="J1127" s="753">
        <f t="shared" si="52"/>
        <v>8</v>
      </c>
      <c r="K1127" s="1540">
        <f t="shared" si="53"/>
        <v>2024</v>
      </c>
      <c r="L1127" s="757"/>
      <c r="M1127" s="757"/>
      <c r="N1127" s="757"/>
      <c r="O1127" s="757"/>
      <c r="P1127" s="757"/>
      <c r="Q1127" s="757"/>
      <c r="R1127" s="757"/>
      <c r="S1127" s="757"/>
      <c r="T1127" s="757"/>
      <c r="U1127" s="757"/>
      <c r="V1127" s="757"/>
      <c r="W1127" s="757"/>
      <c r="X1127" s="757"/>
      <c r="Y1127" s="757"/>
      <c r="Z1127" s="757"/>
      <c r="AA1127" s="757"/>
      <c r="AB1127" s="757"/>
      <c r="AC1127" s="757"/>
      <c r="AD1127" s="757"/>
      <c r="AE1127" s="757"/>
      <c r="AF1127" s="757"/>
      <c r="AG1127" s="757"/>
      <c r="AH1127" s="757"/>
      <c r="AI1127" s="757"/>
      <c r="AJ1127" s="757"/>
      <c r="AK1127" s="757"/>
      <c r="AL1127" s="757"/>
      <c r="AM1127" s="757"/>
      <c r="AN1127" s="757"/>
      <c r="AO1127" s="757"/>
      <c r="AP1127" s="757"/>
      <c r="AQ1127" s="757"/>
      <c r="AR1127" s="757"/>
      <c r="AS1127" s="757"/>
      <c r="AT1127" s="757"/>
      <c r="AU1127" s="757"/>
      <c r="AV1127" s="757"/>
      <c r="AW1127" s="757"/>
      <c r="AX1127" s="757"/>
      <c r="AY1127" s="757"/>
      <c r="AZ1127" s="75"/>
      <c r="BA1127" s="2"/>
      <c r="BB1127" s="2"/>
      <c r="BC1127" s="2"/>
      <c r="BD1127" s="2"/>
    </row>
    <row r="1128" spans="1:56">
      <c r="A1128" s="781">
        <v>2</v>
      </c>
      <c r="B1128" s="782">
        <v>237</v>
      </c>
      <c r="C1128" s="783">
        <v>45541</v>
      </c>
      <c r="D1128" s="785" t="s">
        <v>166</v>
      </c>
      <c r="E1128" s="808">
        <v>6400.99</v>
      </c>
      <c r="F1128" s="799"/>
      <c r="G1128" s="799"/>
      <c r="H1128" s="1592">
        <f t="shared" si="51"/>
        <v>0</v>
      </c>
      <c r="I1128" s="754" t="str">
        <f>IFERROR(VLOOKUP(B1128,Mychart!$A$125:$B$911,2,FALSE),"-")</f>
        <v>HAMAD SAWUDI . IBTESAM</v>
      </c>
      <c r="J1128" s="753">
        <f t="shared" si="52"/>
        <v>9</v>
      </c>
      <c r="K1128" s="1540">
        <f t="shared" si="53"/>
        <v>2024</v>
      </c>
      <c r="L1128" s="757"/>
      <c r="M1128" s="757"/>
      <c r="N1128" s="757"/>
      <c r="O1128" s="757"/>
      <c r="P1128" s="757"/>
      <c r="Q1128" s="757"/>
      <c r="R1128" s="757"/>
      <c r="S1128" s="757"/>
      <c r="T1128" s="757"/>
      <c r="U1128" s="757"/>
      <c r="V1128" s="757"/>
      <c r="W1128" s="757"/>
      <c r="X1128" s="757"/>
      <c r="Y1128" s="757"/>
      <c r="Z1128" s="757"/>
      <c r="AA1128" s="757"/>
      <c r="AB1128" s="757"/>
      <c r="AC1128" s="757"/>
      <c r="AD1128" s="757"/>
      <c r="AE1128" s="757"/>
      <c r="AF1128" s="757"/>
      <c r="AG1128" s="757"/>
      <c r="AH1128" s="757"/>
      <c r="AI1128" s="757"/>
      <c r="AJ1128" s="757"/>
      <c r="AK1128" s="757"/>
      <c r="AL1128" s="757"/>
      <c r="AM1128" s="757"/>
      <c r="AN1128" s="757"/>
      <c r="AO1128" s="757"/>
      <c r="AP1128" s="757"/>
      <c r="AQ1128" s="757"/>
      <c r="AR1128" s="757"/>
      <c r="AS1128" s="757"/>
      <c r="AT1128" s="757"/>
      <c r="AU1128" s="757"/>
      <c r="AV1128" s="757"/>
      <c r="AW1128" s="757"/>
      <c r="AX1128" s="757"/>
      <c r="AY1128" s="757"/>
      <c r="AZ1128" s="75"/>
      <c r="BA1128" s="2"/>
      <c r="BB1128" s="2"/>
      <c r="BC1128" s="2"/>
      <c r="BD1128" s="2"/>
    </row>
    <row r="1129" spans="1:56">
      <c r="A1129" s="781">
        <v>2</v>
      </c>
      <c r="B1129" s="782">
        <v>243</v>
      </c>
      <c r="C1129" s="783">
        <v>45544</v>
      </c>
      <c r="D1129" s="785" t="s">
        <v>166</v>
      </c>
      <c r="E1129" s="808">
        <v>2000.06</v>
      </c>
      <c r="F1129" s="799"/>
      <c r="G1129" s="799"/>
      <c r="H1129" s="1592">
        <f t="shared" si="51"/>
        <v>0</v>
      </c>
      <c r="I1129" s="754" t="str">
        <f>IFERROR(VLOOKUP(B1129,Mychart!$A$125:$B$911,2,FALSE),"-")</f>
        <v>SHIHAB - ERTIKAZ</v>
      </c>
      <c r="J1129" s="753">
        <f t="shared" si="52"/>
        <v>9</v>
      </c>
      <c r="K1129" s="1540">
        <f t="shared" si="53"/>
        <v>2024</v>
      </c>
      <c r="L1129" s="757"/>
      <c r="M1129" s="757"/>
      <c r="N1129" s="757"/>
      <c r="O1129" s="757"/>
      <c r="P1129" s="757"/>
      <c r="Q1129" s="757"/>
      <c r="R1129" s="757"/>
      <c r="S1129" s="757"/>
      <c r="T1129" s="757"/>
      <c r="U1129" s="757"/>
      <c r="V1129" s="757"/>
      <c r="W1129" s="757"/>
      <c r="X1129" s="757"/>
      <c r="Y1129" s="757"/>
      <c r="Z1129" s="757"/>
      <c r="AA1129" s="757"/>
      <c r="AB1129" s="757"/>
      <c r="AC1129" s="757"/>
      <c r="AD1129" s="757"/>
      <c r="AE1129" s="757"/>
      <c r="AF1129" s="757"/>
      <c r="AG1129" s="757"/>
      <c r="AH1129" s="757"/>
      <c r="AI1129" s="757"/>
      <c r="AJ1129" s="757"/>
      <c r="AK1129" s="757"/>
      <c r="AL1129" s="757"/>
      <c r="AM1129" s="757"/>
      <c r="AN1129" s="757"/>
      <c r="AO1129" s="757"/>
      <c r="AP1129" s="757"/>
      <c r="AQ1129" s="757"/>
      <c r="AR1129" s="757"/>
      <c r="AS1129" s="757"/>
      <c r="AT1129" s="757"/>
      <c r="AU1129" s="757"/>
      <c r="AV1129" s="757"/>
      <c r="AW1129" s="757"/>
      <c r="AX1129" s="757"/>
      <c r="AY1129" s="757"/>
      <c r="AZ1129" s="75"/>
      <c r="BA1129" s="2"/>
      <c r="BB1129" s="2"/>
      <c r="BC1129" s="2"/>
      <c r="BD1129" s="2"/>
    </row>
    <row r="1130" spans="1:56">
      <c r="A1130" s="781">
        <v>1</v>
      </c>
      <c r="B1130" s="782">
        <v>217</v>
      </c>
      <c r="C1130" s="783">
        <v>45538</v>
      </c>
      <c r="D1130" s="785" t="s">
        <v>1756</v>
      </c>
      <c r="E1130" s="808"/>
      <c r="F1130" s="799">
        <v>13440</v>
      </c>
      <c r="G1130" s="799"/>
      <c r="H1130" s="1592">
        <f t="shared" si="51"/>
        <v>13440</v>
      </c>
      <c r="I1130" s="754" t="str">
        <f>IFERROR(VLOOKUP(B1130,Mychart!$A$125:$B$911,2,FALSE),"-")</f>
        <v>MOHAMED MUHAIR . AREEJ</v>
      </c>
      <c r="J1130" s="753">
        <f t="shared" si="52"/>
        <v>9</v>
      </c>
      <c r="K1130" s="1540">
        <f t="shared" si="53"/>
        <v>2024</v>
      </c>
      <c r="L1130" s="757"/>
      <c r="M1130" s="757"/>
      <c r="N1130" s="757"/>
      <c r="O1130" s="757"/>
      <c r="P1130" s="757"/>
      <c r="Q1130" s="757"/>
      <c r="R1130" s="757"/>
      <c r="S1130" s="757"/>
      <c r="T1130" s="757"/>
      <c r="U1130" s="757"/>
      <c r="V1130" s="757"/>
      <c r="W1130" s="757"/>
      <c r="X1130" s="757"/>
      <c r="Y1130" s="757"/>
      <c r="Z1130" s="757"/>
      <c r="AA1130" s="757"/>
      <c r="AB1130" s="757"/>
      <c r="AC1130" s="757"/>
      <c r="AD1130" s="757"/>
      <c r="AE1130" s="757"/>
      <c r="AF1130" s="757"/>
      <c r="AG1130" s="757"/>
      <c r="AH1130" s="757"/>
      <c r="AI1130" s="757"/>
      <c r="AJ1130" s="757"/>
      <c r="AK1130" s="757"/>
      <c r="AL1130" s="757"/>
      <c r="AM1130" s="757"/>
      <c r="AN1130" s="757"/>
      <c r="AO1130" s="757"/>
      <c r="AP1130" s="757"/>
      <c r="AQ1130" s="757"/>
      <c r="AR1130" s="757"/>
      <c r="AS1130" s="757"/>
      <c r="AT1130" s="757"/>
      <c r="AU1130" s="757"/>
      <c r="AV1130" s="757"/>
      <c r="AW1130" s="757"/>
      <c r="AX1130" s="757"/>
      <c r="AY1130" s="757"/>
      <c r="AZ1130" s="75"/>
      <c r="BA1130" s="2"/>
      <c r="BB1130" s="2"/>
      <c r="BC1130" s="2"/>
      <c r="BD1130" s="2"/>
    </row>
    <row r="1131" spans="1:56">
      <c r="A1131" s="781">
        <v>1</v>
      </c>
      <c r="B1131" s="782">
        <v>216</v>
      </c>
      <c r="C1131" s="783">
        <v>45538</v>
      </c>
      <c r="D1131" s="785" t="s">
        <v>1581</v>
      </c>
      <c r="E1131" s="808"/>
      <c r="F1131" s="799">
        <v>31500</v>
      </c>
      <c r="G1131" s="799"/>
      <c r="H1131" s="1592">
        <f t="shared" si="51"/>
        <v>31500</v>
      </c>
      <c r="I1131" s="754" t="str">
        <f>IFERROR(VLOOKUP(B1131,Mychart!$A$125:$B$911,2,FALSE),"-")</f>
        <v>MUHAIR . AREEJ ( 165000 )</v>
      </c>
      <c r="J1131" s="753">
        <f t="shared" si="52"/>
        <v>9</v>
      </c>
      <c r="K1131" s="1540">
        <f t="shared" si="53"/>
        <v>2024</v>
      </c>
      <c r="L1131" s="757"/>
      <c r="M1131" s="757"/>
      <c r="N1131" s="757"/>
      <c r="O1131" s="757"/>
      <c r="P1131" s="757"/>
      <c r="Q1131" s="757"/>
      <c r="R1131" s="757"/>
      <c r="S1131" s="757"/>
      <c r="T1131" s="757"/>
      <c r="U1131" s="757"/>
      <c r="V1131" s="757"/>
      <c r="W1131" s="757"/>
      <c r="X1131" s="757"/>
      <c r="Y1131" s="757"/>
      <c r="Z1131" s="757"/>
      <c r="AA1131" s="757"/>
      <c r="AB1131" s="757"/>
      <c r="AC1131" s="757"/>
      <c r="AD1131" s="757"/>
      <c r="AE1131" s="757"/>
      <c r="AF1131" s="757"/>
      <c r="AG1131" s="757"/>
      <c r="AH1131" s="757"/>
      <c r="AI1131" s="757"/>
      <c r="AJ1131" s="757"/>
      <c r="AK1131" s="757"/>
      <c r="AL1131" s="757"/>
      <c r="AM1131" s="757"/>
      <c r="AN1131" s="757"/>
      <c r="AO1131" s="757"/>
      <c r="AP1131" s="757"/>
      <c r="AQ1131" s="757"/>
      <c r="AR1131" s="757"/>
      <c r="AS1131" s="757"/>
      <c r="AT1131" s="757"/>
      <c r="AU1131" s="757"/>
      <c r="AV1131" s="757"/>
      <c r="AW1131" s="757"/>
      <c r="AX1131" s="757"/>
      <c r="AY1131" s="757"/>
      <c r="AZ1131" s="75"/>
      <c r="BA1131" s="2"/>
      <c r="BB1131" s="2"/>
      <c r="BC1131" s="2"/>
      <c r="BD1131" s="2"/>
    </row>
    <row r="1132" spans="1:56">
      <c r="A1132" s="781">
        <v>2</v>
      </c>
      <c r="B1132" s="782">
        <v>212</v>
      </c>
      <c r="C1132" s="783">
        <v>45534</v>
      </c>
      <c r="D1132" s="785" t="s">
        <v>1610</v>
      </c>
      <c r="E1132" s="808"/>
      <c r="F1132" s="799"/>
      <c r="G1132" s="799"/>
      <c r="H1132" s="1592">
        <f t="shared" si="51"/>
        <v>0</v>
      </c>
      <c r="I1132" s="754" t="str">
        <f>IFERROR(VLOOKUP(B1132,Mychart!$A$125:$B$911,2,FALSE),"-")</f>
        <v>SULTAN JUMA - DYNAMIC</v>
      </c>
      <c r="J1132" s="753">
        <f t="shared" si="52"/>
        <v>8</v>
      </c>
      <c r="K1132" s="1540">
        <f t="shared" si="53"/>
        <v>2024</v>
      </c>
      <c r="L1132" s="757"/>
      <c r="M1132" s="757"/>
      <c r="N1132" s="757"/>
      <c r="O1132" s="757"/>
      <c r="P1132" s="757"/>
      <c r="Q1132" s="757"/>
      <c r="R1132" s="757"/>
      <c r="S1132" s="757"/>
      <c r="T1132" s="757"/>
      <c r="U1132" s="757"/>
      <c r="V1132" s="757"/>
      <c r="W1132" s="757"/>
      <c r="X1132" s="757"/>
      <c r="Y1132" s="757"/>
      <c r="Z1132" s="757"/>
      <c r="AA1132" s="757"/>
      <c r="AB1132" s="757"/>
      <c r="AC1132" s="757"/>
      <c r="AD1132" s="757"/>
      <c r="AE1132" s="757"/>
      <c r="AF1132" s="757"/>
      <c r="AG1132" s="757"/>
      <c r="AH1132" s="757"/>
      <c r="AI1132" s="757"/>
      <c r="AJ1132" s="757"/>
      <c r="AK1132" s="757"/>
      <c r="AL1132" s="757"/>
      <c r="AM1132" s="757"/>
      <c r="AN1132" s="757"/>
      <c r="AO1132" s="757"/>
      <c r="AP1132" s="757"/>
      <c r="AQ1132" s="757"/>
      <c r="AR1132" s="757"/>
      <c r="AS1132" s="757"/>
      <c r="AT1132" s="757"/>
      <c r="AU1132" s="757"/>
      <c r="AV1132" s="757"/>
      <c r="AW1132" s="757"/>
      <c r="AX1132" s="757"/>
      <c r="AY1132" s="757"/>
      <c r="AZ1132" s="75"/>
      <c r="BA1132" s="2"/>
      <c r="BB1132" s="2"/>
      <c r="BC1132" s="2"/>
      <c r="BD1132" s="2"/>
    </row>
    <row r="1133" spans="1:56">
      <c r="A1133" s="781">
        <v>2</v>
      </c>
      <c r="B1133" s="782">
        <v>213</v>
      </c>
      <c r="C1133" s="783">
        <v>45534</v>
      </c>
      <c r="D1133" s="785" t="s">
        <v>1610</v>
      </c>
      <c r="E1133" s="808"/>
      <c r="F1133" s="799"/>
      <c r="G1133" s="799"/>
      <c r="H1133" s="1592">
        <f t="shared" si="51"/>
        <v>0</v>
      </c>
      <c r="I1133" s="754" t="str">
        <f>IFERROR(VLOOKUP(B1133,Mychart!$A$125:$B$911,2,FALSE),"-")</f>
        <v>MOZA - IBTESAM</v>
      </c>
      <c r="J1133" s="753">
        <f t="shared" si="52"/>
        <v>8</v>
      </c>
      <c r="K1133" s="1540">
        <f t="shared" si="53"/>
        <v>2024</v>
      </c>
      <c r="L1133" s="757"/>
      <c r="M1133" s="757"/>
      <c r="N1133" s="757"/>
      <c r="O1133" s="757"/>
      <c r="P1133" s="757"/>
      <c r="Q1133" s="757"/>
      <c r="R1133" s="757"/>
      <c r="S1133" s="757"/>
      <c r="T1133" s="757"/>
      <c r="U1133" s="757"/>
      <c r="V1133" s="757"/>
      <c r="W1133" s="757"/>
      <c r="X1133" s="757"/>
      <c r="Y1133" s="757"/>
      <c r="Z1133" s="757"/>
      <c r="AA1133" s="757"/>
      <c r="AB1133" s="757"/>
      <c r="AC1133" s="757"/>
      <c r="AD1133" s="757"/>
      <c r="AE1133" s="757"/>
      <c r="AF1133" s="757"/>
      <c r="AG1133" s="757"/>
      <c r="AH1133" s="757"/>
      <c r="AI1133" s="757"/>
      <c r="AJ1133" s="757"/>
      <c r="AK1133" s="757"/>
      <c r="AL1133" s="757"/>
      <c r="AM1133" s="757"/>
      <c r="AN1133" s="757"/>
      <c r="AO1133" s="757"/>
      <c r="AP1133" s="757"/>
      <c r="AQ1133" s="757"/>
      <c r="AR1133" s="757"/>
      <c r="AS1133" s="757"/>
      <c r="AT1133" s="757"/>
      <c r="AU1133" s="757"/>
      <c r="AV1133" s="757"/>
      <c r="AW1133" s="757"/>
      <c r="AX1133" s="757"/>
      <c r="AY1133" s="757"/>
      <c r="AZ1133" s="75"/>
      <c r="BA1133" s="2"/>
      <c r="BB1133" s="2"/>
      <c r="BC1133" s="2"/>
      <c r="BD1133" s="2"/>
    </row>
    <row r="1134" spans="1:56">
      <c r="A1134" s="781">
        <v>2</v>
      </c>
      <c r="B1134" s="782">
        <v>216</v>
      </c>
      <c r="C1134" s="783">
        <v>45534</v>
      </c>
      <c r="D1134" s="785" t="s">
        <v>1610</v>
      </c>
      <c r="E1134" s="808"/>
      <c r="F1134" s="799"/>
      <c r="G1134" s="799"/>
      <c r="H1134" s="1592">
        <f t="shared" si="51"/>
        <v>0</v>
      </c>
      <c r="I1134" s="754" t="str">
        <f>IFERROR(VLOOKUP(B1134,Mychart!$A$125:$B$911,2,FALSE),"-")</f>
        <v>MUHAIR . AREEJ ( 165000 )</v>
      </c>
      <c r="J1134" s="753">
        <f t="shared" si="52"/>
        <v>8</v>
      </c>
      <c r="K1134" s="1540">
        <f t="shared" si="53"/>
        <v>2024</v>
      </c>
      <c r="L1134" s="757"/>
      <c r="M1134" s="757"/>
      <c r="N1134" s="757"/>
      <c r="O1134" s="757"/>
      <c r="P1134" s="757"/>
      <c r="Q1134" s="757"/>
      <c r="R1134" s="757"/>
      <c r="S1134" s="757"/>
      <c r="T1134" s="757"/>
      <c r="U1134" s="757"/>
      <c r="V1134" s="757"/>
      <c r="W1134" s="757"/>
      <c r="X1134" s="757"/>
      <c r="Y1134" s="757"/>
      <c r="Z1134" s="757"/>
      <c r="AA1134" s="757"/>
      <c r="AB1134" s="757"/>
      <c r="AC1134" s="757"/>
      <c r="AD1134" s="757"/>
      <c r="AE1134" s="757"/>
      <c r="AF1134" s="757"/>
      <c r="AG1134" s="757"/>
      <c r="AH1134" s="757"/>
      <c r="AI1134" s="757"/>
      <c r="AJ1134" s="757"/>
      <c r="AK1134" s="757"/>
      <c r="AL1134" s="757"/>
      <c r="AM1134" s="757"/>
      <c r="AN1134" s="757"/>
      <c r="AO1134" s="757"/>
      <c r="AP1134" s="757"/>
      <c r="AQ1134" s="757"/>
      <c r="AR1134" s="757"/>
      <c r="AS1134" s="757"/>
      <c r="AT1134" s="757"/>
      <c r="AU1134" s="757"/>
      <c r="AV1134" s="757"/>
      <c r="AW1134" s="757"/>
      <c r="AX1134" s="757"/>
      <c r="AY1134" s="757"/>
      <c r="AZ1134" s="75"/>
      <c r="BA1134" s="2"/>
      <c r="BB1134" s="2"/>
      <c r="BC1134" s="2"/>
      <c r="BD1134" s="2"/>
    </row>
    <row r="1135" spans="1:56">
      <c r="A1135" s="781">
        <v>2</v>
      </c>
      <c r="B1135" s="782">
        <v>220</v>
      </c>
      <c r="C1135" s="783">
        <v>45534</v>
      </c>
      <c r="D1135" s="785" t="s">
        <v>1610</v>
      </c>
      <c r="E1135" s="808"/>
      <c r="F1135" s="799"/>
      <c r="G1135" s="799"/>
      <c r="H1135" s="1592">
        <f t="shared" si="51"/>
        <v>0</v>
      </c>
      <c r="I1135" s="754" t="str">
        <f>IFERROR(VLOOKUP(B1135,Mychart!$A$125:$B$911,2,FALSE),"-")</f>
        <v>KHALFAN AHMED - ANAAB</v>
      </c>
      <c r="J1135" s="753">
        <f t="shared" si="52"/>
        <v>8</v>
      </c>
      <c r="K1135" s="1540">
        <f t="shared" si="53"/>
        <v>2024</v>
      </c>
      <c r="L1135" s="757"/>
      <c r="M1135" s="757"/>
      <c r="N1135" s="757"/>
      <c r="O1135" s="757"/>
      <c r="P1135" s="757"/>
      <c r="Q1135" s="757"/>
      <c r="R1135" s="757"/>
      <c r="S1135" s="757"/>
      <c r="T1135" s="757"/>
      <c r="U1135" s="757"/>
      <c r="V1135" s="757"/>
      <c r="W1135" s="757"/>
      <c r="X1135" s="757"/>
      <c r="Y1135" s="757"/>
      <c r="Z1135" s="757"/>
      <c r="AA1135" s="757"/>
      <c r="AB1135" s="757"/>
      <c r="AC1135" s="757"/>
      <c r="AD1135" s="757"/>
      <c r="AE1135" s="757"/>
      <c r="AF1135" s="757"/>
      <c r="AG1135" s="757"/>
      <c r="AH1135" s="757"/>
      <c r="AI1135" s="757"/>
      <c r="AJ1135" s="757"/>
      <c r="AK1135" s="757"/>
      <c r="AL1135" s="757"/>
      <c r="AM1135" s="757"/>
      <c r="AN1135" s="757"/>
      <c r="AO1135" s="757"/>
      <c r="AP1135" s="757"/>
      <c r="AQ1135" s="757"/>
      <c r="AR1135" s="757"/>
      <c r="AS1135" s="757"/>
      <c r="AT1135" s="757"/>
      <c r="AU1135" s="757"/>
      <c r="AV1135" s="757"/>
      <c r="AW1135" s="757"/>
      <c r="AX1135" s="757"/>
      <c r="AY1135" s="757"/>
      <c r="AZ1135" s="75"/>
      <c r="BA1135" s="2"/>
      <c r="BB1135" s="2"/>
      <c r="BC1135" s="2"/>
      <c r="BD1135" s="2"/>
    </row>
    <row r="1136" spans="1:56">
      <c r="A1136" s="781">
        <v>2</v>
      </c>
      <c r="B1136" s="782">
        <v>221</v>
      </c>
      <c r="C1136" s="783">
        <v>45534</v>
      </c>
      <c r="D1136" s="785" t="s">
        <v>1610</v>
      </c>
      <c r="E1136" s="808"/>
      <c r="F1136" s="799"/>
      <c r="G1136" s="799"/>
      <c r="H1136" s="1592">
        <f t="shared" si="51"/>
        <v>0</v>
      </c>
      <c r="I1136" s="754" t="str">
        <f>IFERROR(VLOOKUP(B1136,Mychart!$A$125:$B$911,2,FALSE),"-")</f>
        <v>SAEED - ARCHPIX</v>
      </c>
      <c r="J1136" s="753">
        <f t="shared" si="52"/>
        <v>8</v>
      </c>
      <c r="K1136" s="1540">
        <f t="shared" si="53"/>
        <v>2024</v>
      </c>
      <c r="L1136" s="757"/>
      <c r="M1136" s="757"/>
      <c r="N1136" s="757"/>
      <c r="O1136" s="757"/>
      <c r="P1136" s="757"/>
      <c r="Q1136" s="757"/>
      <c r="R1136" s="757"/>
      <c r="S1136" s="757"/>
      <c r="T1136" s="757"/>
      <c r="U1136" s="757"/>
      <c r="V1136" s="757"/>
      <c r="W1136" s="757"/>
      <c r="X1136" s="757"/>
      <c r="Y1136" s="757"/>
      <c r="Z1136" s="757"/>
      <c r="AA1136" s="757"/>
      <c r="AB1136" s="757"/>
      <c r="AC1136" s="757"/>
      <c r="AD1136" s="757"/>
      <c r="AE1136" s="757"/>
      <c r="AF1136" s="757"/>
      <c r="AG1136" s="757"/>
      <c r="AH1136" s="757"/>
      <c r="AI1136" s="757"/>
      <c r="AJ1136" s="757"/>
      <c r="AK1136" s="757"/>
      <c r="AL1136" s="757"/>
      <c r="AM1136" s="757"/>
      <c r="AN1136" s="757"/>
      <c r="AO1136" s="757"/>
      <c r="AP1136" s="757"/>
      <c r="AQ1136" s="757"/>
      <c r="AR1136" s="757"/>
      <c r="AS1136" s="757"/>
      <c r="AT1136" s="757"/>
      <c r="AU1136" s="757"/>
      <c r="AV1136" s="757"/>
      <c r="AW1136" s="757"/>
      <c r="AX1136" s="757"/>
      <c r="AY1136" s="757"/>
      <c r="AZ1136" s="75"/>
      <c r="BA1136" s="2"/>
      <c r="BB1136" s="2"/>
      <c r="BC1136" s="2"/>
      <c r="BD1136" s="2"/>
    </row>
    <row r="1137" spans="1:56">
      <c r="A1137" s="781">
        <v>2</v>
      </c>
      <c r="B1137" s="782">
        <v>237</v>
      </c>
      <c r="C1137" s="783">
        <v>45534</v>
      </c>
      <c r="D1137" s="785" t="s">
        <v>1610</v>
      </c>
      <c r="E1137" s="808"/>
      <c r="F1137" s="799"/>
      <c r="G1137" s="799"/>
      <c r="H1137" s="1592">
        <f t="shared" si="51"/>
        <v>0</v>
      </c>
      <c r="I1137" s="754" t="str">
        <f>IFERROR(VLOOKUP(B1137,Mychart!$A$125:$B$911,2,FALSE),"-")</f>
        <v>HAMAD SAWUDI . IBTESAM</v>
      </c>
      <c r="J1137" s="753">
        <f t="shared" si="52"/>
        <v>8</v>
      </c>
      <c r="K1137" s="1540">
        <f t="shared" si="53"/>
        <v>2024</v>
      </c>
      <c r="L1137" s="757"/>
      <c r="M1137" s="757"/>
      <c r="N1137" s="757"/>
      <c r="O1137" s="757"/>
      <c r="P1137" s="757"/>
      <c r="Q1137" s="757"/>
      <c r="R1137" s="757"/>
      <c r="S1137" s="757"/>
      <c r="T1137" s="757"/>
      <c r="U1137" s="757"/>
      <c r="V1137" s="757"/>
      <c r="W1137" s="757"/>
      <c r="X1137" s="757"/>
      <c r="Y1137" s="757"/>
      <c r="Z1137" s="757"/>
      <c r="AA1137" s="757"/>
      <c r="AB1137" s="757"/>
      <c r="AC1137" s="757"/>
      <c r="AD1137" s="757"/>
      <c r="AE1137" s="757"/>
      <c r="AF1137" s="757"/>
      <c r="AG1137" s="757"/>
      <c r="AH1137" s="757"/>
      <c r="AI1137" s="757"/>
      <c r="AJ1137" s="757"/>
      <c r="AK1137" s="757"/>
      <c r="AL1137" s="757"/>
      <c r="AM1137" s="757"/>
      <c r="AN1137" s="757"/>
      <c r="AO1137" s="757"/>
      <c r="AP1137" s="757"/>
      <c r="AQ1137" s="757"/>
      <c r="AR1137" s="757"/>
      <c r="AS1137" s="757"/>
      <c r="AT1137" s="757"/>
      <c r="AU1137" s="757"/>
      <c r="AV1137" s="757"/>
      <c r="AW1137" s="757"/>
      <c r="AX1137" s="757"/>
      <c r="AY1137" s="757"/>
      <c r="AZ1137" s="75"/>
      <c r="BA1137" s="2"/>
      <c r="BB1137" s="2"/>
      <c r="BC1137" s="2"/>
      <c r="BD1137" s="2"/>
    </row>
    <row r="1138" spans="1:56">
      <c r="A1138" s="781">
        <v>2</v>
      </c>
      <c r="B1138" s="782">
        <v>242</v>
      </c>
      <c r="C1138" s="783">
        <v>45534</v>
      </c>
      <c r="D1138" s="785" t="s">
        <v>1610</v>
      </c>
      <c r="E1138" s="808"/>
      <c r="F1138" s="799"/>
      <c r="G1138" s="799"/>
      <c r="H1138" s="1592">
        <f t="shared" si="51"/>
        <v>0</v>
      </c>
      <c r="I1138" s="754" t="str">
        <f>IFERROR(VLOOKUP(B1138,Mychart!$A$125:$B$911,2,FALSE),"-")</f>
        <v>AMMAR - ARCHPIX</v>
      </c>
      <c r="J1138" s="753">
        <f t="shared" si="52"/>
        <v>8</v>
      </c>
      <c r="K1138" s="1540">
        <f t="shared" si="53"/>
        <v>2024</v>
      </c>
      <c r="L1138" s="757"/>
      <c r="M1138" s="757"/>
      <c r="N1138" s="757"/>
      <c r="O1138" s="757"/>
      <c r="P1138" s="757"/>
      <c r="Q1138" s="757"/>
      <c r="R1138" s="757"/>
      <c r="S1138" s="757"/>
      <c r="T1138" s="757"/>
      <c r="U1138" s="757"/>
      <c r="V1138" s="757"/>
      <c r="W1138" s="757"/>
      <c r="X1138" s="757"/>
      <c r="Y1138" s="757"/>
      <c r="Z1138" s="757"/>
      <c r="AA1138" s="757"/>
      <c r="AB1138" s="757"/>
      <c r="AC1138" s="757"/>
      <c r="AD1138" s="757"/>
      <c r="AE1138" s="757"/>
      <c r="AF1138" s="757"/>
      <c r="AG1138" s="757"/>
      <c r="AH1138" s="757"/>
      <c r="AI1138" s="757"/>
      <c r="AJ1138" s="757"/>
      <c r="AK1138" s="757"/>
      <c r="AL1138" s="757"/>
      <c r="AM1138" s="757"/>
      <c r="AN1138" s="757"/>
      <c r="AO1138" s="757"/>
      <c r="AP1138" s="757"/>
      <c r="AQ1138" s="757"/>
      <c r="AR1138" s="757"/>
      <c r="AS1138" s="757"/>
      <c r="AT1138" s="757"/>
      <c r="AU1138" s="757"/>
      <c r="AV1138" s="757"/>
      <c r="AW1138" s="757"/>
      <c r="AX1138" s="757"/>
      <c r="AY1138" s="757"/>
      <c r="AZ1138" s="75"/>
      <c r="BA1138" s="2"/>
      <c r="BB1138" s="2"/>
      <c r="BC1138" s="2"/>
      <c r="BD1138" s="2"/>
    </row>
    <row r="1139" spans="1:56">
      <c r="A1139" s="781">
        <v>2</v>
      </c>
      <c r="B1139" s="782">
        <v>242</v>
      </c>
      <c r="C1139" s="783">
        <v>45506</v>
      </c>
      <c r="D1139" s="785" t="s">
        <v>167</v>
      </c>
      <c r="E1139" s="808">
        <v>42</v>
      </c>
      <c r="F1139" s="799"/>
      <c r="G1139" s="799"/>
      <c r="H1139" s="1592">
        <f t="shared" si="51"/>
        <v>0</v>
      </c>
      <c r="I1139" s="754" t="str">
        <f>IFERROR(VLOOKUP(B1139,Mychart!$A$125:$B$911,2,FALSE),"-")</f>
        <v>AMMAR - ARCHPIX</v>
      </c>
      <c r="J1139" s="753">
        <f t="shared" si="52"/>
        <v>8</v>
      </c>
      <c r="K1139" s="1540">
        <f t="shared" si="53"/>
        <v>2024</v>
      </c>
      <c r="L1139" s="757"/>
      <c r="M1139" s="757"/>
      <c r="N1139" s="757"/>
      <c r="O1139" s="757"/>
      <c r="P1139" s="757"/>
      <c r="Q1139" s="757"/>
      <c r="R1139" s="757"/>
      <c r="S1139" s="757"/>
      <c r="T1139" s="757"/>
      <c r="U1139" s="757"/>
      <c r="V1139" s="757"/>
      <c r="W1139" s="757"/>
      <c r="X1139" s="757"/>
      <c r="Y1139" s="757"/>
      <c r="Z1139" s="757"/>
      <c r="AA1139" s="757"/>
      <c r="AB1139" s="757"/>
      <c r="AC1139" s="757"/>
      <c r="AD1139" s="757"/>
      <c r="AE1139" s="757"/>
      <c r="AF1139" s="757"/>
      <c r="AG1139" s="757"/>
      <c r="AH1139" s="757"/>
      <c r="AI1139" s="757"/>
      <c r="AJ1139" s="757"/>
      <c r="AK1139" s="757"/>
      <c r="AL1139" s="757"/>
      <c r="AM1139" s="757"/>
      <c r="AN1139" s="757"/>
      <c r="AO1139" s="757"/>
      <c r="AP1139" s="757"/>
      <c r="AQ1139" s="757"/>
      <c r="AR1139" s="757"/>
      <c r="AS1139" s="757"/>
      <c r="AT1139" s="757"/>
      <c r="AU1139" s="757"/>
      <c r="AV1139" s="757"/>
      <c r="AW1139" s="757"/>
      <c r="AX1139" s="757"/>
      <c r="AY1139" s="757"/>
      <c r="AZ1139" s="75"/>
      <c r="BA1139" s="2"/>
      <c r="BB1139" s="2"/>
      <c r="BC1139" s="2"/>
      <c r="BD1139" s="2"/>
    </row>
    <row r="1140" spans="1:56">
      <c r="A1140" s="781">
        <v>2</v>
      </c>
      <c r="B1140" s="782">
        <v>246</v>
      </c>
      <c r="C1140" s="783">
        <v>45534</v>
      </c>
      <c r="D1140" s="785" t="s">
        <v>1610</v>
      </c>
      <c r="E1140" s="808"/>
      <c r="F1140" s="799"/>
      <c r="G1140" s="799"/>
      <c r="H1140" s="1592">
        <f t="shared" si="51"/>
        <v>0</v>
      </c>
      <c r="I1140" s="754" t="str">
        <f>IFERROR(VLOOKUP(B1140,Mychart!$A$125:$B$911,2,FALSE),"-")</f>
        <v>Marzok Almatroshi - Archpix</v>
      </c>
      <c r="J1140" s="753">
        <f t="shared" si="52"/>
        <v>8</v>
      </c>
      <c r="K1140" s="1540">
        <f t="shared" si="53"/>
        <v>2024</v>
      </c>
      <c r="L1140" s="757"/>
      <c r="M1140" s="757"/>
      <c r="N1140" s="757"/>
      <c r="O1140" s="757"/>
      <c r="P1140" s="757"/>
      <c r="Q1140" s="757"/>
      <c r="R1140" s="757"/>
      <c r="S1140" s="757"/>
      <c r="T1140" s="757"/>
      <c r="U1140" s="757"/>
      <c r="V1140" s="757"/>
      <c r="W1140" s="757"/>
      <c r="X1140" s="757"/>
      <c r="Y1140" s="757"/>
      <c r="Z1140" s="757"/>
      <c r="AA1140" s="757"/>
      <c r="AB1140" s="757"/>
      <c r="AC1140" s="757"/>
      <c r="AD1140" s="757"/>
      <c r="AE1140" s="757"/>
      <c r="AF1140" s="757"/>
      <c r="AG1140" s="757"/>
      <c r="AH1140" s="757"/>
      <c r="AI1140" s="757"/>
      <c r="AJ1140" s="757"/>
      <c r="AK1140" s="757"/>
      <c r="AL1140" s="757"/>
      <c r="AM1140" s="757"/>
      <c r="AN1140" s="757"/>
      <c r="AO1140" s="757"/>
      <c r="AP1140" s="757"/>
      <c r="AQ1140" s="757"/>
      <c r="AR1140" s="757"/>
      <c r="AS1140" s="757"/>
      <c r="AT1140" s="757"/>
      <c r="AU1140" s="757"/>
      <c r="AV1140" s="757"/>
      <c r="AW1140" s="757"/>
      <c r="AX1140" s="757"/>
      <c r="AY1140" s="757"/>
      <c r="AZ1140" s="75"/>
      <c r="BA1140" s="2"/>
      <c r="BB1140" s="2"/>
      <c r="BC1140" s="2"/>
      <c r="BD1140" s="2"/>
    </row>
    <row r="1141" spans="1:56">
      <c r="A1141" s="781">
        <v>2</v>
      </c>
      <c r="B1141" s="782">
        <v>250</v>
      </c>
      <c r="C1141" s="783">
        <v>45534</v>
      </c>
      <c r="D1141" s="785" t="s">
        <v>1610</v>
      </c>
      <c r="E1141" s="808"/>
      <c r="F1141" s="799"/>
      <c r="G1141" s="799"/>
      <c r="H1141" s="1592">
        <f t="shared" si="51"/>
        <v>0</v>
      </c>
      <c r="I1141" s="754" t="str">
        <f>IFERROR(VLOOKUP(B1141,Mychart!$A$125:$B$911,2,FALSE),"-")</f>
        <v>ABDULLAH JASSEM-DYNAMIC</v>
      </c>
      <c r="J1141" s="753">
        <f t="shared" si="52"/>
        <v>8</v>
      </c>
      <c r="K1141" s="1540">
        <f t="shared" si="53"/>
        <v>2024</v>
      </c>
      <c r="L1141" s="757"/>
      <c r="M1141" s="757"/>
      <c r="N1141" s="757"/>
      <c r="O1141" s="757"/>
      <c r="P1141" s="757"/>
      <c r="Q1141" s="757"/>
      <c r="R1141" s="757"/>
      <c r="S1141" s="757"/>
      <c r="T1141" s="757"/>
      <c r="U1141" s="757"/>
      <c r="V1141" s="757"/>
      <c r="W1141" s="757"/>
      <c r="X1141" s="757"/>
      <c r="Y1141" s="757"/>
      <c r="Z1141" s="757"/>
      <c r="AA1141" s="757"/>
      <c r="AB1141" s="757"/>
      <c r="AC1141" s="757"/>
      <c r="AD1141" s="757"/>
      <c r="AE1141" s="757"/>
      <c r="AF1141" s="757"/>
      <c r="AG1141" s="757"/>
      <c r="AH1141" s="757"/>
      <c r="AI1141" s="757"/>
      <c r="AJ1141" s="757"/>
      <c r="AK1141" s="757"/>
      <c r="AL1141" s="757"/>
      <c r="AM1141" s="757"/>
      <c r="AN1141" s="757"/>
      <c r="AO1141" s="757"/>
      <c r="AP1141" s="757"/>
      <c r="AQ1141" s="757"/>
      <c r="AR1141" s="757"/>
      <c r="AS1141" s="757"/>
      <c r="AT1141" s="757"/>
      <c r="AU1141" s="757"/>
      <c r="AV1141" s="757"/>
      <c r="AW1141" s="757"/>
      <c r="AX1141" s="757"/>
      <c r="AY1141" s="757"/>
      <c r="AZ1141" s="75"/>
      <c r="BA1141" s="2"/>
      <c r="BB1141" s="2"/>
      <c r="BC1141" s="2"/>
      <c r="BD1141" s="2"/>
    </row>
    <row r="1142" spans="1:56">
      <c r="A1142" s="781">
        <v>2</v>
      </c>
      <c r="B1142" s="782">
        <v>252</v>
      </c>
      <c r="C1142" s="783">
        <v>45534</v>
      </c>
      <c r="D1142" s="785" t="s">
        <v>1610</v>
      </c>
      <c r="E1142" s="808"/>
      <c r="F1142" s="799"/>
      <c r="G1142" s="799"/>
      <c r="H1142" s="1592">
        <f t="shared" si="51"/>
        <v>0</v>
      </c>
      <c r="I1142" s="754" t="str">
        <f>IFERROR(VLOOKUP(B1142,Mychart!$A$125:$B$911,2,FALSE),"-")</f>
        <v>Mohamed Saif - HBC</v>
      </c>
      <c r="J1142" s="753">
        <f t="shared" si="52"/>
        <v>8</v>
      </c>
      <c r="K1142" s="1540">
        <f t="shared" si="53"/>
        <v>2024</v>
      </c>
      <c r="L1142" s="757"/>
      <c r="M1142" s="757"/>
      <c r="N1142" s="757"/>
      <c r="O1142" s="757"/>
      <c r="P1142" s="757"/>
      <c r="Q1142" s="757"/>
      <c r="R1142" s="757"/>
      <c r="S1142" s="757"/>
      <c r="T1142" s="757"/>
      <c r="U1142" s="757"/>
      <c r="V1142" s="757"/>
      <c r="W1142" s="757"/>
      <c r="X1142" s="757"/>
      <c r="Y1142" s="757"/>
      <c r="Z1142" s="757"/>
      <c r="AA1142" s="757"/>
      <c r="AB1142" s="757"/>
      <c r="AC1142" s="757"/>
      <c r="AD1142" s="757"/>
      <c r="AE1142" s="757"/>
      <c r="AF1142" s="757"/>
      <c r="AG1142" s="757"/>
      <c r="AH1142" s="757"/>
      <c r="AI1142" s="757"/>
      <c r="AJ1142" s="757"/>
      <c r="AK1142" s="757"/>
      <c r="AL1142" s="757"/>
      <c r="AM1142" s="757"/>
      <c r="AN1142" s="757"/>
      <c r="AO1142" s="757"/>
      <c r="AP1142" s="757"/>
      <c r="AQ1142" s="757"/>
      <c r="AR1142" s="757"/>
      <c r="AS1142" s="757"/>
      <c r="AT1142" s="757"/>
      <c r="AU1142" s="757"/>
      <c r="AV1142" s="757"/>
      <c r="AW1142" s="757"/>
      <c r="AX1142" s="757"/>
      <c r="AY1142" s="757"/>
      <c r="AZ1142" s="75"/>
      <c r="BA1142" s="2"/>
      <c r="BB1142" s="2"/>
      <c r="BC1142" s="2"/>
      <c r="BD1142" s="2"/>
    </row>
    <row r="1143" spans="1:56">
      <c r="A1143" s="781">
        <v>2</v>
      </c>
      <c r="B1143" s="782">
        <v>255</v>
      </c>
      <c r="C1143" s="783">
        <v>45534</v>
      </c>
      <c r="D1143" s="785" t="s">
        <v>1610</v>
      </c>
      <c r="E1143" s="808"/>
      <c r="F1143" s="799"/>
      <c r="G1143" s="799"/>
      <c r="H1143" s="1592">
        <f t="shared" si="51"/>
        <v>0</v>
      </c>
      <c r="I1143" s="754" t="str">
        <f>IFERROR(VLOOKUP(B1143,Mychart!$A$125:$B$911,2,FALSE),"-")</f>
        <v>ESSA KHALIFA</v>
      </c>
      <c r="J1143" s="753">
        <f t="shared" si="52"/>
        <v>8</v>
      </c>
      <c r="K1143" s="1540">
        <f t="shared" si="53"/>
        <v>2024</v>
      </c>
      <c r="L1143" s="757"/>
      <c r="M1143" s="757"/>
      <c r="N1143" s="757"/>
      <c r="O1143" s="757"/>
      <c r="P1143" s="757"/>
      <c r="Q1143" s="757"/>
      <c r="R1143" s="757"/>
      <c r="S1143" s="757"/>
      <c r="T1143" s="757"/>
      <c r="U1143" s="757"/>
      <c r="V1143" s="757"/>
      <c r="W1143" s="757"/>
      <c r="X1143" s="757"/>
      <c r="Y1143" s="757"/>
      <c r="Z1143" s="757"/>
      <c r="AA1143" s="757"/>
      <c r="AB1143" s="757"/>
      <c r="AC1143" s="757"/>
      <c r="AD1143" s="757"/>
      <c r="AE1143" s="757"/>
      <c r="AF1143" s="757"/>
      <c r="AG1143" s="757"/>
      <c r="AH1143" s="757"/>
      <c r="AI1143" s="757"/>
      <c r="AJ1143" s="757"/>
      <c r="AK1143" s="757"/>
      <c r="AL1143" s="757"/>
      <c r="AM1143" s="757"/>
      <c r="AN1143" s="757"/>
      <c r="AO1143" s="757"/>
      <c r="AP1143" s="757"/>
      <c r="AQ1143" s="757"/>
      <c r="AR1143" s="757"/>
      <c r="AS1143" s="757"/>
      <c r="AT1143" s="757"/>
      <c r="AU1143" s="757"/>
      <c r="AV1143" s="757"/>
      <c r="AW1143" s="757"/>
      <c r="AX1143" s="757"/>
      <c r="AY1143" s="757"/>
      <c r="AZ1143" s="75"/>
      <c r="BA1143" s="2"/>
      <c r="BB1143" s="2"/>
      <c r="BC1143" s="2"/>
      <c r="BD1143" s="2"/>
    </row>
    <row r="1144" spans="1:56">
      <c r="A1144" s="781">
        <v>2</v>
      </c>
      <c r="B1144" s="782">
        <v>256</v>
      </c>
      <c r="C1144" s="783">
        <v>45534</v>
      </c>
      <c r="D1144" s="785" t="s">
        <v>1610</v>
      </c>
      <c r="E1144" s="808"/>
      <c r="F1144" s="799"/>
      <c r="G1144" s="799"/>
      <c r="H1144" s="1592">
        <f t="shared" si="51"/>
        <v>0</v>
      </c>
      <c r="I1144" s="754" t="str">
        <f>IFERROR(VLOOKUP(B1144,Mychart!$A$125:$B$911,2,FALSE),"-")</f>
        <v>ADNAN DUBAI SKY</v>
      </c>
      <c r="J1144" s="753">
        <f t="shared" si="52"/>
        <v>8</v>
      </c>
      <c r="K1144" s="1540">
        <f t="shared" si="53"/>
        <v>2024</v>
      </c>
      <c r="L1144" s="757"/>
      <c r="M1144" s="757"/>
      <c r="N1144" s="757"/>
      <c r="O1144" s="757"/>
      <c r="P1144" s="757"/>
      <c r="Q1144" s="757"/>
      <c r="R1144" s="757"/>
      <c r="S1144" s="757"/>
      <c r="T1144" s="757"/>
      <c r="U1144" s="757"/>
      <c r="V1144" s="757"/>
      <c r="W1144" s="757"/>
      <c r="X1144" s="757"/>
      <c r="Y1144" s="757"/>
      <c r="Z1144" s="757"/>
      <c r="AA1144" s="757"/>
      <c r="AB1144" s="757"/>
      <c r="AC1144" s="757"/>
      <c r="AD1144" s="757"/>
      <c r="AE1144" s="757"/>
      <c r="AF1144" s="757"/>
      <c r="AG1144" s="757"/>
      <c r="AH1144" s="757"/>
      <c r="AI1144" s="757"/>
      <c r="AJ1144" s="757"/>
      <c r="AK1144" s="757"/>
      <c r="AL1144" s="757"/>
      <c r="AM1144" s="757"/>
      <c r="AN1144" s="757"/>
      <c r="AO1144" s="757"/>
      <c r="AP1144" s="757"/>
      <c r="AQ1144" s="757"/>
      <c r="AR1144" s="757"/>
      <c r="AS1144" s="757"/>
      <c r="AT1144" s="757"/>
      <c r="AU1144" s="757"/>
      <c r="AV1144" s="757"/>
      <c r="AW1144" s="757"/>
      <c r="AX1144" s="757"/>
      <c r="AY1144" s="757"/>
      <c r="AZ1144" s="75"/>
      <c r="BA1144" s="2"/>
      <c r="BB1144" s="2"/>
      <c r="BC1144" s="2"/>
      <c r="BD1144" s="2"/>
    </row>
    <row r="1145" spans="1:56">
      <c r="A1145" s="781">
        <v>2</v>
      </c>
      <c r="B1145" s="782">
        <v>262</v>
      </c>
      <c r="C1145" s="783">
        <v>45534</v>
      </c>
      <c r="D1145" s="785" t="s">
        <v>1610</v>
      </c>
      <c r="E1145" s="808"/>
      <c r="F1145" s="799"/>
      <c r="G1145" s="799"/>
      <c r="H1145" s="1592">
        <f t="shared" si="51"/>
        <v>0</v>
      </c>
      <c r="I1145" s="754" t="str">
        <f>IFERROR(VLOOKUP(B1145,Mychart!$A$125:$B$911,2,FALSE),"-")</f>
        <v>Amna Ahmed</v>
      </c>
      <c r="J1145" s="753">
        <f t="shared" si="52"/>
        <v>8</v>
      </c>
      <c r="K1145" s="1540">
        <f t="shared" si="53"/>
        <v>2024</v>
      </c>
      <c r="L1145" s="757"/>
      <c r="M1145" s="757"/>
      <c r="N1145" s="757"/>
      <c r="O1145" s="757"/>
      <c r="P1145" s="757"/>
      <c r="Q1145" s="757"/>
      <c r="R1145" s="757"/>
      <c r="S1145" s="757"/>
      <c r="T1145" s="757"/>
      <c r="U1145" s="757"/>
      <c r="V1145" s="757"/>
      <c r="W1145" s="757"/>
      <c r="X1145" s="757"/>
      <c r="Y1145" s="757"/>
      <c r="Z1145" s="757"/>
      <c r="AA1145" s="757"/>
      <c r="AB1145" s="757"/>
      <c r="AC1145" s="757"/>
      <c r="AD1145" s="757"/>
      <c r="AE1145" s="757"/>
      <c r="AF1145" s="757"/>
      <c r="AG1145" s="757"/>
      <c r="AH1145" s="757"/>
      <c r="AI1145" s="757"/>
      <c r="AJ1145" s="757"/>
      <c r="AK1145" s="757"/>
      <c r="AL1145" s="757"/>
      <c r="AM1145" s="757"/>
      <c r="AN1145" s="757"/>
      <c r="AO1145" s="757"/>
      <c r="AP1145" s="757"/>
      <c r="AQ1145" s="757"/>
      <c r="AR1145" s="757"/>
      <c r="AS1145" s="757"/>
      <c r="AT1145" s="757"/>
      <c r="AU1145" s="757"/>
      <c r="AV1145" s="757"/>
      <c r="AW1145" s="757"/>
      <c r="AX1145" s="757"/>
      <c r="AY1145" s="757"/>
      <c r="AZ1145" s="75"/>
      <c r="BA1145" s="2"/>
      <c r="BB1145" s="2"/>
      <c r="BC1145" s="2"/>
      <c r="BD1145" s="2"/>
    </row>
    <row r="1146" spans="1:56">
      <c r="A1146" s="781">
        <v>2</v>
      </c>
      <c r="B1146" s="782">
        <v>275</v>
      </c>
      <c r="C1146" s="783">
        <v>45534</v>
      </c>
      <c r="D1146" s="785" t="s">
        <v>1610</v>
      </c>
      <c r="E1146" s="808"/>
      <c r="F1146" s="799"/>
      <c r="G1146" s="799"/>
      <c r="H1146" s="1592">
        <f t="shared" si="51"/>
        <v>0</v>
      </c>
      <c r="I1146" s="754" t="str">
        <f>IFERROR(VLOOKUP(B1146,Mychart!$A$125:$B$911,2,FALSE),"-")</f>
        <v>meshaal saqar - irtekaz</v>
      </c>
      <c r="J1146" s="753">
        <f t="shared" si="52"/>
        <v>8</v>
      </c>
      <c r="K1146" s="1540">
        <f t="shared" si="53"/>
        <v>2024</v>
      </c>
      <c r="L1146" s="757"/>
      <c r="M1146" s="757"/>
      <c r="N1146" s="757"/>
      <c r="O1146" s="757"/>
      <c r="P1146" s="757"/>
      <c r="Q1146" s="757"/>
      <c r="R1146" s="757"/>
      <c r="S1146" s="757"/>
      <c r="T1146" s="757"/>
      <c r="U1146" s="757"/>
      <c r="V1146" s="757"/>
      <c r="W1146" s="757"/>
      <c r="X1146" s="757"/>
      <c r="Y1146" s="757"/>
      <c r="Z1146" s="757"/>
      <c r="AA1146" s="757"/>
      <c r="AB1146" s="757"/>
      <c r="AC1146" s="757"/>
      <c r="AD1146" s="757"/>
      <c r="AE1146" s="757"/>
      <c r="AF1146" s="757"/>
      <c r="AG1146" s="757"/>
      <c r="AH1146" s="757"/>
      <c r="AI1146" s="757"/>
      <c r="AJ1146" s="757"/>
      <c r="AK1146" s="757"/>
      <c r="AL1146" s="757"/>
      <c r="AM1146" s="757"/>
      <c r="AN1146" s="757"/>
      <c r="AO1146" s="757"/>
      <c r="AP1146" s="757"/>
      <c r="AQ1146" s="757"/>
      <c r="AR1146" s="757"/>
      <c r="AS1146" s="757"/>
      <c r="AT1146" s="757"/>
      <c r="AU1146" s="757"/>
      <c r="AV1146" s="757"/>
      <c r="AW1146" s="757"/>
      <c r="AX1146" s="757"/>
      <c r="AY1146" s="757"/>
      <c r="AZ1146" s="75"/>
      <c r="BA1146" s="2"/>
      <c r="BB1146" s="2"/>
      <c r="BC1146" s="2"/>
      <c r="BD1146" s="2"/>
    </row>
    <row r="1147" spans="1:56">
      <c r="A1147" s="781">
        <v>2</v>
      </c>
      <c r="B1147" s="782">
        <v>277</v>
      </c>
      <c r="C1147" s="783">
        <v>45534</v>
      </c>
      <c r="D1147" s="785" t="s">
        <v>1610</v>
      </c>
      <c r="E1147" s="808"/>
      <c r="F1147" s="799"/>
      <c r="G1147" s="799"/>
      <c r="H1147" s="1592">
        <f t="shared" si="51"/>
        <v>0</v>
      </c>
      <c r="I1147" s="754" t="str">
        <f>IFERROR(VLOOKUP(B1147,Mychart!$A$125:$B$911,2,FALSE),"-")</f>
        <v>ABDULRHMAN ESSA ALI</v>
      </c>
      <c r="J1147" s="753">
        <f t="shared" si="52"/>
        <v>8</v>
      </c>
      <c r="K1147" s="1540">
        <f t="shared" si="53"/>
        <v>2024</v>
      </c>
      <c r="L1147" s="757"/>
      <c r="M1147" s="757"/>
      <c r="N1147" s="757"/>
      <c r="O1147" s="757"/>
      <c r="P1147" s="757"/>
      <c r="Q1147" s="757"/>
      <c r="R1147" s="757"/>
      <c r="S1147" s="757"/>
      <c r="T1147" s="757"/>
      <c r="U1147" s="757"/>
      <c r="V1147" s="757"/>
      <c r="W1147" s="757"/>
      <c r="X1147" s="757"/>
      <c r="Y1147" s="757"/>
      <c r="Z1147" s="757"/>
      <c r="AA1147" s="757"/>
      <c r="AB1147" s="757"/>
      <c r="AC1147" s="757"/>
      <c r="AD1147" s="757"/>
      <c r="AE1147" s="757"/>
      <c r="AF1147" s="757"/>
      <c r="AG1147" s="757"/>
      <c r="AH1147" s="757"/>
      <c r="AI1147" s="757"/>
      <c r="AJ1147" s="757"/>
      <c r="AK1147" s="757"/>
      <c r="AL1147" s="757"/>
      <c r="AM1147" s="757"/>
      <c r="AN1147" s="757"/>
      <c r="AO1147" s="757"/>
      <c r="AP1147" s="757"/>
      <c r="AQ1147" s="757"/>
      <c r="AR1147" s="757"/>
      <c r="AS1147" s="757"/>
      <c r="AT1147" s="757"/>
      <c r="AU1147" s="757"/>
      <c r="AV1147" s="757"/>
      <c r="AW1147" s="757"/>
      <c r="AX1147" s="757"/>
      <c r="AY1147" s="757"/>
      <c r="AZ1147" s="75"/>
      <c r="BA1147" s="2"/>
      <c r="BB1147" s="2"/>
      <c r="BC1147" s="2"/>
      <c r="BD1147" s="2"/>
    </row>
    <row r="1148" spans="1:56">
      <c r="A1148" s="781">
        <v>2</v>
      </c>
      <c r="B1148" s="782">
        <v>216</v>
      </c>
      <c r="C1148" s="783">
        <v>45538</v>
      </c>
      <c r="D1148" s="785" t="s">
        <v>166</v>
      </c>
      <c r="E1148" s="808">
        <v>3100.18</v>
      </c>
      <c r="F1148" s="799"/>
      <c r="G1148" s="799"/>
      <c r="H1148" s="1592">
        <f t="shared" si="51"/>
        <v>0</v>
      </c>
      <c r="I1148" s="754" t="str">
        <f>IFERROR(VLOOKUP(B1148,Mychart!$A$125:$B$911,2,FALSE),"-")</f>
        <v>MUHAIR . AREEJ ( 165000 )</v>
      </c>
      <c r="J1148" s="753">
        <f t="shared" si="52"/>
        <v>9</v>
      </c>
      <c r="K1148" s="1540">
        <f t="shared" si="53"/>
        <v>2024</v>
      </c>
      <c r="L1148" s="757"/>
      <c r="M1148" s="757"/>
      <c r="N1148" s="757"/>
      <c r="O1148" s="757"/>
      <c r="P1148" s="757"/>
      <c r="Q1148" s="757"/>
      <c r="R1148" s="757"/>
      <c r="S1148" s="757"/>
      <c r="T1148" s="757"/>
      <c r="U1148" s="757"/>
      <c r="V1148" s="757"/>
      <c r="W1148" s="757"/>
      <c r="X1148" s="757"/>
      <c r="Y1148" s="757"/>
      <c r="Z1148" s="757"/>
      <c r="AA1148" s="757"/>
      <c r="AB1148" s="757"/>
      <c r="AC1148" s="757"/>
      <c r="AD1148" s="757"/>
      <c r="AE1148" s="757"/>
      <c r="AF1148" s="757"/>
      <c r="AG1148" s="757"/>
      <c r="AH1148" s="757"/>
      <c r="AI1148" s="757"/>
      <c r="AJ1148" s="757"/>
      <c r="AK1148" s="757"/>
      <c r="AL1148" s="757"/>
      <c r="AM1148" s="757"/>
      <c r="AN1148" s="757"/>
      <c r="AO1148" s="757"/>
      <c r="AP1148" s="757"/>
      <c r="AQ1148" s="757"/>
      <c r="AR1148" s="757"/>
      <c r="AS1148" s="757"/>
      <c r="AT1148" s="757"/>
      <c r="AU1148" s="757"/>
      <c r="AV1148" s="757"/>
      <c r="AW1148" s="757"/>
      <c r="AX1148" s="757"/>
      <c r="AY1148" s="757"/>
      <c r="AZ1148" s="75"/>
      <c r="BA1148" s="2"/>
      <c r="BB1148" s="2"/>
      <c r="BC1148" s="2"/>
      <c r="BD1148" s="2"/>
    </row>
    <row r="1149" spans="1:56">
      <c r="A1149" s="781">
        <v>1</v>
      </c>
      <c r="B1149" s="782">
        <v>286</v>
      </c>
      <c r="C1149" s="783">
        <v>45549</v>
      </c>
      <c r="D1149" s="785" t="s">
        <v>1769</v>
      </c>
      <c r="E1149" s="808"/>
      <c r="F1149" s="799">
        <v>23625</v>
      </c>
      <c r="G1149" s="799"/>
      <c r="H1149" s="1592">
        <f t="shared" si="51"/>
        <v>23625</v>
      </c>
      <c r="I1149" s="754" t="str">
        <f>IFERROR(VLOOKUP(B1149,Mychart!$A$125:$B$911,2,FALSE),"-")</f>
        <v>Omar Mohamed Abdullah Ahli</v>
      </c>
      <c r="J1149" s="753">
        <f t="shared" si="52"/>
        <v>9</v>
      </c>
      <c r="K1149" s="1540">
        <f t="shared" si="53"/>
        <v>2024</v>
      </c>
      <c r="L1149" s="757"/>
      <c r="M1149" s="757"/>
      <c r="N1149" s="757"/>
      <c r="O1149" s="757"/>
      <c r="P1149" s="757"/>
      <c r="Q1149" s="757"/>
      <c r="R1149" s="757"/>
      <c r="S1149" s="757"/>
      <c r="T1149" s="757"/>
      <c r="U1149" s="757"/>
      <c r="V1149" s="757"/>
      <c r="W1149" s="757"/>
      <c r="X1149" s="757"/>
      <c r="Y1149" s="757"/>
      <c r="Z1149" s="757"/>
      <c r="AA1149" s="757"/>
      <c r="AB1149" s="757"/>
      <c r="AC1149" s="757"/>
      <c r="AD1149" s="757"/>
      <c r="AE1149" s="757"/>
      <c r="AF1149" s="757"/>
      <c r="AG1149" s="757"/>
      <c r="AH1149" s="757"/>
      <c r="AI1149" s="757"/>
      <c r="AJ1149" s="757"/>
      <c r="AK1149" s="757"/>
      <c r="AL1149" s="757"/>
      <c r="AM1149" s="757"/>
      <c r="AN1149" s="757"/>
      <c r="AO1149" s="757"/>
      <c r="AP1149" s="757"/>
      <c r="AQ1149" s="757"/>
      <c r="AR1149" s="757"/>
      <c r="AS1149" s="757"/>
      <c r="AT1149" s="757"/>
      <c r="AU1149" s="757"/>
      <c r="AV1149" s="757"/>
      <c r="AW1149" s="757"/>
      <c r="AX1149" s="757"/>
      <c r="AY1149" s="757"/>
      <c r="AZ1149" s="75"/>
      <c r="BA1149" s="2"/>
      <c r="BB1149" s="2"/>
      <c r="BC1149" s="2"/>
      <c r="BD1149" s="2"/>
    </row>
    <row r="1150" spans="1:56">
      <c r="A1150" s="781">
        <v>1</v>
      </c>
      <c r="B1150" s="782">
        <v>285</v>
      </c>
      <c r="C1150" s="783">
        <v>45544</v>
      </c>
      <c r="D1150" s="785" t="s">
        <v>1770</v>
      </c>
      <c r="E1150" s="808"/>
      <c r="F1150" s="799">
        <v>15750</v>
      </c>
      <c r="G1150" s="799"/>
      <c r="H1150" s="1592">
        <f t="shared" si="51"/>
        <v>15750</v>
      </c>
      <c r="I1150" s="754" t="str">
        <f>IFERROR(VLOOKUP(B1150,Mychart!$A$125:$B$911,2,FALSE),"-")</f>
        <v>ADEL DEELEB AHMAD MOHAMMED</v>
      </c>
      <c r="J1150" s="753">
        <f t="shared" si="52"/>
        <v>9</v>
      </c>
      <c r="K1150" s="1540">
        <f t="shared" si="53"/>
        <v>2024</v>
      </c>
      <c r="L1150" s="757"/>
      <c r="M1150" s="757"/>
      <c r="N1150" s="757"/>
      <c r="O1150" s="757"/>
      <c r="P1150" s="757"/>
      <c r="Q1150" s="757"/>
      <c r="R1150" s="757"/>
      <c r="S1150" s="757"/>
      <c r="T1150" s="757"/>
      <c r="U1150" s="757"/>
      <c r="V1150" s="757"/>
      <c r="W1150" s="757"/>
      <c r="X1150" s="757"/>
      <c r="Y1150" s="757"/>
      <c r="Z1150" s="757"/>
      <c r="AA1150" s="757"/>
      <c r="AB1150" s="757"/>
      <c r="AC1150" s="757"/>
      <c r="AD1150" s="757"/>
      <c r="AE1150" s="757"/>
      <c r="AF1150" s="757"/>
      <c r="AG1150" s="757"/>
      <c r="AH1150" s="757"/>
      <c r="AI1150" s="757"/>
      <c r="AJ1150" s="757"/>
      <c r="AK1150" s="757"/>
      <c r="AL1150" s="757"/>
      <c r="AM1150" s="757"/>
      <c r="AN1150" s="757"/>
      <c r="AO1150" s="757"/>
      <c r="AP1150" s="757"/>
      <c r="AQ1150" s="757"/>
      <c r="AR1150" s="757"/>
      <c r="AS1150" s="757"/>
      <c r="AT1150" s="757"/>
      <c r="AU1150" s="757"/>
      <c r="AV1150" s="757"/>
      <c r="AW1150" s="757"/>
      <c r="AX1150" s="757"/>
      <c r="AY1150" s="757"/>
      <c r="AZ1150" s="75"/>
      <c r="BA1150" s="2"/>
      <c r="BB1150" s="2"/>
      <c r="BC1150" s="2"/>
      <c r="BD1150" s="2"/>
    </row>
    <row r="1151" spans="1:56">
      <c r="A1151" s="781">
        <v>1</v>
      </c>
      <c r="B1151" s="782">
        <v>202</v>
      </c>
      <c r="C1151" s="783">
        <v>45549</v>
      </c>
      <c r="D1151" s="785" t="s">
        <v>1771</v>
      </c>
      <c r="E1151" s="808"/>
      <c r="F1151" s="799">
        <v>10500</v>
      </c>
      <c r="G1151" s="799"/>
      <c r="H1151" s="1592">
        <f t="shared" si="51"/>
        <v>10500</v>
      </c>
      <c r="I1151" s="754" t="str">
        <f>IFERROR(VLOOKUP(B1151,Mychart!$A$125:$B$911,2,FALSE),"-")</f>
        <v>AHMED HELAL - ERTIKAZ</v>
      </c>
      <c r="J1151" s="753">
        <f t="shared" si="52"/>
        <v>9</v>
      </c>
      <c r="K1151" s="1540">
        <f t="shared" si="53"/>
        <v>2024</v>
      </c>
      <c r="L1151" s="757"/>
      <c r="M1151" s="757"/>
      <c r="N1151" s="757"/>
      <c r="O1151" s="757"/>
      <c r="P1151" s="757"/>
      <c r="Q1151" s="757"/>
      <c r="R1151" s="757"/>
      <c r="S1151" s="757"/>
      <c r="T1151" s="757"/>
      <c r="U1151" s="757"/>
      <c r="V1151" s="757"/>
      <c r="W1151" s="757"/>
      <c r="X1151" s="757"/>
      <c r="Y1151" s="757"/>
      <c r="Z1151" s="757"/>
      <c r="AA1151" s="757"/>
      <c r="AB1151" s="757"/>
      <c r="AC1151" s="757"/>
      <c r="AD1151" s="757"/>
      <c r="AE1151" s="757"/>
      <c r="AF1151" s="757"/>
      <c r="AG1151" s="757"/>
      <c r="AH1151" s="757"/>
      <c r="AI1151" s="757"/>
      <c r="AJ1151" s="757"/>
      <c r="AK1151" s="757"/>
      <c r="AL1151" s="757"/>
      <c r="AM1151" s="757"/>
      <c r="AN1151" s="757"/>
      <c r="AO1151" s="757"/>
      <c r="AP1151" s="757"/>
      <c r="AQ1151" s="757"/>
      <c r="AR1151" s="757"/>
      <c r="AS1151" s="757"/>
      <c r="AT1151" s="757"/>
      <c r="AU1151" s="757"/>
      <c r="AV1151" s="757"/>
      <c r="AW1151" s="757"/>
      <c r="AX1151" s="757"/>
      <c r="AY1151" s="757"/>
      <c r="AZ1151" s="75"/>
      <c r="BA1151" s="2"/>
      <c r="BB1151" s="2"/>
      <c r="BC1151" s="2"/>
      <c r="BD1151" s="2"/>
    </row>
    <row r="1152" spans="1:56">
      <c r="A1152" s="781">
        <v>1</v>
      </c>
      <c r="B1152" s="782">
        <v>202</v>
      </c>
      <c r="C1152" s="783">
        <v>45549</v>
      </c>
      <c r="D1152" s="785" t="s">
        <v>1772</v>
      </c>
      <c r="E1152" s="808"/>
      <c r="F1152" s="799">
        <v>29622.5</v>
      </c>
      <c r="G1152" s="799"/>
      <c r="H1152" s="1592">
        <f t="shared" si="51"/>
        <v>29622.5</v>
      </c>
      <c r="I1152" s="754" t="str">
        <f>IFERROR(VLOOKUP(B1152,Mychart!$A$125:$B$911,2,FALSE),"-")</f>
        <v>AHMED HELAL - ERTIKAZ</v>
      </c>
      <c r="J1152" s="753">
        <f t="shared" si="52"/>
        <v>9</v>
      </c>
      <c r="K1152" s="1540">
        <f t="shared" si="53"/>
        <v>2024</v>
      </c>
      <c r="L1152" s="757"/>
      <c r="M1152" s="757"/>
      <c r="N1152" s="757"/>
      <c r="O1152" s="757"/>
      <c r="P1152" s="757"/>
      <c r="Q1152" s="757"/>
      <c r="R1152" s="757"/>
      <c r="S1152" s="757"/>
      <c r="T1152" s="757"/>
      <c r="U1152" s="757"/>
      <c r="V1152" s="757"/>
      <c r="W1152" s="757"/>
      <c r="X1152" s="757"/>
      <c r="Y1152" s="757"/>
      <c r="Z1152" s="757"/>
      <c r="AA1152" s="757"/>
      <c r="AB1152" s="757"/>
      <c r="AC1152" s="757"/>
      <c r="AD1152" s="757"/>
      <c r="AE1152" s="757"/>
      <c r="AF1152" s="757"/>
      <c r="AG1152" s="757"/>
      <c r="AH1152" s="757"/>
      <c r="AI1152" s="757"/>
      <c r="AJ1152" s="757"/>
      <c r="AK1152" s="757"/>
      <c r="AL1152" s="757"/>
      <c r="AM1152" s="757"/>
      <c r="AN1152" s="757"/>
      <c r="AO1152" s="757"/>
      <c r="AP1152" s="757"/>
      <c r="AQ1152" s="757"/>
      <c r="AR1152" s="757"/>
      <c r="AS1152" s="757"/>
      <c r="AT1152" s="757"/>
      <c r="AU1152" s="757"/>
      <c r="AV1152" s="757"/>
      <c r="AW1152" s="757"/>
      <c r="AX1152" s="757"/>
      <c r="AY1152" s="757"/>
      <c r="AZ1152" s="75"/>
      <c r="BA1152" s="2"/>
      <c r="BB1152" s="2"/>
      <c r="BC1152" s="2"/>
      <c r="BD1152" s="2"/>
    </row>
    <row r="1153" spans="1:56">
      <c r="A1153" s="781">
        <v>1</v>
      </c>
      <c r="B1153" s="782">
        <v>275</v>
      </c>
      <c r="C1153" s="783">
        <v>45549</v>
      </c>
      <c r="D1153" s="785" t="s">
        <v>1773</v>
      </c>
      <c r="E1153" s="808"/>
      <c r="F1153" s="799">
        <v>47200</v>
      </c>
      <c r="G1153" s="799">
        <v>2360</v>
      </c>
      <c r="H1153" s="1592">
        <f t="shared" si="51"/>
        <v>49560</v>
      </c>
      <c r="I1153" s="754" t="str">
        <f>IFERROR(VLOOKUP(B1153,Mychart!$A$125:$B$911,2,FALSE),"-")</f>
        <v>meshaal saqar - irtekaz</v>
      </c>
      <c r="J1153" s="753">
        <f t="shared" si="52"/>
        <v>9</v>
      </c>
      <c r="K1153" s="1540">
        <f t="shared" si="53"/>
        <v>2024</v>
      </c>
      <c r="L1153" s="757"/>
      <c r="M1153" s="757"/>
      <c r="N1153" s="757"/>
      <c r="O1153" s="757"/>
      <c r="P1153" s="757"/>
      <c r="Q1153" s="757"/>
      <c r="R1153" s="757"/>
      <c r="S1153" s="757"/>
      <c r="T1153" s="757"/>
      <c r="U1153" s="757"/>
      <c r="V1153" s="757"/>
      <c r="W1153" s="757"/>
      <c r="X1153" s="757"/>
      <c r="Y1153" s="757"/>
      <c r="Z1153" s="757"/>
      <c r="AA1153" s="757"/>
      <c r="AB1153" s="757"/>
      <c r="AC1153" s="757"/>
      <c r="AD1153" s="757"/>
      <c r="AE1153" s="757"/>
      <c r="AF1153" s="757"/>
      <c r="AG1153" s="757"/>
      <c r="AH1153" s="757"/>
      <c r="AI1153" s="757"/>
      <c r="AJ1153" s="757"/>
      <c r="AK1153" s="757"/>
      <c r="AL1153" s="757"/>
      <c r="AM1153" s="757"/>
      <c r="AN1153" s="757"/>
      <c r="AO1153" s="757"/>
      <c r="AP1153" s="757"/>
      <c r="AQ1153" s="757"/>
      <c r="AR1153" s="757"/>
      <c r="AS1153" s="757"/>
      <c r="AT1153" s="757"/>
      <c r="AU1153" s="757"/>
      <c r="AV1153" s="757"/>
      <c r="AW1153" s="757"/>
      <c r="AX1153" s="757"/>
      <c r="AY1153" s="757"/>
      <c r="AZ1153" s="75"/>
      <c r="BA1153" s="2"/>
      <c r="BB1153" s="2"/>
      <c r="BC1153" s="2"/>
      <c r="BD1153" s="2"/>
    </row>
    <row r="1154" spans="1:56">
      <c r="A1154" s="781">
        <v>2</v>
      </c>
      <c r="B1154" s="782">
        <v>275</v>
      </c>
      <c r="C1154" s="783">
        <v>45549</v>
      </c>
      <c r="D1154" s="785" t="s">
        <v>1774</v>
      </c>
      <c r="E1154" s="808"/>
      <c r="F1154" s="799"/>
      <c r="G1154" s="799"/>
      <c r="H1154" s="1592">
        <f t="shared" si="51"/>
        <v>0</v>
      </c>
      <c r="I1154" s="754" t="str">
        <f>IFERROR(VLOOKUP(B1154,Mychart!$A$125:$B$911,2,FALSE),"-")</f>
        <v>meshaal saqar - irtekaz</v>
      </c>
      <c r="J1154" s="753">
        <f t="shared" si="52"/>
        <v>9</v>
      </c>
      <c r="K1154" s="1540">
        <f t="shared" si="53"/>
        <v>2024</v>
      </c>
      <c r="L1154" s="757"/>
      <c r="M1154" s="757"/>
      <c r="N1154" s="757"/>
      <c r="O1154" s="757"/>
      <c r="P1154" s="757"/>
      <c r="Q1154" s="757"/>
      <c r="R1154" s="757"/>
      <c r="S1154" s="757"/>
      <c r="T1154" s="757"/>
      <c r="U1154" s="757"/>
      <c r="V1154" s="757"/>
      <c r="W1154" s="757"/>
      <c r="X1154" s="757"/>
      <c r="Y1154" s="757"/>
      <c r="Z1154" s="757"/>
      <c r="AA1154" s="757"/>
      <c r="AB1154" s="757"/>
      <c r="AC1154" s="757"/>
      <c r="AD1154" s="757"/>
      <c r="AE1154" s="757"/>
      <c r="AF1154" s="757"/>
      <c r="AG1154" s="757"/>
      <c r="AH1154" s="757"/>
      <c r="AI1154" s="757"/>
      <c r="AJ1154" s="757"/>
      <c r="AK1154" s="757"/>
      <c r="AL1154" s="757"/>
      <c r="AM1154" s="757"/>
      <c r="AN1154" s="757"/>
      <c r="AO1154" s="757"/>
      <c r="AP1154" s="757"/>
      <c r="AQ1154" s="757"/>
      <c r="AR1154" s="757"/>
      <c r="AS1154" s="757"/>
      <c r="AT1154" s="757"/>
      <c r="AU1154" s="757"/>
      <c r="AV1154" s="757"/>
      <c r="AW1154" s="757"/>
      <c r="AX1154" s="757"/>
      <c r="AY1154" s="757"/>
      <c r="AZ1154" s="75"/>
      <c r="BA1154" s="2"/>
      <c r="BB1154" s="2"/>
      <c r="BC1154" s="2"/>
      <c r="BD1154" s="2"/>
    </row>
    <row r="1155" spans="1:56">
      <c r="A1155" s="781">
        <v>1</v>
      </c>
      <c r="B1155" s="782">
        <v>233</v>
      </c>
      <c r="C1155" s="783">
        <v>45549</v>
      </c>
      <c r="D1155" s="785" t="s">
        <v>1793</v>
      </c>
      <c r="E1155" s="808"/>
      <c r="F1155" s="799">
        <v>19595.2</v>
      </c>
      <c r="G1155" s="799">
        <v>979.8</v>
      </c>
      <c r="H1155" s="1592">
        <f t="shared" si="51"/>
        <v>20575</v>
      </c>
      <c r="I1155" s="754" t="str">
        <f>IFERROR(VLOOKUP(B1155,Mychart!$A$125:$B$911,2,FALSE),"-")</f>
        <v>MUBARAK . ARCHPIX</v>
      </c>
      <c r="J1155" s="753">
        <f t="shared" si="52"/>
        <v>9</v>
      </c>
      <c r="K1155" s="1540">
        <f t="shared" si="53"/>
        <v>2024</v>
      </c>
      <c r="L1155" s="757"/>
      <c r="M1155" s="757"/>
      <c r="N1155" s="757"/>
      <c r="O1155" s="757"/>
      <c r="P1155" s="757"/>
      <c r="Q1155" s="757"/>
      <c r="R1155" s="757"/>
      <c r="S1155" s="757"/>
      <c r="T1155" s="757"/>
      <c r="U1155" s="757"/>
      <c r="V1155" s="757"/>
      <c r="W1155" s="757"/>
      <c r="X1155" s="757"/>
      <c r="Y1155" s="757"/>
      <c r="Z1155" s="757"/>
      <c r="AA1155" s="757"/>
      <c r="AB1155" s="757"/>
      <c r="AC1155" s="757"/>
      <c r="AD1155" s="757"/>
      <c r="AE1155" s="757"/>
      <c r="AF1155" s="757"/>
      <c r="AG1155" s="757"/>
      <c r="AH1155" s="757"/>
      <c r="AI1155" s="757"/>
      <c r="AJ1155" s="757"/>
      <c r="AK1155" s="757"/>
      <c r="AL1155" s="757"/>
      <c r="AM1155" s="757"/>
      <c r="AN1155" s="757"/>
      <c r="AO1155" s="757"/>
      <c r="AP1155" s="757"/>
      <c r="AQ1155" s="757"/>
      <c r="AR1155" s="757"/>
      <c r="AS1155" s="757"/>
      <c r="AT1155" s="757"/>
      <c r="AU1155" s="757"/>
      <c r="AV1155" s="757"/>
      <c r="AW1155" s="757"/>
      <c r="AX1155" s="757"/>
      <c r="AY1155" s="757"/>
      <c r="AZ1155" s="75"/>
      <c r="BA1155" s="2"/>
      <c r="BB1155" s="2"/>
      <c r="BC1155" s="2"/>
      <c r="BD1155" s="2"/>
    </row>
    <row r="1156" spans="1:56">
      <c r="A1156" s="781">
        <v>2</v>
      </c>
      <c r="B1156" s="782">
        <v>216</v>
      </c>
      <c r="C1156" s="783">
        <v>45551</v>
      </c>
      <c r="D1156" s="785" t="s">
        <v>164</v>
      </c>
      <c r="E1156" s="808">
        <v>0</v>
      </c>
      <c r="F1156" s="799"/>
      <c r="G1156" s="799"/>
      <c r="H1156" s="1592">
        <f t="shared" si="51"/>
        <v>0</v>
      </c>
      <c r="I1156" s="754" t="str">
        <f>IFERROR(VLOOKUP(B1156,Mychart!$A$125:$B$911,2,FALSE),"-")</f>
        <v>MUHAIR . AREEJ ( 165000 )</v>
      </c>
      <c r="J1156" s="753">
        <f t="shared" si="52"/>
        <v>9</v>
      </c>
      <c r="K1156" s="1540">
        <f t="shared" si="53"/>
        <v>2024</v>
      </c>
      <c r="L1156" s="757"/>
      <c r="M1156" s="757"/>
      <c r="N1156" s="757"/>
      <c r="O1156" s="757"/>
      <c r="P1156" s="757"/>
      <c r="Q1156" s="757"/>
      <c r="R1156" s="757"/>
      <c r="S1156" s="757"/>
      <c r="T1156" s="757"/>
      <c r="U1156" s="757"/>
      <c r="V1156" s="757"/>
      <c r="W1156" s="757"/>
      <c r="X1156" s="757"/>
      <c r="Y1156" s="757"/>
      <c r="Z1156" s="757"/>
      <c r="AA1156" s="757"/>
      <c r="AB1156" s="757"/>
      <c r="AC1156" s="757"/>
      <c r="AD1156" s="757"/>
      <c r="AE1156" s="757"/>
      <c r="AF1156" s="757"/>
      <c r="AG1156" s="757"/>
      <c r="AH1156" s="757"/>
      <c r="AI1156" s="757"/>
      <c r="AJ1156" s="757"/>
      <c r="AK1156" s="757"/>
      <c r="AL1156" s="757"/>
      <c r="AM1156" s="757"/>
      <c r="AN1156" s="757"/>
      <c r="AO1156" s="757"/>
      <c r="AP1156" s="757"/>
      <c r="AQ1156" s="757"/>
      <c r="AR1156" s="757"/>
      <c r="AS1156" s="757"/>
      <c r="AT1156" s="757"/>
      <c r="AU1156" s="757"/>
      <c r="AV1156" s="757"/>
      <c r="AW1156" s="757"/>
      <c r="AX1156" s="757"/>
      <c r="AY1156" s="757"/>
      <c r="AZ1156" s="75"/>
      <c r="BA1156" s="2"/>
      <c r="BB1156" s="2"/>
      <c r="BC1156" s="2"/>
      <c r="BD1156" s="2"/>
    </row>
    <row r="1157" spans="1:56">
      <c r="A1157" s="781">
        <v>2</v>
      </c>
      <c r="B1157" s="782">
        <v>216</v>
      </c>
      <c r="C1157" s="783">
        <v>45528</v>
      </c>
      <c r="D1157" s="785" t="s">
        <v>164</v>
      </c>
      <c r="E1157" s="808">
        <v>1050</v>
      </c>
      <c r="F1157" s="799"/>
      <c r="G1157" s="799"/>
      <c r="H1157" s="1592">
        <f t="shared" si="51"/>
        <v>0</v>
      </c>
      <c r="I1157" s="754" t="str">
        <f>IFERROR(VLOOKUP(B1157,Mychart!$A$125:$B$911,2,FALSE),"-")</f>
        <v>MUHAIR . AREEJ ( 165000 )</v>
      </c>
      <c r="J1157" s="753">
        <f t="shared" si="52"/>
        <v>8</v>
      </c>
      <c r="K1157" s="1540">
        <f t="shared" si="53"/>
        <v>2024</v>
      </c>
      <c r="L1157" s="757"/>
      <c r="M1157" s="757"/>
      <c r="N1157" s="757"/>
      <c r="O1157" s="757"/>
      <c r="P1157" s="757"/>
      <c r="Q1157" s="757"/>
      <c r="R1157" s="757"/>
      <c r="S1157" s="757"/>
      <c r="T1157" s="757"/>
      <c r="U1157" s="757"/>
      <c r="V1157" s="757"/>
      <c r="W1157" s="757"/>
      <c r="X1157" s="757"/>
      <c r="Y1157" s="757"/>
      <c r="Z1157" s="757"/>
      <c r="AA1157" s="757"/>
      <c r="AB1157" s="757"/>
      <c r="AC1157" s="757"/>
      <c r="AD1157" s="757"/>
      <c r="AE1157" s="757"/>
      <c r="AF1157" s="757"/>
      <c r="AG1157" s="757"/>
      <c r="AH1157" s="757"/>
      <c r="AI1157" s="757"/>
      <c r="AJ1157" s="757"/>
      <c r="AK1157" s="757"/>
      <c r="AL1157" s="757"/>
      <c r="AM1157" s="757"/>
      <c r="AN1157" s="757"/>
      <c r="AO1157" s="757"/>
      <c r="AP1157" s="757"/>
      <c r="AQ1157" s="757"/>
      <c r="AR1157" s="757"/>
      <c r="AS1157" s="757"/>
      <c r="AT1157" s="757"/>
      <c r="AU1157" s="757"/>
      <c r="AV1157" s="757"/>
      <c r="AW1157" s="757"/>
      <c r="AX1157" s="757"/>
      <c r="AY1157" s="757"/>
      <c r="AZ1157" s="75"/>
      <c r="BA1157" s="2"/>
      <c r="BB1157" s="2"/>
      <c r="BC1157" s="2"/>
      <c r="BD1157" s="2"/>
    </row>
    <row r="1158" spans="1:56">
      <c r="A1158" s="781">
        <v>2</v>
      </c>
      <c r="B1158" s="782">
        <v>216</v>
      </c>
      <c r="C1158" s="783">
        <v>45528</v>
      </c>
      <c r="D1158" s="785" t="s">
        <v>164</v>
      </c>
      <c r="E1158" s="808">
        <v>0</v>
      </c>
      <c r="F1158" s="799"/>
      <c r="G1158" s="799"/>
      <c r="H1158" s="1592">
        <f t="shared" si="51"/>
        <v>0</v>
      </c>
      <c r="I1158" s="754" t="str">
        <f>IFERROR(VLOOKUP(B1158,Mychart!$A$125:$B$911,2,FALSE),"-")</f>
        <v>MUHAIR . AREEJ ( 165000 )</v>
      </c>
      <c r="J1158" s="753">
        <f t="shared" si="52"/>
        <v>8</v>
      </c>
      <c r="K1158" s="1540">
        <f t="shared" si="53"/>
        <v>2024</v>
      </c>
      <c r="L1158" s="757"/>
      <c r="M1158" s="757"/>
      <c r="N1158" s="757"/>
      <c r="O1158" s="757"/>
      <c r="P1158" s="757"/>
      <c r="Q1158" s="757"/>
      <c r="R1158" s="757"/>
      <c r="S1158" s="757"/>
      <c r="T1158" s="757"/>
      <c r="U1158" s="757"/>
      <c r="V1158" s="757"/>
      <c r="W1158" s="757"/>
      <c r="X1158" s="757"/>
      <c r="Y1158" s="757"/>
      <c r="Z1158" s="757"/>
      <c r="AA1158" s="757"/>
      <c r="AB1158" s="757"/>
      <c r="AC1158" s="757"/>
      <c r="AD1158" s="757"/>
      <c r="AE1158" s="757"/>
      <c r="AF1158" s="757"/>
      <c r="AG1158" s="757"/>
      <c r="AH1158" s="757"/>
      <c r="AI1158" s="757"/>
      <c r="AJ1158" s="757"/>
      <c r="AK1158" s="757"/>
      <c r="AL1158" s="757"/>
      <c r="AM1158" s="757"/>
      <c r="AN1158" s="757"/>
      <c r="AO1158" s="757"/>
      <c r="AP1158" s="757"/>
      <c r="AQ1158" s="757"/>
      <c r="AR1158" s="757"/>
      <c r="AS1158" s="757"/>
      <c r="AT1158" s="757"/>
      <c r="AU1158" s="757"/>
      <c r="AV1158" s="757"/>
      <c r="AW1158" s="757"/>
      <c r="AX1158" s="757"/>
      <c r="AY1158" s="757"/>
      <c r="AZ1158" s="75"/>
      <c r="BA1158" s="2"/>
      <c r="BB1158" s="2"/>
      <c r="BC1158" s="2"/>
      <c r="BD1158" s="2"/>
    </row>
    <row r="1159" spans="1:56">
      <c r="A1159" s="781">
        <v>2</v>
      </c>
      <c r="B1159" s="782">
        <v>262</v>
      </c>
      <c r="C1159" s="783">
        <v>45511</v>
      </c>
      <c r="D1159" s="785" t="s">
        <v>1800</v>
      </c>
      <c r="E1159" s="808">
        <v>183.46</v>
      </c>
      <c r="F1159" s="799"/>
      <c r="G1159" s="799"/>
      <c r="H1159" s="1592">
        <f t="shared" si="51"/>
        <v>0</v>
      </c>
      <c r="I1159" s="754" t="str">
        <f>IFERROR(VLOOKUP(B1159,Mychart!$A$125:$B$911,2,FALSE),"-")</f>
        <v>Amna Ahmed</v>
      </c>
      <c r="J1159" s="753">
        <f t="shared" si="52"/>
        <v>8</v>
      </c>
      <c r="K1159" s="1540">
        <f t="shared" si="53"/>
        <v>2024</v>
      </c>
      <c r="L1159" s="757"/>
      <c r="M1159" s="757"/>
      <c r="N1159" s="757"/>
      <c r="O1159" s="757"/>
      <c r="P1159" s="757"/>
      <c r="Q1159" s="757"/>
      <c r="R1159" s="757"/>
      <c r="S1159" s="757"/>
      <c r="T1159" s="757"/>
      <c r="U1159" s="757"/>
      <c r="V1159" s="757"/>
      <c r="W1159" s="757"/>
      <c r="X1159" s="757"/>
      <c r="Y1159" s="757"/>
      <c r="Z1159" s="757"/>
      <c r="AA1159" s="757"/>
      <c r="AB1159" s="757"/>
      <c r="AC1159" s="757"/>
      <c r="AD1159" s="757"/>
      <c r="AE1159" s="757"/>
      <c r="AF1159" s="757"/>
      <c r="AG1159" s="757"/>
      <c r="AH1159" s="757"/>
      <c r="AI1159" s="757"/>
      <c r="AJ1159" s="757"/>
      <c r="AK1159" s="757"/>
      <c r="AL1159" s="757"/>
      <c r="AM1159" s="757"/>
      <c r="AN1159" s="757"/>
      <c r="AO1159" s="757"/>
      <c r="AP1159" s="757"/>
      <c r="AQ1159" s="757"/>
      <c r="AR1159" s="757"/>
      <c r="AS1159" s="757"/>
      <c r="AT1159" s="757"/>
      <c r="AU1159" s="757"/>
      <c r="AV1159" s="757"/>
      <c r="AW1159" s="757"/>
      <c r="AX1159" s="757"/>
      <c r="AY1159" s="757"/>
      <c r="AZ1159" s="75"/>
      <c r="BA1159" s="2"/>
      <c r="BB1159" s="2"/>
      <c r="BC1159" s="2"/>
      <c r="BD1159" s="2"/>
    </row>
    <row r="1160" spans="1:56">
      <c r="A1160" s="781">
        <v>2</v>
      </c>
      <c r="B1160" s="782">
        <v>246</v>
      </c>
      <c r="C1160" s="783">
        <v>45512</v>
      </c>
      <c r="D1160" s="785" t="s">
        <v>1801</v>
      </c>
      <c r="E1160" s="808">
        <v>256.2</v>
      </c>
      <c r="F1160" s="799"/>
      <c r="G1160" s="799"/>
      <c r="H1160" s="1592">
        <f t="shared" si="51"/>
        <v>0</v>
      </c>
      <c r="I1160" s="754" t="str">
        <f>IFERROR(VLOOKUP(B1160,Mychart!$A$125:$B$911,2,FALSE),"-")</f>
        <v>Marzok Almatroshi - Archpix</v>
      </c>
      <c r="J1160" s="753">
        <f t="shared" si="52"/>
        <v>8</v>
      </c>
      <c r="K1160" s="1540">
        <f t="shared" si="53"/>
        <v>2024</v>
      </c>
      <c r="L1160" s="757"/>
      <c r="M1160" s="757"/>
      <c r="N1160" s="757"/>
      <c r="O1160" s="757"/>
      <c r="P1160" s="757"/>
      <c r="Q1160" s="757"/>
      <c r="R1160" s="757"/>
      <c r="S1160" s="757"/>
      <c r="T1160" s="757"/>
      <c r="U1160" s="757"/>
      <c r="V1160" s="757"/>
      <c r="W1160" s="757"/>
      <c r="X1160" s="757"/>
      <c r="Y1160" s="757"/>
      <c r="Z1160" s="757"/>
      <c r="AA1160" s="757"/>
      <c r="AB1160" s="757"/>
      <c r="AC1160" s="757"/>
      <c r="AD1160" s="757"/>
      <c r="AE1160" s="757"/>
      <c r="AF1160" s="757"/>
      <c r="AG1160" s="757"/>
      <c r="AH1160" s="757"/>
      <c r="AI1160" s="757"/>
      <c r="AJ1160" s="757"/>
      <c r="AK1160" s="757"/>
      <c r="AL1160" s="757"/>
      <c r="AM1160" s="757"/>
      <c r="AN1160" s="757"/>
      <c r="AO1160" s="757"/>
      <c r="AP1160" s="757"/>
      <c r="AQ1160" s="757"/>
      <c r="AR1160" s="757"/>
      <c r="AS1160" s="757"/>
      <c r="AT1160" s="757"/>
      <c r="AU1160" s="757"/>
      <c r="AV1160" s="757"/>
      <c r="AW1160" s="757"/>
      <c r="AX1160" s="757"/>
      <c r="AY1160" s="757"/>
      <c r="AZ1160" s="75"/>
      <c r="BA1160" s="2"/>
      <c r="BB1160" s="2"/>
      <c r="BC1160" s="2"/>
      <c r="BD1160" s="2"/>
    </row>
    <row r="1161" spans="1:56">
      <c r="A1161" s="781">
        <v>2</v>
      </c>
      <c r="B1161" s="782">
        <v>242</v>
      </c>
      <c r="C1161" s="783">
        <v>45506</v>
      </c>
      <c r="D1161" s="785" t="s">
        <v>1806</v>
      </c>
      <c r="E1161" s="808">
        <v>42</v>
      </c>
      <c r="F1161" s="799"/>
      <c r="G1161" s="799"/>
      <c r="H1161" s="1592">
        <f t="shared" si="51"/>
        <v>0</v>
      </c>
      <c r="I1161" s="754" t="str">
        <f>IFERROR(VLOOKUP(B1161,Mychart!$A$125:$B$911,2,FALSE),"-")</f>
        <v>AMMAR - ARCHPIX</v>
      </c>
      <c r="J1161" s="753">
        <f t="shared" si="52"/>
        <v>8</v>
      </c>
      <c r="K1161" s="1540">
        <f t="shared" si="53"/>
        <v>2024</v>
      </c>
      <c r="L1161" s="757"/>
      <c r="M1161" s="757"/>
      <c r="N1161" s="757"/>
      <c r="O1161" s="757"/>
      <c r="P1161" s="757"/>
      <c r="Q1161" s="757"/>
      <c r="R1161" s="757"/>
      <c r="S1161" s="757"/>
      <c r="T1161" s="757"/>
      <c r="U1161" s="757"/>
      <c r="V1161" s="757"/>
      <c r="W1161" s="757"/>
      <c r="X1161" s="757"/>
      <c r="Y1161" s="757"/>
      <c r="Z1161" s="757"/>
      <c r="AA1161" s="757"/>
      <c r="AB1161" s="757"/>
      <c r="AC1161" s="757"/>
      <c r="AD1161" s="757"/>
      <c r="AE1161" s="757"/>
      <c r="AF1161" s="757"/>
      <c r="AG1161" s="757"/>
      <c r="AH1161" s="757"/>
      <c r="AI1161" s="757"/>
      <c r="AJ1161" s="757"/>
      <c r="AK1161" s="757"/>
      <c r="AL1161" s="757"/>
      <c r="AM1161" s="757"/>
      <c r="AN1161" s="757"/>
      <c r="AO1161" s="757"/>
      <c r="AP1161" s="757"/>
      <c r="AQ1161" s="757"/>
      <c r="AR1161" s="757"/>
      <c r="AS1161" s="757"/>
      <c r="AT1161" s="757"/>
      <c r="AU1161" s="757"/>
      <c r="AV1161" s="757"/>
      <c r="AW1161" s="757"/>
      <c r="AX1161" s="757"/>
      <c r="AY1161" s="757"/>
      <c r="AZ1161" s="75"/>
      <c r="BA1161" s="2"/>
      <c r="BB1161" s="2"/>
      <c r="BC1161" s="2"/>
      <c r="BD1161" s="2"/>
    </row>
    <row r="1162" spans="1:56">
      <c r="A1162" s="781">
        <v>2</v>
      </c>
      <c r="B1162" s="782">
        <v>243</v>
      </c>
      <c r="C1162" s="783">
        <v>45524</v>
      </c>
      <c r="D1162" s="785" t="s">
        <v>1807</v>
      </c>
      <c r="E1162" s="808">
        <v>404.04</v>
      </c>
      <c r="F1162" s="799"/>
      <c r="G1162" s="799"/>
      <c r="H1162" s="1592">
        <f t="shared" si="51"/>
        <v>0</v>
      </c>
      <c r="I1162" s="754" t="str">
        <f>IFERROR(VLOOKUP(B1162,Mychart!$A$125:$B$911,2,FALSE),"-")</f>
        <v>SHIHAB - ERTIKAZ</v>
      </c>
      <c r="J1162" s="753">
        <f t="shared" si="52"/>
        <v>8</v>
      </c>
      <c r="K1162" s="1540">
        <f t="shared" si="53"/>
        <v>2024</v>
      </c>
      <c r="L1162" s="757"/>
      <c r="M1162" s="757"/>
      <c r="N1162" s="757"/>
      <c r="O1162" s="757"/>
      <c r="P1162" s="757"/>
      <c r="Q1162" s="757"/>
      <c r="R1162" s="757"/>
      <c r="S1162" s="757"/>
      <c r="T1162" s="757"/>
      <c r="U1162" s="757"/>
      <c r="V1162" s="757"/>
      <c r="W1162" s="757"/>
      <c r="X1162" s="757"/>
      <c r="Y1162" s="757"/>
      <c r="Z1162" s="757"/>
      <c r="AA1162" s="757"/>
      <c r="AB1162" s="757"/>
      <c r="AC1162" s="757"/>
      <c r="AD1162" s="757"/>
      <c r="AE1162" s="757"/>
      <c r="AF1162" s="757"/>
      <c r="AG1162" s="757"/>
      <c r="AH1162" s="757"/>
      <c r="AI1162" s="757"/>
      <c r="AJ1162" s="757"/>
      <c r="AK1162" s="757"/>
      <c r="AL1162" s="757"/>
      <c r="AM1162" s="757"/>
      <c r="AN1162" s="757"/>
      <c r="AO1162" s="757"/>
      <c r="AP1162" s="757"/>
      <c r="AQ1162" s="757"/>
      <c r="AR1162" s="757"/>
      <c r="AS1162" s="757"/>
      <c r="AT1162" s="757"/>
      <c r="AU1162" s="757"/>
      <c r="AV1162" s="757"/>
      <c r="AW1162" s="757"/>
      <c r="AX1162" s="757"/>
      <c r="AY1162" s="757"/>
      <c r="AZ1162" s="75"/>
      <c r="BA1162" s="2"/>
      <c r="BB1162" s="2"/>
      <c r="BC1162" s="2"/>
      <c r="BD1162" s="2"/>
    </row>
    <row r="1163" spans="1:56">
      <c r="A1163" s="781">
        <v>2</v>
      </c>
      <c r="B1163" s="782">
        <v>243</v>
      </c>
      <c r="C1163" s="783">
        <v>45554</v>
      </c>
      <c r="D1163" s="785" t="s">
        <v>1822</v>
      </c>
      <c r="E1163" s="808">
        <v>2005.5</v>
      </c>
      <c r="F1163" s="799"/>
      <c r="G1163" s="799"/>
      <c r="H1163" s="1592">
        <f t="shared" ref="H1163:H1223" si="54">F1163+G1163</f>
        <v>0</v>
      </c>
      <c r="I1163" s="754" t="str">
        <f>IFERROR(VLOOKUP(B1163,Mychart!$A$125:$B$911,2,FALSE),"-")</f>
        <v>SHIHAB - ERTIKAZ</v>
      </c>
      <c r="J1163" s="753">
        <f t="shared" ref="J1163:J1223" si="55">IF(C1163&lt;&gt;"", MONTH(C1163),"-")</f>
        <v>9</v>
      </c>
      <c r="K1163" s="1540">
        <f t="shared" ref="K1163:K1223" si="56">YEAR(C1163)</f>
        <v>2024</v>
      </c>
      <c r="L1163" s="757"/>
      <c r="M1163" s="757"/>
      <c r="N1163" s="757"/>
      <c r="O1163" s="757"/>
      <c r="P1163" s="757"/>
      <c r="Q1163" s="757"/>
      <c r="R1163" s="757"/>
      <c r="S1163" s="757"/>
      <c r="T1163" s="757"/>
      <c r="U1163" s="757"/>
      <c r="V1163" s="757"/>
      <c r="W1163" s="757"/>
      <c r="X1163" s="757"/>
      <c r="Y1163" s="757"/>
      <c r="Z1163" s="757"/>
      <c r="AA1163" s="757"/>
      <c r="AB1163" s="757"/>
      <c r="AC1163" s="758"/>
      <c r="AD1163" s="757"/>
      <c r="AE1163" s="757"/>
      <c r="AF1163" s="757"/>
      <c r="AG1163" s="757"/>
      <c r="AH1163" s="757"/>
      <c r="AI1163" s="757"/>
      <c r="AJ1163" s="757"/>
      <c r="AK1163" s="757"/>
      <c r="AL1163" s="757"/>
      <c r="AM1163" s="757"/>
      <c r="AN1163" s="757"/>
      <c r="AO1163" s="757"/>
      <c r="AP1163" s="757"/>
      <c r="AQ1163" s="757"/>
      <c r="AR1163" s="757"/>
      <c r="AS1163" s="757"/>
      <c r="AT1163" s="757"/>
      <c r="AU1163" s="757"/>
      <c r="AV1163" s="757"/>
      <c r="AW1163" s="757"/>
      <c r="AX1163" s="757"/>
      <c r="AY1163" s="757"/>
      <c r="AZ1163" s="756">
        <v>45556</v>
      </c>
      <c r="BA1163" s="2"/>
      <c r="BB1163" s="2"/>
      <c r="BC1163" s="2"/>
      <c r="BD1163" s="2"/>
    </row>
    <row r="1164" spans="1:56">
      <c r="A1164" s="781">
        <v>1</v>
      </c>
      <c r="B1164" s="782">
        <v>280</v>
      </c>
      <c r="C1164" s="783">
        <v>45481</v>
      </c>
      <c r="D1164" s="785" t="s">
        <v>1836</v>
      </c>
      <c r="E1164" s="808"/>
      <c r="F1164" s="799">
        <v>14000</v>
      </c>
      <c r="G1164" s="799">
        <v>700</v>
      </c>
      <c r="H1164" s="1592">
        <f t="shared" si="54"/>
        <v>14700</v>
      </c>
      <c r="I1164" s="754" t="str">
        <f>IFERROR(VLOOKUP(B1164,Mychart!$A$125:$B$911,2,FALSE),"-")</f>
        <v>Gaith Mohammad Aiahli</v>
      </c>
      <c r="J1164" s="753">
        <f t="shared" si="55"/>
        <v>7</v>
      </c>
      <c r="K1164" s="1540">
        <f t="shared" si="56"/>
        <v>2024</v>
      </c>
      <c r="L1164" s="757"/>
      <c r="M1164" s="757"/>
      <c r="N1164" s="757"/>
      <c r="O1164" s="757"/>
      <c r="P1164" s="757"/>
      <c r="Q1164" s="757"/>
      <c r="R1164" s="757"/>
      <c r="S1164" s="757"/>
      <c r="T1164" s="757"/>
      <c r="U1164" s="757"/>
      <c r="V1164" s="757"/>
      <c r="W1164" s="757"/>
      <c r="X1164" s="757"/>
      <c r="Y1164" s="757"/>
      <c r="Z1164" s="757"/>
      <c r="AA1164" s="757"/>
      <c r="AB1164" s="757"/>
      <c r="AC1164" s="757"/>
      <c r="AD1164" s="757"/>
      <c r="AE1164" s="757"/>
      <c r="AF1164" s="757"/>
      <c r="AG1164" s="757"/>
      <c r="AH1164" s="757"/>
      <c r="AI1164" s="757"/>
      <c r="AJ1164" s="757"/>
      <c r="AK1164" s="757"/>
      <c r="AL1164" s="757"/>
      <c r="AM1164" s="757"/>
      <c r="AN1164" s="757"/>
      <c r="AO1164" s="757"/>
      <c r="AP1164" s="757"/>
      <c r="AQ1164" s="757"/>
      <c r="AR1164" s="757"/>
      <c r="AS1164" s="757"/>
      <c r="AT1164" s="757"/>
      <c r="AU1164" s="757"/>
      <c r="AV1164" s="757"/>
      <c r="AW1164" s="757"/>
      <c r="AX1164" s="757"/>
      <c r="AY1164" s="757"/>
      <c r="AZ1164" s="75"/>
      <c r="BA1164" s="2"/>
      <c r="BB1164" s="2"/>
      <c r="BC1164" s="2"/>
      <c r="BD1164" s="2"/>
    </row>
    <row r="1165" spans="1:56">
      <c r="A1165" s="781">
        <v>1</v>
      </c>
      <c r="B1165" s="782">
        <v>225</v>
      </c>
      <c r="C1165" s="783">
        <v>45404</v>
      </c>
      <c r="D1165" s="785" t="s">
        <v>1837</v>
      </c>
      <c r="E1165" s="808"/>
      <c r="F1165" s="799">
        <v>58452.4</v>
      </c>
      <c r="G1165" s="799">
        <v>2922.62</v>
      </c>
      <c r="H1165" s="1592">
        <f t="shared" si="54"/>
        <v>61375.020000000004</v>
      </c>
      <c r="I1165" s="754" t="str">
        <f>IFERROR(VLOOKUP(B1165,Mychart!$A$125:$B$911,2,FALSE),"-")</f>
        <v>HESSA BELOSHI</v>
      </c>
      <c r="J1165" s="753">
        <f t="shared" si="55"/>
        <v>4</v>
      </c>
      <c r="K1165" s="1540">
        <f t="shared" si="56"/>
        <v>2024</v>
      </c>
      <c r="L1165" s="757"/>
      <c r="M1165" s="757"/>
      <c r="N1165" s="757"/>
      <c r="O1165" s="757"/>
      <c r="P1165" s="757"/>
      <c r="Q1165" s="757"/>
      <c r="R1165" s="757"/>
      <c r="S1165" s="757"/>
      <c r="T1165" s="757"/>
      <c r="U1165" s="757"/>
      <c r="V1165" s="757"/>
      <c r="W1165" s="757"/>
      <c r="X1165" s="757"/>
      <c r="Y1165" s="757"/>
      <c r="Z1165" s="757"/>
      <c r="AA1165" s="757"/>
      <c r="AB1165" s="757"/>
      <c r="AC1165" s="757"/>
      <c r="AD1165" s="757"/>
      <c r="AE1165" s="757"/>
      <c r="AF1165" s="757"/>
      <c r="AG1165" s="757"/>
      <c r="AH1165" s="757"/>
      <c r="AI1165" s="757"/>
      <c r="AJ1165" s="757"/>
      <c r="AK1165" s="757"/>
      <c r="AL1165" s="757"/>
      <c r="AM1165" s="757"/>
      <c r="AN1165" s="757"/>
      <c r="AO1165" s="757"/>
      <c r="AP1165" s="757"/>
      <c r="AQ1165" s="757"/>
      <c r="AR1165" s="757"/>
      <c r="AS1165" s="757"/>
      <c r="AT1165" s="757"/>
      <c r="AU1165" s="757"/>
      <c r="AV1165" s="757"/>
      <c r="AW1165" s="757"/>
      <c r="AX1165" s="757"/>
      <c r="AY1165" s="757"/>
      <c r="AZ1165" s="75"/>
      <c r="BA1165" s="2"/>
      <c r="BB1165" s="2"/>
      <c r="BC1165" s="2"/>
      <c r="BD1165" s="2"/>
    </row>
    <row r="1166" spans="1:56">
      <c r="A1166" s="781">
        <v>1</v>
      </c>
      <c r="B1166" s="782">
        <v>256</v>
      </c>
      <c r="C1166" s="783">
        <v>45558</v>
      </c>
      <c r="D1166" s="785" t="s">
        <v>1839</v>
      </c>
      <c r="E1166" s="808"/>
      <c r="F1166" s="799">
        <v>153244</v>
      </c>
      <c r="G1166" s="799">
        <v>7662.2000000000007</v>
      </c>
      <c r="H1166" s="1592">
        <f t="shared" si="54"/>
        <v>160906.20000000001</v>
      </c>
      <c r="I1166" s="754" t="str">
        <f>IFERROR(VLOOKUP(B1166,Mychart!$A$125:$B$911,2,FALSE),"-")</f>
        <v>ADNAN DUBAI SKY</v>
      </c>
      <c r="J1166" s="753">
        <f t="shared" si="55"/>
        <v>9</v>
      </c>
      <c r="K1166" s="1540">
        <f t="shared" si="56"/>
        <v>2024</v>
      </c>
      <c r="L1166" s="757"/>
      <c r="M1166" s="757"/>
      <c r="N1166" s="757"/>
      <c r="O1166" s="757"/>
      <c r="P1166" s="757"/>
      <c r="Q1166" s="757"/>
      <c r="R1166" s="757"/>
      <c r="S1166" s="757"/>
      <c r="T1166" s="757"/>
      <c r="U1166" s="757"/>
      <c r="V1166" s="757"/>
      <c r="W1166" s="757"/>
      <c r="X1166" s="757"/>
      <c r="Y1166" s="757"/>
      <c r="Z1166" s="757"/>
      <c r="AA1166" s="757"/>
      <c r="AB1166" s="757"/>
      <c r="AC1166" s="758"/>
      <c r="AD1166" s="757"/>
      <c r="AE1166" s="757"/>
      <c r="AF1166" s="757"/>
      <c r="AG1166" s="757"/>
      <c r="AH1166" s="757"/>
      <c r="AI1166" s="757"/>
      <c r="AJ1166" s="757"/>
      <c r="AK1166" s="757"/>
      <c r="AL1166" s="757"/>
      <c r="AM1166" s="757"/>
      <c r="AN1166" s="757"/>
      <c r="AO1166" s="757"/>
      <c r="AP1166" s="757"/>
      <c r="AQ1166" s="757"/>
      <c r="AR1166" s="757"/>
      <c r="AS1166" s="757"/>
      <c r="AT1166" s="757"/>
      <c r="AU1166" s="757"/>
      <c r="AV1166" s="757"/>
      <c r="AW1166" s="757"/>
      <c r="AX1166" s="757"/>
      <c r="AY1166" s="757"/>
      <c r="AZ1166" s="756">
        <v>45560</v>
      </c>
      <c r="BA1166" s="2"/>
      <c r="BB1166" s="2"/>
      <c r="BC1166" s="2"/>
      <c r="BD1166" s="2"/>
    </row>
    <row r="1167" spans="1:56">
      <c r="A1167" s="781">
        <v>2</v>
      </c>
      <c r="B1167" s="782">
        <v>275</v>
      </c>
      <c r="C1167" s="783">
        <v>45514</v>
      </c>
      <c r="D1167" s="785" t="s">
        <v>1379</v>
      </c>
      <c r="E1167" s="808">
        <v>0</v>
      </c>
      <c r="F1167" s="799"/>
      <c r="G1167" s="799"/>
      <c r="H1167" s="1592">
        <f t="shared" si="54"/>
        <v>0</v>
      </c>
      <c r="I1167" s="754" t="str">
        <f>IFERROR(VLOOKUP(B1167,Mychart!$A$125:$B$911,2,FALSE),"-")</f>
        <v>meshaal saqar - irtekaz</v>
      </c>
      <c r="J1167" s="753">
        <f t="shared" si="55"/>
        <v>8</v>
      </c>
      <c r="K1167" s="1540">
        <f t="shared" si="56"/>
        <v>2024</v>
      </c>
      <c r="L1167" s="757"/>
      <c r="M1167" s="757"/>
      <c r="N1167" s="757"/>
      <c r="O1167" s="757"/>
      <c r="P1167" s="757"/>
      <c r="Q1167" s="757"/>
      <c r="R1167" s="757"/>
      <c r="S1167" s="757"/>
      <c r="T1167" s="757"/>
      <c r="U1167" s="757"/>
      <c r="V1167" s="757"/>
      <c r="W1167" s="757"/>
      <c r="X1167" s="757"/>
      <c r="Y1167" s="757"/>
      <c r="Z1167" s="757"/>
      <c r="AA1167" s="757"/>
      <c r="AB1167" s="757"/>
      <c r="AC1167" s="757"/>
      <c r="AD1167" s="757"/>
      <c r="AE1167" s="757"/>
      <c r="AF1167" s="757"/>
      <c r="AG1167" s="757"/>
      <c r="AH1167" s="757"/>
      <c r="AI1167" s="757"/>
      <c r="AJ1167" s="757"/>
      <c r="AK1167" s="757"/>
      <c r="AL1167" s="757"/>
      <c r="AM1167" s="757"/>
      <c r="AN1167" s="757"/>
      <c r="AO1167" s="757"/>
      <c r="AP1167" s="757"/>
      <c r="AQ1167" s="757"/>
      <c r="AR1167" s="757"/>
      <c r="AS1167" s="757"/>
      <c r="AT1167" s="757"/>
      <c r="AU1167" s="757"/>
      <c r="AV1167" s="757"/>
      <c r="AW1167" s="757"/>
      <c r="AX1167" s="757"/>
      <c r="AY1167" s="757"/>
      <c r="AZ1167" s="75"/>
      <c r="BA1167" s="2"/>
      <c r="BB1167" s="2"/>
      <c r="BC1167" s="2"/>
      <c r="BD1167" s="2"/>
    </row>
    <row r="1168" spans="1:56" ht="16.5" customHeight="1">
      <c r="A1168" s="781">
        <v>1</v>
      </c>
      <c r="B1168" s="782">
        <v>217</v>
      </c>
      <c r="C1168" s="783">
        <v>45559</v>
      </c>
      <c r="D1168" s="785" t="s">
        <v>1846</v>
      </c>
      <c r="E1168" s="808"/>
      <c r="F1168" s="799">
        <v>9187.5</v>
      </c>
      <c r="G1168" s="799"/>
      <c r="H1168" s="1592">
        <f t="shared" si="54"/>
        <v>9187.5</v>
      </c>
      <c r="I1168" s="754" t="str">
        <f>IFERROR(VLOOKUP(B1168,Mychart!$A$125:$B$911,2,FALSE),"-")</f>
        <v>MOHAMED MUHAIR . AREEJ</v>
      </c>
      <c r="J1168" s="753">
        <f t="shared" si="55"/>
        <v>9</v>
      </c>
      <c r="K1168" s="1540">
        <f t="shared" si="56"/>
        <v>2024</v>
      </c>
      <c r="L1168" s="757"/>
      <c r="M1168" s="757"/>
      <c r="N1168" s="757"/>
      <c r="O1168" s="757"/>
      <c r="P1168" s="757"/>
      <c r="Q1168" s="757"/>
      <c r="R1168" s="757"/>
      <c r="S1168" s="757"/>
      <c r="T1168" s="757"/>
      <c r="U1168" s="757"/>
      <c r="V1168" s="757"/>
      <c r="W1168" s="757"/>
      <c r="X1168" s="757"/>
      <c r="Y1168" s="757"/>
      <c r="Z1168" s="757"/>
      <c r="AA1168" s="757"/>
      <c r="AB1168" s="757"/>
      <c r="AC1168" s="758"/>
      <c r="AD1168" s="757"/>
      <c r="AE1168" s="757"/>
      <c r="AF1168" s="757"/>
      <c r="AG1168" s="757"/>
      <c r="AH1168" s="757"/>
      <c r="AI1168" s="757"/>
      <c r="AJ1168" s="757"/>
      <c r="AK1168" s="757"/>
      <c r="AL1168" s="757"/>
      <c r="AM1168" s="757"/>
      <c r="AN1168" s="757"/>
      <c r="AO1168" s="757"/>
      <c r="AP1168" s="757"/>
      <c r="AQ1168" s="757"/>
      <c r="AR1168" s="757"/>
      <c r="AS1168" s="757"/>
      <c r="AT1168" s="757"/>
      <c r="AU1168" s="757"/>
      <c r="AV1168" s="757"/>
      <c r="AW1168" s="757"/>
      <c r="AX1168" s="757"/>
      <c r="AY1168" s="757"/>
      <c r="AZ1168" s="756">
        <v>45561</v>
      </c>
      <c r="BA1168" s="2"/>
      <c r="BB1168" s="2"/>
      <c r="BC1168" s="2"/>
      <c r="BD1168" s="2"/>
    </row>
    <row r="1169" spans="1:56">
      <c r="A1169" s="781">
        <v>1</v>
      </c>
      <c r="B1169" s="782">
        <v>258</v>
      </c>
      <c r="C1169" s="783">
        <v>45563</v>
      </c>
      <c r="D1169" s="785" t="s">
        <v>1855</v>
      </c>
      <c r="E1169" s="808"/>
      <c r="F1169" s="799">
        <v>54400</v>
      </c>
      <c r="G1169" s="799">
        <f>F1169*5%</f>
        <v>2720</v>
      </c>
      <c r="H1169" s="1592">
        <f t="shared" si="54"/>
        <v>57120</v>
      </c>
      <c r="I1169" s="754" t="str">
        <f>IFERROR(VLOOKUP(B1169,Mychart!$A$125:$B$911,2,FALSE),"-")</f>
        <v>MAJID ALSHEHY</v>
      </c>
      <c r="J1169" s="753">
        <f t="shared" si="55"/>
        <v>9</v>
      </c>
      <c r="K1169" s="1540">
        <f t="shared" si="56"/>
        <v>2024</v>
      </c>
      <c r="L1169" s="1036"/>
      <c r="M1169" s="757"/>
      <c r="N1169" s="757"/>
      <c r="O1169" s="757"/>
      <c r="P1169" s="757"/>
      <c r="Q1169" s="757"/>
      <c r="R1169" s="757"/>
      <c r="S1169" s="757"/>
      <c r="T1169" s="757"/>
      <c r="U1169" s="757"/>
      <c r="V1169" s="757"/>
      <c r="W1169" s="757"/>
      <c r="X1169" s="757"/>
      <c r="Y1169" s="757"/>
      <c r="Z1169" s="757"/>
      <c r="AA1169" s="757"/>
      <c r="AB1169" s="757"/>
      <c r="AC1169" s="758"/>
      <c r="AD1169" s="757"/>
      <c r="AE1169" s="757"/>
      <c r="AF1169" s="757"/>
      <c r="AG1169" s="757"/>
      <c r="AH1169" s="757"/>
      <c r="AI1169" s="757"/>
      <c r="AJ1169" s="757"/>
      <c r="AK1169" s="757"/>
      <c r="AL1169" s="757"/>
      <c r="AM1169" s="757"/>
      <c r="AN1169" s="757"/>
      <c r="AO1169" s="757"/>
      <c r="AP1169" s="757"/>
      <c r="AQ1169" s="757"/>
      <c r="AR1169" s="757"/>
      <c r="AS1169" s="757"/>
      <c r="AT1169" s="757"/>
      <c r="AU1169" s="757"/>
      <c r="AV1169" s="757"/>
      <c r="AW1169" s="757"/>
      <c r="AX1169" s="757"/>
      <c r="AY1169" s="757"/>
      <c r="AZ1169" s="756">
        <v>45564</v>
      </c>
      <c r="BA1169" s="2"/>
      <c r="BB1169" s="2"/>
      <c r="BC1169" s="2"/>
      <c r="BD1169" s="2"/>
    </row>
    <row r="1170" spans="1:56">
      <c r="A1170" s="781">
        <v>2</v>
      </c>
      <c r="B1170" s="782">
        <v>256</v>
      </c>
      <c r="C1170" s="783">
        <v>45561</v>
      </c>
      <c r="D1170" s="785" t="s">
        <v>1856</v>
      </c>
      <c r="E1170" s="808">
        <v>34881</v>
      </c>
      <c r="F1170" s="799"/>
      <c r="G1170" s="799"/>
      <c r="H1170" s="1592">
        <f t="shared" si="54"/>
        <v>0</v>
      </c>
      <c r="I1170" s="754" t="str">
        <f>IFERROR(VLOOKUP(B1170,Mychart!$A$125:$B$911,2,FALSE),"-")</f>
        <v>ADNAN DUBAI SKY</v>
      </c>
      <c r="J1170" s="753">
        <f t="shared" si="55"/>
        <v>9</v>
      </c>
      <c r="K1170" s="1540">
        <f t="shared" si="56"/>
        <v>2024</v>
      </c>
      <c r="L1170" s="757"/>
      <c r="M1170" s="757"/>
      <c r="N1170" s="757"/>
      <c r="O1170" s="757"/>
      <c r="P1170" s="757"/>
      <c r="Q1170" s="757"/>
      <c r="R1170" s="757"/>
      <c r="S1170" s="757"/>
      <c r="T1170" s="757"/>
      <c r="U1170" s="757"/>
      <c r="V1170" s="757"/>
      <c r="W1170" s="757"/>
      <c r="X1170" s="757"/>
      <c r="Y1170" s="757"/>
      <c r="Z1170" s="757"/>
      <c r="AA1170" s="757"/>
      <c r="AB1170" s="757"/>
      <c r="AC1170" s="758"/>
      <c r="AD1170" s="757"/>
      <c r="AE1170" s="757"/>
      <c r="AF1170" s="757"/>
      <c r="AG1170" s="757"/>
      <c r="AH1170" s="757"/>
      <c r="AI1170" s="757"/>
      <c r="AJ1170" s="757"/>
      <c r="AK1170" s="757"/>
      <c r="AL1170" s="757"/>
      <c r="AM1170" s="757"/>
      <c r="AN1170" s="757"/>
      <c r="AO1170" s="757"/>
      <c r="AP1170" s="757"/>
      <c r="AQ1170" s="757"/>
      <c r="AR1170" s="757"/>
      <c r="AS1170" s="757"/>
      <c r="AT1170" s="757"/>
      <c r="AU1170" s="757"/>
      <c r="AV1170" s="757"/>
      <c r="AW1170" s="757"/>
      <c r="AX1170" s="757"/>
      <c r="AY1170" s="757"/>
      <c r="AZ1170" s="756">
        <v>45564</v>
      </c>
      <c r="BA1170" s="2"/>
      <c r="BB1170" s="2"/>
      <c r="BC1170" s="2"/>
      <c r="BD1170" s="2"/>
    </row>
    <row r="1171" spans="1:56">
      <c r="A1171" s="781">
        <v>2</v>
      </c>
      <c r="B1171" s="782">
        <v>278</v>
      </c>
      <c r="C1171" s="783">
        <v>45548</v>
      </c>
      <c r="D1171" s="785" t="s">
        <v>1883</v>
      </c>
      <c r="E1171" s="808">
        <v>8700</v>
      </c>
      <c r="F1171" s="799"/>
      <c r="G1171" s="799"/>
      <c r="H1171" s="1592">
        <f t="shared" si="54"/>
        <v>0</v>
      </c>
      <c r="I1171" s="754" t="str">
        <f>IFERROR(VLOOKUP(B1171,Mychart!$A$125:$B$911,2,FALSE),"-")</f>
        <v>Rashed Ahmed Yousef Mohamed Al Balooshi- Archpix</v>
      </c>
      <c r="J1171" s="753">
        <f t="shared" si="55"/>
        <v>9</v>
      </c>
      <c r="K1171" s="1540">
        <f t="shared" si="56"/>
        <v>2024</v>
      </c>
      <c r="L1171" s="757"/>
      <c r="M1171" s="757"/>
      <c r="N1171" s="757"/>
      <c r="O1171" s="757"/>
      <c r="P1171" s="757"/>
      <c r="Q1171" s="757"/>
      <c r="R1171" s="757"/>
      <c r="S1171" s="757"/>
      <c r="T1171" s="757"/>
      <c r="U1171" s="757"/>
      <c r="V1171" s="757"/>
      <c r="W1171" s="757"/>
      <c r="X1171" s="757"/>
      <c r="Y1171" s="757"/>
      <c r="Z1171" s="757"/>
      <c r="AA1171" s="757"/>
      <c r="AB1171" s="757"/>
      <c r="AC1171" s="757"/>
      <c r="AD1171" s="757"/>
      <c r="AE1171" s="757"/>
      <c r="AF1171" s="757"/>
      <c r="AG1171" s="757"/>
      <c r="AH1171" s="757"/>
      <c r="AI1171" s="757"/>
      <c r="AJ1171" s="757"/>
      <c r="AK1171" s="757"/>
      <c r="AL1171" s="757"/>
      <c r="AM1171" s="757"/>
      <c r="AN1171" s="757"/>
      <c r="AO1171" s="757"/>
      <c r="AP1171" s="757"/>
      <c r="AQ1171" s="757"/>
      <c r="AR1171" s="757"/>
      <c r="AS1171" s="757"/>
      <c r="AT1171" s="757"/>
      <c r="AU1171" s="757"/>
      <c r="AV1171" s="757"/>
      <c r="AW1171" s="757"/>
      <c r="AX1171" s="757"/>
      <c r="AY1171" s="757"/>
      <c r="AZ1171" s="75"/>
      <c r="BA1171" s="2"/>
      <c r="BB1171" s="2"/>
      <c r="BC1171" s="2"/>
      <c r="BD1171" s="2"/>
    </row>
    <row r="1172" spans="1:56">
      <c r="A1172" s="781">
        <v>2</v>
      </c>
      <c r="B1172" s="782">
        <v>256</v>
      </c>
      <c r="C1172" s="783">
        <v>45539</v>
      </c>
      <c r="D1172" s="785" t="s">
        <v>1884</v>
      </c>
      <c r="E1172" s="808">
        <v>301.77</v>
      </c>
      <c r="F1172" s="799"/>
      <c r="G1172" s="799"/>
      <c r="H1172" s="1592">
        <f t="shared" si="54"/>
        <v>0</v>
      </c>
      <c r="I1172" s="754" t="str">
        <f>IFERROR(VLOOKUP(B1172,Mychart!$A$125:$B$911,2,FALSE),"-")</f>
        <v>ADNAN DUBAI SKY</v>
      </c>
      <c r="J1172" s="753">
        <f t="shared" si="55"/>
        <v>9</v>
      </c>
      <c r="K1172" s="1540">
        <f t="shared" si="56"/>
        <v>2024</v>
      </c>
      <c r="L1172" s="757"/>
      <c r="M1172" s="757"/>
      <c r="N1172" s="757"/>
      <c r="O1172" s="757"/>
      <c r="P1172" s="757"/>
      <c r="Q1172" s="757"/>
      <c r="R1172" s="757"/>
      <c r="S1172" s="757"/>
      <c r="T1172" s="757"/>
      <c r="U1172" s="757"/>
      <c r="V1172" s="757"/>
      <c r="W1172" s="757"/>
      <c r="X1172" s="757"/>
      <c r="Y1172" s="757"/>
      <c r="Z1172" s="757"/>
      <c r="AA1172" s="757"/>
      <c r="AB1172" s="757"/>
      <c r="AC1172" s="757"/>
      <c r="AD1172" s="757"/>
      <c r="AE1172" s="757"/>
      <c r="AF1172" s="757"/>
      <c r="AG1172" s="757"/>
      <c r="AH1172" s="757"/>
      <c r="AI1172" s="757"/>
      <c r="AJ1172" s="757"/>
      <c r="AK1172" s="757"/>
      <c r="AL1172" s="757"/>
      <c r="AM1172" s="757"/>
      <c r="AN1172" s="757"/>
      <c r="AO1172" s="757"/>
      <c r="AP1172" s="757"/>
      <c r="AQ1172" s="757"/>
      <c r="AR1172" s="757"/>
      <c r="AS1172" s="757"/>
      <c r="AT1172" s="757"/>
      <c r="AU1172" s="757"/>
      <c r="AV1172" s="757"/>
      <c r="AW1172" s="757"/>
      <c r="AX1172" s="757"/>
      <c r="AY1172" s="757"/>
      <c r="AZ1172" s="75"/>
      <c r="BA1172" s="2"/>
      <c r="BB1172" s="2"/>
      <c r="BC1172" s="2"/>
      <c r="BD1172" s="2"/>
    </row>
    <row r="1173" spans="1:56">
      <c r="A1173" s="781">
        <v>2</v>
      </c>
      <c r="B1173" s="782">
        <v>256</v>
      </c>
      <c r="C1173" s="783">
        <v>45542</v>
      </c>
      <c r="D1173" s="785" t="s">
        <v>1885</v>
      </c>
      <c r="E1173" s="808">
        <v>280.07</v>
      </c>
      <c r="F1173" s="799"/>
      <c r="G1173" s="799"/>
      <c r="H1173" s="1592">
        <f t="shared" si="54"/>
        <v>0</v>
      </c>
      <c r="I1173" s="754" t="str">
        <f>IFERROR(VLOOKUP(B1173,Mychart!$A$125:$B$911,2,FALSE),"-")</f>
        <v>ADNAN DUBAI SKY</v>
      </c>
      <c r="J1173" s="753">
        <f t="shared" si="55"/>
        <v>9</v>
      </c>
      <c r="K1173" s="1540">
        <f t="shared" si="56"/>
        <v>2024</v>
      </c>
      <c r="L1173" s="757"/>
      <c r="M1173" s="757"/>
      <c r="N1173" s="757"/>
      <c r="O1173" s="757"/>
      <c r="P1173" s="757"/>
      <c r="Q1173" s="757"/>
      <c r="R1173" s="757"/>
      <c r="S1173" s="757"/>
      <c r="T1173" s="757"/>
      <c r="U1173" s="757"/>
      <c r="V1173" s="757"/>
      <c r="W1173" s="757"/>
      <c r="X1173" s="757"/>
      <c r="Y1173" s="757"/>
      <c r="Z1173" s="757"/>
      <c r="AA1173" s="757"/>
      <c r="AB1173" s="757"/>
      <c r="AC1173" s="757"/>
      <c r="AD1173" s="757"/>
      <c r="AE1173" s="757"/>
      <c r="AF1173" s="757"/>
      <c r="AG1173" s="757"/>
      <c r="AH1173" s="757"/>
      <c r="AI1173" s="757"/>
      <c r="AJ1173" s="757"/>
      <c r="AK1173" s="757"/>
      <c r="AL1173" s="757"/>
      <c r="AM1173" s="757"/>
      <c r="AN1173" s="757"/>
      <c r="AO1173" s="757"/>
      <c r="AP1173" s="757"/>
      <c r="AQ1173" s="757"/>
      <c r="AR1173" s="757"/>
      <c r="AS1173" s="757"/>
      <c r="AT1173" s="757"/>
      <c r="AU1173" s="757"/>
      <c r="AV1173" s="757"/>
      <c r="AW1173" s="757"/>
      <c r="AX1173" s="757"/>
      <c r="AY1173" s="757"/>
      <c r="AZ1173" s="75"/>
      <c r="BA1173" s="2"/>
      <c r="BB1173" s="2"/>
      <c r="BC1173" s="2"/>
      <c r="BD1173" s="2"/>
    </row>
    <row r="1174" spans="1:56">
      <c r="A1174" s="781">
        <v>2</v>
      </c>
      <c r="B1174" s="782">
        <v>255</v>
      </c>
      <c r="C1174" s="783">
        <v>45545</v>
      </c>
      <c r="D1174" s="785" t="s">
        <v>1886</v>
      </c>
      <c r="E1174" s="808">
        <v>140.28</v>
      </c>
      <c r="F1174" s="799"/>
      <c r="G1174" s="799"/>
      <c r="H1174" s="1592">
        <f t="shared" si="54"/>
        <v>0</v>
      </c>
      <c r="I1174" s="754" t="str">
        <f>IFERROR(VLOOKUP(B1174,Mychart!$A$125:$B$911,2,FALSE),"-")</f>
        <v>ESSA KHALIFA</v>
      </c>
      <c r="J1174" s="753">
        <f t="shared" si="55"/>
        <v>9</v>
      </c>
      <c r="K1174" s="1540">
        <f t="shared" si="56"/>
        <v>2024</v>
      </c>
      <c r="L1174" s="757"/>
      <c r="M1174" s="757"/>
      <c r="N1174" s="757"/>
      <c r="O1174" s="757"/>
      <c r="P1174" s="757"/>
      <c r="Q1174" s="757"/>
      <c r="R1174" s="757"/>
      <c r="S1174" s="757"/>
      <c r="T1174" s="757"/>
      <c r="U1174" s="757"/>
      <c r="V1174" s="757"/>
      <c r="W1174" s="757"/>
      <c r="X1174" s="757"/>
      <c r="Y1174" s="757"/>
      <c r="Z1174" s="757"/>
      <c r="AA1174" s="757"/>
      <c r="AB1174" s="757"/>
      <c r="AC1174" s="757"/>
      <c r="AD1174" s="757"/>
      <c r="AE1174" s="757"/>
      <c r="AF1174" s="757"/>
      <c r="AG1174" s="757"/>
      <c r="AH1174" s="757"/>
      <c r="AI1174" s="757"/>
      <c r="AJ1174" s="757"/>
      <c r="AK1174" s="757"/>
      <c r="AL1174" s="757"/>
      <c r="AM1174" s="757"/>
      <c r="AN1174" s="757"/>
      <c r="AO1174" s="757"/>
      <c r="AP1174" s="757"/>
      <c r="AQ1174" s="757"/>
      <c r="AR1174" s="757"/>
      <c r="AS1174" s="757"/>
      <c r="AT1174" s="757"/>
      <c r="AU1174" s="757"/>
      <c r="AV1174" s="757"/>
      <c r="AW1174" s="757"/>
      <c r="AX1174" s="757"/>
      <c r="AY1174" s="757"/>
      <c r="AZ1174" s="75"/>
      <c r="BA1174" s="2"/>
      <c r="BB1174" s="2"/>
      <c r="BC1174" s="2"/>
      <c r="BD1174" s="2"/>
    </row>
    <row r="1175" spans="1:56">
      <c r="A1175" s="781">
        <v>2</v>
      </c>
      <c r="B1175" s="782">
        <v>246</v>
      </c>
      <c r="C1175" s="783">
        <v>45554</v>
      </c>
      <c r="D1175" s="785" t="s">
        <v>1887</v>
      </c>
      <c r="E1175" s="808">
        <v>1497.38</v>
      </c>
      <c r="F1175" s="799"/>
      <c r="G1175" s="799"/>
      <c r="H1175" s="1592">
        <f t="shared" si="54"/>
        <v>0</v>
      </c>
      <c r="I1175" s="754" t="str">
        <f>IFERROR(VLOOKUP(B1175,Mychart!$A$125:$B$911,2,FALSE),"-")</f>
        <v>Marzok Almatroshi - Archpix</v>
      </c>
      <c r="J1175" s="753">
        <f t="shared" si="55"/>
        <v>9</v>
      </c>
      <c r="K1175" s="1540">
        <f t="shared" si="56"/>
        <v>2024</v>
      </c>
      <c r="L1175" s="757"/>
      <c r="M1175" s="757"/>
      <c r="N1175" s="757"/>
      <c r="O1175" s="757"/>
      <c r="P1175" s="757"/>
      <c r="Q1175" s="757"/>
      <c r="R1175" s="757"/>
      <c r="S1175" s="757"/>
      <c r="T1175" s="757"/>
      <c r="U1175" s="757"/>
      <c r="V1175" s="757"/>
      <c r="W1175" s="757"/>
      <c r="X1175" s="757"/>
      <c r="Y1175" s="757"/>
      <c r="Z1175" s="757"/>
      <c r="AA1175" s="757"/>
      <c r="AB1175" s="757"/>
      <c r="AC1175" s="757"/>
      <c r="AD1175" s="757"/>
      <c r="AE1175" s="757"/>
      <c r="AF1175" s="757"/>
      <c r="AG1175" s="757"/>
      <c r="AH1175" s="757"/>
      <c r="AI1175" s="757"/>
      <c r="AJ1175" s="757"/>
      <c r="AK1175" s="757"/>
      <c r="AL1175" s="757"/>
      <c r="AM1175" s="757"/>
      <c r="AN1175" s="757"/>
      <c r="AO1175" s="757"/>
      <c r="AP1175" s="757"/>
      <c r="AQ1175" s="757"/>
      <c r="AR1175" s="757"/>
      <c r="AS1175" s="757"/>
      <c r="AT1175" s="757"/>
      <c r="AU1175" s="757"/>
      <c r="AV1175" s="757"/>
      <c r="AW1175" s="757"/>
      <c r="AX1175" s="757"/>
      <c r="AY1175" s="757"/>
      <c r="AZ1175" s="75"/>
      <c r="BA1175" s="2"/>
      <c r="BB1175" s="2"/>
      <c r="BC1175" s="2"/>
      <c r="BD1175" s="2"/>
    </row>
    <row r="1176" spans="1:56">
      <c r="A1176" s="781">
        <v>2</v>
      </c>
      <c r="B1176" s="782">
        <v>249</v>
      </c>
      <c r="C1176" s="783">
        <v>45558</v>
      </c>
      <c r="D1176" s="785" t="s">
        <v>1888</v>
      </c>
      <c r="E1176" s="808">
        <v>324.57</v>
      </c>
      <c r="F1176" s="799"/>
      <c r="G1176" s="799"/>
      <c r="H1176" s="1592">
        <f t="shared" si="54"/>
        <v>0</v>
      </c>
      <c r="I1176" s="754" t="str">
        <f>IFERROR(VLOOKUP(B1176,Mychart!$A$125:$B$911,2,FALSE),"-")</f>
        <v>farouq marzoki</v>
      </c>
      <c r="J1176" s="753">
        <f t="shared" si="55"/>
        <v>9</v>
      </c>
      <c r="K1176" s="1540">
        <f t="shared" si="56"/>
        <v>2024</v>
      </c>
      <c r="L1176" s="757"/>
      <c r="M1176" s="757"/>
      <c r="N1176" s="757"/>
      <c r="O1176" s="757"/>
      <c r="P1176" s="757"/>
      <c r="Q1176" s="757"/>
      <c r="R1176" s="757"/>
      <c r="S1176" s="757"/>
      <c r="T1176" s="757"/>
      <c r="U1176" s="757"/>
      <c r="V1176" s="757"/>
      <c r="W1176" s="757"/>
      <c r="X1176" s="757"/>
      <c r="Y1176" s="757"/>
      <c r="Z1176" s="757"/>
      <c r="AA1176" s="757"/>
      <c r="AB1176" s="757"/>
      <c r="AC1176" s="757"/>
      <c r="AD1176" s="757"/>
      <c r="AE1176" s="757"/>
      <c r="AF1176" s="757"/>
      <c r="AG1176" s="757"/>
      <c r="AH1176" s="757"/>
      <c r="AI1176" s="757"/>
      <c r="AJ1176" s="757"/>
      <c r="AK1176" s="757"/>
      <c r="AL1176" s="757"/>
      <c r="AM1176" s="757"/>
      <c r="AN1176" s="757"/>
      <c r="AO1176" s="757"/>
      <c r="AP1176" s="757"/>
      <c r="AQ1176" s="757"/>
      <c r="AR1176" s="757"/>
      <c r="AS1176" s="757"/>
      <c r="AT1176" s="757"/>
      <c r="AU1176" s="757"/>
      <c r="AV1176" s="757"/>
      <c r="AW1176" s="757"/>
      <c r="AX1176" s="757"/>
      <c r="AY1176" s="757"/>
      <c r="AZ1176" s="75"/>
      <c r="BA1176" s="2"/>
      <c r="BB1176" s="2"/>
      <c r="BC1176" s="2"/>
      <c r="BD1176" s="2"/>
    </row>
    <row r="1177" spans="1:56">
      <c r="A1177" s="781">
        <v>2</v>
      </c>
      <c r="B1177" s="782">
        <v>256</v>
      </c>
      <c r="C1177" s="783">
        <v>45559</v>
      </c>
      <c r="D1177" s="785" t="s">
        <v>1889</v>
      </c>
      <c r="E1177" s="808">
        <v>1441.04</v>
      </c>
      <c r="F1177" s="799"/>
      <c r="G1177" s="799"/>
      <c r="H1177" s="1592">
        <f t="shared" si="54"/>
        <v>0</v>
      </c>
      <c r="I1177" s="754" t="str">
        <f>IFERROR(VLOOKUP(B1177,Mychart!$A$125:$B$911,2,FALSE),"-")</f>
        <v>ADNAN DUBAI SKY</v>
      </c>
      <c r="J1177" s="753">
        <f t="shared" si="55"/>
        <v>9</v>
      </c>
      <c r="K1177" s="1540">
        <f t="shared" si="56"/>
        <v>2024</v>
      </c>
      <c r="L1177" s="757"/>
      <c r="M1177" s="757"/>
      <c r="N1177" s="757"/>
      <c r="O1177" s="757"/>
      <c r="P1177" s="757"/>
      <c r="Q1177" s="757"/>
      <c r="R1177" s="757"/>
      <c r="S1177" s="757"/>
      <c r="T1177" s="757"/>
      <c r="U1177" s="757"/>
      <c r="V1177" s="757"/>
      <c r="W1177" s="757"/>
      <c r="X1177" s="757"/>
      <c r="Y1177" s="757"/>
      <c r="Z1177" s="757"/>
      <c r="AA1177" s="757"/>
      <c r="AB1177" s="757"/>
      <c r="AC1177" s="757"/>
      <c r="AD1177" s="757"/>
      <c r="AE1177" s="757"/>
      <c r="AF1177" s="757"/>
      <c r="AG1177" s="757"/>
      <c r="AH1177" s="757"/>
      <c r="AI1177" s="757"/>
      <c r="AJ1177" s="757"/>
      <c r="AK1177" s="757"/>
      <c r="AL1177" s="757"/>
      <c r="AM1177" s="757"/>
      <c r="AN1177" s="757"/>
      <c r="AO1177" s="757"/>
      <c r="AP1177" s="757"/>
      <c r="AQ1177" s="757"/>
      <c r="AR1177" s="757"/>
      <c r="AS1177" s="757"/>
      <c r="AT1177" s="757"/>
      <c r="AU1177" s="757"/>
      <c r="AV1177" s="757"/>
      <c r="AW1177" s="757"/>
      <c r="AX1177" s="757"/>
      <c r="AY1177" s="757"/>
      <c r="AZ1177" s="75"/>
      <c r="BA1177" s="2"/>
      <c r="BB1177" s="2"/>
      <c r="BC1177" s="2"/>
      <c r="BD1177" s="2"/>
    </row>
    <row r="1178" spans="1:56">
      <c r="A1178" s="781">
        <v>2</v>
      </c>
      <c r="B1178" s="782">
        <v>279</v>
      </c>
      <c r="C1178" s="783">
        <v>45566</v>
      </c>
      <c r="D1178" s="785" t="s">
        <v>1891</v>
      </c>
      <c r="E1178" s="808">
        <v>500</v>
      </c>
      <c r="F1178" s="799"/>
      <c r="G1178" s="799"/>
      <c r="H1178" s="1592">
        <f t="shared" si="54"/>
        <v>0</v>
      </c>
      <c r="I1178" s="754" t="str">
        <f>IFERROR(VLOOKUP(B1178,Mychart!$A$125:$B$911,2,FALSE),"-")</f>
        <v>Shams Saeed Sultan AL Kitbee</v>
      </c>
      <c r="J1178" s="753">
        <f t="shared" si="55"/>
        <v>10</v>
      </c>
      <c r="K1178" s="1540">
        <f t="shared" si="56"/>
        <v>2024</v>
      </c>
      <c r="L1178" s="757"/>
      <c r="M1178" s="757"/>
      <c r="N1178" s="757"/>
      <c r="O1178" s="757"/>
      <c r="P1178" s="757"/>
      <c r="Q1178" s="757"/>
      <c r="R1178" s="757"/>
      <c r="S1178" s="757"/>
      <c r="T1178" s="757"/>
      <c r="U1178" s="757"/>
      <c r="V1178" s="757"/>
      <c r="W1178" s="757"/>
      <c r="X1178" s="757"/>
      <c r="Y1178" s="757"/>
      <c r="Z1178" s="757"/>
      <c r="AA1178" s="757"/>
      <c r="AB1178" s="757"/>
      <c r="AC1178" s="757"/>
      <c r="AD1178" s="757"/>
      <c r="AE1178" s="757"/>
      <c r="AF1178" s="757"/>
      <c r="AG1178" s="757"/>
      <c r="AH1178" s="757"/>
      <c r="AI1178" s="757"/>
      <c r="AJ1178" s="757"/>
      <c r="AK1178" s="757"/>
      <c r="AL1178" s="757"/>
      <c r="AM1178" s="757"/>
      <c r="AN1178" s="757"/>
      <c r="AO1178" s="757"/>
      <c r="AP1178" s="757"/>
      <c r="AQ1178" s="757"/>
      <c r="AR1178" s="757"/>
      <c r="AS1178" s="757"/>
      <c r="AT1178" s="757"/>
      <c r="AU1178" s="757"/>
      <c r="AV1178" s="757"/>
      <c r="AW1178" s="757"/>
      <c r="AX1178" s="757"/>
      <c r="AY1178" s="757"/>
      <c r="AZ1178" s="75"/>
      <c r="BA1178" s="2"/>
      <c r="BB1178" s="2"/>
      <c r="BC1178" s="2"/>
      <c r="BD1178" s="2"/>
    </row>
    <row r="1179" spans="1:56">
      <c r="A1179" s="781">
        <v>2</v>
      </c>
      <c r="B1179" s="782">
        <v>282</v>
      </c>
      <c r="C1179" s="783">
        <v>45566</v>
      </c>
      <c r="D1179" s="785" t="s">
        <v>1892</v>
      </c>
      <c r="E1179" s="808">
        <v>600</v>
      </c>
      <c r="F1179" s="799"/>
      <c r="G1179" s="799"/>
      <c r="H1179" s="1592">
        <f t="shared" si="54"/>
        <v>0</v>
      </c>
      <c r="I1179" s="754" t="str">
        <f>IFERROR(VLOOKUP(B1179,Mychart!$A$125:$B$911,2,FALSE),"-")</f>
        <v>Omar Yousuf Mohamed Al Hajji Al Falasi</v>
      </c>
      <c r="J1179" s="753">
        <f t="shared" si="55"/>
        <v>10</v>
      </c>
      <c r="K1179" s="1540">
        <f t="shared" si="56"/>
        <v>2024</v>
      </c>
      <c r="L1179" s="757"/>
      <c r="M1179" s="757"/>
      <c r="N1179" s="757"/>
      <c r="O1179" s="757"/>
      <c r="P1179" s="757"/>
      <c r="Q1179" s="757"/>
      <c r="R1179" s="757"/>
      <c r="S1179" s="757"/>
      <c r="T1179" s="757"/>
      <c r="U1179" s="757"/>
      <c r="V1179" s="757"/>
      <c r="W1179" s="757"/>
      <c r="X1179" s="757"/>
      <c r="Y1179" s="757"/>
      <c r="Z1179" s="757"/>
      <c r="AA1179" s="757"/>
      <c r="AB1179" s="757"/>
      <c r="AC1179" s="757"/>
      <c r="AD1179" s="757"/>
      <c r="AE1179" s="757"/>
      <c r="AF1179" s="757"/>
      <c r="AG1179" s="757"/>
      <c r="AH1179" s="757"/>
      <c r="AI1179" s="757"/>
      <c r="AJ1179" s="757"/>
      <c r="AK1179" s="757"/>
      <c r="AL1179" s="757"/>
      <c r="AM1179" s="757"/>
      <c r="AN1179" s="757"/>
      <c r="AO1179" s="757"/>
      <c r="AP1179" s="757"/>
      <c r="AQ1179" s="757"/>
      <c r="AR1179" s="757"/>
      <c r="AS1179" s="757"/>
      <c r="AT1179" s="757"/>
      <c r="AU1179" s="757"/>
      <c r="AV1179" s="757"/>
      <c r="AW1179" s="757"/>
      <c r="AX1179" s="757"/>
      <c r="AY1179" s="757"/>
      <c r="AZ1179" s="75"/>
      <c r="BA1179" s="2"/>
      <c r="BB1179" s="2"/>
      <c r="BC1179" s="2"/>
      <c r="BD1179" s="2"/>
    </row>
    <row r="1180" spans="1:56">
      <c r="A1180" s="781">
        <v>2</v>
      </c>
      <c r="B1180" s="782">
        <v>286</v>
      </c>
      <c r="C1180" s="783">
        <v>45566</v>
      </c>
      <c r="D1180" s="785" t="s">
        <v>1893</v>
      </c>
      <c r="E1180" s="808">
        <v>500</v>
      </c>
      <c r="F1180" s="799"/>
      <c r="G1180" s="799"/>
      <c r="H1180" s="1592">
        <f t="shared" si="54"/>
        <v>0</v>
      </c>
      <c r="I1180" s="754" t="str">
        <f>IFERROR(VLOOKUP(B1180,Mychart!$A$125:$B$911,2,FALSE),"-")</f>
        <v>Omar Mohamed Abdullah Ahli</v>
      </c>
      <c r="J1180" s="753">
        <f t="shared" si="55"/>
        <v>10</v>
      </c>
      <c r="K1180" s="1540">
        <f t="shared" si="56"/>
        <v>2024</v>
      </c>
      <c r="L1180" s="757"/>
      <c r="M1180" s="757"/>
      <c r="N1180" s="757"/>
      <c r="O1180" s="757"/>
      <c r="P1180" s="757"/>
      <c r="Q1180" s="757"/>
      <c r="R1180" s="757"/>
      <c r="S1180" s="757"/>
      <c r="T1180" s="757"/>
      <c r="U1180" s="757"/>
      <c r="V1180" s="757"/>
      <c r="W1180" s="757"/>
      <c r="X1180" s="757"/>
      <c r="Y1180" s="757"/>
      <c r="Z1180" s="757"/>
      <c r="AA1180" s="757"/>
      <c r="AB1180" s="757"/>
      <c r="AC1180" s="757"/>
      <c r="AD1180" s="757"/>
      <c r="AE1180" s="757"/>
      <c r="AF1180" s="757"/>
      <c r="AG1180" s="757"/>
      <c r="AH1180" s="757"/>
      <c r="AI1180" s="757"/>
      <c r="AJ1180" s="757"/>
      <c r="AK1180" s="757"/>
      <c r="AL1180" s="757"/>
      <c r="AM1180" s="757"/>
      <c r="AN1180" s="757"/>
      <c r="AO1180" s="757"/>
      <c r="AP1180" s="757"/>
      <c r="AQ1180" s="757"/>
      <c r="AR1180" s="757"/>
      <c r="AS1180" s="757"/>
      <c r="AT1180" s="757"/>
      <c r="AU1180" s="757"/>
      <c r="AV1180" s="757"/>
      <c r="AW1180" s="757"/>
      <c r="AX1180" s="757"/>
      <c r="AY1180" s="757"/>
      <c r="AZ1180" s="75"/>
      <c r="BA1180" s="2"/>
      <c r="BB1180" s="2"/>
      <c r="BC1180" s="2"/>
      <c r="BD1180" s="2"/>
    </row>
    <row r="1181" spans="1:56">
      <c r="A1181" s="781">
        <v>2</v>
      </c>
      <c r="B1181" s="782">
        <v>285</v>
      </c>
      <c r="C1181" s="783">
        <v>45566</v>
      </c>
      <c r="D1181" s="785" t="s">
        <v>1894</v>
      </c>
      <c r="E1181" s="808">
        <v>400</v>
      </c>
      <c r="F1181" s="799"/>
      <c r="G1181" s="799"/>
      <c r="H1181" s="1592">
        <f t="shared" si="54"/>
        <v>0</v>
      </c>
      <c r="I1181" s="754" t="str">
        <f>IFERROR(VLOOKUP(B1181,Mychart!$A$125:$B$911,2,FALSE),"-")</f>
        <v>ADEL DEELEB AHMAD MOHAMMED</v>
      </c>
      <c r="J1181" s="753">
        <f t="shared" si="55"/>
        <v>10</v>
      </c>
      <c r="K1181" s="1540">
        <f t="shared" si="56"/>
        <v>2024</v>
      </c>
      <c r="L1181" s="757"/>
      <c r="M1181" s="757"/>
      <c r="N1181" s="757"/>
      <c r="O1181" s="757"/>
      <c r="P1181" s="757"/>
      <c r="Q1181" s="757"/>
      <c r="R1181" s="757"/>
      <c r="S1181" s="757"/>
      <c r="T1181" s="757"/>
      <c r="U1181" s="757"/>
      <c r="V1181" s="757"/>
      <c r="W1181" s="757"/>
      <c r="X1181" s="757"/>
      <c r="Y1181" s="757"/>
      <c r="Z1181" s="757"/>
      <c r="AA1181" s="757"/>
      <c r="AB1181" s="757"/>
      <c r="AC1181" s="757"/>
      <c r="AD1181" s="757"/>
      <c r="AE1181" s="757"/>
      <c r="AF1181" s="757"/>
      <c r="AG1181" s="757"/>
      <c r="AH1181" s="757"/>
      <c r="AI1181" s="757"/>
      <c r="AJ1181" s="757"/>
      <c r="AK1181" s="757"/>
      <c r="AL1181" s="757"/>
      <c r="AM1181" s="757"/>
      <c r="AN1181" s="757"/>
      <c r="AO1181" s="757"/>
      <c r="AP1181" s="757"/>
      <c r="AQ1181" s="757"/>
      <c r="AR1181" s="757"/>
      <c r="AS1181" s="757"/>
      <c r="AT1181" s="757"/>
      <c r="AU1181" s="757"/>
      <c r="AV1181" s="757"/>
      <c r="AW1181" s="757"/>
      <c r="AX1181" s="757"/>
      <c r="AY1181" s="757"/>
      <c r="AZ1181" s="75"/>
      <c r="BA1181" s="2"/>
      <c r="BB1181" s="2"/>
      <c r="BC1181" s="2"/>
      <c r="BD1181" s="2"/>
    </row>
    <row r="1182" spans="1:56">
      <c r="A1182" s="781">
        <v>2</v>
      </c>
      <c r="B1182" s="782">
        <v>279</v>
      </c>
      <c r="C1182" s="783">
        <v>45566</v>
      </c>
      <c r="D1182" s="785" t="s">
        <v>1895</v>
      </c>
      <c r="E1182" s="808">
        <v>3900</v>
      </c>
      <c r="F1182" s="799"/>
      <c r="G1182" s="799"/>
      <c r="H1182" s="1592">
        <f t="shared" si="54"/>
        <v>0</v>
      </c>
      <c r="I1182" s="754" t="str">
        <f>IFERROR(VLOOKUP(B1182,Mychart!$A$125:$B$911,2,FALSE),"-")</f>
        <v>Shams Saeed Sultan AL Kitbee</v>
      </c>
      <c r="J1182" s="753">
        <f t="shared" si="55"/>
        <v>10</v>
      </c>
      <c r="K1182" s="1540">
        <f t="shared" si="56"/>
        <v>2024</v>
      </c>
      <c r="L1182" s="757"/>
      <c r="M1182" s="757"/>
      <c r="N1182" s="757"/>
      <c r="O1182" s="757"/>
      <c r="P1182" s="757"/>
      <c r="Q1182" s="757"/>
      <c r="R1182" s="757"/>
      <c r="S1182" s="757"/>
      <c r="T1182" s="757"/>
      <c r="U1182" s="757"/>
      <c r="V1182" s="757"/>
      <c r="W1182" s="757"/>
      <c r="X1182" s="757"/>
      <c r="Y1182" s="757"/>
      <c r="Z1182" s="757"/>
      <c r="AA1182" s="757"/>
      <c r="AB1182" s="757"/>
      <c r="AC1182" s="757"/>
      <c r="AD1182" s="757"/>
      <c r="AE1182" s="757"/>
      <c r="AF1182" s="757"/>
      <c r="AG1182" s="757"/>
      <c r="AH1182" s="757"/>
      <c r="AI1182" s="757"/>
      <c r="AJ1182" s="757"/>
      <c r="AK1182" s="757"/>
      <c r="AL1182" s="757"/>
      <c r="AM1182" s="757"/>
      <c r="AN1182" s="757"/>
      <c r="AO1182" s="757"/>
      <c r="AP1182" s="757"/>
      <c r="AQ1182" s="757"/>
      <c r="AR1182" s="757"/>
      <c r="AS1182" s="757"/>
      <c r="AT1182" s="757"/>
      <c r="AU1182" s="757"/>
      <c r="AV1182" s="757"/>
      <c r="AW1182" s="757"/>
      <c r="AX1182" s="757"/>
      <c r="AY1182" s="757"/>
      <c r="AZ1182" s="75"/>
      <c r="BA1182" s="2"/>
      <c r="BB1182" s="2"/>
      <c r="BC1182" s="2"/>
      <c r="BD1182" s="2"/>
    </row>
    <row r="1183" spans="1:56">
      <c r="A1183" s="781">
        <v>2</v>
      </c>
      <c r="B1183" s="782">
        <v>211</v>
      </c>
      <c r="C1183" s="783">
        <v>45565</v>
      </c>
      <c r="D1183" s="785" t="s">
        <v>2859</v>
      </c>
      <c r="E1183" s="808">
        <v>362.61</v>
      </c>
      <c r="F1183" s="799"/>
      <c r="G1183" s="799"/>
      <c r="H1183" s="1592">
        <f t="shared" si="54"/>
        <v>0</v>
      </c>
      <c r="I1183" s="754" t="str">
        <f>IFERROR(VLOOKUP(B1183,Mychart!$A$125:$B$911,2,FALSE),"-")</f>
        <v>AHMED AHLI - ASRI</v>
      </c>
      <c r="J1183" s="753">
        <f t="shared" si="55"/>
        <v>9</v>
      </c>
      <c r="K1183" s="1540">
        <f t="shared" si="56"/>
        <v>2024</v>
      </c>
      <c r="L1183" s="757"/>
      <c r="M1183" s="757"/>
      <c r="N1183" s="757"/>
      <c r="O1183" s="757"/>
      <c r="P1183" s="757"/>
      <c r="Q1183" s="757"/>
      <c r="R1183" s="757"/>
      <c r="S1183" s="757"/>
      <c r="T1183" s="757"/>
      <c r="U1183" s="757"/>
      <c r="V1183" s="757"/>
      <c r="W1183" s="757"/>
      <c r="X1183" s="757"/>
      <c r="Y1183" s="757"/>
      <c r="Z1183" s="757"/>
      <c r="AA1183" s="757"/>
      <c r="AB1183" s="757"/>
      <c r="AC1183" s="757"/>
      <c r="AD1183" s="758">
        <v>45572</v>
      </c>
      <c r="AE1183" s="757"/>
      <c r="AF1183" s="757"/>
      <c r="AG1183" s="757"/>
      <c r="AH1183" s="757"/>
      <c r="AI1183" s="757"/>
      <c r="AJ1183" s="757"/>
      <c r="AK1183" s="757"/>
      <c r="AL1183" s="757"/>
      <c r="AM1183" s="757"/>
      <c r="AN1183" s="757"/>
      <c r="AO1183" s="757"/>
      <c r="AP1183" s="757"/>
      <c r="AQ1183" s="757"/>
      <c r="AR1183" s="757"/>
      <c r="AS1183" s="757"/>
      <c r="AT1183" s="757"/>
      <c r="AU1183" s="757"/>
      <c r="AV1183" s="757"/>
      <c r="AW1183" s="757"/>
      <c r="AX1183" s="757"/>
      <c r="AY1183" s="757"/>
      <c r="AZ1183" s="75"/>
      <c r="BA1183" s="2"/>
      <c r="BB1183" s="2"/>
      <c r="BC1183" s="2"/>
      <c r="BD1183" s="2"/>
    </row>
    <row r="1184" spans="1:56">
      <c r="A1184" s="781">
        <v>2</v>
      </c>
      <c r="B1184" s="782">
        <v>215</v>
      </c>
      <c r="C1184" s="783">
        <v>45565</v>
      </c>
      <c r="D1184" s="785" t="s">
        <v>2860</v>
      </c>
      <c r="E1184" s="808">
        <v>789</v>
      </c>
      <c r="F1184" s="799"/>
      <c r="G1184" s="799"/>
      <c r="H1184" s="1592">
        <f t="shared" si="54"/>
        <v>0</v>
      </c>
      <c r="I1184" s="754" t="str">
        <f>IFERROR(VLOOKUP(B1184,Mychart!$A$125:$B$911,2,FALSE),"-")</f>
        <v>SAIF - IDEAL SYSTEMS CONTRACTING</v>
      </c>
      <c r="J1184" s="753">
        <f t="shared" si="55"/>
        <v>9</v>
      </c>
      <c r="K1184" s="1540">
        <f t="shared" si="56"/>
        <v>2024</v>
      </c>
      <c r="L1184" s="757"/>
      <c r="M1184" s="757"/>
      <c r="N1184" s="757"/>
      <c r="O1184" s="757"/>
      <c r="P1184" s="757"/>
      <c r="Q1184" s="757"/>
      <c r="R1184" s="757"/>
      <c r="S1184" s="757"/>
      <c r="T1184" s="757"/>
      <c r="U1184" s="757"/>
      <c r="V1184" s="757"/>
      <c r="W1184" s="757"/>
      <c r="X1184" s="757"/>
      <c r="Y1184" s="757"/>
      <c r="Z1184" s="757"/>
      <c r="AA1184" s="757"/>
      <c r="AB1184" s="757"/>
      <c r="AC1184" s="757"/>
      <c r="AD1184" s="758">
        <v>45572</v>
      </c>
      <c r="AE1184" s="757"/>
      <c r="AF1184" s="757"/>
      <c r="AG1184" s="757"/>
      <c r="AH1184" s="757"/>
      <c r="AI1184" s="757"/>
      <c r="AJ1184" s="757"/>
      <c r="AK1184" s="757"/>
      <c r="AL1184" s="757"/>
      <c r="AM1184" s="757"/>
      <c r="AN1184" s="757"/>
      <c r="AO1184" s="757"/>
      <c r="AP1184" s="757"/>
      <c r="AQ1184" s="757"/>
      <c r="AR1184" s="757"/>
      <c r="AS1184" s="757"/>
      <c r="AT1184" s="757"/>
      <c r="AU1184" s="757"/>
      <c r="AV1184" s="757"/>
      <c r="AW1184" s="757"/>
      <c r="AX1184" s="757"/>
      <c r="AY1184" s="757"/>
      <c r="AZ1184" s="75"/>
      <c r="BA1184" s="2"/>
      <c r="BB1184" s="2"/>
      <c r="BC1184" s="2"/>
      <c r="BD1184" s="2"/>
    </row>
    <row r="1185" spans="1:56">
      <c r="A1185" s="781">
        <v>2</v>
      </c>
      <c r="B1185" s="782">
        <v>216</v>
      </c>
      <c r="C1185" s="783">
        <v>45565</v>
      </c>
      <c r="D1185" s="785" t="s">
        <v>2861</v>
      </c>
      <c r="E1185" s="808">
        <v>3116.12</v>
      </c>
      <c r="F1185" s="799"/>
      <c r="G1185" s="799"/>
      <c r="H1185" s="1592">
        <f t="shared" si="54"/>
        <v>0</v>
      </c>
      <c r="I1185" s="754" t="str">
        <f>IFERROR(VLOOKUP(B1185,Mychart!$A$125:$B$911,2,FALSE),"-")</f>
        <v>MUHAIR . AREEJ ( 165000 )</v>
      </c>
      <c r="J1185" s="753">
        <f t="shared" si="55"/>
        <v>9</v>
      </c>
      <c r="K1185" s="1540">
        <f t="shared" si="56"/>
        <v>2024</v>
      </c>
      <c r="L1185" s="757"/>
      <c r="M1185" s="757"/>
      <c r="N1185" s="757"/>
      <c r="O1185" s="757"/>
      <c r="P1185" s="757"/>
      <c r="Q1185" s="757"/>
      <c r="R1185" s="757"/>
      <c r="S1185" s="757"/>
      <c r="T1185" s="757"/>
      <c r="U1185" s="757"/>
      <c r="V1185" s="757"/>
      <c r="W1185" s="757"/>
      <c r="X1185" s="757"/>
      <c r="Y1185" s="757"/>
      <c r="Z1185" s="757"/>
      <c r="AA1185" s="757"/>
      <c r="AB1185" s="757"/>
      <c r="AC1185" s="757"/>
      <c r="AD1185" s="758">
        <v>45572</v>
      </c>
      <c r="AE1185" s="757"/>
      <c r="AF1185" s="757"/>
      <c r="AG1185" s="757"/>
      <c r="AH1185" s="757"/>
      <c r="AI1185" s="757"/>
      <c r="AJ1185" s="757"/>
      <c r="AK1185" s="757"/>
      <c r="AL1185" s="757"/>
      <c r="AM1185" s="757"/>
      <c r="AN1185" s="757"/>
      <c r="AO1185" s="757"/>
      <c r="AP1185" s="757"/>
      <c r="AQ1185" s="757"/>
      <c r="AR1185" s="757"/>
      <c r="AS1185" s="757"/>
      <c r="AT1185" s="757"/>
      <c r="AU1185" s="757"/>
      <c r="AV1185" s="757"/>
      <c r="AW1185" s="757"/>
      <c r="AX1185" s="757"/>
      <c r="AY1185" s="757"/>
      <c r="AZ1185" s="75"/>
      <c r="BA1185" s="2"/>
      <c r="BB1185" s="2"/>
      <c r="BC1185" s="2"/>
      <c r="BD1185" s="2"/>
    </row>
    <row r="1186" spans="1:56">
      <c r="A1186" s="781">
        <v>2</v>
      </c>
      <c r="B1186" s="782">
        <v>217</v>
      </c>
      <c r="C1186" s="783">
        <v>45565</v>
      </c>
      <c r="D1186" s="785" t="s">
        <v>2862</v>
      </c>
      <c r="E1186" s="808">
        <v>317.10000000000002</v>
      </c>
      <c r="F1186" s="799"/>
      <c r="G1186" s="799"/>
      <c r="H1186" s="1592">
        <f t="shared" si="54"/>
        <v>0</v>
      </c>
      <c r="I1186" s="754" t="str">
        <f>IFERROR(VLOOKUP(B1186,Mychart!$A$125:$B$911,2,FALSE),"-")</f>
        <v>MOHAMED MUHAIR . AREEJ</v>
      </c>
      <c r="J1186" s="753">
        <f t="shared" si="55"/>
        <v>9</v>
      </c>
      <c r="K1186" s="1540">
        <f t="shared" si="56"/>
        <v>2024</v>
      </c>
      <c r="L1186" s="757"/>
      <c r="M1186" s="757"/>
      <c r="N1186" s="757"/>
      <c r="O1186" s="757"/>
      <c r="P1186" s="757"/>
      <c r="Q1186" s="757"/>
      <c r="R1186" s="757"/>
      <c r="S1186" s="757"/>
      <c r="T1186" s="757"/>
      <c r="U1186" s="757"/>
      <c r="V1186" s="757"/>
      <c r="W1186" s="757"/>
      <c r="X1186" s="757"/>
      <c r="Y1186" s="757"/>
      <c r="Z1186" s="757"/>
      <c r="AA1186" s="757"/>
      <c r="AB1186" s="757"/>
      <c r="AC1186" s="757"/>
      <c r="AD1186" s="758">
        <v>45572</v>
      </c>
      <c r="AE1186" s="757"/>
      <c r="AF1186" s="757"/>
      <c r="AG1186" s="757"/>
      <c r="AH1186" s="757"/>
      <c r="AI1186" s="757"/>
      <c r="AJ1186" s="757"/>
      <c r="AK1186" s="757"/>
      <c r="AL1186" s="757"/>
      <c r="AM1186" s="757"/>
      <c r="AN1186" s="757"/>
      <c r="AO1186" s="757"/>
      <c r="AP1186" s="757"/>
      <c r="AQ1186" s="757"/>
      <c r="AR1186" s="757"/>
      <c r="AS1186" s="757"/>
      <c r="AT1186" s="757"/>
      <c r="AU1186" s="757"/>
      <c r="AV1186" s="757"/>
      <c r="AW1186" s="757"/>
      <c r="AX1186" s="757"/>
      <c r="AY1186" s="757"/>
      <c r="AZ1186" s="75"/>
      <c r="BA1186" s="2"/>
      <c r="BB1186" s="2"/>
      <c r="BC1186" s="2"/>
      <c r="BD1186" s="2"/>
    </row>
    <row r="1187" spans="1:56">
      <c r="A1187" s="781">
        <v>2</v>
      </c>
      <c r="B1187" s="782">
        <v>221</v>
      </c>
      <c r="C1187" s="783">
        <v>45565</v>
      </c>
      <c r="D1187" s="785" t="s">
        <v>2863</v>
      </c>
      <c r="E1187" s="808">
        <v>265.60000000000002</v>
      </c>
      <c r="F1187" s="799"/>
      <c r="G1187" s="799"/>
      <c r="H1187" s="1592">
        <f t="shared" si="54"/>
        <v>0</v>
      </c>
      <c r="I1187" s="754" t="str">
        <f>IFERROR(VLOOKUP(B1187,Mychart!$A$125:$B$911,2,FALSE),"-")</f>
        <v>SAEED - ARCHPIX</v>
      </c>
      <c r="J1187" s="753">
        <f t="shared" si="55"/>
        <v>9</v>
      </c>
      <c r="K1187" s="1540">
        <f t="shared" si="56"/>
        <v>2024</v>
      </c>
      <c r="L1187" s="757"/>
      <c r="M1187" s="757"/>
      <c r="N1187" s="757"/>
      <c r="O1187" s="757"/>
      <c r="P1187" s="757"/>
      <c r="Q1187" s="757"/>
      <c r="R1187" s="757"/>
      <c r="S1187" s="757"/>
      <c r="T1187" s="757"/>
      <c r="U1187" s="757"/>
      <c r="V1187" s="757"/>
      <c r="W1187" s="757"/>
      <c r="X1187" s="757"/>
      <c r="Y1187" s="757"/>
      <c r="Z1187" s="757"/>
      <c r="AA1187" s="757"/>
      <c r="AB1187" s="757"/>
      <c r="AC1187" s="757"/>
      <c r="AD1187" s="758">
        <v>45572</v>
      </c>
      <c r="AE1187" s="757"/>
      <c r="AF1187" s="757"/>
      <c r="AG1187" s="757"/>
      <c r="AH1187" s="757"/>
      <c r="AI1187" s="757"/>
      <c r="AJ1187" s="757"/>
      <c r="AK1187" s="757"/>
      <c r="AL1187" s="757"/>
      <c r="AM1187" s="757"/>
      <c r="AN1187" s="757"/>
      <c r="AO1187" s="757"/>
      <c r="AP1187" s="757"/>
      <c r="AQ1187" s="757"/>
      <c r="AR1187" s="757"/>
      <c r="AS1187" s="757"/>
      <c r="AT1187" s="757"/>
      <c r="AU1187" s="757"/>
      <c r="AV1187" s="757"/>
      <c r="AW1187" s="757"/>
      <c r="AX1187" s="757"/>
      <c r="AY1187" s="757"/>
      <c r="AZ1187" s="75"/>
      <c r="BA1187" s="2"/>
      <c r="BB1187" s="2"/>
      <c r="BC1187" s="2"/>
      <c r="BD1187" s="2"/>
    </row>
    <row r="1188" spans="1:56">
      <c r="A1188" s="781">
        <v>2</v>
      </c>
      <c r="B1188" s="782">
        <v>225</v>
      </c>
      <c r="C1188" s="783">
        <v>45565</v>
      </c>
      <c r="D1188" s="785" t="s">
        <v>2864</v>
      </c>
      <c r="E1188" s="808">
        <v>910.5</v>
      </c>
      <c r="F1188" s="799"/>
      <c r="G1188" s="799"/>
      <c r="H1188" s="1592">
        <f t="shared" si="54"/>
        <v>0</v>
      </c>
      <c r="I1188" s="754" t="str">
        <f>IFERROR(VLOOKUP(B1188,Mychart!$A$125:$B$911,2,FALSE),"-")</f>
        <v>HESSA BELOSHI</v>
      </c>
      <c r="J1188" s="753">
        <f t="shared" si="55"/>
        <v>9</v>
      </c>
      <c r="K1188" s="1540">
        <f t="shared" si="56"/>
        <v>2024</v>
      </c>
      <c r="L1188" s="757"/>
      <c r="M1188" s="757"/>
      <c r="N1188" s="757"/>
      <c r="O1188" s="757"/>
      <c r="P1188" s="757"/>
      <c r="Q1188" s="757"/>
      <c r="R1188" s="757"/>
      <c r="S1188" s="757"/>
      <c r="T1188" s="757"/>
      <c r="U1188" s="757"/>
      <c r="V1188" s="757"/>
      <c r="W1188" s="757"/>
      <c r="X1188" s="757"/>
      <c r="Y1188" s="757"/>
      <c r="Z1188" s="757"/>
      <c r="AA1188" s="757"/>
      <c r="AB1188" s="757"/>
      <c r="AC1188" s="757"/>
      <c r="AD1188" s="758">
        <v>45572</v>
      </c>
      <c r="AE1188" s="757"/>
      <c r="AF1188" s="757"/>
      <c r="AG1188" s="757"/>
      <c r="AH1188" s="757"/>
      <c r="AI1188" s="757"/>
      <c r="AJ1188" s="757"/>
      <c r="AK1188" s="757"/>
      <c r="AL1188" s="757"/>
      <c r="AM1188" s="757"/>
      <c r="AN1188" s="757"/>
      <c r="AO1188" s="757"/>
      <c r="AP1188" s="757"/>
      <c r="AQ1188" s="757"/>
      <c r="AR1188" s="757"/>
      <c r="AS1188" s="757"/>
      <c r="AT1188" s="757"/>
      <c r="AU1188" s="757"/>
      <c r="AV1188" s="757"/>
      <c r="AW1188" s="757"/>
      <c r="AX1188" s="757"/>
      <c r="AY1188" s="757"/>
      <c r="AZ1188" s="75"/>
      <c r="BA1188" s="2"/>
      <c r="BB1188" s="2"/>
      <c r="BC1188" s="2"/>
      <c r="BD1188" s="2"/>
    </row>
    <row r="1189" spans="1:56">
      <c r="A1189" s="781">
        <v>2</v>
      </c>
      <c r="B1189" s="782">
        <v>237</v>
      </c>
      <c r="C1189" s="783">
        <v>45565</v>
      </c>
      <c r="D1189" s="785" t="s">
        <v>2865</v>
      </c>
      <c r="E1189" s="808">
        <v>196.35</v>
      </c>
      <c r="F1189" s="799"/>
      <c r="G1189" s="799"/>
      <c r="H1189" s="1592">
        <f t="shared" si="54"/>
        <v>0</v>
      </c>
      <c r="I1189" s="754" t="str">
        <f>IFERROR(VLOOKUP(B1189,Mychart!$A$125:$B$911,2,FALSE),"-")</f>
        <v>HAMAD SAWUDI . IBTESAM</v>
      </c>
      <c r="J1189" s="753">
        <f t="shared" si="55"/>
        <v>9</v>
      </c>
      <c r="K1189" s="1540">
        <f t="shared" si="56"/>
        <v>2024</v>
      </c>
      <c r="L1189" s="757"/>
      <c r="M1189" s="757"/>
      <c r="N1189" s="757"/>
      <c r="O1189" s="757"/>
      <c r="P1189" s="757"/>
      <c r="Q1189" s="757"/>
      <c r="R1189" s="757"/>
      <c r="S1189" s="757"/>
      <c r="T1189" s="757"/>
      <c r="U1189" s="757"/>
      <c r="V1189" s="757"/>
      <c r="W1189" s="757"/>
      <c r="X1189" s="757"/>
      <c r="Y1189" s="757"/>
      <c r="Z1189" s="757"/>
      <c r="AA1189" s="757"/>
      <c r="AB1189" s="757"/>
      <c r="AC1189" s="757"/>
      <c r="AD1189" s="758">
        <v>45572</v>
      </c>
      <c r="AE1189" s="757"/>
      <c r="AF1189" s="757"/>
      <c r="AG1189" s="757"/>
      <c r="AH1189" s="757"/>
      <c r="AI1189" s="757"/>
      <c r="AJ1189" s="757"/>
      <c r="AK1189" s="757"/>
      <c r="AL1189" s="757"/>
      <c r="AM1189" s="757"/>
      <c r="AN1189" s="757"/>
      <c r="AO1189" s="757"/>
      <c r="AP1189" s="757"/>
      <c r="AQ1189" s="757"/>
      <c r="AR1189" s="757"/>
      <c r="AS1189" s="757"/>
      <c r="AT1189" s="757"/>
      <c r="AU1189" s="757"/>
      <c r="AV1189" s="757"/>
      <c r="AW1189" s="757"/>
      <c r="AX1189" s="757"/>
      <c r="AY1189" s="757"/>
      <c r="AZ1189" s="75"/>
      <c r="BA1189" s="2"/>
      <c r="BB1189" s="2"/>
      <c r="BC1189" s="2"/>
      <c r="BD1189" s="2"/>
    </row>
    <row r="1190" spans="1:56">
      <c r="A1190" s="781">
        <v>2</v>
      </c>
      <c r="B1190" s="782">
        <v>243</v>
      </c>
      <c r="C1190" s="783">
        <v>45565</v>
      </c>
      <c r="D1190" s="785" t="s">
        <v>2866</v>
      </c>
      <c r="E1190" s="808">
        <v>726.13000000000011</v>
      </c>
      <c r="F1190" s="799"/>
      <c r="G1190" s="799"/>
      <c r="H1190" s="1592">
        <f t="shared" si="54"/>
        <v>0</v>
      </c>
      <c r="I1190" s="754" t="str">
        <f>IFERROR(VLOOKUP(B1190,Mychart!$A$125:$B$911,2,FALSE),"-")</f>
        <v>SHIHAB - ERTIKAZ</v>
      </c>
      <c r="J1190" s="753">
        <f t="shared" si="55"/>
        <v>9</v>
      </c>
      <c r="K1190" s="1540">
        <f t="shared" si="56"/>
        <v>2024</v>
      </c>
      <c r="L1190" s="757"/>
      <c r="M1190" s="757"/>
      <c r="N1190" s="757"/>
      <c r="O1190" s="757"/>
      <c r="P1190" s="757"/>
      <c r="Q1190" s="757"/>
      <c r="R1190" s="757"/>
      <c r="S1190" s="757"/>
      <c r="T1190" s="757"/>
      <c r="U1190" s="757"/>
      <c r="V1190" s="757"/>
      <c r="W1190" s="757"/>
      <c r="X1190" s="757"/>
      <c r="Y1190" s="757"/>
      <c r="Z1190" s="757"/>
      <c r="AA1190" s="757"/>
      <c r="AB1190" s="757"/>
      <c r="AC1190" s="757"/>
      <c r="AD1190" s="758">
        <v>45572</v>
      </c>
      <c r="AE1190" s="757"/>
      <c r="AF1190" s="757"/>
      <c r="AG1190" s="757"/>
      <c r="AH1190" s="757"/>
      <c r="AI1190" s="757"/>
      <c r="AJ1190" s="757"/>
      <c r="AK1190" s="757"/>
      <c r="AL1190" s="757"/>
      <c r="AM1190" s="757"/>
      <c r="AN1190" s="757"/>
      <c r="AO1190" s="757"/>
      <c r="AP1190" s="757"/>
      <c r="AQ1190" s="757"/>
      <c r="AR1190" s="757"/>
      <c r="AS1190" s="757"/>
      <c r="AT1190" s="757"/>
      <c r="AU1190" s="757"/>
      <c r="AV1190" s="757"/>
      <c r="AW1190" s="757"/>
      <c r="AX1190" s="757"/>
      <c r="AY1190" s="757"/>
      <c r="AZ1190" s="75"/>
      <c r="BA1190" s="2"/>
      <c r="BB1190" s="2"/>
      <c r="BC1190" s="2"/>
      <c r="BD1190" s="2"/>
    </row>
    <row r="1191" spans="1:56">
      <c r="A1191" s="781">
        <v>2</v>
      </c>
      <c r="B1191" s="782">
        <v>249</v>
      </c>
      <c r="C1191" s="783">
        <v>45565</v>
      </c>
      <c r="D1191" s="785" t="s">
        <v>2867</v>
      </c>
      <c r="E1191" s="808">
        <v>7620.26</v>
      </c>
      <c r="F1191" s="799"/>
      <c r="G1191" s="799"/>
      <c r="H1191" s="1592">
        <f t="shared" si="54"/>
        <v>0</v>
      </c>
      <c r="I1191" s="754" t="str">
        <f>IFERROR(VLOOKUP(B1191,Mychart!$A$125:$B$911,2,FALSE),"-")</f>
        <v>farouq marzoki</v>
      </c>
      <c r="J1191" s="753">
        <f t="shared" si="55"/>
        <v>9</v>
      </c>
      <c r="K1191" s="1540">
        <f t="shared" si="56"/>
        <v>2024</v>
      </c>
      <c r="L1191" s="757"/>
      <c r="M1191" s="757"/>
      <c r="N1191" s="757"/>
      <c r="O1191" s="757"/>
      <c r="P1191" s="757"/>
      <c r="Q1191" s="757"/>
      <c r="R1191" s="757"/>
      <c r="S1191" s="757"/>
      <c r="T1191" s="757"/>
      <c r="U1191" s="757"/>
      <c r="V1191" s="757"/>
      <c r="W1191" s="757"/>
      <c r="X1191" s="757"/>
      <c r="Y1191" s="757"/>
      <c r="Z1191" s="757"/>
      <c r="AA1191" s="757"/>
      <c r="AB1191" s="757"/>
      <c r="AC1191" s="757"/>
      <c r="AD1191" s="758">
        <v>45572</v>
      </c>
      <c r="AE1191" s="757"/>
      <c r="AF1191" s="757"/>
      <c r="AG1191" s="757"/>
      <c r="AH1191" s="757"/>
      <c r="AI1191" s="757"/>
      <c r="AJ1191" s="757"/>
      <c r="AK1191" s="757"/>
      <c r="AL1191" s="757"/>
      <c r="AM1191" s="757"/>
      <c r="AN1191" s="757"/>
      <c r="AO1191" s="757"/>
      <c r="AP1191" s="757"/>
      <c r="AQ1191" s="757"/>
      <c r="AR1191" s="757"/>
      <c r="AS1191" s="757"/>
      <c r="AT1191" s="757"/>
      <c r="AU1191" s="757"/>
      <c r="AV1191" s="757"/>
      <c r="AW1191" s="757"/>
      <c r="AX1191" s="757"/>
      <c r="AY1191" s="757"/>
      <c r="AZ1191" s="75"/>
      <c r="BA1191" s="2"/>
      <c r="BB1191" s="2"/>
      <c r="BC1191" s="2"/>
      <c r="BD1191" s="2"/>
    </row>
    <row r="1192" spans="1:56">
      <c r="A1192" s="781">
        <v>2</v>
      </c>
      <c r="B1192" s="782">
        <v>252</v>
      </c>
      <c r="C1192" s="783">
        <v>45565</v>
      </c>
      <c r="D1192" s="785" t="s">
        <v>2868</v>
      </c>
      <c r="E1192" s="808">
        <v>780.88</v>
      </c>
      <c r="F1192" s="799"/>
      <c r="G1192" s="799"/>
      <c r="H1192" s="1592">
        <f t="shared" si="54"/>
        <v>0</v>
      </c>
      <c r="I1192" s="754" t="str">
        <f>IFERROR(VLOOKUP(B1192,Mychart!$A$125:$B$911,2,FALSE),"-")</f>
        <v>Mohamed Saif - HBC</v>
      </c>
      <c r="J1192" s="753">
        <f t="shared" si="55"/>
        <v>9</v>
      </c>
      <c r="K1192" s="1540">
        <f t="shared" si="56"/>
        <v>2024</v>
      </c>
      <c r="L1192" s="757"/>
      <c r="M1192" s="757"/>
      <c r="N1192" s="757"/>
      <c r="O1192" s="757"/>
      <c r="P1192" s="757"/>
      <c r="Q1192" s="757"/>
      <c r="R1192" s="757"/>
      <c r="S1192" s="757"/>
      <c r="T1192" s="757"/>
      <c r="U1192" s="757"/>
      <c r="V1192" s="757"/>
      <c r="W1192" s="757"/>
      <c r="X1192" s="757"/>
      <c r="Y1192" s="757"/>
      <c r="Z1192" s="757"/>
      <c r="AA1192" s="757"/>
      <c r="AB1192" s="757"/>
      <c r="AC1192" s="757"/>
      <c r="AD1192" s="758">
        <v>45572</v>
      </c>
      <c r="AE1192" s="757"/>
      <c r="AF1192" s="757"/>
      <c r="AG1192" s="757"/>
      <c r="AH1192" s="757"/>
      <c r="AI1192" s="757"/>
      <c r="AJ1192" s="757"/>
      <c r="AK1192" s="757"/>
      <c r="AL1192" s="757"/>
      <c r="AM1192" s="757"/>
      <c r="AN1192" s="757"/>
      <c r="AO1192" s="757"/>
      <c r="AP1192" s="757"/>
      <c r="AQ1192" s="757"/>
      <c r="AR1192" s="757"/>
      <c r="AS1192" s="757"/>
      <c r="AT1192" s="757"/>
      <c r="AU1192" s="757"/>
      <c r="AV1192" s="757"/>
      <c r="AW1192" s="757"/>
      <c r="AX1192" s="757"/>
      <c r="AY1192" s="757"/>
      <c r="AZ1192" s="75"/>
      <c r="BA1192" s="2"/>
      <c r="BB1192" s="2"/>
      <c r="BC1192" s="2"/>
      <c r="BD1192" s="2"/>
    </row>
    <row r="1193" spans="1:56">
      <c r="A1193" s="781">
        <v>2</v>
      </c>
      <c r="B1193" s="782">
        <v>254</v>
      </c>
      <c r="C1193" s="783">
        <v>45565</v>
      </c>
      <c r="D1193" s="785" t="s">
        <v>2869</v>
      </c>
      <c r="E1193" s="808">
        <v>2186.59</v>
      </c>
      <c r="F1193" s="799"/>
      <c r="G1193" s="799"/>
      <c r="H1193" s="1592">
        <f t="shared" si="54"/>
        <v>0</v>
      </c>
      <c r="I1193" s="754" t="str">
        <f>IFERROR(VLOOKUP(B1193,Mychart!$A$125:$B$911,2,FALSE),"-")</f>
        <v>NAEEAA BENWAS</v>
      </c>
      <c r="J1193" s="753">
        <f t="shared" si="55"/>
        <v>9</v>
      </c>
      <c r="K1193" s="1540">
        <f t="shared" si="56"/>
        <v>2024</v>
      </c>
      <c r="L1193" s="757"/>
      <c r="M1193" s="757"/>
      <c r="N1193" s="757"/>
      <c r="O1193" s="757"/>
      <c r="P1193" s="757"/>
      <c r="Q1193" s="757"/>
      <c r="R1193" s="757"/>
      <c r="S1193" s="757"/>
      <c r="T1193" s="757"/>
      <c r="U1193" s="757"/>
      <c r="V1193" s="757"/>
      <c r="W1193" s="757"/>
      <c r="X1193" s="757"/>
      <c r="Y1193" s="757"/>
      <c r="Z1193" s="757"/>
      <c r="AA1193" s="757"/>
      <c r="AB1193" s="757"/>
      <c r="AC1193" s="757"/>
      <c r="AD1193" s="758">
        <v>45572</v>
      </c>
      <c r="AE1193" s="757"/>
      <c r="AF1193" s="757"/>
      <c r="AG1193" s="757"/>
      <c r="AH1193" s="757"/>
      <c r="AI1193" s="757"/>
      <c r="AJ1193" s="757"/>
      <c r="AK1193" s="757"/>
      <c r="AL1193" s="757"/>
      <c r="AM1193" s="757"/>
      <c r="AN1193" s="757"/>
      <c r="AO1193" s="757"/>
      <c r="AP1193" s="757"/>
      <c r="AQ1193" s="757"/>
      <c r="AR1193" s="757"/>
      <c r="AS1193" s="757"/>
      <c r="AT1193" s="757"/>
      <c r="AU1193" s="757"/>
      <c r="AV1193" s="757"/>
      <c r="AW1193" s="757"/>
      <c r="AX1193" s="757"/>
      <c r="AY1193" s="757"/>
      <c r="AZ1193" s="75"/>
      <c r="BA1193" s="2"/>
      <c r="BB1193" s="2"/>
      <c r="BC1193" s="2"/>
      <c r="BD1193" s="2"/>
    </row>
    <row r="1194" spans="1:56">
      <c r="A1194" s="781">
        <v>2</v>
      </c>
      <c r="B1194" s="782">
        <v>255</v>
      </c>
      <c r="C1194" s="783">
        <v>45565</v>
      </c>
      <c r="D1194" s="785" t="s">
        <v>2870</v>
      </c>
      <c r="E1194" s="808">
        <v>3397.28</v>
      </c>
      <c r="F1194" s="799"/>
      <c r="G1194" s="799"/>
      <c r="H1194" s="1592">
        <f t="shared" si="54"/>
        <v>0</v>
      </c>
      <c r="I1194" s="754" t="str">
        <f>IFERROR(VLOOKUP(B1194,Mychart!$A$125:$B$911,2,FALSE),"-")</f>
        <v>ESSA KHALIFA</v>
      </c>
      <c r="J1194" s="753">
        <f t="shared" si="55"/>
        <v>9</v>
      </c>
      <c r="K1194" s="1540">
        <f t="shared" si="56"/>
        <v>2024</v>
      </c>
      <c r="L1194" s="757"/>
      <c r="M1194" s="757"/>
      <c r="N1194" s="757"/>
      <c r="O1194" s="757"/>
      <c r="P1194" s="757"/>
      <c r="Q1194" s="757"/>
      <c r="R1194" s="757"/>
      <c r="S1194" s="757"/>
      <c r="T1194" s="757"/>
      <c r="U1194" s="757"/>
      <c r="V1194" s="757"/>
      <c r="W1194" s="757"/>
      <c r="X1194" s="757"/>
      <c r="Y1194" s="757"/>
      <c r="Z1194" s="757"/>
      <c r="AA1194" s="757"/>
      <c r="AB1194" s="757"/>
      <c r="AC1194" s="757"/>
      <c r="AD1194" s="758">
        <v>45572</v>
      </c>
      <c r="AE1194" s="757"/>
      <c r="AF1194" s="757"/>
      <c r="AG1194" s="757"/>
      <c r="AH1194" s="757"/>
      <c r="AI1194" s="757"/>
      <c r="AJ1194" s="757"/>
      <c r="AK1194" s="757"/>
      <c r="AL1194" s="757"/>
      <c r="AM1194" s="757"/>
      <c r="AN1194" s="757"/>
      <c r="AO1194" s="757"/>
      <c r="AP1194" s="757"/>
      <c r="AQ1194" s="757"/>
      <c r="AR1194" s="757"/>
      <c r="AS1194" s="757"/>
      <c r="AT1194" s="757"/>
      <c r="AU1194" s="757"/>
      <c r="AV1194" s="757"/>
      <c r="AW1194" s="757"/>
      <c r="AX1194" s="757"/>
      <c r="AY1194" s="757"/>
      <c r="AZ1194" s="75"/>
      <c r="BA1194" s="2"/>
      <c r="BB1194" s="2"/>
      <c r="BC1194" s="2"/>
      <c r="BD1194" s="2"/>
    </row>
    <row r="1195" spans="1:56">
      <c r="A1195" s="781">
        <v>2</v>
      </c>
      <c r="B1195" s="782">
        <v>256</v>
      </c>
      <c r="C1195" s="783">
        <v>45565</v>
      </c>
      <c r="D1195" s="785" t="s">
        <v>2871</v>
      </c>
      <c r="E1195" s="808">
        <v>24384.35</v>
      </c>
      <c r="F1195" s="799"/>
      <c r="G1195" s="799"/>
      <c r="H1195" s="1592">
        <f t="shared" si="54"/>
        <v>0</v>
      </c>
      <c r="I1195" s="754" t="str">
        <f>IFERROR(VLOOKUP(B1195,Mychart!$A$125:$B$911,2,FALSE),"-")</f>
        <v>ADNAN DUBAI SKY</v>
      </c>
      <c r="J1195" s="753">
        <f t="shared" si="55"/>
        <v>9</v>
      </c>
      <c r="K1195" s="1540">
        <f t="shared" si="56"/>
        <v>2024</v>
      </c>
      <c r="L1195" s="757"/>
      <c r="M1195" s="757"/>
      <c r="N1195" s="757"/>
      <c r="O1195" s="757"/>
      <c r="P1195" s="757"/>
      <c r="Q1195" s="757"/>
      <c r="R1195" s="757"/>
      <c r="S1195" s="757"/>
      <c r="T1195" s="757"/>
      <c r="U1195" s="757"/>
      <c r="V1195" s="757"/>
      <c r="W1195" s="757"/>
      <c r="X1195" s="757"/>
      <c r="Y1195" s="757"/>
      <c r="Z1195" s="757"/>
      <c r="AA1195" s="757"/>
      <c r="AB1195" s="757"/>
      <c r="AC1195" s="757"/>
      <c r="AD1195" s="758">
        <v>45572</v>
      </c>
      <c r="AE1195" s="757"/>
      <c r="AF1195" s="757"/>
      <c r="AG1195" s="757"/>
      <c r="AH1195" s="757"/>
      <c r="AI1195" s="757"/>
      <c r="AJ1195" s="757"/>
      <c r="AK1195" s="757"/>
      <c r="AL1195" s="757"/>
      <c r="AM1195" s="757"/>
      <c r="AN1195" s="757"/>
      <c r="AO1195" s="757"/>
      <c r="AP1195" s="757"/>
      <c r="AQ1195" s="757"/>
      <c r="AR1195" s="757"/>
      <c r="AS1195" s="757"/>
      <c r="AT1195" s="757"/>
      <c r="AU1195" s="757"/>
      <c r="AV1195" s="757"/>
      <c r="AW1195" s="757"/>
      <c r="AX1195" s="757"/>
      <c r="AY1195" s="757"/>
      <c r="AZ1195" s="75"/>
      <c r="BA1195" s="2"/>
      <c r="BB1195" s="2"/>
      <c r="BC1195" s="2"/>
      <c r="BD1195" s="2"/>
    </row>
    <row r="1196" spans="1:56">
      <c r="A1196" s="781">
        <v>2</v>
      </c>
      <c r="B1196" s="782">
        <v>257</v>
      </c>
      <c r="C1196" s="783">
        <v>45565</v>
      </c>
      <c r="D1196" s="785" t="s">
        <v>2872</v>
      </c>
      <c r="E1196" s="808">
        <v>3117.75</v>
      </c>
      <c r="F1196" s="799"/>
      <c r="G1196" s="799"/>
      <c r="H1196" s="1592">
        <f t="shared" si="54"/>
        <v>0</v>
      </c>
      <c r="I1196" s="754" t="str">
        <f>IFERROR(VLOOKUP(B1196,Mychart!$A$125:$B$911,2,FALSE),"-")</f>
        <v>NAAEMA SALEH - ERTIKAZ</v>
      </c>
      <c r="J1196" s="753">
        <f t="shared" si="55"/>
        <v>9</v>
      </c>
      <c r="K1196" s="1540">
        <f t="shared" si="56"/>
        <v>2024</v>
      </c>
      <c r="L1196" s="757"/>
      <c r="M1196" s="757"/>
      <c r="N1196" s="757"/>
      <c r="O1196" s="757"/>
      <c r="P1196" s="757"/>
      <c r="Q1196" s="757"/>
      <c r="R1196" s="757"/>
      <c r="S1196" s="757"/>
      <c r="T1196" s="757"/>
      <c r="U1196" s="757"/>
      <c r="V1196" s="757"/>
      <c r="W1196" s="757"/>
      <c r="X1196" s="757"/>
      <c r="Y1196" s="757"/>
      <c r="Z1196" s="757"/>
      <c r="AA1196" s="757"/>
      <c r="AB1196" s="757"/>
      <c r="AC1196" s="757"/>
      <c r="AD1196" s="758">
        <v>45572</v>
      </c>
      <c r="AE1196" s="757"/>
      <c r="AF1196" s="757"/>
      <c r="AG1196" s="757"/>
      <c r="AH1196" s="757"/>
      <c r="AI1196" s="757"/>
      <c r="AJ1196" s="757"/>
      <c r="AK1196" s="757"/>
      <c r="AL1196" s="757"/>
      <c r="AM1196" s="757"/>
      <c r="AN1196" s="757"/>
      <c r="AO1196" s="757"/>
      <c r="AP1196" s="757"/>
      <c r="AQ1196" s="757"/>
      <c r="AR1196" s="757"/>
      <c r="AS1196" s="757"/>
      <c r="AT1196" s="757"/>
      <c r="AU1196" s="757"/>
      <c r="AV1196" s="757"/>
      <c r="AW1196" s="757"/>
      <c r="AX1196" s="757"/>
      <c r="AY1196" s="757"/>
      <c r="AZ1196" s="75"/>
      <c r="BA1196" s="2"/>
      <c r="BB1196" s="2"/>
      <c r="BC1196" s="2"/>
      <c r="BD1196" s="2"/>
    </row>
    <row r="1197" spans="1:56">
      <c r="A1197" s="781">
        <v>2</v>
      </c>
      <c r="B1197" s="782">
        <v>258</v>
      </c>
      <c r="C1197" s="783">
        <v>45565</v>
      </c>
      <c r="D1197" s="785" t="s">
        <v>2873</v>
      </c>
      <c r="E1197" s="808">
        <v>409.84999999999997</v>
      </c>
      <c r="F1197" s="799"/>
      <c r="G1197" s="799"/>
      <c r="H1197" s="1592">
        <f t="shared" si="54"/>
        <v>0</v>
      </c>
      <c r="I1197" s="754" t="str">
        <f>IFERROR(VLOOKUP(B1197,Mychart!$A$125:$B$911,2,FALSE),"-")</f>
        <v>MAJID ALSHEHY</v>
      </c>
      <c r="J1197" s="753">
        <f t="shared" si="55"/>
        <v>9</v>
      </c>
      <c r="K1197" s="1540">
        <f t="shared" si="56"/>
        <v>2024</v>
      </c>
      <c r="L1197" s="757"/>
      <c r="M1197" s="757"/>
      <c r="N1197" s="757"/>
      <c r="O1197" s="757"/>
      <c r="P1197" s="757"/>
      <c r="Q1197" s="757"/>
      <c r="R1197" s="757"/>
      <c r="S1197" s="757"/>
      <c r="T1197" s="757"/>
      <c r="U1197" s="757"/>
      <c r="V1197" s="757"/>
      <c r="W1197" s="757"/>
      <c r="X1197" s="757"/>
      <c r="Y1197" s="757"/>
      <c r="Z1197" s="757"/>
      <c r="AA1197" s="757"/>
      <c r="AB1197" s="757"/>
      <c r="AC1197" s="757"/>
      <c r="AD1197" s="758">
        <v>45572</v>
      </c>
      <c r="AE1197" s="757"/>
      <c r="AF1197" s="757"/>
      <c r="AG1197" s="757"/>
      <c r="AH1197" s="757"/>
      <c r="AI1197" s="757"/>
      <c r="AJ1197" s="757"/>
      <c r="AK1197" s="757"/>
      <c r="AL1197" s="757"/>
      <c r="AM1197" s="757"/>
      <c r="AN1197" s="757"/>
      <c r="AO1197" s="757"/>
      <c r="AP1197" s="757"/>
      <c r="AQ1197" s="757"/>
      <c r="AR1197" s="757"/>
      <c r="AS1197" s="757"/>
      <c r="AT1197" s="757"/>
      <c r="AU1197" s="757"/>
      <c r="AV1197" s="757"/>
      <c r="AW1197" s="757"/>
      <c r="AX1197" s="757"/>
      <c r="AY1197" s="757"/>
      <c r="AZ1197" s="75"/>
      <c r="BA1197" s="2"/>
      <c r="BB1197" s="2"/>
      <c r="BC1197" s="2"/>
      <c r="BD1197" s="2"/>
    </row>
    <row r="1198" spans="1:56">
      <c r="A1198" s="781">
        <v>2</v>
      </c>
      <c r="B1198" s="782">
        <v>259</v>
      </c>
      <c r="C1198" s="783">
        <v>45565</v>
      </c>
      <c r="D1198" s="785" t="s">
        <v>2874</v>
      </c>
      <c r="E1198" s="808">
        <v>89</v>
      </c>
      <c r="F1198" s="799"/>
      <c r="G1198" s="799"/>
      <c r="H1198" s="1592">
        <f t="shared" si="54"/>
        <v>0</v>
      </c>
      <c r="I1198" s="754" t="str">
        <f>IFERROR(VLOOKUP(B1198,Mychart!$A$125:$B$911,2,FALSE),"-")</f>
        <v>ABDULLAH MIZAR</v>
      </c>
      <c r="J1198" s="753">
        <f t="shared" si="55"/>
        <v>9</v>
      </c>
      <c r="K1198" s="1540">
        <f t="shared" si="56"/>
        <v>2024</v>
      </c>
      <c r="L1198" s="757"/>
      <c r="M1198" s="757"/>
      <c r="N1198" s="757"/>
      <c r="O1198" s="757"/>
      <c r="P1198" s="757"/>
      <c r="Q1198" s="757"/>
      <c r="R1198" s="757"/>
      <c r="S1198" s="757"/>
      <c r="T1198" s="757"/>
      <c r="U1198" s="757"/>
      <c r="V1198" s="757"/>
      <c r="W1198" s="757"/>
      <c r="X1198" s="757"/>
      <c r="Y1198" s="757"/>
      <c r="Z1198" s="757"/>
      <c r="AA1198" s="757"/>
      <c r="AB1198" s="757"/>
      <c r="AC1198" s="757"/>
      <c r="AD1198" s="758">
        <v>45572</v>
      </c>
      <c r="AE1198" s="757"/>
      <c r="AF1198" s="757"/>
      <c r="AG1198" s="757"/>
      <c r="AH1198" s="757"/>
      <c r="AI1198" s="757"/>
      <c r="AJ1198" s="757"/>
      <c r="AK1198" s="757"/>
      <c r="AL1198" s="757"/>
      <c r="AM1198" s="757"/>
      <c r="AN1198" s="757"/>
      <c r="AO1198" s="757"/>
      <c r="AP1198" s="757"/>
      <c r="AQ1198" s="757"/>
      <c r="AR1198" s="757"/>
      <c r="AS1198" s="757"/>
      <c r="AT1198" s="757"/>
      <c r="AU1198" s="757"/>
      <c r="AV1198" s="757"/>
      <c r="AW1198" s="757"/>
      <c r="AX1198" s="757"/>
      <c r="AY1198" s="757"/>
      <c r="AZ1198" s="75"/>
      <c r="BA1198" s="2"/>
      <c r="BB1198" s="2"/>
      <c r="BC1198" s="2"/>
      <c r="BD1198" s="2"/>
    </row>
    <row r="1199" spans="1:56">
      <c r="A1199" s="781">
        <v>2</v>
      </c>
      <c r="B1199" s="782">
        <v>265</v>
      </c>
      <c r="C1199" s="783">
        <v>45565</v>
      </c>
      <c r="D1199" s="785" t="s">
        <v>2875</v>
      </c>
      <c r="E1199" s="808">
        <v>26</v>
      </c>
      <c r="F1199" s="799"/>
      <c r="G1199" s="799"/>
      <c r="H1199" s="1592">
        <f t="shared" si="54"/>
        <v>0</v>
      </c>
      <c r="I1199" s="754" t="str">
        <f>IFERROR(VLOOKUP(B1199,Mychart!$A$125:$B$911,2,FALSE),"-")</f>
        <v>Omar Sultan</v>
      </c>
      <c r="J1199" s="753">
        <f t="shared" si="55"/>
        <v>9</v>
      </c>
      <c r="K1199" s="1540">
        <f t="shared" si="56"/>
        <v>2024</v>
      </c>
      <c r="L1199" s="757"/>
      <c r="M1199" s="757"/>
      <c r="N1199" s="757"/>
      <c r="O1199" s="757"/>
      <c r="P1199" s="757"/>
      <c r="Q1199" s="757"/>
      <c r="R1199" s="757"/>
      <c r="S1199" s="757"/>
      <c r="T1199" s="757"/>
      <c r="U1199" s="757"/>
      <c r="V1199" s="757"/>
      <c r="W1199" s="757"/>
      <c r="X1199" s="757"/>
      <c r="Y1199" s="757"/>
      <c r="Z1199" s="757"/>
      <c r="AA1199" s="757"/>
      <c r="AB1199" s="757"/>
      <c r="AC1199" s="757"/>
      <c r="AD1199" s="758">
        <v>45572</v>
      </c>
      <c r="AE1199" s="757"/>
      <c r="AF1199" s="757"/>
      <c r="AG1199" s="757"/>
      <c r="AH1199" s="757"/>
      <c r="AI1199" s="757"/>
      <c r="AJ1199" s="757"/>
      <c r="AK1199" s="757"/>
      <c r="AL1199" s="757"/>
      <c r="AM1199" s="757"/>
      <c r="AN1199" s="757"/>
      <c r="AO1199" s="757"/>
      <c r="AP1199" s="757"/>
      <c r="AQ1199" s="757"/>
      <c r="AR1199" s="757"/>
      <c r="AS1199" s="757"/>
      <c r="AT1199" s="757"/>
      <c r="AU1199" s="757"/>
      <c r="AV1199" s="757"/>
      <c r="AW1199" s="757"/>
      <c r="AX1199" s="757"/>
      <c r="AY1199" s="757"/>
      <c r="AZ1199" s="75"/>
      <c r="BA1199" s="2"/>
      <c r="BB1199" s="2"/>
      <c r="BC1199" s="2"/>
      <c r="BD1199" s="2"/>
    </row>
    <row r="1200" spans="1:56">
      <c r="A1200" s="781">
        <v>2</v>
      </c>
      <c r="B1200" s="782">
        <v>275</v>
      </c>
      <c r="C1200" s="783">
        <v>45565</v>
      </c>
      <c r="D1200" s="785" t="s">
        <v>2876</v>
      </c>
      <c r="E1200" s="808">
        <v>1611.02</v>
      </c>
      <c r="F1200" s="799"/>
      <c r="G1200" s="799"/>
      <c r="H1200" s="1592">
        <f t="shared" si="54"/>
        <v>0</v>
      </c>
      <c r="I1200" s="754" t="str">
        <f>IFERROR(VLOOKUP(B1200,Mychart!$A$125:$B$911,2,FALSE),"-")</f>
        <v>meshaal saqar - irtekaz</v>
      </c>
      <c r="J1200" s="753">
        <f t="shared" si="55"/>
        <v>9</v>
      </c>
      <c r="K1200" s="1540">
        <f t="shared" si="56"/>
        <v>2024</v>
      </c>
      <c r="L1200" s="757"/>
      <c r="M1200" s="757"/>
      <c r="N1200" s="757"/>
      <c r="O1200" s="757"/>
      <c r="P1200" s="757"/>
      <c r="Q1200" s="757"/>
      <c r="R1200" s="757"/>
      <c r="S1200" s="757"/>
      <c r="T1200" s="757"/>
      <c r="U1200" s="757"/>
      <c r="V1200" s="757"/>
      <c r="W1200" s="757"/>
      <c r="X1200" s="757"/>
      <c r="Y1200" s="757"/>
      <c r="Z1200" s="757"/>
      <c r="AA1200" s="757"/>
      <c r="AB1200" s="757"/>
      <c r="AC1200" s="757"/>
      <c r="AD1200" s="758">
        <v>45572</v>
      </c>
      <c r="AE1200" s="757"/>
      <c r="AF1200" s="757"/>
      <c r="AG1200" s="757"/>
      <c r="AH1200" s="757"/>
      <c r="AI1200" s="757"/>
      <c r="AJ1200" s="757"/>
      <c r="AK1200" s="757"/>
      <c r="AL1200" s="757"/>
      <c r="AM1200" s="757"/>
      <c r="AN1200" s="757"/>
      <c r="AO1200" s="757"/>
      <c r="AP1200" s="757"/>
      <c r="AQ1200" s="757"/>
      <c r="AR1200" s="757"/>
      <c r="AS1200" s="757"/>
      <c r="AT1200" s="757"/>
      <c r="AU1200" s="757"/>
      <c r="AV1200" s="757"/>
      <c r="AW1200" s="757"/>
      <c r="AX1200" s="757"/>
      <c r="AY1200" s="757"/>
      <c r="AZ1200" s="75"/>
      <c r="BA1200" s="2"/>
      <c r="BB1200" s="2"/>
      <c r="BC1200" s="2"/>
      <c r="BD1200" s="2"/>
    </row>
    <row r="1201" spans="1:56">
      <c r="A1201" s="781">
        <v>2</v>
      </c>
      <c r="B1201" s="782">
        <v>277</v>
      </c>
      <c r="C1201" s="783">
        <v>45565</v>
      </c>
      <c r="D1201" s="785" t="s">
        <v>2877</v>
      </c>
      <c r="E1201" s="808">
        <v>53.029999999999994</v>
      </c>
      <c r="F1201" s="799"/>
      <c r="G1201" s="799"/>
      <c r="H1201" s="1592">
        <f t="shared" si="54"/>
        <v>0</v>
      </c>
      <c r="I1201" s="754" t="str">
        <f>IFERROR(VLOOKUP(B1201,Mychart!$A$125:$B$911,2,FALSE),"-")</f>
        <v>ABDULRHMAN ESSA ALI</v>
      </c>
      <c r="J1201" s="753">
        <f t="shared" si="55"/>
        <v>9</v>
      </c>
      <c r="K1201" s="1540">
        <f t="shared" si="56"/>
        <v>2024</v>
      </c>
      <c r="L1201" s="757"/>
      <c r="M1201" s="757"/>
      <c r="N1201" s="757"/>
      <c r="O1201" s="757"/>
      <c r="P1201" s="757"/>
      <c r="Q1201" s="757"/>
      <c r="R1201" s="757"/>
      <c r="S1201" s="757"/>
      <c r="T1201" s="757"/>
      <c r="U1201" s="757"/>
      <c r="V1201" s="757"/>
      <c r="W1201" s="757"/>
      <c r="X1201" s="757"/>
      <c r="Y1201" s="757"/>
      <c r="Z1201" s="757"/>
      <c r="AA1201" s="757"/>
      <c r="AB1201" s="757"/>
      <c r="AC1201" s="757"/>
      <c r="AD1201" s="758">
        <v>45572</v>
      </c>
      <c r="AE1201" s="757"/>
      <c r="AF1201" s="757"/>
      <c r="AG1201" s="757"/>
      <c r="AH1201" s="757"/>
      <c r="AI1201" s="757"/>
      <c r="AJ1201" s="757"/>
      <c r="AK1201" s="757"/>
      <c r="AL1201" s="757"/>
      <c r="AM1201" s="757"/>
      <c r="AN1201" s="757"/>
      <c r="AO1201" s="757"/>
      <c r="AP1201" s="757"/>
      <c r="AQ1201" s="757"/>
      <c r="AR1201" s="757"/>
      <c r="AS1201" s="757"/>
      <c r="AT1201" s="757"/>
      <c r="AU1201" s="757"/>
      <c r="AV1201" s="757"/>
      <c r="AW1201" s="757"/>
      <c r="AX1201" s="757"/>
      <c r="AY1201" s="757"/>
      <c r="AZ1201" s="75"/>
      <c r="BA1201" s="2"/>
      <c r="BB1201" s="2"/>
      <c r="BC1201" s="2"/>
      <c r="BD1201" s="2"/>
    </row>
    <row r="1202" spans="1:56">
      <c r="A1202" s="781">
        <v>2</v>
      </c>
      <c r="B1202" s="782">
        <v>278</v>
      </c>
      <c r="C1202" s="783">
        <v>45565</v>
      </c>
      <c r="D1202" s="785" t="s">
        <v>2878</v>
      </c>
      <c r="E1202" s="808">
        <v>7554.43</v>
      </c>
      <c r="F1202" s="799"/>
      <c r="G1202" s="799"/>
      <c r="H1202" s="1592">
        <f t="shared" si="54"/>
        <v>0</v>
      </c>
      <c r="I1202" s="754" t="str">
        <f>IFERROR(VLOOKUP(B1202,Mychart!$A$125:$B$911,2,FALSE),"-")</f>
        <v>Rashed Ahmed Yousef Mohamed Al Balooshi- Archpix</v>
      </c>
      <c r="J1202" s="753">
        <f t="shared" si="55"/>
        <v>9</v>
      </c>
      <c r="K1202" s="1540">
        <f t="shared" si="56"/>
        <v>2024</v>
      </c>
      <c r="L1202" s="757"/>
      <c r="M1202" s="757"/>
      <c r="N1202" s="757"/>
      <c r="O1202" s="757"/>
      <c r="P1202" s="757"/>
      <c r="Q1202" s="757"/>
      <c r="R1202" s="757"/>
      <c r="S1202" s="757"/>
      <c r="T1202" s="757"/>
      <c r="U1202" s="757"/>
      <c r="V1202" s="757"/>
      <c r="W1202" s="757"/>
      <c r="X1202" s="757"/>
      <c r="Y1202" s="757"/>
      <c r="Z1202" s="757"/>
      <c r="AA1202" s="757"/>
      <c r="AB1202" s="757"/>
      <c r="AC1202" s="757"/>
      <c r="AD1202" s="758">
        <v>45572</v>
      </c>
      <c r="AE1202" s="757"/>
      <c r="AF1202" s="757"/>
      <c r="AG1202" s="757"/>
      <c r="AH1202" s="757"/>
      <c r="AI1202" s="757"/>
      <c r="AJ1202" s="757"/>
      <c r="AK1202" s="757"/>
      <c r="AL1202" s="757"/>
      <c r="AM1202" s="757"/>
      <c r="AN1202" s="757"/>
      <c r="AO1202" s="757"/>
      <c r="AP1202" s="757"/>
      <c r="AQ1202" s="757"/>
      <c r="AR1202" s="757"/>
      <c r="AS1202" s="757"/>
      <c r="AT1202" s="757"/>
      <c r="AU1202" s="757"/>
      <c r="AV1202" s="757"/>
      <c r="AW1202" s="757"/>
      <c r="AX1202" s="757"/>
      <c r="AY1202" s="757"/>
      <c r="AZ1202" s="75"/>
      <c r="BA1202" s="2"/>
      <c r="BB1202" s="2"/>
      <c r="BC1202" s="2"/>
      <c r="BD1202" s="2"/>
    </row>
    <row r="1203" spans="1:56">
      <c r="A1203" s="781">
        <v>2</v>
      </c>
      <c r="B1203" s="782">
        <v>282</v>
      </c>
      <c r="C1203" s="783">
        <v>45565</v>
      </c>
      <c r="D1203" s="785" t="s">
        <v>2879</v>
      </c>
      <c r="E1203" s="808">
        <v>94.25</v>
      </c>
      <c r="F1203" s="799"/>
      <c r="G1203" s="799"/>
      <c r="H1203" s="1592">
        <f t="shared" si="54"/>
        <v>0</v>
      </c>
      <c r="I1203" s="754" t="str">
        <f>IFERROR(VLOOKUP(B1203,Mychart!$A$125:$B$911,2,FALSE),"-")</f>
        <v>Omar Yousuf Mohamed Al Hajji Al Falasi</v>
      </c>
      <c r="J1203" s="753">
        <f t="shared" si="55"/>
        <v>9</v>
      </c>
      <c r="K1203" s="1540">
        <f t="shared" si="56"/>
        <v>2024</v>
      </c>
      <c r="L1203" s="757"/>
      <c r="M1203" s="757"/>
      <c r="N1203" s="757"/>
      <c r="O1203" s="757"/>
      <c r="P1203" s="757"/>
      <c r="Q1203" s="757"/>
      <c r="R1203" s="757"/>
      <c r="S1203" s="757"/>
      <c r="T1203" s="757"/>
      <c r="U1203" s="757"/>
      <c r="V1203" s="757"/>
      <c r="W1203" s="757"/>
      <c r="X1203" s="757"/>
      <c r="Y1203" s="757"/>
      <c r="Z1203" s="757"/>
      <c r="AA1203" s="757"/>
      <c r="AB1203" s="757"/>
      <c r="AC1203" s="757"/>
      <c r="AD1203" s="758">
        <v>45572</v>
      </c>
      <c r="AE1203" s="757"/>
      <c r="AF1203" s="757"/>
      <c r="AG1203" s="757"/>
      <c r="AH1203" s="757"/>
      <c r="AI1203" s="757"/>
      <c r="AJ1203" s="757"/>
      <c r="AK1203" s="757"/>
      <c r="AL1203" s="757"/>
      <c r="AM1203" s="757"/>
      <c r="AN1203" s="757"/>
      <c r="AO1203" s="757"/>
      <c r="AP1203" s="757"/>
      <c r="AQ1203" s="757"/>
      <c r="AR1203" s="757"/>
      <c r="AS1203" s="757"/>
      <c r="AT1203" s="757"/>
      <c r="AU1203" s="757"/>
      <c r="AV1203" s="757"/>
      <c r="AW1203" s="757"/>
      <c r="AX1203" s="757"/>
      <c r="AY1203" s="757"/>
      <c r="AZ1203" s="75"/>
      <c r="BA1203" s="2"/>
      <c r="BB1203" s="2"/>
      <c r="BC1203" s="2"/>
      <c r="BD1203" s="2"/>
    </row>
    <row r="1204" spans="1:56">
      <c r="A1204" s="781">
        <v>2</v>
      </c>
      <c r="B1204" s="782">
        <v>284</v>
      </c>
      <c r="C1204" s="783">
        <v>45565</v>
      </c>
      <c r="D1204" s="785" t="s">
        <v>2880</v>
      </c>
      <c r="E1204" s="808">
        <v>570.66999999999996</v>
      </c>
      <c r="F1204" s="799"/>
      <c r="G1204" s="799"/>
      <c r="H1204" s="1592">
        <f t="shared" si="54"/>
        <v>0</v>
      </c>
      <c r="I1204" s="754" t="str">
        <f>IFERROR(VLOOKUP(B1204,Mychart!$A$125:$B$911,2,FALSE),"-")</f>
        <v xml:space="preserve">ABDULLAH . EBTESAM بدون عقد موقع </v>
      </c>
      <c r="J1204" s="753">
        <f t="shared" si="55"/>
        <v>9</v>
      </c>
      <c r="K1204" s="1540">
        <f t="shared" si="56"/>
        <v>2024</v>
      </c>
      <c r="L1204" s="757"/>
      <c r="M1204" s="757"/>
      <c r="N1204" s="757"/>
      <c r="O1204" s="757"/>
      <c r="P1204" s="757"/>
      <c r="Q1204" s="757"/>
      <c r="R1204" s="757"/>
      <c r="S1204" s="757"/>
      <c r="T1204" s="757"/>
      <c r="U1204" s="757"/>
      <c r="V1204" s="757"/>
      <c r="W1204" s="757"/>
      <c r="X1204" s="757"/>
      <c r="Y1204" s="757"/>
      <c r="Z1204" s="757"/>
      <c r="AA1204" s="757"/>
      <c r="AB1204" s="757"/>
      <c r="AC1204" s="757"/>
      <c r="AD1204" s="758">
        <v>45572</v>
      </c>
      <c r="AE1204" s="757"/>
      <c r="AF1204" s="757"/>
      <c r="AG1204" s="757"/>
      <c r="AH1204" s="757"/>
      <c r="AI1204" s="757"/>
      <c r="AJ1204" s="757"/>
      <c r="AK1204" s="757"/>
      <c r="AL1204" s="757"/>
      <c r="AM1204" s="757"/>
      <c r="AN1204" s="757"/>
      <c r="AO1204" s="757"/>
      <c r="AP1204" s="757"/>
      <c r="AQ1204" s="757"/>
      <c r="AR1204" s="757"/>
      <c r="AS1204" s="757"/>
      <c r="AT1204" s="757"/>
      <c r="AU1204" s="757"/>
      <c r="AV1204" s="757"/>
      <c r="AW1204" s="757"/>
      <c r="AX1204" s="757"/>
      <c r="AY1204" s="757"/>
      <c r="AZ1204" s="75"/>
      <c r="BA1204" s="2"/>
      <c r="BB1204" s="2"/>
      <c r="BC1204" s="2"/>
      <c r="BD1204" s="2"/>
    </row>
    <row r="1205" spans="1:56">
      <c r="A1205" s="781">
        <v>2</v>
      </c>
      <c r="B1205" s="782">
        <v>286</v>
      </c>
      <c r="C1205" s="783">
        <v>45565</v>
      </c>
      <c r="D1205" s="785" t="s">
        <v>2881</v>
      </c>
      <c r="E1205" s="808">
        <v>37.799999999999997</v>
      </c>
      <c r="F1205" s="799"/>
      <c r="G1205" s="799"/>
      <c r="H1205" s="1592">
        <f t="shared" si="54"/>
        <v>0</v>
      </c>
      <c r="I1205" s="754" t="str">
        <f>IFERROR(VLOOKUP(B1205,Mychart!$A$125:$B$911,2,FALSE),"-")</f>
        <v>Omar Mohamed Abdullah Ahli</v>
      </c>
      <c r="J1205" s="753">
        <f t="shared" si="55"/>
        <v>9</v>
      </c>
      <c r="K1205" s="1540">
        <f t="shared" si="56"/>
        <v>2024</v>
      </c>
      <c r="L1205" s="757"/>
      <c r="M1205" s="757"/>
      <c r="N1205" s="757"/>
      <c r="O1205" s="757"/>
      <c r="P1205" s="757"/>
      <c r="Q1205" s="757"/>
      <c r="R1205" s="757"/>
      <c r="S1205" s="757"/>
      <c r="T1205" s="757"/>
      <c r="U1205" s="757"/>
      <c r="V1205" s="757"/>
      <c r="W1205" s="757"/>
      <c r="X1205" s="757"/>
      <c r="Y1205" s="757"/>
      <c r="Z1205" s="757"/>
      <c r="AA1205" s="757"/>
      <c r="AB1205" s="757"/>
      <c r="AC1205" s="757"/>
      <c r="AD1205" s="758">
        <v>45572</v>
      </c>
      <c r="AE1205" s="757"/>
      <c r="AF1205" s="757"/>
      <c r="AG1205" s="757"/>
      <c r="AH1205" s="757"/>
      <c r="AI1205" s="757"/>
      <c r="AJ1205" s="757"/>
      <c r="AK1205" s="757"/>
      <c r="AL1205" s="757"/>
      <c r="AM1205" s="757"/>
      <c r="AN1205" s="757"/>
      <c r="AO1205" s="757"/>
      <c r="AP1205" s="757"/>
      <c r="AQ1205" s="757"/>
      <c r="AR1205" s="757"/>
      <c r="AS1205" s="757"/>
      <c r="AT1205" s="757"/>
      <c r="AU1205" s="757"/>
      <c r="AV1205" s="757"/>
      <c r="AW1205" s="757"/>
      <c r="AX1205" s="757"/>
      <c r="AY1205" s="757"/>
      <c r="AZ1205" s="75"/>
      <c r="BA1205" s="2"/>
      <c r="BB1205" s="2"/>
      <c r="BC1205" s="2"/>
      <c r="BD1205" s="2"/>
    </row>
    <row r="1206" spans="1:56">
      <c r="A1206" s="781">
        <v>2</v>
      </c>
      <c r="B1206" s="782">
        <v>242</v>
      </c>
      <c r="C1206" s="783">
        <v>45565</v>
      </c>
      <c r="D1206" s="785" t="s">
        <v>2884</v>
      </c>
      <c r="E1206" s="808">
        <v>1000</v>
      </c>
      <c r="F1206" s="799"/>
      <c r="G1206" s="799"/>
      <c r="H1206" s="1592">
        <f t="shared" si="54"/>
        <v>0</v>
      </c>
      <c r="I1206" s="754" t="str">
        <f>IFERROR(VLOOKUP(B1206,Mychart!$A$125:$B$911,2,FALSE),"-")</f>
        <v>AMMAR - ARCHPIX</v>
      </c>
      <c r="J1206" s="753">
        <f t="shared" si="55"/>
        <v>9</v>
      </c>
      <c r="K1206" s="1540">
        <f t="shared" si="56"/>
        <v>2024</v>
      </c>
      <c r="L1206" s="757"/>
      <c r="M1206" s="757"/>
      <c r="N1206" s="757"/>
      <c r="O1206" s="757"/>
      <c r="P1206" s="757"/>
      <c r="Q1206" s="757"/>
      <c r="R1206" s="757"/>
      <c r="S1206" s="757"/>
      <c r="T1206" s="757"/>
      <c r="U1206" s="757"/>
      <c r="V1206" s="757"/>
      <c r="W1206" s="757"/>
      <c r="X1206" s="757"/>
      <c r="Y1206" s="757"/>
      <c r="Z1206" s="757"/>
      <c r="AA1206" s="757"/>
      <c r="AB1206" s="757"/>
      <c r="AC1206" s="757"/>
      <c r="AD1206" s="758">
        <v>45572</v>
      </c>
      <c r="AE1206" s="757"/>
      <c r="AF1206" s="757"/>
      <c r="AG1206" s="757"/>
      <c r="AH1206" s="757"/>
      <c r="AI1206" s="757"/>
      <c r="AJ1206" s="757"/>
      <c r="AK1206" s="757"/>
      <c r="AL1206" s="757"/>
      <c r="AM1206" s="757"/>
      <c r="AN1206" s="757"/>
      <c r="AO1206" s="757"/>
      <c r="AP1206" s="757"/>
      <c r="AQ1206" s="757"/>
      <c r="AR1206" s="757"/>
      <c r="AS1206" s="757"/>
      <c r="AT1206" s="757"/>
      <c r="AU1206" s="757"/>
      <c r="AV1206" s="757"/>
      <c r="AW1206" s="757"/>
      <c r="AX1206" s="757"/>
      <c r="AY1206" s="757"/>
      <c r="AZ1206" s="75"/>
      <c r="BA1206" s="2"/>
      <c r="BB1206" s="2"/>
      <c r="BC1206" s="2"/>
      <c r="BD1206" s="2"/>
    </row>
    <row r="1207" spans="1:56">
      <c r="A1207" s="781">
        <v>2</v>
      </c>
      <c r="B1207" s="782">
        <v>202</v>
      </c>
      <c r="C1207" s="783">
        <v>45565</v>
      </c>
      <c r="D1207" s="785" t="s">
        <v>2885</v>
      </c>
      <c r="E1207" s="808">
        <v>500</v>
      </c>
      <c r="F1207" s="799"/>
      <c r="G1207" s="799"/>
      <c r="H1207" s="1592">
        <f t="shared" si="54"/>
        <v>0</v>
      </c>
      <c r="I1207" s="754" t="str">
        <f>IFERROR(VLOOKUP(B1207,Mychart!$A$125:$B$911,2,FALSE),"-")</f>
        <v>AHMED HELAL - ERTIKAZ</v>
      </c>
      <c r="J1207" s="753">
        <f t="shared" si="55"/>
        <v>9</v>
      </c>
      <c r="K1207" s="1540">
        <f t="shared" si="56"/>
        <v>2024</v>
      </c>
      <c r="L1207" s="757"/>
      <c r="M1207" s="757"/>
      <c r="N1207" s="757"/>
      <c r="O1207" s="757"/>
      <c r="P1207" s="757"/>
      <c r="Q1207" s="757"/>
      <c r="R1207" s="757"/>
      <c r="S1207" s="757"/>
      <c r="T1207" s="757"/>
      <c r="U1207" s="757"/>
      <c r="V1207" s="757"/>
      <c r="W1207" s="757"/>
      <c r="X1207" s="757"/>
      <c r="Y1207" s="757"/>
      <c r="Z1207" s="757"/>
      <c r="AA1207" s="757"/>
      <c r="AB1207" s="757"/>
      <c r="AC1207" s="757"/>
      <c r="AD1207" s="758">
        <v>45572</v>
      </c>
      <c r="AE1207" s="757"/>
      <c r="AF1207" s="757"/>
      <c r="AG1207" s="757"/>
      <c r="AH1207" s="757"/>
      <c r="AI1207" s="757"/>
      <c r="AJ1207" s="757"/>
      <c r="AK1207" s="757"/>
      <c r="AL1207" s="757"/>
      <c r="AM1207" s="757"/>
      <c r="AN1207" s="757"/>
      <c r="AO1207" s="757"/>
      <c r="AP1207" s="757"/>
      <c r="AQ1207" s="757"/>
      <c r="AR1207" s="757"/>
      <c r="AS1207" s="757"/>
      <c r="AT1207" s="757"/>
      <c r="AU1207" s="757"/>
      <c r="AV1207" s="757"/>
      <c r="AW1207" s="757"/>
      <c r="AX1207" s="757"/>
      <c r="AY1207" s="757"/>
      <c r="AZ1207" s="75"/>
      <c r="BA1207" s="2"/>
      <c r="BB1207" s="2"/>
      <c r="BC1207" s="2"/>
      <c r="BD1207" s="2"/>
    </row>
    <row r="1208" spans="1:56">
      <c r="A1208" s="781">
        <v>1</v>
      </c>
      <c r="B1208" s="782">
        <v>252</v>
      </c>
      <c r="C1208" s="783">
        <v>45570</v>
      </c>
      <c r="D1208" s="785" t="s">
        <v>2889</v>
      </c>
      <c r="E1208" s="808"/>
      <c r="F1208" s="799">
        <v>13175</v>
      </c>
      <c r="G1208" s="799">
        <v>658.75</v>
      </c>
      <c r="H1208" s="1592">
        <v>13833.75</v>
      </c>
      <c r="I1208" s="754" t="str">
        <f>IFERROR(VLOOKUP(B1208,Mychart!$A$125:$B$911,2,FALSE),"-")</f>
        <v>Mohamed Saif - HBC</v>
      </c>
      <c r="J1208" s="753">
        <f t="shared" si="55"/>
        <v>10</v>
      </c>
      <c r="K1208" s="1540">
        <f t="shared" si="56"/>
        <v>2024</v>
      </c>
      <c r="L1208" s="757"/>
      <c r="M1208" s="757"/>
      <c r="N1208" s="757"/>
      <c r="O1208" s="757"/>
      <c r="P1208" s="757"/>
      <c r="Q1208" s="757"/>
      <c r="R1208" s="757"/>
      <c r="S1208" s="757"/>
      <c r="T1208" s="757"/>
      <c r="U1208" s="757"/>
      <c r="V1208" s="757"/>
      <c r="W1208" s="757"/>
      <c r="X1208" s="757"/>
      <c r="Y1208" s="757"/>
      <c r="Z1208" s="757"/>
      <c r="AA1208" s="757"/>
      <c r="AB1208" s="757"/>
      <c r="AC1208" s="757"/>
      <c r="AD1208" s="758">
        <v>45572</v>
      </c>
      <c r="AE1208" s="757"/>
      <c r="AF1208" s="757"/>
      <c r="AG1208" s="757"/>
      <c r="AH1208" s="757"/>
      <c r="AI1208" s="757"/>
      <c r="AJ1208" s="757"/>
      <c r="AK1208" s="757"/>
      <c r="AL1208" s="757"/>
      <c r="AM1208" s="757"/>
      <c r="AN1208" s="757"/>
      <c r="AO1208" s="757"/>
      <c r="AP1208" s="757"/>
      <c r="AQ1208" s="757"/>
      <c r="AR1208" s="757"/>
      <c r="AS1208" s="757"/>
      <c r="AT1208" s="757"/>
      <c r="AU1208" s="757"/>
      <c r="AV1208" s="757"/>
      <c r="AW1208" s="757"/>
      <c r="AX1208" s="757"/>
      <c r="AY1208" s="757"/>
      <c r="AZ1208" s="75"/>
      <c r="BA1208" s="2"/>
      <c r="BB1208" s="2"/>
      <c r="BC1208" s="2"/>
      <c r="BD1208" s="2"/>
    </row>
    <row r="1209" spans="1:56">
      <c r="A1209" s="781">
        <v>2</v>
      </c>
      <c r="B1209" s="782">
        <v>216</v>
      </c>
      <c r="C1209" s="783">
        <v>45539</v>
      </c>
      <c r="D1209" s="785" t="s">
        <v>2890</v>
      </c>
      <c r="E1209" s="808">
        <v>18609.52</v>
      </c>
      <c r="F1209" s="799"/>
      <c r="G1209" s="799"/>
      <c r="H1209" s="1592">
        <f t="shared" si="54"/>
        <v>0</v>
      </c>
      <c r="I1209" s="754" t="str">
        <f>IFERROR(VLOOKUP(B1209,Mychart!$A$125:$B$911,2,FALSE),"-")</f>
        <v>MUHAIR . AREEJ ( 165000 )</v>
      </c>
      <c r="J1209" s="753">
        <f t="shared" si="55"/>
        <v>9</v>
      </c>
      <c r="K1209" s="1540">
        <f t="shared" si="56"/>
        <v>2024</v>
      </c>
      <c r="L1209" s="757"/>
      <c r="M1209" s="757"/>
      <c r="N1209" s="757"/>
      <c r="O1209" s="757"/>
      <c r="P1209" s="757"/>
      <c r="Q1209" s="757"/>
      <c r="R1209" s="757"/>
      <c r="S1209" s="757"/>
      <c r="T1209" s="757"/>
      <c r="U1209" s="757"/>
      <c r="V1209" s="757"/>
      <c r="W1209" s="757"/>
      <c r="X1209" s="757"/>
      <c r="Y1209" s="757"/>
      <c r="Z1209" s="757"/>
      <c r="AA1209" s="757"/>
      <c r="AB1209" s="757"/>
      <c r="AC1209" s="757"/>
      <c r="AD1209" s="758">
        <v>45572</v>
      </c>
      <c r="AE1209" s="757"/>
      <c r="AF1209" s="757"/>
      <c r="AG1209" s="757"/>
      <c r="AH1209" s="757"/>
      <c r="AI1209" s="757"/>
      <c r="AJ1209" s="757"/>
      <c r="AK1209" s="757"/>
      <c r="AL1209" s="757"/>
      <c r="AM1209" s="757"/>
      <c r="AN1209" s="757"/>
      <c r="AO1209" s="757"/>
      <c r="AP1209" s="757"/>
      <c r="AQ1209" s="757"/>
      <c r="AR1209" s="757"/>
      <c r="AS1209" s="757"/>
      <c r="AT1209" s="757"/>
      <c r="AU1209" s="757"/>
      <c r="AV1209" s="757"/>
      <c r="AW1209" s="757"/>
      <c r="AX1209" s="757"/>
      <c r="AY1209" s="757"/>
      <c r="AZ1209" s="75"/>
      <c r="BA1209" s="2"/>
      <c r="BB1209" s="2"/>
      <c r="BC1209" s="2"/>
      <c r="BD1209" s="2"/>
    </row>
    <row r="1210" spans="1:56">
      <c r="A1210" s="781">
        <v>2</v>
      </c>
      <c r="B1210" s="782">
        <v>256</v>
      </c>
      <c r="C1210" s="783">
        <v>45571</v>
      </c>
      <c r="D1210" s="785" t="s">
        <v>2901</v>
      </c>
      <c r="E1210" s="808">
        <v>28728</v>
      </c>
      <c r="F1210" s="799"/>
      <c r="G1210" s="799"/>
      <c r="H1210" s="1592">
        <f t="shared" si="54"/>
        <v>0</v>
      </c>
      <c r="I1210" s="754" t="str">
        <f>IFERROR(VLOOKUP(B1210,Mychart!$A$125:$B$911,2,FALSE),"-")</f>
        <v>ADNAN DUBAI SKY</v>
      </c>
      <c r="J1210" s="753">
        <f t="shared" si="55"/>
        <v>10</v>
      </c>
      <c r="K1210" s="1540">
        <f t="shared" si="56"/>
        <v>2024</v>
      </c>
      <c r="L1210" s="757"/>
      <c r="M1210" s="757"/>
      <c r="N1210" s="757"/>
      <c r="O1210" s="757"/>
      <c r="P1210" s="757"/>
      <c r="Q1210" s="757"/>
      <c r="R1210" s="757"/>
      <c r="S1210" s="757"/>
      <c r="T1210" s="757"/>
      <c r="U1210" s="757"/>
      <c r="V1210" s="757"/>
      <c r="W1210" s="757"/>
      <c r="X1210" s="757"/>
      <c r="Y1210" s="757"/>
      <c r="Z1210" s="757"/>
      <c r="AA1210" s="757"/>
      <c r="AB1210" s="757"/>
      <c r="AC1210" s="757"/>
      <c r="AD1210" s="931">
        <v>45573.483368055553</v>
      </c>
      <c r="AE1210" s="757"/>
      <c r="AF1210" s="757"/>
      <c r="AG1210" s="757"/>
      <c r="AH1210" s="757"/>
      <c r="AI1210" s="757"/>
      <c r="AJ1210" s="757"/>
      <c r="AK1210" s="757"/>
      <c r="AL1210" s="757"/>
      <c r="AM1210" s="757"/>
      <c r="AN1210" s="757"/>
      <c r="AO1210" s="757"/>
      <c r="AP1210" s="757"/>
      <c r="AQ1210" s="757"/>
      <c r="AR1210" s="757"/>
      <c r="AS1210" s="757"/>
      <c r="AT1210" s="757"/>
      <c r="AU1210" s="757"/>
      <c r="AV1210" s="757"/>
      <c r="AW1210" s="757"/>
      <c r="AX1210" s="757"/>
      <c r="AY1210" s="757"/>
      <c r="AZ1210" s="75"/>
      <c r="BA1210" s="2"/>
      <c r="BB1210" s="2"/>
      <c r="BC1210" s="2"/>
      <c r="BD1210" s="2"/>
    </row>
    <row r="1211" spans="1:56">
      <c r="A1211" s="781">
        <v>2</v>
      </c>
      <c r="B1211" s="782">
        <v>275</v>
      </c>
      <c r="C1211" s="783">
        <v>45553</v>
      </c>
      <c r="D1211" s="785" t="s">
        <v>2956</v>
      </c>
      <c r="E1211" s="808">
        <v>24706.5</v>
      </c>
      <c r="F1211" s="799"/>
      <c r="G1211" s="799"/>
      <c r="H1211" s="1592">
        <f t="shared" si="54"/>
        <v>0</v>
      </c>
      <c r="I1211" s="754" t="str">
        <f>IFERROR(VLOOKUP(B1211,Mychart!$A$125:$B$911,2,FALSE),"-")</f>
        <v>meshaal saqar - irtekaz</v>
      </c>
      <c r="J1211" s="753">
        <f t="shared" si="55"/>
        <v>9</v>
      </c>
      <c r="K1211" s="1540">
        <f t="shared" si="56"/>
        <v>2024</v>
      </c>
      <c r="L1211" s="757"/>
      <c r="M1211" s="757"/>
      <c r="N1211" s="757"/>
      <c r="O1211" s="757"/>
      <c r="P1211" s="757"/>
      <c r="Q1211" s="757"/>
      <c r="R1211" s="757"/>
      <c r="S1211" s="757"/>
      <c r="T1211" s="757"/>
      <c r="U1211" s="757"/>
      <c r="V1211" s="757"/>
      <c r="W1211" s="757"/>
      <c r="X1211" s="757"/>
      <c r="Y1211" s="757"/>
      <c r="Z1211" s="757"/>
      <c r="AA1211" s="757"/>
      <c r="AB1211" s="757"/>
      <c r="AC1211" s="757"/>
      <c r="AD1211" s="931">
        <v>45573.634780092594</v>
      </c>
      <c r="AE1211" s="757"/>
      <c r="AF1211" s="757"/>
      <c r="AG1211" s="757"/>
      <c r="AH1211" s="757"/>
      <c r="AI1211" s="757"/>
      <c r="AJ1211" s="757"/>
      <c r="AK1211" s="757"/>
      <c r="AL1211" s="757"/>
      <c r="AM1211" s="757"/>
      <c r="AN1211" s="757"/>
      <c r="AO1211" s="757"/>
      <c r="AP1211" s="757"/>
      <c r="AQ1211" s="757"/>
      <c r="AR1211" s="757"/>
      <c r="AS1211" s="757"/>
      <c r="AT1211" s="757"/>
      <c r="AU1211" s="757"/>
      <c r="AV1211" s="757"/>
      <c r="AW1211" s="757"/>
      <c r="AX1211" s="757"/>
      <c r="AY1211" s="757"/>
      <c r="AZ1211" s="75"/>
      <c r="BA1211" s="2"/>
      <c r="BB1211" s="2"/>
      <c r="BC1211" s="2"/>
      <c r="BD1211" s="2"/>
    </row>
    <row r="1212" spans="1:56">
      <c r="A1212" s="781">
        <v>2</v>
      </c>
      <c r="B1212" s="782">
        <v>258</v>
      </c>
      <c r="C1212" s="783">
        <v>45568</v>
      </c>
      <c r="D1212" s="785" t="s">
        <v>2957</v>
      </c>
      <c r="E1212" s="808">
        <v>26418</v>
      </c>
      <c r="F1212" s="799"/>
      <c r="G1212" s="799"/>
      <c r="H1212" s="1592">
        <f t="shared" si="54"/>
        <v>0</v>
      </c>
      <c r="I1212" s="754" t="str">
        <f>IFERROR(VLOOKUP(B1212,Mychart!$A$125:$B$911,2,FALSE),"-")</f>
        <v>MAJID ALSHEHY</v>
      </c>
      <c r="J1212" s="753">
        <f t="shared" si="55"/>
        <v>10</v>
      </c>
      <c r="K1212" s="1540">
        <f t="shared" si="56"/>
        <v>2024</v>
      </c>
      <c r="L1212" s="757"/>
      <c r="M1212" s="757"/>
      <c r="N1212" s="757"/>
      <c r="O1212" s="757"/>
      <c r="P1212" s="757"/>
      <c r="Q1212" s="757"/>
      <c r="R1212" s="757"/>
      <c r="S1212" s="757"/>
      <c r="T1212" s="757"/>
      <c r="U1212" s="757"/>
      <c r="V1212" s="757"/>
      <c r="W1212" s="757"/>
      <c r="X1212" s="757"/>
      <c r="Y1212" s="757"/>
      <c r="Z1212" s="757"/>
      <c r="AA1212" s="757"/>
      <c r="AB1212" s="757"/>
      <c r="AC1212" s="757"/>
      <c r="AD1212" s="931">
        <v>45573.63480324074</v>
      </c>
      <c r="AE1212" s="757"/>
      <c r="AF1212" s="757"/>
      <c r="AG1212" s="757"/>
      <c r="AH1212" s="757"/>
      <c r="AI1212" s="757"/>
      <c r="AJ1212" s="757"/>
      <c r="AK1212" s="757"/>
      <c r="AL1212" s="757"/>
      <c r="AM1212" s="757"/>
      <c r="AN1212" s="757"/>
      <c r="AO1212" s="757"/>
      <c r="AP1212" s="757"/>
      <c r="AQ1212" s="757"/>
      <c r="AR1212" s="757"/>
      <c r="AS1212" s="757"/>
      <c r="AT1212" s="757"/>
      <c r="AU1212" s="757"/>
      <c r="AV1212" s="757"/>
      <c r="AW1212" s="757"/>
      <c r="AX1212" s="757"/>
      <c r="AY1212" s="757"/>
      <c r="AZ1212" s="75"/>
      <c r="BA1212" s="2"/>
      <c r="BB1212" s="2"/>
      <c r="BC1212" s="2"/>
      <c r="BD1212" s="2"/>
    </row>
    <row r="1213" spans="1:56">
      <c r="A1213" s="781">
        <v>1</v>
      </c>
      <c r="B1213" s="782">
        <v>216</v>
      </c>
      <c r="C1213" s="783">
        <v>45573</v>
      </c>
      <c r="D1213" s="785" t="s">
        <v>2965</v>
      </c>
      <c r="E1213" s="808"/>
      <c r="F1213" s="799">
        <v>9240</v>
      </c>
      <c r="G1213" s="799">
        <v>462</v>
      </c>
      <c r="H1213" s="1592">
        <v>9702</v>
      </c>
      <c r="I1213" s="754" t="str">
        <f>IFERROR(VLOOKUP(B1213,Mychart!$A$125:$B$911,2,FALSE),"-")</f>
        <v>MUHAIR . AREEJ ( 165000 )</v>
      </c>
      <c r="J1213" s="753">
        <f t="shared" si="55"/>
        <v>10</v>
      </c>
      <c r="K1213" s="1540">
        <f t="shared" si="56"/>
        <v>2024</v>
      </c>
      <c r="L1213" s="757"/>
      <c r="M1213" s="757"/>
      <c r="N1213" s="757"/>
      <c r="O1213" s="757"/>
      <c r="P1213" s="757"/>
      <c r="Q1213" s="757"/>
      <c r="R1213" s="757"/>
      <c r="S1213" s="757"/>
      <c r="T1213" s="757"/>
      <c r="U1213" s="757"/>
      <c r="V1213" s="757"/>
      <c r="W1213" s="757"/>
      <c r="X1213" s="757"/>
      <c r="Y1213" s="757"/>
      <c r="Z1213" s="757"/>
      <c r="AA1213" s="757"/>
      <c r="AB1213" s="757"/>
      <c r="AC1213" s="757"/>
      <c r="AD1213" s="931">
        <v>45573.651782407411</v>
      </c>
      <c r="AE1213" s="757"/>
      <c r="AF1213" s="757"/>
      <c r="AG1213" s="757"/>
      <c r="AH1213" s="757"/>
      <c r="AI1213" s="757"/>
      <c r="AJ1213" s="757"/>
      <c r="AK1213" s="757"/>
      <c r="AL1213" s="757"/>
      <c r="AM1213" s="757"/>
      <c r="AN1213" s="757"/>
      <c r="AO1213" s="757"/>
      <c r="AP1213" s="757"/>
      <c r="AQ1213" s="757"/>
      <c r="AR1213" s="757"/>
      <c r="AS1213" s="757"/>
      <c r="AT1213" s="757"/>
      <c r="AU1213" s="757"/>
      <c r="AV1213" s="757"/>
      <c r="AW1213" s="757"/>
      <c r="AX1213" s="757"/>
      <c r="AY1213" s="757"/>
      <c r="AZ1213" s="75"/>
      <c r="BA1213" s="2"/>
      <c r="BB1213" s="2"/>
      <c r="BC1213" s="2"/>
      <c r="BD1213" s="2"/>
    </row>
    <row r="1214" spans="1:56">
      <c r="A1214" s="781">
        <v>1</v>
      </c>
      <c r="B1214" s="782">
        <v>275</v>
      </c>
      <c r="C1214" s="783">
        <v>45573</v>
      </c>
      <c r="D1214" s="785" t="s">
        <v>2971</v>
      </c>
      <c r="E1214" s="808"/>
      <c r="F1214" s="799">
        <v>3550</v>
      </c>
      <c r="G1214" s="799"/>
      <c r="H1214" s="1592">
        <v>3550</v>
      </c>
      <c r="I1214" s="754" t="str">
        <f>IFERROR(VLOOKUP(B1214,Mychart!$A$125:$B$911,2,FALSE),"-")</f>
        <v>meshaal saqar - irtekaz</v>
      </c>
      <c r="J1214" s="753">
        <f t="shared" si="55"/>
        <v>10</v>
      </c>
      <c r="K1214" s="1540">
        <f t="shared" si="56"/>
        <v>2024</v>
      </c>
      <c r="L1214" s="757"/>
      <c r="M1214" s="757"/>
      <c r="N1214" s="757"/>
      <c r="O1214" s="757"/>
      <c r="P1214" s="757"/>
      <c r="Q1214" s="757"/>
      <c r="R1214" s="757"/>
      <c r="S1214" s="757"/>
      <c r="T1214" s="757"/>
      <c r="U1214" s="757"/>
      <c r="V1214" s="757"/>
      <c r="W1214" s="757"/>
      <c r="X1214" s="757"/>
      <c r="Y1214" s="757"/>
      <c r="Z1214" s="757"/>
      <c r="AA1214" s="757"/>
      <c r="AB1214" s="757"/>
      <c r="AC1214" s="757"/>
      <c r="AD1214" s="931">
        <v>45573.718124999999</v>
      </c>
      <c r="AE1214" s="757"/>
      <c r="AF1214" s="757"/>
      <c r="AG1214" s="757"/>
      <c r="AH1214" s="757"/>
      <c r="AI1214" s="757"/>
      <c r="AJ1214" s="757"/>
      <c r="AK1214" s="757"/>
      <c r="AL1214" s="757"/>
      <c r="AM1214" s="757"/>
      <c r="AN1214" s="757"/>
      <c r="AO1214" s="757"/>
      <c r="AP1214" s="757"/>
      <c r="AQ1214" s="757"/>
      <c r="AR1214" s="757"/>
      <c r="AS1214" s="757"/>
      <c r="AT1214" s="757"/>
      <c r="AU1214" s="757"/>
      <c r="AV1214" s="757"/>
      <c r="AW1214" s="757"/>
      <c r="AX1214" s="757"/>
      <c r="AY1214" s="757"/>
      <c r="AZ1214" s="75"/>
      <c r="BA1214" s="2"/>
      <c r="BB1214" s="2"/>
      <c r="BC1214" s="2"/>
      <c r="BD1214" s="2"/>
    </row>
    <row r="1215" spans="1:56">
      <c r="A1215" s="781">
        <v>1</v>
      </c>
      <c r="B1215" s="782">
        <v>277</v>
      </c>
      <c r="C1215" s="783">
        <v>45575</v>
      </c>
      <c r="D1215" s="785" t="s">
        <v>2993</v>
      </c>
      <c r="E1215" s="808"/>
      <c r="F1215" s="799">
        <v>27000</v>
      </c>
      <c r="G1215" s="799">
        <v>1350</v>
      </c>
      <c r="H1215" s="1592">
        <f t="shared" si="54"/>
        <v>28350</v>
      </c>
      <c r="I1215" s="754" t="str">
        <f>IFERROR(VLOOKUP(B1215,Mychart!$A$125:$B$911,2,FALSE),"-")</f>
        <v>ABDULRHMAN ESSA ALI</v>
      </c>
      <c r="J1215" s="753">
        <f t="shared" si="55"/>
        <v>10</v>
      </c>
      <c r="K1215" s="1540">
        <f t="shared" si="56"/>
        <v>2024</v>
      </c>
      <c r="L1215" s="757"/>
      <c r="M1215" s="757"/>
      <c r="N1215" s="757"/>
      <c r="O1215" s="757"/>
      <c r="P1215" s="757"/>
      <c r="Q1215" s="757"/>
      <c r="R1215" s="757"/>
      <c r="S1215" s="757"/>
      <c r="T1215" s="757"/>
      <c r="U1215" s="757"/>
      <c r="V1215" s="757"/>
      <c r="W1215" s="757"/>
      <c r="X1215" s="757"/>
      <c r="Y1215" s="757"/>
      <c r="Z1215" s="757"/>
      <c r="AA1215" s="757"/>
      <c r="AB1215" s="757"/>
      <c r="AC1215" s="757"/>
      <c r="AD1215" s="931">
        <v>45577.495034722226</v>
      </c>
      <c r="AE1215" s="757"/>
      <c r="AF1215" s="757"/>
      <c r="AG1215" s="757"/>
      <c r="AH1215" s="757"/>
      <c r="AI1215" s="757"/>
      <c r="AJ1215" s="757"/>
      <c r="AK1215" s="757"/>
      <c r="AL1215" s="757"/>
      <c r="AM1215" s="757"/>
      <c r="AN1215" s="757"/>
      <c r="AO1215" s="757"/>
      <c r="AP1215" s="757"/>
      <c r="AQ1215" s="757"/>
      <c r="AR1215" s="757"/>
      <c r="AS1215" s="757"/>
      <c r="AT1215" s="757"/>
      <c r="AU1215" s="757"/>
      <c r="AV1215" s="757"/>
      <c r="AW1215" s="757"/>
      <c r="AX1215" s="757"/>
      <c r="AY1215" s="757"/>
      <c r="AZ1215" s="75"/>
      <c r="BA1215" s="2"/>
      <c r="BB1215" s="2"/>
      <c r="BC1215" s="2"/>
      <c r="BD1215" s="2"/>
    </row>
    <row r="1216" spans="1:56">
      <c r="A1216" s="781">
        <v>1</v>
      </c>
      <c r="B1216" s="782">
        <v>275</v>
      </c>
      <c r="C1216" s="783">
        <v>45579</v>
      </c>
      <c r="D1216" s="785" t="s">
        <v>3037</v>
      </c>
      <c r="E1216" s="808"/>
      <c r="F1216" s="799">
        <v>3000</v>
      </c>
      <c r="G1216" s="799"/>
      <c r="H1216" s="1592">
        <v>3000</v>
      </c>
      <c r="I1216" s="754" t="str">
        <f>IFERROR(VLOOKUP(B1216,Mychart!$A$125:$B$911,2,FALSE),"-")</f>
        <v>meshaal saqar - irtekaz</v>
      </c>
      <c r="J1216" s="753">
        <f t="shared" si="55"/>
        <v>10</v>
      </c>
      <c r="K1216" s="1540">
        <f t="shared" si="56"/>
        <v>2024</v>
      </c>
      <c r="L1216" s="757"/>
      <c r="M1216" s="757"/>
      <c r="N1216" s="757"/>
      <c r="O1216" s="757"/>
      <c r="P1216" s="757"/>
      <c r="Q1216" s="757"/>
      <c r="R1216" s="757"/>
      <c r="S1216" s="757"/>
      <c r="T1216" s="757"/>
      <c r="U1216" s="757"/>
      <c r="V1216" s="757"/>
      <c r="W1216" s="757"/>
      <c r="X1216" s="757"/>
      <c r="Y1216" s="757"/>
      <c r="Z1216" s="757"/>
      <c r="AA1216" s="757"/>
      <c r="AB1216" s="757"/>
      <c r="AC1216" s="757"/>
      <c r="AD1216" s="931">
        <v>45580.59783564815</v>
      </c>
      <c r="AE1216" s="757"/>
      <c r="AF1216" s="757"/>
      <c r="AG1216" s="757"/>
      <c r="AH1216" s="757"/>
      <c r="AI1216" s="757"/>
      <c r="AJ1216" s="757"/>
      <c r="AK1216" s="757"/>
      <c r="AL1216" s="757"/>
      <c r="AM1216" s="757"/>
      <c r="AN1216" s="757"/>
      <c r="AO1216" s="757"/>
      <c r="AP1216" s="757"/>
      <c r="AQ1216" s="757"/>
      <c r="AR1216" s="757"/>
      <c r="AS1216" s="757"/>
      <c r="AT1216" s="757"/>
      <c r="AU1216" s="757"/>
      <c r="AV1216" s="757"/>
      <c r="AW1216" s="757"/>
      <c r="AX1216" s="757"/>
      <c r="AY1216" s="757"/>
      <c r="AZ1216" s="75"/>
      <c r="BA1216" s="2"/>
      <c r="BB1216" s="2"/>
      <c r="BC1216" s="2"/>
      <c r="BD1216" s="2"/>
    </row>
    <row r="1217" spans="1:56">
      <c r="A1217" s="781">
        <v>1</v>
      </c>
      <c r="B1217" s="782">
        <v>221</v>
      </c>
      <c r="C1217" s="783">
        <v>45579</v>
      </c>
      <c r="D1217" s="785" t="s">
        <v>3038</v>
      </c>
      <c r="E1217" s="808"/>
      <c r="F1217" s="799">
        <v>22634</v>
      </c>
      <c r="G1217" s="799">
        <v>1118.2</v>
      </c>
      <c r="H1217" s="1592">
        <v>23752.2</v>
      </c>
      <c r="I1217" s="754" t="str">
        <f>IFERROR(VLOOKUP(B1217,Mychart!$A$125:$B$911,2,FALSE),"-")</f>
        <v>SAEED - ARCHPIX</v>
      </c>
      <c r="J1217" s="753">
        <f t="shared" si="55"/>
        <v>10</v>
      </c>
      <c r="K1217" s="1540">
        <f t="shared" si="56"/>
        <v>2024</v>
      </c>
      <c r="L1217" s="757"/>
      <c r="M1217" s="757"/>
      <c r="N1217" s="757"/>
      <c r="O1217" s="757"/>
      <c r="P1217" s="757"/>
      <c r="Q1217" s="757"/>
      <c r="R1217" s="757"/>
      <c r="S1217" s="757"/>
      <c r="T1217" s="757"/>
      <c r="U1217" s="757"/>
      <c r="V1217" s="757"/>
      <c r="W1217" s="757"/>
      <c r="X1217" s="757"/>
      <c r="Y1217" s="757"/>
      <c r="Z1217" s="757"/>
      <c r="AA1217" s="757"/>
      <c r="AB1217" s="757"/>
      <c r="AC1217" s="757"/>
      <c r="AD1217" s="931">
        <v>45580.59783564815</v>
      </c>
      <c r="AE1217" s="757"/>
      <c r="AF1217" s="757"/>
      <c r="AG1217" s="757"/>
      <c r="AH1217" s="757"/>
      <c r="AI1217" s="757"/>
      <c r="AJ1217" s="757"/>
      <c r="AK1217" s="757"/>
      <c r="AL1217" s="757"/>
      <c r="AM1217" s="757"/>
      <c r="AN1217" s="757"/>
      <c r="AO1217" s="757"/>
      <c r="AP1217" s="757"/>
      <c r="AQ1217" s="757"/>
      <c r="AR1217" s="757"/>
      <c r="AS1217" s="757"/>
      <c r="AT1217" s="757"/>
      <c r="AU1217" s="757"/>
      <c r="AV1217" s="757"/>
      <c r="AW1217" s="757"/>
      <c r="AX1217" s="757"/>
      <c r="AY1217" s="757"/>
      <c r="AZ1217" s="75"/>
      <c r="BA1217" s="2"/>
      <c r="BB1217" s="2"/>
      <c r="BC1217" s="2"/>
      <c r="BD1217" s="2"/>
    </row>
    <row r="1218" spans="1:56">
      <c r="A1218" s="781">
        <v>1</v>
      </c>
      <c r="B1218" s="782">
        <v>249</v>
      </c>
      <c r="C1218" s="783">
        <v>45577</v>
      </c>
      <c r="D1218" s="785" t="s">
        <v>3048</v>
      </c>
      <c r="E1218" s="808"/>
      <c r="F1218" s="799">
        <v>82080</v>
      </c>
      <c r="G1218" s="799">
        <v>4104</v>
      </c>
      <c r="H1218" s="1592">
        <v>86184</v>
      </c>
      <c r="I1218" s="754" t="str">
        <f>IFERROR(VLOOKUP(B1218,Mychart!$A$125:$B$911,2,FALSE),"-")</f>
        <v>farouq marzoki</v>
      </c>
      <c r="J1218" s="753">
        <f t="shared" si="55"/>
        <v>10</v>
      </c>
      <c r="K1218" s="1540">
        <f t="shared" si="56"/>
        <v>2024</v>
      </c>
      <c r="L1218" s="757"/>
      <c r="M1218" s="757"/>
      <c r="N1218" s="757"/>
      <c r="O1218" s="757"/>
      <c r="P1218" s="757"/>
      <c r="Q1218" s="757"/>
      <c r="R1218" s="757"/>
      <c r="S1218" s="757"/>
      <c r="T1218" s="757"/>
      <c r="U1218" s="757"/>
      <c r="V1218" s="757"/>
      <c r="W1218" s="757"/>
      <c r="X1218" s="757"/>
      <c r="Y1218" s="757"/>
      <c r="Z1218" s="757"/>
      <c r="AA1218" s="757"/>
      <c r="AB1218" s="757"/>
      <c r="AC1218" s="757"/>
      <c r="AD1218" s="931">
        <v>45580.613171296296</v>
      </c>
      <c r="AE1218" s="757"/>
      <c r="AF1218" s="757"/>
      <c r="AG1218" s="757"/>
      <c r="AH1218" s="757"/>
      <c r="AI1218" s="757"/>
      <c r="AJ1218" s="757"/>
      <c r="AK1218" s="757"/>
      <c r="AL1218" s="757"/>
      <c r="AM1218" s="757"/>
      <c r="AN1218" s="757"/>
      <c r="AO1218" s="757"/>
      <c r="AP1218" s="757"/>
      <c r="AQ1218" s="757"/>
      <c r="AR1218" s="757"/>
      <c r="AS1218" s="757"/>
      <c r="AT1218" s="757"/>
      <c r="AU1218" s="757"/>
      <c r="AV1218" s="757"/>
      <c r="AW1218" s="757"/>
      <c r="AX1218" s="757"/>
      <c r="AY1218" s="757"/>
      <c r="AZ1218" s="75"/>
      <c r="BA1218" s="2"/>
      <c r="BB1218" s="2"/>
      <c r="BC1218" s="2"/>
      <c r="BD1218" s="2"/>
    </row>
    <row r="1219" spans="1:56">
      <c r="A1219" s="781">
        <v>1</v>
      </c>
      <c r="B1219" s="782">
        <v>234</v>
      </c>
      <c r="C1219" s="783">
        <v>45579</v>
      </c>
      <c r="D1219" s="785" t="s">
        <v>3043</v>
      </c>
      <c r="E1219" s="808"/>
      <c r="F1219" s="799">
        <v>15290</v>
      </c>
      <c r="G1219" s="799">
        <v>764.5</v>
      </c>
      <c r="H1219" s="1592">
        <v>16054.5</v>
      </c>
      <c r="I1219" s="754" t="str">
        <f>IFERROR(VLOOKUP(B1219,Mychart!$A$125:$B$911,2,FALSE),"-")</f>
        <v>HASSAN KAHMIS NAQIB - AREEJ</v>
      </c>
      <c r="J1219" s="753">
        <f t="shared" si="55"/>
        <v>10</v>
      </c>
      <c r="K1219" s="1540">
        <f t="shared" si="56"/>
        <v>2024</v>
      </c>
      <c r="L1219" s="757"/>
      <c r="M1219" s="757"/>
      <c r="N1219" s="757"/>
      <c r="O1219" s="757"/>
      <c r="P1219" s="757"/>
      <c r="Q1219" s="757"/>
      <c r="R1219" s="757"/>
      <c r="S1219" s="757"/>
      <c r="T1219" s="757"/>
      <c r="U1219" s="757"/>
      <c r="V1219" s="757"/>
      <c r="W1219" s="757"/>
      <c r="X1219" s="757"/>
      <c r="Y1219" s="757"/>
      <c r="Z1219" s="757"/>
      <c r="AA1219" s="757"/>
      <c r="AB1219" s="757"/>
      <c r="AC1219" s="757"/>
      <c r="AD1219" s="931">
        <v>45580.616828703707</v>
      </c>
      <c r="AE1219" s="757"/>
      <c r="AF1219" s="757"/>
      <c r="AG1219" s="757"/>
      <c r="AH1219" s="757"/>
      <c r="AI1219" s="757"/>
      <c r="AJ1219" s="757"/>
      <c r="AK1219" s="757"/>
      <c r="AL1219" s="757"/>
      <c r="AM1219" s="757"/>
      <c r="AN1219" s="757"/>
      <c r="AO1219" s="757"/>
      <c r="AP1219" s="757"/>
      <c r="AQ1219" s="757"/>
      <c r="AR1219" s="757"/>
      <c r="AS1219" s="757"/>
      <c r="AT1219" s="757"/>
      <c r="AU1219" s="757"/>
      <c r="AV1219" s="757"/>
      <c r="AW1219" s="757"/>
      <c r="AX1219" s="757"/>
      <c r="AY1219" s="757"/>
      <c r="AZ1219" s="75"/>
      <c r="BA1219" s="2"/>
      <c r="BB1219" s="2"/>
      <c r="BC1219" s="2"/>
      <c r="BD1219" s="2"/>
    </row>
    <row r="1220" spans="1:56">
      <c r="A1220" s="781">
        <v>2</v>
      </c>
      <c r="B1220" s="782">
        <v>257</v>
      </c>
      <c r="C1220" s="783">
        <v>45579</v>
      </c>
      <c r="D1220" s="785" t="s">
        <v>4861</v>
      </c>
      <c r="E1220" s="808">
        <v>9555</v>
      </c>
      <c r="F1220" s="799"/>
      <c r="G1220" s="799"/>
      <c r="H1220" s="1592">
        <f t="shared" si="54"/>
        <v>0</v>
      </c>
      <c r="I1220" s="754" t="str">
        <f>IFERROR(VLOOKUP(B1220,Mychart!$A$125:$B$911,2,FALSE),"-")</f>
        <v>NAAEMA SALEH - ERTIKAZ</v>
      </c>
      <c r="J1220" s="753">
        <f t="shared" si="55"/>
        <v>10</v>
      </c>
      <c r="K1220" s="1540">
        <f t="shared" si="56"/>
        <v>2024</v>
      </c>
      <c r="L1220" s="757"/>
      <c r="M1220" s="757"/>
      <c r="N1220" s="757"/>
      <c r="O1220" s="757"/>
      <c r="P1220" s="757"/>
      <c r="Q1220" s="757"/>
      <c r="R1220" s="757"/>
      <c r="S1220" s="757"/>
      <c r="T1220" s="757"/>
      <c r="U1220" s="757"/>
      <c r="V1220" s="757"/>
      <c r="W1220" s="757"/>
      <c r="X1220" s="757"/>
      <c r="Y1220" s="757"/>
      <c r="Z1220" s="757"/>
      <c r="AA1220" s="757"/>
      <c r="AB1220" s="757"/>
      <c r="AC1220" s="757"/>
      <c r="AD1220" s="931">
        <v>45584.553171296298</v>
      </c>
      <c r="AE1220" s="757"/>
      <c r="AF1220" s="757"/>
      <c r="AG1220" s="757"/>
      <c r="AH1220" s="757"/>
      <c r="AI1220" s="757"/>
      <c r="AJ1220" s="757"/>
      <c r="AK1220" s="757"/>
      <c r="AL1220" s="757"/>
      <c r="AM1220" s="757"/>
      <c r="AN1220" s="757"/>
      <c r="AO1220" s="757"/>
      <c r="AP1220" s="757"/>
      <c r="AQ1220" s="757"/>
      <c r="AR1220" s="757"/>
      <c r="AS1220" s="757"/>
      <c r="AT1220" s="757"/>
      <c r="AU1220" s="757"/>
      <c r="AV1220" s="757"/>
      <c r="AW1220" s="757"/>
      <c r="AX1220" s="757"/>
      <c r="AY1220" s="757"/>
      <c r="AZ1220" s="75"/>
      <c r="BA1220" s="2"/>
      <c r="BB1220" s="2"/>
      <c r="BC1220" s="2"/>
      <c r="BD1220" s="2"/>
    </row>
    <row r="1221" spans="1:56">
      <c r="A1221" s="781">
        <v>2</v>
      </c>
      <c r="B1221" s="782">
        <v>257</v>
      </c>
      <c r="C1221" s="783">
        <v>45582</v>
      </c>
      <c r="D1221" s="785" t="s">
        <v>4861</v>
      </c>
      <c r="E1221" s="808">
        <v>17188.5</v>
      </c>
      <c r="F1221" s="799"/>
      <c r="G1221" s="799"/>
      <c r="H1221" s="1592">
        <f t="shared" si="54"/>
        <v>0</v>
      </c>
      <c r="I1221" s="754" t="str">
        <f>IFERROR(VLOOKUP(B1221,Mychart!$A$125:$B$911,2,FALSE),"-")</f>
        <v>NAAEMA SALEH - ERTIKAZ</v>
      </c>
      <c r="J1221" s="753">
        <f t="shared" si="55"/>
        <v>10</v>
      </c>
      <c r="K1221" s="1540">
        <f t="shared" si="56"/>
        <v>2024</v>
      </c>
      <c r="L1221" s="757"/>
      <c r="M1221" s="757"/>
      <c r="N1221" s="757"/>
      <c r="O1221" s="757"/>
      <c r="P1221" s="757"/>
      <c r="Q1221" s="757"/>
      <c r="R1221" s="757"/>
      <c r="S1221" s="757"/>
      <c r="T1221" s="757"/>
      <c r="U1221" s="757"/>
      <c r="V1221" s="757"/>
      <c r="W1221" s="757"/>
      <c r="X1221" s="757"/>
      <c r="Y1221" s="757"/>
      <c r="Z1221" s="757"/>
      <c r="AA1221" s="757"/>
      <c r="AB1221" s="757"/>
      <c r="AC1221" s="757"/>
      <c r="AD1221" s="931">
        <v>45584.557164351849</v>
      </c>
      <c r="AE1221" s="757"/>
      <c r="AF1221" s="757"/>
      <c r="AG1221" s="757"/>
      <c r="AH1221" s="757"/>
      <c r="AI1221" s="757"/>
      <c r="AJ1221" s="757"/>
      <c r="AK1221" s="757"/>
      <c r="AL1221" s="757"/>
      <c r="AM1221" s="757"/>
      <c r="AN1221" s="757"/>
      <c r="AO1221" s="757"/>
      <c r="AP1221" s="757"/>
      <c r="AQ1221" s="757"/>
      <c r="AR1221" s="757"/>
      <c r="AS1221" s="757"/>
      <c r="AT1221" s="757"/>
      <c r="AU1221" s="757"/>
      <c r="AV1221" s="757"/>
      <c r="AW1221" s="757"/>
      <c r="AX1221" s="757"/>
      <c r="AY1221" s="757"/>
      <c r="AZ1221" s="75"/>
      <c r="BA1221" s="2"/>
      <c r="BB1221" s="2"/>
      <c r="BC1221" s="2"/>
      <c r="BD1221" s="2"/>
    </row>
    <row r="1222" spans="1:56">
      <c r="A1222" s="781">
        <v>2</v>
      </c>
      <c r="B1222" s="782">
        <v>249</v>
      </c>
      <c r="C1222" s="783">
        <v>45583</v>
      </c>
      <c r="D1222" s="785" t="s">
        <v>4922</v>
      </c>
      <c r="E1222" s="808">
        <v>82089</v>
      </c>
      <c r="F1222" s="799"/>
      <c r="G1222" s="799"/>
      <c r="H1222" s="1592">
        <f t="shared" si="54"/>
        <v>0</v>
      </c>
      <c r="I1222" s="754" t="str">
        <f>IFERROR(VLOOKUP(B1222,Mychart!$A$125:$B$911,2,FALSE),"-")</f>
        <v>farouq marzoki</v>
      </c>
      <c r="J1222" s="753">
        <f t="shared" si="55"/>
        <v>10</v>
      </c>
      <c r="K1222" s="1540">
        <f t="shared" si="56"/>
        <v>2024</v>
      </c>
      <c r="L1222" s="757"/>
      <c r="M1222" s="757"/>
      <c r="N1222" s="757"/>
      <c r="O1222" s="757"/>
      <c r="P1222" s="757"/>
      <c r="Q1222" s="757"/>
      <c r="R1222" s="757"/>
      <c r="S1222" s="757"/>
      <c r="T1222" s="757"/>
      <c r="U1222" s="757"/>
      <c r="V1222" s="757"/>
      <c r="W1222" s="757"/>
      <c r="X1222" s="757"/>
      <c r="Y1222" s="757"/>
      <c r="Z1222" s="757"/>
      <c r="AA1222" s="757"/>
      <c r="AB1222" s="757"/>
      <c r="AC1222" s="757"/>
      <c r="AD1222" s="931">
        <v>45586.560636574075</v>
      </c>
      <c r="AE1222" s="757"/>
      <c r="AF1222" s="757"/>
      <c r="AG1222" s="757"/>
      <c r="AH1222" s="757"/>
      <c r="AI1222" s="757"/>
      <c r="AJ1222" s="757"/>
      <c r="AK1222" s="757"/>
      <c r="AL1222" s="757"/>
      <c r="AM1222" s="757"/>
      <c r="AN1222" s="757"/>
      <c r="AO1222" s="757"/>
      <c r="AP1222" s="757"/>
      <c r="AQ1222" s="757"/>
      <c r="AR1222" s="757"/>
      <c r="AS1222" s="757"/>
      <c r="AT1222" s="757"/>
      <c r="AU1222" s="757"/>
      <c r="AV1222" s="757"/>
      <c r="AW1222" s="757"/>
      <c r="AX1222" s="757"/>
      <c r="AY1222" s="757"/>
      <c r="AZ1222" s="75"/>
      <c r="BA1222" s="2"/>
      <c r="BB1222" s="2"/>
      <c r="BC1222" s="2"/>
      <c r="BD1222" s="2"/>
    </row>
    <row r="1223" spans="1:56">
      <c r="A1223" s="781">
        <v>2</v>
      </c>
      <c r="B1223" s="782">
        <v>257</v>
      </c>
      <c r="C1223" s="783">
        <v>45591</v>
      </c>
      <c r="D1223" s="785" t="s">
        <v>5221</v>
      </c>
      <c r="E1223" s="808">
        <v>5181.75</v>
      </c>
      <c r="F1223" s="799"/>
      <c r="G1223" s="799"/>
      <c r="H1223" s="1592">
        <f t="shared" si="54"/>
        <v>0</v>
      </c>
      <c r="I1223" s="754" t="str">
        <f>IFERROR(VLOOKUP(B1223,Mychart!$A$125:$B$911,2,FALSE),"-")</f>
        <v>NAAEMA SALEH - ERTIKAZ</v>
      </c>
      <c r="J1223" s="753">
        <f t="shared" si="55"/>
        <v>10</v>
      </c>
      <c r="K1223" s="1540">
        <f t="shared" si="56"/>
        <v>2024</v>
      </c>
      <c r="L1223" s="757"/>
      <c r="M1223" s="757"/>
      <c r="N1223" s="757"/>
      <c r="O1223" s="757"/>
      <c r="P1223" s="757"/>
      <c r="Q1223" s="757"/>
      <c r="R1223" s="757"/>
      <c r="S1223" s="757"/>
      <c r="T1223" s="757"/>
      <c r="U1223" s="757"/>
      <c r="V1223" s="757"/>
      <c r="W1223" s="757"/>
      <c r="X1223" s="757"/>
      <c r="Y1223" s="757"/>
      <c r="Z1223" s="757"/>
      <c r="AA1223" s="757"/>
      <c r="AB1223" s="757"/>
      <c r="AC1223" s="757"/>
      <c r="AD1223" s="931">
        <v>45593.618530092594</v>
      </c>
      <c r="AE1223" s="757"/>
      <c r="AF1223" s="757"/>
      <c r="AG1223" s="757"/>
      <c r="AH1223" s="757"/>
      <c r="AI1223" s="757"/>
      <c r="AJ1223" s="757"/>
      <c r="AK1223" s="757"/>
      <c r="AL1223" s="757"/>
      <c r="AM1223" s="757"/>
      <c r="AN1223" s="757"/>
      <c r="AO1223" s="757"/>
      <c r="AP1223" s="757"/>
      <c r="AQ1223" s="757"/>
      <c r="AR1223" s="757"/>
      <c r="AS1223" s="757"/>
      <c r="AT1223" s="757"/>
      <c r="AU1223" s="757"/>
      <c r="AV1223" s="757"/>
      <c r="AW1223" s="757"/>
      <c r="AX1223" s="757"/>
      <c r="AY1223" s="757"/>
      <c r="AZ1223" s="75"/>
      <c r="BA1223" s="2"/>
      <c r="BB1223" s="2"/>
      <c r="BC1223" s="2"/>
      <c r="BD1223" s="2"/>
    </row>
    <row r="1224" spans="1:56">
      <c r="A1224" s="781">
        <v>2</v>
      </c>
      <c r="B1224" s="782">
        <v>249</v>
      </c>
      <c r="C1224" s="783">
        <v>45591</v>
      </c>
      <c r="D1224" s="785" t="s">
        <v>5223</v>
      </c>
      <c r="E1224" s="808">
        <v>4404.75</v>
      </c>
      <c r="F1224" s="799"/>
      <c r="G1224" s="799"/>
      <c r="H1224" s="1592">
        <f t="shared" ref="H1224:H1246" si="57">F1224+G1224</f>
        <v>0</v>
      </c>
      <c r="I1224" s="754" t="str">
        <f>IFERROR(VLOOKUP(B1224,Mychart!$A$125:$B$911,2,FALSE),"-")</f>
        <v>farouq marzoki</v>
      </c>
      <c r="J1224" s="753">
        <f t="shared" ref="J1224:J1251" si="58">IF(C1224&lt;&gt;"", MONTH(C1224),"-")</f>
        <v>10</v>
      </c>
      <c r="K1224" s="1540">
        <f t="shared" ref="K1224:K1251" si="59">YEAR(C1224)</f>
        <v>2024</v>
      </c>
      <c r="L1224" s="757"/>
      <c r="M1224" s="757"/>
      <c r="N1224" s="757"/>
      <c r="O1224" s="757"/>
      <c r="P1224" s="757"/>
      <c r="Q1224" s="757"/>
      <c r="R1224" s="757"/>
      <c r="S1224" s="757"/>
      <c r="T1224" s="757"/>
      <c r="U1224" s="757"/>
      <c r="V1224" s="757"/>
      <c r="W1224" s="757"/>
      <c r="X1224" s="757"/>
      <c r="Y1224" s="757"/>
      <c r="Z1224" s="757"/>
      <c r="AA1224" s="757"/>
      <c r="AB1224" s="757"/>
      <c r="AC1224" s="757"/>
      <c r="AD1224" s="931">
        <v>45593.618541666663</v>
      </c>
      <c r="AE1224" s="757"/>
      <c r="AF1224" s="757"/>
      <c r="AG1224" s="757"/>
      <c r="AH1224" s="757"/>
      <c r="AI1224" s="757"/>
      <c r="AJ1224" s="757"/>
      <c r="AK1224" s="757"/>
      <c r="AL1224" s="757"/>
      <c r="AM1224" s="757"/>
      <c r="AN1224" s="757"/>
      <c r="AO1224" s="757"/>
      <c r="AP1224" s="757"/>
      <c r="AQ1224" s="757"/>
      <c r="AR1224" s="757"/>
      <c r="AS1224" s="757"/>
      <c r="AT1224" s="757"/>
      <c r="AU1224" s="757"/>
      <c r="AV1224" s="757"/>
      <c r="AW1224" s="757"/>
      <c r="AX1224" s="757"/>
      <c r="AY1224" s="757"/>
      <c r="AZ1224" s="75"/>
      <c r="BA1224" s="2"/>
      <c r="BB1224" s="2"/>
      <c r="BC1224" s="2"/>
      <c r="BD1224" s="2"/>
    </row>
    <row r="1225" spans="1:56">
      <c r="A1225" s="781">
        <v>2</v>
      </c>
      <c r="B1225" s="782">
        <v>277</v>
      </c>
      <c r="C1225" s="783">
        <v>45582</v>
      </c>
      <c r="D1225" s="785" t="s">
        <v>5228</v>
      </c>
      <c r="E1225" s="808">
        <v>5530.2000000000007</v>
      </c>
      <c r="F1225" s="799"/>
      <c r="G1225" s="799"/>
      <c r="H1225" s="1592">
        <f t="shared" si="57"/>
        <v>0</v>
      </c>
      <c r="I1225" s="754" t="str">
        <f>IFERROR(VLOOKUP(B1225,Mychart!$A$125:$B$911,2,FALSE),"-")</f>
        <v>ABDULRHMAN ESSA ALI</v>
      </c>
      <c r="J1225" s="753">
        <f t="shared" si="58"/>
        <v>10</v>
      </c>
      <c r="K1225" s="1540">
        <f t="shared" si="59"/>
        <v>2024</v>
      </c>
      <c r="L1225" s="757"/>
      <c r="M1225" s="757"/>
      <c r="N1225" s="757"/>
      <c r="O1225" s="757"/>
      <c r="P1225" s="757"/>
      <c r="Q1225" s="757"/>
      <c r="R1225" s="757"/>
      <c r="S1225" s="757"/>
      <c r="T1225" s="757"/>
      <c r="U1225" s="757"/>
      <c r="V1225" s="757"/>
      <c r="W1225" s="757"/>
      <c r="X1225" s="757"/>
      <c r="Y1225" s="757"/>
      <c r="Z1225" s="757"/>
      <c r="AA1225" s="757"/>
      <c r="AB1225" s="757"/>
      <c r="AC1225" s="757"/>
      <c r="AD1225" s="931">
        <v>45593.652118055557</v>
      </c>
      <c r="AE1225" s="757"/>
      <c r="AF1225" s="757"/>
      <c r="AG1225" s="757"/>
      <c r="AH1225" s="757"/>
      <c r="AI1225" s="757"/>
      <c r="AJ1225" s="757"/>
      <c r="AK1225" s="757"/>
      <c r="AL1225" s="757"/>
      <c r="AM1225" s="757"/>
      <c r="AN1225" s="757"/>
      <c r="AO1225" s="757"/>
      <c r="AP1225" s="757"/>
      <c r="AQ1225" s="757"/>
      <c r="AR1225" s="757"/>
      <c r="AS1225" s="757"/>
      <c r="AT1225" s="757"/>
      <c r="AU1225" s="757"/>
      <c r="AV1225" s="757"/>
      <c r="AW1225" s="757"/>
      <c r="AX1225" s="757"/>
      <c r="AY1225" s="757"/>
      <c r="AZ1225" s="75"/>
      <c r="BA1225" s="2"/>
      <c r="BB1225" s="2"/>
      <c r="BC1225" s="2"/>
      <c r="BD1225" s="2"/>
    </row>
    <row r="1226" spans="1:56">
      <c r="A1226" s="781">
        <v>1</v>
      </c>
      <c r="B1226" s="782">
        <v>279</v>
      </c>
      <c r="C1226" s="783">
        <v>45595</v>
      </c>
      <c r="D1226" s="785" t="s">
        <v>5271</v>
      </c>
      <c r="E1226" s="808"/>
      <c r="F1226" s="799">
        <v>22800</v>
      </c>
      <c r="G1226" s="799">
        <v>1140</v>
      </c>
      <c r="H1226" s="1592">
        <v>23940</v>
      </c>
      <c r="I1226" s="754" t="str">
        <f>IFERROR(VLOOKUP(B1226,Mychart!$A$125:$B$911,2,FALSE),"-")</f>
        <v>Shams Saeed Sultan AL Kitbee</v>
      </c>
      <c r="J1226" s="753">
        <f t="shared" si="58"/>
        <v>10</v>
      </c>
      <c r="K1226" s="1540">
        <f t="shared" si="59"/>
        <v>2024</v>
      </c>
      <c r="L1226" s="757"/>
      <c r="M1226" s="757"/>
      <c r="N1226" s="757"/>
      <c r="O1226" s="757"/>
      <c r="P1226" s="757"/>
      <c r="Q1226" s="757"/>
      <c r="R1226" s="757"/>
      <c r="S1226" s="757"/>
      <c r="T1226" s="757"/>
      <c r="U1226" s="757"/>
      <c r="V1226" s="757"/>
      <c r="W1226" s="757"/>
      <c r="X1226" s="757"/>
      <c r="Y1226" s="757"/>
      <c r="Z1226" s="757"/>
      <c r="AA1226" s="757"/>
      <c r="AB1226" s="757"/>
      <c r="AC1226" s="757"/>
      <c r="AD1226" s="931">
        <v>45596.54923611111</v>
      </c>
      <c r="AE1226" s="757"/>
      <c r="AF1226" s="757"/>
      <c r="AG1226" s="757"/>
      <c r="AH1226" s="757"/>
      <c r="AI1226" s="757"/>
      <c r="AJ1226" s="757"/>
      <c r="AK1226" s="757"/>
      <c r="AL1226" s="757"/>
      <c r="AM1226" s="757"/>
      <c r="AN1226" s="757"/>
      <c r="AO1226" s="757"/>
      <c r="AP1226" s="757"/>
      <c r="AQ1226" s="757"/>
      <c r="AR1226" s="757"/>
      <c r="AS1226" s="757"/>
      <c r="AT1226" s="757"/>
      <c r="AU1226" s="757"/>
      <c r="AV1226" s="757"/>
      <c r="AW1226" s="757"/>
      <c r="AX1226" s="757"/>
      <c r="AY1226" s="757"/>
      <c r="AZ1226" s="75"/>
      <c r="BA1226" s="2"/>
      <c r="BB1226" s="2"/>
      <c r="BC1226" s="2"/>
      <c r="BD1226" s="2"/>
    </row>
    <row r="1227" spans="1:56">
      <c r="A1227" s="781">
        <v>1</v>
      </c>
      <c r="B1227" s="782">
        <v>276</v>
      </c>
      <c r="C1227" s="783">
        <v>45594</v>
      </c>
      <c r="D1227" s="785" t="s">
        <v>5274</v>
      </c>
      <c r="E1227" s="808"/>
      <c r="F1227" s="799">
        <v>18400</v>
      </c>
      <c r="G1227" s="799">
        <v>920</v>
      </c>
      <c r="H1227" s="1592">
        <v>19320</v>
      </c>
      <c r="I1227" s="754" t="str">
        <f>IFERROR(VLOOKUP(B1227,Mychart!$A$125:$B$911,2,FALSE),"-")</f>
        <v>FATMA ESSA ALI</v>
      </c>
      <c r="J1227" s="753">
        <f t="shared" si="58"/>
        <v>10</v>
      </c>
      <c r="K1227" s="1540">
        <f t="shared" si="59"/>
        <v>2024</v>
      </c>
      <c r="L1227" s="757"/>
      <c r="M1227" s="757"/>
      <c r="N1227" s="757"/>
      <c r="O1227" s="757"/>
      <c r="P1227" s="757"/>
      <c r="Q1227" s="757"/>
      <c r="R1227" s="757"/>
      <c r="S1227" s="757"/>
      <c r="T1227" s="757"/>
      <c r="U1227" s="757"/>
      <c r="V1227" s="757"/>
      <c r="W1227" s="757"/>
      <c r="X1227" s="757"/>
      <c r="Y1227" s="757"/>
      <c r="Z1227" s="757"/>
      <c r="AA1227" s="757"/>
      <c r="AB1227" s="757"/>
      <c r="AC1227" s="757"/>
      <c r="AD1227" s="931">
        <v>45596.54923611111</v>
      </c>
      <c r="AE1227" s="757"/>
      <c r="AF1227" s="757"/>
      <c r="AG1227" s="757"/>
      <c r="AH1227" s="757"/>
      <c r="AI1227" s="757"/>
      <c r="AJ1227" s="757"/>
      <c r="AK1227" s="757"/>
      <c r="AL1227" s="757"/>
      <c r="AM1227" s="757"/>
      <c r="AN1227" s="757"/>
      <c r="AO1227" s="757"/>
      <c r="AP1227" s="757"/>
      <c r="AQ1227" s="757"/>
      <c r="AR1227" s="757"/>
      <c r="AS1227" s="757"/>
      <c r="AT1227" s="757"/>
      <c r="AU1227" s="757"/>
      <c r="AV1227" s="757"/>
      <c r="AW1227" s="757"/>
      <c r="AX1227" s="757"/>
      <c r="AY1227" s="757"/>
      <c r="AZ1227" s="75"/>
      <c r="BA1227" s="2"/>
      <c r="BB1227" s="2"/>
      <c r="BC1227" s="2"/>
      <c r="BD1227" s="2"/>
    </row>
    <row r="1228" spans="1:56">
      <c r="A1228" s="781">
        <v>1</v>
      </c>
      <c r="B1228" s="782">
        <v>277</v>
      </c>
      <c r="C1228" s="783">
        <v>45594</v>
      </c>
      <c r="D1228" s="785" t="s">
        <v>5275</v>
      </c>
      <c r="E1228" s="808"/>
      <c r="F1228" s="799">
        <v>40501</v>
      </c>
      <c r="G1228" s="799">
        <v>2024</v>
      </c>
      <c r="H1228" s="1592">
        <v>42525</v>
      </c>
      <c r="I1228" s="754" t="str">
        <f>IFERROR(VLOOKUP(B1228,Mychart!$A$125:$B$911,2,FALSE),"-")</f>
        <v>ABDULRHMAN ESSA ALI</v>
      </c>
      <c r="J1228" s="753">
        <f t="shared" si="58"/>
        <v>10</v>
      </c>
      <c r="K1228" s="1540">
        <f t="shared" si="59"/>
        <v>2024</v>
      </c>
      <c r="L1228" s="757"/>
      <c r="M1228" s="757"/>
      <c r="N1228" s="757"/>
      <c r="O1228" s="757"/>
      <c r="P1228" s="757"/>
      <c r="Q1228" s="757"/>
      <c r="R1228" s="757"/>
      <c r="S1228" s="757"/>
      <c r="T1228" s="757"/>
      <c r="U1228" s="757"/>
      <c r="V1228" s="757"/>
      <c r="W1228" s="757"/>
      <c r="X1228" s="757"/>
      <c r="Y1228" s="757"/>
      <c r="Z1228" s="757"/>
      <c r="AA1228" s="757"/>
      <c r="AB1228" s="757"/>
      <c r="AC1228" s="757"/>
      <c r="AD1228" s="931">
        <v>45596.54923611111</v>
      </c>
      <c r="AE1228" s="757"/>
      <c r="AF1228" s="757"/>
      <c r="AG1228" s="757"/>
      <c r="AH1228" s="757"/>
      <c r="AI1228" s="757"/>
      <c r="AJ1228" s="757"/>
      <c r="AK1228" s="757"/>
      <c r="AL1228" s="757"/>
      <c r="AM1228" s="757"/>
      <c r="AN1228" s="757"/>
      <c r="AO1228" s="757"/>
      <c r="AP1228" s="757"/>
      <c r="AQ1228" s="757"/>
      <c r="AR1228" s="757"/>
      <c r="AS1228" s="757"/>
      <c r="AT1228" s="757"/>
      <c r="AU1228" s="757"/>
      <c r="AV1228" s="757"/>
      <c r="AW1228" s="757"/>
      <c r="AX1228" s="757"/>
      <c r="AY1228" s="757"/>
      <c r="AZ1228" s="75"/>
      <c r="BA1228" s="2"/>
      <c r="BB1228" s="2"/>
      <c r="BC1228" s="2"/>
      <c r="BD1228" s="2"/>
    </row>
    <row r="1229" spans="1:56">
      <c r="A1229" s="781">
        <v>1</v>
      </c>
      <c r="B1229" s="782">
        <v>242</v>
      </c>
      <c r="C1229" s="783">
        <v>45596</v>
      </c>
      <c r="D1229" s="785" t="s">
        <v>5277</v>
      </c>
      <c r="E1229" s="808"/>
      <c r="F1229" s="799">
        <v>7350</v>
      </c>
      <c r="G1229" s="799">
        <v>368</v>
      </c>
      <c r="H1229" s="1592">
        <v>7718</v>
      </c>
      <c r="I1229" s="754" t="str">
        <f>IFERROR(VLOOKUP(B1229,Mychart!$A$125:$B$911,2,FALSE),"-")</f>
        <v>AMMAR - ARCHPIX</v>
      </c>
      <c r="J1229" s="753">
        <f t="shared" si="58"/>
        <v>10</v>
      </c>
      <c r="K1229" s="1540">
        <f t="shared" si="59"/>
        <v>2024</v>
      </c>
      <c r="L1229" s="757"/>
      <c r="M1229" s="757"/>
      <c r="N1229" s="757"/>
      <c r="O1229" s="757"/>
      <c r="P1229" s="757"/>
      <c r="Q1229" s="757"/>
      <c r="R1229" s="757"/>
      <c r="S1229" s="757"/>
      <c r="T1229" s="757"/>
      <c r="U1229" s="757"/>
      <c r="V1229" s="757"/>
      <c r="W1229" s="757"/>
      <c r="X1229" s="757"/>
      <c r="Y1229" s="757"/>
      <c r="Z1229" s="757"/>
      <c r="AA1229" s="757"/>
      <c r="AB1229" s="757"/>
      <c r="AC1229" s="757"/>
      <c r="AD1229" s="931">
        <v>45596.549247685187</v>
      </c>
      <c r="AE1229" s="757"/>
      <c r="AF1229" s="757"/>
      <c r="AG1229" s="757"/>
      <c r="AH1229" s="757"/>
      <c r="AI1229" s="757"/>
      <c r="AJ1229" s="757"/>
      <c r="AK1229" s="757"/>
      <c r="AL1229" s="757"/>
      <c r="AM1229" s="757"/>
      <c r="AN1229" s="757"/>
      <c r="AO1229" s="757"/>
      <c r="AP1229" s="757"/>
      <c r="AQ1229" s="757"/>
      <c r="AR1229" s="757"/>
      <c r="AS1229" s="757"/>
      <c r="AT1229" s="757"/>
      <c r="AU1229" s="757"/>
      <c r="AV1229" s="757"/>
      <c r="AW1229" s="757"/>
      <c r="AX1229" s="757"/>
      <c r="AY1229" s="757"/>
      <c r="AZ1229" s="75"/>
      <c r="BA1229" s="2"/>
      <c r="BB1229" s="2"/>
      <c r="BC1229" s="2"/>
      <c r="BD1229" s="2"/>
    </row>
    <row r="1230" spans="1:56">
      <c r="A1230" s="781">
        <v>1</v>
      </c>
      <c r="B1230" s="782">
        <v>242</v>
      </c>
      <c r="C1230" s="783">
        <v>45596</v>
      </c>
      <c r="D1230" s="785" t="s">
        <v>5277</v>
      </c>
      <c r="E1230" s="808"/>
      <c r="F1230" s="799">
        <v>1500</v>
      </c>
      <c r="G1230" s="799">
        <v>75</v>
      </c>
      <c r="H1230" s="1592">
        <v>1575</v>
      </c>
      <c r="I1230" s="754" t="str">
        <f>IFERROR(VLOOKUP(B1230,Mychart!$A$125:$B$911,2,FALSE),"-")</f>
        <v>AMMAR - ARCHPIX</v>
      </c>
      <c r="J1230" s="753">
        <f t="shared" si="58"/>
        <v>10</v>
      </c>
      <c r="K1230" s="1540">
        <f t="shared" si="59"/>
        <v>2024</v>
      </c>
      <c r="L1230" s="757"/>
      <c r="M1230" s="757"/>
      <c r="N1230" s="757"/>
      <c r="O1230" s="757"/>
      <c r="P1230" s="757"/>
      <c r="Q1230" s="757"/>
      <c r="R1230" s="757"/>
      <c r="S1230" s="757"/>
      <c r="T1230" s="757"/>
      <c r="U1230" s="757"/>
      <c r="V1230" s="757"/>
      <c r="W1230" s="757"/>
      <c r="X1230" s="757"/>
      <c r="Y1230" s="757"/>
      <c r="Z1230" s="757"/>
      <c r="AA1230" s="757"/>
      <c r="AB1230" s="757"/>
      <c r="AC1230" s="757"/>
      <c r="AD1230" s="931">
        <v>45596.549247685187</v>
      </c>
      <c r="AE1230" s="757"/>
      <c r="AF1230" s="757"/>
      <c r="AG1230" s="757"/>
      <c r="AH1230" s="757"/>
      <c r="AI1230" s="757"/>
      <c r="AJ1230" s="757"/>
      <c r="AK1230" s="757"/>
      <c r="AL1230" s="757"/>
      <c r="AM1230" s="757"/>
      <c r="AN1230" s="757"/>
      <c r="AO1230" s="757"/>
      <c r="AP1230" s="757"/>
      <c r="AQ1230" s="757"/>
      <c r="AR1230" s="757"/>
      <c r="AS1230" s="757"/>
      <c r="AT1230" s="757"/>
      <c r="AU1230" s="757"/>
      <c r="AV1230" s="757"/>
      <c r="AW1230" s="757"/>
      <c r="AX1230" s="757"/>
      <c r="AY1230" s="757"/>
      <c r="AZ1230" s="75"/>
      <c r="BA1230" s="2"/>
      <c r="BB1230" s="2"/>
      <c r="BC1230" s="2"/>
      <c r="BD1230" s="2"/>
    </row>
    <row r="1231" spans="1:56">
      <c r="A1231" s="781">
        <v>1</v>
      </c>
      <c r="B1231" s="782">
        <v>211</v>
      </c>
      <c r="C1231" s="783">
        <v>45596</v>
      </c>
      <c r="D1231" s="785" t="s">
        <v>5357</v>
      </c>
      <c r="E1231" s="808"/>
      <c r="F1231" s="799">
        <v>31887.499999999996</v>
      </c>
      <c r="G1231" s="799">
        <v>1551.63</v>
      </c>
      <c r="H1231" s="1592">
        <v>33439.129999999997</v>
      </c>
      <c r="I1231" s="754" t="str">
        <f>IFERROR(VLOOKUP(B1231,Mychart!$A$125:$B$911,2,FALSE),"-")</f>
        <v>AHMED AHLI - ASRI</v>
      </c>
      <c r="J1231" s="753">
        <f t="shared" si="58"/>
        <v>10</v>
      </c>
      <c r="K1231" s="1540">
        <f t="shared" si="59"/>
        <v>2024</v>
      </c>
      <c r="L1231" s="757"/>
      <c r="M1231" s="757"/>
      <c r="N1231" s="757"/>
      <c r="O1231" s="757"/>
      <c r="P1231" s="757"/>
      <c r="Q1231" s="757"/>
      <c r="R1231" s="757"/>
      <c r="S1231" s="757"/>
      <c r="T1231" s="757"/>
      <c r="U1231" s="757"/>
      <c r="V1231" s="757"/>
      <c r="W1231" s="757"/>
      <c r="X1231" s="757"/>
      <c r="Y1231" s="757"/>
      <c r="Z1231" s="757"/>
      <c r="AA1231" s="757"/>
      <c r="AB1231" s="757"/>
      <c r="AC1231" s="757"/>
      <c r="AD1231" s="931">
        <v>45600.452650462961</v>
      </c>
      <c r="AE1231" s="757"/>
      <c r="AF1231" s="757"/>
      <c r="AG1231" s="757"/>
      <c r="AH1231" s="757"/>
      <c r="AI1231" s="757"/>
      <c r="AJ1231" s="757"/>
      <c r="AK1231" s="757"/>
      <c r="AL1231" s="757"/>
      <c r="AM1231" s="757"/>
      <c r="AN1231" s="757"/>
      <c r="AO1231" s="757"/>
      <c r="AP1231" s="757"/>
      <c r="AQ1231" s="757"/>
      <c r="AR1231" s="757"/>
      <c r="AS1231" s="757"/>
      <c r="AT1231" s="757"/>
      <c r="AU1231" s="757"/>
      <c r="AV1231" s="757"/>
      <c r="AW1231" s="757"/>
      <c r="AX1231" s="757"/>
      <c r="AY1231" s="757"/>
      <c r="AZ1231" s="75"/>
      <c r="BA1231" s="2"/>
      <c r="BB1231" s="2"/>
      <c r="BC1231" s="2"/>
      <c r="BD1231" s="2"/>
    </row>
    <row r="1232" spans="1:56">
      <c r="A1232" s="781">
        <v>2</v>
      </c>
      <c r="B1232" s="782">
        <v>211</v>
      </c>
      <c r="C1232" s="783">
        <v>45596</v>
      </c>
      <c r="D1232" s="785" t="s">
        <v>5404</v>
      </c>
      <c r="E1232" s="808">
        <v>139.5</v>
      </c>
      <c r="F1232" s="799"/>
      <c r="G1232" s="799"/>
      <c r="H1232" s="1592">
        <f t="shared" si="57"/>
        <v>0</v>
      </c>
      <c r="I1232" s="754" t="str">
        <f>IFERROR(VLOOKUP(B1232,Mychart!$A$125:$B$911,2,FALSE),"-")</f>
        <v>AHMED AHLI - ASRI</v>
      </c>
      <c r="J1232" s="753">
        <f t="shared" si="58"/>
        <v>10</v>
      </c>
      <c r="K1232" s="1540">
        <f t="shared" si="59"/>
        <v>2024</v>
      </c>
      <c r="L1232" s="757"/>
      <c r="M1232" s="757"/>
      <c r="N1232" s="757"/>
      <c r="O1232" s="757"/>
      <c r="P1232" s="757"/>
      <c r="Q1232" s="757"/>
      <c r="R1232" s="757"/>
      <c r="S1232" s="757"/>
      <c r="T1232" s="757"/>
      <c r="U1232" s="757"/>
      <c r="V1232" s="757"/>
      <c r="W1232" s="757"/>
      <c r="X1232" s="757"/>
      <c r="Y1232" s="757"/>
      <c r="Z1232" s="757"/>
      <c r="AA1232" s="757"/>
      <c r="AB1232" s="757"/>
      <c r="AC1232" s="757"/>
      <c r="AD1232" s="931">
        <v>45601.610902777778</v>
      </c>
      <c r="AE1232" s="757"/>
      <c r="AF1232" s="757"/>
      <c r="AG1232" s="757"/>
      <c r="AH1232" s="757"/>
      <c r="AI1232" s="757"/>
      <c r="AJ1232" s="757"/>
      <c r="AK1232" s="757"/>
      <c r="AL1232" s="757"/>
      <c r="AM1232" s="757"/>
      <c r="AN1232" s="757"/>
      <c r="AO1232" s="757"/>
      <c r="AP1232" s="757"/>
      <c r="AQ1232" s="757"/>
      <c r="AR1232" s="757"/>
      <c r="AS1232" s="757"/>
      <c r="AT1232" s="757"/>
      <c r="AU1232" s="757"/>
      <c r="AV1232" s="757"/>
      <c r="AW1232" s="757"/>
      <c r="AX1232" s="757"/>
      <c r="AY1232" s="757"/>
      <c r="AZ1232" s="75"/>
      <c r="BA1232" s="2"/>
      <c r="BB1232" s="2"/>
      <c r="BC1232" s="2"/>
      <c r="BD1232" s="2"/>
    </row>
    <row r="1233" spans="1:56">
      <c r="A1233" s="781">
        <v>2</v>
      </c>
      <c r="B1233" s="782">
        <v>225</v>
      </c>
      <c r="C1233" s="783">
        <v>45596</v>
      </c>
      <c r="D1233" s="785" t="s">
        <v>5404</v>
      </c>
      <c r="E1233" s="808">
        <v>507.15</v>
      </c>
      <c r="F1233" s="799"/>
      <c r="G1233" s="799"/>
      <c r="H1233" s="1592">
        <f t="shared" si="57"/>
        <v>0</v>
      </c>
      <c r="I1233" s="754" t="str">
        <f>IFERROR(VLOOKUP(B1233,Mychart!$A$125:$B$911,2,FALSE),"-")</f>
        <v>HESSA BELOSHI</v>
      </c>
      <c r="J1233" s="753">
        <f t="shared" si="58"/>
        <v>10</v>
      </c>
      <c r="K1233" s="1540">
        <f t="shared" si="59"/>
        <v>2024</v>
      </c>
      <c r="L1233" s="757"/>
      <c r="M1233" s="757"/>
      <c r="N1233" s="757"/>
      <c r="O1233" s="757"/>
      <c r="P1233" s="757"/>
      <c r="Q1233" s="757"/>
      <c r="R1233" s="757"/>
      <c r="S1233" s="757"/>
      <c r="T1233" s="757"/>
      <c r="U1233" s="757"/>
      <c r="V1233" s="757"/>
      <c r="W1233" s="757"/>
      <c r="X1233" s="757"/>
      <c r="Y1233" s="757"/>
      <c r="Z1233" s="757"/>
      <c r="AA1233" s="757"/>
      <c r="AB1233" s="757"/>
      <c r="AC1233" s="757"/>
      <c r="AD1233" s="931">
        <v>45601.610902777778</v>
      </c>
      <c r="AE1233" s="757"/>
      <c r="AF1233" s="757"/>
      <c r="AG1233" s="757"/>
      <c r="AH1233" s="757"/>
      <c r="AI1233" s="757"/>
      <c r="AJ1233" s="757"/>
      <c r="AK1233" s="757"/>
      <c r="AL1233" s="757"/>
      <c r="AM1233" s="757"/>
      <c r="AN1233" s="757"/>
      <c r="AO1233" s="757"/>
      <c r="AP1233" s="757"/>
      <c r="AQ1233" s="757"/>
      <c r="AR1233" s="757"/>
      <c r="AS1233" s="757"/>
      <c r="AT1233" s="757"/>
      <c r="AU1233" s="757"/>
      <c r="AV1233" s="757"/>
      <c r="AW1233" s="757"/>
      <c r="AX1233" s="757"/>
      <c r="AY1233" s="757"/>
      <c r="AZ1233" s="75"/>
      <c r="BA1233" s="2"/>
      <c r="BB1233" s="2"/>
      <c r="BC1233" s="2"/>
      <c r="BD1233" s="2"/>
    </row>
    <row r="1234" spans="1:56">
      <c r="A1234" s="781">
        <v>2</v>
      </c>
      <c r="B1234" s="782">
        <v>230</v>
      </c>
      <c r="C1234" s="783">
        <v>45596</v>
      </c>
      <c r="D1234" s="785" t="s">
        <v>5404</v>
      </c>
      <c r="E1234" s="808">
        <v>4637.5</v>
      </c>
      <c r="F1234" s="799"/>
      <c r="G1234" s="799"/>
      <c r="H1234" s="1592">
        <f t="shared" si="57"/>
        <v>0</v>
      </c>
      <c r="I1234" s="754" t="str">
        <f>IFERROR(VLOOKUP(B1234,Mychart!$A$125:$B$911,2,FALSE),"-")</f>
        <v>FARES MOHAMED - ANAAB</v>
      </c>
      <c r="J1234" s="753">
        <f t="shared" si="58"/>
        <v>10</v>
      </c>
      <c r="K1234" s="1540">
        <f t="shared" si="59"/>
        <v>2024</v>
      </c>
      <c r="L1234" s="757"/>
      <c r="M1234" s="757"/>
      <c r="N1234" s="757"/>
      <c r="O1234" s="757"/>
      <c r="P1234" s="757"/>
      <c r="Q1234" s="757"/>
      <c r="R1234" s="757"/>
      <c r="S1234" s="757"/>
      <c r="T1234" s="757"/>
      <c r="U1234" s="757"/>
      <c r="V1234" s="757"/>
      <c r="W1234" s="757"/>
      <c r="X1234" s="757"/>
      <c r="Y1234" s="757"/>
      <c r="Z1234" s="757"/>
      <c r="AA1234" s="757"/>
      <c r="AB1234" s="757"/>
      <c r="AC1234" s="757"/>
      <c r="AD1234" s="931">
        <v>45601.610914351855</v>
      </c>
      <c r="AE1234" s="757"/>
      <c r="AF1234" s="757"/>
      <c r="AG1234" s="757"/>
      <c r="AH1234" s="757"/>
      <c r="AI1234" s="757"/>
      <c r="AJ1234" s="757"/>
      <c r="AK1234" s="757"/>
      <c r="AL1234" s="757"/>
      <c r="AM1234" s="757"/>
      <c r="AN1234" s="757"/>
      <c r="AO1234" s="757"/>
      <c r="AP1234" s="757"/>
      <c r="AQ1234" s="757"/>
      <c r="AR1234" s="757"/>
      <c r="AS1234" s="757"/>
      <c r="AT1234" s="757"/>
      <c r="AU1234" s="757"/>
      <c r="AV1234" s="757"/>
      <c r="AW1234" s="757"/>
      <c r="AX1234" s="757"/>
      <c r="AY1234" s="757"/>
      <c r="AZ1234" s="75"/>
      <c r="BA1234" s="2"/>
      <c r="BB1234" s="2"/>
      <c r="BC1234" s="2"/>
      <c r="BD1234" s="2"/>
    </row>
    <row r="1235" spans="1:56">
      <c r="A1235" s="781">
        <v>2</v>
      </c>
      <c r="B1235" s="782">
        <v>233</v>
      </c>
      <c r="C1235" s="783">
        <v>45596</v>
      </c>
      <c r="D1235" s="785" t="s">
        <v>5404</v>
      </c>
      <c r="E1235" s="808">
        <v>60.58</v>
      </c>
      <c r="F1235" s="799"/>
      <c r="G1235" s="799"/>
      <c r="H1235" s="1592">
        <f t="shared" si="57"/>
        <v>0</v>
      </c>
      <c r="I1235" s="754" t="str">
        <f>IFERROR(VLOOKUP(B1235,Mychart!$A$125:$B$911,2,FALSE),"-")</f>
        <v>MUBARAK . ARCHPIX</v>
      </c>
      <c r="J1235" s="753">
        <f t="shared" si="58"/>
        <v>10</v>
      </c>
      <c r="K1235" s="1540">
        <f t="shared" si="59"/>
        <v>2024</v>
      </c>
      <c r="L1235" s="757"/>
      <c r="M1235" s="757"/>
      <c r="N1235" s="757"/>
      <c r="O1235" s="757"/>
      <c r="P1235" s="757"/>
      <c r="Q1235" s="757"/>
      <c r="R1235" s="757"/>
      <c r="S1235" s="757"/>
      <c r="T1235" s="757"/>
      <c r="U1235" s="757"/>
      <c r="V1235" s="757"/>
      <c r="W1235" s="757"/>
      <c r="X1235" s="757"/>
      <c r="Y1235" s="757"/>
      <c r="Z1235" s="757"/>
      <c r="AA1235" s="757"/>
      <c r="AB1235" s="757"/>
      <c r="AC1235" s="757"/>
      <c r="AD1235" s="931">
        <v>45601.610914351855</v>
      </c>
      <c r="AE1235" s="757"/>
      <c r="AF1235" s="757"/>
      <c r="AG1235" s="757"/>
      <c r="AH1235" s="757"/>
      <c r="AI1235" s="757"/>
      <c r="AJ1235" s="757"/>
      <c r="AK1235" s="757"/>
      <c r="AL1235" s="757"/>
      <c r="AM1235" s="757"/>
      <c r="AN1235" s="757"/>
      <c r="AO1235" s="757"/>
      <c r="AP1235" s="757"/>
      <c r="AQ1235" s="757"/>
      <c r="AR1235" s="757"/>
      <c r="AS1235" s="757"/>
      <c r="AT1235" s="757"/>
      <c r="AU1235" s="757"/>
      <c r="AV1235" s="757"/>
      <c r="AW1235" s="757"/>
      <c r="AX1235" s="757"/>
      <c r="AY1235" s="757"/>
      <c r="AZ1235" s="75"/>
      <c r="BA1235" s="2"/>
      <c r="BB1235" s="2"/>
      <c r="BC1235" s="2"/>
      <c r="BD1235" s="2"/>
    </row>
    <row r="1236" spans="1:56">
      <c r="A1236" s="781">
        <v>2</v>
      </c>
      <c r="B1236" s="782">
        <v>247</v>
      </c>
      <c r="C1236" s="783">
        <v>45596</v>
      </c>
      <c r="D1236" s="785" t="s">
        <v>5404</v>
      </c>
      <c r="E1236" s="808">
        <v>7143.92</v>
      </c>
      <c r="F1236" s="799"/>
      <c r="G1236" s="799"/>
      <c r="H1236" s="1592">
        <f t="shared" si="57"/>
        <v>0</v>
      </c>
      <c r="I1236" s="754" t="str">
        <f>IFERROR(VLOOKUP(B1236,Mychart!$A$125:$B$911,2,FALSE),"-")</f>
        <v>ABDULLAH MULLAH</v>
      </c>
      <c r="J1236" s="753">
        <f t="shared" si="58"/>
        <v>10</v>
      </c>
      <c r="K1236" s="1540">
        <f t="shared" si="59"/>
        <v>2024</v>
      </c>
      <c r="L1236" s="757"/>
      <c r="M1236" s="757"/>
      <c r="N1236" s="757"/>
      <c r="O1236" s="757"/>
      <c r="P1236" s="757"/>
      <c r="Q1236" s="757"/>
      <c r="R1236" s="757"/>
      <c r="S1236" s="757"/>
      <c r="T1236" s="757"/>
      <c r="U1236" s="757"/>
      <c r="V1236" s="757"/>
      <c r="W1236" s="757"/>
      <c r="X1236" s="757"/>
      <c r="Y1236" s="757"/>
      <c r="Z1236" s="757"/>
      <c r="AA1236" s="757"/>
      <c r="AB1236" s="757"/>
      <c r="AC1236" s="757"/>
      <c r="AD1236" s="931">
        <v>45601.610914351855</v>
      </c>
      <c r="AE1236" s="757"/>
      <c r="AF1236" s="757"/>
      <c r="AG1236" s="757"/>
      <c r="AH1236" s="757"/>
      <c r="AI1236" s="757"/>
      <c r="AJ1236" s="757"/>
      <c r="AK1236" s="757"/>
      <c r="AL1236" s="757"/>
      <c r="AM1236" s="757"/>
      <c r="AN1236" s="757"/>
      <c r="AO1236" s="757"/>
      <c r="AP1236" s="757"/>
      <c r="AQ1236" s="757"/>
      <c r="AR1236" s="757"/>
      <c r="AS1236" s="757"/>
      <c r="AT1236" s="757"/>
      <c r="AU1236" s="757"/>
      <c r="AV1236" s="757"/>
      <c r="AW1236" s="757"/>
      <c r="AX1236" s="757"/>
      <c r="AY1236" s="757"/>
      <c r="AZ1236" s="75"/>
      <c r="BA1236" s="2"/>
      <c r="BB1236" s="2"/>
      <c r="BC1236" s="2"/>
      <c r="BD1236" s="2"/>
    </row>
    <row r="1237" spans="1:56">
      <c r="A1237" s="781">
        <v>2</v>
      </c>
      <c r="B1237" s="782">
        <v>249</v>
      </c>
      <c r="C1237" s="783">
        <v>45596</v>
      </c>
      <c r="D1237" s="785" t="s">
        <v>5404</v>
      </c>
      <c r="E1237" s="808">
        <v>2673.44</v>
      </c>
      <c r="F1237" s="799"/>
      <c r="G1237" s="799"/>
      <c r="H1237" s="1592">
        <f t="shared" si="57"/>
        <v>0</v>
      </c>
      <c r="I1237" s="754" t="str">
        <f>IFERROR(VLOOKUP(B1237,Mychart!$A$125:$B$911,2,FALSE),"-")</f>
        <v>farouq marzoki</v>
      </c>
      <c r="J1237" s="753">
        <f t="shared" si="58"/>
        <v>10</v>
      </c>
      <c r="K1237" s="1540">
        <f t="shared" si="59"/>
        <v>2024</v>
      </c>
      <c r="L1237" s="757"/>
      <c r="M1237" s="757"/>
      <c r="N1237" s="757"/>
      <c r="O1237" s="757"/>
      <c r="P1237" s="757"/>
      <c r="Q1237" s="757"/>
      <c r="R1237" s="757"/>
      <c r="S1237" s="757"/>
      <c r="T1237" s="757"/>
      <c r="U1237" s="757"/>
      <c r="V1237" s="757"/>
      <c r="W1237" s="757"/>
      <c r="X1237" s="757"/>
      <c r="Y1237" s="757"/>
      <c r="Z1237" s="757"/>
      <c r="AA1237" s="757"/>
      <c r="AB1237" s="757"/>
      <c r="AC1237" s="757"/>
      <c r="AD1237" s="931">
        <v>45601.610914351855</v>
      </c>
      <c r="AE1237" s="757"/>
      <c r="AF1237" s="757"/>
      <c r="AG1237" s="757"/>
      <c r="AH1237" s="757"/>
      <c r="AI1237" s="757"/>
      <c r="AJ1237" s="757"/>
      <c r="AK1237" s="757"/>
      <c r="AL1237" s="757"/>
      <c r="AM1237" s="757"/>
      <c r="AN1237" s="757"/>
      <c r="AO1237" s="757"/>
      <c r="AP1237" s="757"/>
      <c r="AQ1237" s="757"/>
      <c r="AR1237" s="757"/>
      <c r="AS1237" s="757"/>
      <c r="AT1237" s="757"/>
      <c r="AU1237" s="757"/>
      <c r="AV1237" s="757"/>
      <c r="AW1237" s="757"/>
      <c r="AX1237" s="757"/>
      <c r="AY1237" s="757"/>
      <c r="AZ1237" s="75"/>
      <c r="BA1237" s="2"/>
      <c r="BB1237" s="2"/>
      <c r="BC1237" s="2"/>
      <c r="BD1237" s="2"/>
    </row>
    <row r="1238" spans="1:56">
      <c r="A1238" s="781">
        <v>2</v>
      </c>
      <c r="B1238" s="782">
        <v>252</v>
      </c>
      <c r="C1238" s="783">
        <v>45596</v>
      </c>
      <c r="D1238" s="785" t="s">
        <v>5404</v>
      </c>
      <c r="E1238" s="808">
        <v>132.30000000000001</v>
      </c>
      <c r="F1238" s="799"/>
      <c r="G1238" s="799"/>
      <c r="H1238" s="1592">
        <f t="shared" si="57"/>
        <v>0</v>
      </c>
      <c r="I1238" s="754" t="str">
        <f>IFERROR(VLOOKUP(B1238,Mychart!$A$125:$B$911,2,FALSE),"-")</f>
        <v>Mohamed Saif - HBC</v>
      </c>
      <c r="J1238" s="753">
        <f t="shared" si="58"/>
        <v>10</v>
      </c>
      <c r="K1238" s="1540">
        <f t="shared" si="59"/>
        <v>2024</v>
      </c>
      <c r="L1238" s="757"/>
      <c r="M1238" s="757"/>
      <c r="N1238" s="757"/>
      <c r="O1238" s="757"/>
      <c r="P1238" s="757"/>
      <c r="Q1238" s="757"/>
      <c r="R1238" s="757"/>
      <c r="S1238" s="757"/>
      <c r="T1238" s="757"/>
      <c r="U1238" s="757"/>
      <c r="V1238" s="757"/>
      <c r="W1238" s="757"/>
      <c r="X1238" s="757"/>
      <c r="Y1238" s="757"/>
      <c r="Z1238" s="757"/>
      <c r="AA1238" s="757"/>
      <c r="AB1238" s="757"/>
      <c r="AC1238" s="757"/>
      <c r="AD1238" s="931">
        <v>45601.610925925925</v>
      </c>
      <c r="AE1238" s="757"/>
      <c r="AF1238" s="757"/>
      <c r="AG1238" s="757"/>
      <c r="AH1238" s="757"/>
      <c r="AI1238" s="757"/>
      <c r="AJ1238" s="757"/>
      <c r="AK1238" s="757"/>
      <c r="AL1238" s="757"/>
      <c r="AM1238" s="757"/>
      <c r="AN1238" s="757"/>
      <c r="AO1238" s="757"/>
      <c r="AP1238" s="757"/>
      <c r="AQ1238" s="757"/>
      <c r="AR1238" s="757"/>
      <c r="AS1238" s="757"/>
      <c r="AT1238" s="757"/>
      <c r="AU1238" s="757"/>
      <c r="AV1238" s="757"/>
      <c r="AW1238" s="757"/>
      <c r="AX1238" s="757"/>
      <c r="AY1238" s="757"/>
      <c r="AZ1238" s="75"/>
      <c r="BA1238" s="2"/>
      <c r="BB1238" s="2"/>
      <c r="BC1238" s="2"/>
      <c r="BD1238" s="2"/>
    </row>
    <row r="1239" spans="1:56">
      <c r="A1239" s="781">
        <v>2</v>
      </c>
      <c r="B1239" s="782">
        <v>256</v>
      </c>
      <c r="C1239" s="783">
        <v>45596</v>
      </c>
      <c r="D1239" s="785" t="s">
        <v>5404</v>
      </c>
      <c r="E1239" s="808">
        <v>18628.14</v>
      </c>
      <c r="F1239" s="799"/>
      <c r="G1239" s="799"/>
      <c r="H1239" s="1592">
        <f t="shared" si="57"/>
        <v>0</v>
      </c>
      <c r="I1239" s="754" t="str">
        <f>IFERROR(VLOOKUP(B1239,Mychart!$A$125:$B$911,2,FALSE),"-")</f>
        <v>ADNAN DUBAI SKY</v>
      </c>
      <c r="J1239" s="753">
        <f t="shared" si="58"/>
        <v>10</v>
      </c>
      <c r="K1239" s="1540">
        <f t="shared" si="59"/>
        <v>2024</v>
      </c>
      <c r="L1239" s="757"/>
      <c r="M1239" s="757"/>
      <c r="N1239" s="757"/>
      <c r="O1239" s="757"/>
      <c r="P1239" s="757"/>
      <c r="Q1239" s="757"/>
      <c r="R1239" s="757"/>
      <c r="S1239" s="757"/>
      <c r="T1239" s="757"/>
      <c r="U1239" s="757"/>
      <c r="V1239" s="757"/>
      <c r="W1239" s="757"/>
      <c r="X1239" s="757"/>
      <c r="Y1239" s="757"/>
      <c r="Z1239" s="757"/>
      <c r="AA1239" s="757"/>
      <c r="AB1239" s="757"/>
      <c r="AC1239" s="757"/>
      <c r="AD1239" s="931">
        <v>45601.610925925925</v>
      </c>
      <c r="AE1239" s="757"/>
      <c r="AF1239" s="757"/>
      <c r="AG1239" s="757"/>
      <c r="AH1239" s="757"/>
      <c r="AI1239" s="757"/>
      <c r="AJ1239" s="757"/>
      <c r="AK1239" s="757"/>
      <c r="AL1239" s="757"/>
      <c r="AM1239" s="757"/>
      <c r="AN1239" s="757"/>
      <c r="AO1239" s="757"/>
      <c r="AP1239" s="757"/>
      <c r="AQ1239" s="757"/>
      <c r="AR1239" s="757"/>
      <c r="AS1239" s="757"/>
      <c r="AT1239" s="757"/>
      <c r="AU1239" s="757"/>
      <c r="AV1239" s="757"/>
      <c r="AW1239" s="757"/>
      <c r="AX1239" s="757"/>
      <c r="AY1239" s="757"/>
      <c r="AZ1239" s="75"/>
      <c r="BA1239" s="2"/>
      <c r="BB1239" s="2"/>
      <c r="BC1239" s="2"/>
      <c r="BD1239" s="2"/>
    </row>
    <row r="1240" spans="1:56">
      <c r="A1240" s="781">
        <v>2</v>
      </c>
      <c r="B1240" s="782">
        <v>257</v>
      </c>
      <c r="C1240" s="783">
        <v>45596</v>
      </c>
      <c r="D1240" s="785" t="s">
        <v>5404</v>
      </c>
      <c r="E1240" s="808">
        <v>733.43000000000006</v>
      </c>
      <c r="F1240" s="799"/>
      <c r="G1240" s="799"/>
      <c r="H1240" s="1592">
        <f t="shared" si="57"/>
        <v>0</v>
      </c>
      <c r="I1240" s="754" t="str">
        <f>IFERROR(VLOOKUP(B1240,Mychart!$A$125:$B$911,2,FALSE),"-")</f>
        <v>NAAEMA SALEH - ERTIKAZ</v>
      </c>
      <c r="J1240" s="753">
        <f t="shared" si="58"/>
        <v>10</v>
      </c>
      <c r="K1240" s="1540">
        <f t="shared" si="59"/>
        <v>2024</v>
      </c>
      <c r="L1240" s="757"/>
      <c r="M1240" s="757"/>
      <c r="N1240" s="757"/>
      <c r="O1240" s="757"/>
      <c r="P1240" s="757"/>
      <c r="Q1240" s="757"/>
      <c r="R1240" s="757"/>
      <c r="S1240" s="757"/>
      <c r="T1240" s="757"/>
      <c r="U1240" s="757"/>
      <c r="V1240" s="757"/>
      <c r="W1240" s="757"/>
      <c r="X1240" s="757"/>
      <c r="Y1240" s="757"/>
      <c r="Z1240" s="757"/>
      <c r="AA1240" s="757"/>
      <c r="AB1240" s="757"/>
      <c r="AC1240" s="757"/>
      <c r="AD1240" s="931">
        <v>45601.610925925925</v>
      </c>
      <c r="AE1240" s="757"/>
      <c r="AF1240" s="757"/>
      <c r="AG1240" s="757"/>
      <c r="AH1240" s="757"/>
      <c r="AI1240" s="757"/>
      <c r="AJ1240" s="757"/>
      <c r="AK1240" s="757"/>
      <c r="AL1240" s="757"/>
      <c r="AM1240" s="757"/>
      <c r="AN1240" s="757"/>
      <c r="AO1240" s="757"/>
      <c r="AP1240" s="757"/>
      <c r="AQ1240" s="757"/>
      <c r="AR1240" s="757"/>
      <c r="AS1240" s="757"/>
      <c r="AT1240" s="757"/>
      <c r="AU1240" s="757"/>
      <c r="AV1240" s="757"/>
      <c r="AW1240" s="757"/>
      <c r="AX1240" s="757"/>
      <c r="AY1240" s="757"/>
      <c r="AZ1240" s="75"/>
      <c r="BA1240" s="2"/>
      <c r="BB1240" s="2"/>
      <c r="BC1240" s="2"/>
      <c r="BD1240" s="2"/>
    </row>
    <row r="1241" spans="1:56">
      <c r="A1241" s="781">
        <v>2</v>
      </c>
      <c r="B1241" s="782">
        <v>258</v>
      </c>
      <c r="C1241" s="783">
        <v>45596</v>
      </c>
      <c r="D1241" s="785" t="s">
        <v>5404</v>
      </c>
      <c r="E1241" s="808">
        <v>8263.2000000000007</v>
      </c>
      <c r="F1241" s="799"/>
      <c r="G1241" s="799"/>
      <c r="H1241" s="1592">
        <f t="shared" si="57"/>
        <v>0</v>
      </c>
      <c r="I1241" s="754" t="str">
        <f>IFERROR(VLOOKUP(B1241,Mychart!$A$125:$B$911,2,FALSE),"-")</f>
        <v>MAJID ALSHEHY</v>
      </c>
      <c r="J1241" s="753">
        <f t="shared" si="58"/>
        <v>10</v>
      </c>
      <c r="K1241" s="1540">
        <f t="shared" si="59"/>
        <v>2024</v>
      </c>
      <c r="L1241" s="757"/>
      <c r="M1241" s="757"/>
      <c r="N1241" s="757"/>
      <c r="O1241" s="757"/>
      <c r="P1241" s="757"/>
      <c r="Q1241" s="757"/>
      <c r="R1241" s="757"/>
      <c r="S1241" s="757"/>
      <c r="T1241" s="757"/>
      <c r="U1241" s="757"/>
      <c r="V1241" s="757"/>
      <c r="W1241" s="757"/>
      <c r="X1241" s="757"/>
      <c r="Y1241" s="757"/>
      <c r="Z1241" s="757"/>
      <c r="AA1241" s="757"/>
      <c r="AB1241" s="757"/>
      <c r="AC1241" s="757"/>
      <c r="AD1241" s="931">
        <v>45601.610925925925</v>
      </c>
      <c r="AE1241" s="757"/>
      <c r="AF1241" s="757"/>
      <c r="AG1241" s="757"/>
      <c r="AH1241" s="757"/>
      <c r="AI1241" s="757"/>
      <c r="AJ1241" s="757"/>
      <c r="AK1241" s="757"/>
      <c r="AL1241" s="757"/>
      <c r="AM1241" s="757"/>
      <c r="AN1241" s="757"/>
      <c r="AO1241" s="757"/>
      <c r="AP1241" s="757"/>
      <c r="AQ1241" s="757"/>
      <c r="AR1241" s="757"/>
      <c r="AS1241" s="757"/>
      <c r="AT1241" s="757"/>
      <c r="AU1241" s="757"/>
      <c r="AV1241" s="757"/>
      <c r="AW1241" s="757"/>
      <c r="AX1241" s="757"/>
      <c r="AY1241" s="757"/>
      <c r="AZ1241" s="75"/>
      <c r="BA1241" s="2"/>
      <c r="BB1241" s="2"/>
      <c r="BC1241" s="2"/>
      <c r="BD1241" s="2"/>
    </row>
    <row r="1242" spans="1:56">
      <c r="A1242" s="781">
        <v>2</v>
      </c>
      <c r="B1242" s="782">
        <v>261</v>
      </c>
      <c r="C1242" s="783">
        <v>45596</v>
      </c>
      <c r="D1242" s="785" t="s">
        <v>5404</v>
      </c>
      <c r="E1242" s="808">
        <v>2517.69</v>
      </c>
      <c r="F1242" s="799"/>
      <c r="G1242" s="799"/>
      <c r="H1242" s="1592">
        <f t="shared" si="57"/>
        <v>0</v>
      </c>
      <c r="I1242" s="754" t="str">
        <f>IFERROR(VLOOKUP(B1242,Mychart!$A$125:$B$911,2,FALSE),"-")</f>
        <v>AREEFA AREEJ</v>
      </c>
      <c r="J1242" s="753">
        <f t="shared" si="58"/>
        <v>10</v>
      </c>
      <c r="K1242" s="1540">
        <f t="shared" si="59"/>
        <v>2024</v>
      </c>
      <c r="L1242" s="757"/>
      <c r="M1242" s="757"/>
      <c r="N1242" s="757"/>
      <c r="O1242" s="757"/>
      <c r="P1242" s="757"/>
      <c r="Q1242" s="757"/>
      <c r="R1242" s="757"/>
      <c r="S1242" s="757"/>
      <c r="T1242" s="757"/>
      <c r="U1242" s="757"/>
      <c r="V1242" s="757"/>
      <c r="W1242" s="757"/>
      <c r="X1242" s="757"/>
      <c r="Y1242" s="757"/>
      <c r="Z1242" s="757"/>
      <c r="AA1242" s="757"/>
      <c r="AB1242" s="757"/>
      <c r="AC1242" s="757"/>
      <c r="AD1242" s="931">
        <v>45601.610937500001</v>
      </c>
      <c r="AE1242" s="757"/>
      <c r="AF1242" s="757"/>
      <c r="AG1242" s="757"/>
      <c r="AH1242" s="757"/>
      <c r="AI1242" s="757"/>
      <c r="AJ1242" s="757"/>
      <c r="AK1242" s="757"/>
      <c r="AL1242" s="757"/>
      <c r="AM1242" s="757"/>
      <c r="AN1242" s="757"/>
      <c r="AO1242" s="757"/>
      <c r="AP1242" s="757"/>
      <c r="AQ1242" s="757"/>
      <c r="AR1242" s="757"/>
      <c r="AS1242" s="757"/>
      <c r="AT1242" s="757"/>
      <c r="AU1242" s="757"/>
      <c r="AV1242" s="757"/>
      <c r="AW1242" s="757"/>
      <c r="AX1242" s="757"/>
      <c r="AY1242" s="757"/>
      <c r="AZ1242" s="75"/>
      <c r="BA1242" s="2"/>
      <c r="BB1242" s="2"/>
      <c r="BC1242" s="2"/>
      <c r="BD1242" s="2"/>
    </row>
    <row r="1243" spans="1:56">
      <c r="A1243" s="781">
        <v>2</v>
      </c>
      <c r="B1243" s="782">
        <v>264</v>
      </c>
      <c r="C1243" s="783">
        <v>45596</v>
      </c>
      <c r="D1243" s="785" t="s">
        <v>5404</v>
      </c>
      <c r="E1243" s="808">
        <v>4911.0999999999995</v>
      </c>
      <c r="F1243" s="799"/>
      <c r="G1243" s="799"/>
      <c r="H1243" s="1592">
        <f t="shared" si="57"/>
        <v>0</v>
      </c>
      <c r="I1243" s="754" t="str">
        <f>IFERROR(VLOOKUP(B1243,Mychart!$A$125:$B$911,2,FALSE),"-")</f>
        <v>Rashed khalifa abid</v>
      </c>
      <c r="J1243" s="753">
        <f t="shared" si="58"/>
        <v>10</v>
      </c>
      <c r="K1243" s="1540">
        <f t="shared" si="59"/>
        <v>2024</v>
      </c>
      <c r="L1243" s="757"/>
      <c r="M1243" s="757"/>
      <c r="N1243" s="757"/>
      <c r="O1243" s="757"/>
      <c r="P1243" s="757"/>
      <c r="Q1243" s="757"/>
      <c r="R1243" s="757"/>
      <c r="S1243" s="757"/>
      <c r="T1243" s="757"/>
      <c r="U1243" s="757"/>
      <c r="V1243" s="757"/>
      <c r="W1243" s="757"/>
      <c r="X1243" s="757"/>
      <c r="Y1243" s="757"/>
      <c r="Z1243" s="757"/>
      <c r="AA1243" s="757"/>
      <c r="AB1243" s="757"/>
      <c r="AC1243" s="757"/>
      <c r="AD1243" s="931">
        <v>45601.610937500001</v>
      </c>
      <c r="AE1243" s="757"/>
      <c r="AF1243" s="757"/>
      <c r="AG1243" s="757"/>
      <c r="AH1243" s="757"/>
      <c r="AI1243" s="757"/>
      <c r="AJ1243" s="757"/>
      <c r="AK1243" s="757"/>
      <c r="AL1243" s="757"/>
      <c r="AM1243" s="757"/>
      <c r="AN1243" s="757"/>
      <c r="AO1243" s="757"/>
      <c r="AP1243" s="757"/>
      <c r="AQ1243" s="757"/>
      <c r="AR1243" s="757"/>
      <c r="AS1243" s="757"/>
      <c r="AT1243" s="757"/>
      <c r="AU1243" s="757"/>
      <c r="AV1243" s="757"/>
      <c r="AW1243" s="757"/>
      <c r="AX1243" s="757"/>
      <c r="AY1243" s="757"/>
      <c r="AZ1243" s="75"/>
      <c r="BA1243" s="2"/>
      <c r="BB1243" s="2"/>
      <c r="BC1243" s="2"/>
      <c r="BD1243" s="2"/>
    </row>
    <row r="1244" spans="1:56">
      <c r="A1244" s="781">
        <v>2</v>
      </c>
      <c r="B1244" s="782">
        <v>275</v>
      </c>
      <c r="C1244" s="783">
        <v>45596</v>
      </c>
      <c r="D1244" s="785" t="s">
        <v>5404</v>
      </c>
      <c r="E1244" s="808">
        <v>2818.48</v>
      </c>
      <c r="F1244" s="799"/>
      <c r="G1244" s="799"/>
      <c r="H1244" s="1592">
        <f t="shared" si="57"/>
        <v>0</v>
      </c>
      <c r="I1244" s="754" t="str">
        <f>IFERROR(VLOOKUP(B1244,Mychart!$A$125:$B$911,2,FALSE),"-")</f>
        <v>meshaal saqar - irtekaz</v>
      </c>
      <c r="J1244" s="753">
        <f t="shared" si="58"/>
        <v>10</v>
      </c>
      <c r="K1244" s="1540">
        <f t="shared" si="59"/>
        <v>2024</v>
      </c>
      <c r="L1244" s="757"/>
      <c r="M1244" s="757"/>
      <c r="N1244" s="757"/>
      <c r="O1244" s="757"/>
      <c r="P1244" s="757"/>
      <c r="Q1244" s="757"/>
      <c r="R1244" s="757"/>
      <c r="S1244" s="757"/>
      <c r="T1244" s="757"/>
      <c r="U1244" s="757"/>
      <c r="V1244" s="757"/>
      <c r="W1244" s="757"/>
      <c r="X1244" s="757"/>
      <c r="Y1244" s="757"/>
      <c r="Z1244" s="757"/>
      <c r="AA1244" s="757"/>
      <c r="AB1244" s="757"/>
      <c r="AC1244" s="757"/>
      <c r="AD1244" s="931">
        <v>45601.610937500001</v>
      </c>
      <c r="AE1244" s="757"/>
      <c r="AF1244" s="757"/>
      <c r="AG1244" s="757"/>
      <c r="AH1244" s="757"/>
      <c r="AI1244" s="757"/>
      <c r="AJ1244" s="757"/>
      <c r="AK1244" s="757"/>
      <c r="AL1244" s="757"/>
      <c r="AM1244" s="757"/>
      <c r="AN1244" s="757"/>
      <c r="AO1244" s="757"/>
      <c r="AP1244" s="757"/>
      <c r="AQ1244" s="757"/>
      <c r="AR1244" s="757"/>
      <c r="AS1244" s="757"/>
      <c r="AT1244" s="757"/>
      <c r="AU1244" s="757"/>
      <c r="AV1244" s="757"/>
      <c r="AW1244" s="757"/>
      <c r="AX1244" s="757"/>
      <c r="AY1244" s="757"/>
      <c r="AZ1244" s="75"/>
      <c r="BA1244" s="2"/>
      <c r="BB1244" s="2"/>
      <c r="BC1244" s="2"/>
      <c r="BD1244" s="2"/>
    </row>
    <row r="1245" spans="1:56">
      <c r="A1245" s="781">
        <v>2</v>
      </c>
      <c r="B1245" s="782">
        <v>276</v>
      </c>
      <c r="C1245" s="783">
        <v>45596</v>
      </c>
      <c r="D1245" s="785" t="s">
        <v>5404</v>
      </c>
      <c r="E1245" s="808">
        <v>266</v>
      </c>
      <c r="F1245" s="799"/>
      <c r="G1245" s="799"/>
      <c r="H1245" s="1592">
        <f t="shared" si="57"/>
        <v>0</v>
      </c>
      <c r="I1245" s="754" t="str">
        <f>IFERROR(VLOOKUP(B1245,Mychart!$A$125:$B$911,2,FALSE),"-")</f>
        <v>FATMA ESSA ALI</v>
      </c>
      <c r="J1245" s="753">
        <f t="shared" si="58"/>
        <v>10</v>
      </c>
      <c r="K1245" s="1540">
        <f t="shared" si="59"/>
        <v>2024</v>
      </c>
      <c r="L1245" s="757"/>
      <c r="M1245" s="757"/>
      <c r="N1245" s="757"/>
      <c r="O1245" s="757"/>
      <c r="P1245" s="757"/>
      <c r="Q1245" s="757"/>
      <c r="R1245" s="757"/>
      <c r="S1245" s="757"/>
      <c r="T1245" s="757"/>
      <c r="U1245" s="757"/>
      <c r="V1245" s="757"/>
      <c r="W1245" s="757"/>
      <c r="X1245" s="757"/>
      <c r="Y1245" s="757"/>
      <c r="Z1245" s="757"/>
      <c r="AA1245" s="757"/>
      <c r="AB1245" s="757"/>
      <c r="AC1245" s="757"/>
      <c r="AD1245" s="931">
        <v>45601.610949074071</v>
      </c>
      <c r="AE1245" s="757"/>
      <c r="AF1245" s="757"/>
      <c r="AG1245" s="757"/>
      <c r="AH1245" s="757"/>
      <c r="AI1245" s="757"/>
      <c r="AJ1245" s="757"/>
      <c r="AK1245" s="757"/>
      <c r="AL1245" s="757"/>
      <c r="AM1245" s="757"/>
      <c r="AN1245" s="757"/>
      <c r="AO1245" s="757"/>
      <c r="AP1245" s="757"/>
      <c r="AQ1245" s="757"/>
      <c r="AR1245" s="757"/>
      <c r="AS1245" s="757"/>
      <c r="AT1245" s="757"/>
      <c r="AU1245" s="757"/>
      <c r="AV1245" s="757"/>
      <c r="AW1245" s="757"/>
      <c r="AX1245" s="757"/>
      <c r="AY1245" s="757"/>
      <c r="AZ1245" s="75"/>
      <c r="BA1245" s="2"/>
      <c r="BB1245" s="2"/>
      <c r="BC1245" s="2"/>
      <c r="BD1245" s="2"/>
    </row>
    <row r="1246" spans="1:56">
      <c r="A1246" s="781">
        <v>2</v>
      </c>
      <c r="B1246" s="782">
        <v>277</v>
      </c>
      <c r="C1246" s="783">
        <v>45596</v>
      </c>
      <c r="D1246" s="785" t="s">
        <v>5404</v>
      </c>
      <c r="E1246" s="808">
        <v>5165</v>
      </c>
      <c r="F1246" s="799"/>
      <c r="G1246" s="799"/>
      <c r="H1246" s="1592">
        <f t="shared" si="57"/>
        <v>0</v>
      </c>
      <c r="I1246" s="754" t="str">
        <f>IFERROR(VLOOKUP(B1246,Mychart!$A$125:$B$911,2,FALSE),"-")</f>
        <v>ABDULRHMAN ESSA ALI</v>
      </c>
      <c r="J1246" s="753">
        <f t="shared" si="58"/>
        <v>10</v>
      </c>
      <c r="K1246" s="1540">
        <f t="shared" si="59"/>
        <v>2024</v>
      </c>
      <c r="L1246" s="757"/>
      <c r="M1246" s="757"/>
      <c r="N1246" s="757"/>
      <c r="O1246" s="757"/>
      <c r="P1246" s="757"/>
      <c r="Q1246" s="757"/>
      <c r="R1246" s="757"/>
      <c r="S1246" s="757"/>
      <c r="T1246" s="757"/>
      <c r="U1246" s="757"/>
      <c r="V1246" s="757"/>
      <c r="W1246" s="757"/>
      <c r="X1246" s="757"/>
      <c r="Y1246" s="757"/>
      <c r="Z1246" s="757"/>
      <c r="AA1246" s="757"/>
      <c r="AB1246" s="757"/>
      <c r="AC1246" s="757"/>
      <c r="AD1246" s="931">
        <v>45601.610949074071</v>
      </c>
      <c r="AE1246" s="757"/>
      <c r="AF1246" s="757"/>
      <c r="AG1246" s="757"/>
      <c r="AH1246" s="757"/>
      <c r="AI1246" s="757"/>
      <c r="AJ1246" s="757"/>
      <c r="AK1246" s="757"/>
      <c r="AL1246" s="757"/>
      <c r="AM1246" s="757"/>
      <c r="AN1246" s="757"/>
      <c r="AO1246" s="757"/>
      <c r="AP1246" s="757"/>
      <c r="AQ1246" s="757"/>
      <c r="AR1246" s="757"/>
      <c r="AS1246" s="757"/>
      <c r="AT1246" s="757"/>
      <c r="AU1246" s="757"/>
      <c r="AV1246" s="757"/>
      <c r="AW1246" s="757"/>
      <c r="AX1246" s="757"/>
      <c r="AY1246" s="757"/>
      <c r="AZ1246" s="75"/>
      <c r="BA1246" s="2"/>
      <c r="BB1246" s="2"/>
      <c r="BC1246" s="2"/>
      <c r="BD1246" s="2"/>
    </row>
    <row r="1247" spans="1:56">
      <c r="A1247" s="781">
        <v>2</v>
      </c>
      <c r="B1247" s="782">
        <v>279</v>
      </c>
      <c r="C1247" s="783">
        <v>45596</v>
      </c>
      <c r="D1247" s="785" t="s">
        <v>5404</v>
      </c>
      <c r="E1247" s="808">
        <v>4564.13</v>
      </c>
      <c r="F1247" s="799"/>
      <c r="G1247" s="799"/>
      <c r="H1247" s="1592"/>
      <c r="I1247" s="754" t="str">
        <f>IFERROR(VLOOKUP(B1247,Mychart!$A$125:$B$911,2,FALSE),"-")</f>
        <v>Shams Saeed Sultan AL Kitbee</v>
      </c>
      <c r="J1247" s="753">
        <f t="shared" si="58"/>
        <v>10</v>
      </c>
      <c r="K1247" s="1540">
        <f t="shared" si="59"/>
        <v>2024</v>
      </c>
      <c r="L1247" s="757"/>
      <c r="M1247" s="757"/>
      <c r="N1247" s="757"/>
      <c r="O1247" s="757"/>
      <c r="P1247" s="757"/>
      <c r="Q1247" s="757"/>
      <c r="R1247" s="757"/>
      <c r="S1247" s="757"/>
      <c r="T1247" s="757"/>
      <c r="U1247" s="757"/>
      <c r="V1247" s="757"/>
      <c r="W1247" s="757"/>
      <c r="X1247" s="757"/>
      <c r="Y1247" s="757"/>
      <c r="Z1247" s="757"/>
      <c r="AA1247" s="757"/>
      <c r="AB1247" s="757"/>
      <c r="AC1247" s="757"/>
      <c r="AD1247" s="931">
        <v>45601.610949074071</v>
      </c>
      <c r="AE1247" s="757"/>
      <c r="AF1247" s="757"/>
      <c r="AG1247" s="757"/>
      <c r="AH1247" s="757"/>
      <c r="AI1247" s="757"/>
      <c r="AJ1247" s="757"/>
      <c r="AK1247" s="757"/>
      <c r="AL1247" s="757"/>
      <c r="AM1247" s="757"/>
      <c r="AN1247" s="757"/>
      <c r="AO1247" s="757"/>
      <c r="AP1247" s="757"/>
      <c r="AQ1247" s="757"/>
      <c r="AR1247" s="757"/>
      <c r="AS1247" s="757"/>
      <c r="AT1247" s="757"/>
      <c r="AU1247" s="757"/>
      <c r="AV1247" s="757"/>
      <c r="AW1247" s="757"/>
      <c r="AX1247" s="757"/>
      <c r="AY1247" s="757"/>
      <c r="AZ1247" s="75"/>
      <c r="BA1247" s="2"/>
      <c r="BB1247" s="2"/>
      <c r="BC1247" s="2"/>
      <c r="BD1247" s="2"/>
    </row>
    <row r="1248" spans="1:56">
      <c r="A1248" s="781">
        <v>2</v>
      </c>
      <c r="B1248" s="782">
        <v>282</v>
      </c>
      <c r="C1248" s="783">
        <v>45596</v>
      </c>
      <c r="D1248" s="785" t="s">
        <v>5404</v>
      </c>
      <c r="E1248" s="808">
        <v>206.98</v>
      </c>
      <c r="F1248" s="799"/>
      <c r="G1248" s="799"/>
      <c r="H1248" s="1592"/>
      <c r="I1248" s="754" t="str">
        <f>IFERROR(VLOOKUP(B1248,Mychart!$A$125:$B$911,2,FALSE),"-")</f>
        <v>Omar Yousuf Mohamed Al Hajji Al Falasi</v>
      </c>
      <c r="J1248" s="753">
        <f t="shared" si="58"/>
        <v>10</v>
      </c>
      <c r="K1248" s="1540">
        <f t="shared" si="59"/>
        <v>2024</v>
      </c>
      <c r="L1248" s="757"/>
      <c r="M1248" s="757"/>
      <c r="N1248" s="757"/>
      <c r="O1248" s="757"/>
      <c r="P1248" s="757"/>
      <c r="Q1248" s="757"/>
      <c r="R1248" s="757"/>
      <c r="S1248" s="757"/>
      <c r="T1248" s="757"/>
      <c r="U1248" s="757"/>
      <c r="V1248" s="757"/>
      <c r="W1248" s="757"/>
      <c r="X1248" s="757"/>
      <c r="Y1248" s="757"/>
      <c r="Z1248" s="757"/>
      <c r="AA1248" s="757"/>
      <c r="AB1248" s="757"/>
      <c r="AC1248" s="757"/>
      <c r="AD1248" s="931">
        <v>45601.610949074071</v>
      </c>
      <c r="AE1248" s="757"/>
      <c r="AF1248" s="757"/>
      <c r="AG1248" s="757"/>
      <c r="AH1248" s="757"/>
      <c r="AI1248" s="757"/>
      <c r="AJ1248" s="757"/>
      <c r="AK1248" s="757"/>
      <c r="AL1248" s="757"/>
      <c r="AM1248" s="757"/>
      <c r="AN1248" s="757"/>
      <c r="AO1248" s="757"/>
      <c r="AP1248" s="757"/>
      <c r="AQ1248" s="757"/>
      <c r="AR1248" s="757"/>
      <c r="AS1248" s="757"/>
      <c r="AT1248" s="757"/>
      <c r="AU1248" s="757"/>
      <c r="AV1248" s="757"/>
      <c r="AW1248" s="757"/>
      <c r="AX1248" s="757"/>
      <c r="AY1248" s="757"/>
      <c r="AZ1248" s="75"/>
      <c r="BA1248" s="2"/>
      <c r="BB1248" s="2"/>
      <c r="BC1248" s="2"/>
      <c r="BD1248" s="2"/>
    </row>
    <row r="1249" spans="1:56">
      <c r="A1249" s="781">
        <v>2</v>
      </c>
      <c r="B1249" s="782">
        <v>286</v>
      </c>
      <c r="C1249" s="783">
        <v>45596</v>
      </c>
      <c r="D1249" s="785" t="s">
        <v>5404</v>
      </c>
      <c r="E1249" s="808">
        <v>51.53</v>
      </c>
      <c r="F1249" s="799"/>
      <c r="G1249" s="799"/>
      <c r="H1249" s="1592"/>
      <c r="I1249" s="754" t="str">
        <f>IFERROR(VLOOKUP(B1249,Mychart!$A$125:$B$911,2,FALSE),"-")</f>
        <v>Omar Mohamed Abdullah Ahli</v>
      </c>
      <c r="J1249" s="753">
        <f t="shared" si="58"/>
        <v>10</v>
      </c>
      <c r="K1249" s="1540">
        <f t="shared" si="59"/>
        <v>2024</v>
      </c>
      <c r="L1249" s="757"/>
      <c r="M1249" s="757"/>
      <c r="N1249" s="757"/>
      <c r="O1249" s="757"/>
      <c r="P1249" s="757"/>
      <c r="Q1249" s="757"/>
      <c r="R1249" s="757"/>
      <c r="S1249" s="757"/>
      <c r="T1249" s="757"/>
      <c r="U1249" s="757"/>
      <c r="V1249" s="757"/>
      <c r="W1249" s="757"/>
      <c r="X1249" s="757"/>
      <c r="Y1249" s="757"/>
      <c r="Z1249" s="757"/>
      <c r="AA1249" s="757"/>
      <c r="AB1249" s="757"/>
      <c r="AC1249" s="757"/>
      <c r="AD1249" s="931">
        <v>45601.610960648148</v>
      </c>
      <c r="AE1249" s="757"/>
      <c r="AF1249" s="757"/>
      <c r="AG1249" s="757"/>
      <c r="AH1249" s="757"/>
      <c r="AI1249" s="757"/>
      <c r="AJ1249" s="757"/>
      <c r="AK1249" s="757"/>
      <c r="AL1249" s="757"/>
      <c r="AM1249" s="757"/>
      <c r="AN1249" s="757"/>
      <c r="AO1249" s="757"/>
      <c r="AP1249" s="757"/>
      <c r="AQ1249" s="757"/>
      <c r="AR1249" s="757"/>
      <c r="AS1249" s="757"/>
      <c r="AT1249" s="757"/>
      <c r="AU1249" s="757"/>
      <c r="AV1249" s="757"/>
      <c r="AW1249" s="757"/>
      <c r="AX1249" s="757"/>
      <c r="AY1249" s="757"/>
      <c r="AZ1249" s="75"/>
      <c r="BA1249" s="2"/>
      <c r="BB1249" s="2"/>
      <c r="BC1249" s="2"/>
      <c r="BD1249" s="2"/>
    </row>
    <row r="1250" spans="1:56">
      <c r="A1250" s="781">
        <v>2</v>
      </c>
      <c r="B1250" s="782">
        <v>225</v>
      </c>
      <c r="C1250" s="783">
        <v>45588</v>
      </c>
      <c r="D1250" s="785" t="s">
        <v>5424</v>
      </c>
      <c r="E1250" s="808">
        <v>4299.96</v>
      </c>
      <c r="F1250" s="799"/>
      <c r="G1250" s="799"/>
      <c r="H1250" s="1592"/>
      <c r="I1250" s="754" t="str">
        <f>IFERROR(VLOOKUP(B1250,Mychart!$A$125:$B$911,2,FALSE),"-")</f>
        <v>HESSA BELOSHI</v>
      </c>
      <c r="J1250" s="753">
        <f t="shared" si="58"/>
        <v>10</v>
      </c>
      <c r="K1250" s="1540">
        <f t="shared" si="59"/>
        <v>2024</v>
      </c>
      <c r="L1250" s="757"/>
      <c r="M1250" s="757"/>
      <c r="N1250" s="757"/>
      <c r="O1250" s="757"/>
      <c r="P1250" s="757"/>
      <c r="Q1250" s="757"/>
      <c r="R1250" s="757"/>
      <c r="S1250" s="757"/>
      <c r="T1250" s="757"/>
      <c r="U1250" s="757"/>
      <c r="V1250" s="757"/>
      <c r="W1250" s="757"/>
      <c r="X1250" s="757"/>
      <c r="Y1250" s="757"/>
      <c r="Z1250" s="757"/>
      <c r="AA1250" s="757"/>
      <c r="AB1250" s="757"/>
      <c r="AC1250" s="757"/>
      <c r="AD1250" s="931">
        <v>45602.398472222223</v>
      </c>
      <c r="AE1250" s="757"/>
      <c r="AF1250" s="757"/>
      <c r="AG1250" s="757"/>
      <c r="AH1250" s="757"/>
      <c r="AI1250" s="757"/>
      <c r="AJ1250" s="757"/>
      <c r="AK1250" s="757"/>
      <c r="AL1250" s="757"/>
      <c r="AM1250" s="757"/>
      <c r="AN1250" s="757"/>
      <c r="AO1250" s="757"/>
      <c r="AP1250" s="757"/>
      <c r="AQ1250" s="757"/>
      <c r="AR1250" s="757"/>
      <c r="AS1250" s="757"/>
      <c r="AT1250" s="757"/>
      <c r="AU1250" s="757"/>
      <c r="AV1250" s="757"/>
      <c r="AW1250" s="757"/>
      <c r="AX1250" s="757"/>
      <c r="AY1250" s="757"/>
      <c r="AZ1250" s="75"/>
      <c r="BA1250" s="2"/>
      <c r="BB1250" s="2"/>
      <c r="BC1250" s="2"/>
      <c r="BD1250" s="2"/>
    </row>
    <row r="1251" spans="1:56">
      <c r="A1251" s="781">
        <v>2</v>
      </c>
      <c r="B1251" s="782">
        <v>225</v>
      </c>
      <c r="C1251" s="783">
        <v>45588</v>
      </c>
      <c r="D1251" s="785" t="s">
        <v>5425</v>
      </c>
      <c r="E1251" s="808">
        <v>462</v>
      </c>
      <c r="F1251" s="799"/>
      <c r="G1251" s="799"/>
      <c r="H1251" s="1592"/>
      <c r="I1251" s="754" t="str">
        <f>IFERROR(VLOOKUP(B1251,Mychart!$A$125:$B$911,2,FALSE),"-")</f>
        <v>HESSA BELOSHI</v>
      </c>
      <c r="J1251" s="753">
        <f t="shared" si="58"/>
        <v>10</v>
      </c>
      <c r="K1251" s="1540">
        <f t="shared" si="59"/>
        <v>2024</v>
      </c>
      <c r="L1251" s="757"/>
      <c r="M1251" s="757"/>
      <c r="N1251" s="757"/>
      <c r="O1251" s="757"/>
      <c r="P1251" s="757"/>
      <c r="Q1251" s="757"/>
      <c r="R1251" s="757"/>
      <c r="S1251" s="757"/>
      <c r="T1251" s="757"/>
      <c r="U1251" s="757"/>
      <c r="V1251" s="757"/>
      <c r="W1251" s="757"/>
      <c r="X1251" s="757"/>
      <c r="Y1251" s="757"/>
      <c r="Z1251" s="757"/>
      <c r="AA1251" s="757"/>
      <c r="AB1251" s="757"/>
      <c r="AC1251" s="757"/>
      <c r="AD1251" s="931">
        <v>45602.398472222223</v>
      </c>
      <c r="AE1251" s="757"/>
      <c r="AF1251" s="757"/>
      <c r="AG1251" s="757"/>
      <c r="AH1251" s="757"/>
      <c r="AI1251" s="757"/>
      <c r="AJ1251" s="757"/>
      <c r="AK1251" s="757"/>
      <c r="AL1251" s="757"/>
      <c r="AM1251" s="757"/>
      <c r="AN1251" s="757"/>
      <c r="AO1251" s="757"/>
      <c r="AP1251" s="757"/>
      <c r="AQ1251" s="757"/>
      <c r="AR1251" s="757"/>
      <c r="AS1251" s="757"/>
      <c r="AT1251" s="757"/>
      <c r="AU1251" s="757"/>
      <c r="AV1251" s="757"/>
      <c r="AW1251" s="757"/>
      <c r="AX1251" s="757"/>
      <c r="AY1251" s="757"/>
      <c r="AZ1251" s="75"/>
      <c r="BA1251" s="2"/>
      <c r="BB1251" s="2"/>
      <c r="BC1251" s="2"/>
      <c r="BD1251" s="2"/>
    </row>
    <row r="1252" spans="1:56">
      <c r="A1252" s="781">
        <v>1</v>
      </c>
      <c r="B1252" s="782">
        <v>290</v>
      </c>
      <c r="C1252" s="783">
        <v>45600</v>
      </c>
      <c r="D1252" s="785" t="s">
        <v>5443</v>
      </c>
      <c r="E1252" s="808"/>
      <c r="F1252" s="799">
        <v>13500</v>
      </c>
      <c r="G1252" s="799">
        <v>675</v>
      </c>
      <c r="H1252" s="1592">
        <v>14175</v>
      </c>
      <c r="I1252" s="754" t="str">
        <f>IFERROR(VLOOKUP(B1252,Mychart!$A$125:$B$911,2,FALSE),"-")</f>
        <v>Ali Hassan Mohammed Ali AlShammar</v>
      </c>
      <c r="J1252" s="753">
        <f t="shared" ref="J1252:J1257" si="60">IF(C1252&lt;&gt;"", MONTH(C1252),"-")</f>
        <v>11</v>
      </c>
      <c r="K1252" s="1540">
        <f t="shared" ref="K1252:K1265" si="61">YEAR(C1252)</f>
        <v>2024</v>
      </c>
      <c r="L1252" s="757"/>
      <c r="M1252" s="757"/>
      <c r="N1252" s="757"/>
      <c r="O1252" s="757"/>
      <c r="P1252" s="757"/>
      <c r="Q1252" s="757"/>
      <c r="R1252" s="757"/>
      <c r="S1252" s="757"/>
      <c r="T1252" s="757"/>
      <c r="U1252" s="757"/>
      <c r="V1252" s="757"/>
      <c r="W1252" s="757"/>
      <c r="X1252" s="757"/>
      <c r="Y1252" s="757"/>
      <c r="Z1252" s="757"/>
      <c r="AA1252" s="757"/>
      <c r="AB1252" s="757"/>
      <c r="AC1252" s="757"/>
      <c r="AD1252" s="931">
        <v>45602.41138888889</v>
      </c>
      <c r="AE1252" s="757"/>
      <c r="AF1252" s="757"/>
      <c r="AG1252" s="757"/>
      <c r="AH1252" s="757"/>
      <c r="AI1252" s="757"/>
      <c r="AJ1252" s="757"/>
      <c r="AK1252" s="757"/>
      <c r="AL1252" s="757"/>
      <c r="AM1252" s="757"/>
      <c r="AN1252" s="757"/>
      <c r="AO1252" s="757"/>
      <c r="AP1252" s="757"/>
      <c r="AQ1252" s="757"/>
      <c r="AR1252" s="757"/>
      <c r="AS1252" s="757"/>
      <c r="AT1252" s="757"/>
      <c r="AU1252" s="757"/>
      <c r="AV1252" s="757"/>
      <c r="AW1252" s="757"/>
      <c r="AX1252" s="757"/>
      <c r="AY1252" s="757"/>
      <c r="AZ1252" s="75"/>
      <c r="BA1252" s="2"/>
      <c r="BB1252" s="2"/>
      <c r="BC1252" s="2"/>
      <c r="BD1252" s="2"/>
    </row>
    <row r="1253" spans="1:56">
      <c r="A1253" s="781">
        <v>1</v>
      </c>
      <c r="B1253" s="782">
        <v>291</v>
      </c>
      <c r="C1253" s="783">
        <v>45600</v>
      </c>
      <c r="D1253" s="785" t="s">
        <v>5442</v>
      </c>
      <c r="E1253" s="808"/>
      <c r="F1253" s="799">
        <v>34000</v>
      </c>
      <c r="G1253" s="799">
        <v>1700</v>
      </c>
      <c r="H1253" s="1592">
        <v>35700</v>
      </c>
      <c r="I1253" s="754" t="str">
        <f>IFERROR(VLOOKUP(B1253,Mychart!$A$125:$B$911,2,FALSE),"-")</f>
        <v>OBAID NASSER OBAID MAHMOOD ASHOOR</v>
      </c>
      <c r="J1253" s="753">
        <f t="shared" si="60"/>
        <v>11</v>
      </c>
      <c r="K1253" s="1540">
        <f t="shared" si="61"/>
        <v>2024</v>
      </c>
      <c r="L1253" s="757"/>
      <c r="M1253" s="757"/>
      <c r="N1253" s="757"/>
      <c r="O1253" s="757"/>
      <c r="P1253" s="757"/>
      <c r="Q1253" s="757"/>
      <c r="R1253" s="757"/>
      <c r="S1253" s="757"/>
      <c r="T1253" s="757"/>
      <c r="U1253" s="757"/>
      <c r="V1253" s="757"/>
      <c r="W1253" s="757"/>
      <c r="X1253" s="757"/>
      <c r="Y1253" s="757"/>
      <c r="Z1253" s="757"/>
      <c r="AA1253" s="757"/>
      <c r="AB1253" s="757"/>
      <c r="AC1253" s="757"/>
      <c r="AD1253" s="931">
        <v>45602.411400462966</v>
      </c>
      <c r="AE1253" s="757"/>
      <c r="AF1253" s="757"/>
      <c r="AG1253" s="757"/>
      <c r="AH1253" s="757"/>
      <c r="AI1253" s="757"/>
      <c r="AJ1253" s="757"/>
      <c r="AK1253" s="757"/>
      <c r="AL1253" s="757"/>
      <c r="AM1253" s="757"/>
      <c r="AN1253" s="757"/>
      <c r="AO1253" s="757"/>
      <c r="AP1253" s="757"/>
      <c r="AQ1253" s="757"/>
      <c r="AR1253" s="757"/>
      <c r="AS1253" s="757"/>
      <c r="AT1253" s="757"/>
      <c r="AU1253" s="757"/>
      <c r="AV1253" s="757"/>
      <c r="AW1253" s="757"/>
      <c r="AX1253" s="757"/>
      <c r="AY1253" s="757"/>
      <c r="AZ1253" s="75"/>
      <c r="BA1253" s="2"/>
      <c r="BB1253" s="2"/>
      <c r="BC1253" s="2"/>
      <c r="BD1253" s="2"/>
    </row>
    <row r="1254" spans="1:56">
      <c r="A1254" s="781">
        <v>2</v>
      </c>
      <c r="B1254" s="782">
        <v>264</v>
      </c>
      <c r="C1254" s="783">
        <v>45593</v>
      </c>
      <c r="D1254" s="785" t="s">
        <v>5455</v>
      </c>
      <c r="E1254" s="808">
        <v>6760</v>
      </c>
      <c r="F1254" s="799"/>
      <c r="G1254" s="799"/>
      <c r="H1254" s="1592"/>
      <c r="I1254" s="754" t="str">
        <f>IFERROR(VLOOKUP(B1254,Mychart!$A$125:$B$911,2,FALSE),"-")</f>
        <v>Rashed khalifa abid</v>
      </c>
      <c r="J1254" s="753">
        <f t="shared" si="60"/>
        <v>10</v>
      </c>
      <c r="K1254" s="1540">
        <f t="shared" si="61"/>
        <v>2024</v>
      </c>
      <c r="L1254" s="757"/>
      <c r="M1254" s="757"/>
      <c r="N1254" s="757"/>
      <c r="O1254" s="757"/>
      <c r="P1254" s="757"/>
      <c r="Q1254" s="757"/>
      <c r="R1254" s="757"/>
      <c r="S1254" s="757"/>
      <c r="T1254" s="757"/>
      <c r="U1254" s="757"/>
      <c r="V1254" s="757"/>
      <c r="W1254" s="757"/>
      <c r="X1254" s="757"/>
      <c r="Y1254" s="757"/>
      <c r="Z1254" s="757"/>
      <c r="AA1254" s="757"/>
      <c r="AB1254" s="757"/>
      <c r="AC1254" s="757"/>
      <c r="AD1254" s="931">
        <v>45602.434641203705</v>
      </c>
      <c r="AE1254" s="757"/>
      <c r="AF1254" s="757"/>
      <c r="AG1254" s="757"/>
      <c r="AH1254" s="757"/>
      <c r="AI1254" s="757"/>
      <c r="AJ1254" s="757"/>
      <c r="AK1254" s="757"/>
      <c r="AL1254" s="757"/>
      <c r="AM1254" s="757"/>
      <c r="AN1254" s="757"/>
      <c r="AO1254" s="757"/>
      <c r="AP1254" s="757"/>
      <c r="AQ1254" s="757"/>
      <c r="AR1254" s="757"/>
      <c r="AS1254" s="757"/>
      <c r="AT1254" s="757"/>
      <c r="AU1254" s="757"/>
      <c r="AV1254" s="757"/>
      <c r="AW1254" s="757"/>
      <c r="AX1254" s="757"/>
      <c r="AY1254" s="757"/>
      <c r="AZ1254" s="75"/>
      <c r="BA1254" s="2"/>
      <c r="BB1254" s="2"/>
      <c r="BC1254" s="2"/>
      <c r="BD1254" s="2"/>
    </row>
    <row r="1255" spans="1:56">
      <c r="A1255" s="781">
        <v>2</v>
      </c>
      <c r="B1255" s="782">
        <v>276</v>
      </c>
      <c r="C1255" s="783">
        <v>45597</v>
      </c>
      <c r="D1255" s="785" t="s">
        <v>5457</v>
      </c>
      <c r="E1255" s="808">
        <v>3881.54</v>
      </c>
      <c r="F1255" s="799"/>
      <c r="G1255" s="799"/>
      <c r="H1255" s="1592"/>
      <c r="I1255" s="754" t="str">
        <f>IFERROR(VLOOKUP(B1255,Mychart!$A$125:$B$911,2,FALSE),"-")</f>
        <v>FATMA ESSA ALI</v>
      </c>
      <c r="J1255" s="753">
        <f t="shared" si="60"/>
        <v>11</v>
      </c>
      <c r="K1255" s="1540">
        <f t="shared" si="61"/>
        <v>2024</v>
      </c>
      <c r="L1255" s="757"/>
      <c r="M1255" s="757"/>
      <c r="N1255" s="757"/>
      <c r="O1255" s="757"/>
      <c r="P1255" s="757"/>
      <c r="Q1255" s="757"/>
      <c r="R1255" s="757"/>
      <c r="S1255" s="757"/>
      <c r="T1255" s="757"/>
      <c r="U1255" s="757"/>
      <c r="V1255" s="757"/>
      <c r="W1255" s="757"/>
      <c r="X1255" s="757"/>
      <c r="Y1255" s="757"/>
      <c r="Z1255" s="757"/>
      <c r="AA1255" s="757"/>
      <c r="AB1255" s="757"/>
      <c r="AC1255" s="757"/>
      <c r="AD1255" s="931">
        <v>45602.434641203705</v>
      </c>
      <c r="AE1255" s="757"/>
      <c r="AF1255" s="757"/>
      <c r="AG1255" s="757"/>
      <c r="AH1255" s="757"/>
      <c r="AI1255" s="757"/>
      <c r="AJ1255" s="757"/>
      <c r="AK1255" s="757"/>
      <c r="AL1255" s="757"/>
      <c r="AM1255" s="757"/>
      <c r="AN1255" s="757"/>
      <c r="AO1255" s="757"/>
      <c r="AP1255" s="757"/>
      <c r="AQ1255" s="757"/>
      <c r="AR1255" s="757"/>
      <c r="AS1255" s="757"/>
      <c r="AT1255" s="757"/>
      <c r="AU1255" s="757"/>
      <c r="AV1255" s="757"/>
      <c r="AW1255" s="757"/>
      <c r="AX1255" s="757"/>
      <c r="AY1255" s="757"/>
      <c r="AZ1255" s="75"/>
      <c r="BA1255" s="2"/>
      <c r="BB1255" s="2"/>
      <c r="BC1255" s="2"/>
      <c r="BD1255" s="2"/>
    </row>
    <row r="1256" spans="1:56">
      <c r="A1256" s="781">
        <v>2</v>
      </c>
      <c r="B1256" s="782">
        <v>279</v>
      </c>
      <c r="C1256" s="783">
        <v>45581</v>
      </c>
      <c r="D1256" s="785" t="s">
        <v>5523</v>
      </c>
      <c r="E1256" s="808">
        <v>20244</v>
      </c>
      <c r="F1256" s="799"/>
      <c r="G1256" s="799"/>
      <c r="H1256" s="1592"/>
      <c r="I1256" s="754" t="str">
        <f>IFERROR(VLOOKUP(B1256,Mychart!$A$125:$B$911,2,FALSE),"-")</f>
        <v>Shams Saeed Sultan AL Kitbee</v>
      </c>
      <c r="J1256" s="753">
        <f t="shared" si="60"/>
        <v>10</v>
      </c>
      <c r="K1256" s="1540">
        <f t="shared" si="61"/>
        <v>2024</v>
      </c>
      <c r="L1256" s="757"/>
      <c r="M1256" s="757"/>
      <c r="N1256" s="757"/>
      <c r="O1256" s="757"/>
      <c r="P1256" s="757"/>
      <c r="Q1256" s="757"/>
      <c r="R1256" s="757"/>
      <c r="S1256" s="757"/>
      <c r="T1256" s="757"/>
      <c r="U1256" s="757"/>
      <c r="V1256" s="757"/>
      <c r="W1256" s="757"/>
      <c r="X1256" s="757"/>
      <c r="Y1256" s="757"/>
      <c r="Z1256" s="757"/>
      <c r="AA1256" s="757"/>
      <c r="AB1256" s="757"/>
      <c r="AC1256" s="757"/>
      <c r="AD1256" s="931">
        <v>45607.437326388892</v>
      </c>
      <c r="AE1256" s="757"/>
      <c r="AF1256" s="757"/>
      <c r="AG1256" s="757"/>
      <c r="AH1256" s="757"/>
      <c r="AI1256" s="757"/>
      <c r="AJ1256" s="757"/>
      <c r="AK1256" s="757"/>
      <c r="AL1256" s="757"/>
      <c r="AM1256" s="757"/>
      <c r="AN1256" s="757"/>
      <c r="AO1256" s="757"/>
      <c r="AP1256" s="757"/>
      <c r="AQ1256" s="757"/>
      <c r="AR1256" s="757"/>
      <c r="AS1256" s="757"/>
      <c r="AT1256" s="757"/>
      <c r="AU1256" s="757"/>
      <c r="AV1256" s="757"/>
      <c r="AW1256" s="757"/>
      <c r="AX1256" s="757"/>
      <c r="AY1256" s="757"/>
      <c r="AZ1256" s="75"/>
      <c r="BA1256" s="2"/>
      <c r="BB1256" s="2"/>
      <c r="BC1256" s="2"/>
      <c r="BD1256" s="2"/>
    </row>
    <row r="1257" spans="1:56">
      <c r="A1257" s="781">
        <v>2</v>
      </c>
      <c r="B1257" s="782">
        <v>257</v>
      </c>
      <c r="C1257" s="783">
        <v>45605</v>
      </c>
      <c r="D1257" s="785" t="s">
        <v>5614</v>
      </c>
      <c r="E1257" s="808">
        <v>6200.6399999999994</v>
      </c>
      <c r="F1257" s="799"/>
      <c r="G1257" s="799"/>
      <c r="H1257" s="1592"/>
      <c r="I1257" s="754" t="str">
        <f>IFERROR(VLOOKUP(B1257,Mychart!$A$125:$B$911,2,FALSE),"-")</f>
        <v>NAAEMA SALEH - ERTIKAZ</v>
      </c>
      <c r="J1257" s="753">
        <f t="shared" si="60"/>
        <v>11</v>
      </c>
      <c r="K1257" s="1540">
        <f t="shared" si="61"/>
        <v>2024</v>
      </c>
      <c r="L1257" s="757"/>
      <c r="M1257" s="757"/>
      <c r="N1257" s="757"/>
      <c r="O1257" s="757"/>
      <c r="P1257" s="757"/>
      <c r="Q1257" s="757"/>
      <c r="R1257" s="757"/>
      <c r="S1257" s="757"/>
      <c r="T1257" s="757"/>
      <c r="U1257" s="757"/>
      <c r="V1257" s="757"/>
      <c r="W1257" s="757"/>
      <c r="X1257" s="757"/>
      <c r="Y1257" s="757"/>
      <c r="Z1257" s="757"/>
      <c r="AA1257" s="757"/>
      <c r="AB1257" s="757"/>
      <c r="AC1257" s="757"/>
      <c r="AD1257" s="931">
        <v>45613.42050925926</v>
      </c>
      <c r="AE1257" s="757"/>
      <c r="AF1257" s="757"/>
      <c r="AG1257" s="757"/>
      <c r="AH1257" s="757"/>
      <c r="AI1257" s="757"/>
      <c r="AJ1257" s="757"/>
      <c r="AK1257" s="757"/>
      <c r="AL1257" s="757"/>
      <c r="AM1257" s="757"/>
      <c r="AN1257" s="757"/>
      <c r="AO1257" s="757"/>
      <c r="AP1257" s="757"/>
      <c r="AQ1257" s="757"/>
      <c r="AR1257" s="757"/>
      <c r="AS1257" s="757"/>
      <c r="AT1257" s="757"/>
      <c r="AU1257" s="757"/>
      <c r="AV1257" s="757"/>
      <c r="AW1257" s="757"/>
      <c r="AX1257" s="757"/>
      <c r="AY1257" s="757"/>
      <c r="AZ1257" s="75"/>
      <c r="BA1257" s="2"/>
      <c r="BB1257" s="2"/>
      <c r="BC1257" s="2"/>
      <c r="BD1257" s="2"/>
    </row>
    <row r="1258" spans="1:56">
      <c r="A1258" s="781">
        <v>2</v>
      </c>
      <c r="B1258" s="782">
        <v>276</v>
      </c>
      <c r="C1258" s="783">
        <v>45610</v>
      </c>
      <c r="D1258" s="785" t="s">
        <v>5619</v>
      </c>
      <c r="E1258" s="808">
        <v>19713.75</v>
      </c>
      <c r="F1258" s="799"/>
      <c r="G1258" s="799"/>
      <c r="H1258" s="1592"/>
      <c r="I1258" s="754" t="str">
        <f>IFERROR(VLOOKUP(B1258,Mychart!$A$125:$B$911,2,FALSE),"-")</f>
        <v>FATMA ESSA ALI</v>
      </c>
      <c r="J1258" s="753">
        <f t="shared" ref="J1258:J1265" si="62">IF(C1258&lt;&gt;"", MONTH(C1258),"-")</f>
        <v>11</v>
      </c>
      <c r="K1258" s="1540">
        <f t="shared" si="61"/>
        <v>2024</v>
      </c>
      <c r="L1258" s="757"/>
      <c r="M1258" s="757"/>
      <c r="N1258" s="757"/>
      <c r="O1258" s="757"/>
      <c r="P1258" s="757"/>
      <c r="Q1258" s="757"/>
      <c r="R1258" s="757"/>
      <c r="S1258" s="757"/>
      <c r="T1258" s="757"/>
      <c r="U1258" s="757"/>
      <c r="V1258" s="757"/>
      <c r="W1258" s="757"/>
      <c r="X1258" s="757"/>
      <c r="Y1258" s="757"/>
      <c r="Z1258" s="757"/>
      <c r="AA1258" s="757"/>
      <c r="AB1258" s="757"/>
      <c r="AC1258" s="757"/>
      <c r="AD1258" s="931">
        <v>45613.425486111111</v>
      </c>
      <c r="AE1258" s="757"/>
      <c r="AF1258" s="757"/>
      <c r="AG1258" s="757"/>
      <c r="AH1258" s="757"/>
      <c r="AI1258" s="757"/>
      <c r="AJ1258" s="757"/>
      <c r="AK1258" s="757"/>
      <c r="AL1258" s="757"/>
      <c r="AM1258" s="757"/>
      <c r="AN1258" s="757"/>
      <c r="AO1258" s="757"/>
      <c r="AP1258" s="757"/>
      <c r="AQ1258" s="757"/>
      <c r="AR1258" s="757"/>
      <c r="AS1258" s="757"/>
      <c r="AT1258" s="757"/>
      <c r="AU1258" s="757"/>
      <c r="AV1258" s="757"/>
      <c r="AW1258" s="757"/>
      <c r="AX1258" s="757"/>
      <c r="AY1258" s="757"/>
      <c r="AZ1258" s="75"/>
      <c r="BA1258" s="2"/>
      <c r="BB1258" s="2"/>
      <c r="BC1258" s="2"/>
      <c r="BD1258" s="2"/>
    </row>
    <row r="1259" spans="1:56">
      <c r="A1259" s="781">
        <v>2</v>
      </c>
      <c r="B1259" s="782">
        <v>277</v>
      </c>
      <c r="C1259" s="783">
        <v>45610</v>
      </c>
      <c r="D1259" s="785" t="s">
        <v>5622</v>
      </c>
      <c r="E1259" s="808">
        <v>28182</v>
      </c>
      <c r="F1259" s="799"/>
      <c r="G1259" s="799"/>
      <c r="H1259" s="1592"/>
      <c r="I1259" s="754" t="str">
        <f>IFERROR(VLOOKUP(B1259,Mychart!$A$125:$B$911,2,FALSE),"-")</f>
        <v>ABDULRHMAN ESSA ALI</v>
      </c>
      <c r="J1259" s="753">
        <f t="shared" si="62"/>
        <v>11</v>
      </c>
      <c r="K1259" s="1540">
        <f t="shared" si="61"/>
        <v>2024</v>
      </c>
      <c r="L1259" s="757"/>
      <c r="M1259" s="757"/>
      <c r="N1259" s="757"/>
      <c r="O1259" s="757"/>
      <c r="P1259" s="757"/>
      <c r="Q1259" s="757"/>
      <c r="R1259" s="757"/>
      <c r="S1259" s="757"/>
      <c r="T1259" s="757"/>
      <c r="U1259" s="757"/>
      <c r="V1259" s="757"/>
      <c r="W1259" s="757"/>
      <c r="X1259" s="757"/>
      <c r="Y1259" s="757"/>
      <c r="Z1259" s="757"/>
      <c r="AA1259" s="757"/>
      <c r="AB1259" s="757"/>
      <c r="AC1259" s="757"/>
      <c r="AD1259" s="931">
        <v>45613.428611111114</v>
      </c>
      <c r="AE1259" s="757"/>
      <c r="AF1259" s="757"/>
      <c r="AG1259" s="757"/>
      <c r="AH1259" s="757"/>
      <c r="AI1259" s="757"/>
      <c r="AJ1259" s="757"/>
      <c r="AK1259" s="757"/>
      <c r="AL1259" s="757"/>
      <c r="AM1259" s="757"/>
      <c r="AN1259" s="757"/>
      <c r="AO1259" s="757"/>
      <c r="AP1259" s="757"/>
      <c r="AQ1259" s="757"/>
      <c r="AR1259" s="757"/>
      <c r="AS1259" s="757"/>
      <c r="AT1259" s="757"/>
      <c r="AU1259" s="757"/>
      <c r="AV1259" s="757"/>
      <c r="AW1259" s="757"/>
      <c r="AX1259" s="757"/>
      <c r="AY1259" s="757"/>
      <c r="AZ1259" s="75"/>
      <c r="BA1259" s="2"/>
      <c r="BB1259" s="2"/>
      <c r="BC1259" s="2"/>
      <c r="BD1259" s="2"/>
    </row>
    <row r="1260" spans="1:56" ht="22.5">
      <c r="A1260" s="781">
        <v>1</v>
      </c>
      <c r="B1260" s="782">
        <v>276</v>
      </c>
      <c r="C1260" s="783">
        <v>45610</v>
      </c>
      <c r="D1260" s="785" t="s">
        <v>5634</v>
      </c>
      <c r="E1260" s="808"/>
      <c r="F1260" s="799">
        <v>27600</v>
      </c>
      <c r="G1260" s="799">
        <v>1380</v>
      </c>
      <c r="H1260" s="1592">
        <v>28980</v>
      </c>
      <c r="I1260" s="754" t="str">
        <f>IFERROR(VLOOKUP(B1260,Mychart!$A$125:$B$911,2,FALSE),"-")</f>
        <v>FATMA ESSA ALI</v>
      </c>
      <c r="J1260" s="753">
        <f t="shared" si="62"/>
        <v>11</v>
      </c>
      <c r="K1260" s="1540">
        <f t="shared" si="61"/>
        <v>2024</v>
      </c>
      <c r="L1260" s="757"/>
      <c r="M1260" s="757"/>
      <c r="N1260" s="757"/>
      <c r="O1260" s="757"/>
      <c r="P1260" s="757"/>
      <c r="Q1260" s="757"/>
      <c r="R1260" s="757"/>
      <c r="S1260" s="757"/>
      <c r="T1260" s="757"/>
      <c r="U1260" s="757"/>
      <c r="V1260" s="757"/>
      <c r="W1260" s="757"/>
      <c r="X1260" s="757"/>
      <c r="Y1260" s="757"/>
      <c r="Z1260" s="757"/>
      <c r="AA1260" s="757"/>
      <c r="AB1260" s="757"/>
      <c r="AC1260" s="757"/>
      <c r="AD1260" s="931">
        <v>45613.459155092591</v>
      </c>
      <c r="AE1260" s="757"/>
      <c r="AF1260" s="757"/>
      <c r="AG1260" s="757"/>
      <c r="AH1260" s="757"/>
      <c r="AI1260" s="757"/>
      <c r="AJ1260" s="757"/>
      <c r="AK1260" s="757"/>
      <c r="AL1260" s="757"/>
      <c r="AM1260" s="757"/>
      <c r="AN1260" s="757"/>
      <c r="AO1260" s="757"/>
      <c r="AP1260" s="757"/>
      <c r="AQ1260" s="757"/>
      <c r="AR1260" s="757"/>
      <c r="AS1260" s="757"/>
      <c r="AT1260" s="757"/>
      <c r="AU1260" s="757"/>
      <c r="AV1260" s="757"/>
      <c r="AW1260" s="757"/>
      <c r="AX1260" s="757"/>
      <c r="AY1260" s="757"/>
      <c r="AZ1260" s="75"/>
      <c r="BA1260" s="2"/>
      <c r="BB1260" s="2"/>
      <c r="BC1260" s="2"/>
      <c r="BD1260" s="2"/>
    </row>
    <row r="1261" spans="1:56">
      <c r="A1261" s="781">
        <v>1</v>
      </c>
      <c r="B1261" s="782">
        <v>288</v>
      </c>
      <c r="C1261" s="783">
        <v>45606</v>
      </c>
      <c r="D1261" s="785" t="s">
        <v>5646</v>
      </c>
      <c r="E1261" s="808"/>
      <c r="F1261" s="799">
        <v>10000</v>
      </c>
      <c r="G1261" s="799"/>
      <c r="H1261" s="1592">
        <v>10000</v>
      </c>
      <c r="I1261" s="754" t="str">
        <f>IFERROR(VLOOKUP(B1261,Mychart!$A$125:$B$911,2,FALSE),"-")</f>
        <v>Hussan Ali Butti Mohammad Al Suwaidi</v>
      </c>
      <c r="J1261" s="753">
        <f t="shared" si="62"/>
        <v>11</v>
      </c>
      <c r="K1261" s="1540">
        <f t="shared" si="61"/>
        <v>2024</v>
      </c>
      <c r="L1261" s="757"/>
      <c r="M1261" s="757"/>
      <c r="N1261" s="757"/>
      <c r="O1261" s="757"/>
      <c r="P1261" s="757"/>
      <c r="Q1261" s="757"/>
      <c r="R1261" s="757"/>
      <c r="S1261" s="757"/>
      <c r="T1261" s="757"/>
      <c r="U1261" s="757"/>
      <c r="V1261" s="757"/>
      <c r="W1261" s="757"/>
      <c r="X1261" s="757"/>
      <c r="Y1261" s="757"/>
      <c r="Z1261" s="757"/>
      <c r="AA1261" s="757"/>
      <c r="AB1261" s="757"/>
      <c r="AC1261" s="757"/>
      <c r="AD1261" s="931">
        <v>45613.474814814814</v>
      </c>
      <c r="AE1261" s="757"/>
      <c r="AF1261" s="757"/>
      <c r="AG1261" s="757"/>
      <c r="AH1261" s="757"/>
      <c r="AI1261" s="757"/>
      <c r="AJ1261" s="757"/>
      <c r="AK1261" s="757"/>
      <c r="AL1261" s="757"/>
      <c r="AM1261" s="757"/>
      <c r="AN1261" s="757"/>
      <c r="AO1261" s="757"/>
      <c r="AP1261" s="757"/>
      <c r="AQ1261" s="757"/>
      <c r="AR1261" s="757"/>
      <c r="AS1261" s="757"/>
      <c r="AT1261" s="757"/>
      <c r="AU1261" s="757"/>
      <c r="AV1261" s="757"/>
      <c r="AW1261" s="757"/>
      <c r="AX1261" s="757"/>
      <c r="AY1261" s="757"/>
      <c r="AZ1261" s="75"/>
      <c r="BA1261" s="2"/>
      <c r="BB1261" s="2"/>
      <c r="BC1261" s="2"/>
      <c r="BD1261" s="2"/>
    </row>
    <row r="1262" spans="1:56">
      <c r="A1262" s="781">
        <v>2</v>
      </c>
      <c r="B1262" s="782">
        <v>291</v>
      </c>
      <c r="C1262" s="783">
        <v>45602</v>
      </c>
      <c r="D1262" s="785" t="s">
        <v>5496</v>
      </c>
      <c r="E1262" s="808">
        <v>8500</v>
      </c>
      <c r="F1262" s="799"/>
      <c r="G1262" s="799"/>
      <c r="H1262" s="1592"/>
      <c r="I1262" s="754" t="str">
        <f>IFERROR(VLOOKUP(B1262,Mychart!$A$125:$B$911,2,FALSE),"-")</f>
        <v>OBAID NASSER OBAID MAHMOOD ASHOOR</v>
      </c>
      <c r="J1262" s="753">
        <f t="shared" si="62"/>
        <v>11</v>
      </c>
      <c r="K1262" s="1540">
        <f t="shared" si="61"/>
        <v>2024</v>
      </c>
      <c r="L1262" s="757"/>
      <c r="M1262" s="757"/>
      <c r="N1262" s="757"/>
      <c r="O1262" s="757"/>
      <c r="P1262" s="757"/>
      <c r="Q1262" s="757"/>
      <c r="R1262" s="757"/>
      <c r="S1262" s="757"/>
      <c r="T1262" s="757"/>
      <c r="U1262" s="757"/>
      <c r="V1262" s="757"/>
      <c r="W1262" s="757"/>
      <c r="X1262" s="757"/>
      <c r="Y1262" s="757"/>
      <c r="Z1262" s="757"/>
      <c r="AA1262" s="757"/>
      <c r="AB1262" s="757"/>
      <c r="AC1262" s="757"/>
      <c r="AD1262" s="757"/>
      <c r="AE1262" s="757"/>
      <c r="AF1262" s="757"/>
      <c r="AG1262" s="757"/>
      <c r="AH1262" s="757"/>
      <c r="AI1262" s="757"/>
      <c r="AJ1262" s="757"/>
      <c r="AK1262" s="757"/>
      <c r="AL1262" s="757"/>
      <c r="AM1262" s="757"/>
      <c r="AN1262" s="757"/>
      <c r="AO1262" s="757"/>
      <c r="AP1262" s="757"/>
      <c r="AQ1262" s="757"/>
      <c r="AR1262" s="757"/>
      <c r="AS1262" s="757"/>
      <c r="AT1262" s="757"/>
      <c r="AU1262" s="757"/>
      <c r="AV1262" s="757"/>
      <c r="AW1262" s="757"/>
      <c r="AX1262" s="757"/>
      <c r="AY1262" s="757"/>
      <c r="AZ1262" s="75"/>
      <c r="BA1262" s="2"/>
      <c r="BB1262" s="2"/>
      <c r="BC1262" s="2"/>
      <c r="BD1262" s="2"/>
    </row>
    <row r="1263" spans="1:56">
      <c r="A1263" s="781">
        <v>2</v>
      </c>
      <c r="B1263" s="782">
        <v>290</v>
      </c>
      <c r="C1263" s="783">
        <v>45602</v>
      </c>
      <c r="D1263" s="785" t="s">
        <v>5497</v>
      </c>
      <c r="E1263" s="808">
        <v>6800</v>
      </c>
      <c r="F1263" s="799"/>
      <c r="G1263" s="799"/>
      <c r="H1263" s="1592"/>
      <c r="I1263" s="754" t="str">
        <f>IFERROR(VLOOKUP(B1263,Mychart!$A$125:$B$911,2,FALSE),"-")</f>
        <v>Ali Hassan Mohammed Ali AlShammar</v>
      </c>
      <c r="J1263" s="753">
        <f t="shared" si="62"/>
        <v>11</v>
      </c>
      <c r="K1263" s="1540">
        <f t="shared" si="61"/>
        <v>2024</v>
      </c>
      <c r="L1263" s="757"/>
      <c r="M1263" s="757"/>
      <c r="N1263" s="757"/>
      <c r="O1263" s="757"/>
      <c r="P1263" s="757"/>
      <c r="Q1263" s="757"/>
      <c r="R1263" s="757"/>
      <c r="S1263" s="757"/>
      <c r="T1263" s="757"/>
      <c r="U1263" s="757"/>
      <c r="V1263" s="757"/>
      <c r="W1263" s="757"/>
      <c r="X1263" s="757"/>
      <c r="Y1263" s="757"/>
      <c r="Z1263" s="757"/>
      <c r="AA1263" s="757"/>
      <c r="AB1263" s="757"/>
      <c r="AC1263" s="757"/>
      <c r="AD1263" s="757"/>
      <c r="AE1263" s="757"/>
      <c r="AF1263" s="757"/>
      <c r="AG1263" s="757"/>
      <c r="AH1263" s="757"/>
      <c r="AI1263" s="757"/>
      <c r="AJ1263" s="757"/>
      <c r="AK1263" s="757"/>
      <c r="AL1263" s="757"/>
      <c r="AM1263" s="757"/>
      <c r="AN1263" s="757"/>
      <c r="AO1263" s="757"/>
      <c r="AP1263" s="757"/>
      <c r="AQ1263" s="757"/>
      <c r="AR1263" s="757"/>
      <c r="AS1263" s="757"/>
      <c r="AT1263" s="757"/>
      <c r="AU1263" s="757"/>
      <c r="AV1263" s="757"/>
      <c r="AW1263" s="757"/>
      <c r="AX1263" s="757"/>
      <c r="AY1263" s="757"/>
      <c r="AZ1263" s="75"/>
      <c r="BA1263" s="2"/>
      <c r="BB1263" s="2"/>
      <c r="BC1263" s="2"/>
      <c r="BD1263" s="2"/>
    </row>
    <row r="1264" spans="1:56">
      <c r="A1264" s="781">
        <v>2</v>
      </c>
      <c r="B1264" s="782">
        <v>225</v>
      </c>
      <c r="C1264" s="783">
        <v>45611</v>
      </c>
      <c r="D1264" s="785" t="s">
        <v>5655</v>
      </c>
      <c r="E1264" s="808">
        <v>22155</v>
      </c>
      <c r="F1264" s="799"/>
      <c r="G1264" s="799"/>
      <c r="H1264" s="1592"/>
      <c r="I1264" s="754" t="str">
        <f>IFERROR(VLOOKUP(B1264,Mychart!$A$125:$B$911,2,FALSE),"-")</f>
        <v>HESSA BELOSHI</v>
      </c>
      <c r="J1264" s="753">
        <f t="shared" si="62"/>
        <v>11</v>
      </c>
      <c r="K1264" s="1540">
        <f t="shared" si="61"/>
        <v>2024</v>
      </c>
      <c r="L1264" s="757"/>
      <c r="M1264" s="757"/>
      <c r="N1264" s="757"/>
      <c r="O1264" s="757"/>
      <c r="P1264" s="757"/>
      <c r="Q1264" s="757"/>
      <c r="R1264" s="757"/>
      <c r="S1264" s="757"/>
      <c r="T1264" s="757"/>
      <c r="U1264" s="757"/>
      <c r="V1264" s="757"/>
      <c r="W1264" s="757"/>
      <c r="X1264" s="757"/>
      <c r="Y1264" s="757"/>
      <c r="Z1264" s="757"/>
      <c r="AA1264" s="757"/>
      <c r="AB1264" s="757"/>
      <c r="AC1264" s="757"/>
      <c r="AD1264" s="931">
        <v>45614.407685185186</v>
      </c>
      <c r="AE1264" s="757"/>
      <c r="AF1264" s="757"/>
      <c r="AG1264" s="757"/>
      <c r="AH1264" s="757"/>
      <c r="AI1264" s="757"/>
      <c r="AJ1264" s="757"/>
      <c r="AK1264" s="757"/>
      <c r="AL1264" s="757"/>
      <c r="AM1264" s="757"/>
      <c r="AN1264" s="757"/>
      <c r="AO1264" s="757"/>
      <c r="AP1264" s="757"/>
      <c r="AQ1264" s="757"/>
      <c r="AR1264" s="757"/>
      <c r="AS1264" s="757"/>
      <c r="AT1264" s="757"/>
      <c r="AU1264" s="757"/>
      <c r="AV1264" s="757"/>
      <c r="AW1264" s="757"/>
      <c r="AX1264" s="757"/>
      <c r="AY1264" s="757"/>
      <c r="AZ1264" s="75"/>
      <c r="BA1264" s="2"/>
      <c r="BB1264" s="2"/>
      <c r="BC1264" s="2"/>
      <c r="BD1264" s="2"/>
    </row>
    <row r="1265" spans="1:56">
      <c r="A1265" s="781">
        <v>1</v>
      </c>
      <c r="B1265" s="782">
        <v>242</v>
      </c>
      <c r="C1265" s="783">
        <v>45614</v>
      </c>
      <c r="D1265" s="785" t="s">
        <v>5672</v>
      </c>
      <c r="E1265" s="808"/>
      <c r="F1265" s="799">
        <v>2000</v>
      </c>
      <c r="G1265" s="799">
        <v>100</v>
      </c>
      <c r="H1265" s="1592">
        <v>2100</v>
      </c>
      <c r="I1265" s="754" t="str">
        <f>IFERROR(VLOOKUP(B1265,Mychart!$A$125:$B$911,2,FALSE),"-")</f>
        <v>AMMAR - ARCHPIX</v>
      </c>
      <c r="J1265" s="753">
        <f t="shared" si="62"/>
        <v>11</v>
      </c>
      <c r="K1265" s="1540">
        <f t="shared" si="61"/>
        <v>2024</v>
      </c>
      <c r="L1265" s="757"/>
      <c r="M1265" s="757"/>
      <c r="N1265" s="757"/>
      <c r="O1265" s="757"/>
      <c r="P1265" s="757"/>
      <c r="Q1265" s="757"/>
      <c r="R1265" s="757"/>
      <c r="S1265" s="757"/>
      <c r="T1265" s="757"/>
      <c r="U1265" s="757"/>
      <c r="V1265" s="757"/>
      <c r="W1265" s="757"/>
      <c r="X1265" s="757"/>
      <c r="Y1265" s="757"/>
      <c r="Z1265" s="757"/>
      <c r="AA1265" s="757"/>
      <c r="AB1265" s="757"/>
      <c r="AC1265" s="757"/>
      <c r="AD1265" s="931">
        <v>45615.447615740741</v>
      </c>
      <c r="AE1265" s="757"/>
      <c r="AF1265" s="757"/>
      <c r="AG1265" s="757"/>
      <c r="AH1265" s="757"/>
      <c r="AI1265" s="757"/>
      <c r="AJ1265" s="757"/>
      <c r="AK1265" s="757"/>
      <c r="AL1265" s="757"/>
      <c r="AM1265" s="757"/>
      <c r="AN1265" s="757"/>
      <c r="AO1265" s="757"/>
      <c r="AP1265" s="757"/>
      <c r="AQ1265" s="757"/>
      <c r="AR1265" s="757"/>
      <c r="AS1265" s="757"/>
      <c r="AT1265" s="757"/>
      <c r="AU1265" s="757"/>
      <c r="AV1265" s="757"/>
      <c r="AW1265" s="757"/>
      <c r="AX1265" s="757"/>
      <c r="AY1265" s="757"/>
      <c r="AZ1265" s="75"/>
      <c r="BA1265" s="2"/>
      <c r="BB1265" s="2"/>
      <c r="BC1265" s="2"/>
      <c r="BD1265" s="2"/>
    </row>
    <row r="1266" spans="1:56">
      <c r="A1266" s="781">
        <v>1</v>
      </c>
      <c r="B1266" s="782">
        <v>247</v>
      </c>
      <c r="C1266" s="783">
        <v>45614</v>
      </c>
      <c r="D1266" s="785" t="s">
        <v>5677</v>
      </c>
      <c r="E1266" s="808"/>
      <c r="F1266" s="799">
        <v>64000</v>
      </c>
      <c r="G1266" s="799">
        <v>3200</v>
      </c>
      <c r="H1266" s="1592">
        <v>67200</v>
      </c>
      <c r="I1266" s="754" t="str">
        <f>IFERROR(VLOOKUP(B1266,Mychart!$A$125:$B$911,2,FALSE),"-")</f>
        <v>ABDULLAH MULLAH</v>
      </c>
      <c r="J1266" s="753">
        <f t="shared" ref="J1266:J1284" si="63">IF(C1266&lt;&gt;"", MONTH(C1266),"-")</f>
        <v>11</v>
      </c>
      <c r="K1266" s="1540">
        <f t="shared" ref="K1266:K1284" si="64">YEAR(C1266)</f>
        <v>2024</v>
      </c>
      <c r="L1266" s="757"/>
      <c r="M1266" s="757"/>
      <c r="N1266" s="757"/>
      <c r="O1266" s="757"/>
      <c r="P1266" s="757"/>
      <c r="Q1266" s="757"/>
      <c r="R1266" s="757"/>
      <c r="S1266" s="757"/>
      <c r="T1266" s="757"/>
      <c r="U1266" s="757"/>
      <c r="V1266" s="757"/>
      <c r="W1266" s="757"/>
      <c r="X1266" s="757"/>
      <c r="Y1266" s="757"/>
      <c r="Z1266" s="757"/>
      <c r="AA1266" s="757"/>
      <c r="AB1266" s="757"/>
      <c r="AC1266" s="757"/>
      <c r="AD1266" s="931">
        <v>45615.44767361111</v>
      </c>
      <c r="AE1266" s="757"/>
      <c r="AF1266" s="757"/>
      <c r="AG1266" s="757"/>
      <c r="AH1266" s="757"/>
      <c r="AI1266" s="757"/>
      <c r="AJ1266" s="757"/>
      <c r="AK1266" s="757"/>
      <c r="AL1266" s="757"/>
      <c r="AM1266" s="757"/>
      <c r="AN1266" s="757"/>
      <c r="AO1266" s="757"/>
      <c r="AP1266" s="757"/>
      <c r="AQ1266" s="757"/>
      <c r="AR1266" s="757"/>
      <c r="AS1266" s="757"/>
      <c r="AT1266" s="757"/>
      <c r="AU1266" s="757"/>
      <c r="AV1266" s="757"/>
      <c r="AW1266" s="757"/>
      <c r="AX1266" s="757"/>
      <c r="AY1266" s="757"/>
      <c r="AZ1266" s="75"/>
      <c r="BA1266" s="2"/>
      <c r="BB1266" s="2"/>
      <c r="BC1266" s="2"/>
      <c r="BD1266" s="2"/>
    </row>
    <row r="1267" spans="1:56">
      <c r="A1267" s="781">
        <v>1</v>
      </c>
      <c r="B1267" s="782">
        <v>218</v>
      </c>
      <c r="C1267" s="783">
        <v>45614</v>
      </c>
      <c r="D1267" s="785" t="s">
        <v>5681</v>
      </c>
      <c r="E1267" s="808"/>
      <c r="F1267" s="799">
        <v>6750</v>
      </c>
      <c r="G1267" s="799">
        <v>337.5</v>
      </c>
      <c r="H1267" s="1592">
        <v>7087.5</v>
      </c>
      <c r="I1267" s="754" t="str">
        <f>IFERROR(VLOOKUP(B1267,Mychart!$A$125:$B$911,2,FALSE),"-")</f>
        <v>RASHED FALASI - AREEJ</v>
      </c>
      <c r="J1267" s="753">
        <f t="shared" si="63"/>
        <v>11</v>
      </c>
      <c r="K1267" s="1540">
        <f t="shared" si="64"/>
        <v>2024</v>
      </c>
      <c r="L1267" s="757"/>
      <c r="M1267" s="757"/>
      <c r="N1267" s="757"/>
      <c r="O1267" s="757"/>
      <c r="P1267" s="757"/>
      <c r="Q1267" s="757"/>
      <c r="R1267" s="757"/>
      <c r="S1267" s="757"/>
      <c r="T1267" s="757"/>
      <c r="U1267" s="757"/>
      <c r="V1267" s="757"/>
      <c r="W1267" s="757"/>
      <c r="X1267" s="757"/>
      <c r="Y1267" s="757"/>
      <c r="Z1267" s="757"/>
      <c r="AA1267" s="757"/>
      <c r="AB1267" s="757"/>
      <c r="AC1267" s="757"/>
      <c r="AD1267" s="931">
        <v>45615.44767361111</v>
      </c>
      <c r="AE1267" s="757"/>
      <c r="AF1267" s="757"/>
      <c r="AG1267" s="757"/>
      <c r="AH1267" s="757"/>
      <c r="AI1267" s="757"/>
      <c r="AJ1267" s="757"/>
      <c r="AK1267" s="757"/>
      <c r="AL1267" s="757"/>
      <c r="AM1267" s="757"/>
      <c r="AN1267" s="757"/>
      <c r="AO1267" s="757"/>
      <c r="AP1267" s="757"/>
      <c r="AQ1267" s="757"/>
      <c r="AR1267" s="757"/>
      <c r="AS1267" s="757"/>
      <c r="AT1267" s="757"/>
      <c r="AU1267" s="757"/>
      <c r="AV1267" s="757"/>
      <c r="AW1267" s="757"/>
      <c r="AX1267" s="757"/>
      <c r="AY1267" s="757"/>
      <c r="AZ1267" s="75"/>
      <c r="BA1267" s="2"/>
      <c r="BB1267" s="2"/>
      <c r="BC1267" s="2"/>
      <c r="BD1267" s="2"/>
    </row>
    <row r="1268" spans="1:56">
      <c r="A1268" s="781">
        <v>1</v>
      </c>
      <c r="B1268" s="782">
        <v>243</v>
      </c>
      <c r="C1268" s="783">
        <v>45614</v>
      </c>
      <c r="D1268" s="785" t="s">
        <v>5682</v>
      </c>
      <c r="E1268" s="808"/>
      <c r="F1268" s="799">
        <v>11076</v>
      </c>
      <c r="G1268" s="799">
        <v>553.79999999999995</v>
      </c>
      <c r="H1268" s="1592">
        <v>11629.8</v>
      </c>
      <c r="I1268" s="754" t="str">
        <f>IFERROR(VLOOKUP(B1268,Mychart!$A$125:$B$911,2,FALSE),"-")</f>
        <v>SHIHAB - ERTIKAZ</v>
      </c>
      <c r="J1268" s="753">
        <f t="shared" si="63"/>
        <v>11</v>
      </c>
      <c r="K1268" s="1540">
        <f t="shared" si="64"/>
        <v>2024</v>
      </c>
      <c r="L1268" s="757"/>
      <c r="M1268" s="757"/>
      <c r="N1268" s="757"/>
      <c r="O1268" s="757"/>
      <c r="P1268" s="757"/>
      <c r="Q1268" s="757"/>
      <c r="R1268" s="757"/>
      <c r="S1268" s="757"/>
      <c r="T1268" s="757"/>
      <c r="U1268" s="757"/>
      <c r="V1268" s="757"/>
      <c r="W1268" s="757"/>
      <c r="X1268" s="757"/>
      <c r="Y1268" s="757"/>
      <c r="Z1268" s="757"/>
      <c r="AA1268" s="757"/>
      <c r="AB1268" s="757"/>
      <c r="AC1268" s="757"/>
      <c r="AD1268" s="931">
        <v>45615.447685185187</v>
      </c>
      <c r="AE1268" s="757"/>
      <c r="AF1268" s="757"/>
      <c r="AG1268" s="757"/>
      <c r="AH1268" s="757"/>
      <c r="AI1268" s="757"/>
      <c r="AJ1268" s="757"/>
      <c r="AK1268" s="757"/>
      <c r="AL1268" s="757"/>
      <c r="AM1268" s="757"/>
      <c r="AN1268" s="757"/>
      <c r="AO1268" s="757"/>
      <c r="AP1268" s="757"/>
      <c r="AQ1268" s="757"/>
      <c r="AR1268" s="757"/>
      <c r="AS1268" s="757"/>
      <c r="AT1268" s="757"/>
      <c r="AU1268" s="757"/>
      <c r="AV1268" s="757"/>
      <c r="AW1268" s="757"/>
      <c r="AX1268" s="757"/>
      <c r="AY1268" s="757"/>
      <c r="AZ1268" s="75"/>
      <c r="BA1268" s="2"/>
      <c r="BB1268" s="2"/>
      <c r="BC1268" s="2"/>
      <c r="BD1268" s="2"/>
    </row>
    <row r="1269" spans="1:56">
      <c r="A1269" s="781">
        <v>1</v>
      </c>
      <c r="B1269" s="782">
        <v>293</v>
      </c>
      <c r="C1269" s="783">
        <v>45615</v>
      </c>
      <c r="D1269" s="785" t="s">
        <v>5699</v>
      </c>
      <c r="E1269" s="808"/>
      <c r="F1269" s="799">
        <v>328000</v>
      </c>
      <c r="G1269" s="799"/>
      <c r="H1269" s="1592">
        <v>328000</v>
      </c>
      <c r="I1269" s="754" t="str">
        <f>IFERROR(VLOOKUP(B1269,Mychart!$A$125:$B$911,2,FALSE),"-")</f>
        <v>Federal  Youth  Authority  - Sharjah</v>
      </c>
      <c r="J1269" s="753">
        <f t="shared" si="63"/>
        <v>11</v>
      </c>
      <c r="K1269" s="1540">
        <f t="shared" si="64"/>
        <v>2024</v>
      </c>
      <c r="L1269" s="757"/>
      <c r="M1269" s="757"/>
      <c r="N1269" s="757"/>
      <c r="O1269" s="757"/>
      <c r="P1269" s="757"/>
      <c r="Q1269" s="757"/>
      <c r="R1269" s="757"/>
      <c r="S1269" s="757"/>
      <c r="T1269" s="757"/>
      <c r="U1269" s="757"/>
      <c r="V1269" s="757"/>
      <c r="W1269" s="757"/>
      <c r="X1269" s="757"/>
      <c r="Y1269" s="757"/>
      <c r="Z1269" s="757"/>
      <c r="AA1269" s="757"/>
      <c r="AB1269" s="757"/>
      <c r="AC1269" s="757"/>
      <c r="AD1269" s="931">
        <v>45616.418796296297</v>
      </c>
      <c r="AE1269" s="757"/>
      <c r="AF1269" s="757"/>
      <c r="AG1269" s="757"/>
      <c r="AH1269" s="757"/>
      <c r="AI1269" s="757"/>
      <c r="AJ1269" s="757"/>
      <c r="AK1269" s="757"/>
      <c r="AL1269" s="757"/>
      <c r="AM1269" s="757"/>
      <c r="AN1269" s="757"/>
      <c r="AO1269" s="757"/>
      <c r="AP1269" s="757"/>
      <c r="AQ1269" s="757"/>
      <c r="AR1269" s="757"/>
      <c r="AS1269" s="757"/>
      <c r="AT1269" s="757"/>
      <c r="AU1269" s="757"/>
      <c r="AV1269" s="757"/>
      <c r="AW1269" s="757"/>
      <c r="AX1269" s="757"/>
      <c r="AY1269" s="757"/>
      <c r="AZ1269" s="75"/>
      <c r="BA1269" s="2"/>
      <c r="BB1269" s="2"/>
      <c r="BC1269" s="2"/>
      <c r="BD1269" s="2"/>
    </row>
    <row r="1270" spans="1:56">
      <c r="A1270" s="781">
        <v>1</v>
      </c>
      <c r="B1270" s="782">
        <v>264</v>
      </c>
      <c r="C1270" s="783">
        <v>45615</v>
      </c>
      <c r="D1270" s="785" t="s">
        <v>5704</v>
      </c>
      <c r="E1270" s="808"/>
      <c r="F1270" s="799">
        <v>78000</v>
      </c>
      <c r="G1270" s="799">
        <v>3900</v>
      </c>
      <c r="H1270" s="1592">
        <v>81900</v>
      </c>
      <c r="I1270" s="754" t="str">
        <f>IFERROR(VLOOKUP(B1270,Mychart!$A$125:$B$911,2,FALSE),"-")</f>
        <v>Rashed khalifa abid</v>
      </c>
      <c r="J1270" s="753">
        <f t="shared" si="63"/>
        <v>11</v>
      </c>
      <c r="K1270" s="1540">
        <f t="shared" si="64"/>
        <v>2024</v>
      </c>
      <c r="L1270" s="757"/>
      <c r="M1270" s="757"/>
      <c r="N1270" s="757"/>
      <c r="O1270" s="757"/>
      <c r="P1270" s="757"/>
      <c r="Q1270" s="757"/>
      <c r="R1270" s="757"/>
      <c r="S1270" s="757"/>
      <c r="T1270" s="757"/>
      <c r="U1270" s="757"/>
      <c r="V1270" s="757"/>
      <c r="W1270" s="757"/>
      <c r="X1270" s="757"/>
      <c r="Y1270" s="757"/>
      <c r="Z1270" s="757"/>
      <c r="AA1270" s="757"/>
      <c r="AB1270" s="757"/>
      <c r="AC1270" s="757"/>
      <c r="AD1270" s="931">
        <v>45616.418807870374</v>
      </c>
      <c r="AE1270" s="757"/>
      <c r="AF1270" s="757"/>
      <c r="AG1270" s="757"/>
      <c r="AH1270" s="757"/>
      <c r="AI1270" s="757"/>
      <c r="AJ1270" s="757"/>
      <c r="AK1270" s="757"/>
      <c r="AL1270" s="757"/>
      <c r="AM1270" s="757"/>
      <c r="AN1270" s="757"/>
      <c r="AO1270" s="757"/>
      <c r="AP1270" s="757"/>
      <c r="AQ1270" s="757"/>
      <c r="AR1270" s="757"/>
      <c r="AS1270" s="757"/>
      <c r="AT1270" s="757"/>
      <c r="AU1270" s="757"/>
      <c r="AV1270" s="757"/>
      <c r="AW1270" s="757"/>
      <c r="AX1270" s="757"/>
      <c r="AY1270" s="757"/>
      <c r="AZ1270" s="75"/>
      <c r="BA1270" s="2"/>
      <c r="BB1270" s="2"/>
      <c r="BC1270" s="2"/>
      <c r="BD1270" s="2"/>
    </row>
    <row r="1271" spans="1:56">
      <c r="A1271" s="781">
        <v>1</v>
      </c>
      <c r="B1271" s="782">
        <v>292</v>
      </c>
      <c r="C1271" s="783">
        <v>45615</v>
      </c>
      <c r="D1271" s="785" t="s">
        <v>5710</v>
      </c>
      <c r="E1271" s="808"/>
      <c r="F1271" s="799">
        <v>22500</v>
      </c>
      <c r="G1271" s="799">
        <v>1125</v>
      </c>
      <c r="H1271" s="1592">
        <v>23625</v>
      </c>
      <c r="I1271" s="754" t="str">
        <f>IFERROR(VLOOKUP(B1271,Mychart!$A$125:$B$911,2,FALSE),"-")</f>
        <v>ISMAIL MOHAMMAD ISMAIL ABDULGHAFOOR ALTAMIMI</v>
      </c>
      <c r="J1271" s="753">
        <f t="shared" si="63"/>
        <v>11</v>
      </c>
      <c r="K1271" s="1540">
        <f t="shared" si="64"/>
        <v>2024</v>
      </c>
      <c r="L1271" s="757"/>
      <c r="M1271" s="757"/>
      <c r="N1271" s="757"/>
      <c r="O1271" s="757"/>
      <c r="P1271" s="757"/>
      <c r="Q1271" s="757"/>
      <c r="R1271" s="757"/>
      <c r="S1271" s="757"/>
      <c r="T1271" s="757"/>
      <c r="U1271" s="757"/>
      <c r="V1271" s="757"/>
      <c r="W1271" s="757"/>
      <c r="X1271" s="757"/>
      <c r="Y1271" s="757"/>
      <c r="Z1271" s="757"/>
      <c r="AA1271" s="757"/>
      <c r="AB1271" s="757"/>
      <c r="AC1271" s="757"/>
      <c r="AD1271" s="931">
        <v>45616.434733796297</v>
      </c>
      <c r="AE1271" s="757"/>
      <c r="AF1271" s="757"/>
      <c r="AG1271" s="757"/>
      <c r="AH1271" s="757"/>
      <c r="AI1271" s="757"/>
      <c r="AJ1271" s="757"/>
      <c r="AK1271" s="757"/>
      <c r="AL1271" s="757"/>
      <c r="AM1271" s="757"/>
      <c r="AN1271" s="757"/>
      <c r="AO1271" s="757"/>
      <c r="AP1271" s="757"/>
      <c r="AQ1271" s="757"/>
      <c r="AR1271" s="757"/>
      <c r="AS1271" s="757"/>
      <c r="AT1271" s="757"/>
      <c r="AU1271" s="757"/>
      <c r="AV1271" s="757"/>
      <c r="AW1271" s="757"/>
      <c r="AX1271" s="757"/>
      <c r="AY1271" s="757"/>
      <c r="AZ1271" s="75"/>
      <c r="BA1271" s="2"/>
      <c r="BB1271" s="2"/>
      <c r="BC1271" s="2"/>
      <c r="BD1271" s="2"/>
    </row>
    <row r="1272" spans="1:56">
      <c r="A1272" s="781">
        <v>2</v>
      </c>
      <c r="B1272" s="782">
        <v>292</v>
      </c>
      <c r="C1272" s="783">
        <v>45615</v>
      </c>
      <c r="D1272" s="785" t="s">
        <v>5712</v>
      </c>
      <c r="E1272" s="808">
        <v>10500</v>
      </c>
      <c r="F1272" s="799"/>
      <c r="G1272" s="799"/>
      <c r="H1272" s="1592"/>
      <c r="I1272" s="754" t="str">
        <f>IFERROR(VLOOKUP(B1272,Mychart!$A$125:$B$911,2,FALSE),"-")</f>
        <v>ISMAIL MOHAMMAD ISMAIL ABDULGHAFOOR ALTAMIMI</v>
      </c>
      <c r="J1272" s="753">
        <f t="shared" si="63"/>
        <v>11</v>
      </c>
      <c r="K1272" s="1540">
        <f t="shared" si="64"/>
        <v>2024</v>
      </c>
      <c r="L1272" s="757"/>
      <c r="M1272" s="757"/>
      <c r="N1272" s="757"/>
      <c r="O1272" s="757"/>
      <c r="P1272" s="757"/>
      <c r="Q1272" s="757"/>
      <c r="R1272" s="757"/>
      <c r="S1272" s="757"/>
      <c r="T1272" s="757"/>
      <c r="U1272" s="757"/>
      <c r="V1272" s="757"/>
      <c r="W1272" s="757"/>
      <c r="X1272" s="757"/>
      <c r="Y1272" s="757"/>
      <c r="Z1272" s="757"/>
      <c r="AA1272" s="757"/>
      <c r="AB1272" s="757"/>
      <c r="AC1272" s="757"/>
      <c r="AD1272" s="931">
        <v>45616.434733796297</v>
      </c>
      <c r="AE1272" s="757"/>
      <c r="AF1272" s="757"/>
      <c r="AG1272" s="757"/>
      <c r="AH1272" s="757"/>
      <c r="AI1272" s="757"/>
      <c r="AJ1272" s="757"/>
      <c r="AK1272" s="757"/>
      <c r="AL1272" s="757"/>
      <c r="AM1272" s="757"/>
      <c r="AN1272" s="757"/>
      <c r="AO1272" s="757"/>
      <c r="AP1272" s="757"/>
      <c r="AQ1272" s="757"/>
      <c r="AR1272" s="757"/>
      <c r="AS1272" s="757"/>
      <c r="AT1272" s="757"/>
      <c r="AU1272" s="757"/>
      <c r="AV1272" s="757"/>
      <c r="AW1272" s="757"/>
      <c r="AX1272" s="757"/>
      <c r="AY1272" s="757"/>
      <c r="AZ1272" s="75"/>
      <c r="BA1272" s="2"/>
      <c r="BB1272" s="2"/>
      <c r="BC1272" s="2"/>
      <c r="BD1272" s="2"/>
    </row>
    <row r="1273" spans="1:56">
      <c r="A1273" s="781">
        <v>1</v>
      </c>
      <c r="B1273" s="782">
        <v>294</v>
      </c>
      <c r="C1273" s="783">
        <v>45607</v>
      </c>
      <c r="D1273" s="785" t="s">
        <v>5639</v>
      </c>
      <c r="E1273" s="808"/>
      <c r="F1273" s="799">
        <v>2500</v>
      </c>
      <c r="G1273" s="799">
        <v>125</v>
      </c>
      <c r="H1273" s="1592">
        <v>2625</v>
      </c>
      <c r="I1273" s="754" t="str">
        <f>IFERROR(VLOOKUP(B1273,Mychart!$A$125:$B$911,2,FALSE),"-")</f>
        <v xml:space="preserve">Maintenance - General </v>
      </c>
      <c r="J1273" s="753">
        <f t="shared" si="63"/>
        <v>11</v>
      </c>
      <c r="K1273" s="1540">
        <f t="shared" si="64"/>
        <v>2024</v>
      </c>
      <c r="L1273" s="757"/>
      <c r="M1273" s="757"/>
      <c r="N1273" s="757"/>
      <c r="O1273" s="757"/>
      <c r="P1273" s="757"/>
      <c r="Q1273" s="757"/>
      <c r="R1273" s="757"/>
      <c r="S1273" s="757"/>
      <c r="T1273" s="757"/>
      <c r="U1273" s="757"/>
      <c r="V1273" s="757"/>
      <c r="W1273" s="757"/>
      <c r="X1273" s="757"/>
      <c r="Y1273" s="757"/>
      <c r="Z1273" s="757"/>
      <c r="AA1273" s="757"/>
      <c r="AB1273" s="757"/>
      <c r="AC1273" s="757"/>
      <c r="AD1273" s="931">
        <v>45619.474374999998</v>
      </c>
      <c r="AE1273" s="757"/>
      <c r="AF1273" s="757"/>
      <c r="AG1273" s="757"/>
      <c r="AH1273" s="757"/>
      <c r="AI1273" s="757"/>
      <c r="AJ1273" s="757"/>
      <c r="AK1273" s="757"/>
      <c r="AL1273" s="757"/>
      <c r="AM1273" s="757"/>
      <c r="AN1273" s="757"/>
      <c r="AO1273" s="757"/>
      <c r="AP1273" s="757"/>
      <c r="AQ1273" s="757"/>
      <c r="AR1273" s="757"/>
      <c r="AS1273" s="757"/>
      <c r="AT1273" s="757"/>
      <c r="AU1273" s="757"/>
      <c r="AV1273" s="757"/>
      <c r="AW1273" s="757"/>
      <c r="AX1273" s="757"/>
      <c r="AY1273" s="757"/>
      <c r="AZ1273" s="75"/>
      <c r="BA1273" s="2"/>
      <c r="BB1273" s="2"/>
      <c r="BC1273" s="2"/>
      <c r="BD1273" s="2"/>
    </row>
    <row r="1274" spans="1:56">
      <c r="A1274" s="781">
        <v>2</v>
      </c>
      <c r="B1274" s="782">
        <v>256</v>
      </c>
      <c r="C1274" s="783">
        <v>45572</v>
      </c>
      <c r="D1274" s="785" t="s">
        <v>5735</v>
      </c>
      <c r="E1274" s="808">
        <v>452.31</v>
      </c>
      <c r="F1274" s="799"/>
      <c r="G1274" s="799"/>
      <c r="H1274" s="1592"/>
      <c r="I1274" s="754" t="str">
        <f>IFERROR(VLOOKUP(B1274,Mychart!$A$125:$B$911,2,FALSE),"-")</f>
        <v>ADNAN DUBAI SKY</v>
      </c>
      <c r="J1274" s="753">
        <f t="shared" si="63"/>
        <v>10</v>
      </c>
      <c r="K1274" s="1540">
        <f t="shared" si="64"/>
        <v>2024</v>
      </c>
      <c r="L1274" s="757"/>
      <c r="M1274" s="757"/>
      <c r="N1274" s="757"/>
      <c r="O1274" s="757"/>
      <c r="P1274" s="757"/>
      <c r="Q1274" s="757"/>
      <c r="R1274" s="757"/>
      <c r="S1274" s="757"/>
      <c r="T1274" s="757"/>
      <c r="U1274" s="757"/>
      <c r="V1274" s="757"/>
      <c r="W1274" s="757"/>
      <c r="X1274" s="757"/>
      <c r="Y1274" s="757"/>
      <c r="Z1274" s="757"/>
      <c r="AA1274" s="757"/>
      <c r="AB1274" s="757"/>
      <c r="AC1274" s="757"/>
      <c r="AD1274" s="931">
        <v>45619.584629629629</v>
      </c>
      <c r="AE1274" s="757"/>
      <c r="AF1274" s="757"/>
      <c r="AG1274" s="757"/>
      <c r="AH1274" s="757"/>
      <c r="AI1274" s="757"/>
      <c r="AJ1274" s="757"/>
      <c r="AK1274" s="757"/>
      <c r="AL1274" s="757"/>
      <c r="AM1274" s="757"/>
      <c r="AN1274" s="757"/>
      <c r="AO1274" s="757"/>
      <c r="AP1274" s="757"/>
      <c r="AQ1274" s="757"/>
      <c r="AR1274" s="757"/>
      <c r="AS1274" s="757"/>
      <c r="AT1274" s="757"/>
      <c r="AU1274" s="757"/>
      <c r="AV1274" s="757"/>
      <c r="AW1274" s="757"/>
      <c r="AX1274" s="757"/>
      <c r="AY1274" s="757"/>
      <c r="AZ1274" s="75"/>
      <c r="BA1274" s="2"/>
      <c r="BB1274" s="2"/>
      <c r="BC1274" s="2"/>
      <c r="BD1274" s="2"/>
    </row>
    <row r="1275" spans="1:56">
      <c r="A1275" s="781">
        <v>2</v>
      </c>
      <c r="B1275" s="782">
        <v>256</v>
      </c>
      <c r="C1275" s="783">
        <v>45574</v>
      </c>
      <c r="D1275" s="785" t="s">
        <v>5739</v>
      </c>
      <c r="E1275" s="808">
        <v>178.73</v>
      </c>
      <c r="F1275" s="799"/>
      <c r="G1275" s="799"/>
      <c r="H1275" s="1592"/>
      <c r="I1275" s="754" t="str">
        <f>IFERROR(VLOOKUP(B1275,Mychart!$A$125:$B$911,2,FALSE),"-")</f>
        <v>ADNAN DUBAI SKY</v>
      </c>
      <c r="J1275" s="753">
        <f t="shared" si="63"/>
        <v>10</v>
      </c>
      <c r="K1275" s="1540">
        <f t="shared" si="64"/>
        <v>2024</v>
      </c>
      <c r="L1275" s="757"/>
      <c r="M1275" s="757"/>
      <c r="N1275" s="757"/>
      <c r="O1275" s="757"/>
      <c r="P1275" s="757"/>
      <c r="Q1275" s="757"/>
      <c r="R1275" s="757"/>
      <c r="S1275" s="757"/>
      <c r="T1275" s="757"/>
      <c r="U1275" s="757"/>
      <c r="V1275" s="757"/>
      <c r="W1275" s="757"/>
      <c r="X1275" s="757"/>
      <c r="Y1275" s="757"/>
      <c r="Z1275" s="757"/>
      <c r="AA1275" s="757"/>
      <c r="AB1275" s="757"/>
      <c r="AC1275" s="757"/>
      <c r="AD1275" s="931">
        <v>45619.59611111111</v>
      </c>
      <c r="AE1275" s="757"/>
      <c r="AF1275" s="757"/>
      <c r="AG1275" s="757"/>
      <c r="AH1275" s="757"/>
      <c r="AI1275" s="757"/>
      <c r="AJ1275" s="757"/>
      <c r="AK1275" s="757"/>
      <c r="AL1275" s="757"/>
      <c r="AM1275" s="757"/>
      <c r="AN1275" s="757"/>
      <c r="AO1275" s="757"/>
      <c r="AP1275" s="757"/>
      <c r="AQ1275" s="757"/>
      <c r="AR1275" s="757"/>
      <c r="AS1275" s="757"/>
      <c r="AT1275" s="757"/>
      <c r="AU1275" s="757"/>
      <c r="AV1275" s="757"/>
      <c r="AW1275" s="757"/>
      <c r="AX1275" s="757"/>
      <c r="AY1275" s="757"/>
      <c r="AZ1275" s="75"/>
      <c r="BA1275" s="2"/>
      <c r="BB1275" s="2"/>
      <c r="BC1275" s="2"/>
      <c r="BD1275" s="2"/>
    </row>
    <row r="1276" spans="1:56">
      <c r="A1276" s="781">
        <v>2</v>
      </c>
      <c r="B1276" s="782">
        <v>230</v>
      </c>
      <c r="C1276" s="783">
        <v>45574</v>
      </c>
      <c r="D1276" s="785" t="s">
        <v>5742</v>
      </c>
      <c r="E1276" s="808">
        <v>2043.97</v>
      </c>
      <c r="F1276" s="799"/>
      <c r="G1276" s="799"/>
      <c r="H1276" s="1592"/>
      <c r="I1276" s="754" t="str">
        <f>IFERROR(VLOOKUP(B1276,Mychart!$A$125:$B$911,2,FALSE),"-")</f>
        <v>FARES MOHAMED - ANAAB</v>
      </c>
      <c r="J1276" s="753">
        <f t="shared" si="63"/>
        <v>10</v>
      </c>
      <c r="K1276" s="1540">
        <f t="shared" si="64"/>
        <v>2024</v>
      </c>
      <c r="L1276" s="757"/>
      <c r="M1276" s="757"/>
      <c r="N1276" s="757"/>
      <c r="O1276" s="757"/>
      <c r="P1276" s="757"/>
      <c r="Q1276" s="757"/>
      <c r="R1276" s="757"/>
      <c r="S1276" s="757"/>
      <c r="T1276" s="757"/>
      <c r="U1276" s="757"/>
      <c r="V1276" s="757"/>
      <c r="W1276" s="757"/>
      <c r="X1276" s="757"/>
      <c r="Y1276" s="757"/>
      <c r="Z1276" s="757"/>
      <c r="AA1276" s="757"/>
      <c r="AB1276" s="757"/>
      <c r="AC1276" s="757"/>
      <c r="AD1276" s="931">
        <v>45619.59611111111</v>
      </c>
      <c r="AE1276" s="757"/>
      <c r="AF1276" s="757"/>
      <c r="AG1276" s="757"/>
      <c r="AH1276" s="757"/>
      <c r="AI1276" s="757"/>
      <c r="AJ1276" s="757"/>
      <c r="AK1276" s="757"/>
      <c r="AL1276" s="757"/>
      <c r="AM1276" s="757"/>
      <c r="AN1276" s="757"/>
      <c r="AO1276" s="757"/>
      <c r="AP1276" s="757"/>
      <c r="AQ1276" s="757"/>
      <c r="AR1276" s="757"/>
      <c r="AS1276" s="757"/>
      <c r="AT1276" s="757"/>
      <c r="AU1276" s="757"/>
      <c r="AV1276" s="757"/>
      <c r="AW1276" s="757"/>
      <c r="AX1276" s="757"/>
      <c r="AY1276" s="757"/>
      <c r="AZ1276" s="75"/>
      <c r="BA1276" s="2"/>
      <c r="BB1276" s="2"/>
      <c r="BC1276" s="2"/>
      <c r="BD1276" s="2"/>
    </row>
    <row r="1277" spans="1:56">
      <c r="A1277" s="781">
        <v>2</v>
      </c>
      <c r="B1277" s="782">
        <v>275</v>
      </c>
      <c r="C1277" s="783">
        <v>45566</v>
      </c>
      <c r="D1277" s="785" t="s">
        <v>5743</v>
      </c>
      <c r="E1277" s="808">
        <v>1386.47</v>
      </c>
      <c r="F1277" s="799"/>
      <c r="G1277" s="799"/>
      <c r="H1277" s="1592"/>
      <c r="I1277" s="754" t="str">
        <f>IFERROR(VLOOKUP(B1277,Mychart!$A$125:$B$911,2,FALSE),"-")</f>
        <v>meshaal saqar - irtekaz</v>
      </c>
      <c r="J1277" s="753">
        <f t="shared" si="63"/>
        <v>10</v>
      </c>
      <c r="K1277" s="1540">
        <f t="shared" si="64"/>
        <v>2024</v>
      </c>
      <c r="L1277" s="757"/>
      <c r="M1277" s="757"/>
      <c r="N1277" s="757"/>
      <c r="O1277" s="757"/>
      <c r="P1277" s="757"/>
      <c r="Q1277" s="757"/>
      <c r="R1277" s="757"/>
      <c r="S1277" s="757"/>
      <c r="T1277" s="757"/>
      <c r="U1277" s="757"/>
      <c r="V1277" s="757"/>
      <c r="W1277" s="757"/>
      <c r="X1277" s="757"/>
      <c r="Y1277" s="757"/>
      <c r="Z1277" s="757"/>
      <c r="AA1277" s="757"/>
      <c r="AB1277" s="757"/>
      <c r="AC1277" s="757"/>
      <c r="AD1277" s="931">
        <v>45619.596122685187</v>
      </c>
      <c r="AE1277" s="757"/>
      <c r="AF1277" s="757"/>
      <c r="AG1277" s="757"/>
      <c r="AH1277" s="757"/>
      <c r="AI1277" s="757"/>
      <c r="AJ1277" s="757"/>
      <c r="AK1277" s="757"/>
      <c r="AL1277" s="757"/>
      <c r="AM1277" s="757"/>
      <c r="AN1277" s="757"/>
      <c r="AO1277" s="757"/>
      <c r="AP1277" s="757"/>
      <c r="AQ1277" s="757"/>
      <c r="AR1277" s="757"/>
      <c r="AS1277" s="757"/>
      <c r="AT1277" s="757"/>
      <c r="AU1277" s="757"/>
      <c r="AV1277" s="757"/>
      <c r="AW1277" s="757"/>
      <c r="AX1277" s="757"/>
      <c r="AY1277" s="757"/>
      <c r="AZ1277" s="75"/>
      <c r="BA1277" s="2"/>
      <c r="BB1277" s="2"/>
      <c r="BC1277" s="2"/>
      <c r="BD1277" s="2"/>
    </row>
    <row r="1278" spans="1:56">
      <c r="A1278" s="781">
        <v>2</v>
      </c>
      <c r="B1278" s="782">
        <v>256</v>
      </c>
      <c r="C1278" s="783">
        <v>45582</v>
      </c>
      <c r="D1278" s="785" t="s">
        <v>5745</v>
      </c>
      <c r="E1278" s="808">
        <v>141.36999999999998</v>
      </c>
      <c r="F1278" s="799"/>
      <c r="G1278" s="799"/>
      <c r="H1278" s="1592"/>
      <c r="I1278" s="754" t="str">
        <f>IFERROR(VLOOKUP(B1278,Mychart!$A$125:$B$911,2,FALSE),"-")</f>
        <v>ADNAN DUBAI SKY</v>
      </c>
      <c r="J1278" s="753">
        <f t="shared" si="63"/>
        <v>10</v>
      </c>
      <c r="K1278" s="1540">
        <f t="shared" si="64"/>
        <v>2024</v>
      </c>
      <c r="L1278" s="757"/>
      <c r="M1278" s="757"/>
      <c r="N1278" s="757"/>
      <c r="O1278" s="757"/>
      <c r="P1278" s="757"/>
      <c r="Q1278" s="757"/>
      <c r="R1278" s="757"/>
      <c r="S1278" s="757"/>
      <c r="T1278" s="757"/>
      <c r="U1278" s="757"/>
      <c r="V1278" s="757"/>
      <c r="W1278" s="757"/>
      <c r="X1278" s="757"/>
      <c r="Y1278" s="757"/>
      <c r="Z1278" s="757"/>
      <c r="AA1278" s="757"/>
      <c r="AB1278" s="757"/>
      <c r="AC1278" s="757"/>
      <c r="AD1278" s="931">
        <v>45619.596122685187</v>
      </c>
      <c r="AE1278" s="757"/>
      <c r="AF1278" s="757"/>
      <c r="AG1278" s="757"/>
      <c r="AH1278" s="757"/>
      <c r="AI1278" s="757"/>
      <c r="AJ1278" s="757"/>
      <c r="AK1278" s="757"/>
      <c r="AL1278" s="757"/>
      <c r="AM1278" s="757"/>
      <c r="AN1278" s="757"/>
      <c r="AO1278" s="757"/>
      <c r="AP1278" s="757"/>
      <c r="AQ1278" s="757"/>
      <c r="AR1278" s="757"/>
      <c r="AS1278" s="757"/>
      <c r="AT1278" s="757"/>
      <c r="AU1278" s="757"/>
      <c r="AV1278" s="757"/>
      <c r="AW1278" s="757"/>
      <c r="AX1278" s="757"/>
      <c r="AY1278" s="757"/>
      <c r="AZ1278" s="75"/>
      <c r="BA1278" s="2"/>
      <c r="BB1278" s="2"/>
      <c r="BC1278" s="2"/>
      <c r="BD1278" s="2"/>
    </row>
    <row r="1279" spans="1:56">
      <c r="A1279" s="781">
        <v>2</v>
      </c>
      <c r="B1279" s="782">
        <v>247</v>
      </c>
      <c r="C1279" s="783">
        <v>45593</v>
      </c>
      <c r="D1279" s="785" t="s">
        <v>5747</v>
      </c>
      <c r="E1279" s="808">
        <v>1569.96</v>
      </c>
      <c r="F1279" s="799"/>
      <c r="G1279" s="799"/>
      <c r="H1279" s="1592"/>
      <c r="I1279" s="754" t="str">
        <f>IFERROR(VLOOKUP(B1279,Mychart!$A$125:$B$911,2,FALSE),"-")</f>
        <v>ABDULLAH MULLAH</v>
      </c>
      <c r="J1279" s="753">
        <f t="shared" si="63"/>
        <v>10</v>
      </c>
      <c r="K1279" s="1540">
        <f t="shared" si="64"/>
        <v>2024</v>
      </c>
      <c r="L1279" s="757"/>
      <c r="M1279" s="757"/>
      <c r="N1279" s="757"/>
      <c r="O1279" s="757"/>
      <c r="P1279" s="757"/>
      <c r="Q1279" s="757"/>
      <c r="R1279" s="757"/>
      <c r="S1279" s="757"/>
      <c r="T1279" s="757"/>
      <c r="U1279" s="757"/>
      <c r="V1279" s="757"/>
      <c r="W1279" s="757"/>
      <c r="X1279" s="757"/>
      <c r="Y1279" s="757"/>
      <c r="Z1279" s="757"/>
      <c r="AA1279" s="757"/>
      <c r="AB1279" s="757"/>
      <c r="AC1279" s="757"/>
      <c r="AD1279" s="931">
        <v>45619.596134259256</v>
      </c>
      <c r="AE1279" s="757"/>
      <c r="AF1279" s="757"/>
      <c r="AG1279" s="757"/>
      <c r="AH1279" s="757"/>
      <c r="AI1279" s="757"/>
      <c r="AJ1279" s="757"/>
      <c r="AK1279" s="757"/>
      <c r="AL1279" s="757"/>
      <c r="AM1279" s="757"/>
      <c r="AN1279" s="757"/>
      <c r="AO1279" s="757"/>
      <c r="AP1279" s="757"/>
      <c r="AQ1279" s="757"/>
      <c r="AR1279" s="757"/>
      <c r="AS1279" s="757"/>
      <c r="AT1279" s="757"/>
      <c r="AU1279" s="757"/>
      <c r="AV1279" s="757"/>
      <c r="AW1279" s="757"/>
      <c r="AX1279" s="757"/>
      <c r="AY1279" s="757"/>
      <c r="AZ1279" s="75"/>
      <c r="BA1279" s="2"/>
      <c r="BB1279" s="2"/>
      <c r="BC1279" s="2"/>
      <c r="BD1279" s="2"/>
    </row>
    <row r="1280" spans="1:56">
      <c r="A1280" s="781">
        <v>2</v>
      </c>
      <c r="B1280" s="782">
        <v>264</v>
      </c>
      <c r="C1280" s="783">
        <v>45595</v>
      </c>
      <c r="D1280" s="785" t="s">
        <v>5749</v>
      </c>
      <c r="E1280" s="808">
        <v>1004.96</v>
      </c>
      <c r="F1280" s="799"/>
      <c r="G1280" s="799"/>
      <c r="H1280" s="1592"/>
      <c r="I1280" s="754" t="str">
        <f>IFERROR(VLOOKUP(B1280,Mychart!$A$125:$B$911,2,FALSE),"-")</f>
        <v>Rashed khalifa abid</v>
      </c>
      <c r="J1280" s="753">
        <f t="shared" si="63"/>
        <v>10</v>
      </c>
      <c r="K1280" s="1540">
        <f t="shared" si="64"/>
        <v>2024</v>
      </c>
      <c r="L1280" s="757"/>
      <c r="M1280" s="757"/>
      <c r="N1280" s="757"/>
      <c r="O1280" s="757"/>
      <c r="P1280" s="757"/>
      <c r="Q1280" s="757"/>
      <c r="R1280" s="757"/>
      <c r="S1280" s="757"/>
      <c r="T1280" s="757"/>
      <c r="U1280" s="757"/>
      <c r="V1280" s="757"/>
      <c r="W1280" s="757"/>
      <c r="X1280" s="757"/>
      <c r="Y1280" s="757"/>
      <c r="Z1280" s="757"/>
      <c r="AA1280" s="757"/>
      <c r="AB1280" s="757"/>
      <c r="AC1280" s="757"/>
      <c r="AD1280" s="931">
        <v>45619.596134259256</v>
      </c>
      <c r="AE1280" s="757"/>
      <c r="AF1280" s="757"/>
      <c r="AG1280" s="757"/>
      <c r="AH1280" s="757"/>
      <c r="AI1280" s="757"/>
      <c r="AJ1280" s="757"/>
      <c r="AK1280" s="757"/>
      <c r="AL1280" s="757"/>
      <c r="AM1280" s="757"/>
      <c r="AN1280" s="757"/>
      <c r="AO1280" s="757"/>
      <c r="AP1280" s="757"/>
      <c r="AQ1280" s="757"/>
      <c r="AR1280" s="757"/>
      <c r="AS1280" s="757"/>
      <c r="AT1280" s="757"/>
      <c r="AU1280" s="757"/>
      <c r="AV1280" s="757"/>
      <c r="AW1280" s="757"/>
      <c r="AX1280" s="757"/>
      <c r="AY1280" s="757"/>
      <c r="AZ1280" s="75"/>
      <c r="BA1280" s="2"/>
      <c r="BB1280" s="2"/>
      <c r="BC1280" s="2"/>
      <c r="BD1280" s="2"/>
    </row>
    <row r="1281" spans="1:56">
      <c r="A1281" s="781">
        <v>2</v>
      </c>
      <c r="B1281" s="782">
        <v>258</v>
      </c>
      <c r="C1281" s="783">
        <v>45570</v>
      </c>
      <c r="D1281" s="785" t="s">
        <v>5751</v>
      </c>
      <c r="E1281" s="808">
        <v>1163.3000000000002</v>
      </c>
      <c r="F1281" s="799"/>
      <c r="G1281" s="799"/>
      <c r="H1281" s="1592"/>
      <c r="I1281" s="754" t="str">
        <f>IFERROR(VLOOKUP(B1281,Mychart!$A$125:$B$911,2,FALSE),"-")</f>
        <v>MAJID ALSHEHY</v>
      </c>
      <c r="J1281" s="753">
        <f t="shared" si="63"/>
        <v>10</v>
      </c>
      <c r="K1281" s="1540">
        <f t="shared" si="64"/>
        <v>2024</v>
      </c>
      <c r="L1281" s="757"/>
      <c r="M1281" s="757"/>
      <c r="N1281" s="757"/>
      <c r="O1281" s="757"/>
      <c r="P1281" s="757"/>
      <c r="Q1281" s="757"/>
      <c r="R1281" s="757"/>
      <c r="S1281" s="757"/>
      <c r="T1281" s="757"/>
      <c r="U1281" s="757"/>
      <c r="V1281" s="757"/>
      <c r="W1281" s="757"/>
      <c r="X1281" s="757"/>
      <c r="Y1281" s="757"/>
      <c r="Z1281" s="757"/>
      <c r="AA1281" s="757"/>
      <c r="AB1281" s="757"/>
      <c r="AC1281" s="757"/>
      <c r="AD1281" s="931">
        <v>45619.596134259256</v>
      </c>
      <c r="AE1281" s="757"/>
      <c r="AF1281" s="757"/>
      <c r="AG1281" s="757"/>
      <c r="AH1281" s="757"/>
      <c r="AI1281" s="757"/>
      <c r="AJ1281" s="757"/>
      <c r="AK1281" s="757"/>
      <c r="AL1281" s="757"/>
      <c r="AM1281" s="757"/>
      <c r="AN1281" s="757"/>
      <c r="AO1281" s="757"/>
      <c r="AP1281" s="757"/>
      <c r="AQ1281" s="757"/>
      <c r="AR1281" s="757"/>
      <c r="AS1281" s="757"/>
      <c r="AT1281" s="757"/>
      <c r="AU1281" s="757"/>
      <c r="AV1281" s="757"/>
      <c r="AW1281" s="757"/>
      <c r="AX1281" s="757"/>
      <c r="AY1281" s="757"/>
      <c r="AZ1281" s="75"/>
      <c r="BA1281" s="2"/>
      <c r="BB1281" s="2"/>
      <c r="BC1281" s="2"/>
      <c r="BD1281" s="2"/>
    </row>
    <row r="1282" spans="1:56">
      <c r="A1282" s="781">
        <v>2</v>
      </c>
      <c r="B1282" s="782">
        <v>293</v>
      </c>
      <c r="C1282" s="783">
        <v>45618</v>
      </c>
      <c r="D1282" s="785" t="s">
        <v>5785</v>
      </c>
      <c r="E1282" s="808">
        <v>4725</v>
      </c>
      <c r="F1282" s="799"/>
      <c r="G1282" s="799"/>
      <c r="H1282" s="1592"/>
      <c r="I1282" s="754" t="str">
        <f>IFERROR(VLOOKUP(B1282,Mychart!$A$125:$B$911,2,FALSE),"-")</f>
        <v>Federal  Youth  Authority  - Sharjah</v>
      </c>
      <c r="J1282" s="753">
        <f t="shared" si="63"/>
        <v>11</v>
      </c>
      <c r="K1282" s="1540">
        <f t="shared" si="64"/>
        <v>2024</v>
      </c>
      <c r="L1282" s="757"/>
      <c r="M1282" s="757"/>
      <c r="N1282" s="757"/>
      <c r="O1282" s="757"/>
      <c r="P1282" s="757"/>
      <c r="Q1282" s="757"/>
      <c r="R1282" s="757"/>
      <c r="S1282" s="757"/>
      <c r="T1282" s="757"/>
      <c r="U1282" s="757"/>
      <c r="V1282" s="757"/>
      <c r="W1282" s="757"/>
      <c r="X1282" s="757"/>
      <c r="Y1282" s="757"/>
      <c r="Z1282" s="757"/>
      <c r="AA1282" s="757"/>
      <c r="AB1282" s="757"/>
      <c r="AC1282" s="757"/>
      <c r="AD1282" s="931">
        <v>45619.724999999999</v>
      </c>
      <c r="AE1282" s="757"/>
      <c r="AF1282" s="757"/>
      <c r="AG1282" s="757"/>
      <c r="AH1282" s="757"/>
      <c r="AI1282" s="757"/>
      <c r="AJ1282" s="757"/>
      <c r="AK1282" s="757"/>
      <c r="AL1282" s="757"/>
      <c r="AM1282" s="757"/>
      <c r="AN1282" s="757"/>
      <c r="AO1282" s="757"/>
      <c r="AP1282" s="757"/>
      <c r="AQ1282" s="757"/>
      <c r="AR1282" s="757"/>
      <c r="AS1282" s="757"/>
      <c r="AT1282" s="757"/>
      <c r="AU1282" s="757"/>
      <c r="AV1282" s="757"/>
      <c r="AW1282" s="757"/>
      <c r="AX1282" s="757"/>
      <c r="AY1282" s="757"/>
      <c r="AZ1282" s="75"/>
      <c r="BA1282" s="2"/>
      <c r="BB1282" s="2"/>
      <c r="BC1282" s="2"/>
      <c r="BD1282" s="2"/>
    </row>
    <row r="1283" spans="1:56">
      <c r="A1283" s="781">
        <v>2</v>
      </c>
      <c r="B1283" s="782">
        <v>280</v>
      </c>
      <c r="C1283" s="783">
        <v>45616</v>
      </c>
      <c r="D1283" s="785" t="s">
        <v>5848</v>
      </c>
      <c r="E1283" s="808">
        <v>3900.85</v>
      </c>
      <c r="F1283" s="799"/>
      <c r="G1283" s="799"/>
      <c r="H1283" s="1592"/>
      <c r="I1283" s="754" t="str">
        <f>IFERROR(VLOOKUP(B1283,Mychart!$A$125:$B$911,2,FALSE),"-")</f>
        <v>Gaith Mohammad Aiahli</v>
      </c>
      <c r="J1283" s="753">
        <f t="shared" si="63"/>
        <v>11</v>
      </c>
      <c r="K1283" s="1540">
        <f t="shared" si="64"/>
        <v>2024</v>
      </c>
      <c r="L1283" s="757"/>
      <c r="M1283" s="757"/>
      <c r="N1283" s="757"/>
      <c r="O1283" s="757"/>
      <c r="P1283" s="757"/>
      <c r="Q1283" s="757"/>
      <c r="R1283" s="757"/>
      <c r="S1283" s="757"/>
      <c r="T1283" s="757"/>
      <c r="U1283" s="757"/>
      <c r="V1283" s="757"/>
      <c r="W1283" s="757"/>
      <c r="X1283" s="757"/>
      <c r="Y1283" s="757"/>
      <c r="Z1283" s="757"/>
      <c r="AA1283" s="757"/>
      <c r="AB1283" s="757"/>
      <c r="AC1283" s="757"/>
      <c r="AD1283" s="931">
        <v>45624.393761574072</v>
      </c>
      <c r="AE1283" s="757"/>
      <c r="AF1283" s="757"/>
      <c r="AG1283" s="757"/>
      <c r="AH1283" s="757"/>
      <c r="AI1283" s="757"/>
      <c r="AJ1283" s="757"/>
      <c r="AK1283" s="757"/>
      <c r="AL1283" s="757"/>
      <c r="AM1283" s="757"/>
      <c r="AN1283" s="757"/>
      <c r="AO1283" s="757"/>
      <c r="AP1283" s="757"/>
      <c r="AQ1283" s="757"/>
      <c r="AR1283" s="757"/>
      <c r="AS1283" s="757"/>
      <c r="AT1283" s="757"/>
      <c r="AU1283" s="757"/>
      <c r="AV1283" s="757"/>
      <c r="AW1283" s="757"/>
      <c r="AX1283" s="757"/>
      <c r="AY1283" s="757"/>
      <c r="AZ1283" s="75"/>
      <c r="BA1283" s="2"/>
      <c r="BB1283" s="2"/>
      <c r="BC1283" s="2"/>
      <c r="BD1283" s="2"/>
    </row>
    <row r="1284" spans="1:56">
      <c r="A1284" s="781">
        <v>2</v>
      </c>
      <c r="B1284" s="782">
        <v>292</v>
      </c>
      <c r="C1284" s="783">
        <v>45624</v>
      </c>
      <c r="D1284" s="785" t="s">
        <v>5871</v>
      </c>
      <c r="E1284" s="808">
        <v>600</v>
      </c>
      <c r="F1284" s="799"/>
      <c r="G1284" s="799"/>
      <c r="H1284" s="1592"/>
      <c r="I1284" s="754" t="str">
        <f>IFERROR(VLOOKUP(B1284,Mychart!$A$125:$B$911,2,FALSE),"-")</f>
        <v>ISMAIL MOHAMMAD ISMAIL ABDULGHAFOOR ALTAMIMI</v>
      </c>
      <c r="J1284" s="753">
        <f t="shared" si="63"/>
        <v>11</v>
      </c>
      <c r="K1284" s="1540">
        <f t="shared" si="64"/>
        <v>2024</v>
      </c>
      <c r="L1284" s="757"/>
      <c r="M1284" s="757"/>
      <c r="N1284" s="757"/>
      <c r="O1284" s="757"/>
      <c r="P1284" s="757"/>
      <c r="Q1284" s="757"/>
      <c r="R1284" s="757"/>
      <c r="S1284" s="757"/>
      <c r="T1284" s="757"/>
      <c r="U1284" s="757"/>
      <c r="V1284" s="757"/>
      <c r="W1284" s="757"/>
      <c r="X1284" s="757"/>
      <c r="Y1284" s="757"/>
      <c r="Z1284" s="757"/>
      <c r="AA1284" s="757"/>
      <c r="AB1284" s="757"/>
      <c r="AC1284" s="757"/>
      <c r="AD1284" s="931">
        <v>45626.47859953704</v>
      </c>
      <c r="AE1284" s="757"/>
      <c r="AF1284" s="757"/>
      <c r="AG1284" s="757"/>
      <c r="AH1284" s="757"/>
      <c r="AI1284" s="757"/>
      <c r="AJ1284" s="757"/>
      <c r="AK1284" s="757"/>
      <c r="AL1284" s="757"/>
      <c r="AM1284" s="757"/>
      <c r="AN1284" s="757"/>
      <c r="AO1284" s="757"/>
      <c r="AP1284" s="757"/>
      <c r="AQ1284" s="757"/>
      <c r="AR1284" s="757"/>
      <c r="AS1284" s="757"/>
      <c r="AT1284" s="757"/>
      <c r="AU1284" s="757"/>
      <c r="AV1284" s="757"/>
      <c r="AW1284" s="757"/>
      <c r="AX1284" s="757"/>
      <c r="AY1284" s="757"/>
      <c r="AZ1284" s="75"/>
      <c r="BA1284" s="2"/>
      <c r="BB1284" s="2"/>
      <c r="BC1284" s="2"/>
      <c r="BD1284" s="2"/>
    </row>
    <row r="1285" spans="1:56">
      <c r="A1285" s="781">
        <v>2</v>
      </c>
      <c r="B1285" s="782">
        <v>291</v>
      </c>
      <c r="C1285" s="783">
        <v>45624</v>
      </c>
      <c r="D1285" s="785" t="s">
        <v>5872</v>
      </c>
      <c r="E1285" s="808">
        <v>500</v>
      </c>
      <c r="F1285" s="799"/>
      <c r="G1285" s="799"/>
      <c r="H1285" s="1592"/>
      <c r="I1285" s="754" t="str">
        <f>IFERROR(VLOOKUP(B1285,Mychart!$A$125:$B$911,2,FALSE),"-")</f>
        <v>OBAID NASSER OBAID MAHMOOD ASHOOR</v>
      </c>
      <c r="J1285" s="753">
        <f t="shared" ref="J1285:J1291" si="65">IF(C1285&lt;&gt;"", MONTH(C1285),"-")</f>
        <v>11</v>
      </c>
      <c r="K1285" s="1540">
        <f t="shared" ref="K1285:K1291" si="66">YEAR(C1285)</f>
        <v>2024</v>
      </c>
      <c r="L1285" s="757"/>
      <c r="M1285" s="757"/>
      <c r="N1285" s="757"/>
      <c r="O1285" s="757"/>
      <c r="P1285" s="757"/>
      <c r="Q1285" s="757"/>
      <c r="R1285" s="757"/>
      <c r="S1285" s="757"/>
      <c r="T1285" s="757"/>
      <c r="U1285" s="757"/>
      <c r="V1285" s="757"/>
      <c r="W1285" s="757"/>
      <c r="X1285" s="757"/>
      <c r="Y1285" s="757"/>
      <c r="Z1285" s="757"/>
      <c r="AA1285" s="757"/>
      <c r="AB1285" s="757"/>
      <c r="AC1285" s="757"/>
      <c r="AD1285" s="931">
        <v>45626.47861111111</v>
      </c>
      <c r="AE1285" s="757"/>
      <c r="AF1285" s="757"/>
      <c r="AG1285" s="757"/>
      <c r="AH1285" s="757"/>
      <c r="AI1285" s="757"/>
      <c r="AJ1285" s="757"/>
      <c r="AK1285" s="757"/>
      <c r="AL1285" s="757"/>
      <c r="AM1285" s="757"/>
      <c r="AN1285" s="757"/>
      <c r="AO1285" s="757"/>
      <c r="AP1285" s="757"/>
      <c r="AQ1285" s="757"/>
      <c r="AR1285" s="757"/>
      <c r="AS1285" s="757"/>
      <c r="AT1285" s="757"/>
      <c r="AU1285" s="757"/>
      <c r="AV1285" s="757"/>
      <c r="AW1285" s="757"/>
      <c r="AX1285" s="757"/>
      <c r="AY1285" s="757"/>
      <c r="AZ1285" s="75"/>
      <c r="BA1285" s="2"/>
      <c r="BB1285" s="2"/>
      <c r="BC1285" s="2"/>
      <c r="BD1285" s="2"/>
    </row>
    <row r="1286" spans="1:56">
      <c r="A1286" s="781">
        <v>2</v>
      </c>
      <c r="B1286" s="782">
        <v>290</v>
      </c>
      <c r="C1286" s="783">
        <v>45624</v>
      </c>
      <c r="D1286" s="785" t="s">
        <v>5873</v>
      </c>
      <c r="E1286" s="808">
        <v>500</v>
      </c>
      <c r="F1286" s="799"/>
      <c r="G1286" s="799"/>
      <c r="H1286" s="1592"/>
      <c r="I1286" s="754" t="str">
        <f>IFERROR(VLOOKUP(B1286,Mychart!$A$125:$B$911,2,FALSE),"-")</f>
        <v>Ali Hassan Mohammed Ali AlShammar</v>
      </c>
      <c r="J1286" s="753">
        <f t="shared" si="65"/>
        <v>11</v>
      </c>
      <c r="K1286" s="1540">
        <f t="shared" si="66"/>
        <v>2024</v>
      </c>
      <c r="L1286" s="757"/>
      <c r="M1286" s="757"/>
      <c r="N1286" s="757"/>
      <c r="O1286" s="757"/>
      <c r="P1286" s="757"/>
      <c r="Q1286" s="757"/>
      <c r="R1286" s="757"/>
      <c r="S1286" s="757"/>
      <c r="T1286" s="757"/>
      <c r="U1286" s="757"/>
      <c r="V1286" s="757"/>
      <c r="W1286" s="757"/>
      <c r="X1286" s="757"/>
      <c r="Y1286" s="757"/>
      <c r="Z1286" s="757"/>
      <c r="AA1286" s="757"/>
      <c r="AB1286" s="757"/>
      <c r="AC1286" s="757"/>
      <c r="AD1286" s="931">
        <v>45626.47861111111</v>
      </c>
      <c r="AE1286" s="757"/>
      <c r="AF1286" s="757"/>
      <c r="AG1286" s="757"/>
      <c r="AH1286" s="757"/>
      <c r="AI1286" s="757"/>
      <c r="AJ1286" s="757"/>
      <c r="AK1286" s="757"/>
      <c r="AL1286" s="757"/>
      <c r="AM1286" s="757"/>
      <c r="AN1286" s="757"/>
      <c r="AO1286" s="757"/>
      <c r="AP1286" s="757"/>
      <c r="AQ1286" s="757"/>
      <c r="AR1286" s="757"/>
      <c r="AS1286" s="757"/>
      <c r="AT1286" s="757"/>
      <c r="AU1286" s="757"/>
      <c r="AV1286" s="757"/>
      <c r="AW1286" s="757"/>
      <c r="AX1286" s="757"/>
      <c r="AY1286" s="757"/>
      <c r="AZ1286" s="75"/>
      <c r="BA1286" s="2"/>
      <c r="BB1286" s="2"/>
      <c r="BC1286" s="2"/>
      <c r="BD1286" s="2"/>
    </row>
    <row r="1287" spans="1:56">
      <c r="A1287" s="781">
        <v>2</v>
      </c>
      <c r="B1287" s="782">
        <v>289</v>
      </c>
      <c r="C1287" s="783">
        <v>45624</v>
      </c>
      <c r="D1287" s="785" t="s">
        <v>5874</v>
      </c>
      <c r="E1287" s="808">
        <v>500</v>
      </c>
      <c r="F1287" s="799"/>
      <c r="G1287" s="799"/>
      <c r="H1287" s="1592"/>
      <c r="I1287" s="754" t="str">
        <f>IFERROR(VLOOKUP(B1287,Mychart!$A$125:$B$911,2,FALSE),"-")</f>
        <v>Mohamed Khamis Saad Mubarak Al Abdla</v>
      </c>
      <c r="J1287" s="753">
        <f t="shared" si="65"/>
        <v>11</v>
      </c>
      <c r="K1287" s="1540">
        <f t="shared" si="66"/>
        <v>2024</v>
      </c>
      <c r="L1287" s="757"/>
      <c r="M1287" s="757"/>
      <c r="N1287" s="757"/>
      <c r="O1287" s="757"/>
      <c r="P1287" s="757"/>
      <c r="Q1287" s="757"/>
      <c r="R1287" s="757"/>
      <c r="S1287" s="757"/>
      <c r="T1287" s="757"/>
      <c r="U1287" s="757"/>
      <c r="V1287" s="757"/>
      <c r="W1287" s="757"/>
      <c r="X1287" s="757"/>
      <c r="Y1287" s="757"/>
      <c r="Z1287" s="757"/>
      <c r="AA1287" s="757"/>
      <c r="AB1287" s="757"/>
      <c r="AC1287" s="757"/>
      <c r="AD1287" s="931">
        <v>45626.47861111111</v>
      </c>
      <c r="AE1287" s="757"/>
      <c r="AF1287" s="757"/>
      <c r="AG1287" s="757"/>
      <c r="AH1287" s="757"/>
      <c r="AI1287" s="757"/>
      <c r="AJ1287" s="757"/>
      <c r="AK1287" s="757"/>
      <c r="AL1287" s="757"/>
      <c r="AM1287" s="757"/>
      <c r="AN1287" s="757"/>
      <c r="AO1287" s="757"/>
      <c r="AP1287" s="757"/>
      <c r="AQ1287" s="757"/>
      <c r="AR1287" s="757"/>
      <c r="AS1287" s="757"/>
      <c r="AT1287" s="757"/>
      <c r="AU1287" s="757"/>
      <c r="AV1287" s="757"/>
      <c r="AW1287" s="757"/>
      <c r="AX1287" s="757"/>
      <c r="AY1287" s="757"/>
      <c r="AZ1287" s="75"/>
      <c r="BA1287" s="2"/>
      <c r="BB1287" s="2"/>
      <c r="BC1287" s="2"/>
      <c r="BD1287" s="2"/>
    </row>
    <row r="1288" spans="1:56">
      <c r="A1288" s="781">
        <v>2</v>
      </c>
      <c r="B1288" s="782">
        <v>293</v>
      </c>
      <c r="C1288" s="783">
        <v>45608</v>
      </c>
      <c r="D1288" s="785" t="s">
        <v>5877</v>
      </c>
      <c r="E1288" s="808">
        <v>84000</v>
      </c>
      <c r="F1288" s="799"/>
      <c r="G1288" s="799"/>
      <c r="H1288" s="1592"/>
      <c r="I1288" s="754" t="str">
        <f>IFERROR(VLOOKUP(B1288,Mychart!$A$125:$B$911,2,FALSE),"-")</f>
        <v>Federal  Youth  Authority  - Sharjah</v>
      </c>
      <c r="J1288" s="753">
        <f t="shared" si="65"/>
        <v>11</v>
      </c>
      <c r="K1288" s="1540">
        <f t="shared" si="66"/>
        <v>2024</v>
      </c>
      <c r="L1288" s="757"/>
      <c r="M1288" s="757"/>
      <c r="N1288" s="757"/>
      <c r="O1288" s="757"/>
      <c r="P1288" s="757"/>
      <c r="Q1288" s="757"/>
      <c r="R1288" s="757"/>
      <c r="S1288" s="757"/>
      <c r="T1288" s="757"/>
      <c r="U1288" s="757"/>
      <c r="V1288" s="757"/>
      <c r="W1288" s="757"/>
      <c r="X1288" s="757"/>
      <c r="Y1288" s="757"/>
      <c r="Z1288" s="757"/>
      <c r="AA1288" s="757"/>
      <c r="AB1288" s="757"/>
      <c r="AC1288" s="757"/>
      <c r="AD1288" s="931">
        <v>45626.478622685187</v>
      </c>
      <c r="AE1288" s="757"/>
      <c r="AF1288" s="757"/>
      <c r="AG1288" s="757"/>
      <c r="AH1288" s="757"/>
      <c r="AI1288" s="757"/>
      <c r="AJ1288" s="757"/>
      <c r="AK1288" s="757"/>
      <c r="AL1288" s="757"/>
      <c r="AM1288" s="757"/>
      <c r="AN1288" s="757"/>
      <c r="AO1288" s="757"/>
      <c r="AP1288" s="757"/>
      <c r="AQ1288" s="757"/>
      <c r="AR1288" s="757"/>
      <c r="AS1288" s="757"/>
      <c r="AT1288" s="757"/>
      <c r="AU1288" s="757"/>
      <c r="AV1288" s="757"/>
      <c r="AW1288" s="757"/>
      <c r="AX1288" s="757"/>
      <c r="AY1288" s="757"/>
      <c r="AZ1288" s="75"/>
      <c r="BA1288" s="2"/>
      <c r="BB1288" s="2"/>
      <c r="BC1288" s="2"/>
      <c r="BD1288" s="2"/>
    </row>
    <row r="1289" spans="1:56">
      <c r="A1289" s="781">
        <v>2</v>
      </c>
      <c r="B1289" s="782">
        <v>293</v>
      </c>
      <c r="C1289" s="783">
        <v>45624</v>
      </c>
      <c r="D1289" s="785" t="s">
        <v>5883</v>
      </c>
      <c r="E1289" s="808">
        <v>16000</v>
      </c>
      <c r="F1289" s="799"/>
      <c r="G1289" s="799"/>
      <c r="H1289" s="1592"/>
      <c r="I1289" s="754" t="str">
        <f>IFERROR(VLOOKUP(B1289,Mychart!$A$125:$B$911,2,FALSE),"-")</f>
        <v>Federal  Youth  Authority  - Sharjah</v>
      </c>
      <c r="J1289" s="753">
        <f t="shared" si="65"/>
        <v>11</v>
      </c>
      <c r="K1289" s="1540">
        <f t="shared" si="66"/>
        <v>2024</v>
      </c>
      <c r="L1289" s="757"/>
      <c r="M1289" s="757"/>
      <c r="N1289" s="757"/>
      <c r="O1289" s="757"/>
      <c r="P1289" s="757"/>
      <c r="Q1289" s="757"/>
      <c r="R1289" s="757"/>
      <c r="S1289" s="757"/>
      <c r="T1289" s="757"/>
      <c r="U1289" s="757"/>
      <c r="V1289" s="757"/>
      <c r="W1289" s="757"/>
      <c r="X1289" s="757"/>
      <c r="Y1289" s="757"/>
      <c r="Z1289" s="757"/>
      <c r="AA1289" s="757"/>
      <c r="AB1289" s="757"/>
      <c r="AC1289" s="757"/>
      <c r="AD1289" s="931">
        <v>45626.478622685187</v>
      </c>
      <c r="AE1289" s="757"/>
      <c r="AF1289" s="757"/>
      <c r="AG1289" s="757"/>
      <c r="AH1289" s="757"/>
      <c r="AI1289" s="757"/>
      <c r="AJ1289" s="757"/>
      <c r="AK1289" s="757"/>
      <c r="AL1289" s="757"/>
      <c r="AM1289" s="757"/>
      <c r="AN1289" s="757"/>
      <c r="AO1289" s="757"/>
      <c r="AP1289" s="757"/>
      <c r="AQ1289" s="757"/>
      <c r="AR1289" s="757"/>
      <c r="AS1289" s="757"/>
      <c r="AT1289" s="757"/>
      <c r="AU1289" s="757"/>
      <c r="AV1289" s="757"/>
      <c r="AW1289" s="757"/>
      <c r="AX1289" s="757"/>
      <c r="AY1289" s="757"/>
      <c r="AZ1289" s="75"/>
      <c r="BA1289" s="2"/>
      <c r="BB1289" s="2"/>
      <c r="BC1289" s="2"/>
      <c r="BD1289" s="2"/>
    </row>
    <row r="1290" spans="1:56">
      <c r="A1290" s="781">
        <v>1</v>
      </c>
      <c r="B1290" s="782">
        <v>278</v>
      </c>
      <c r="C1290" s="783">
        <v>45624</v>
      </c>
      <c r="D1290" s="785" t="s">
        <v>5891</v>
      </c>
      <c r="E1290" s="808"/>
      <c r="F1290" s="799">
        <v>44000</v>
      </c>
      <c r="G1290" s="799">
        <v>0</v>
      </c>
      <c r="H1290" s="1592">
        <v>44000</v>
      </c>
      <c r="I1290" s="754" t="str">
        <f>IFERROR(VLOOKUP(B1290,Mychart!$A$125:$B$911,2,FALSE),"-")</f>
        <v>Rashed Ahmed Yousef Mohamed Al Balooshi- Archpix</v>
      </c>
      <c r="J1290" s="753">
        <f t="shared" si="65"/>
        <v>11</v>
      </c>
      <c r="K1290" s="1540">
        <f t="shared" si="66"/>
        <v>2024</v>
      </c>
      <c r="L1290" s="757"/>
      <c r="M1290" s="757"/>
      <c r="N1290" s="757"/>
      <c r="O1290" s="757"/>
      <c r="P1290" s="757"/>
      <c r="Q1290" s="757"/>
      <c r="R1290" s="757"/>
      <c r="S1290" s="757"/>
      <c r="T1290" s="757"/>
      <c r="U1290" s="757"/>
      <c r="V1290" s="757"/>
      <c r="W1290" s="757"/>
      <c r="X1290" s="757"/>
      <c r="Y1290" s="757"/>
      <c r="Z1290" s="757"/>
      <c r="AA1290" s="757"/>
      <c r="AB1290" s="757"/>
      <c r="AC1290" s="757"/>
      <c r="AD1290" s="931">
        <v>45626.478634259256</v>
      </c>
      <c r="AE1290" s="757"/>
      <c r="AF1290" s="757"/>
      <c r="AG1290" s="757"/>
      <c r="AH1290" s="757"/>
      <c r="AI1290" s="757"/>
      <c r="AJ1290" s="757"/>
      <c r="AK1290" s="757"/>
      <c r="AL1290" s="757"/>
      <c r="AM1290" s="757"/>
      <c r="AN1290" s="757"/>
      <c r="AO1290" s="757"/>
      <c r="AP1290" s="757"/>
      <c r="AQ1290" s="757"/>
      <c r="AR1290" s="757"/>
      <c r="AS1290" s="757"/>
      <c r="AT1290" s="757"/>
      <c r="AU1290" s="757"/>
      <c r="AV1290" s="757"/>
      <c r="AW1290" s="757"/>
      <c r="AX1290" s="757"/>
      <c r="AY1290" s="757"/>
      <c r="AZ1290" s="75"/>
      <c r="BA1290" s="2"/>
      <c r="BB1290" s="2"/>
      <c r="BC1290" s="2"/>
      <c r="BD1290" s="2"/>
    </row>
    <row r="1291" spans="1:56">
      <c r="A1291" s="781">
        <v>1</v>
      </c>
      <c r="B1291" s="782">
        <v>293</v>
      </c>
      <c r="C1291" s="783">
        <v>45623</v>
      </c>
      <c r="D1291" s="785" t="s">
        <v>5895</v>
      </c>
      <c r="E1291" s="808"/>
      <c r="F1291" s="799">
        <v>95000</v>
      </c>
      <c r="G1291" s="799">
        <v>4750</v>
      </c>
      <c r="H1291" s="1592">
        <v>99750</v>
      </c>
      <c r="I1291" s="754" t="str">
        <f>IFERROR(VLOOKUP(B1291,Mychart!$A$125:$B$911,2,FALSE),"-")</f>
        <v>Federal  Youth  Authority  - Sharjah</v>
      </c>
      <c r="J1291" s="753">
        <f t="shared" si="65"/>
        <v>11</v>
      </c>
      <c r="K1291" s="1540">
        <f t="shared" si="66"/>
        <v>2024</v>
      </c>
      <c r="L1291" s="757"/>
      <c r="M1291" s="757"/>
      <c r="N1291" s="757"/>
      <c r="O1291" s="757"/>
      <c r="P1291" s="757"/>
      <c r="Q1291" s="757"/>
      <c r="R1291" s="757"/>
      <c r="S1291" s="757"/>
      <c r="T1291" s="757"/>
      <c r="U1291" s="757"/>
      <c r="V1291" s="757"/>
      <c r="W1291" s="757"/>
      <c r="X1291" s="757"/>
      <c r="Y1291" s="757"/>
      <c r="Z1291" s="757"/>
      <c r="AA1291" s="757"/>
      <c r="AB1291" s="757"/>
      <c r="AC1291" s="757"/>
      <c r="AD1291" s="931">
        <v>45626.478634259256</v>
      </c>
      <c r="AE1291" s="757"/>
      <c r="AF1291" s="757"/>
      <c r="AG1291" s="757"/>
      <c r="AH1291" s="757"/>
      <c r="AI1291" s="757"/>
      <c r="AJ1291" s="757"/>
      <c r="AK1291" s="757"/>
      <c r="AL1291" s="757"/>
      <c r="AM1291" s="757"/>
      <c r="AN1291" s="757"/>
      <c r="AO1291" s="757"/>
      <c r="AP1291" s="757"/>
      <c r="AQ1291" s="757"/>
      <c r="AR1291" s="757"/>
      <c r="AS1291" s="757"/>
      <c r="AT1291" s="757"/>
      <c r="AU1291" s="757"/>
      <c r="AV1291" s="757"/>
      <c r="AW1291" s="757"/>
      <c r="AX1291" s="757"/>
      <c r="AY1291" s="757"/>
      <c r="AZ1291" s="75"/>
      <c r="BA1291" s="2"/>
      <c r="BB1291" s="2"/>
      <c r="BC1291" s="2"/>
      <c r="BD1291" s="2"/>
    </row>
    <row r="1292" spans="1:56">
      <c r="A1292" s="781">
        <v>2</v>
      </c>
      <c r="B1292" s="782">
        <v>264</v>
      </c>
      <c r="C1292" s="783">
        <v>45622</v>
      </c>
      <c r="D1292" s="785" t="s">
        <v>5908</v>
      </c>
      <c r="E1292" s="808">
        <v>35196</v>
      </c>
      <c r="F1292" s="799"/>
      <c r="G1292" s="799"/>
      <c r="H1292" s="1592"/>
      <c r="I1292" s="754" t="str">
        <f>IFERROR(VLOOKUP(B1292,Mychart!$A$125:$B$911,2,FALSE),"-")</f>
        <v>Rashed khalifa abid</v>
      </c>
      <c r="J1292" s="753">
        <f t="shared" ref="J1292:J1301" si="67">IF(C1292&lt;&gt;"", MONTH(C1292),"-")</f>
        <v>11</v>
      </c>
      <c r="K1292" s="1540">
        <f t="shared" ref="K1292:K1301" si="68">YEAR(C1292)</f>
        <v>2024</v>
      </c>
      <c r="L1292" s="757"/>
      <c r="M1292" s="757"/>
      <c r="N1292" s="757"/>
      <c r="O1292" s="757"/>
      <c r="P1292" s="757"/>
      <c r="Q1292" s="757"/>
      <c r="R1292" s="757"/>
      <c r="S1292" s="757"/>
      <c r="T1292" s="757"/>
      <c r="U1292" s="757"/>
      <c r="V1292" s="757"/>
      <c r="W1292" s="757"/>
      <c r="X1292" s="757"/>
      <c r="Y1292" s="757"/>
      <c r="Z1292" s="757"/>
      <c r="AA1292" s="757"/>
      <c r="AB1292" s="757"/>
      <c r="AC1292" s="757"/>
      <c r="AD1292" s="931">
        <v>45626.496111111112</v>
      </c>
      <c r="AE1292" s="757"/>
      <c r="AF1292" s="757"/>
      <c r="AG1292" s="757"/>
      <c r="AH1292" s="757"/>
      <c r="AI1292" s="757"/>
      <c r="AJ1292" s="757"/>
      <c r="AK1292" s="757"/>
      <c r="AL1292" s="757"/>
      <c r="AM1292" s="757"/>
      <c r="AN1292" s="757"/>
      <c r="AO1292" s="757"/>
      <c r="AP1292" s="757"/>
      <c r="AQ1292" s="757"/>
      <c r="AR1292" s="757"/>
      <c r="AS1292" s="757"/>
      <c r="AT1292" s="757"/>
      <c r="AU1292" s="757"/>
      <c r="AV1292" s="757"/>
      <c r="AW1292" s="757"/>
      <c r="AX1292" s="757"/>
      <c r="AY1292" s="757"/>
      <c r="AZ1292" s="75"/>
      <c r="BA1292" s="2"/>
      <c r="BB1292" s="2"/>
      <c r="BC1292" s="2"/>
      <c r="BD1292" s="2"/>
    </row>
    <row r="1293" spans="1:56">
      <c r="A1293" s="781">
        <v>2</v>
      </c>
      <c r="B1293" s="782">
        <v>257</v>
      </c>
      <c r="C1293" s="783">
        <v>45622</v>
      </c>
      <c r="D1293" s="785" t="s">
        <v>5910</v>
      </c>
      <c r="E1293" s="808">
        <v>9555</v>
      </c>
      <c r="F1293" s="799"/>
      <c r="G1293" s="799"/>
      <c r="H1293" s="1592"/>
      <c r="I1293" s="754" t="str">
        <f>IFERROR(VLOOKUP(B1293,Mychart!$A$125:$B$911,2,FALSE),"-")</f>
        <v>NAAEMA SALEH - ERTIKAZ</v>
      </c>
      <c r="J1293" s="753">
        <f t="shared" si="67"/>
        <v>11</v>
      </c>
      <c r="K1293" s="1540">
        <f t="shared" si="68"/>
        <v>2024</v>
      </c>
      <c r="L1293" s="757"/>
      <c r="M1293" s="757"/>
      <c r="N1293" s="757"/>
      <c r="O1293" s="757"/>
      <c r="P1293" s="757"/>
      <c r="Q1293" s="757"/>
      <c r="R1293" s="757"/>
      <c r="S1293" s="757"/>
      <c r="T1293" s="757"/>
      <c r="U1293" s="757"/>
      <c r="V1293" s="757"/>
      <c r="W1293" s="757"/>
      <c r="X1293" s="757"/>
      <c r="Y1293" s="757"/>
      <c r="Z1293" s="757"/>
      <c r="AA1293" s="757"/>
      <c r="AB1293" s="757"/>
      <c r="AC1293" s="757"/>
      <c r="AD1293" s="931">
        <v>45626.496111111112</v>
      </c>
      <c r="AE1293" s="757"/>
      <c r="AF1293" s="757"/>
      <c r="AG1293" s="757"/>
      <c r="AH1293" s="757"/>
      <c r="AI1293" s="757"/>
      <c r="AJ1293" s="757"/>
      <c r="AK1293" s="757"/>
      <c r="AL1293" s="757"/>
      <c r="AM1293" s="757"/>
      <c r="AN1293" s="757"/>
      <c r="AO1293" s="757"/>
      <c r="AP1293" s="757"/>
      <c r="AQ1293" s="757"/>
      <c r="AR1293" s="757"/>
      <c r="AS1293" s="757"/>
      <c r="AT1293" s="757"/>
      <c r="AU1293" s="757"/>
      <c r="AV1293" s="757"/>
      <c r="AW1293" s="757"/>
      <c r="AX1293" s="757"/>
      <c r="AY1293" s="757"/>
      <c r="AZ1293" s="75"/>
      <c r="BA1293" s="2"/>
      <c r="BB1293" s="2"/>
      <c r="BC1293" s="2"/>
      <c r="BD1293" s="2"/>
    </row>
    <row r="1294" spans="1:56">
      <c r="A1294" s="781">
        <v>2</v>
      </c>
      <c r="B1294" s="782">
        <v>293</v>
      </c>
      <c r="C1294" s="783">
        <v>45625</v>
      </c>
      <c r="D1294" s="785" t="s">
        <v>5944</v>
      </c>
      <c r="E1294" s="808">
        <v>4000</v>
      </c>
      <c r="F1294" s="799"/>
      <c r="G1294" s="799"/>
      <c r="H1294" s="1592"/>
      <c r="I1294" s="754" t="str">
        <f>IFERROR(VLOOKUP(B1294,Mychart!$A$125:$B$911,2,FALSE),"-")</f>
        <v>Federal  Youth  Authority  - Sharjah</v>
      </c>
      <c r="J1294" s="753">
        <f t="shared" si="67"/>
        <v>11</v>
      </c>
      <c r="K1294" s="1540">
        <f t="shared" si="68"/>
        <v>2024</v>
      </c>
      <c r="L1294" s="757"/>
      <c r="M1294" s="757"/>
      <c r="N1294" s="757"/>
      <c r="O1294" s="757"/>
      <c r="P1294" s="757"/>
      <c r="Q1294" s="757"/>
      <c r="R1294" s="757"/>
      <c r="S1294" s="757"/>
      <c r="T1294" s="757"/>
      <c r="U1294" s="757"/>
      <c r="V1294" s="757"/>
      <c r="W1294" s="757"/>
      <c r="X1294" s="757"/>
      <c r="Y1294" s="757"/>
      <c r="Z1294" s="757"/>
      <c r="AA1294" s="757"/>
      <c r="AB1294" s="757"/>
      <c r="AC1294" s="757"/>
      <c r="AD1294" s="931">
        <v>45627.40625</v>
      </c>
      <c r="AE1294" s="757"/>
      <c r="AF1294" s="757"/>
      <c r="AG1294" s="757"/>
      <c r="AH1294" s="757"/>
      <c r="AI1294" s="757"/>
      <c r="AJ1294" s="757"/>
      <c r="AK1294" s="757"/>
      <c r="AL1294" s="757"/>
      <c r="AM1294" s="757"/>
      <c r="AN1294" s="757"/>
      <c r="AO1294" s="757"/>
      <c r="AP1294" s="757"/>
      <c r="AQ1294" s="757"/>
      <c r="AR1294" s="757"/>
      <c r="AS1294" s="757"/>
      <c r="AT1294" s="757"/>
      <c r="AU1294" s="757"/>
      <c r="AV1294" s="757"/>
      <c r="AW1294" s="757"/>
      <c r="AX1294" s="757"/>
      <c r="AY1294" s="757"/>
      <c r="AZ1294" s="75"/>
      <c r="BA1294" s="2"/>
      <c r="BB1294" s="2"/>
      <c r="BC1294" s="2"/>
      <c r="BD1294" s="2"/>
    </row>
    <row r="1295" spans="1:56">
      <c r="A1295" s="781">
        <v>2</v>
      </c>
      <c r="B1295" s="782">
        <v>262</v>
      </c>
      <c r="C1295" s="783">
        <v>45626</v>
      </c>
      <c r="D1295" s="785" t="s">
        <v>6003</v>
      </c>
      <c r="E1295" s="808">
        <v>7045.5</v>
      </c>
      <c r="F1295" s="799"/>
      <c r="G1295" s="799"/>
      <c r="H1295" s="1592"/>
      <c r="I1295" s="754" t="str">
        <f>IFERROR(VLOOKUP(B1295,Mychart!$A$125:$B$911,2,FALSE),"-")</f>
        <v>Amna Ahmed</v>
      </c>
      <c r="J1295" s="753">
        <f t="shared" si="67"/>
        <v>11</v>
      </c>
      <c r="K1295" s="1540">
        <f t="shared" si="68"/>
        <v>2024</v>
      </c>
      <c r="L1295" s="757"/>
      <c r="M1295" s="757"/>
      <c r="N1295" s="757"/>
      <c r="O1295" s="757"/>
      <c r="P1295" s="757"/>
      <c r="Q1295" s="757"/>
      <c r="R1295" s="757"/>
      <c r="S1295" s="757"/>
      <c r="T1295" s="757"/>
      <c r="U1295" s="757"/>
      <c r="V1295" s="757"/>
      <c r="W1295" s="757"/>
      <c r="X1295" s="757"/>
      <c r="Y1295" s="757"/>
      <c r="Z1295" s="757"/>
      <c r="AA1295" s="757"/>
      <c r="AB1295" s="757"/>
      <c r="AC1295" s="757"/>
      <c r="AD1295" s="931">
        <v>45633.466724537036</v>
      </c>
      <c r="AE1295" s="757"/>
      <c r="AF1295" s="757"/>
      <c r="AG1295" s="757"/>
      <c r="AH1295" s="757"/>
      <c r="AI1295" s="757"/>
      <c r="AJ1295" s="757"/>
      <c r="AK1295" s="757"/>
      <c r="AL1295" s="757"/>
      <c r="AM1295" s="757"/>
      <c r="AN1295" s="757"/>
      <c r="AO1295" s="757"/>
      <c r="AP1295" s="757"/>
      <c r="AQ1295" s="757"/>
      <c r="AR1295" s="757"/>
      <c r="AS1295" s="757"/>
      <c r="AT1295" s="757"/>
      <c r="AU1295" s="757"/>
      <c r="AV1295" s="757"/>
      <c r="AW1295" s="757"/>
      <c r="AX1295" s="757"/>
      <c r="AY1295" s="757"/>
      <c r="AZ1295" s="75"/>
      <c r="BA1295" s="2"/>
      <c r="BB1295" s="2"/>
      <c r="BC1295" s="2"/>
      <c r="BD1295" s="2"/>
    </row>
    <row r="1296" spans="1:56">
      <c r="A1296" s="781">
        <v>2</v>
      </c>
      <c r="B1296" s="782">
        <v>252</v>
      </c>
      <c r="C1296" s="783">
        <v>45630</v>
      </c>
      <c r="D1296" s="785" t="s">
        <v>6005</v>
      </c>
      <c r="E1296" s="808">
        <v>194.34</v>
      </c>
      <c r="F1296" s="799"/>
      <c r="G1296" s="799"/>
      <c r="H1296" s="1592"/>
      <c r="I1296" s="754" t="str">
        <f>IFERROR(VLOOKUP(B1296,Mychart!$A$125:$B$911,2,FALSE),"-")</f>
        <v>Mohamed Saif - HBC</v>
      </c>
      <c r="J1296" s="753">
        <f t="shared" si="67"/>
        <v>12</v>
      </c>
      <c r="K1296" s="1540">
        <f t="shared" si="68"/>
        <v>2024</v>
      </c>
      <c r="L1296" s="757"/>
      <c r="M1296" s="757"/>
      <c r="N1296" s="757"/>
      <c r="O1296" s="757"/>
      <c r="P1296" s="757"/>
      <c r="Q1296" s="757"/>
      <c r="R1296" s="757"/>
      <c r="S1296" s="757"/>
      <c r="T1296" s="757"/>
      <c r="U1296" s="757"/>
      <c r="V1296" s="757"/>
      <c r="W1296" s="757"/>
      <c r="X1296" s="757"/>
      <c r="Y1296" s="757"/>
      <c r="Z1296" s="757"/>
      <c r="AA1296" s="757"/>
      <c r="AB1296" s="757"/>
      <c r="AC1296" s="757"/>
      <c r="AD1296" s="931">
        <v>45633.466736111113</v>
      </c>
      <c r="AE1296" s="757"/>
      <c r="AF1296" s="757"/>
      <c r="AG1296" s="757"/>
      <c r="AH1296" s="757"/>
      <c r="AI1296" s="757"/>
      <c r="AJ1296" s="757"/>
      <c r="AK1296" s="757"/>
      <c r="AL1296" s="757"/>
      <c r="AM1296" s="757"/>
      <c r="AN1296" s="757"/>
      <c r="AO1296" s="757"/>
      <c r="AP1296" s="757"/>
      <c r="AQ1296" s="757"/>
      <c r="AR1296" s="757"/>
      <c r="AS1296" s="757"/>
      <c r="AT1296" s="757"/>
      <c r="AU1296" s="757"/>
      <c r="AV1296" s="757"/>
      <c r="AW1296" s="757"/>
      <c r="AX1296" s="757"/>
      <c r="AY1296" s="757"/>
      <c r="AZ1296" s="75"/>
      <c r="BA1296" s="2"/>
      <c r="BB1296" s="2"/>
      <c r="BC1296" s="2"/>
      <c r="BD1296" s="2"/>
    </row>
    <row r="1297" spans="1:56">
      <c r="A1297" s="781">
        <v>2</v>
      </c>
      <c r="B1297" s="782">
        <v>293</v>
      </c>
      <c r="C1297" s="783">
        <v>45626</v>
      </c>
      <c r="D1297" s="785" t="s">
        <v>6007</v>
      </c>
      <c r="E1297" s="808">
        <v>1449</v>
      </c>
      <c r="F1297" s="799"/>
      <c r="G1297" s="799"/>
      <c r="H1297" s="1592"/>
      <c r="I1297" s="754" t="str">
        <f>IFERROR(VLOOKUP(B1297,Mychart!$A$125:$B$911,2,FALSE),"-")</f>
        <v>Federal  Youth  Authority  - Sharjah</v>
      </c>
      <c r="J1297" s="753">
        <f t="shared" si="67"/>
        <v>11</v>
      </c>
      <c r="K1297" s="1540">
        <f t="shared" si="68"/>
        <v>2024</v>
      </c>
      <c r="L1297" s="757"/>
      <c r="M1297" s="757"/>
      <c r="N1297" s="757"/>
      <c r="O1297" s="757"/>
      <c r="P1297" s="757"/>
      <c r="Q1297" s="757"/>
      <c r="R1297" s="757"/>
      <c r="S1297" s="757"/>
      <c r="T1297" s="757"/>
      <c r="U1297" s="757"/>
      <c r="V1297" s="757"/>
      <c r="W1297" s="757"/>
      <c r="X1297" s="757"/>
      <c r="Y1297" s="757"/>
      <c r="Z1297" s="757"/>
      <c r="AA1297" s="757"/>
      <c r="AB1297" s="757"/>
      <c r="AC1297" s="757"/>
      <c r="AD1297" s="931">
        <v>45633.466736111113</v>
      </c>
      <c r="AE1297" s="757"/>
      <c r="AF1297" s="757"/>
      <c r="AG1297" s="757"/>
      <c r="AH1297" s="757"/>
      <c r="AI1297" s="757"/>
      <c r="AJ1297" s="757"/>
      <c r="AK1297" s="757"/>
      <c r="AL1297" s="757"/>
      <c r="AM1297" s="757"/>
      <c r="AN1297" s="757"/>
      <c r="AO1297" s="757"/>
      <c r="AP1297" s="757"/>
      <c r="AQ1297" s="757"/>
      <c r="AR1297" s="757"/>
      <c r="AS1297" s="757"/>
      <c r="AT1297" s="757"/>
      <c r="AU1297" s="757"/>
      <c r="AV1297" s="757"/>
      <c r="AW1297" s="757"/>
      <c r="AX1297" s="757"/>
      <c r="AY1297" s="757"/>
      <c r="AZ1297" s="75"/>
      <c r="BA1297" s="2"/>
      <c r="BB1297" s="2"/>
      <c r="BC1297" s="2"/>
      <c r="BD1297" s="2"/>
    </row>
    <row r="1298" spans="1:56">
      <c r="A1298" s="781">
        <v>2</v>
      </c>
      <c r="B1298" s="782">
        <v>242</v>
      </c>
      <c r="C1298" s="783">
        <v>45626</v>
      </c>
      <c r="D1298" s="785" t="s">
        <v>6009</v>
      </c>
      <c r="E1298" s="808">
        <v>1000.01</v>
      </c>
      <c r="F1298" s="799"/>
      <c r="G1298" s="799"/>
      <c r="H1298" s="1592"/>
      <c r="I1298" s="754" t="str">
        <f>IFERROR(VLOOKUP(B1298,Mychart!$A$125:$B$911,2,FALSE),"-")</f>
        <v>AMMAR - ARCHPIX</v>
      </c>
      <c r="J1298" s="753">
        <f t="shared" si="67"/>
        <v>11</v>
      </c>
      <c r="K1298" s="1540">
        <f t="shared" si="68"/>
        <v>2024</v>
      </c>
      <c r="L1298" s="757"/>
      <c r="M1298" s="757"/>
      <c r="N1298" s="757"/>
      <c r="O1298" s="757"/>
      <c r="P1298" s="757"/>
      <c r="Q1298" s="757"/>
      <c r="R1298" s="757"/>
      <c r="S1298" s="757"/>
      <c r="T1298" s="757"/>
      <c r="U1298" s="757"/>
      <c r="V1298" s="757"/>
      <c r="W1298" s="757"/>
      <c r="X1298" s="757"/>
      <c r="Y1298" s="757"/>
      <c r="Z1298" s="757"/>
      <c r="AA1298" s="757"/>
      <c r="AB1298" s="757"/>
      <c r="AC1298" s="757"/>
      <c r="AD1298" s="931">
        <v>45633.466736111113</v>
      </c>
      <c r="AE1298" s="757"/>
      <c r="AF1298" s="757"/>
      <c r="AG1298" s="757"/>
      <c r="AH1298" s="757"/>
      <c r="AI1298" s="757"/>
      <c r="AJ1298" s="757"/>
      <c r="AK1298" s="757"/>
      <c r="AL1298" s="757"/>
      <c r="AM1298" s="757"/>
      <c r="AN1298" s="757"/>
      <c r="AO1298" s="757"/>
      <c r="AP1298" s="757"/>
      <c r="AQ1298" s="757"/>
      <c r="AR1298" s="757"/>
      <c r="AS1298" s="757"/>
      <c r="AT1298" s="757"/>
      <c r="AU1298" s="757"/>
      <c r="AV1298" s="757"/>
      <c r="AW1298" s="757"/>
      <c r="AX1298" s="757"/>
      <c r="AY1298" s="757"/>
      <c r="AZ1298" s="75"/>
      <c r="BA1298" s="2"/>
      <c r="BB1298" s="2"/>
      <c r="BC1298" s="2"/>
      <c r="BD1298" s="2"/>
    </row>
    <row r="1299" spans="1:56">
      <c r="A1299" s="781">
        <v>2</v>
      </c>
      <c r="B1299" s="782">
        <v>262</v>
      </c>
      <c r="C1299" s="783">
        <v>45626</v>
      </c>
      <c r="D1299" s="785" t="s">
        <v>6011</v>
      </c>
      <c r="E1299" s="808">
        <v>1150.1399999999999</v>
      </c>
      <c r="F1299" s="799"/>
      <c r="G1299" s="799"/>
      <c r="H1299" s="1592"/>
      <c r="I1299" s="754" t="str">
        <f>IFERROR(VLOOKUP(B1299,Mychart!$A$125:$B$911,2,FALSE),"-")</f>
        <v>Amna Ahmed</v>
      </c>
      <c r="J1299" s="753">
        <f t="shared" si="67"/>
        <v>11</v>
      </c>
      <c r="K1299" s="1540">
        <f t="shared" si="68"/>
        <v>2024</v>
      </c>
      <c r="L1299" s="757"/>
      <c r="M1299" s="757"/>
      <c r="N1299" s="757"/>
      <c r="O1299" s="757"/>
      <c r="P1299" s="757"/>
      <c r="Q1299" s="757"/>
      <c r="R1299" s="757"/>
      <c r="S1299" s="757"/>
      <c r="T1299" s="757"/>
      <c r="U1299" s="757"/>
      <c r="V1299" s="757"/>
      <c r="W1299" s="757"/>
      <c r="X1299" s="757"/>
      <c r="Y1299" s="757"/>
      <c r="Z1299" s="757"/>
      <c r="AA1299" s="757"/>
      <c r="AB1299" s="757"/>
      <c r="AC1299" s="757"/>
      <c r="AD1299" s="931">
        <v>45633.466747685183</v>
      </c>
      <c r="AE1299" s="757"/>
      <c r="AF1299" s="757"/>
      <c r="AG1299" s="757"/>
      <c r="AH1299" s="757"/>
      <c r="AI1299" s="757"/>
      <c r="AJ1299" s="757"/>
      <c r="AK1299" s="757"/>
      <c r="AL1299" s="757"/>
      <c r="AM1299" s="757"/>
      <c r="AN1299" s="757"/>
      <c r="AO1299" s="757"/>
      <c r="AP1299" s="757"/>
      <c r="AQ1299" s="757"/>
      <c r="AR1299" s="757"/>
      <c r="AS1299" s="757"/>
      <c r="AT1299" s="757"/>
      <c r="AU1299" s="757"/>
      <c r="AV1299" s="757"/>
      <c r="AW1299" s="757"/>
      <c r="AX1299" s="757"/>
      <c r="AY1299" s="757"/>
      <c r="AZ1299" s="75"/>
      <c r="BA1299" s="2"/>
      <c r="BB1299" s="2"/>
      <c r="BC1299" s="2"/>
      <c r="BD1299" s="2"/>
    </row>
    <row r="1300" spans="1:56">
      <c r="A1300" s="781">
        <v>1</v>
      </c>
      <c r="B1300" s="782">
        <v>255</v>
      </c>
      <c r="C1300" s="783">
        <v>45631</v>
      </c>
      <c r="D1300" s="785" t="s">
        <v>6017</v>
      </c>
      <c r="E1300" s="808"/>
      <c r="F1300" s="799">
        <v>56565.25</v>
      </c>
      <c r="G1300" s="799">
        <v>2828.25</v>
      </c>
      <c r="H1300" s="1592">
        <v>59393.5</v>
      </c>
      <c r="I1300" s="754" t="str">
        <f>IFERROR(VLOOKUP(B1300,Mychart!$A$125:$B$911,2,FALSE),"-")</f>
        <v>ESSA KHALIFA</v>
      </c>
      <c r="J1300" s="753">
        <f t="shared" si="67"/>
        <v>12</v>
      </c>
      <c r="K1300" s="1540">
        <f t="shared" si="68"/>
        <v>2024</v>
      </c>
      <c r="L1300" s="757"/>
      <c r="M1300" s="757"/>
      <c r="N1300" s="757"/>
      <c r="O1300" s="757"/>
      <c r="P1300" s="757"/>
      <c r="Q1300" s="757"/>
      <c r="R1300" s="757"/>
      <c r="S1300" s="757"/>
      <c r="T1300" s="757"/>
      <c r="U1300" s="757"/>
      <c r="V1300" s="757"/>
      <c r="W1300" s="757"/>
      <c r="X1300" s="757"/>
      <c r="Y1300" s="757"/>
      <c r="Z1300" s="757"/>
      <c r="AA1300" s="757"/>
      <c r="AB1300" s="757"/>
      <c r="AC1300" s="757"/>
      <c r="AD1300" s="931">
        <v>45633.466747685183</v>
      </c>
      <c r="AE1300" s="757"/>
      <c r="AF1300" s="757"/>
      <c r="AG1300" s="757"/>
      <c r="AH1300" s="757"/>
      <c r="AI1300" s="757"/>
      <c r="AJ1300" s="757"/>
      <c r="AK1300" s="757"/>
      <c r="AL1300" s="757"/>
      <c r="AM1300" s="757"/>
      <c r="AN1300" s="757"/>
      <c r="AO1300" s="757"/>
      <c r="AP1300" s="757"/>
      <c r="AQ1300" s="757"/>
      <c r="AR1300" s="757"/>
      <c r="AS1300" s="757"/>
      <c r="AT1300" s="757"/>
      <c r="AU1300" s="757"/>
      <c r="AV1300" s="757"/>
      <c r="AW1300" s="757"/>
      <c r="AX1300" s="757"/>
      <c r="AY1300" s="757"/>
      <c r="AZ1300" s="75"/>
      <c r="BA1300" s="2"/>
      <c r="BB1300" s="2"/>
      <c r="BC1300" s="2"/>
      <c r="BD1300" s="2"/>
    </row>
    <row r="1301" spans="1:56">
      <c r="A1301" s="781">
        <v>1</v>
      </c>
      <c r="B1301" s="782">
        <v>283</v>
      </c>
      <c r="C1301" s="783">
        <v>45631</v>
      </c>
      <c r="D1301" s="785" t="s">
        <v>6051</v>
      </c>
      <c r="E1301" s="808"/>
      <c r="F1301" s="799">
        <v>27750</v>
      </c>
      <c r="G1301" s="799">
        <v>1387.5</v>
      </c>
      <c r="H1301" s="1592">
        <v>29137.5</v>
      </c>
      <c r="I1301" s="754" t="str">
        <f>IFERROR(VLOOKUP(B1301,Mychart!$A$125:$B$911,2,FALSE),"-")</f>
        <v>stroe</v>
      </c>
      <c r="J1301" s="753">
        <f t="shared" si="67"/>
        <v>12</v>
      </c>
      <c r="K1301" s="1540">
        <f t="shared" si="68"/>
        <v>2024</v>
      </c>
      <c r="L1301" s="757"/>
      <c r="M1301" s="757"/>
      <c r="N1301" s="757"/>
      <c r="O1301" s="757"/>
      <c r="P1301" s="757"/>
      <c r="Q1301" s="757"/>
      <c r="R1301" s="757"/>
      <c r="S1301" s="757"/>
      <c r="T1301" s="757"/>
      <c r="U1301" s="757"/>
      <c r="V1301" s="757"/>
      <c r="W1301" s="757"/>
      <c r="X1301" s="757"/>
      <c r="Y1301" s="757"/>
      <c r="Z1301" s="757"/>
      <c r="AA1301" s="757"/>
      <c r="AB1301" s="757"/>
      <c r="AC1301" s="757"/>
      <c r="AD1301" s="931">
        <v>45635.417071759257</v>
      </c>
      <c r="AE1301" s="757"/>
      <c r="AF1301" s="757"/>
      <c r="AG1301" s="757"/>
      <c r="AH1301" s="757"/>
      <c r="AI1301" s="757"/>
      <c r="AJ1301" s="757"/>
      <c r="AK1301" s="757"/>
      <c r="AL1301" s="757"/>
      <c r="AM1301" s="757"/>
      <c r="AN1301" s="757"/>
      <c r="AO1301" s="757"/>
      <c r="AP1301" s="757"/>
      <c r="AQ1301" s="757"/>
      <c r="AR1301" s="757"/>
      <c r="AS1301" s="757"/>
      <c r="AT1301" s="757"/>
      <c r="AU1301" s="757"/>
      <c r="AV1301" s="757"/>
      <c r="AW1301" s="757"/>
      <c r="AX1301" s="757"/>
      <c r="AY1301" s="757"/>
      <c r="AZ1301" s="75"/>
      <c r="BA1301" s="2"/>
      <c r="BB1301" s="2"/>
      <c r="BC1301" s="2"/>
      <c r="BD1301" s="2"/>
    </row>
    <row r="1302" spans="1:56">
      <c r="A1302" s="781">
        <v>2</v>
      </c>
      <c r="B1302" s="782">
        <v>283</v>
      </c>
      <c r="C1302" s="783">
        <v>45631</v>
      </c>
      <c r="D1302" s="785" t="s">
        <v>6056</v>
      </c>
      <c r="E1302" s="808">
        <v>27457.5</v>
      </c>
      <c r="F1302" s="799"/>
      <c r="G1302" s="799"/>
      <c r="H1302" s="1592"/>
      <c r="I1302" s="754" t="str">
        <f>IFERROR(VLOOKUP(B1302,Mychart!$A$125:$B$911,2,FALSE),"-")</f>
        <v>stroe</v>
      </c>
      <c r="J1302" s="753">
        <f t="shared" ref="J1302:J1325" si="69">IF(C1302&lt;&gt;"", MONTH(C1302),"-")</f>
        <v>12</v>
      </c>
      <c r="K1302" s="1540">
        <f t="shared" ref="K1302:K1325" si="70">YEAR(C1302)</f>
        <v>2024</v>
      </c>
      <c r="L1302" s="757"/>
      <c r="M1302" s="757"/>
      <c r="N1302" s="757"/>
      <c r="O1302" s="757"/>
      <c r="P1302" s="757"/>
      <c r="Q1302" s="757"/>
      <c r="R1302" s="757"/>
      <c r="S1302" s="757"/>
      <c r="T1302" s="757"/>
      <c r="U1302" s="757"/>
      <c r="V1302" s="757"/>
      <c r="W1302" s="757"/>
      <c r="X1302" s="757"/>
      <c r="Y1302" s="757"/>
      <c r="Z1302" s="757"/>
      <c r="AA1302" s="757"/>
      <c r="AB1302" s="757"/>
      <c r="AC1302" s="757"/>
      <c r="AD1302" s="931">
        <v>45635.417071759257</v>
      </c>
      <c r="AE1302" s="757"/>
      <c r="AF1302" s="757"/>
      <c r="AG1302" s="757"/>
      <c r="AH1302" s="757"/>
      <c r="AI1302" s="757"/>
      <c r="AJ1302" s="757"/>
      <c r="AK1302" s="757"/>
      <c r="AL1302" s="757"/>
      <c r="AM1302" s="757"/>
      <c r="AN1302" s="757"/>
      <c r="AO1302" s="757"/>
      <c r="AP1302" s="757"/>
      <c r="AQ1302" s="757"/>
      <c r="AR1302" s="757"/>
      <c r="AS1302" s="757"/>
      <c r="AT1302" s="757"/>
      <c r="AU1302" s="757"/>
      <c r="AV1302" s="757"/>
      <c r="AW1302" s="757"/>
      <c r="AX1302" s="757"/>
      <c r="AY1302" s="757"/>
      <c r="AZ1302" s="75"/>
      <c r="BA1302" s="2"/>
      <c r="BB1302" s="2"/>
      <c r="BC1302" s="2"/>
      <c r="BD1302" s="2"/>
    </row>
    <row r="1303" spans="1:56">
      <c r="A1303" s="781">
        <v>2</v>
      </c>
      <c r="B1303" s="782">
        <v>283</v>
      </c>
      <c r="C1303" s="783">
        <v>45631</v>
      </c>
      <c r="D1303" s="785" t="s">
        <v>6062</v>
      </c>
      <c r="E1303" s="808">
        <v>160</v>
      </c>
      <c r="F1303" s="799"/>
      <c r="G1303" s="799"/>
      <c r="H1303" s="1592"/>
      <c r="I1303" s="754" t="str">
        <f>IFERROR(VLOOKUP(B1303,Mychart!$A$125:$B$911,2,FALSE),"-")</f>
        <v>stroe</v>
      </c>
      <c r="J1303" s="753">
        <f t="shared" si="69"/>
        <v>12</v>
      </c>
      <c r="K1303" s="1540">
        <f t="shared" si="70"/>
        <v>2024</v>
      </c>
      <c r="L1303" s="757"/>
      <c r="M1303" s="757"/>
      <c r="N1303" s="757"/>
      <c r="O1303" s="757"/>
      <c r="P1303" s="757"/>
      <c r="Q1303" s="757"/>
      <c r="R1303" s="757"/>
      <c r="S1303" s="757"/>
      <c r="T1303" s="757"/>
      <c r="U1303" s="757"/>
      <c r="V1303" s="757"/>
      <c r="W1303" s="757"/>
      <c r="X1303" s="757"/>
      <c r="Y1303" s="757"/>
      <c r="Z1303" s="757"/>
      <c r="AA1303" s="757"/>
      <c r="AB1303" s="757"/>
      <c r="AC1303" s="757"/>
      <c r="AD1303" s="931">
        <v>45635.428078703706</v>
      </c>
      <c r="AE1303" s="757"/>
      <c r="AF1303" s="757"/>
      <c r="AG1303" s="757"/>
      <c r="AH1303" s="757"/>
      <c r="AI1303" s="757"/>
      <c r="AJ1303" s="757"/>
      <c r="AK1303" s="757"/>
      <c r="AL1303" s="757"/>
      <c r="AM1303" s="757"/>
      <c r="AN1303" s="757"/>
      <c r="AO1303" s="757"/>
      <c r="AP1303" s="757"/>
      <c r="AQ1303" s="757"/>
      <c r="AR1303" s="757"/>
      <c r="AS1303" s="757"/>
      <c r="AT1303" s="757"/>
      <c r="AU1303" s="757"/>
      <c r="AV1303" s="757"/>
      <c r="AW1303" s="757"/>
      <c r="AX1303" s="757"/>
      <c r="AY1303" s="757"/>
      <c r="AZ1303" s="75"/>
      <c r="BA1303" s="2"/>
      <c r="BB1303" s="2"/>
      <c r="BC1303" s="2"/>
      <c r="BD1303" s="2"/>
    </row>
    <row r="1304" spans="1:56">
      <c r="A1304" s="781">
        <v>2</v>
      </c>
      <c r="B1304" s="782">
        <v>255</v>
      </c>
      <c r="C1304" s="783">
        <v>45630</v>
      </c>
      <c r="D1304" s="785" t="s">
        <v>6066</v>
      </c>
      <c r="E1304" s="808">
        <v>5050</v>
      </c>
      <c r="F1304" s="799"/>
      <c r="G1304" s="799"/>
      <c r="H1304" s="1592"/>
      <c r="I1304" s="754" t="str">
        <f>IFERROR(VLOOKUP(B1304,Mychart!$A$125:$B$911,2,FALSE),"-")</f>
        <v>ESSA KHALIFA</v>
      </c>
      <c r="J1304" s="753">
        <f t="shared" si="69"/>
        <v>12</v>
      </c>
      <c r="K1304" s="1540">
        <f t="shared" si="70"/>
        <v>2024</v>
      </c>
      <c r="L1304" s="757"/>
      <c r="M1304" s="757"/>
      <c r="N1304" s="757"/>
      <c r="O1304" s="757"/>
      <c r="P1304" s="757"/>
      <c r="Q1304" s="757"/>
      <c r="R1304" s="757"/>
      <c r="S1304" s="757"/>
      <c r="T1304" s="757"/>
      <c r="U1304" s="757"/>
      <c r="V1304" s="757"/>
      <c r="W1304" s="757"/>
      <c r="X1304" s="757"/>
      <c r="Y1304" s="757"/>
      <c r="Z1304" s="757"/>
      <c r="AA1304" s="757"/>
      <c r="AB1304" s="757"/>
      <c r="AC1304" s="757"/>
      <c r="AD1304" s="931">
        <v>45635.428078703706</v>
      </c>
      <c r="AE1304" s="757"/>
      <c r="AF1304" s="757"/>
      <c r="AG1304" s="757"/>
      <c r="AH1304" s="757"/>
      <c r="AI1304" s="757"/>
      <c r="AJ1304" s="757"/>
      <c r="AK1304" s="757"/>
      <c r="AL1304" s="757"/>
      <c r="AM1304" s="757"/>
      <c r="AN1304" s="757"/>
      <c r="AO1304" s="757"/>
      <c r="AP1304" s="757"/>
      <c r="AQ1304" s="757"/>
      <c r="AR1304" s="757"/>
      <c r="AS1304" s="757"/>
      <c r="AT1304" s="757"/>
      <c r="AU1304" s="757"/>
      <c r="AV1304" s="757"/>
      <c r="AW1304" s="757"/>
      <c r="AX1304" s="757"/>
      <c r="AY1304" s="757"/>
      <c r="AZ1304" s="75"/>
      <c r="BA1304" s="2"/>
      <c r="BB1304" s="2"/>
      <c r="BC1304" s="2"/>
      <c r="BD1304" s="2"/>
    </row>
    <row r="1305" spans="1:56">
      <c r="A1305" s="781">
        <v>2</v>
      </c>
      <c r="B1305" s="782">
        <v>241</v>
      </c>
      <c r="C1305" s="783">
        <v>45604</v>
      </c>
      <c r="D1305" s="785" t="s">
        <v>6085</v>
      </c>
      <c r="E1305" s="808">
        <v>1788.15</v>
      </c>
      <c r="F1305" s="799"/>
      <c r="G1305" s="799"/>
      <c r="H1305" s="1592"/>
      <c r="I1305" s="754" t="str">
        <f>IFERROR(VLOOKUP(B1305,Mychart!$A$125:$B$911,2,FALSE),"-")</f>
        <v>KHALIFA . ARCHPIX</v>
      </c>
      <c r="J1305" s="753">
        <f t="shared" si="69"/>
        <v>11</v>
      </c>
      <c r="K1305" s="1540">
        <f t="shared" si="70"/>
        <v>2024</v>
      </c>
      <c r="L1305" s="757"/>
      <c r="M1305" s="757"/>
      <c r="N1305" s="757"/>
      <c r="O1305" s="757"/>
      <c r="P1305" s="757"/>
      <c r="Q1305" s="757"/>
      <c r="R1305" s="757"/>
      <c r="S1305" s="757"/>
      <c r="T1305" s="757"/>
      <c r="U1305" s="757"/>
      <c r="V1305" s="757"/>
      <c r="W1305" s="757"/>
      <c r="X1305" s="757"/>
      <c r="Y1305" s="757"/>
      <c r="Z1305" s="757"/>
      <c r="AA1305" s="757"/>
      <c r="AB1305" s="757"/>
      <c r="AC1305" s="757"/>
      <c r="AD1305" s="931">
        <v>45635.621990740743</v>
      </c>
      <c r="AE1305" s="757"/>
      <c r="AF1305" s="757"/>
      <c r="AG1305" s="757"/>
      <c r="AH1305" s="757"/>
      <c r="AI1305" s="757"/>
      <c r="AJ1305" s="757"/>
      <c r="AK1305" s="757"/>
      <c r="AL1305" s="757"/>
      <c r="AM1305" s="757"/>
      <c r="AN1305" s="757"/>
      <c r="AO1305" s="757"/>
      <c r="AP1305" s="757"/>
      <c r="AQ1305" s="757"/>
      <c r="AR1305" s="757"/>
      <c r="AS1305" s="757"/>
      <c r="AT1305" s="757"/>
      <c r="AU1305" s="757"/>
      <c r="AV1305" s="757"/>
      <c r="AW1305" s="757"/>
      <c r="AX1305" s="757"/>
      <c r="AY1305" s="757"/>
      <c r="AZ1305" s="75"/>
      <c r="BA1305" s="2"/>
      <c r="BB1305" s="2"/>
      <c r="BC1305" s="2"/>
      <c r="BD1305" s="2"/>
    </row>
    <row r="1306" spans="1:56" ht="22.5">
      <c r="A1306" s="781">
        <v>2</v>
      </c>
      <c r="B1306" s="782">
        <v>278</v>
      </c>
      <c r="C1306" s="783">
        <v>45607</v>
      </c>
      <c r="D1306" s="785" t="s">
        <v>6092</v>
      </c>
      <c r="E1306" s="808">
        <v>977.16044999999986</v>
      </c>
      <c r="F1306" s="799"/>
      <c r="G1306" s="799"/>
      <c r="H1306" s="1592"/>
      <c r="I1306" s="754" t="str">
        <f>IFERROR(VLOOKUP(B1306,Mychart!$A$125:$B$911,2,FALSE),"-")</f>
        <v>Rashed Ahmed Yousef Mohamed Al Balooshi- Archpix</v>
      </c>
      <c r="J1306" s="753">
        <f t="shared" si="69"/>
        <v>11</v>
      </c>
      <c r="K1306" s="1540">
        <f t="shared" si="70"/>
        <v>2024</v>
      </c>
      <c r="L1306" s="757"/>
      <c r="M1306" s="757"/>
      <c r="N1306" s="757"/>
      <c r="O1306" s="757"/>
      <c r="P1306" s="757"/>
      <c r="Q1306" s="757"/>
      <c r="R1306" s="757"/>
      <c r="S1306" s="757"/>
      <c r="T1306" s="757"/>
      <c r="U1306" s="757"/>
      <c r="V1306" s="757"/>
      <c r="W1306" s="757"/>
      <c r="X1306" s="757"/>
      <c r="Y1306" s="757"/>
      <c r="Z1306" s="757"/>
      <c r="AA1306" s="757"/>
      <c r="AB1306" s="757"/>
      <c r="AC1306" s="757"/>
      <c r="AD1306" s="931">
        <v>45635.621990740743</v>
      </c>
      <c r="AE1306" s="757"/>
      <c r="AF1306" s="757"/>
      <c r="AG1306" s="757"/>
      <c r="AH1306" s="757"/>
      <c r="AI1306" s="757"/>
      <c r="AJ1306" s="757"/>
      <c r="AK1306" s="757"/>
      <c r="AL1306" s="757"/>
      <c r="AM1306" s="757"/>
      <c r="AN1306" s="757"/>
      <c r="AO1306" s="757"/>
      <c r="AP1306" s="757"/>
      <c r="AQ1306" s="757"/>
      <c r="AR1306" s="757"/>
      <c r="AS1306" s="757"/>
      <c r="AT1306" s="757"/>
      <c r="AU1306" s="757"/>
      <c r="AV1306" s="757"/>
      <c r="AW1306" s="757"/>
      <c r="AX1306" s="757"/>
      <c r="AY1306" s="757"/>
      <c r="AZ1306" s="75"/>
      <c r="BA1306" s="2"/>
      <c r="BB1306" s="2"/>
      <c r="BC1306" s="2"/>
      <c r="BD1306" s="2"/>
    </row>
    <row r="1307" spans="1:56" ht="22.5">
      <c r="A1307" s="781">
        <v>2</v>
      </c>
      <c r="B1307" s="782">
        <v>278</v>
      </c>
      <c r="C1307" s="783">
        <v>45614</v>
      </c>
      <c r="D1307" s="785" t="s">
        <v>6092</v>
      </c>
      <c r="E1307" s="808">
        <v>681.13499999999988</v>
      </c>
      <c r="F1307" s="799"/>
      <c r="G1307" s="799"/>
      <c r="H1307" s="1592"/>
      <c r="I1307" s="754" t="str">
        <f>IFERROR(VLOOKUP(B1307,Mychart!$A$125:$B$911,2,FALSE),"-")</f>
        <v>Rashed Ahmed Yousef Mohamed Al Balooshi- Archpix</v>
      </c>
      <c r="J1307" s="753">
        <f t="shared" si="69"/>
        <v>11</v>
      </c>
      <c r="K1307" s="1540">
        <f t="shared" si="70"/>
        <v>2024</v>
      </c>
      <c r="L1307" s="757"/>
      <c r="M1307" s="757"/>
      <c r="N1307" s="757"/>
      <c r="O1307" s="757"/>
      <c r="P1307" s="757"/>
      <c r="Q1307" s="757"/>
      <c r="R1307" s="757"/>
      <c r="S1307" s="757"/>
      <c r="T1307" s="757"/>
      <c r="U1307" s="757"/>
      <c r="V1307" s="757"/>
      <c r="W1307" s="757"/>
      <c r="X1307" s="757"/>
      <c r="Y1307" s="757"/>
      <c r="Z1307" s="757"/>
      <c r="AA1307" s="757"/>
      <c r="AB1307" s="757"/>
      <c r="AC1307" s="757"/>
      <c r="AD1307" s="931">
        <v>45635.621990740743</v>
      </c>
      <c r="AE1307" s="757"/>
      <c r="AF1307" s="757"/>
      <c r="AG1307" s="757"/>
      <c r="AH1307" s="757"/>
      <c r="AI1307" s="757"/>
      <c r="AJ1307" s="757"/>
      <c r="AK1307" s="757"/>
      <c r="AL1307" s="757"/>
      <c r="AM1307" s="757"/>
      <c r="AN1307" s="757"/>
      <c r="AO1307" s="757"/>
      <c r="AP1307" s="757"/>
      <c r="AQ1307" s="757"/>
      <c r="AR1307" s="757"/>
      <c r="AS1307" s="757"/>
      <c r="AT1307" s="757"/>
      <c r="AU1307" s="757"/>
      <c r="AV1307" s="757"/>
      <c r="AW1307" s="757"/>
      <c r="AX1307" s="757"/>
      <c r="AY1307" s="757"/>
      <c r="AZ1307" s="75"/>
      <c r="BA1307" s="2"/>
      <c r="BB1307" s="2"/>
      <c r="BC1307" s="2"/>
      <c r="BD1307" s="2"/>
    </row>
    <row r="1308" spans="1:56">
      <c r="A1308" s="781">
        <v>2</v>
      </c>
      <c r="B1308" s="782">
        <v>256</v>
      </c>
      <c r="C1308" s="783">
        <v>45615</v>
      </c>
      <c r="D1308" s="785" t="s">
        <v>6086</v>
      </c>
      <c r="E1308" s="808">
        <v>1599.8860500000001</v>
      </c>
      <c r="F1308" s="799"/>
      <c r="G1308" s="799"/>
      <c r="H1308" s="1592"/>
      <c r="I1308" s="754" t="str">
        <f>IFERROR(VLOOKUP(B1308,Mychart!$A$125:$B$911,2,FALSE),"-")</f>
        <v>ADNAN DUBAI SKY</v>
      </c>
      <c r="J1308" s="753">
        <f t="shared" si="69"/>
        <v>11</v>
      </c>
      <c r="K1308" s="1540">
        <f t="shared" si="70"/>
        <v>2024</v>
      </c>
      <c r="L1308" s="757"/>
      <c r="M1308" s="757"/>
      <c r="N1308" s="757"/>
      <c r="O1308" s="757"/>
      <c r="P1308" s="757"/>
      <c r="Q1308" s="757"/>
      <c r="R1308" s="757"/>
      <c r="S1308" s="757"/>
      <c r="T1308" s="757"/>
      <c r="U1308" s="757"/>
      <c r="V1308" s="757"/>
      <c r="W1308" s="757"/>
      <c r="X1308" s="757"/>
      <c r="Y1308" s="757"/>
      <c r="Z1308" s="757"/>
      <c r="AA1308" s="757"/>
      <c r="AB1308" s="757"/>
      <c r="AC1308" s="757"/>
      <c r="AD1308" s="931">
        <v>45635.621990740743</v>
      </c>
      <c r="AE1308" s="757"/>
      <c r="AF1308" s="757"/>
      <c r="AG1308" s="757"/>
      <c r="AH1308" s="757"/>
      <c r="AI1308" s="757"/>
      <c r="AJ1308" s="757"/>
      <c r="AK1308" s="757"/>
      <c r="AL1308" s="757"/>
      <c r="AM1308" s="757"/>
      <c r="AN1308" s="757"/>
      <c r="AO1308" s="757"/>
      <c r="AP1308" s="757"/>
      <c r="AQ1308" s="757"/>
      <c r="AR1308" s="757"/>
      <c r="AS1308" s="757"/>
      <c r="AT1308" s="757"/>
      <c r="AU1308" s="757"/>
      <c r="AV1308" s="757"/>
      <c r="AW1308" s="757"/>
      <c r="AX1308" s="757"/>
      <c r="AY1308" s="757"/>
      <c r="AZ1308" s="75"/>
      <c r="BA1308" s="2"/>
      <c r="BB1308" s="2"/>
      <c r="BC1308" s="2"/>
      <c r="BD1308" s="2"/>
    </row>
    <row r="1309" spans="1:56">
      <c r="A1309" s="781">
        <v>2</v>
      </c>
      <c r="B1309" s="782">
        <v>256</v>
      </c>
      <c r="C1309" s="783">
        <v>45617</v>
      </c>
      <c r="D1309" s="785" t="s">
        <v>6087</v>
      </c>
      <c r="E1309" s="808">
        <v>86.1</v>
      </c>
      <c r="F1309" s="799"/>
      <c r="G1309" s="799"/>
      <c r="H1309" s="1592"/>
      <c r="I1309" s="754" t="str">
        <f>IFERROR(VLOOKUP(B1309,Mychart!$A$125:$B$911,2,FALSE),"-")</f>
        <v>ADNAN DUBAI SKY</v>
      </c>
      <c r="J1309" s="753">
        <f t="shared" si="69"/>
        <v>11</v>
      </c>
      <c r="K1309" s="1540">
        <f t="shared" si="70"/>
        <v>2024</v>
      </c>
      <c r="L1309" s="757"/>
      <c r="M1309" s="757"/>
      <c r="N1309" s="757"/>
      <c r="O1309" s="757"/>
      <c r="P1309" s="757"/>
      <c r="Q1309" s="757"/>
      <c r="R1309" s="757"/>
      <c r="S1309" s="757"/>
      <c r="T1309" s="757"/>
      <c r="U1309" s="757"/>
      <c r="V1309" s="757"/>
      <c r="W1309" s="757"/>
      <c r="X1309" s="757"/>
      <c r="Y1309" s="757"/>
      <c r="Z1309" s="757"/>
      <c r="AA1309" s="757"/>
      <c r="AB1309" s="757"/>
      <c r="AC1309" s="757"/>
      <c r="AD1309" s="931">
        <v>45635.621990740743</v>
      </c>
      <c r="AE1309" s="757"/>
      <c r="AF1309" s="757"/>
      <c r="AG1309" s="757"/>
      <c r="AH1309" s="757"/>
      <c r="AI1309" s="757"/>
      <c r="AJ1309" s="757"/>
      <c r="AK1309" s="757"/>
      <c r="AL1309" s="757"/>
      <c r="AM1309" s="757"/>
      <c r="AN1309" s="757"/>
      <c r="AO1309" s="757"/>
      <c r="AP1309" s="757"/>
      <c r="AQ1309" s="757"/>
      <c r="AR1309" s="757"/>
      <c r="AS1309" s="757"/>
      <c r="AT1309" s="757"/>
      <c r="AU1309" s="757"/>
      <c r="AV1309" s="757"/>
      <c r="AW1309" s="757"/>
      <c r="AX1309" s="757"/>
      <c r="AY1309" s="757"/>
      <c r="AZ1309" s="75"/>
      <c r="BA1309" s="2"/>
      <c r="BB1309" s="2"/>
      <c r="BC1309" s="2"/>
      <c r="BD1309" s="2"/>
    </row>
    <row r="1310" spans="1:56">
      <c r="A1310" s="781">
        <v>2</v>
      </c>
      <c r="B1310" s="782">
        <v>256</v>
      </c>
      <c r="C1310" s="783">
        <v>45623</v>
      </c>
      <c r="D1310" s="785" t="s">
        <v>6088</v>
      </c>
      <c r="E1310" s="808">
        <v>310.31700000000001</v>
      </c>
      <c r="F1310" s="799"/>
      <c r="G1310" s="799"/>
      <c r="H1310" s="1592"/>
      <c r="I1310" s="754" t="str">
        <f>IFERROR(VLOOKUP(B1310,Mychart!$A$125:$B$911,2,FALSE),"-")</f>
        <v>ADNAN DUBAI SKY</v>
      </c>
      <c r="J1310" s="753">
        <f t="shared" si="69"/>
        <v>11</v>
      </c>
      <c r="K1310" s="1540">
        <f t="shared" si="70"/>
        <v>2024</v>
      </c>
      <c r="L1310" s="757"/>
      <c r="M1310" s="757"/>
      <c r="N1310" s="757"/>
      <c r="O1310" s="757"/>
      <c r="P1310" s="757"/>
      <c r="Q1310" s="757"/>
      <c r="R1310" s="757"/>
      <c r="S1310" s="757"/>
      <c r="T1310" s="757"/>
      <c r="U1310" s="757"/>
      <c r="V1310" s="757"/>
      <c r="W1310" s="757"/>
      <c r="X1310" s="757"/>
      <c r="Y1310" s="757"/>
      <c r="Z1310" s="757"/>
      <c r="AA1310" s="757"/>
      <c r="AB1310" s="757"/>
      <c r="AC1310" s="757"/>
      <c r="AD1310" s="931">
        <v>45635.622002314813</v>
      </c>
      <c r="AE1310" s="757"/>
      <c r="AF1310" s="757"/>
      <c r="AG1310" s="757"/>
      <c r="AH1310" s="757"/>
      <c r="AI1310" s="757"/>
      <c r="AJ1310" s="757"/>
      <c r="AK1310" s="757"/>
      <c r="AL1310" s="757"/>
      <c r="AM1310" s="757"/>
      <c r="AN1310" s="757"/>
      <c r="AO1310" s="757"/>
      <c r="AP1310" s="757"/>
      <c r="AQ1310" s="757"/>
      <c r="AR1310" s="757"/>
      <c r="AS1310" s="757"/>
      <c r="AT1310" s="757"/>
      <c r="AU1310" s="757"/>
      <c r="AV1310" s="757"/>
      <c r="AW1310" s="757"/>
      <c r="AX1310" s="757"/>
      <c r="AY1310" s="757"/>
      <c r="AZ1310" s="75"/>
      <c r="BA1310" s="2"/>
      <c r="BB1310" s="2"/>
      <c r="BC1310" s="2"/>
      <c r="BD1310" s="2"/>
    </row>
    <row r="1311" spans="1:56">
      <c r="A1311" s="781">
        <v>2</v>
      </c>
      <c r="B1311" s="782">
        <v>241</v>
      </c>
      <c r="C1311" s="783">
        <v>45607</v>
      </c>
      <c r="D1311" s="785" t="s">
        <v>6089</v>
      </c>
      <c r="E1311" s="808">
        <v>140.38499999999999</v>
      </c>
      <c r="F1311" s="799"/>
      <c r="G1311" s="799"/>
      <c r="H1311" s="1592"/>
      <c r="I1311" s="754" t="str">
        <f>IFERROR(VLOOKUP(B1311,Mychart!$A$125:$B$911,2,FALSE),"-")</f>
        <v>KHALIFA . ARCHPIX</v>
      </c>
      <c r="J1311" s="753">
        <f t="shared" si="69"/>
        <v>11</v>
      </c>
      <c r="K1311" s="1540">
        <f t="shared" si="70"/>
        <v>2024</v>
      </c>
      <c r="L1311" s="757"/>
      <c r="M1311" s="757"/>
      <c r="N1311" s="757"/>
      <c r="O1311" s="757"/>
      <c r="P1311" s="757"/>
      <c r="Q1311" s="757"/>
      <c r="R1311" s="757"/>
      <c r="S1311" s="757"/>
      <c r="T1311" s="757"/>
      <c r="U1311" s="757"/>
      <c r="V1311" s="757"/>
      <c r="W1311" s="757"/>
      <c r="X1311" s="757"/>
      <c r="Y1311" s="757"/>
      <c r="Z1311" s="757"/>
      <c r="AA1311" s="757"/>
      <c r="AB1311" s="757"/>
      <c r="AC1311" s="757"/>
      <c r="AD1311" s="931">
        <v>45635.622002314813</v>
      </c>
      <c r="AE1311" s="757"/>
      <c r="AF1311" s="757"/>
      <c r="AG1311" s="757"/>
      <c r="AH1311" s="757"/>
      <c r="AI1311" s="757"/>
      <c r="AJ1311" s="757"/>
      <c r="AK1311" s="757"/>
      <c r="AL1311" s="757"/>
      <c r="AM1311" s="757"/>
      <c r="AN1311" s="757"/>
      <c r="AO1311" s="757"/>
      <c r="AP1311" s="757"/>
      <c r="AQ1311" s="757"/>
      <c r="AR1311" s="757"/>
      <c r="AS1311" s="757"/>
      <c r="AT1311" s="757"/>
      <c r="AU1311" s="757"/>
      <c r="AV1311" s="757"/>
      <c r="AW1311" s="757"/>
      <c r="AX1311" s="757"/>
      <c r="AY1311" s="757"/>
      <c r="AZ1311" s="75"/>
      <c r="BA1311" s="2"/>
      <c r="BB1311" s="2"/>
      <c r="BC1311" s="2"/>
      <c r="BD1311" s="2"/>
    </row>
    <row r="1312" spans="1:56">
      <c r="A1312" s="781">
        <v>2</v>
      </c>
      <c r="B1312" s="782">
        <v>262</v>
      </c>
      <c r="C1312" s="783">
        <v>45607</v>
      </c>
      <c r="D1312" s="785" t="s">
        <v>6090</v>
      </c>
      <c r="E1312" s="808">
        <v>106.134</v>
      </c>
      <c r="F1312" s="799"/>
      <c r="G1312" s="799"/>
      <c r="H1312" s="1592"/>
      <c r="I1312" s="754" t="str">
        <f>IFERROR(VLOOKUP(B1312,Mychart!$A$125:$B$911,2,FALSE),"-")</f>
        <v>Amna Ahmed</v>
      </c>
      <c r="J1312" s="753">
        <f t="shared" si="69"/>
        <v>11</v>
      </c>
      <c r="K1312" s="1540">
        <f t="shared" si="70"/>
        <v>2024</v>
      </c>
      <c r="L1312" s="757"/>
      <c r="M1312" s="757"/>
      <c r="N1312" s="757"/>
      <c r="O1312" s="757"/>
      <c r="P1312" s="757"/>
      <c r="Q1312" s="757"/>
      <c r="R1312" s="757"/>
      <c r="S1312" s="757"/>
      <c r="T1312" s="757"/>
      <c r="U1312" s="757"/>
      <c r="V1312" s="757"/>
      <c r="W1312" s="757"/>
      <c r="X1312" s="757"/>
      <c r="Y1312" s="757"/>
      <c r="Z1312" s="757"/>
      <c r="AA1312" s="757"/>
      <c r="AB1312" s="757"/>
      <c r="AC1312" s="757"/>
      <c r="AD1312" s="931">
        <v>45635.622002314813</v>
      </c>
      <c r="AE1312" s="757"/>
      <c r="AF1312" s="757"/>
      <c r="AG1312" s="757"/>
      <c r="AH1312" s="757"/>
      <c r="AI1312" s="757"/>
      <c r="AJ1312" s="757"/>
      <c r="AK1312" s="757"/>
      <c r="AL1312" s="757"/>
      <c r="AM1312" s="757"/>
      <c r="AN1312" s="757"/>
      <c r="AO1312" s="757"/>
      <c r="AP1312" s="757"/>
      <c r="AQ1312" s="757"/>
      <c r="AR1312" s="757"/>
      <c r="AS1312" s="757"/>
      <c r="AT1312" s="757"/>
      <c r="AU1312" s="757"/>
      <c r="AV1312" s="757"/>
      <c r="AW1312" s="757"/>
      <c r="AX1312" s="757"/>
      <c r="AY1312" s="757"/>
      <c r="AZ1312" s="75"/>
      <c r="BA1312" s="2"/>
      <c r="BB1312" s="2"/>
      <c r="BC1312" s="2"/>
      <c r="BD1312" s="2"/>
    </row>
    <row r="1313" spans="1:56">
      <c r="A1313" s="781">
        <v>2</v>
      </c>
      <c r="B1313" s="782">
        <v>293</v>
      </c>
      <c r="C1313" s="783">
        <v>45626</v>
      </c>
      <c r="D1313" s="785" t="s">
        <v>6091</v>
      </c>
      <c r="E1313" s="808">
        <v>3050.3350500000001</v>
      </c>
      <c r="F1313" s="799"/>
      <c r="G1313" s="799"/>
      <c r="H1313" s="1592"/>
      <c r="I1313" s="754" t="str">
        <f>IFERROR(VLOOKUP(B1313,Mychart!$A$125:$B$911,2,FALSE),"-")</f>
        <v>Federal  Youth  Authority  - Sharjah</v>
      </c>
      <c r="J1313" s="753">
        <f t="shared" si="69"/>
        <v>11</v>
      </c>
      <c r="K1313" s="1540">
        <f t="shared" si="70"/>
        <v>2024</v>
      </c>
      <c r="L1313" s="757"/>
      <c r="M1313" s="757"/>
      <c r="N1313" s="757"/>
      <c r="O1313" s="757"/>
      <c r="P1313" s="757"/>
      <c r="Q1313" s="757"/>
      <c r="R1313" s="757"/>
      <c r="S1313" s="757"/>
      <c r="T1313" s="757"/>
      <c r="U1313" s="757"/>
      <c r="V1313" s="757"/>
      <c r="W1313" s="757"/>
      <c r="X1313" s="757"/>
      <c r="Y1313" s="757"/>
      <c r="Z1313" s="757"/>
      <c r="AA1313" s="757"/>
      <c r="AB1313" s="757"/>
      <c r="AC1313" s="757"/>
      <c r="AD1313" s="931">
        <v>45635.622002314813</v>
      </c>
      <c r="AE1313" s="757"/>
      <c r="AF1313" s="757"/>
      <c r="AG1313" s="757"/>
      <c r="AH1313" s="757"/>
      <c r="AI1313" s="757"/>
      <c r="AJ1313" s="757"/>
      <c r="AK1313" s="757"/>
      <c r="AL1313" s="757"/>
      <c r="AM1313" s="757"/>
      <c r="AN1313" s="757"/>
      <c r="AO1313" s="757"/>
      <c r="AP1313" s="757"/>
      <c r="AQ1313" s="757"/>
      <c r="AR1313" s="757"/>
      <c r="AS1313" s="757"/>
      <c r="AT1313" s="757"/>
      <c r="AU1313" s="757"/>
      <c r="AV1313" s="757"/>
      <c r="AW1313" s="757"/>
      <c r="AX1313" s="757"/>
      <c r="AY1313" s="757"/>
      <c r="AZ1313" s="75"/>
      <c r="BA1313" s="2"/>
      <c r="BB1313" s="2"/>
      <c r="BC1313" s="2"/>
      <c r="BD1313" s="2"/>
    </row>
    <row r="1314" spans="1:56">
      <c r="A1314" s="781">
        <v>1</v>
      </c>
      <c r="B1314" s="782">
        <v>246</v>
      </c>
      <c r="C1314" s="783">
        <v>45635</v>
      </c>
      <c r="D1314" s="785" t="s">
        <v>6137</v>
      </c>
      <c r="E1314" s="808"/>
      <c r="F1314" s="799">
        <v>71000</v>
      </c>
      <c r="G1314" s="799">
        <v>0</v>
      </c>
      <c r="H1314" s="1592">
        <v>71000</v>
      </c>
      <c r="I1314" s="754" t="str">
        <f>IFERROR(VLOOKUP(B1314,Mychart!$A$125:$B$911,2,FALSE),"-")</f>
        <v>Marzok Almatroshi - Archpix</v>
      </c>
      <c r="J1314" s="753">
        <f t="shared" si="69"/>
        <v>12</v>
      </c>
      <c r="K1314" s="1540">
        <f t="shared" si="70"/>
        <v>2024</v>
      </c>
      <c r="L1314" s="757"/>
      <c r="M1314" s="757"/>
      <c r="N1314" s="757"/>
      <c r="O1314" s="757"/>
      <c r="P1314" s="757"/>
      <c r="Q1314" s="757"/>
      <c r="R1314" s="757"/>
      <c r="S1314" s="757"/>
      <c r="T1314" s="757"/>
      <c r="U1314" s="757"/>
      <c r="V1314" s="757"/>
      <c r="W1314" s="757"/>
      <c r="X1314" s="757"/>
      <c r="Y1314" s="757"/>
      <c r="Z1314" s="757"/>
      <c r="AA1314" s="757"/>
      <c r="AB1314" s="757"/>
      <c r="AC1314" s="757"/>
      <c r="AD1314" s="931">
        <v>45636.443402777775</v>
      </c>
      <c r="AE1314" s="757"/>
      <c r="AF1314" s="757"/>
      <c r="AG1314" s="757"/>
      <c r="AH1314" s="757"/>
      <c r="AI1314" s="757"/>
      <c r="AJ1314" s="757"/>
      <c r="AK1314" s="757"/>
      <c r="AL1314" s="757"/>
      <c r="AM1314" s="757"/>
      <c r="AN1314" s="757"/>
      <c r="AO1314" s="757"/>
      <c r="AP1314" s="757"/>
      <c r="AQ1314" s="757"/>
      <c r="AR1314" s="757"/>
      <c r="AS1314" s="757"/>
      <c r="AT1314" s="757"/>
      <c r="AU1314" s="757"/>
      <c r="AV1314" s="757"/>
      <c r="AW1314" s="757"/>
      <c r="AX1314" s="757"/>
      <c r="AY1314" s="757"/>
      <c r="AZ1314" s="75"/>
      <c r="BA1314" s="2"/>
      <c r="BB1314" s="2"/>
      <c r="BC1314" s="2"/>
      <c r="BD1314" s="2"/>
    </row>
    <row r="1315" spans="1:56">
      <c r="A1315" s="781">
        <v>1</v>
      </c>
      <c r="B1315" s="782">
        <v>225</v>
      </c>
      <c r="C1315" s="783">
        <v>45636</v>
      </c>
      <c r="D1315" s="785" t="s">
        <v>6145</v>
      </c>
      <c r="E1315" s="808"/>
      <c r="F1315" s="799">
        <v>16157.449999999999</v>
      </c>
      <c r="G1315" s="799">
        <v>807.4</v>
      </c>
      <c r="H1315" s="1592">
        <v>16964.849999999999</v>
      </c>
      <c r="I1315" s="754" t="str">
        <f>IFERROR(VLOOKUP(B1315,Mychart!$A$125:$B$911,2,FALSE),"-")</f>
        <v>HESSA BELOSHI</v>
      </c>
      <c r="J1315" s="753">
        <f t="shared" si="69"/>
        <v>12</v>
      </c>
      <c r="K1315" s="1540">
        <f t="shared" si="70"/>
        <v>2024</v>
      </c>
      <c r="L1315" s="757"/>
      <c r="M1315" s="757"/>
      <c r="N1315" s="757"/>
      <c r="O1315" s="757"/>
      <c r="P1315" s="757"/>
      <c r="Q1315" s="757"/>
      <c r="R1315" s="757"/>
      <c r="S1315" s="757"/>
      <c r="T1315" s="757"/>
      <c r="U1315" s="757"/>
      <c r="V1315" s="757"/>
      <c r="W1315" s="757"/>
      <c r="X1315" s="757"/>
      <c r="Y1315" s="757"/>
      <c r="Z1315" s="757"/>
      <c r="AA1315" s="757"/>
      <c r="AB1315" s="757"/>
      <c r="AC1315" s="757"/>
      <c r="AD1315" s="931">
        <v>45636.453935185185</v>
      </c>
      <c r="AE1315" s="757"/>
      <c r="AF1315" s="757"/>
      <c r="AG1315" s="757"/>
      <c r="AH1315" s="757"/>
      <c r="AI1315" s="757"/>
      <c r="AJ1315" s="757"/>
      <c r="AK1315" s="757"/>
      <c r="AL1315" s="757"/>
      <c r="AM1315" s="757"/>
      <c r="AN1315" s="757"/>
      <c r="AO1315" s="757"/>
      <c r="AP1315" s="757"/>
      <c r="AQ1315" s="757"/>
      <c r="AR1315" s="757"/>
      <c r="AS1315" s="757"/>
      <c r="AT1315" s="757"/>
      <c r="AU1315" s="757"/>
      <c r="AV1315" s="757"/>
      <c r="AW1315" s="757"/>
      <c r="AX1315" s="757"/>
      <c r="AY1315" s="757"/>
      <c r="AZ1315" s="75"/>
      <c r="BA1315" s="2"/>
      <c r="BB1315" s="2"/>
      <c r="BC1315" s="2"/>
      <c r="BD1315" s="2"/>
    </row>
    <row r="1316" spans="1:56">
      <c r="A1316" s="781"/>
      <c r="B1316" s="782"/>
      <c r="C1316" s="783"/>
      <c r="D1316" s="785"/>
      <c r="E1316" s="808"/>
      <c r="F1316" s="799"/>
      <c r="G1316" s="799"/>
      <c r="H1316" s="1592"/>
      <c r="I1316" s="754" t="str">
        <f>IFERROR(VLOOKUP(B1316,Mychart!$A$125:$B$911,2,FALSE),"-")</f>
        <v>-</v>
      </c>
      <c r="J1316" s="753" t="str">
        <f t="shared" si="69"/>
        <v>-</v>
      </c>
      <c r="K1316" s="1540">
        <f t="shared" si="70"/>
        <v>1900</v>
      </c>
      <c r="L1316" s="757"/>
      <c r="M1316" s="757"/>
      <c r="N1316" s="757"/>
      <c r="O1316" s="757"/>
      <c r="P1316" s="757"/>
      <c r="Q1316" s="757"/>
      <c r="R1316" s="757"/>
      <c r="S1316" s="757"/>
      <c r="T1316" s="757"/>
      <c r="U1316" s="757"/>
      <c r="V1316" s="757"/>
      <c r="W1316" s="757"/>
      <c r="X1316" s="757"/>
      <c r="Y1316" s="757"/>
      <c r="Z1316" s="757"/>
      <c r="AA1316" s="757"/>
      <c r="AB1316" s="757"/>
      <c r="AC1316" s="757"/>
      <c r="AD1316" s="757"/>
      <c r="AE1316" s="757"/>
      <c r="AF1316" s="757"/>
      <c r="AG1316" s="757"/>
      <c r="AH1316" s="757"/>
      <c r="AI1316" s="757"/>
      <c r="AJ1316" s="757"/>
      <c r="AK1316" s="757"/>
      <c r="AL1316" s="757"/>
      <c r="AM1316" s="757"/>
      <c r="AN1316" s="757"/>
      <c r="AO1316" s="757"/>
      <c r="AP1316" s="757"/>
      <c r="AQ1316" s="757"/>
      <c r="AR1316" s="757"/>
      <c r="AS1316" s="757"/>
      <c r="AT1316" s="757"/>
      <c r="AU1316" s="757"/>
      <c r="AV1316" s="757"/>
      <c r="AW1316" s="757"/>
      <c r="AX1316" s="757"/>
      <c r="AY1316" s="757"/>
      <c r="AZ1316" s="75"/>
      <c r="BA1316" s="2"/>
      <c r="BB1316" s="2"/>
      <c r="BC1316" s="2"/>
      <c r="BD1316" s="2"/>
    </row>
    <row r="1317" spans="1:56">
      <c r="A1317" s="781"/>
      <c r="B1317" s="782"/>
      <c r="C1317" s="783"/>
      <c r="D1317" s="785"/>
      <c r="E1317" s="808"/>
      <c r="F1317" s="799"/>
      <c r="G1317" s="799"/>
      <c r="H1317" s="1592"/>
      <c r="I1317" s="754" t="str">
        <f>IFERROR(VLOOKUP(B1317,Mychart!$A$125:$B$911,2,FALSE),"-")</f>
        <v>-</v>
      </c>
      <c r="J1317" s="753" t="str">
        <f t="shared" si="69"/>
        <v>-</v>
      </c>
      <c r="K1317" s="1540">
        <f t="shared" si="70"/>
        <v>1900</v>
      </c>
      <c r="L1317" s="757"/>
      <c r="M1317" s="757"/>
      <c r="N1317" s="757"/>
      <c r="O1317" s="757"/>
      <c r="P1317" s="757"/>
      <c r="Q1317" s="757"/>
      <c r="R1317" s="757"/>
      <c r="S1317" s="757"/>
      <c r="T1317" s="757"/>
      <c r="U1317" s="757"/>
      <c r="V1317" s="757"/>
      <c r="W1317" s="757"/>
      <c r="X1317" s="757"/>
      <c r="Y1317" s="757"/>
      <c r="Z1317" s="757"/>
      <c r="AA1317" s="757"/>
      <c r="AB1317" s="757"/>
      <c r="AC1317" s="757"/>
      <c r="AD1317" s="757"/>
      <c r="AE1317" s="757"/>
      <c r="AF1317" s="757"/>
      <c r="AG1317" s="757"/>
      <c r="AH1317" s="757"/>
      <c r="AI1317" s="757"/>
      <c r="AJ1317" s="757"/>
      <c r="AK1317" s="757"/>
      <c r="AL1317" s="757"/>
      <c r="AM1317" s="757"/>
      <c r="AN1317" s="757"/>
      <c r="AO1317" s="757"/>
      <c r="AP1317" s="757"/>
      <c r="AQ1317" s="757"/>
      <c r="AR1317" s="757"/>
      <c r="AS1317" s="757"/>
      <c r="AT1317" s="757"/>
      <c r="AU1317" s="757"/>
      <c r="AV1317" s="757"/>
      <c r="AW1317" s="757"/>
      <c r="AX1317" s="757"/>
      <c r="AY1317" s="757"/>
      <c r="AZ1317" s="75"/>
      <c r="BA1317" s="2"/>
      <c r="BB1317" s="2"/>
      <c r="BC1317" s="2"/>
      <c r="BD1317" s="2"/>
    </row>
    <row r="1318" spans="1:56">
      <c r="A1318" s="781"/>
      <c r="B1318" s="782"/>
      <c r="C1318" s="783"/>
      <c r="D1318" s="785"/>
      <c r="E1318" s="808"/>
      <c r="F1318" s="799"/>
      <c r="G1318" s="799"/>
      <c r="H1318" s="1592"/>
      <c r="I1318" s="754" t="str">
        <f>IFERROR(VLOOKUP(B1318,Mychart!$A$125:$B$911,2,FALSE),"-")</f>
        <v>-</v>
      </c>
      <c r="J1318" s="753" t="str">
        <f t="shared" si="69"/>
        <v>-</v>
      </c>
      <c r="K1318" s="1540">
        <f t="shared" si="70"/>
        <v>1900</v>
      </c>
      <c r="L1318" s="757"/>
      <c r="M1318" s="757"/>
      <c r="N1318" s="757"/>
      <c r="O1318" s="757"/>
      <c r="P1318" s="757"/>
      <c r="Q1318" s="757"/>
      <c r="R1318" s="757"/>
      <c r="S1318" s="757"/>
      <c r="T1318" s="757"/>
      <c r="U1318" s="757"/>
      <c r="V1318" s="757"/>
      <c r="W1318" s="757"/>
      <c r="X1318" s="757"/>
      <c r="Y1318" s="757"/>
      <c r="Z1318" s="757"/>
      <c r="AA1318" s="757"/>
      <c r="AB1318" s="757"/>
      <c r="AC1318" s="757"/>
      <c r="AD1318" s="757"/>
      <c r="AE1318" s="757"/>
      <c r="AF1318" s="757"/>
      <c r="AG1318" s="757"/>
      <c r="AH1318" s="757"/>
      <c r="AI1318" s="757"/>
      <c r="AJ1318" s="757"/>
      <c r="AK1318" s="757"/>
      <c r="AL1318" s="757"/>
      <c r="AM1318" s="757"/>
      <c r="AN1318" s="757"/>
      <c r="AO1318" s="757"/>
      <c r="AP1318" s="757"/>
      <c r="AQ1318" s="757"/>
      <c r="AR1318" s="757"/>
      <c r="AS1318" s="757"/>
      <c r="AT1318" s="757"/>
      <c r="AU1318" s="757"/>
      <c r="AV1318" s="757"/>
      <c r="AW1318" s="757"/>
      <c r="AX1318" s="757"/>
      <c r="AY1318" s="757"/>
      <c r="AZ1318" s="75"/>
      <c r="BA1318" s="2"/>
      <c r="BB1318" s="2"/>
      <c r="BC1318" s="2"/>
      <c r="BD1318" s="2"/>
    </row>
    <row r="1319" spans="1:56">
      <c r="A1319" s="781"/>
      <c r="B1319" s="782"/>
      <c r="C1319" s="783"/>
      <c r="D1319" s="785"/>
      <c r="E1319" s="808"/>
      <c r="F1319" s="799"/>
      <c r="G1319" s="799"/>
      <c r="H1319" s="1592"/>
      <c r="I1319" s="754" t="str">
        <f>IFERROR(VLOOKUP(B1319,Mychart!$A$125:$B$911,2,FALSE),"-")</f>
        <v>-</v>
      </c>
      <c r="J1319" s="753" t="str">
        <f t="shared" si="69"/>
        <v>-</v>
      </c>
      <c r="K1319" s="1540">
        <f t="shared" si="70"/>
        <v>1900</v>
      </c>
      <c r="L1319" s="757"/>
      <c r="M1319" s="757"/>
      <c r="N1319" s="757"/>
      <c r="O1319" s="757"/>
      <c r="P1319" s="757"/>
      <c r="Q1319" s="757"/>
      <c r="R1319" s="757"/>
      <c r="S1319" s="757"/>
      <c r="T1319" s="757"/>
      <c r="U1319" s="757"/>
      <c r="V1319" s="757"/>
      <c r="W1319" s="757"/>
      <c r="X1319" s="757"/>
      <c r="Y1319" s="757"/>
      <c r="Z1319" s="757"/>
      <c r="AA1319" s="757"/>
      <c r="AB1319" s="757"/>
      <c r="AC1319" s="757"/>
      <c r="AD1319" s="757"/>
      <c r="AE1319" s="757"/>
      <c r="AF1319" s="757"/>
      <c r="AG1319" s="757"/>
      <c r="AH1319" s="757"/>
      <c r="AI1319" s="757"/>
      <c r="AJ1319" s="757"/>
      <c r="AK1319" s="757"/>
      <c r="AL1319" s="757"/>
      <c r="AM1319" s="757"/>
      <c r="AN1319" s="757"/>
      <c r="AO1319" s="757"/>
      <c r="AP1319" s="757"/>
      <c r="AQ1319" s="757"/>
      <c r="AR1319" s="757"/>
      <c r="AS1319" s="757"/>
      <c r="AT1319" s="757"/>
      <c r="AU1319" s="757"/>
      <c r="AV1319" s="757"/>
      <c r="AW1319" s="757"/>
      <c r="AX1319" s="757"/>
      <c r="AY1319" s="757"/>
      <c r="AZ1319" s="75"/>
      <c r="BA1319" s="2"/>
      <c r="BB1319" s="2"/>
      <c r="BC1319" s="2"/>
      <c r="BD1319" s="2"/>
    </row>
    <row r="1320" spans="1:56">
      <c r="A1320" s="781"/>
      <c r="B1320" s="782"/>
      <c r="C1320" s="783"/>
      <c r="D1320" s="785"/>
      <c r="E1320" s="808"/>
      <c r="F1320" s="799"/>
      <c r="G1320" s="799"/>
      <c r="H1320" s="1592"/>
      <c r="I1320" s="754" t="str">
        <f>IFERROR(VLOOKUP(B1320,Mychart!$A$125:$B$911,2,FALSE),"-")</f>
        <v>-</v>
      </c>
      <c r="J1320" s="753" t="str">
        <f t="shared" si="69"/>
        <v>-</v>
      </c>
      <c r="K1320" s="1540">
        <f t="shared" si="70"/>
        <v>1900</v>
      </c>
      <c r="L1320" s="757"/>
      <c r="M1320" s="757"/>
      <c r="N1320" s="757"/>
      <c r="O1320" s="757"/>
      <c r="P1320" s="757"/>
      <c r="Q1320" s="757"/>
      <c r="R1320" s="757"/>
      <c r="S1320" s="757"/>
      <c r="T1320" s="757"/>
      <c r="U1320" s="757"/>
      <c r="V1320" s="757"/>
      <c r="W1320" s="757"/>
      <c r="X1320" s="757"/>
      <c r="Y1320" s="757"/>
      <c r="Z1320" s="757"/>
      <c r="AA1320" s="757"/>
      <c r="AB1320" s="757"/>
      <c r="AC1320" s="757"/>
      <c r="AD1320" s="757"/>
      <c r="AE1320" s="757"/>
      <c r="AF1320" s="757"/>
      <c r="AG1320" s="757"/>
      <c r="AH1320" s="757"/>
      <c r="AI1320" s="757"/>
      <c r="AJ1320" s="757"/>
      <c r="AK1320" s="757"/>
      <c r="AL1320" s="757"/>
      <c r="AM1320" s="757"/>
      <c r="AN1320" s="757"/>
      <c r="AO1320" s="757"/>
      <c r="AP1320" s="757"/>
      <c r="AQ1320" s="757"/>
      <c r="AR1320" s="757"/>
      <c r="AS1320" s="757"/>
      <c r="AT1320" s="757"/>
      <c r="AU1320" s="757"/>
      <c r="AV1320" s="757"/>
      <c r="AW1320" s="757"/>
      <c r="AX1320" s="757"/>
      <c r="AY1320" s="757"/>
      <c r="AZ1320" s="75"/>
      <c r="BA1320" s="2"/>
      <c r="BB1320" s="2"/>
      <c r="BC1320" s="2"/>
      <c r="BD1320" s="2"/>
    </row>
    <row r="1321" spans="1:56">
      <c r="A1321" s="781"/>
      <c r="B1321" s="782"/>
      <c r="C1321" s="783"/>
      <c r="D1321" s="785"/>
      <c r="E1321" s="808"/>
      <c r="F1321" s="799"/>
      <c r="G1321" s="799"/>
      <c r="H1321" s="1592"/>
      <c r="I1321" s="754" t="str">
        <f>IFERROR(VLOOKUP(B1321,Mychart!$A$125:$B$911,2,FALSE),"-")</f>
        <v>-</v>
      </c>
      <c r="J1321" s="753" t="str">
        <f t="shared" si="69"/>
        <v>-</v>
      </c>
      <c r="K1321" s="1540">
        <f t="shared" si="70"/>
        <v>1900</v>
      </c>
      <c r="L1321" s="757"/>
      <c r="M1321" s="757"/>
      <c r="N1321" s="757"/>
      <c r="O1321" s="757"/>
      <c r="P1321" s="757"/>
      <c r="Q1321" s="757"/>
      <c r="R1321" s="757"/>
      <c r="S1321" s="757"/>
      <c r="T1321" s="757"/>
      <c r="U1321" s="757"/>
      <c r="V1321" s="757"/>
      <c r="W1321" s="757"/>
      <c r="X1321" s="757"/>
      <c r="Y1321" s="757"/>
      <c r="Z1321" s="757"/>
      <c r="AA1321" s="757"/>
      <c r="AB1321" s="757"/>
      <c r="AC1321" s="757"/>
      <c r="AD1321" s="757"/>
      <c r="AE1321" s="757"/>
      <c r="AF1321" s="757"/>
      <c r="AG1321" s="757"/>
      <c r="AH1321" s="757"/>
      <c r="AI1321" s="757"/>
      <c r="AJ1321" s="757"/>
      <c r="AK1321" s="757"/>
      <c r="AL1321" s="757"/>
      <c r="AM1321" s="757"/>
      <c r="AN1321" s="757"/>
      <c r="AO1321" s="757"/>
      <c r="AP1321" s="757"/>
      <c r="AQ1321" s="757"/>
      <c r="AR1321" s="757"/>
      <c r="AS1321" s="757"/>
      <c r="AT1321" s="757"/>
      <c r="AU1321" s="757"/>
      <c r="AV1321" s="757"/>
      <c r="AW1321" s="757"/>
      <c r="AX1321" s="757"/>
      <c r="AY1321" s="757"/>
      <c r="AZ1321" s="75"/>
      <c r="BA1321" s="2"/>
      <c r="BB1321" s="2"/>
      <c r="BC1321" s="2"/>
      <c r="BD1321" s="2"/>
    </row>
    <row r="1322" spans="1:56">
      <c r="A1322" s="781"/>
      <c r="B1322" s="782"/>
      <c r="C1322" s="783"/>
      <c r="D1322" s="785"/>
      <c r="E1322" s="808"/>
      <c r="F1322" s="799"/>
      <c r="G1322" s="799"/>
      <c r="H1322" s="1592"/>
      <c r="I1322" s="754" t="str">
        <f>IFERROR(VLOOKUP(B1322,Mychart!$A$125:$B$911,2,FALSE),"-")</f>
        <v>-</v>
      </c>
      <c r="J1322" s="753" t="str">
        <f t="shared" si="69"/>
        <v>-</v>
      </c>
      <c r="K1322" s="1540">
        <f t="shared" si="70"/>
        <v>1900</v>
      </c>
      <c r="L1322" s="757"/>
      <c r="M1322" s="757"/>
      <c r="N1322" s="757"/>
      <c r="O1322" s="757"/>
      <c r="P1322" s="757"/>
      <c r="Q1322" s="757"/>
      <c r="R1322" s="757"/>
      <c r="S1322" s="757"/>
      <c r="T1322" s="757"/>
      <c r="U1322" s="757"/>
      <c r="V1322" s="757"/>
      <c r="W1322" s="757"/>
      <c r="X1322" s="757"/>
      <c r="Y1322" s="757"/>
      <c r="Z1322" s="757"/>
      <c r="AA1322" s="757"/>
      <c r="AB1322" s="757"/>
      <c r="AC1322" s="757"/>
      <c r="AD1322" s="757"/>
      <c r="AE1322" s="757"/>
      <c r="AF1322" s="757"/>
      <c r="AG1322" s="757"/>
      <c r="AH1322" s="757"/>
      <c r="AI1322" s="757"/>
      <c r="AJ1322" s="757"/>
      <c r="AK1322" s="757"/>
      <c r="AL1322" s="757"/>
      <c r="AM1322" s="757"/>
      <c r="AN1322" s="757"/>
      <c r="AO1322" s="757"/>
      <c r="AP1322" s="757"/>
      <c r="AQ1322" s="757"/>
      <c r="AR1322" s="757"/>
      <c r="AS1322" s="757"/>
      <c r="AT1322" s="757"/>
      <c r="AU1322" s="757"/>
      <c r="AV1322" s="757"/>
      <c r="AW1322" s="757"/>
      <c r="AX1322" s="757"/>
      <c r="AY1322" s="757"/>
      <c r="AZ1322" s="75"/>
      <c r="BA1322" s="2"/>
      <c r="BB1322" s="2"/>
      <c r="BC1322" s="2"/>
      <c r="BD1322" s="2"/>
    </row>
    <row r="1323" spans="1:56">
      <c r="A1323" s="781"/>
      <c r="B1323" s="782"/>
      <c r="C1323" s="783"/>
      <c r="D1323" s="785"/>
      <c r="E1323" s="808"/>
      <c r="F1323" s="799"/>
      <c r="G1323" s="799"/>
      <c r="H1323" s="1592"/>
      <c r="I1323" s="754" t="str">
        <f>IFERROR(VLOOKUP(B1323,Mychart!$A$125:$B$911,2,FALSE),"-")</f>
        <v>-</v>
      </c>
      <c r="J1323" s="753" t="str">
        <f t="shared" si="69"/>
        <v>-</v>
      </c>
      <c r="K1323" s="1540">
        <f t="shared" si="70"/>
        <v>1900</v>
      </c>
      <c r="L1323" s="757"/>
      <c r="M1323" s="757"/>
      <c r="N1323" s="757"/>
      <c r="O1323" s="757"/>
      <c r="P1323" s="757"/>
      <c r="Q1323" s="757"/>
      <c r="R1323" s="757"/>
      <c r="S1323" s="757"/>
      <c r="T1323" s="757"/>
      <c r="U1323" s="757"/>
      <c r="V1323" s="757"/>
      <c r="W1323" s="757"/>
      <c r="X1323" s="757"/>
      <c r="Y1323" s="757"/>
      <c r="Z1323" s="757"/>
      <c r="AA1323" s="757"/>
      <c r="AB1323" s="757"/>
      <c r="AC1323" s="757"/>
      <c r="AD1323" s="757"/>
      <c r="AE1323" s="757"/>
      <c r="AF1323" s="757"/>
      <c r="AG1323" s="757"/>
      <c r="AH1323" s="757"/>
      <c r="AI1323" s="757"/>
      <c r="AJ1323" s="757"/>
      <c r="AK1323" s="757"/>
      <c r="AL1323" s="757"/>
      <c r="AM1323" s="757"/>
      <c r="AN1323" s="757"/>
      <c r="AO1323" s="757"/>
      <c r="AP1323" s="757"/>
      <c r="AQ1323" s="757"/>
      <c r="AR1323" s="757"/>
      <c r="AS1323" s="757"/>
      <c r="AT1323" s="757"/>
      <c r="AU1323" s="757"/>
      <c r="AV1323" s="757"/>
      <c r="AW1323" s="757"/>
      <c r="AX1323" s="757"/>
      <c r="AY1323" s="757"/>
      <c r="AZ1323" s="75"/>
      <c r="BA1323" s="2"/>
      <c r="BB1323" s="2"/>
      <c r="BC1323" s="2"/>
      <c r="BD1323" s="2"/>
    </row>
    <row r="1324" spans="1:56">
      <c r="A1324" s="781"/>
      <c r="B1324" s="782"/>
      <c r="C1324" s="783"/>
      <c r="D1324" s="785"/>
      <c r="E1324" s="808"/>
      <c r="F1324" s="799"/>
      <c r="G1324" s="799"/>
      <c r="H1324" s="1592"/>
      <c r="I1324" s="754" t="str">
        <f>IFERROR(VLOOKUP(B1324,Mychart!$A$125:$B$911,2,FALSE),"-")</f>
        <v>-</v>
      </c>
      <c r="J1324" s="753" t="str">
        <f t="shared" si="69"/>
        <v>-</v>
      </c>
      <c r="K1324" s="1540">
        <f t="shared" si="70"/>
        <v>1900</v>
      </c>
      <c r="L1324" s="757"/>
      <c r="M1324" s="757"/>
      <c r="N1324" s="757"/>
      <c r="O1324" s="757"/>
      <c r="P1324" s="757"/>
      <c r="Q1324" s="757"/>
      <c r="R1324" s="757"/>
      <c r="S1324" s="757"/>
      <c r="T1324" s="757"/>
      <c r="U1324" s="757"/>
      <c r="V1324" s="757"/>
      <c r="W1324" s="757"/>
      <c r="X1324" s="757"/>
      <c r="Y1324" s="757"/>
      <c r="Z1324" s="757"/>
      <c r="AA1324" s="757"/>
      <c r="AB1324" s="757"/>
      <c r="AC1324" s="757"/>
      <c r="AD1324" s="757"/>
      <c r="AE1324" s="757"/>
      <c r="AF1324" s="757"/>
      <c r="AG1324" s="757"/>
      <c r="AH1324" s="757"/>
      <c r="AI1324" s="757"/>
      <c r="AJ1324" s="757"/>
      <c r="AK1324" s="757"/>
      <c r="AL1324" s="757"/>
      <c r="AM1324" s="757"/>
      <c r="AN1324" s="757"/>
      <c r="AO1324" s="757"/>
      <c r="AP1324" s="757"/>
      <c r="AQ1324" s="757"/>
      <c r="AR1324" s="757"/>
      <c r="AS1324" s="757"/>
      <c r="AT1324" s="757"/>
      <c r="AU1324" s="757"/>
      <c r="AV1324" s="757"/>
      <c r="AW1324" s="757"/>
      <c r="AX1324" s="757"/>
      <c r="AY1324" s="757"/>
      <c r="AZ1324" s="75"/>
      <c r="BA1324" s="2"/>
      <c r="BB1324" s="2"/>
      <c r="BC1324" s="2"/>
      <c r="BD1324" s="2"/>
    </row>
    <row r="1325" spans="1:56">
      <c r="A1325" s="781"/>
      <c r="B1325" s="782"/>
      <c r="C1325" s="783"/>
      <c r="D1325" s="785"/>
      <c r="E1325" s="808"/>
      <c r="F1325" s="799"/>
      <c r="G1325" s="799"/>
      <c r="H1325" s="1592"/>
      <c r="I1325" s="754" t="str">
        <f>IFERROR(VLOOKUP(B1325,Mychart!$A$125:$B$911,2,FALSE),"-")</f>
        <v>-</v>
      </c>
      <c r="J1325" s="753" t="str">
        <f t="shared" si="69"/>
        <v>-</v>
      </c>
      <c r="K1325" s="1540">
        <f t="shared" si="70"/>
        <v>1900</v>
      </c>
      <c r="L1325" s="757"/>
      <c r="M1325" s="757"/>
      <c r="N1325" s="757"/>
      <c r="O1325" s="757"/>
      <c r="P1325" s="757"/>
      <c r="Q1325" s="757"/>
      <c r="R1325" s="757"/>
      <c r="S1325" s="757"/>
      <c r="T1325" s="757"/>
      <c r="U1325" s="757"/>
      <c r="V1325" s="757"/>
      <c r="W1325" s="757"/>
      <c r="X1325" s="757"/>
      <c r="Y1325" s="757"/>
      <c r="Z1325" s="757"/>
      <c r="AA1325" s="757"/>
      <c r="AB1325" s="757"/>
      <c r="AC1325" s="757"/>
      <c r="AD1325" s="757"/>
      <c r="AE1325" s="757"/>
      <c r="AF1325" s="757"/>
      <c r="AG1325" s="757"/>
      <c r="AH1325" s="757"/>
      <c r="AI1325" s="757"/>
      <c r="AJ1325" s="757"/>
      <c r="AK1325" s="757"/>
      <c r="AL1325" s="757"/>
      <c r="AM1325" s="757"/>
      <c r="AN1325" s="757"/>
      <c r="AO1325" s="757"/>
      <c r="AP1325" s="757"/>
      <c r="AQ1325" s="757"/>
      <c r="AR1325" s="757"/>
      <c r="AS1325" s="757"/>
      <c r="AT1325" s="757"/>
      <c r="AU1325" s="757"/>
      <c r="AV1325" s="757"/>
      <c r="AW1325" s="757"/>
      <c r="AX1325" s="757"/>
      <c r="AY1325" s="757"/>
      <c r="AZ1325" s="75"/>
      <c r="BA1325" s="2"/>
      <c r="BB1325" s="2"/>
      <c r="BC1325" s="2"/>
      <c r="BD1325" s="2"/>
    </row>
    <row r="1326" spans="1:56">
      <c r="A1326" s="781"/>
      <c r="B1326" s="782"/>
      <c r="C1326" s="783"/>
      <c r="D1326" s="785"/>
      <c r="E1326" s="808"/>
      <c r="F1326" s="799"/>
      <c r="G1326" s="799"/>
      <c r="H1326" s="1592"/>
      <c r="I1326" s="754"/>
      <c r="J1326" s="753"/>
      <c r="K1326" s="1540"/>
      <c r="L1326" s="757"/>
      <c r="M1326" s="757"/>
      <c r="N1326" s="757"/>
      <c r="O1326" s="757"/>
      <c r="P1326" s="757"/>
      <c r="Q1326" s="757"/>
      <c r="R1326" s="757"/>
      <c r="S1326" s="757"/>
      <c r="T1326" s="757"/>
      <c r="U1326" s="757"/>
      <c r="V1326" s="757"/>
      <c r="W1326" s="757"/>
      <c r="X1326" s="757"/>
      <c r="Y1326" s="757"/>
      <c r="Z1326" s="757"/>
      <c r="AA1326" s="757"/>
      <c r="AB1326" s="757"/>
      <c r="AC1326" s="757"/>
      <c r="AD1326" s="757"/>
      <c r="AE1326" s="757"/>
      <c r="AF1326" s="757"/>
      <c r="AG1326" s="757"/>
      <c r="AH1326" s="757"/>
      <c r="AI1326" s="757"/>
      <c r="AJ1326" s="757"/>
      <c r="AK1326" s="757"/>
      <c r="AL1326" s="757"/>
      <c r="AM1326" s="757"/>
      <c r="AN1326" s="757"/>
      <c r="AO1326" s="757"/>
      <c r="AP1326" s="757"/>
      <c r="AQ1326" s="757"/>
      <c r="AR1326" s="757"/>
      <c r="AS1326" s="757"/>
      <c r="AT1326" s="757"/>
      <c r="AU1326" s="757"/>
      <c r="AV1326" s="757"/>
      <c r="AW1326" s="757"/>
      <c r="AX1326" s="757"/>
      <c r="AY1326" s="757"/>
      <c r="AZ1326" s="75"/>
      <c r="BA1326" s="2"/>
      <c r="BB1326" s="2"/>
      <c r="BC1326" s="2"/>
      <c r="BD1326" s="2"/>
    </row>
    <row r="1327" spans="1:56">
      <c r="A1327" s="781"/>
      <c r="B1327" s="782"/>
      <c r="C1327" s="783"/>
      <c r="D1327" s="785"/>
      <c r="E1327" s="808"/>
      <c r="F1327" s="799"/>
      <c r="G1327" s="799"/>
      <c r="H1327" s="1592"/>
      <c r="I1327" s="754"/>
      <c r="J1327" s="753"/>
      <c r="K1327" s="1540"/>
      <c r="L1327" s="757"/>
      <c r="M1327" s="757"/>
      <c r="N1327" s="757"/>
      <c r="O1327" s="757"/>
      <c r="P1327" s="757"/>
      <c r="Q1327" s="757"/>
      <c r="R1327" s="757"/>
      <c r="S1327" s="757"/>
      <c r="T1327" s="757"/>
      <c r="U1327" s="757"/>
      <c r="V1327" s="757"/>
      <c r="W1327" s="757"/>
      <c r="X1327" s="757"/>
      <c r="Y1327" s="757"/>
      <c r="Z1327" s="757"/>
      <c r="AA1327" s="757"/>
      <c r="AB1327" s="757"/>
      <c r="AC1327" s="757"/>
      <c r="AD1327" s="757"/>
      <c r="AE1327" s="757"/>
      <c r="AF1327" s="757"/>
      <c r="AG1327" s="757"/>
      <c r="AH1327" s="757"/>
      <c r="AI1327" s="757"/>
      <c r="AJ1327" s="757"/>
      <c r="AK1327" s="757"/>
      <c r="AL1327" s="757"/>
      <c r="AM1327" s="757"/>
      <c r="AN1327" s="757"/>
      <c r="AO1327" s="757"/>
      <c r="AP1327" s="757"/>
      <c r="AQ1327" s="757"/>
      <c r="AR1327" s="757"/>
      <c r="AS1327" s="757"/>
      <c r="AT1327" s="757"/>
      <c r="AU1327" s="757"/>
      <c r="AV1327" s="757"/>
      <c r="AW1327" s="757"/>
      <c r="AX1327" s="757"/>
      <c r="AY1327" s="757"/>
      <c r="AZ1327" s="75"/>
      <c r="BA1327" s="2"/>
      <c r="BB1327" s="2"/>
      <c r="BC1327" s="2"/>
      <c r="BD1327" s="2"/>
    </row>
    <row r="1328" spans="1:56">
      <c r="A1328" s="781"/>
      <c r="B1328" s="782"/>
      <c r="C1328" s="783"/>
      <c r="D1328" s="785"/>
      <c r="E1328" s="808"/>
      <c r="F1328" s="799"/>
      <c r="G1328" s="799"/>
      <c r="H1328" s="1592"/>
      <c r="I1328" s="754"/>
      <c r="J1328" s="753"/>
      <c r="K1328" s="1540"/>
      <c r="L1328" s="757"/>
      <c r="M1328" s="757"/>
      <c r="N1328" s="757"/>
      <c r="O1328" s="757"/>
      <c r="P1328" s="757"/>
      <c r="Q1328" s="757"/>
      <c r="R1328" s="757"/>
      <c r="S1328" s="757"/>
      <c r="T1328" s="757"/>
      <c r="U1328" s="757"/>
      <c r="V1328" s="757"/>
      <c r="W1328" s="757"/>
      <c r="X1328" s="757"/>
      <c r="Y1328" s="757"/>
      <c r="Z1328" s="757"/>
      <c r="AA1328" s="757"/>
      <c r="AB1328" s="757"/>
      <c r="AC1328" s="757"/>
      <c r="AD1328" s="757"/>
      <c r="AE1328" s="757"/>
      <c r="AF1328" s="757"/>
      <c r="AG1328" s="757"/>
      <c r="AH1328" s="757"/>
      <c r="AI1328" s="757"/>
      <c r="AJ1328" s="757"/>
      <c r="AK1328" s="757"/>
      <c r="AL1328" s="757"/>
      <c r="AM1328" s="757"/>
      <c r="AN1328" s="757"/>
      <c r="AO1328" s="757"/>
      <c r="AP1328" s="757"/>
      <c r="AQ1328" s="757"/>
      <c r="AR1328" s="757"/>
      <c r="AS1328" s="757"/>
      <c r="AT1328" s="757"/>
      <c r="AU1328" s="757"/>
      <c r="AV1328" s="757"/>
      <c r="AW1328" s="757"/>
      <c r="AX1328" s="757"/>
      <c r="AY1328" s="757"/>
      <c r="AZ1328" s="75"/>
      <c r="BA1328" s="2"/>
      <c r="BB1328" s="2"/>
      <c r="BC1328" s="2"/>
      <c r="BD1328" s="2"/>
    </row>
    <row r="1329" spans="1:56">
      <c r="A1329" s="781"/>
      <c r="B1329" s="782"/>
      <c r="C1329" s="783"/>
      <c r="D1329" s="785"/>
      <c r="E1329" s="808"/>
      <c r="F1329" s="799"/>
      <c r="G1329" s="799"/>
      <c r="H1329" s="1592"/>
      <c r="I1329" s="754"/>
      <c r="J1329" s="753"/>
      <c r="K1329" s="1540"/>
      <c r="L1329" s="757"/>
      <c r="M1329" s="757"/>
      <c r="N1329" s="757"/>
      <c r="O1329" s="757"/>
      <c r="P1329" s="757"/>
      <c r="Q1329" s="757"/>
      <c r="R1329" s="757"/>
      <c r="S1329" s="757"/>
      <c r="T1329" s="757"/>
      <c r="U1329" s="757"/>
      <c r="V1329" s="757"/>
      <c r="W1329" s="757"/>
      <c r="X1329" s="757"/>
      <c r="Y1329" s="757"/>
      <c r="Z1329" s="757"/>
      <c r="AA1329" s="757"/>
      <c r="AB1329" s="757"/>
      <c r="AC1329" s="757"/>
      <c r="AD1329" s="757"/>
      <c r="AE1329" s="757"/>
      <c r="AF1329" s="757"/>
      <c r="AG1329" s="757"/>
      <c r="AH1329" s="757"/>
      <c r="AI1329" s="757"/>
      <c r="AJ1329" s="757"/>
      <c r="AK1329" s="757"/>
      <c r="AL1329" s="757"/>
      <c r="AM1329" s="757"/>
      <c r="AN1329" s="757"/>
      <c r="AO1329" s="757"/>
      <c r="AP1329" s="757"/>
      <c r="AQ1329" s="757"/>
      <c r="AR1329" s="757"/>
      <c r="AS1329" s="757"/>
      <c r="AT1329" s="757"/>
      <c r="AU1329" s="757"/>
      <c r="AV1329" s="757"/>
      <c r="AW1329" s="757"/>
      <c r="AX1329" s="757"/>
      <c r="AY1329" s="757"/>
      <c r="AZ1329" s="75"/>
      <c r="BA1329" s="2"/>
      <c r="BB1329" s="2"/>
      <c r="BC1329" s="2"/>
      <c r="BD1329" s="2"/>
    </row>
  </sheetData>
  <autoFilter ref="B9:B1268" xr:uid="{E711A2C0-F821-4511-928B-1B3469C3AFB0}"/>
  <customSheetViews>
    <customSheetView guid="{CE7484BD-F9E2-4C03-AA0F-F7057FD8E6EF}" fitToPage="1" showAutoFilter="1">
      <pane ySplit="9" topLeftCell="A1194" activePane="bottomLeft" state="frozen"/>
      <selection pane="bottomLeft" activeCell="P1205" sqref="P1205"/>
      <pageMargins left="0.3" right="0.7" top="0.16" bottom="0.16" header="0.3" footer="0.3"/>
      <pageSetup paperSize="9" scale="10" fitToWidth="0" orientation="portrait" horizontalDpi="0" verticalDpi="0" r:id="rId1"/>
      <autoFilter ref="A8:I1251" xr:uid="{FC883B33-1524-41E0-9003-4047C29DCD05}">
        <filterColumn colId="5" showButton="0"/>
        <filterColumn colId="6" showButton="0"/>
      </autoFilter>
    </customSheetView>
  </customSheetViews>
  <mergeCells count="4">
    <mergeCell ref="F8:H8"/>
    <mergeCell ref="I8:K8"/>
    <mergeCell ref="A8:C8"/>
    <mergeCell ref="A1:D2"/>
  </mergeCells>
  <pageMargins left="0.3" right="0.7" top="0.16" bottom="0.16" header="0.3" footer="0.3"/>
  <pageSetup paperSize="9" scale="10" fitToWidth="0" orientation="portrait" horizontalDpi="0" verticalDpi="0" r:id="rId2"/>
  <customProperties>
    <customPr name="LastActive" r:id="rId3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AH483"/>
  <sheetViews>
    <sheetView tabSelected="1" zoomScale="70" zoomScaleNormal="70" zoomScaleSheetLayoutView="115" workbookViewId="0">
      <selection activeCell="I30" sqref="I30"/>
    </sheetView>
  </sheetViews>
  <sheetFormatPr defaultColWidth="9" defaultRowHeight="15"/>
  <cols>
    <col min="1" max="1" width="5.5703125" customWidth="1"/>
    <col min="2" max="2" width="23.7109375" style="76" customWidth="1"/>
    <col min="3" max="3" width="24.140625" customWidth="1"/>
    <col min="4" max="4" width="13" customWidth="1"/>
    <col min="5" max="5" width="17.5703125" bestFit="1" customWidth="1"/>
    <col min="6" max="6" width="15" style="738" customWidth="1"/>
    <col min="7" max="7" width="10.42578125" style="691" customWidth="1"/>
    <col min="8" max="8" width="9.42578125" style="683" customWidth="1"/>
    <col min="9" max="9" width="15.85546875" style="683" customWidth="1"/>
    <col min="10" max="10" width="19.85546875" style="683" customWidth="1"/>
    <col min="11" max="11" width="11" style="685" bestFit="1" customWidth="1"/>
    <col min="12" max="12" width="8.85546875" style="686" customWidth="1"/>
    <col min="13" max="13" width="4.85546875" style="686" customWidth="1"/>
    <col min="14" max="14" width="33.140625" style="686" customWidth="1"/>
    <col min="15" max="15" width="10.5703125" style="686" customWidth="1"/>
    <col min="16" max="16" width="17.7109375" style="686" customWidth="1"/>
    <col min="17" max="17" width="12.28515625" style="686" customWidth="1"/>
    <col min="18" max="20" width="9" style="683"/>
    <col min="21" max="26" width="9" style="65"/>
    <col min="27" max="28" width="9" style="1"/>
  </cols>
  <sheetData>
    <row r="1" spans="1:17" ht="18" customHeight="1" thickBot="1">
      <c r="A1" s="1787" t="s">
        <v>8</v>
      </c>
      <c r="B1" s="1787"/>
      <c r="C1" s="1787"/>
      <c r="D1" s="699"/>
      <c r="E1" s="1693"/>
      <c r="F1" s="733" t="s">
        <v>9</v>
      </c>
      <c r="G1" s="743" t="s">
        <v>168</v>
      </c>
      <c r="H1" s="743">
        <v>283</v>
      </c>
      <c r="I1" s="744"/>
      <c r="J1" s="745"/>
      <c r="K1" s="695" t="s">
        <v>202</v>
      </c>
      <c r="L1" s="687" t="s">
        <v>4</v>
      </c>
      <c r="M1" s="687" t="s">
        <v>213</v>
      </c>
      <c r="N1" s="687" t="s">
        <v>173</v>
      </c>
      <c r="O1" s="688">
        <v>262</v>
      </c>
      <c r="P1" s="688" t="s">
        <v>24</v>
      </c>
      <c r="Q1" s="688" t="s">
        <v>217</v>
      </c>
    </row>
    <row r="2" spans="1:17" ht="12.75" customHeight="1" thickTop="1" thickBot="1">
      <c r="A2" s="1787"/>
      <c r="B2" s="1787"/>
      <c r="C2" s="1787"/>
      <c r="D2" s="699"/>
      <c r="E2" s="1692"/>
      <c r="F2" s="733" t="s">
        <v>9</v>
      </c>
      <c r="K2" s="746" t="s">
        <v>214</v>
      </c>
      <c r="L2" s="747">
        <v>45458</v>
      </c>
      <c r="M2" s="1445" t="s">
        <v>173</v>
      </c>
      <c r="N2" s="1444" t="str">
        <f>IFERROR(VLOOKUP(M2,Mychart!A125:U729,2,FALSE),"-")</f>
        <v>BAB AL TABREED A/C UNITS FIX.CONT</v>
      </c>
      <c r="O2" s="748"/>
      <c r="P2" s="748"/>
      <c r="Q2" s="748"/>
    </row>
    <row r="3" spans="1:17" ht="21">
      <c r="A3" s="1788" t="s">
        <v>10</v>
      </c>
      <c r="B3" s="1789"/>
      <c r="C3" s="1790"/>
      <c r="D3" s="699"/>
      <c r="E3" s="1692"/>
      <c r="F3" s="733" t="s">
        <v>9</v>
      </c>
      <c r="G3" s="739"/>
      <c r="H3" s="1794" t="s">
        <v>2818</v>
      </c>
      <c r="I3" s="1794"/>
      <c r="K3" s="746" t="s">
        <v>215</v>
      </c>
      <c r="L3" s="747">
        <v>45460</v>
      </c>
      <c r="M3" s="1445" t="s">
        <v>173</v>
      </c>
      <c r="N3" s="1444" t="str">
        <f>IFERROR(VLOOKUP(M3,Mychart!A126:U732,2,FALSE),"-")</f>
        <v>BAB AL TABREED A/C UNITS FIX.CONT</v>
      </c>
      <c r="O3" s="748" t="s">
        <v>216</v>
      </c>
      <c r="P3" s="748" t="s">
        <v>149</v>
      </c>
      <c r="Q3" s="748"/>
    </row>
    <row r="4" spans="1:17" ht="15.75">
      <c r="A4" s="1791" t="str">
        <f>VLOOKUP(G1,Mychart!A125:B830,2,FALSE)</f>
        <v>UTS Carrier</v>
      </c>
      <c r="B4" s="1792"/>
      <c r="C4" s="1793"/>
      <c r="D4" s="699"/>
      <c r="E4" s="700"/>
      <c r="F4" s="733" t="s">
        <v>9</v>
      </c>
      <c r="K4" s="746" t="s">
        <v>218</v>
      </c>
      <c r="L4" s="747">
        <v>45462</v>
      </c>
      <c r="M4" s="1445" t="s">
        <v>168</v>
      </c>
      <c r="N4" s="1444" t="str">
        <f>IFERROR(VLOOKUP(M4,Mychart!A127:U733,2,FALSE),"-")</f>
        <v>UTS Carrier</v>
      </c>
      <c r="O4" s="748" t="s">
        <v>219</v>
      </c>
      <c r="P4" s="748" t="s">
        <v>150</v>
      </c>
      <c r="Q4" s="748"/>
    </row>
    <row r="5" spans="1:17" ht="14.45" customHeight="1" thickBot="1">
      <c r="A5" s="1145">
        <f>VLOOKUP(G1,Mychart!A125:U830,9,FALSE)</f>
        <v>0</v>
      </c>
      <c r="B5" s="1146"/>
      <c r="C5" s="1147"/>
      <c r="D5" s="699"/>
      <c r="E5" s="703"/>
      <c r="F5" s="1637"/>
      <c r="K5" s="746" t="s">
        <v>1068</v>
      </c>
      <c r="L5" s="747">
        <v>45498</v>
      </c>
      <c r="M5" s="1445" t="s">
        <v>172</v>
      </c>
      <c r="N5" s="1444" t="str">
        <f>IFERROR(VLOOKUP(M5,Mychart!A128:U734,2,FALSE),"-")</f>
        <v>BEST CHOICE INDUSTRIES LLC</v>
      </c>
      <c r="O5" s="748" t="s">
        <v>1070</v>
      </c>
      <c r="P5" s="748" t="s">
        <v>152</v>
      </c>
      <c r="Q5" s="748"/>
    </row>
    <row r="6" spans="1:17" ht="22.5" customHeight="1" thickBot="1">
      <c r="A6" s="1804" t="str">
        <f>VLOOKUP(G1,Mychart!A125:U830,10,FALSE)</f>
        <v>Dubai- UAE / Tel: 04-4199197</v>
      </c>
      <c r="B6" s="1805"/>
      <c r="C6" s="1806"/>
      <c r="D6" s="699"/>
      <c r="E6" s="1800" t="s">
        <v>4</v>
      </c>
      <c r="F6" s="1802" t="s">
        <v>5693</v>
      </c>
      <c r="G6" s="739"/>
      <c r="H6" s="1794" t="s">
        <v>10</v>
      </c>
      <c r="I6" s="1794"/>
      <c r="K6" s="746" t="s">
        <v>1078</v>
      </c>
      <c r="L6" s="747">
        <v>45498</v>
      </c>
      <c r="M6" s="1445" t="s">
        <v>172</v>
      </c>
      <c r="N6" s="1444" t="str">
        <f>IFERROR(VLOOKUP(M6,Mychart!A129:U735,2,FALSE),"-")</f>
        <v>BEST CHOICE INDUSTRIES LLC</v>
      </c>
      <c r="O6" s="748" t="s">
        <v>1080</v>
      </c>
      <c r="P6" s="748" t="s">
        <v>156</v>
      </c>
      <c r="Q6" s="748"/>
    </row>
    <row r="7" spans="1:17" ht="27" customHeight="1" thickBot="1">
      <c r="A7" s="704" t="s">
        <v>5341</v>
      </c>
      <c r="B7" s="705"/>
      <c r="C7" s="1490" t="s">
        <v>5505</v>
      </c>
      <c r="D7" s="699"/>
      <c r="E7" s="1801"/>
      <c r="F7" s="1803"/>
      <c r="K7" s="746" t="s">
        <v>1091</v>
      </c>
      <c r="L7" s="747">
        <v>45502</v>
      </c>
      <c r="M7" s="1445" t="s">
        <v>173</v>
      </c>
      <c r="N7" s="1444" t="str">
        <f>IFERROR(VLOOKUP(M7,Mychart!A130:U736,2,FALSE),"-")</f>
        <v>BAB AL TABREED A/C UNITS FIX.CONT</v>
      </c>
      <c r="O7" s="748" t="s">
        <v>1093</v>
      </c>
      <c r="P7" s="748" t="s">
        <v>154</v>
      </c>
      <c r="Q7" s="748"/>
    </row>
    <row r="8" spans="1:17" ht="23.1" customHeight="1" thickBot="1">
      <c r="A8" s="1807" t="s">
        <v>322</v>
      </c>
      <c r="B8" s="1808"/>
      <c r="C8" s="1809"/>
      <c r="D8" s="699"/>
      <c r="E8" s="1796">
        <v>45638</v>
      </c>
      <c r="F8" s="1796" t="s">
        <v>6174</v>
      </c>
      <c r="G8" s="740"/>
      <c r="H8" s="1795" t="s">
        <v>24</v>
      </c>
      <c r="I8" s="1795"/>
      <c r="K8" s="746" t="s">
        <v>1094</v>
      </c>
      <c r="L8" s="747">
        <v>45502</v>
      </c>
      <c r="M8" s="1445" t="s">
        <v>173</v>
      </c>
      <c r="N8" s="1444" t="str">
        <f>IFERROR(VLOOKUP(M8,Mychart!A131:U737,2,FALSE),"-")</f>
        <v>BAB AL TABREED A/C UNITS FIX.CONT</v>
      </c>
      <c r="O8" s="748" t="s">
        <v>1095</v>
      </c>
      <c r="P8" s="748" t="s">
        <v>161</v>
      </c>
      <c r="Q8" s="748"/>
    </row>
    <row r="9" spans="1:17" ht="24" customHeight="1" thickBot="1">
      <c r="A9" s="1099">
        <f>H1</f>
        <v>283</v>
      </c>
      <c r="B9" s="1798" t="s">
        <v>6175</v>
      </c>
      <c r="C9" s="1799"/>
      <c r="D9" s="699"/>
      <c r="E9" s="1797"/>
      <c r="F9" s="1797"/>
      <c r="K9" s="746" t="s">
        <v>1096</v>
      </c>
      <c r="L9" s="747">
        <v>45502</v>
      </c>
      <c r="M9" s="1445" t="s">
        <v>171</v>
      </c>
      <c r="N9" s="1444" t="str">
        <f>IFERROR(VLOOKUP(M9,Mychart!A132:U738,2,FALSE),"-")</f>
        <v>MACS -Al Muthathawerah</v>
      </c>
      <c r="O9" s="748" t="s">
        <v>1097</v>
      </c>
      <c r="P9" s="748" t="s">
        <v>988</v>
      </c>
      <c r="Q9" s="748"/>
    </row>
    <row r="10" spans="1:17" ht="15" customHeight="1">
      <c r="A10" s="1786" t="s">
        <v>13</v>
      </c>
      <c r="B10" s="1782" t="s">
        <v>14</v>
      </c>
      <c r="C10" s="1783"/>
      <c r="D10" s="1774" t="s">
        <v>15</v>
      </c>
      <c r="E10" s="1774" t="s">
        <v>16</v>
      </c>
      <c r="F10" s="1774" t="s">
        <v>17</v>
      </c>
      <c r="K10" s="746" t="s">
        <v>1098</v>
      </c>
      <c r="L10" s="747">
        <v>45502</v>
      </c>
      <c r="M10" s="1445" t="s">
        <v>168</v>
      </c>
      <c r="N10" s="1444" t="str">
        <f>IFERROR(VLOOKUP(M10,Mychart!A133:U739,2,FALSE),"-")</f>
        <v>UTS Carrier</v>
      </c>
      <c r="O10" s="748"/>
      <c r="P10" s="748" t="s">
        <v>1101</v>
      </c>
      <c r="Q10" s="748"/>
    </row>
    <row r="11" spans="1:17" ht="15" customHeight="1">
      <c r="A11" s="1774"/>
      <c r="B11" s="1784"/>
      <c r="C11" s="1785"/>
      <c r="D11" s="1774"/>
      <c r="E11" s="1774"/>
      <c r="F11" s="1774"/>
      <c r="K11" s="746" t="s">
        <v>1115</v>
      </c>
      <c r="L11" s="747">
        <v>45502</v>
      </c>
      <c r="M11" s="1445" t="s">
        <v>172</v>
      </c>
      <c r="N11" s="1444" t="str">
        <f>IFERROR(VLOOKUP(M11,Mychart!A134:U740,2,FALSE),"-")</f>
        <v>BEST CHOICE INDUSTRIES LLC</v>
      </c>
      <c r="O11" s="748">
        <v>79854</v>
      </c>
      <c r="P11" s="748" t="s">
        <v>159</v>
      </c>
      <c r="Q11" s="748"/>
    </row>
    <row r="12" spans="1:17">
      <c r="A12" s="708">
        <v>1</v>
      </c>
      <c r="B12" s="1775" t="s">
        <v>6170</v>
      </c>
      <c r="C12" s="1776"/>
      <c r="D12" s="709">
        <v>2</v>
      </c>
      <c r="E12" s="710"/>
      <c r="F12" s="741">
        <f>IFERROR(D12*E12,0)</f>
        <v>0</v>
      </c>
      <c r="I12" s="697" t="s">
        <v>2819</v>
      </c>
      <c r="K12" s="746" t="s">
        <v>1114</v>
      </c>
      <c r="L12" s="747">
        <v>45504</v>
      </c>
      <c r="M12" s="1445" t="s">
        <v>171</v>
      </c>
      <c r="N12" s="1444" t="str">
        <f>IFERROR(VLOOKUP(M12,Mychart!A135:U741,2,FALSE),"-")</f>
        <v>MACS -Al Muthathawerah</v>
      </c>
      <c r="O12" s="748" t="s">
        <v>1097</v>
      </c>
      <c r="P12" s="748" t="s">
        <v>988</v>
      </c>
      <c r="Q12" s="748"/>
    </row>
    <row r="13" spans="1:17">
      <c r="A13" s="711">
        <v>2</v>
      </c>
      <c r="B13" s="1775" t="s">
        <v>6171</v>
      </c>
      <c r="C13" s="1776"/>
      <c r="D13" s="709">
        <v>2</v>
      </c>
      <c r="E13" s="710"/>
      <c r="F13" s="741">
        <f t="shared" ref="F13:F30" si="0">IFERROR(D13*E13,0)</f>
        <v>0</v>
      </c>
      <c r="I13" s="697"/>
      <c r="K13" s="746" t="s">
        <v>1116</v>
      </c>
      <c r="L13" s="747">
        <v>45504</v>
      </c>
      <c r="M13" s="1445" t="s">
        <v>173</v>
      </c>
      <c r="N13" s="1444" t="str">
        <f>IFERROR(VLOOKUP(M13,Mychart!A136:U742,2,FALSE),"-")</f>
        <v>BAB AL TABREED A/C UNITS FIX.CONT</v>
      </c>
      <c r="O13" s="748" t="s">
        <v>1117</v>
      </c>
      <c r="P13" s="748" t="s">
        <v>160</v>
      </c>
      <c r="Q13" s="748"/>
    </row>
    <row r="14" spans="1:17">
      <c r="A14" s="711">
        <v>3</v>
      </c>
      <c r="B14" s="1775" t="s">
        <v>6172</v>
      </c>
      <c r="C14" s="1776"/>
      <c r="D14" s="709">
        <v>1</v>
      </c>
      <c r="E14" s="710"/>
      <c r="F14" s="741">
        <f t="shared" si="0"/>
        <v>0</v>
      </c>
      <c r="I14" s="698" t="s">
        <v>2820</v>
      </c>
      <c r="K14" s="746" t="s">
        <v>1151</v>
      </c>
      <c r="L14" s="747">
        <v>45507</v>
      </c>
      <c r="M14" s="1445" t="s">
        <v>172</v>
      </c>
      <c r="N14" s="1444" t="str">
        <f>IFERROR(VLOOKUP(M14,Mychart!A137:U743,2,FALSE),"-")</f>
        <v>BEST CHOICE INDUSTRIES LLC</v>
      </c>
      <c r="O14" s="748" t="s">
        <v>1150</v>
      </c>
      <c r="P14" s="748" t="s">
        <v>160</v>
      </c>
      <c r="Q14" s="748"/>
    </row>
    <row r="15" spans="1:17" ht="15" customHeight="1">
      <c r="A15" s="711">
        <v>4</v>
      </c>
      <c r="B15" s="1775" t="s">
        <v>6173</v>
      </c>
      <c r="C15" s="1776"/>
      <c r="D15" s="709">
        <v>1</v>
      </c>
      <c r="E15" s="710"/>
      <c r="F15" s="741">
        <f t="shared" si="0"/>
        <v>0</v>
      </c>
      <c r="I15" s="697"/>
      <c r="K15" s="746" t="s">
        <v>1223</v>
      </c>
      <c r="L15" s="747">
        <v>45509</v>
      </c>
      <c r="M15" s="1445" t="s">
        <v>173</v>
      </c>
      <c r="N15" s="1444" t="str">
        <f>IFERROR(VLOOKUP(M15,Mychart!A138:U744,2,FALSE),"-")</f>
        <v>BAB AL TABREED A/C UNITS FIX.CONT</v>
      </c>
      <c r="O15" s="748" t="s">
        <v>1224</v>
      </c>
      <c r="P15" s="748" t="s">
        <v>161</v>
      </c>
      <c r="Q15" s="748"/>
    </row>
    <row r="16" spans="1:17" ht="15.75" customHeight="1">
      <c r="A16" s="711">
        <v>5</v>
      </c>
      <c r="B16" s="1775" t="s">
        <v>234</v>
      </c>
      <c r="C16" s="1776"/>
      <c r="D16" s="709">
        <v>1</v>
      </c>
      <c r="E16" s="710"/>
      <c r="F16" s="741">
        <f t="shared" si="0"/>
        <v>0</v>
      </c>
      <c r="I16" s="698" t="s">
        <v>4946</v>
      </c>
      <c r="K16" s="746" t="s">
        <v>1247</v>
      </c>
      <c r="L16" s="747">
        <v>45510</v>
      </c>
      <c r="M16" s="1445" t="s">
        <v>173</v>
      </c>
      <c r="N16" s="1444" t="str">
        <f>IFERROR(VLOOKUP(M16,Mychart!A139:U745,2,FALSE),"-")</f>
        <v>BAB AL TABREED A/C UNITS FIX.CONT</v>
      </c>
      <c r="O16" s="748" t="s">
        <v>1248</v>
      </c>
      <c r="P16" s="748" t="s">
        <v>156</v>
      </c>
      <c r="Q16" s="748"/>
    </row>
    <row r="17" spans="1:17">
      <c r="A17" s="711">
        <v>6</v>
      </c>
      <c r="B17" s="1775" t="s">
        <v>1277</v>
      </c>
      <c r="C17" s="1776"/>
      <c r="D17" s="709">
        <v>1</v>
      </c>
      <c r="E17" s="710"/>
      <c r="F17" s="741">
        <f t="shared" si="0"/>
        <v>0</v>
      </c>
      <c r="I17" s="697"/>
      <c r="K17" s="746" t="s">
        <v>1249</v>
      </c>
      <c r="L17" s="747">
        <v>45511</v>
      </c>
      <c r="M17" s="1445" t="s">
        <v>173</v>
      </c>
      <c r="N17" s="1444" t="str">
        <f>IFERROR(VLOOKUP(M17,Mychart!A140:U746,2,FALSE),"-")</f>
        <v>BAB AL TABREED A/C UNITS FIX.CONT</v>
      </c>
      <c r="O17" s="748" t="s">
        <v>1250</v>
      </c>
      <c r="P17" s="748" t="s">
        <v>307</v>
      </c>
      <c r="Q17" s="748"/>
    </row>
    <row r="18" spans="1:17">
      <c r="A18" s="711">
        <v>7</v>
      </c>
      <c r="B18" s="1775" t="s">
        <v>232</v>
      </c>
      <c r="C18" s="1776"/>
      <c r="D18" s="709">
        <v>1</v>
      </c>
      <c r="E18" s="710"/>
      <c r="F18" s="741">
        <f t="shared" si="0"/>
        <v>0</v>
      </c>
      <c r="I18" s="697" t="s">
        <v>2822</v>
      </c>
      <c r="K18" s="746" t="s">
        <v>1323</v>
      </c>
      <c r="L18" s="747">
        <v>45514</v>
      </c>
      <c r="M18" s="1445" t="s">
        <v>171</v>
      </c>
      <c r="N18" s="1444" t="str">
        <f>IFERROR(VLOOKUP(M18,Mychart!A141:U747,2,FALSE),"-")</f>
        <v>MACS -Al Muthathawerah</v>
      </c>
      <c r="O18" s="748">
        <v>241470</v>
      </c>
      <c r="P18" s="748" t="s">
        <v>294</v>
      </c>
      <c r="Q18" s="748"/>
    </row>
    <row r="19" spans="1:17">
      <c r="A19" s="713">
        <v>8</v>
      </c>
      <c r="B19" s="1775" t="s">
        <v>1368</v>
      </c>
      <c r="C19" s="1776"/>
      <c r="D19" s="709">
        <v>1</v>
      </c>
      <c r="E19" s="1680"/>
      <c r="F19" s="1681">
        <f t="shared" si="0"/>
        <v>0</v>
      </c>
      <c r="K19" s="746" t="s">
        <v>1341</v>
      </c>
      <c r="L19" s="747">
        <v>45517</v>
      </c>
      <c r="M19" s="1445" t="s">
        <v>173</v>
      </c>
      <c r="N19" s="1444" t="str">
        <f>IFERROR(VLOOKUP(M19,Mychart!A142:U748,2,FALSE),"-")</f>
        <v>BAB AL TABREED A/C UNITS FIX.CONT</v>
      </c>
      <c r="O19" s="748" t="s">
        <v>1340</v>
      </c>
      <c r="P19" s="748" t="s">
        <v>293</v>
      </c>
      <c r="Q19" s="748"/>
    </row>
    <row r="20" spans="1:17">
      <c r="A20" s="714">
        <v>9</v>
      </c>
      <c r="B20" s="1779" t="s">
        <v>5666</v>
      </c>
      <c r="C20" s="1780"/>
      <c r="D20" s="1710">
        <v>1</v>
      </c>
      <c r="E20" s="1711">
        <v>26125</v>
      </c>
      <c r="F20" s="741">
        <f t="shared" si="0"/>
        <v>26125</v>
      </c>
      <c r="I20" s="697" t="s">
        <v>2821</v>
      </c>
      <c r="K20" s="746" t="s">
        <v>1362</v>
      </c>
      <c r="L20" s="747">
        <v>45493</v>
      </c>
      <c r="M20" s="1445" t="s">
        <v>173</v>
      </c>
      <c r="N20" s="1444" t="str">
        <f>IFERROR(VLOOKUP(M20,Mychart!A143:U749,2,FALSE),"-")</f>
        <v>BAB AL TABREED A/C UNITS FIX.CONT</v>
      </c>
      <c r="O20" s="748" t="s">
        <v>1363</v>
      </c>
      <c r="P20" s="748" t="s">
        <v>269</v>
      </c>
      <c r="Q20" s="748"/>
    </row>
    <row r="21" spans="1:17">
      <c r="A21" s="713">
        <v>10</v>
      </c>
      <c r="B21" s="1775"/>
      <c r="C21" s="1776"/>
      <c r="D21" s="709"/>
      <c r="E21" s="1680"/>
      <c r="F21" s="1681">
        <f t="shared" si="0"/>
        <v>0</v>
      </c>
      <c r="K21" s="746" t="s">
        <v>1402</v>
      </c>
      <c r="L21" s="747">
        <v>45524</v>
      </c>
      <c r="M21" s="1445" t="s">
        <v>172</v>
      </c>
      <c r="N21" s="1444" t="str">
        <f>IFERROR(VLOOKUP(M21,Mychart!A144:U750,2,FALSE),"-")</f>
        <v>BEST CHOICE INDUSTRIES LLC</v>
      </c>
      <c r="O21" s="748" t="s">
        <v>1403</v>
      </c>
      <c r="P21" s="748" t="s">
        <v>284</v>
      </c>
      <c r="Q21" s="748"/>
    </row>
    <row r="22" spans="1:17">
      <c r="A22" s="713">
        <v>11</v>
      </c>
      <c r="B22" s="1775"/>
      <c r="C22" s="1776"/>
      <c r="D22" s="709"/>
      <c r="E22" s="1185"/>
      <c r="F22" s="741">
        <f t="shared" si="0"/>
        <v>0</v>
      </c>
      <c r="K22" s="746" t="s">
        <v>1406</v>
      </c>
      <c r="L22" s="747">
        <v>45528</v>
      </c>
      <c r="M22" s="1445" t="s">
        <v>173</v>
      </c>
      <c r="N22" s="1444" t="str">
        <f>IFERROR(VLOOKUP(M22,Mychart!A145:U751,2,FALSE),"-")</f>
        <v>BAB AL TABREED A/C UNITS FIX.CONT</v>
      </c>
      <c r="O22" s="748" t="s">
        <v>1412</v>
      </c>
      <c r="P22" s="748" t="s">
        <v>300</v>
      </c>
      <c r="Q22" s="748"/>
    </row>
    <row r="23" spans="1:17" ht="18.75" customHeight="1">
      <c r="A23" s="713">
        <v>12</v>
      </c>
      <c r="B23" s="1775"/>
      <c r="C23" s="1776"/>
      <c r="D23" s="709"/>
      <c r="E23" s="710"/>
      <c r="F23" s="741">
        <f t="shared" si="0"/>
        <v>0</v>
      </c>
      <c r="K23" s="746" t="s">
        <v>1413</v>
      </c>
      <c r="L23" s="747">
        <v>45528</v>
      </c>
      <c r="M23" s="1445" t="s">
        <v>170</v>
      </c>
      <c r="N23" s="1444" t="str">
        <f>IFERROR(VLOOKUP(M23,Mychart!A146:U752,2,FALSE),"-")</f>
        <v>Al Junaid Indust. Group</v>
      </c>
      <c r="O23" s="748" t="s">
        <v>1414</v>
      </c>
      <c r="P23" s="748" t="s">
        <v>300</v>
      </c>
      <c r="Q23" s="748"/>
    </row>
    <row r="24" spans="1:17" ht="15" customHeight="1">
      <c r="A24" s="713">
        <v>13</v>
      </c>
      <c r="B24" s="1775"/>
      <c r="C24" s="1776"/>
      <c r="D24" s="709"/>
      <c r="E24" s="710"/>
      <c r="F24" s="741">
        <f t="shared" si="0"/>
        <v>0</v>
      </c>
      <c r="H24" s="1489" t="s">
        <v>5666</v>
      </c>
      <c r="K24" s="746" t="s">
        <v>1416</v>
      </c>
      <c r="L24" s="747">
        <v>45530</v>
      </c>
      <c r="M24" s="1445" t="s">
        <v>173</v>
      </c>
      <c r="N24" s="1444" t="str">
        <f>IFERROR(VLOOKUP(M24,Mychart!A147:U753,2,FALSE),"-")</f>
        <v>BAB AL TABREED A/C UNITS FIX.CONT</v>
      </c>
      <c r="O24" s="748" t="s">
        <v>1417</v>
      </c>
      <c r="P24" s="748" t="s">
        <v>294</v>
      </c>
      <c r="Q24" s="748"/>
    </row>
    <row r="25" spans="1:17">
      <c r="A25" s="713">
        <v>14</v>
      </c>
      <c r="B25" s="1775"/>
      <c r="C25" s="1776"/>
      <c r="D25" s="709"/>
      <c r="E25" s="710"/>
      <c r="F25" s="741">
        <f t="shared" si="0"/>
        <v>0</v>
      </c>
      <c r="K25" s="746" t="s">
        <v>1433</v>
      </c>
      <c r="L25" s="747">
        <v>45533</v>
      </c>
      <c r="M25" s="1445" t="s">
        <v>173</v>
      </c>
      <c r="N25" s="1444" t="str">
        <f>IFERROR(VLOOKUP(M25,Mychart!A148:U754,2,FALSE),"-")</f>
        <v>BAB AL TABREED A/C UNITS FIX.CONT</v>
      </c>
      <c r="O25" s="748" t="s">
        <v>1458</v>
      </c>
      <c r="P25" s="748" t="s">
        <v>293</v>
      </c>
      <c r="Q25" s="748"/>
    </row>
    <row r="26" spans="1:17">
      <c r="A26" s="713">
        <v>15</v>
      </c>
      <c r="B26" s="1775"/>
      <c r="C26" s="1776"/>
      <c r="D26" s="709"/>
      <c r="E26" s="1466"/>
      <c r="F26" s="741">
        <f t="shared" si="0"/>
        <v>0</v>
      </c>
      <c r="K26" s="746" t="s">
        <v>1488</v>
      </c>
      <c r="L26" s="747">
        <v>45535</v>
      </c>
      <c r="M26" s="1445" t="s">
        <v>173</v>
      </c>
      <c r="N26" s="1444" t="str">
        <f>IFERROR(VLOOKUP(M26,Mychart!A149:U755,2,FALSE),"-")</f>
        <v>BAB AL TABREED A/C UNITS FIX.CONT</v>
      </c>
      <c r="O26" s="748" t="s">
        <v>1486</v>
      </c>
      <c r="P26" s="748" t="s">
        <v>282</v>
      </c>
      <c r="Q26" s="748"/>
    </row>
    <row r="27" spans="1:17">
      <c r="A27" s="713">
        <v>16</v>
      </c>
      <c r="B27" s="1779"/>
      <c r="C27" s="1780"/>
      <c r="D27" s="1185"/>
      <c r="E27" s="1026"/>
      <c r="F27" s="741">
        <f t="shared" si="0"/>
        <v>0</v>
      </c>
      <c r="K27" s="746" t="s">
        <v>1502</v>
      </c>
      <c r="L27" s="747">
        <v>45524</v>
      </c>
      <c r="M27" s="1445" t="s">
        <v>172</v>
      </c>
      <c r="N27" s="1444" t="str">
        <f>IFERROR(VLOOKUP(M27,Mychart!A150:U756,2,FALSE),"-")</f>
        <v>BEST CHOICE INDUSTRIES LLC</v>
      </c>
      <c r="O27" s="748" t="s">
        <v>1403</v>
      </c>
      <c r="P27" s="748" t="s">
        <v>284</v>
      </c>
      <c r="Q27" s="748"/>
    </row>
    <row r="28" spans="1:17">
      <c r="A28" s="713">
        <v>17</v>
      </c>
      <c r="B28" s="1775"/>
      <c r="C28" s="1776"/>
      <c r="D28" s="709"/>
      <c r="E28" s="712"/>
      <c r="F28" s="741">
        <f t="shared" si="0"/>
        <v>0</v>
      </c>
      <c r="K28" s="746" t="s">
        <v>1540</v>
      </c>
      <c r="L28" s="747">
        <v>45536</v>
      </c>
      <c r="M28" s="1445" t="s">
        <v>173</v>
      </c>
      <c r="N28" s="1444" t="str">
        <f>IFERROR(VLOOKUP(M28,Mychart!A151:U757,2,FALSE),"-")</f>
        <v>BAB AL TABREED A/C UNITS FIX.CONT</v>
      </c>
      <c r="O28" s="748" t="s">
        <v>1541</v>
      </c>
      <c r="P28" s="748" t="s">
        <v>275</v>
      </c>
      <c r="Q28" s="748"/>
    </row>
    <row r="29" spans="1:17" ht="15" customHeight="1">
      <c r="A29" s="713">
        <v>18</v>
      </c>
      <c r="B29" s="1775"/>
      <c r="C29" s="1776"/>
      <c r="D29" s="709"/>
      <c r="E29" s="712"/>
      <c r="F29" s="741">
        <f t="shared" si="0"/>
        <v>0</v>
      </c>
      <c r="K29" s="746" t="s">
        <v>1543</v>
      </c>
      <c r="L29" s="747">
        <v>45536</v>
      </c>
      <c r="M29" s="1445" t="s">
        <v>173</v>
      </c>
      <c r="N29" s="1444" t="str">
        <f>IFERROR(VLOOKUP(M29,Mychart!A152:U758,2,FALSE),"-")</f>
        <v>BAB AL TABREED A/C UNITS FIX.CONT</v>
      </c>
      <c r="O29" s="748" t="s">
        <v>1542</v>
      </c>
      <c r="P29" s="748" t="s">
        <v>278</v>
      </c>
      <c r="Q29" s="748"/>
    </row>
    <row r="30" spans="1:17" ht="15.75" customHeight="1">
      <c r="A30" s="713">
        <v>19</v>
      </c>
      <c r="B30" s="1775"/>
      <c r="C30" s="1776"/>
      <c r="D30" s="709"/>
      <c r="E30" s="712"/>
      <c r="F30" s="741">
        <f t="shared" si="0"/>
        <v>0</v>
      </c>
      <c r="K30" s="746" t="s">
        <v>1551</v>
      </c>
      <c r="L30" s="747">
        <v>45538</v>
      </c>
      <c r="M30" s="1445" t="s">
        <v>172</v>
      </c>
      <c r="N30" s="1444" t="str">
        <f>IFERROR(VLOOKUP(M30,Mychart!A153:U759,2,FALSE),"-")</f>
        <v>BEST CHOICE INDUSTRIES LLC</v>
      </c>
      <c r="O30" s="748">
        <v>73036</v>
      </c>
      <c r="P30" s="748" t="s">
        <v>300</v>
      </c>
      <c r="Q30" s="748"/>
    </row>
    <row r="31" spans="1:17">
      <c r="A31" s="716">
        <v>20</v>
      </c>
      <c r="B31" s="1775"/>
      <c r="C31" s="1776"/>
      <c r="D31" s="1185"/>
      <c r="E31" s="712"/>
      <c r="F31" s="741">
        <f>IFERROR(D31*E31,0)</f>
        <v>0</v>
      </c>
      <c r="K31" s="746" t="s">
        <v>1562</v>
      </c>
      <c r="L31" s="747">
        <v>45538</v>
      </c>
      <c r="M31" s="1445" t="s">
        <v>172</v>
      </c>
      <c r="N31" s="1444" t="str">
        <f>IFERROR(VLOOKUP(M31,Mychart!A154:U760,2,FALSE),"-")</f>
        <v>BEST CHOICE INDUSTRIES LLC</v>
      </c>
      <c r="O31" s="748">
        <v>73198</v>
      </c>
      <c r="P31" s="748" t="s">
        <v>308</v>
      </c>
      <c r="Q31" s="748"/>
    </row>
    <row r="32" spans="1:17">
      <c r="A32" s="716">
        <v>21</v>
      </c>
      <c r="B32" s="1777"/>
      <c r="C32" s="1778"/>
      <c r="D32" s="709"/>
      <c r="E32" s="712"/>
      <c r="F32" s="741">
        <f>IFERROR(D32*E32,0)</f>
        <v>0</v>
      </c>
      <c r="K32" s="746" t="s">
        <v>1570</v>
      </c>
      <c r="L32" s="747">
        <v>45539</v>
      </c>
      <c r="M32" s="1445" t="s">
        <v>169</v>
      </c>
      <c r="N32" s="1444" t="str">
        <f>IFERROR(VLOOKUP(M32,Mychart!A155:U761,2,FALSE),"-")</f>
        <v>Takeef</v>
      </c>
      <c r="O32" s="748" t="s">
        <v>1574</v>
      </c>
      <c r="P32" s="748" t="s">
        <v>300</v>
      </c>
      <c r="Q32" s="748"/>
    </row>
    <row r="33" spans="1:34">
      <c r="A33" s="716">
        <v>22</v>
      </c>
      <c r="B33" s="1778"/>
      <c r="C33" s="1778"/>
      <c r="D33" s="715"/>
      <c r="E33" s="712"/>
      <c r="F33" s="741">
        <f>IFERROR(D33*E33,0)</f>
        <v>0</v>
      </c>
      <c r="K33" s="746" t="s">
        <v>1576</v>
      </c>
      <c r="L33" s="747">
        <v>45539</v>
      </c>
      <c r="M33" s="1445" t="s">
        <v>173</v>
      </c>
      <c r="N33" s="1444" t="str">
        <f>IFERROR(VLOOKUP(M33,Mychart!A156:U762,2,FALSE),"-")</f>
        <v>BAB AL TABREED A/C UNITS FIX.CONT</v>
      </c>
      <c r="O33" s="748">
        <v>241470</v>
      </c>
      <c r="P33" s="748" t="s">
        <v>269</v>
      </c>
      <c r="Q33" s="748"/>
    </row>
    <row r="34" spans="1:34" ht="15.75">
      <c r="A34" s="1781" t="str">
        <f>SpellNum_Dirham(F34)</f>
        <v>Twenty Six Thousand One Hundred Twenty Five Dirham and No Fils</v>
      </c>
      <c r="B34" s="1781"/>
      <c r="C34" s="1781"/>
      <c r="D34" s="1781"/>
      <c r="E34" s="717" t="s">
        <v>18</v>
      </c>
      <c r="F34" s="742">
        <f>SUM(F12:F33)</f>
        <v>26125</v>
      </c>
      <c r="K34" s="746" t="s">
        <v>1578</v>
      </c>
      <c r="L34" s="747">
        <v>45539</v>
      </c>
      <c r="M34" s="1445" t="s">
        <v>173</v>
      </c>
      <c r="N34" s="1444" t="str">
        <f>IFERROR(VLOOKUP(M34,Mychart!A157:U763,2,FALSE),"-")</f>
        <v>BAB AL TABREED A/C UNITS FIX.CONT</v>
      </c>
      <c r="O34" s="748" t="s">
        <v>1577</v>
      </c>
      <c r="P34" s="748" t="s">
        <v>269</v>
      </c>
      <c r="Q34" s="748"/>
    </row>
    <row r="35" spans="1:34" ht="15.75">
      <c r="A35" s="1781" t="str">
        <f>SpellNum_Dirham(F35)</f>
        <v>One Thousand Three Hundred Six Dirham and Twenty Five Fils</v>
      </c>
      <c r="B35" s="1781"/>
      <c r="C35" s="1781"/>
      <c r="D35" s="1781"/>
      <c r="E35" s="717" t="s">
        <v>19</v>
      </c>
      <c r="F35" s="742">
        <f>F34*5%</f>
        <v>1306.25</v>
      </c>
      <c r="K35" s="746" t="s">
        <v>1579</v>
      </c>
      <c r="L35" s="747">
        <v>45540</v>
      </c>
      <c r="M35" s="1445" t="s">
        <v>173</v>
      </c>
      <c r="N35" s="1444" t="str">
        <f>IFERROR(VLOOKUP(M35,Mychart!A158:U764,2,FALSE),"-")</f>
        <v>BAB AL TABREED A/C UNITS FIX.CONT</v>
      </c>
      <c r="O35" s="748" t="s">
        <v>1592</v>
      </c>
      <c r="P35" s="748" t="s">
        <v>275</v>
      </c>
      <c r="Q35" s="748"/>
      <c r="AF35">
        <v>0</v>
      </c>
      <c r="AH35">
        <v>42</v>
      </c>
    </row>
    <row r="36" spans="1:34" ht="15.75">
      <c r="A36" s="1781" t="str">
        <f>SpellNum_Dirham(F36)</f>
        <v>Twenty Seven Thousand Four Hundred Thirty One Dirham and Twenty Five Fils</v>
      </c>
      <c r="B36" s="1781"/>
      <c r="C36" s="1781"/>
      <c r="D36" s="1781"/>
      <c r="E36" s="717" t="s">
        <v>20</v>
      </c>
      <c r="F36" s="742">
        <f>F35+F34</f>
        <v>27431.25</v>
      </c>
      <c r="K36" s="746" t="s">
        <v>1593</v>
      </c>
      <c r="L36" s="747">
        <v>45540</v>
      </c>
      <c r="M36" s="1445" t="s">
        <v>173</v>
      </c>
      <c r="N36" s="1444" t="str">
        <f>IFERROR(VLOOKUP(M36,Mychart!A159:U765,2,FALSE),"-")</f>
        <v>BAB AL TABREED A/C UNITS FIX.CONT</v>
      </c>
      <c r="O36" s="748" t="s">
        <v>1596</v>
      </c>
      <c r="P36" s="748" t="s">
        <v>293</v>
      </c>
      <c r="Q36" s="748"/>
      <c r="AG36" t="s">
        <v>1205</v>
      </c>
    </row>
    <row r="37" spans="1:34" ht="15" customHeight="1">
      <c r="A37" s="718"/>
      <c r="B37" s="719"/>
      <c r="C37" s="722"/>
      <c r="D37" s="723"/>
      <c r="E37" s="723"/>
      <c r="F37" s="718"/>
      <c r="K37" s="746" t="s">
        <v>1624</v>
      </c>
      <c r="L37" s="747">
        <v>45544</v>
      </c>
      <c r="M37" s="1445" t="s">
        <v>171</v>
      </c>
      <c r="N37" s="1444" t="str">
        <f>IFERROR(VLOOKUP(M37,Mychart!A160:U766,2,FALSE),"-")</f>
        <v>MACS -Al Muthathawerah</v>
      </c>
      <c r="O37" s="748">
        <v>241628</v>
      </c>
      <c r="P37" s="748" t="s">
        <v>302</v>
      </c>
      <c r="Q37" s="748"/>
    </row>
    <row r="38" spans="1:34" ht="15" customHeight="1">
      <c r="A38" s="720" t="s">
        <v>9</v>
      </c>
      <c r="B38" s="721" t="s">
        <v>21</v>
      </c>
      <c r="C38" s="722"/>
      <c r="D38" s="723" t="s">
        <v>6168</v>
      </c>
      <c r="E38" s="723"/>
      <c r="F38" s="718"/>
      <c r="K38" s="746" t="s">
        <v>1729</v>
      </c>
      <c r="L38" s="747">
        <v>45546</v>
      </c>
      <c r="M38" s="1445" t="s">
        <v>173</v>
      </c>
      <c r="N38" s="1444" t="str">
        <f>IFERROR(VLOOKUP(M38,Mychart!A161:U767,2,FALSE),"-")</f>
        <v>BAB AL TABREED A/C UNITS FIX.CONT</v>
      </c>
      <c r="O38" s="748" t="s">
        <v>1731</v>
      </c>
      <c r="P38" s="748" t="s">
        <v>1730</v>
      </c>
      <c r="Q38" s="748"/>
    </row>
    <row r="39" spans="1:34" ht="15" customHeight="1">
      <c r="A39" s="722" t="s">
        <v>22</v>
      </c>
      <c r="B39" s="722"/>
      <c r="C39" s="722"/>
      <c r="D39" s="723" t="s">
        <v>6169</v>
      </c>
      <c r="E39" s="718"/>
      <c r="F39" s="718"/>
      <c r="K39" s="746" t="s">
        <v>1760</v>
      </c>
      <c r="L39" s="747">
        <v>45550</v>
      </c>
      <c r="M39" s="1445" t="s">
        <v>168</v>
      </c>
      <c r="N39" s="1444" t="str">
        <f>IFERROR(VLOOKUP(M39,Mychart!A162:U768,2,FALSE),"-")</f>
        <v>UTS Carrier</v>
      </c>
      <c r="O39" s="748" t="s">
        <v>1759</v>
      </c>
      <c r="P39" s="748" t="s">
        <v>320</v>
      </c>
      <c r="Q39" s="748"/>
    </row>
    <row r="40" spans="1:34" ht="15" customHeight="1">
      <c r="A40" s="720"/>
      <c r="B40" s="721"/>
      <c r="C40" s="720"/>
      <c r="D40" s="723"/>
      <c r="E40" s="723"/>
      <c r="F40" s="735"/>
      <c r="K40" s="746" t="s">
        <v>1761</v>
      </c>
      <c r="L40" s="747">
        <v>45551</v>
      </c>
      <c r="M40" s="1445" t="s">
        <v>169</v>
      </c>
      <c r="N40" s="1444" t="str">
        <f>IFERROR(VLOOKUP(M40,Mychart!A163:U769,2,FALSE),"-")</f>
        <v>Takeef</v>
      </c>
      <c r="O40" s="748" t="s">
        <v>1792</v>
      </c>
      <c r="P40" s="748" t="s">
        <v>978</v>
      </c>
      <c r="Q40" s="748"/>
    </row>
    <row r="41" spans="1:34" ht="15" customHeight="1">
      <c r="A41" s="722"/>
      <c r="B41" s="722"/>
      <c r="C41" s="722"/>
      <c r="D41" s="723"/>
      <c r="E41" s="723"/>
      <c r="F41" s="735"/>
      <c r="K41" s="746" t="s">
        <v>1802</v>
      </c>
      <c r="L41" s="747">
        <v>45506</v>
      </c>
      <c r="M41" s="1445" t="s">
        <v>173</v>
      </c>
      <c r="N41" s="1444" t="str">
        <f>IFERROR(VLOOKUP(M41,Mychart!A164:U770,2,FALSE),"-")</f>
        <v>BAB AL TABREED A/C UNITS FIX.CONT</v>
      </c>
      <c r="O41" s="748" t="s">
        <v>1803</v>
      </c>
      <c r="P41" s="748" t="s">
        <v>159</v>
      </c>
      <c r="Q41" s="748"/>
    </row>
    <row r="42" spans="1:34" ht="15" customHeight="1">
      <c r="A42" s="723"/>
      <c r="B42" s="722"/>
      <c r="C42" s="723"/>
      <c r="D42" s="723"/>
      <c r="E42" s="723"/>
      <c r="F42" s="735"/>
      <c r="K42" s="746" t="s">
        <v>1804</v>
      </c>
      <c r="L42" s="747">
        <v>45524</v>
      </c>
      <c r="M42" s="1445" t="s">
        <v>173</v>
      </c>
      <c r="N42" s="1444" t="str">
        <f>IFERROR(VLOOKUP(M42,Mychart!A165:U771,2,FALSE),"-")</f>
        <v>BAB AL TABREED A/C UNITS FIX.CONT</v>
      </c>
      <c r="O42" s="748" t="s">
        <v>1803</v>
      </c>
      <c r="P42" s="748" t="s">
        <v>1805</v>
      </c>
      <c r="Q42" s="748"/>
    </row>
    <row r="43" spans="1:34" ht="15" customHeight="1">
      <c r="A43" s="723"/>
      <c r="B43" s="722"/>
      <c r="C43" s="723"/>
      <c r="D43" s="723"/>
      <c r="E43" s="723"/>
      <c r="F43" s="735"/>
      <c r="K43" s="746" t="s">
        <v>1808</v>
      </c>
      <c r="L43" s="747">
        <v>45554</v>
      </c>
      <c r="M43" s="1445" t="s">
        <v>173</v>
      </c>
      <c r="N43" s="1444" t="str">
        <f>IFERROR(VLOOKUP(M43,Mychart!A166:U772,2,FALSE),"-")</f>
        <v>BAB AL TABREED A/C UNITS FIX.CONT</v>
      </c>
      <c r="O43" s="748" t="s">
        <v>1809</v>
      </c>
      <c r="P43" s="748" t="s">
        <v>293</v>
      </c>
      <c r="Q43" s="748"/>
    </row>
    <row r="44" spans="1:34" ht="15" customHeight="1">
      <c r="A44" s="699"/>
      <c r="B44" s="724"/>
      <c r="C44" s="725"/>
      <c r="D44" s="726"/>
      <c r="E44" s="699"/>
      <c r="F44" s="735"/>
      <c r="K44" s="746" t="s">
        <v>1810</v>
      </c>
      <c r="L44" s="747">
        <v>45554</v>
      </c>
      <c r="M44" s="1445" t="s">
        <v>172</v>
      </c>
      <c r="N44" s="1444" t="str">
        <f>IFERROR(VLOOKUP(M44,Mychart!A167:U773,2,FALSE),"-")</f>
        <v>BEST CHOICE INDUSTRIES LLC</v>
      </c>
      <c r="O44" s="748">
        <v>81416</v>
      </c>
      <c r="P44" s="748" t="s">
        <v>307</v>
      </c>
      <c r="Q44" s="748"/>
    </row>
    <row r="45" spans="1:34" ht="15" customHeight="1">
      <c r="A45" s="699"/>
      <c r="B45" s="728" t="s">
        <v>23</v>
      </c>
      <c r="C45" s="727"/>
      <c r="D45" s="726"/>
      <c r="E45" s="699"/>
      <c r="F45" s="734"/>
      <c r="K45" s="746" t="s">
        <v>1827</v>
      </c>
      <c r="L45" s="747">
        <v>45558</v>
      </c>
      <c r="M45" s="1445" t="s">
        <v>168</v>
      </c>
      <c r="N45" s="1444" t="str">
        <f>IFERROR(VLOOKUP(M45,Mychart!A168:U774,2,FALSE),"-")</f>
        <v>UTS Carrier</v>
      </c>
      <c r="O45" s="748">
        <v>0</v>
      </c>
      <c r="P45" s="748" t="s">
        <v>1831</v>
      </c>
      <c r="Q45" s="748"/>
    </row>
    <row r="46" spans="1:34" ht="14.25" customHeight="1">
      <c r="A46" s="699"/>
      <c r="C46" s="727"/>
      <c r="D46" s="699"/>
      <c r="E46" s="699"/>
      <c r="F46" s="734"/>
      <c r="K46" s="746" t="s">
        <v>1832</v>
      </c>
      <c r="L46" s="747">
        <v>45558</v>
      </c>
      <c r="M46" s="1445" t="s">
        <v>173</v>
      </c>
      <c r="N46" s="1444" t="str">
        <f>IFERROR(VLOOKUP(M46,Mychart!A169:U775,2,FALSE),"-")</f>
        <v>BAB AL TABREED A/C UNITS FIX.CONT</v>
      </c>
      <c r="O46" s="748" t="s">
        <v>1833</v>
      </c>
      <c r="P46" s="748" t="s">
        <v>282</v>
      </c>
      <c r="Q46" s="748"/>
    </row>
    <row r="47" spans="1:34" ht="15" customHeight="1">
      <c r="A47" s="699"/>
      <c r="B47" s="729"/>
      <c r="C47" s="699"/>
      <c r="D47" s="699"/>
      <c r="E47" s="699"/>
      <c r="F47" s="734"/>
      <c r="K47" s="746" t="s">
        <v>1853</v>
      </c>
      <c r="L47" s="747">
        <v>45563</v>
      </c>
      <c r="M47" s="1445" t="s">
        <v>173</v>
      </c>
      <c r="N47" s="1444" t="str">
        <f>IFERROR(VLOOKUP(M47,Mychart!A170:U776,2,FALSE),"-")</f>
        <v>BAB AL TABREED A/C UNITS FIX.CONT</v>
      </c>
      <c r="O47" s="748" t="s">
        <v>1854</v>
      </c>
      <c r="P47" s="748" t="s">
        <v>269</v>
      </c>
      <c r="Q47" s="748"/>
    </row>
    <row r="48" spans="1:34" ht="12" customHeight="1">
      <c r="A48" s="699"/>
      <c r="B48" s="729"/>
      <c r="C48" s="699"/>
      <c r="D48" s="699"/>
      <c r="E48" s="699"/>
      <c r="F48" s="734"/>
      <c r="K48" s="746" t="s">
        <v>1890</v>
      </c>
      <c r="L48" s="747">
        <v>45566</v>
      </c>
      <c r="M48" s="1445" t="s">
        <v>173</v>
      </c>
      <c r="N48" s="1444" t="str">
        <f>IFERROR(VLOOKUP(M48,Mychart!A171:U777,2,FALSE),"-")</f>
        <v>BAB AL TABREED A/C UNITS FIX.CONT</v>
      </c>
      <c r="O48" s="748" t="s">
        <v>1898</v>
      </c>
      <c r="P48" s="748" t="s">
        <v>269</v>
      </c>
      <c r="Q48" s="748"/>
    </row>
    <row r="49" spans="1:17" ht="21.75" customHeight="1">
      <c r="A49" s="730"/>
      <c r="B49" s="731"/>
      <c r="C49" s="730"/>
      <c r="D49" s="730"/>
      <c r="E49" s="730"/>
      <c r="F49" s="736"/>
      <c r="H49" s="684"/>
      <c r="K49" s="746" t="s">
        <v>1900</v>
      </c>
      <c r="L49" s="747">
        <v>45566</v>
      </c>
      <c r="M49" s="1445" t="s">
        <v>173</v>
      </c>
      <c r="N49" s="1444" t="str">
        <f>IFERROR(VLOOKUP(M49,Mychart!A172:U778,2,FALSE),"-")</f>
        <v>BAB AL TABREED A/C UNITS FIX.CONT</v>
      </c>
      <c r="O49" s="748" t="s">
        <v>1901</v>
      </c>
      <c r="P49" s="748" t="s">
        <v>320</v>
      </c>
      <c r="Q49" s="748"/>
    </row>
    <row r="50" spans="1:17">
      <c r="A50" s="730"/>
      <c r="B50" s="731"/>
      <c r="C50" s="730"/>
      <c r="D50" s="730"/>
      <c r="E50" s="730"/>
      <c r="F50" s="736"/>
      <c r="K50" s="746" t="s">
        <v>1902</v>
      </c>
      <c r="L50" s="747">
        <v>45570</v>
      </c>
      <c r="M50" s="1445" t="s">
        <v>173</v>
      </c>
      <c r="N50" s="1444" t="str">
        <f>IFERROR(VLOOKUP(M50,Mychart!A173:U779,2,FALSE),"-")</f>
        <v>BAB AL TABREED A/C UNITS FIX.CONT</v>
      </c>
      <c r="O50" s="748" t="s">
        <v>1903</v>
      </c>
      <c r="P50" s="748" t="s">
        <v>1851</v>
      </c>
      <c r="Q50" s="748"/>
    </row>
    <row r="51" spans="1:17">
      <c r="A51" s="730"/>
      <c r="B51" s="730"/>
      <c r="C51" s="730"/>
      <c r="D51" s="730"/>
      <c r="E51" s="730"/>
      <c r="F51" s="736"/>
      <c r="K51" s="746" t="s">
        <v>2887</v>
      </c>
      <c r="L51" s="747">
        <v>45572</v>
      </c>
      <c r="M51" s="1445" t="s">
        <v>173</v>
      </c>
      <c r="N51" s="1444" t="str">
        <f>IFERROR(VLOOKUP(M51,Mychart!A174:U780,2,FALSE),"-")</f>
        <v>BAB AL TABREED A/C UNITS FIX.CONT</v>
      </c>
      <c r="O51" s="748" t="s">
        <v>2886</v>
      </c>
      <c r="P51" s="748" t="s">
        <v>269</v>
      </c>
      <c r="Q51" s="748"/>
    </row>
    <row r="52" spans="1:17">
      <c r="A52" s="730"/>
      <c r="B52" s="730"/>
      <c r="C52" s="730"/>
      <c r="D52" s="730"/>
      <c r="E52" s="730"/>
      <c r="F52" s="736"/>
      <c r="K52" s="746" t="s">
        <v>3010</v>
      </c>
      <c r="L52" s="747">
        <v>45579</v>
      </c>
      <c r="M52" s="1445" t="s">
        <v>168</v>
      </c>
      <c r="N52" s="1444" t="str">
        <f>IFERROR(VLOOKUP(M52,Mychart!A175:U781,2,FALSE),"-")</f>
        <v>UTS Carrier</v>
      </c>
      <c r="O52" s="748" t="s">
        <v>198</v>
      </c>
      <c r="P52" s="748" t="s">
        <v>2845</v>
      </c>
      <c r="Q52" s="748"/>
    </row>
    <row r="53" spans="1:17" ht="16.5">
      <c r="A53" s="730"/>
      <c r="B53" s="730" t="s">
        <v>6170</v>
      </c>
      <c r="C53" s="730">
        <v>2</v>
      </c>
      <c r="D53" s="730"/>
      <c r="E53" s="730"/>
      <c r="F53" s="736"/>
      <c r="K53" s="746" t="s">
        <v>3018</v>
      </c>
      <c r="L53" s="747">
        <v>45579</v>
      </c>
      <c r="M53" s="1445" t="s">
        <v>168</v>
      </c>
      <c r="N53" s="1444" t="str">
        <f>IFERROR(VLOOKUP(M53,Mychart!A176:U782,2,FALSE),"-")</f>
        <v>UTS Carrier</v>
      </c>
      <c r="O53" s="1029" t="s">
        <v>3016</v>
      </c>
      <c r="P53" s="748" t="s">
        <v>3017</v>
      </c>
      <c r="Q53" s="748"/>
    </row>
    <row r="54" spans="1:17">
      <c r="A54" s="730"/>
      <c r="B54" s="730" t="s">
        <v>6171</v>
      </c>
      <c r="C54" s="730">
        <v>2</v>
      </c>
      <c r="D54" s="730"/>
      <c r="E54" s="730"/>
      <c r="F54" s="736"/>
      <c r="K54" s="746" t="s">
        <v>3014</v>
      </c>
      <c r="L54" s="747">
        <v>45579</v>
      </c>
      <c r="M54" s="1445" t="s">
        <v>171</v>
      </c>
      <c r="N54" s="1444" t="str">
        <f>IFERROR(VLOOKUP(M54,Mychart!A177:U783,2,FALSE),"-")</f>
        <v>MACS -Al Muthathawerah</v>
      </c>
      <c r="O54" s="748">
        <v>241840</v>
      </c>
      <c r="P54" s="748" t="s">
        <v>268</v>
      </c>
      <c r="Q54" s="748"/>
    </row>
    <row r="55" spans="1:17">
      <c r="A55" s="730"/>
      <c r="B55" s="730" t="s">
        <v>6172</v>
      </c>
      <c r="C55" s="730">
        <v>1</v>
      </c>
      <c r="D55" s="730"/>
      <c r="E55" s="730"/>
      <c r="F55" s="736"/>
      <c r="K55" s="746" t="s">
        <v>3029</v>
      </c>
      <c r="L55" s="747">
        <v>45580</v>
      </c>
      <c r="M55" s="1445" t="s">
        <v>173</v>
      </c>
      <c r="N55" s="1444" t="str">
        <f>IFERROR(VLOOKUP(M55,Mychart!A178:U784,2,FALSE),"-")</f>
        <v>BAB AL TABREED A/C UNITS FIX.CONT</v>
      </c>
      <c r="O55" s="748" t="s">
        <v>3028</v>
      </c>
      <c r="P55" s="748" t="s">
        <v>281</v>
      </c>
      <c r="Q55" s="748"/>
    </row>
    <row r="56" spans="1:17">
      <c r="A56" s="730"/>
      <c r="B56" s="730" t="s">
        <v>6173</v>
      </c>
      <c r="C56" s="730">
        <v>1</v>
      </c>
      <c r="D56" s="730"/>
      <c r="E56" s="730"/>
      <c r="F56" s="736"/>
      <c r="K56" s="746" t="s">
        <v>4810</v>
      </c>
      <c r="L56" s="747">
        <v>45582</v>
      </c>
      <c r="M56" s="1445" t="s">
        <v>173</v>
      </c>
      <c r="N56" s="1444" t="str">
        <f>IFERROR(VLOOKUP(M56,Mychart!A179:U785,2,FALSE),"-")</f>
        <v>BAB AL TABREED A/C UNITS FIX.CONT</v>
      </c>
      <c r="O56" s="748" t="s">
        <v>4812</v>
      </c>
      <c r="P56" s="748" t="s">
        <v>269</v>
      </c>
      <c r="Q56" s="748"/>
    </row>
    <row r="57" spans="1:17">
      <c r="A57" s="730"/>
      <c r="B57" s="730" t="s">
        <v>234</v>
      </c>
      <c r="C57" s="730">
        <v>1</v>
      </c>
      <c r="D57" s="730"/>
      <c r="E57" s="730"/>
      <c r="F57" s="736"/>
      <c r="K57" s="746" t="s">
        <v>4868</v>
      </c>
      <c r="L57" s="747">
        <v>45584</v>
      </c>
      <c r="M57" s="1445" t="s">
        <v>173</v>
      </c>
      <c r="N57" s="1444" t="str">
        <f>IFERROR(VLOOKUP(M57,Mychart!A180:U786,2,FALSE),"-")</f>
        <v>BAB AL TABREED A/C UNITS FIX.CONT</v>
      </c>
      <c r="O57" s="748" t="s">
        <v>4867</v>
      </c>
      <c r="P57" s="748" t="s">
        <v>269</v>
      </c>
      <c r="Q57" s="748"/>
    </row>
    <row r="58" spans="1:17">
      <c r="A58" s="730"/>
      <c r="B58" s="730" t="s">
        <v>1277</v>
      </c>
      <c r="C58" s="730">
        <v>1</v>
      </c>
      <c r="D58" s="730"/>
      <c r="E58" s="730"/>
      <c r="F58" s="736"/>
      <c r="K58" s="746" t="s">
        <v>4898</v>
      </c>
      <c r="L58" s="747">
        <v>45586</v>
      </c>
      <c r="M58" s="1445" t="s">
        <v>4892</v>
      </c>
      <c r="N58" s="1444" t="str">
        <f>IFERROR(VLOOKUP(M58,Mychart!A181:U787,2,FALSE),"-")</f>
        <v>Winner AC  - Ducts</v>
      </c>
      <c r="O58" s="748" t="s">
        <v>4916</v>
      </c>
      <c r="P58" s="748" t="s">
        <v>626</v>
      </c>
      <c r="Q58" s="748"/>
    </row>
    <row r="59" spans="1:17">
      <c r="A59" s="730"/>
      <c r="B59" s="730" t="s">
        <v>232</v>
      </c>
      <c r="C59" s="730">
        <v>1</v>
      </c>
      <c r="D59" s="730"/>
      <c r="E59" s="730"/>
      <c r="F59" s="736"/>
      <c r="K59" s="746" t="s">
        <v>4917</v>
      </c>
      <c r="L59" s="747">
        <v>45586</v>
      </c>
      <c r="M59" s="1445" t="s">
        <v>4892</v>
      </c>
      <c r="N59" s="1444" t="str">
        <f>IFERROR(VLOOKUP(M59,Mychart!A182:U788,2,FALSE),"-")</f>
        <v>Winner AC  - Ducts</v>
      </c>
      <c r="O59" s="748" t="s">
        <v>4920</v>
      </c>
      <c r="P59" s="748" t="s">
        <v>626</v>
      </c>
      <c r="Q59" s="748"/>
    </row>
    <row r="60" spans="1:17">
      <c r="A60" s="730"/>
      <c r="B60" s="730" t="s">
        <v>1368</v>
      </c>
      <c r="C60" s="730">
        <v>1</v>
      </c>
      <c r="D60" s="730"/>
      <c r="E60" s="730"/>
      <c r="F60" s="736"/>
      <c r="K60" s="746" t="s">
        <v>4943</v>
      </c>
      <c r="L60" s="747">
        <v>45588</v>
      </c>
      <c r="M60" s="1445" t="s">
        <v>171</v>
      </c>
      <c r="N60" s="1444" t="str">
        <f>IFERROR(VLOOKUP(M60,Mychart!A183:U789,2,FALSE),"-")</f>
        <v>MACS -Al Muthathawerah</v>
      </c>
      <c r="O60" s="748" t="s">
        <v>4945</v>
      </c>
      <c r="P60" s="748" t="s">
        <v>303</v>
      </c>
      <c r="Q60" s="748"/>
    </row>
    <row r="61" spans="1:17">
      <c r="A61" s="730"/>
      <c r="B61" s="732"/>
      <c r="C61" s="730"/>
      <c r="D61" s="730"/>
      <c r="E61" s="730"/>
      <c r="F61" s="736"/>
      <c r="K61" s="746" t="s">
        <v>5093</v>
      </c>
      <c r="L61" s="747">
        <v>45591</v>
      </c>
      <c r="M61" s="1445" t="s">
        <v>173</v>
      </c>
      <c r="N61" s="1444" t="str">
        <f>IFERROR(VLOOKUP(M61,Mychart!A184:U790,2,FALSE),"-")</f>
        <v>BAB AL TABREED A/C UNITS FIX.CONT</v>
      </c>
      <c r="O61" s="748" t="s">
        <v>5095</v>
      </c>
      <c r="P61" s="748" t="s">
        <v>267</v>
      </c>
      <c r="Q61" s="748"/>
    </row>
    <row r="62" spans="1:17">
      <c r="A62" s="730"/>
      <c r="B62" s="732">
        <v>10</v>
      </c>
      <c r="C62" s="730"/>
      <c r="D62" s="730"/>
      <c r="E62" s="730"/>
      <c r="F62" s="736"/>
      <c r="K62" s="746" t="s">
        <v>5239</v>
      </c>
      <c r="L62" s="747">
        <v>45594</v>
      </c>
      <c r="M62" s="1445" t="s">
        <v>172</v>
      </c>
      <c r="N62" s="1444" t="str">
        <f>IFERROR(VLOOKUP(M62,Mychart!A185:U791,2,FALSE),"-")</f>
        <v>BEST CHOICE INDUSTRIES LLC</v>
      </c>
      <c r="O62" s="748" t="s">
        <v>5240</v>
      </c>
      <c r="P62" s="748" t="s">
        <v>301</v>
      </c>
      <c r="Q62" s="748"/>
    </row>
    <row r="63" spans="1:17">
      <c r="A63" s="730"/>
      <c r="B63" s="732">
        <v>20</v>
      </c>
      <c r="C63" s="730"/>
      <c r="D63" s="730"/>
      <c r="E63" s="730"/>
      <c r="F63" s="736"/>
      <c r="K63" s="746" t="s">
        <v>5264</v>
      </c>
      <c r="L63" s="747">
        <v>45594</v>
      </c>
      <c r="M63" s="1445" t="s">
        <v>171</v>
      </c>
      <c r="N63" s="1444" t="str">
        <f>IFERROR(VLOOKUP(M63,Mychart!A186:U792,2,FALSE),"-")</f>
        <v>MACS -Al Muthathawerah</v>
      </c>
      <c r="O63" s="748">
        <v>241939</v>
      </c>
      <c r="P63" s="748" t="s">
        <v>283</v>
      </c>
      <c r="Q63" s="748"/>
    </row>
    <row r="64" spans="1:17">
      <c r="A64" s="730"/>
      <c r="B64" s="732">
        <v>30</v>
      </c>
      <c r="C64" s="730"/>
      <c r="D64" s="730"/>
      <c r="E64" s="730"/>
      <c r="F64" s="736"/>
      <c r="K64" s="746" t="s">
        <v>5298</v>
      </c>
      <c r="L64" s="747">
        <v>45598</v>
      </c>
      <c r="M64" s="1445" t="s">
        <v>168</v>
      </c>
      <c r="N64" s="1444" t="str">
        <f>IFERROR(VLOOKUP(M64,Mychart!A187:U793,2,FALSE),"-")</f>
        <v>UTS Carrier</v>
      </c>
      <c r="O64" s="748">
        <v>3110141200</v>
      </c>
      <c r="P64" s="748" t="s">
        <v>5005</v>
      </c>
      <c r="Q64" s="748"/>
    </row>
    <row r="65" spans="1:17">
      <c r="A65" s="730"/>
      <c r="B65" s="732">
        <v>40</v>
      </c>
      <c r="C65" s="730"/>
      <c r="D65" s="730"/>
      <c r="E65" s="730"/>
      <c r="F65" s="736"/>
      <c r="K65" s="746" t="s">
        <v>5316</v>
      </c>
      <c r="L65" s="747">
        <v>45598</v>
      </c>
      <c r="M65" s="1445" t="s">
        <v>168</v>
      </c>
      <c r="N65" s="1444" t="str">
        <f>IFERROR(VLOOKUP(M65,Mychart!A188:U794,2,FALSE),"-")</f>
        <v>UTS Carrier</v>
      </c>
      <c r="O65" s="748" t="s">
        <v>4809</v>
      </c>
      <c r="P65" s="748" t="s">
        <v>268</v>
      </c>
      <c r="Q65" s="748"/>
    </row>
    <row r="66" spans="1:17">
      <c r="A66" s="730"/>
      <c r="B66" s="730">
        <v>50</v>
      </c>
      <c r="C66" s="730"/>
      <c r="D66" s="730"/>
      <c r="E66" s="730"/>
      <c r="F66" s="736"/>
      <c r="K66" s="746" t="s">
        <v>5318</v>
      </c>
      <c r="L66" s="747">
        <v>45598</v>
      </c>
      <c r="M66" s="1445" t="s">
        <v>168</v>
      </c>
      <c r="N66" s="1444" t="str">
        <f>IFERROR(VLOOKUP(M66,Mychart!A189:U795,2,FALSE),"-")</f>
        <v>UTS Carrier</v>
      </c>
      <c r="O66" s="748" t="s">
        <v>4809</v>
      </c>
      <c r="P66" s="748" t="s">
        <v>283</v>
      </c>
      <c r="Q66" s="748"/>
    </row>
    <row r="67" spans="1:17">
      <c r="A67" s="730"/>
      <c r="B67" s="732">
        <v>60</v>
      </c>
      <c r="C67" s="730"/>
      <c r="D67" s="730"/>
      <c r="E67" s="730"/>
      <c r="F67" s="736"/>
      <c r="K67" s="746" t="s">
        <v>5319</v>
      </c>
      <c r="L67" s="747">
        <v>45598</v>
      </c>
      <c r="M67" s="1445" t="s">
        <v>168</v>
      </c>
      <c r="N67" s="1444" t="str">
        <f>IFERROR(VLOOKUP(M67,Mychart!A190:U796,2,FALSE),"-")</f>
        <v>UTS Carrier</v>
      </c>
      <c r="O67" s="748" t="s">
        <v>4809</v>
      </c>
      <c r="P67" s="748" t="s">
        <v>264</v>
      </c>
      <c r="Q67" s="748"/>
    </row>
    <row r="68" spans="1:17">
      <c r="A68" s="730"/>
      <c r="B68" s="732">
        <v>70</v>
      </c>
      <c r="C68" s="730"/>
      <c r="D68" s="730"/>
      <c r="E68" s="730"/>
      <c r="F68" s="736"/>
      <c r="K68" s="746" t="s">
        <v>5320</v>
      </c>
      <c r="L68" s="747">
        <v>45598</v>
      </c>
      <c r="M68" s="1445" t="s">
        <v>168</v>
      </c>
      <c r="N68" s="1444" t="str">
        <f>IFERROR(VLOOKUP(M68,Mychart!A191:U797,2,FALSE),"-")</f>
        <v>UTS Carrier</v>
      </c>
      <c r="O68" s="748" t="s">
        <v>4809</v>
      </c>
      <c r="P68" s="748" t="s">
        <v>5321</v>
      </c>
      <c r="Q68" s="748"/>
    </row>
    <row r="69" spans="1:17">
      <c r="A69" s="730"/>
      <c r="B69" s="730">
        <v>80</v>
      </c>
      <c r="C69" s="730"/>
      <c r="D69" s="730"/>
      <c r="E69" s="730"/>
      <c r="F69" s="736"/>
      <c r="K69" s="746" t="s">
        <v>5323</v>
      </c>
      <c r="L69" s="747">
        <v>45598</v>
      </c>
      <c r="M69" s="1445" t="s">
        <v>168</v>
      </c>
      <c r="N69" s="1444" t="str">
        <f>IFERROR(VLOOKUP(M69,Mychart!A192:U798,2,FALSE),"-")</f>
        <v>UTS Carrier</v>
      </c>
      <c r="O69" s="748" t="s">
        <v>4809</v>
      </c>
      <c r="P69" s="748" t="s">
        <v>5324</v>
      </c>
      <c r="Q69" s="748"/>
    </row>
    <row r="70" spans="1:17">
      <c r="A70" s="730"/>
      <c r="B70" s="731">
        <v>90</v>
      </c>
      <c r="C70" s="730"/>
      <c r="D70" s="730"/>
      <c r="E70" s="730"/>
      <c r="F70" s="736"/>
      <c r="K70" s="746" t="s">
        <v>5326</v>
      </c>
      <c r="L70" s="747">
        <v>45598</v>
      </c>
      <c r="M70" s="1445" t="s">
        <v>168</v>
      </c>
      <c r="N70" s="1444" t="str">
        <f>IFERROR(VLOOKUP(M70,Mychart!A193:U799,2,FALSE),"-")</f>
        <v>UTS Carrier</v>
      </c>
      <c r="O70" s="748" t="s">
        <v>4809</v>
      </c>
      <c r="P70" s="748" t="s">
        <v>5327</v>
      </c>
      <c r="Q70" s="748"/>
    </row>
    <row r="71" spans="1:17">
      <c r="A71" s="730"/>
      <c r="B71" s="732">
        <v>100</v>
      </c>
      <c r="C71" s="730"/>
      <c r="D71" s="730"/>
      <c r="E71" s="730"/>
      <c r="F71" s="736"/>
      <c r="K71" s="746" t="s">
        <v>5328</v>
      </c>
      <c r="L71" s="747">
        <v>45598</v>
      </c>
      <c r="M71" s="1445" t="s">
        <v>168</v>
      </c>
      <c r="N71" s="1444" t="str">
        <f>IFERROR(VLOOKUP(M71,Mychart!A194:U800,2,FALSE),"-")</f>
        <v>UTS Carrier</v>
      </c>
      <c r="O71" s="748" t="s">
        <v>4809</v>
      </c>
      <c r="P71" s="748" t="s">
        <v>869</v>
      </c>
      <c r="Q71" s="748"/>
    </row>
    <row r="72" spans="1:17">
      <c r="A72" s="730"/>
      <c r="B72" s="732">
        <v>110</v>
      </c>
      <c r="C72" s="730"/>
      <c r="D72" s="730"/>
      <c r="E72" s="730"/>
      <c r="F72" s="736"/>
      <c r="K72" s="746" t="s">
        <v>5329</v>
      </c>
      <c r="L72" s="747">
        <v>45598</v>
      </c>
      <c r="M72" s="1445" t="s">
        <v>168</v>
      </c>
      <c r="N72" s="1444" t="str">
        <f>IFERROR(VLOOKUP(M72,Mychart!A195:U801,2,FALSE),"-")</f>
        <v>UTS Carrier</v>
      </c>
      <c r="O72" s="748" t="s">
        <v>4809</v>
      </c>
      <c r="P72" s="748" t="s">
        <v>866</v>
      </c>
      <c r="Q72" s="748"/>
    </row>
    <row r="73" spans="1:17">
      <c r="A73" s="730"/>
      <c r="B73" s="732">
        <v>120</v>
      </c>
      <c r="C73" s="730"/>
      <c r="D73" s="730"/>
      <c r="E73" s="730"/>
      <c r="F73" s="736"/>
      <c r="K73" s="746" t="s">
        <v>5330</v>
      </c>
      <c r="L73" s="747">
        <v>45598</v>
      </c>
      <c r="M73" s="1445" t="s">
        <v>168</v>
      </c>
      <c r="N73" s="1444" t="str">
        <f>IFERROR(VLOOKUP(M73,Mychart!A196:U802,2,FALSE),"-")</f>
        <v>UTS Carrier</v>
      </c>
      <c r="O73" s="748" t="s">
        <v>4809</v>
      </c>
      <c r="P73" s="748" t="s">
        <v>1213</v>
      </c>
      <c r="Q73" s="748"/>
    </row>
    <row r="74" spans="1:17">
      <c r="A74" s="730"/>
      <c r="B74" s="732">
        <v>130</v>
      </c>
      <c r="C74" s="730"/>
      <c r="D74" s="730"/>
      <c r="E74" s="730"/>
      <c r="F74" s="736"/>
      <c r="K74" s="746" t="s">
        <v>5332</v>
      </c>
      <c r="L74" s="747">
        <v>45598</v>
      </c>
      <c r="M74" s="1445" t="s">
        <v>168</v>
      </c>
      <c r="N74" s="1444" t="str">
        <f>IFERROR(VLOOKUP(M74,Mychart!A197:U803,2,FALSE),"-")</f>
        <v>UTS Carrier</v>
      </c>
      <c r="O74" s="748" t="s">
        <v>4809</v>
      </c>
      <c r="P74" s="748" t="s">
        <v>5260</v>
      </c>
      <c r="Q74" s="748"/>
    </row>
    <row r="75" spans="1:17">
      <c r="A75" s="730"/>
      <c r="B75" s="732">
        <v>140</v>
      </c>
      <c r="C75" s="730"/>
      <c r="D75" s="730"/>
      <c r="E75" s="730"/>
      <c r="F75" s="736"/>
      <c r="K75" s="746" t="s">
        <v>5333</v>
      </c>
      <c r="L75" s="747">
        <v>45598</v>
      </c>
      <c r="M75" s="1445" t="s">
        <v>168</v>
      </c>
      <c r="N75" s="1444" t="str">
        <f>IFERROR(VLOOKUP(M75,Mychart!A198:U804,2,FALSE),"-")</f>
        <v>UTS Carrier</v>
      </c>
      <c r="O75" s="748" t="s">
        <v>4809</v>
      </c>
      <c r="P75" s="748" t="s">
        <v>5334</v>
      </c>
      <c r="Q75" s="748"/>
    </row>
    <row r="76" spans="1:17">
      <c r="A76" s="682"/>
      <c r="B76" s="732">
        <v>150</v>
      </c>
      <c r="C76" s="682"/>
      <c r="D76" s="682"/>
      <c r="E76" s="682"/>
      <c r="F76" s="737"/>
      <c r="K76" s="746" t="s">
        <v>5339</v>
      </c>
      <c r="L76" s="747">
        <v>45598</v>
      </c>
      <c r="M76" s="1445" t="s">
        <v>168</v>
      </c>
      <c r="N76" s="1444" t="str">
        <f>IFERROR(VLOOKUP(M76,Mychart!A199:U805,2,FALSE),"-")</f>
        <v>UTS Carrier</v>
      </c>
      <c r="O76" s="748" t="s">
        <v>4809</v>
      </c>
      <c r="P76" s="748" t="s">
        <v>1356</v>
      </c>
      <c r="Q76" s="748"/>
    </row>
    <row r="77" spans="1:17">
      <c r="A77" s="682"/>
      <c r="B77" s="730" t="s">
        <v>6078</v>
      </c>
      <c r="C77" s="682"/>
      <c r="D77" s="682"/>
      <c r="E77" s="682"/>
      <c r="F77" s="737"/>
      <c r="K77" s="746" t="s">
        <v>5398</v>
      </c>
      <c r="L77" s="747">
        <v>45600</v>
      </c>
      <c r="M77" s="1445" t="s">
        <v>173</v>
      </c>
      <c r="N77" s="1444" t="str">
        <f>IFERROR(VLOOKUP(M77,Mychart!A200:U806,2,FALSE),"-")</f>
        <v>BAB AL TABREED A/C UNITS FIX.CONT</v>
      </c>
      <c r="O77" s="748" t="s">
        <v>5399</v>
      </c>
      <c r="P77" s="748" t="s">
        <v>5334</v>
      </c>
      <c r="Q77" s="748"/>
    </row>
    <row r="78" spans="1:17">
      <c r="A78" s="682"/>
      <c r="B78" s="730"/>
      <c r="C78" s="682"/>
      <c r="D78" s="682"/>
      <c r="E78" s="682"/>
      <c r="F78" s="737"/>
      <c r="K78" s="746" t="s">
        <v>5462</v>
      </c>
      <c r="L78" s="747">
        <v>45603</v>
      </c>
      <c r="M78" s="1445" t="s">
        <v>173</v>
      </c>
      <c r="N78" s="1444" t="str">
        <f>IFERROR(VLOOKUP(M78,Mychart!A201:U807,2,FALSE),"-")</f>
        <v>BAB AL TABREED A/C UNITS FIX.CONT</v>
      </c>
      <c r="O78" s="748" t="s">
        <v>5463</v>
      </c>
      <c r="P78" s="748" t="s">
        <v>158</v>
      </c>
      <c r="Q78" s="748"/>
    </row>
    <row r="79" spans="1:17">
      <c r="A79" s="682"/>
      <c r="B79" s="730"/>
      <c r="C79" s="682"/>
      <c r="D79" s="682"/>
      <c r="E79" s="682"/>
      <c r="F79" s="737"/>
      <c r="K79" s="746" t="s">
        <v>5504</v>
      </c>
      <c r="L79" s="747">
        <v>45605</v>
      </c>
      <c r="M79" s="1445" t="s">
        <v>168</v>
      </c>
      <c r="N79" s="1444" t="str">
        <f>IFERROR(VLOOKUP(M79,Mychart!A202:U808,2,FALSE),"-")</f>
        <v>UTS Carrier</v>
      </c>
      <c r="O79" s="748" t="s">
        <v>5505</v>
      </c>
      <c r="P79" s="748" t="s">
        <v>5367</v>
      </c>
      <c r="Q79" s="748"/>
    </row>
    <row r="80" spans="1:17">
      <c r="A80" s="682"/>
      <c r="B80" s="730"/>
      <c r="C80" s="682"/>
      <c r="D80" s="682"/>
      <c r="E80" s="682"/>
      <c r="F80" s="737"/>
      <c r="K80" s="746" t="s">
        <v>5506</v>
      </c>
      <c r="L80" s="747">
        <v>45605</v>
      </c>
      <c r="M80" s="1445" t="s">
        <v>168</v>
      </c>
      <c r="N80" s="1444" t="str">
        <f>IFERROR(VLOOKUP(M80,Mychart!A203:U809,2,FALSE),"-")</f>
        <v>UTS Carrier</v>
      </c>
      <c r="O80" s="748" t="s">
        <v>5505</v>
      </c>
      <c r="P80" s="748" t="s">
        <v>5362</v>
      </c>
      <c r="Q80" s="748"/>
    </row>
    <row r="81" spans="1:17">
      <c r="A81" s="682"/>
      <c r="B81" s="730"/>
      <c r="C81" s="682"/>
      <c r="D81" s="682"/>
      <c r="E81" s="682"/>
      <c r="F81" s="737"/>
      <c r="K81" s="746" t="s">
        <v>5508</v>
      </c>
      <c r="L81" s="747">
        <v>45605</v>
      </c>
      <c r="M81" s="1445" t="s">
        <v>173</v>
      </c>
      <c r="N81" s="1444" t="str">
        <f>IFERROR(VLOOKUP(M81,Mychart!A204:U810,2,FALSE),"-")</f>
        <v>BAB AL TABREED A/C UNITS FIX.CONT</v>
      </c>
      <c r="O81" s="748" t="s">
        <v>5507</v>
      </c>
      <c r="P81" s="748" t="s">
        <v>2845</v>
      </c>
      <c r="Q81" s="748"/>
    </row>
    <row r="82" spans="1:17">
      <c r="A82" s="682"/>
      <c r="B82" s="731"/>
      <c r="C82" s="682"/>
      <c r="D82" s="682"/>
      <c r="E82" s="682"/>
      <c r="F82" s="737"/>
      <c r="K82" s="746" t="s">
        <v>5605</v>
      </c>
      <c r="L82" s="747">
        <v>45612</v>
      </c>
      <c r="M82" s="1445" t="s">
        <v>5596</v>
      </c>
      <c r="N82" s="1444" t="str">
        <f>IFERROR(VLOOKUP(M82,Mychart!A205:U811,2,FALSE),"-")</f>
        <v xml:space="preserve">united electronics co. llc. (mitsubishi electric) </v>
      </c>
      <c r="O82" s="748" t="s">
        <v>5606</v>
      </c>
      <c r="P82" s="748" t="s">
        <v>5599</v>
      </c>
      <c r="Q82" s="748"/>
    </row>
    <row r="83" spans="1:17">
      <c r="A83" s="682"/>
      <c r="B83" s="731"/>
      <c r="C83" s="682"/>
      <c r="D83" s="682"/>
      <c r="E83" s="682"/>
      <c r="F83" s="737"/>
      <c r="K83" s="746" t="s">
        <v>5664</v>
      </c>
      <c r="L83" s="747">
        <v>45614</v>
      </c>
      <c r="M83" s="1445" t="s">
        <v>173</v>
      </c>
      <c r="N83" s="1444" t="str">
        <f>IFERROR(VLOOKUP(M83,Mychart!A206:U812,2,FALSE),"-")</f>
        <v>BAB AL TABREED A/C UNITS FIX.CONT</v>
      </c>
      <c r="O83" s="748" t="s">
        <v>5665</v>
      </c>
      <c r="P83" s="748" t="s">
        <v>2845</v>
      </c>
      <c r="Q83" s="748"/>
    </row>
    <row r="84" spans="1:17">
      <c r="A84" s="682"/>
      <c r="B84" s="731"/>
      <c r="C84" s="682"/>
      <c r="D84" s="682"/>
      <c r="E84" s="682"/>
      <c r="F84" s="737"/>
      <c r="K84" s="746" t="s">
        <v>5694</v>
      </c>
      <c r="L84" s="747">
        <v>45615</v>
      </c>
      <c r="M84" s="1445" t="s">
        <v>173</v>
      </c>
      <c r="N84" s="1444" t="str">
        <f>IFERROR(VLOOKUP(M84,Mychart!A207:U813,2,FALSE),"-")</f>
        <v>BAB AL TABREED A/C UNITS FIX.CONT</v>
      </c>
      <c r="O84" s="748" t="s">
        <v>5695</v>
      </c>
      <c r="P84" s="748" t="s">
        <v>269</v>
      </c>
      <c r="Q84" s="748"/>
    </row>
    <row r="85" spans="1:17">
      <c r="A85" s="682"/>
      <c r="B85" s="731"/>
      <c r="C85" s="682"/>
      <c r="D85" s="682"/>
      <c r="E85" s="682"/>
      <c r="F85" s="737"/>
      <c r="K85" s="746" t="s">
        <v>5719</v>
      </c>
      <c r="L85" s="747">
        <v>45617</v>
      </c>
      <c r="M85" s="1445" t="s">
        <v>172</v>
      </c>
      <c r="N85" s="1444" t="str">
        <f>IFERROR(VLOOKUP(M85,Mychart!A208:U814,2,FALSE),"-")</f>
        <v>BEST CHOICE INDUSTRIES LLC</v>
      </c>
      <c r="O85" s="748">
        <v>81911</v>
      </c>
      <c r="P85" s="748" t="s">
        <v>287</v>
      </c>
      <c r="Q85" s="748"/>
    </row>
    <row r="86" spans="1:17">
      <c r="A86" s="682"/>
      <c r="B86" s="731"/>
      <c r="C86" s="682"/>
      <c r="D86" s="682"/>
      <c r="E86" s="682"/>
      <c r="F86" s="737"/>
      <c r="K86" s="746" t="s">
        <v>5725</v>
      </c>
      <c r="L86" s="747">
        <v>45617</v>
      </c>
      <c r="M86" s="1445" t="s">
        <v>172</v>
      </c>
      <c r="N86" s="1444" t="str">
        <f>IFERROR(VLOOKUP(M86,Mychart!A209:U815,2,FALSE),"-")</f>
        <v>BEST CHOICE INDUSTRIES LLC</v>
      </c>
      <c r="O86" s="748">
        <v>81908</v>
      </c>
      <c r="P86" s="748" t="s">
        <v>5610</v>
      </c>
      <c r="Q86" s="748"/>
    </row>
    <row r="87" spans="1:17">
      <c r="A87" s="682"/>
      <c r="B87" s="731"/>
      <c r="C87" s="682"/>
      <c r="D87" s="682"/>
      <c r="E87" s="682"/>
      <c r="F87" s="737"/>
      <c r="K87" s="746" t="s">
        <v>5730</v>
      </c>
      <c r="L87" s="747">
        <v>45619</v>
      </c>
      <c r="M87" s="1445" t="s">
        <v>173</v>
      </c>
      <c r="N87" s="1444" t="str">
        <f>IFERROR(VLOOKUP(M87,Mychart!A210:U816,2,FALSE),"-")</f>
        <v>BAB AL TABREED A/C UNITS FIX.CONT</v>
      </c>
      <c r="O87" s="748" t="s">
        <v>5731</v>
      </c>
      <c r="P87" s="748" t="s">
        <v>269</v>
      </c>
      <c r="Q87" s="748"/>
    </row>
    <row r="88" spans="1:17">
      <c r="A88" s="682"/>
      <c r="B88" s="731"/>
      <c r="C88" s="682"/>
      <c r="D88" s="682"/>
      <c r="E88" s="682"/>
      <c r="F88" s="737"/>
      <c r="K88" s="746" t="s">
        <v>5792</v>
      </c>
      <c r="L88" s="747">
        <v>45621</v>
      </c>
      <c r="M88" s="1445" t="s">
        <v>171</v>
      </c>
      <c r="N88" s="1444" t="str">
        <f>IFERROR(VLOOKUP(M88,Mychart!A211:U817,2,FALSE),"-")</f>
        <v>MACS -Al Muthathawerah</v>
      </c>
      <c r="O88" s="748">
        <v>242166</v>
      </c>
      <c r="P88" s="748" t="s">
        <v>978</v>
      </c>
      <c r="Q88" s="748"/>
    </row>
    <row r="89" spans="1:17">
      <c r="A89" s="682"/>
      <c r="B89" s="732"/>
      <c r="C89" s="682"/>
      <c r="D89" s="682"/>
      <c r="E89" s="682"/>
      <c r="F89" s="737"/>
      <c r="K89" s="746" t="s">
        <v>5795</v>
      </c>
      <c r="L89" s="747">
        <v>45621</v>
      </c>
      <c r="M89" s="1445" t="s">
        <v>172</v>
      </c>
      <c r="N89" s="1444" t="str">
        <f>IFERROR(VLOOKUP(M89,Mychart!A212:U818,2,FALSE),"-")</f>
        <v>BEST CHOICE INDUSTRIES LLC</v>
      </c>
      <c r="O89" s="748">
        <v>81954</v>
      </c>
      <c r="P89" s="748" t="s">
        <v>274</v>
      </c>
      <c r="Q89" s="748"/>
    </row>
    <row r="90" spans="1:17">
      <c r="A90" s="682"/>
      <c r="B90" s="732"/>
      <c r="C90" s="682"/>
      <c r="D90" s="682"/>
      <c r="E90" s="682"/>
      <c r="F90" s="737"/>
      <c r="K90" s="746" t="s">
        <v>5836</v>
      </c>
      <c r="L90" s="747">
        <v>45622</v>
      </c>
      <c r="M90" s="1445" t="s">
        <v>172</v>
      </c>
      <c r="N90" s="1444" t="str">
        <f>IFERROR(VLOOKUP(M90,Mychart!A213:U819,2,FALSE),"-")</f>
        <v>BEST CHOICE INDUSTRIES LLC</v>
      </c>
      <c r="O90" s="748">
        <v>81961</v>
      </c>
      <c r="P90" s="748" t="s">
        <v>275</v>
      </c>
      <c r="Q90" s="748"/>
    </row>
    <row r="91" spans="1:17">
      <c r="A91" s="682"/>
      <c r="B91" s="732"/>
      <c r="C91" s="682"/>
      <c r="D91" s="682"/>
      <c r="E91" s="682"/>
      <c r="F91" s="737"/>
      <c r="K91" s="746" t="s">
        <v>5843</v>
      </c>
      <c r="L91" s="747">
        <v>45624</v>
      </c>
      <c r="M91" s="1445" t="s">
        <v>173</v>
      </c>
      <c r="N91" s="1444" t="str">
        <f>IFERROR(VLOOKUP(M91,Mychart!A214:U820,2,FALSE),"-")</f>
        <v>BAB AL TABREED A/C UNITS FIX.CONT</v>
      </c>
      <c r="O91" s="748" t="s">
        <v>5845</v>
      </c>
      <c r="P91" s="748" t="s">
        <v>269</v>
      </c>
      <c r="Q91" s="748"/>
    </row>
    <row r="92" spans="1:17">
      <c r="A92" s="682"/>
      <c r="B92" s="732"/>
      <c r="C92" s="682"/>
      <c r="D92" s="682"/>
      <c r="E92" s="682"/>
      <c r="F92" s="737"/>
      <c r="K92" s="746" t="s">
        <v>5867</v>
      </c>
      <c r="L92" s="747">
        <v>45624</v>
      </c>
      <c r="M92" s="1445" t="s">
        <v>173</v>
      </c>
      <c r="N92" s="1444" t="str">
        <f>IFERROR(VLOOKUP(M92,Mychart!A215:U821,2,FALSE),"-")</f>
        <v>BAB AL TABREED A/C UNITS FIX.CONT</v>
      </c>
      <c r="O92" s="748" t="s">
        <v>5868</v>
      </c>
      <c r="P92" s="748" t="s">
        <v>158</v>
      </c>
      <c r="Q92" s="748"/>
    </row>
    <row r="93" spans="1:17">
      <c r="A93" s="682"/>
      <c r="B93" s="732"/>
      <c r="C93" s="682"/>
      <c r="D93" s="682"/>
      <c r="E93" s="682"/>
      <c r="F93" s="737"/>
      <c r="K93" s="746" t="s">
        <v>5869</v>
      </c>
      <c r="L93" s="747">
        <v>45624</v>
      </c>
      <c r="M93" s="1445" t="s">
        <v>173</v>
      </c>
      <c r="N93" s="1444" t="str">
        <f>IFERROR(VLOOKUP(M93,Mychart!A216:U822,2,FALSE),"-")</f>
        <v>BAB AL TABREED A/C UNITS FIX.CONT</v>
      </c>
      <c r="O93" s="748" t="s">
        <v>5870</v>
      </c>
      <c r="P93" s="748" t="s">
        <v>275</v>
      </c>
      <c r="Q93" s="748"/>
    </row>
    <row r="94" spans="1:17">
      <c r="A94" s="682"/>
      <c r="B94" s="732"/>
      <c r="C94" s="682"/>
      <c r="D94" s="682"/>
      <c r="E94" s="682"/>
      <c r="F94" s="737"/>
      <c r="K94" s="746" t="s">
        <v>5880</v>
      </c>
      <c r="L94" s="747">
        <v>45626</v>
      </c>
      <c r="M94" s="1445" t="s">
        <v>173</v>
      </c>
      <c r="N94" s="1444" t="str">
        <f>IFERROR(VLOOKUP(M94,Mychart!A217:U823,2,FALSE),"-")</f>
        <v>BAB AL TABREED A/C UNITS FIX.CONT</v>
      </c>
      <c r="O94" s="748" t="s">
        <v>5924</v>
      </c>
      <c r="P94" s="748" t="s">
        <v>5610</v>
      </c>
      <c r="Q94" s="748"/>
    </row>
    <row r="95" spans="1:17">
      <c r="A95" s="682"/>
      <c r="B95" s="732"/>
      <c r="C95" s="682"/>
      <c r="D95" s="682"/>
      <c r="E95" s="682"/>
      <c r="F95" s="737"/>
      <c r="K95" s="746" t="s">
        <v>5985</v>
      </c>
      <c r="L95" s="747">
        <v>45630</v>
      </c>
      <c r="M95" s="1445" t="s">
        <v>173</v>
      </c>
      <c r="N95" s="1444" t="str">
        <f>IFERROR(VLOOKUP(M95,Mychart!A218:U824,2,FALSE),"-")</f>
        <v>BAB AL TABREED A/C UNITS FIX.CONT</v>
      </c>
      <c r="O95" s="748" t="s">
        <v>5990</v>
      </c>
      <c r="P95" s="748" t="s">
        <v>269</v>
      </c>
      <c r="Q95" s="748"/>
    </row>
    <row r="96" spans="1:17">
      <c r="A96" s="682"/>
      <c r="B96" s="732"/>
      <c r="C96" s="682"/>
      <c r="D96" s="682"/>
      <c r="E96" s="682"/>
      <c r="F96" s="737"/>
      <c r="K96" s="746" t="s">
        <v>6081</v>
      </c>
      <c r="L96" s="747">
        <v>45635</v>
      </c>
      <c r="M96" s="1445" t="s">
        <v>168</v>
      </c>
      <c r="N96" s="1444" t="str">
        <f>IFERROR(VLOOKUP(M96,Mychart!A219:U825,2,FALSE),"-")</f>
        <v>UTS Carrier</v>
      </c>
      <c r="O96" s="748" t="s">
        <v>6079</v>
      </c>
      <c r="P96" s="748" t="s">
        <v>293</v>
      </c>
      <c r="Q96" s="748"/>
    </row>
    <row r="97" spans="1:17">
      <c r="A97" s="682"/>
      <c r="B97" s="732"/>
      <c r="C97" s="682"/>
      <c r="D97" s="682"/>
      <c r="E97" s="682"/>
      <c r="F97" s="737"/>
      <c r="K97" s="746" t="s">
        <v>6080</v>
      </c>
      <c r="L97" s="747">
        <v>45635</v>
      </c>
      <c r="M97" s="1445" t="s">
        <v>173</v>
      </c>
      <c r="N97" s="1444" t="str">
        <f>IFERROR(VLOOKUP(M97,Mychart!A220:U826,2,FALSE),"-")</f>
        <v>BAB AL TABREED A/C UNITS FIX.CONT</v>
      </c>
      <c r="O97" s="748" t="s">
        <v>6082</v>
      </c>
      <c r="P97" s="748" t="s">
        <v>5610</v>
      </c>
      <c r="Q97" s="748"/>
    </row>
    <row r="98" spans="1:17">
      <c r="A98" s="682"/>
      <c r="B98" s="732"/>
      <c r="C98" s="682"/>
      <c r="D98" s="682"/>
      <c r="E98" s="682"/>
      <c r="F98" s="737"/>
      <c r="K98" s="746" t="s">
        <v>6122</v>
      </c>
      <c r="L98" s="747">
        <v>45635</v>
      </c>
      <c r="M98" s="1445" t="s">
        <v>171</v>
      </c>
      <c r="N98" s="1444" t="str">
        <f>IFERROR(VLOOKUP(M98,Mychart!A221:U827,2,FALSE),"-")</f>
        <v>MACS -Al Muthathawerah</v>
      </c>
      <c r="O98" s="748">
        <v>242132</v>
      </c>
      <c r="P98" s="748" t="s">
        <v>1213</v>
      </c>
      <c r="Q98" s="748"/>
    </row>
    <row r="99" spans="1:17">
      <c r="A99" s="682"/>
      <c r="B99" s="732"/>
      <c r="C99" s="682"/>
      <c r="D99" s="682"/>
      <c r="E99" s="682"/>
      <c r="F99" s="737"/>
      <c r="K99" s="746" t="s">
        <v>6158</v>
      </c>
      <c r="L99" s="747">
        <v>45637</v>
      </c>
      <c r="M99" s="1445" t="s">
        <v>172</v>
      </c>
      <c r="N99" s="1444" t="str">
        <f>IFERROR(VLOOKUP(M99,Mychart!A222:U828,2,FALSE),"-")</f>
        <v>BEST CHOICE INDUSTRIES LLC</v>
      </c>
      <c r="O99" s="748">
        <v>82076</v>
      </c>
      <c r="P99" s="748" t="s">
        <v>320</v>
      </c>
      <c r="Q99" s="748"/>
    </row>
    <row r="100" spans="1:17">
      <c r="A100" s="682"/>
      <c r="B100" s="732"/>
      <c r="C100" s="682"/>
      <c r="D100" s="682"/>
      <c r="E100" s="682"/>
      <c r="F100" s="737"/>
      <c r="K100" s="746" t="s">
        <v>6160</v>
      </c>
      <c r="L100" s="747">
        <v>45637</v>
      </c>
      <c r="M100" s="748" t="s">
        <v>172</v>
      </c>
      <c r="N100" s="1444" t="str">
        <f>IFERROR(VLOOKUP(M100,Mychart!A223:U829,2,FALSE),"-")</f>
        <v>BEST CHOICE INDUSTRIES LLC</v>
      </c>
      <c r="O100" s="748">
        <v>82072</v>
      </c>
      <c r="P100" s="748" t="s">
        <v>269</v>
      </c>
      <c r="Q100" s="748"/>
    </row>
    <row r="101" spans="1:17">
      <c r="A101" s="682"/>
      <c r="B101" s="732"/>
      <c r="C101" s="682"/>
      <c r="D101" s="682"/>
      <c r="E101" s="682"/>
      <c r="F101" s="737"/>
      <c r="K101" s="746" t="s">
        <v>6165</v>
      </c>
      <c r="L101" s="747">
        <v>45638</v>
      </c>
      <c r="M101" s="748" t="s">
        <v>173</v>
      </c>
      <c r="N101" s="1444" t="str">
        <f>IFERROR(VLOOKUP(M101,Mychart!A224:U830,2,FALSE),"-")</f>
        <v>BAB AL TABREED A/C UNITS FIX.CONT</v>
      </c>
      <c r="O101" s="748" t="s">
        <v>6166</v>
      </c>
      <c r="P101" s="748" t="s">
        <v>278</v>
      </c>
      <c r="Q101" s="748"/>
    </row>
    <row r="102" spans="1:17" ht="24">
      <c r="A102" s="682"/>
      <c r="B102" s="732"/>
      <c r="C102" s="682"/>
      <c r="D102" s="682"/>
      <c r="E102" s="682"/>
      <c r="F102" s="737"/>
      <c r="K102" s="746" t="s">
        <v>6174</v>
      </c>
      <c r="L102" s="747">
        <v>45638</v>
      </c>
      <c r="M102" s="748" t="s">
        <v>168</v>
      </c>
      <c r="N102" s="1444" t="str">
        <f>IFERROR(VLOOKUP(M102,Mychart!A225:U831,2,FALSE),"-")</f>
        <v>UTS Carrier</v>
      </c>
      <c r="O102" s="748" t="s">
        <v>5505</v>
      </c>
      <c r="P102" s="1029" t="s">
        <v>6175</v>
      </c>
      <c r="Q102" s="748"/>
    </row>
    <row r="103" spans="1:17">
      <c r="A103" s="682"/>
      <c r="B103" s="732"/>
      <c r="C103" s="682"/>
      <c r="D103" s="682"/>
      <c r="E103" s="682"/>
      <c r="F103" s="737"/>
      <c r="K103" s="746"/>
      <c r="L103" s="747"/>
      <c r="M103" s="748"/>
      <c r="N103" s="1444" t="str">
        <f>IFERROR(VLOOKUP(M103,Mychart!A226:U832,2,FALSE),"-")</f>
        <v>-</v>
      </c>
      <c r="O103" s="748"/>
      <c r="P103" s="748"/>
      <c r="Q103" s="748"/>
    </row>
    <row r="104" spans="1:17">
      <c r="A104" s="682"/>
      <c r="B104" s="732"/>
      <c r="C104" s="682"/>
      <c r="D104" s="682"/>
      <c r="E104" s="682"/>
      <c r="F104" s="737"/>
      <c r="K104" s="746"/>
      <c r="L104" s="747"/>
      <c r="M104" s="748"/>
      <c r="N104" s="1444" t="str">
        <f>IFERROR(VLOOKUP(M104,Mychart!A227:U833,2,FALSE),"-")</f>
        <v>-</v>
      </c>
      <c r="O104" s="748"/>
      <c r="P104" s="748"/>
      <c r="Q104" s="748"/>
    </row>
    <row r="105" spans="1:17">
      <c r="A105" s="682"/>
      <c r="B105" s="732"/>
      <c r="C105" s="682"/>
      <c r="D105" s="682"/>
      <c r="E105" s="682"/>
      <c r="F105" s="737"/>
      <c r="K105" s="746"/>
      <c r="L105" s="747"/>
      <c r="M105" s="748"/>
      <c r="N105" s="1444" t="str">
        <f>IFERROR(VLOOKUP(M105,Mychart!A228:U834,2,FALSE),"-")</f>
        <v>-</v>
      </c>
      <c r="O105" s="748"/>
      <c r="P105" s="748"/>
      <c r="Q105" s="748"/>
    </row>
    <row r="106" spans="1:17">
      <c r="A106" s="682"/>
      <c r="B106" s="732"/>
      <c r="C106" s="682"/>
      <c r="D106" s="682"/>
      <c r="E106" s="682"/>
      <c r="F106" s="737"/>
      <c r="K106" s="746"/>
      <c r="L106" s="747"/>
      <c r="M106" s="748"/>
      <c r="N106" s="1444" t="str">
        <f>IFERROR(VLOOKUP(M106,Mychart!A229:U835,2,FALSE),"-")</f>
        <v>-</v>
      </c>
      <c r="O106" s="748"/>
      <c r="P106" s="748"/>
      <c r="Q106" s="748"/>
    </row>
    <row r="107" spans="1:17">
      <c r="A107" s="682"/>
      <c r="B107" s="732"/>
      <c r="C107" s="682"/>
      <c r="D107" s="682"/>
      <c r="E107" s="682"/>
      <c r="F107" s="737"/>
      <c r="K107" s="746"/>
      <c r="L107" s="747"/>
      <c r="M107" s="748"/>
      <c r="N107" s="1444" t="str">
        <f>IFERROR(VLOOKUP(M107,Mychart!A230:U836,2,FALSE),"-")</f>
        <v>-</v>
      </c>
      <c r="O107" s="748"/>
      <c r="P107" s="748"/>
      <c r="Q107" s="748"/>
    </row>
    <row r="108" spans="1:17">
      <c r="A108" s="682"/>
      <c r="B108" s="732"/>
      <c r="C108" s="682"/>
      <c r="D108" s="682"/>
      <c r="E108" s="682"/>
      <c r="F108" s="737"/>
      <c r="K108" s="746"/>
      <c r="L108" s="747"/>
      <c r="M108" s="748"/>
      <c r="N108" s="1444" t="str">
        <f>IFERROR(VLOOKUP(M108,Mychart!A231:U837,2,FALSE),"-")</f>
        <v>-</v>
      </c>
      <c r="O108" s="748"/>
      <c r="P108" s="748"/>
      <c r="Q108" s="748"/>
    </row>
    <row r="109" spans="1:17">
      <c r="A109" s="682"/>
      <c r="B109" s="732"/>
      <c r="C109" s="682"/>
      <c r="D109" s="682"/>
      <c r="E109" s="682"/>
      <c r="F109" s="737"/>
      <c r="K109" s="746"/>
      <c r="L109" s="747"/>
      <c r="M109" s="748"/>
      <c r="N109" s="1444" t="str">
        <f>IFERROR(VLOOKUP(M109,Mychart!A232:U838,2,FALSE),"-")</f>
        <v>-</v>
      </c>
      <c r="O109" s="748"/>
      <c r="P109" s="748"/>
      <c r="Q109" s="748"/>
    </row>
    <row r="110" spans="1:17">
      <c r="A110" s="682"/>
      <c r="B110" s="732"/>
      <c r="C110" s="682"/>
      <c r="D110" s="682"/>
      <c r="E110" s="682"/>
      <c r="F110" s="737"/>
      <c r="K110" s="746"/>
      <c r="L110" s="747"/>
      <c r="M110" s="748"/>
      <c r="N110" s="1444" t="str">
        <f>IFERROR(VLOOKUP(M110,Mychart!A233:U839,2,FALSE),"-")</f>
        <v>-</v>
      </c>
      <c r="O110" s="748"/>
      <c r="P110" s="748"/>
      <c r="Q110" s="748"/>
    </row>
    <row r="111" spans="1:17">
      <c r="A111" s="682"/>
      <c r="B111" s="732"/>
      <c r="C111" s="682"/>
      <c r="D111" s="682"/>
      <c r="E111" s="682"/>
      <c r="F111" s="737"/>
      <c r="K111" s="746"/>
      <c r="L111" s="747"/>
      <c r="M111" s="748"/>
      <c r="N111" s="1444" t="str">
        <f>IFERROR(VLOOKUP(M111,Mychart!A234:U840,2,FALSE),"-")</f>
        <v>-</v>
      </c>
      <c r="O111" s="748"/>
      <c r="P111" s="748"/>
      <c r="Q111" s="748"/>
    </row>
    <row r="112" spans="1:17">
      <c r="A112" s="682"/>
      <c r="B112" s="732"/>
      <c r="C112" s="682"/>
      <c r="D112" s="682"/>
      <c r="E112" s="682"/>
      <c r="F112" s="737"/>
      <c r="K112" s="746"/>
      <c r="L112" s="747"/>
      <c r="M112" s="748"/>
      <c r="N112" s="1444" t="str">
        <f>IFERROR(VLOOKUP(M112,Mychart!A235:U841,2,FALSE),"-")</f>
        <v>-</v>
      </c>
      <c r="O112" s="748"/>
      <c r="P112" s="748"/>
      <c r="Q112" s="748"/>
    </row>
    <row r="113" spans="1:17">
      <c r="A113" s="682"/>
      <c r="B113" s="732"/>
      <c r="C113" s="682"/>
      <c r="D113" s="682"/>
      <c r="E113" s="682"/>
      <c r="F113" s="737"/>
      <c r="K113" s="746"/>
      <c r="L113" s="747"/>
      <c r="M113" s="748"/>
      <c r="N113" s="1444" t="str">
        <f>IFERROR(VLOOKUP(M113,Mychart!A236:U842,2,FALSE),"-")</f>
        <v>-</v>
      </c>
      <c r="O113" s="748"/>
      <c r="P113" s="748"/>
      <c r="Q113" s="748"/>
    </row>
    <row r="114" spans="1:17">
      <c r="A114" s="682"/>
      <c r="B114" s="732"/>
      <c r="C114" s="682"/>
      <c r="D114" s="682"/>
      <c r="E114" s="682"/>
      <c r="F114" s="737"/>
      <c r="K114" s="746"/>
      <c r="L114" s="747"/>
      <c r="M114" s="748"/>
      <c r="N114" s="1444" t="str">
        <f>IFERROR(VLOOKUP(M114,Mychart!A237:U843,2,FALSE),"-")</f>
        <v>-</v>
      </c>
      <c r="O114" s="748"/>
      <c r="P114" s="748"/>
      <c r="Q114" s="748"/>
    </row>
    <row r="115" spans="1:17">
      <c r="A115" s="682"/>
      <c r="B115" s="732"/>
      <c r="C115" s="682"/>
      <c r="D115" s="682"/>
      <c r="E115" s="682"/>
      <c r="F115" s="737"/>
      <c r="K115" s="746"/>
      <c r="L115" s="747"/>
      <c r="M115" s="748"/>
      <c r="N115" s="1444" t="str">
        <f>IFERROR(VLOOKUP(M115,Mychart!A238:U844,2,FALSE),"-")</f>
        <v>-</v>
      </c>
      <c r="O115" s="748"/>
      <c r="P115" s="748"/>
      <c r="Q115" s="748"/>
    </row>
    <row r="116" spans="1:17">
      <c r="A116" s="682"/>
      <c r="B116" s="732"/>
      <c r="C116" s="682"/>
      <c r="D116" s="682"/>
      <c r="E116" s="682"/>
      <c r="F116" s="737"/>
      <c r="K116" s="746"/>
      <c r="L116" s="747"/>
      <c r="M116" s="748"/>
      <c r="N116" s="1444" t="str">
        <f>IFERROR(VLOOKUP(M116,Mychart!A239:U845,2,FALSE),"-")</f>
        <v>-</v>
      </c>
      <c r="O116" s="748"/>
      <c r="P116" s="748"/>
      <c r="Q116" s="748"/>
    </row>
    <row r="117" spans="1:17">
      <c r="A117" s="682"/>
      <c r="B117" s="732"/>
      <c r="C117" s="682"/>
      <c r="D117" s="682"/>
      <c r="E117" s="682"/>
      <c r="F117" s="737"/>
      <c r="K117" s="746"/>
      <c r="L117" s="747"/>
      <c r="M117" s="748"/>
      <c r="N117" s="1444" t="str">
        <f>IFERROR(VLOOKUP(M117,Mychart!A240:U846,2,FALSE),"-")</f>
        <v>-</v>
      </c>
      <c r="O117" s="748"/>
      <c r="P117" s="748"/>
      <c r="Q117" s="748"/>
    </row>
    <row r="118" spans="1:17">
      <c r="A118" s="682"/>
      <c r="B118" s="732"/>
      <c r="C118" s="682"/>
      <c r="D118" s="682"/>
      <c r="E118" s="682"/>
      <c r="F118" s="737"/>
      <c r="K118" s="746"/>
      <c r="L118" s="747"/>
      <c r="M118" s="748"/>
      <c r="N118" s="1444" t="str">
        <f>IFERROR(VLOOKUP(M118,Mychart!A241:U847,2,FALSE),"-")</f>
        <v>-</v>
      </c>
      <c r="O118" s="748"/>
      <c r="P118" s="748"/>
      <c r="Q118" s="748"/>
    </row>
    <row r="119" spans="1:17">
      <c r="A119" s="682"/>
      <c r="B119" s="732"/>
      <c r="C119" s="682"/>
      <c r="D119" s="682"/>
      <c r="E119" s="682"/>
      <c r="F119" s="737"/>
      <c r="K119" s="746"/>
      <c r="L119" s="747"/>
      <c r="M119" s="748"/>
      <c r="N119" s="1444" t="str">
        <f>IFERROR(VLOOKUP(M119,Mychart!A242:U848,2,FALSE),"-")</f>
        <v>-</v>
      </c>
      <c r="O119" s="748"/>
      <c r="P119" s="748"/>
      <c r="Q119" s="748"/>
    </row>
    <row r="120" spans="1:17">
      <c r="A120" s="682"/>
      <c r="B120" s="732"/>
      <c r="C120" s="682"/>
      <c r="D120" s="682"/>
      <c r="E120" s="682"/>
      <c r="F120" s="737"/>
      <c r="K120" s="746"/>
      <c r="L120" s="747"/>
      <c r="M120" s="748"/>
      <c r="N120" s="1444" t="str">
        <f>IFERROR(VLOOKUP(M120,Mychart!A243:U849,2,FALSE),"-")</f>
        <v>-</v>
      </c>
      <c r="O120" s="748"/>
      <c r="P120" s="748"/>
      <c r="Q120" s="748"/>
    </row>
    <row r="121" spans="1:17">
      <c r="A121" s="682"/>
      <c r="B121" s="732"/>
      <c r="C121" s="682"/>
      <c r="D121" s="682"/>
      <c r="E121" s="682"/>
      <c r="F121" s="737"/>
      <c r="K121" s="746"/>
      <c r="L121" s="747"/>
      <c r="M121" s="748"/>
      <c r="N121" s="1444" t="str">
        <f>IFERROR(VLOOKUP(M121,Mychart!A244:U850,2,FALSE),"-")</f>
        <v>-</v>
      </c>
      <c r="O121" s="748"/>
      <c r="P121" s="748"/>
      <c r="Q121" s="748"/>
    </row>
    <row r="122" spans="1:17">
      <c r="A122" s="682"/>
      <c r="B122" s="732"/>
      <c r="C122" s="682"/>
      <c r="D122" s="682"/>
      <c r="E122" s="682"/>
      <c r="F122" s="737"/>
      <c r="K122" s="746"/>
      <c r="L122" s="747"/>
      <c r="M122" s="748"/>
      <c r="N122" s="1444" t="str">
        <f>IFERROR(VLOOKUP(M122,Mychart!A245:U851,2,FALSE),"-")</f>
        <v>-</v>
      </c>
      <c r="O122" s="748"/>
      <c r="P122" s="748"/>
      <c r="Q122" s="748"/>
    </row>
    <row r="123" spans="1:17">
      <c r="A123" s="682"/>
      <c r="B123" s="732"/>
      <c r="C123" s="682"/>
      <c r="D123" s="682"/>
      <c r="E123" s="682"/>
      <c r="F123" s="737"/>
      <c r="K123" s="746"/>
      <c r="L123" s="747"/>
      <c r="M123" s="748"/>
      <c r="N123" s="1444" t="str">
        <f>IFERROR(VLOOKUP(M123,Mychart!A246:U852,2,FALSE),"-")</f>
        <v>-</v>
      </c>
      <c r="O123" s="748"/>
      <c r="P123" s="748"/>
      <c r="Q123" s="748"/>
    </row>
    <row r="124" spans="1:17">
      <c r="A124" s="682"/>
      <c r="B124" s="732"/>
      <c r="C124" s="682"/>
      <c r="D124" s="682"/>
      <c r="E124" s="682"/>
      <c r="F124" s="737"/>
      <c r="K124" s="746"/>
      <c r="L124" s="747"/>
      <c r="M124" s="748"/>
      <c r="N124" s="1444" t="str">
        <f>IFERROR(VLOOKUP(M124,Mychart!A247:U853,2,FALSE),"-")</f>
        <v>-</v>
      </c>
      <c r="O124" s="748"/>
      <c r="P124" s="748"/>
      <c r="Q124" s="748"/>
    </row>
    <row r="125" spans="1:17">
      <c r="A125" s="682"/>
      <c r="B125" s="732"/>
      <c r="C125" s="682"/>
      <c r="D125" s="682"/>
      <c r="E125" s="682"/>
      <c r="F125" s="737"/>
      <c r="K125" s="746"/>
      <c r="L125" s="747"/>
      <c r="M125" s="748"/>
      <c r="N125" s="1444" t="str">
        <f>IFERROR(VLOOKUP(M125,Mychart!A248:U854,2,FALSE),"-")</f>
        <v>-</v>
      </c>
      <c r="O125" s="748"/>
      <c r="P125" s="748"/>
      <c r="Q125" s="748"/>
    </row>
    <row r="126" spans="1:17">
      <c r="A126" s="682"/>
      <c r="B126" s="732"/>
      <c r="C126" s="682"/>
      <c r="D126" s="682"/>
      <c r="E126" s="682"/>
      <c r="F126" s="737"/>
      <c r="K126" s="746"/>
      <c r="L126" s="747"/>
      <c r="M126" s="748"/>
      <c r="N126" s="1444" t="str">
        <f>IFERROR(VLOOKUP(M126,Mychart!A249:U855,2,FALSE),"-")</f>
        <v>-</v>
      </c>
      <c r="O126" s="748"/>
      <c r="P126" s="748"/>
      <c r="Q126" s="748"/>
    </row>
    <row r="127" spans="1:17">
      <c r="A127" s="682"/>
      <c r="B127" s="732"/>
      <c r="C127" s="682"/>
      <c r="D127" s="682"/>
      <c r="E127" s="682"/>
      <c r="F127" s="737"/>
      <c r="K127" s="746"/>
      <c r="L127" s="747"/>
      <c r="M127" s="748"/>
      <c r="N127" s="1444" t="str">
        <f>IFERROR(VLOOKUP(M127,Mychart!A250:U856,2,FALSE),"-")</f>
        <v>-</v>
      </c>
      <c r="O127" s="748"/>
      <c r="P127" s="748"/>
      <c r="Q127" s="748"/>
    </row>
    <row r="128" spans="1:17">
      <c r="A128" s="682"/>
      <c r="B128" s="732"/>
      <c r="C128" s="682"/>
      <c r="D128" s="682"/>
      <c r="E128" s="682"/>
      <c r="F128" s="737"/>
      <c r="K128" s="746"/>
      <c r="L128" s="747"/>
      <c r="M128" s="748"/>
      <c r="N128" s="1444" t="str">
        <f>IFERROR(VLOOKUP(M128,Mychart!A251:U857,2,FALSE),"-")</f>
        <v>-</v>
      </c>
      <c r="O128" s="748"/>
      <c r="P128" s="748"/>
      <c r="Q128" s="748"/>
    </row>
    <row r="129" spans="1:17">
      <c r="A129" s="682"/>
      <c r="B129" s="732"/>
      <c r="C129" s="682"/>
      <c r="D129" s="682"/>
      <c r="E129" s="682"/>
      <c r="F129" s="737"/>
      <c r="K129" s="746"/>
      <c r="L129" s="747"/>
      <c r="M129" s="748"/>
      <c r="N129" s="1444" t="str">
        <f>IFERROR(VLOOKUP(M129,Mychart!A252:U858,2,FALSE),"-")</f>
        <v>-</v>
      </c>
      <c r="O129" s="748"/>
      <c r="P129" s="748"/>
      <c r="Q129" s="748"/>
    </row>
    <row r="130" spans="1:17">
      <c r="A130" s="682"/>
      <c r="B130" s="732"/>
      <c r="C130" s="682"/>
      <c r="D130" s="682"/>
      <c r="E130" s="682"/>
      <c r="F130" s="737"/>
      <c r="K130" s="746"/>
      <c r="L130" s="747"/>
      <c r="M130" s="748"/>
      <c r="N130" s="1444" t="str">
        <f>IFERROR(VLOOKUP(M130,Mychart!A253:U859,2,FALSE),"-")</f>
        <v>-</v>
      </c>
      <c r="O130" s="748"/>
      <c r="P130" s="748"/>
      <c r="Q130" s="748"/>
    </row>
    <row r="131" spans="1:17">
      <c r="A131" s="682"/>
      <c r="B131" s="732"/>
      <c r="C131" s="682"/>
      <c r="D131" s="682"/>
      <c r="E131" s="682"/>
      <c r="F131" s="737"/>
      <c r="K131" s="746"/>
      <c r="L131" s="747"/>
      <c r="M131" s="748"/>
      <c r="N131" s="1444" t="str">
        <f>IFERROR(VLOOKUP(M131,Mychart!A254:U860,2,FALSE),"-")</f>
        <v>-</v>
      </c>
      <c r="O131" s="748"/>
      <c r="P131" s="748"/>
      <c r="Q131" s="748"/>
    </row>
    <row r="132" spans="1:17">
      <c r="A132" s="682"/>
      <c r="B132" s="732"/>
      <c r="C132" s="682"/>
      <c r="D132" s="682"/>
      <c r="E132" s="682"/>
      <c r="F132" s="737"/>
      <c r="K132" s="746"/>
      <c r="L132" s="747"/>
      <c r="M132" s="748"/>
      <c r="N132" s="1444" t="str">
        <f>IFERROR(VLOOKUP(M132,Mychart!A255:U861,2,FALSE),"-")</f>
        <v>-</v>
      </c>
      <c r="O132" s="748"/>
      <c r="P132" s="748"/>
      <c r="Q132" s="748"/>
    </row>
    <row r="133" spans="1:17">
      <c r="A133" s="682"/>
      <c r="B133" s="732"/>
      <c r="C133" s="682"/>
      <c r="D133" s="682"/>
      <c r="E133" s="682"/>
      <c r="F133" s="737"/>
      <c r="K133" s="746"/>
      <c r="L133" s="747"/>
      <c r="M133" s="748"/>
      <c r="N133" s="1444" t="str">
        <f>IFERROR(VLOOKUP(M133,Mychart!A256:U862,2,FALSE),"-")</f>
        <v>-</v>
      </c>
      <c r="O133" s="748"/>
      <c r="P133" s="748"/>
      <c r="Q133" s="748"/>
    </row>
    <row r="134" spans="1:17">
      <c r="A134" s="682"/>
      <c r="B134" s="732"/>
      <c r="C134" s="682"/>
      <c r="D134" s="682"/>
      <c r="E134" s="682"/>
      <c r="F134" s="737"/>
      <c r="K134" s="749"/>
      <c r="L134" s="750"/>
      <c r="M134" s="751"/>
      <c r="N134" s="1443" t="str">
        <f>IFERROR(VLOOKUP(M134,Mychart!A257:U863,2,FALSE),"-")</f>
        <v>-</v>
      </c>
      <c r="O134" s="751"/>
      <c r="P134" s="751"/>
      <c r="Q134" s="751"/>
    </row>
    <row r="135" spans="1:17">
      <c r="A135" s="682"/>
      <c r="B135" s="732"/>
      <c r="C135" s="682"/>
      <c r="D135" s="682"/>
      <c r="E135" s="682"/>
      <c r="F135" s="737"/>
      <c r="K135" s="749"/>
      <c r="L135" s="750"/>
      <c r="M135" s="751"/>
      <c r="N135" s="1443" t="str">
        <f>IFERROR(VLOOKUP(M135,Mychart!A258:U864,2,FALSE),"-")</f>
        <v>-</v>
      </c>
      <c r="O135" s="751"/>
      <c r="P135" s="751"/>
      <c r="Q135" s="751"/>
    </row>
    <row r="136" spans="1:17">
      <c r="A136" s="682"/>
      <c r="B136" s="732"/>
      <c r="C136" s="682"/>
      <c r="D136" s="682"/>
      <c r="E136" s="682"/>
      <c r="F136" s="737"/>
      <c r="K136" s="749"/>
      <c r="L136" s="750"/>
      <c r="M136" s="751"/>
      <c r="N136" s="1443" t="str">
        <f>IFERROR(VLOOKUP(M136,Mychart!A259:U865,2,FALSE),"-")</f>
        <v>-</v>
      </c>
      <c r="O136" s="751"/>
      <c r="P136" s="751"/>
      <c r="Q136" s="751"/>
    </row>
    <row r="137" spans="1:17">
      <c r="A137" s="682"/>
      <c r="B137" s="732"/>
      <c r="C137" s="682"/>
      <c r="D137" s="682"/>
      <c r="E137" s="682"/>
      <c r="F137" s="737"/>
      <c r="K137" s="749"/>
      <c r="L137" s="750"/>
      <c r="M137" s="751"/>
      <c r="N137" s="1443" t="str">
        <f>IFERROR(VLOOKUP(M137,Mychart!A260:U866,2,FALSE),"-")</f>
        <v>-</v>
      </c>
      <c r="O137" s="751"/>
      <c r="P137" s="751"/>
      <c r="Q137" s="751"/>
    </row>
    <row r="138" spans="1:17">
      <c r="A138" s="682"/>
      <c r="B138" s="732"/>
      <c r="C138" s="682"/>
      <c r="D138" s="682"/>
      <c r="E138" s="682"/>
      <c r="F138" s="737"/>
      <c r="K138" s="749"/>
      <c r="L138" s="750"/>
      <c r="M138" s="751"/>
      <c r="N138" s="1443" t="str">
        <f>IFERROR(VLOOKUP(M138,Mychart!A261:U867,2,FALSE),"-")</f>
        <v>-</v>
      </c>
      <c r="O138" s="751"/>
      <c r="P138" s="751"/>
      <c r="Q138" s="751"/>
    </row>
    <row r="139" spans="1:17">
      <c r="A139" s="682"/>
      <c r="B139" s="732"/>
      <c r="C139" s="682"/>
      <c r="D139" s="682"/>
      <c r="E139" s="682"/>
      <c r="F139" s="737"/>
      <c r="K139" s="749"/>
      <c r="L139" s="750"/>
      <c r="M139" s="751"/>
      <c r="N139" s="1443" t="str">
        <f>IFERROR(VLOOKUP(M139,Mychart!A262:U868,2,FALSE),"-")</f>
        <v>-</v>
      </c>
      <c r="O139" s="751"/>
      <c r="P139" s="751"/>
      <c r="Q139" s="751"/>
    </row>
    <row r="140" spans="1:17">
      <c r="A140" s="682"/>
      <c r="B140" s="732"/>
      <c r="C140" s="682"/>
      <c r="D140" s="682"/>
      <c r="E140" s="682"/>
      <c r="F140" s="737"/>
      <c r="K140" s="749"/>
      <c r="L140" s="750"/>
      <c r="M140" s="751"/>
      <c r="N140" s="1443" t="str">
        <f>IFERROR(VLOOKUP(M140,Mychart!A263:U869,2,FALSE),"-")</f>
        <v>-</v>
      </c>
      <c r="O140" s="751"/>
      <c r="P140" s="751"/>
      <c r="Q140" s="751"/>
    </row>
    <row r="141" spans="1:17">
      <c r="A141" s="682"/>
      <c r="B141" s="732"/>
      <c r="C141" s="682"/>
      <c r="D141" s="682"/>
      <c r="E141" s="682"/>
      <c r="F141" s="737"/>
      <c r="K141" s="749"/>
      <c r="L141" s="750"/>
      <c r="M141" s="751"/>
      <c r="N141" s="1443" t="str">
        <f>IFERROR(VLOOKUP(M141,Mychart!A264:U870,2,FALSE),"-")</f>
        <v>-</v>
      </c>
      <c r="O141" s="751"/>
      <c r="P141" s="751"/>
      <c r="Q141" s="751"/>
    </row>
    <row r="142" spans="1:17">
      <c r="A142" s="682"/>
      <c r="B142" s="732"/>
      <c r="C142" s="682"/>
      <c r="D142" s="682"/>
      <c r="E142" s="682"/>
      <c r="F142" s="737"/>
      <c r="K142" s="749"/>
      <c r="L142" s="750"/>
      <c r="M142" s="751"/>
      <c r="N142" s="1443" t="str">
        <f>IFERROR(VLOOKUP(M142,Mychart!A265:U871,2,FALSE),"-")</f>
        <v>-</v>
      </c>
      <c r="O142" s="751"/>
      <c r="P142" s="751"/>
      <c r="Q142" s="751"/>
    </row>
    <row r="143" spans="1:17">
      <c r="A143" s="682"/>
      <c r="B143" s="732"/>
      <c r="C143" s="682"/>
      <c r="D143" s="682"/>
      <c r="E143" s="682"/>
      <c r="F143" s="737"/>
      <c r="K143" s="749"/>
      <c r="L143" s="750"/>
      <c r="M143" s="751"/>
      <c r="N143" s="1443" t="str">
        <f>IFERROR(VLOOKUP(M143,Mychart!A266:U872,2,FALSE),"-")</f>
        <v>-</v>
      </c>
      <c r="O143" s="751"/>
      <c r="P143" s="751"/>
      <c r="Q143" s="751"/>
    </row>
    <row r="144" spans="1:17">
      <c r="A144" s="682"/>
      <c r="B144" s="732"/>
      <c r="C144" s="682"/>
      <c r="D144" s="682"/>
      <c r="E144" s="682"/>
      <c r="F144" s="737"/>
      <c r="K144" s="749"/>
      <c r="L144" s="750"/>
      <c r="M144" s="751"/>
      <c r="N144" s="1443" t="str">
        <f>IFERROR(VLOOKUP(M144,Mychart!A267:U873,2,FALSE),"-")</f>
        <v>-</v>
      </c>
      <c r="O144" s="751"/>
      <c r="P144" s="751"/>
      <c r="Q144" s="751"/>
    </row>
    <row r="145" spans="1:17">
      <c r="A145" s="682"/>
      <c r="B145" s="732"/>
      <c r="C145" s="682"/>
      <c r="D145" s="682"/>
      <c r="E145" s="682"/>
      <c r="F145" s="737"/>
      <c r="K145" s="749"/>
      <c r="L145" s="750"/>
      <c r="M145" s="751"/>
      <c r="N145" s="1443" t="str">
        <f>IFERROR(VLOOKUP(M145,Mychart!A268:U874,2,FALSE),"-")</f>
        <v>-</v>
      </c>
      <c r="O145" s="751"/>
      <c r="P145" s="751"/>
      <c r="Q145" s="751"/>
    </row>
    <row r="146" spans="1:17">
      <c r="A146" s="682"/>
      <c r="B146" s="732"/>
      <c r="C146" s="682"/>
      <c r="D146" s="682"/>
      <c r="E146" s="682"/>
      <c r="F146" s="737"/>
      <c r="K146" s="749"/>
      <c r="L146" s="750"/>
      <c r="M146" s="751"/>
      <c r="N146" s="1443" t="str">
        <f>IFERROR(VLOOKUP(M146,Mychart!A269:U875,2,FALSE),"-")</f>
        <v>-</v>
      </c>
      <c r="O146" s="751"/>
      <c r="P146" s="751"/>
      <c r="Q146" s="751"/>
    </row>
    <row r="147" spans="1:17">
      <c r="A147" s="682"/>
      <c r="B147" s="732"/>
      <c r="C147" s="682"/>
      <c r="D147" s="682"/>
      <c r="E147" s="682"/>
      <c r="F147" s="737"/>
      <c r="K147" s="749"/>
      <c r="L147" s="750"/>
      <c r="M147" s="751"/>
      <c r="N147" s="1443" t="str">
        <f>IFERROR(VLOOKUP(M147,Mychart!A270:U876,2,FALSE),"-")</f>
        <v>-</v>
      </c>
      <c r="O147" s="751"/>
      <c r="P147" s="751"/>
      <c r="Q147" s="751"/>
    </row>
    <row r="148" spans="1:17">
      <c r="A148" s="682"/>
      <c r="B148" s="732"/>
      <c r="C148" s="682"/>
      <c r="D148" s="682"/>
      <c r="E148" s="682"/>
      <c r="F148" s="737"/>
      <c r="K148" s="749"/>
      <c r="L148" s="750"/>
      <c r="M148" s="751"/>
      <c r="N148" s="1443" t="str">
        <f>IFERROR(VLOOKUP(M148,Mychart!A271:U877,2,FALSE),"-")</f>
        <v>-</v>
      </c>
      <c r="O148" s="751"/>
      <c r="P148" s="751"/>
      <c r="Q148" s="751"/>
    </row>
    <row r="149" spans="1:17">
      <c r="A149" s="682"/>
      <c r="B149" s="732"/>
      <c r="C149" s="682"/>
      <c r="D149" s="682"/>
      <c r="E149" s="682"/>
      <c r="F149" s="737"/>
      <c r="K149" s="749"/>
      <c r="L149" s="750"/>
      <c r="M149" s="751"/>
      <c r="N149" s="1443" t="str">
        <f>IFERROR(VLOOKUP(M149,Mychart!A272:U878,2,FALSE),"-")</f>
        <v>-</v>
      </c>
      <c r="O149" s="751"/>
      <c r="P149" s="751"/>
      <c r="Q149" s="751"/>
    </row>
    <row r="150" spans="1:17">
      <c r="A150" s="682"/>
      <c r="B150" s="732"/>
      <c r="C150" s="682"/>
      <c r="D150" s="682"/>
      <c r="E150" s="682"/>
      <c r="F150" s="737"/>
      <c r="K150" s="749"/>
      <c r="L150" s="750"/>
      <c r="M150" s="751"/>
      <c r="N150" s="1443" t="str">
        <f>IFERROR(VLOOKUP(M150,Mychart!A273:U879,2,FALSE),"-")</f>
        <v>-</v>
      </c>
      <c r="O150" s="751"/>
      <c r="P150" s="751"/>
      <c r="Q150" s="751"/>
    </row>
    <row r="151" spans="1:17">
      <c r="A151" s="682"/>
      <c r="B151" s="1690"/>
      <c r="C151" s="682"/>
      <c r="D151" s="682"/>
      <c r="E151" s="682"/>
      <c r="F151" s="737"/>
      <c r="K151" s="749"/>
      <c r="L151" s="750"/>
      <c r="M151" s="751"/>
      <c r="N151" s="1443" t="str">
        <f>IFERROR(VLOOKUP(M151,Mychart!A274:U880,2,FALSE),"-")</f>
        <v>-</v>
      </c>
      <c r="O151" s="751"/>
      <c r="P151" s="751"/>
      <c r="Q151" s="751"/>
    </row>
    <row r="152" spans="1:17">
      <c r="A152" s="682"/>
      <c r="B152" s="732"/>
      <c r="C152" s="682"/>
      <c r="D152" s="682"/>
      <c r="E152" s="682"/>
      <c r="F152" s="737"/>
      <c r="K152" s="749"/>
      <c r="L152" s="750"/>
      <c r="M152" s="751"/>
      <c r="N152" s="1443" t="str">
        <f>IFERROR(VLOOKUP(M152,Mychart!A275:U881,2,FALSE),"-")</f>
        <v>-</v>
      </c>
      <c r="O152" s="751"/>
      <c r="P152" s="751"/>
      <c r="Q152" s="751"/>
    </row>
    <row r="153" spans="1:17">
      <c r="A153" s="682"/>
      <c r="B153" s="732"/>
      <c r="C153" s="682"/>
      <c r="D153" s="682"/>
      <c r="E153" s="682"/>
      <c r="F153" s="737"/>
      <c r="K153" s="749"/>
      <c r="L153" s="750"/>
      <c r="M153" s="751"/>
      <c r="N153" s="1443" t="str">
        <f>IFERROR(VLOOKUP(M153,Mychart!A276:U882,2,FALSE),"-")</f>
        <v>-</v>
      </c>
      <c r="O153" s="751"/>
      <c r="P153" s="751"/>
      <c r="Q153" s="751"/>
    </row>
    <row r="154" spans="1:17">
      <c r="A154" s="682"/>
      <c r="B154" s="732"/>
      <c r="C154" s="682"/>
      <c r="D154" s="682"/>
      <c r="E154" s="682"/>
      <c r="F154" s="737"/>
      <c r="K154" s="749"/>
      <c r="L154" s="750"/>
      <c r="M154" s="751"/>
      <c r="N154" s="1443" t="str">
        <f>IFERROR(VLOOKUP(M154,Mychart!A277:U883,2,FALSE),"-")</f>
        <v>-</v>
      </c>
      <c r="O154" s="751"/>
      <c r="P154" s="751"/>
      <c r="Q154" s="751"/>
    </row>
    <row r="155" spans="1:17">
      <c r="A155" s="682"/>
      <c r="B155" s="732"/>
      <c r="C155" s="682"/>
      <c r="D155" s="682"/>
      <c r="E155" s="682"/>
      <c r="F155" s="737"/>
      <c r="K155" s="749"/>
      <c r="L155" s="750"/>
      <c r="M155" s="751"/>
      <c r="N155" s="1443" t="str">
        <f>IFERROR(VLOOKUP(M155,Mychart!A278:U884,2,FALSE),"-")</f>
        <v>-</v>
      </c>
      <c r="O155" s="751"/>
      <c r="P155" s="751"/>
      <c r="Q155" s="751"/>
    </row>
    <row r="156" spans="1:17">
      <c r="A156" s="682"/>
      <c r="B156" s="732"/>
      <c r="C156" s="682"/>
      <c r="D156" s="682"/>
      <c r="E156" s="682"/>
      <c r="F156" s="737"/>
      <c r="K156" s="749"/>
      <c r="L156" s="750"/>
      <c r="M156" s="751"/>
      <c r="N156" s="1443" t="str">
        <f>IFERROR(VLOOKUP(M156,Mychart!A279:U885,2,FALSE),"-")</f>
        <v>-</v>
      </c>
      <c r="O156" s="751"/>
      <c r="P156" s="751"/>
      <c r="Q156" s="751"/>
    </row>
    <row r="157" spans="1:17">
      <c r="A157" s="682"/>
      <c r="B157" s="732"/>
      <c r="C157" s="682"/>
      <c r="D157" s="682"/>
      <c r="E157" s="682"/>
      <c r="F157" s="737"/>
      <c r="K157" s="749"/>
      <c r="L157" s="750"/>
      <c r="M157" s="751"/>
      <c r="N157" s="1443" t="str">
        <f>IFERROR(VLOOKUP(M157,Mychart!A280:U886,2,FALSE),"-")</f>
        <v>-</v>
      </c>
      <c r="O157" s="751"/>
      <c r="P157" s="751"/>
      <c r="Q157" s="751"/>
    </row>
    <row r="158" spans="1:17">
      <c r="A158" s="682"/>
      <c r="B158" s="732"/>
      <c r="C158" s="682"/>
      <c r="D158" s="682"/>
      <c r="E158" s="682"/>
      <c r="F158" s="737"/>
      <c r="K158" s="749"/>
      <c r="L158" s="750"/>
      <c r="M158" s="751"/>
      <c r="N158" s="1443" t="str">
        <f>IFERROR(VLOOKUP(M158,Mychart!A281:U887,2,FALSE),"-")</f>
        <v>-</v>
      </c>
      <c r="O158" s="751"/>
      <c r="P158" s="751"/>
      <c r="Q158" s="751"/>
    </row>
    <row r="159" spans="1:17">
      <c r="A159" s="682"/>
      <c r="B159" s="732"/>
      <c r="C159" s="682"/>
      <c r="D159" s="682"/>
      <c r="E159" s="682"/>
      <c r="F159" s="737"/>
      <c r="K159" s="749"/>
      <c r="L159" s="750"/>
      <c r="M159" s="751"/>
      <c r="N159" s="1443" t="str">
        <f>IFERROR(VLOOKUP(M159,Mychart!A282:U888,2,FALSE),"-")</f>
        <v>-</v>
      </c>
      <c r="O159" s="751"/>
      <c r="P159" s="751"/>
      <c r="Q159" s="751"/>
    </row>
    <row r="160" spans="1:17">
      <c r="A160" s="682"/>
      <c r="B160" s="732"/>
      <c r="C160" s="682"/>
      <c r="D160" s="682"/>
      <c r="E160" s="682"/>
      <c r="F160" s="737"/>
      <c r="K160" s="749"/>
      <c r="L160" s="750"/>
      <c r="M160" s="751"/>
      <c r="N160" s="1443" t="str">
        <f>IFERROR(VLOOKUP(M160,Mychart!A283:U889,2,FALSE),"-")</f>
        <v>-</v>
      </c>
      <c r="O160" s="751"/>
      <c r="P160" s="751"/>
      <c r="Q160" s="751"/>
    </row>
    <row r="161" spans="1:17">
      <c r="A161" s="682"/>
      <c r="B161" s="732"/>
      <c r="C161" s="682"/>
      <c r="D161" s="682"/>
      <c r="E161" s="682"/>
      <c r="F161" s="737"/>
      <c r="K161" s="696"/>
      <c r="L161" s="694"/>
      <c r="M161" s="693"/>
      <c r="N161" s="1443" t="str">
        <f>IFERROR(VLOOKUP(M161,Mychart!A284:U890,2,FALSE),"-")</f>
        <v>-</v>
      </c>
      <c r="O161" s="693"/>
      <c r="P161" s="693"/>
      <c r="Q161" s="693"/>
    </row>
    <row r="162" spans="1:17">
      <c r="A162" s="682"/>
      <c r="B162" s="732"/>
      <c r="C162" s="682"/>
      <c r="D162" s="682"/>
      <c r="E162" s="682"/>
      <c r="F162" s="737"/>
      <c r="K162" s="696"/>
      <c r="L162" s="694"/>
      <c r="M162" s="693"/>
      <c r="N162" s="1443" t="str">
        <f>IFERROR(VLOOKUP(M162,Mychart!A285:U891,2,FALSE),"-")</f>
        <v>-</v>
      </c>
      <c r="O162" s="693"/>
      <c r="P162" s="693"/>
      <c r="Q162" s="693"/>
    </row>
    <row r="163" spans="1:17">
      <c r="A163" s="682"/>
      <c r="B163" s="732"/>
      <c r="C163" s="682"/>
      <c r="D163" s="682"/>
      <c r="E163" s="682"/>
      <c r="F163" s="737"/>
      <c r="K163" s="696"/>
      <c r="L163" s="694"/>
      <c r="M163" s="693"/>
      <c r="N163" s="1443" t="str">
        <f>IFERROR(VLOOKUP(M163,Mychart!A286:U892,2,FALSE),"-")</f>
        <v>-</v>
      </c>
      <c r="O163" s="693"/>
      <c r="P163" s="693"/>
      <c r="Q163" s="693"/>
    </row>
    <row r="164" spans="1:17">
      <c r="A164" s="682"/>
      <c r="B164" s="732"/>
      <c r="C164" s="682"/>
      <c r="D164" s="682"/>
      <c r="E164" s="682"/>
      <c r="F164" s="737"/>
      <c r="K164" s="696"/>
      <c r="L164" s="694"/>
      <c r="M164" s="693"/>
      <c r="N164" s="1443" t="str">
        <f>IFERROR(VLOOKUP(M164,Mychart!A287:U893,2,FALSE),"-")</f>
        <v>-</v>
      </c>
      <c r="O164" s="693"/>
      <c r="P164" s="693"/>
      <c r="Q164" s="693"/>
    </row>
    <row r="165" spans="1:17">
      <c r="A165" s="682"/>
      <c r="B165" s="732"/>
      <c r="C165" s="682"/>
      <c r="D165" s="682"/>
      <c r="E165" s="682"/>
      <c r="F165" s="737"/>
      <c r="K165" s="696"/>
      <c r="L165" s="694"/>
      <c r="M165" s="693"/>
      <c r="N165" s="1443" t="str">
        <f>IFERROR(VLOOKUP(M165,Mychart!A288:U894,2,FALSE),"-")</f>
        <v>-</v>
      </c>
      <c r="O165" s="693"/>
      <c r="P165" s="693"/>
      <c r="Q165" s="693"/>
    </row>
    <row r="166" spans="1:17">
      <c r="A166" s="682"/>
      <c r="B166" s="732"/>
      <c r="C166" s="682"/>
      <c r="D166" s="682"/>
      <c r="E166" s="682"/>
      <c r="F166" s="737"/>
      <c r="K166" s="696"/>
      <c r="L166" s="694"/>
      <c r="M166" s="693"/>
      <c r="N166" s="1443" t="str">
        <f>IFERROR(VLOOKUP(M166,Mychart!A289:U895,2,FALSE),"-")</f>
        <v>-</v>
      </c>
      <c r="O166" s="693"/>
      <c r="P166" s="693"/>
      <c r="Q166" s="693"/>
    </row>
    <row r="167" spans="1:17">
      <c r="A167" s="682"/>
      <c r="B167" s="732"/>
      <c r="C167" s="682"/>
      <c r="D167" s="682"/>
      <c r="E167" s="682"/>
      <c r="F167" s="737"/>
      <c r="K167" s="696"/>
      <c r="L167" s="694"/>
      <c r="M167" s="693"/>
      <c r="N167" s="1443" t="str">
        <f>IFERROR(VLOOKUP(M167,Mychart!A290:U896,2,FALSE),"-")</f>
        <v>-</v>
      </c>
      <c r="O167" s="693"/>
      <c r="P167" s="693"/>
      <c r="Q167" s="693"/>
    </row>
    <row r="168" spans="1:17">
      <c r="A168" s="682"/>
      <c r="B168" s="732"/>
      <c r="C168" s="682"/>
      <c r="D168" s="682"/>
      <c r="E168" s="682"/>
      <c r="F168" s="737"/>
      <c r="K168" s="696"/>
      <c r="L168" s="694"/>
      <c r="M168" s="693"/>
      <c r="N168" s="1443" t="str">
        <f>IFERROR(VLOOKUP(M168,Mychart!A291:U897,2,FALSE),"-")</f>
        <v>-</v>
      </c>
      <c r="O168" s="693"/>
      <c r="P168" s="693"/>
      <c r="Q168" s="693"/>
    </row>
    <row r="169" spans="1:17">
      <c r="A169" s="682"/>
      <c r="B169" s="732"/>
      <c r="C169" s="682"/>
      <c r="D169" s="682"/>
      <c r="E169" s="682"/>
      <c r="F169" s="737"/>
      <c r="K169" s="696"/>
      <c r="L169" s="694"/>
      <c r="M169" s="693"/>
      <c r="N169" s="1443" t="str">
        <f>IFERROR(VLOOKUP(M169,Mychart!A292:U898,2,FALSE),"-")</f>
        <v>-</v>
      </c>
      <c r="O169" s="693"/>
      <c r="P169" s="693"/>
      <c r="Q169" s="693"/>
    </row>
    <row r="170" spans="1:17">
      <c r="A170" s="682"/>
      <c r="B170" s="732"/>
      <c r="C170" s="682"/>
      <c r="D170" s="682"/>
      <c r="E170" s="682"/>
      <c r="F170" s="737"/>
      <c r="K170" s="696"/>
      <c r="L170" s="694"/>
      <c r="M170" s="693"/>
      <c r="N170" s="1443" t="str">
        <f>IFERROR(VLOOKUP(M170,Mychart!A293:U899,2,FALSE),"-")</f>
        <v>-</v>
      </c>
      <c r="O170" s="693"/>
      <c r="P170" s="693"/>
      <c r="Q170" s="693"/>
    </row>
    <row r="171" spans="1:17">
      <c r="A171" s="682"/>
      <c r="B171" s="732"/>
      <c r="C171" s="682"/>
      <c r="D171" s="682"/>
      <c r="E171" s="682"/>
      <c r="F171" s="737"/>
      <c r="K171" s="696"/>
      <c r="L171" s="694"/>
      <c r="M171" s="693"/>
      <c r="N171" s="1443" t="str">
        <f>IFERROR(VLOOKUP(M171,Mychart!A294:U900,2,FALSE),"-")</f>
        <v>-</v>
      </c>
      <c r="O171" s="693"/>
      <c r="P171" s="693"/>
      <c r="Q171" s="693"/>
    </row>
    <row r="172" spans="1:17">
      <c r="A172" s="682"/>
      <c r="B172" s="732"/>
      <c r="C172" s="682"/>
      <c r="D172" s="682"/>
      <c r="E172" s="682"/>
      <c r="F172" s="737"/>
      <c r="K172" s="696"/>
      <c r="L172" s="694"/>
      <c r="M172" s="693"/>
      <c r="N172" s="1443" t="str">
        <f>IFERROR(VLOOKUP(M172,Mychart!A295:U901,2,FALSE),"-")</f>
        <v>-</v>
      </c>
      <c r="O172" s="693"/>
      <c r="P172" s="693"/>
      <c r="Q172" s="693"/>
    </row>
    <row r="173" spans="1:17">
      <c r="A173" s="682"/>
      <c r="B173" s="732"/>
      <c r="C173" s="682"/>
      <c r="D173" s="682"/>
      <c r="E173" s="682"/>
      <c r="F173" s="737"/>
      <c r="K173" s="696"/>
      <c r="L173" s="694"/>
      <c r="M173" s="693"/>
      <c r="N173" s="1443" t="str">
        <f>IFERROR(VLOOKUP(M173,Mychart!A296:U902,2,FALSE),"-")</f>
        <v>-</v>
      </c>
      <c r="O173" s="693"/>
      <c r="P173" s="693"/>
      <c r="Q173" s="693"/>
    </row>
    <row r="174" spans="1:17">
      <c r="A174" s="682"/>
      <c r="B174" s="732"/>
      <c r="C174" s="682"/>
      <c r="D174" s="682"/>
      <c r="E174" s="682"/>
      <c r="F174" s="737"/>
      <c r="K174" s="696"/>
      <c r="L174" s="694"/>
      <c r="M174" s="693"/>
      <c r="N174" s="1443" t="str">
        <f>IFERROR(VLOOKUP(M174,Mychart!A297:U903,2,FALSE),"-")</f>
        <v>-</v>
      </c>
      <c r="O174" s="693"/>
      <c r="P174" s="693"/>
      <c r="Q174" s="693"/>
    </row>
    <row r="175" spans="1:17">
      <c r="A175" s="682"/>
      <c r="B175" s="732"/>
      <c r="C175" s="682"/>
      <c r="D175" s="682"/>
      <c r="E175" s="682"/>
      <c r="F175" s="737"/>
      <c r="K175" s="696"/>
      <c r="L175" s="693"/>
      <c r="M175" s="693"/>
      <c r="N175" s="1443" t="str">
        <f>IFERROR(VLOOKUP(M175,Mychart!A298:U904,2,FALSE),"-")</f>
        <v>-</v>
      </c>
      <c r="O175" s="693"/>
      <c r="P175" s="693"/>
      <c r="Q175" s="693"/>
    </row>
    <row r="176" spans="1:17">
      <c r="A176" s="682"/>
      <c r="B176" s="732"/>
      <c r="C176" s="682"/>
      <c r="D176" s="682"/>
      <c r="E176" s="682"/>
      <c r="F176" s="737"/>
      <c r="K176" s="696"/>
      <c r="L176" s="693"/>
      <c r="M176" s="693"/>
      <c r="N176" s="1443" t="str">
        <f>IFERROR(VLOOKUP(M176,Mychart!A299:U905,2,FALSE),"-")</f>
        <v>-</v>
      </c>
      <c r="O176" s="693"/>
      <c r="P176" s="693"/>
      <c r="Q176" s="693"/>
    </row>
    <row r="177" spans="1:17">
      <c r="A177" s="682"/>
      <c r="B177" s="732"/>
      <c r="C177" s="682"/>
      <c r="D177" s="682"/>
      <c r="E177" s="682"/>
      <c r="F177" s="737"/>
      <c r="K177" s="696"/>
      <c r="L177" s="693"/>
      <c r="M177" s="693"/>
      <c r="N177" s="1443" t="str">
        <f>IFERROR(VLOOKUP(M177,Mychart!A300:U906,2,FALSE),"-")</f>
        <v>-</v>
      </c>
      <c r="O177" s="693"/>
      <c r="P177" s="693"/>
      <c r="Q177" s="693"/>
    </row>
    <row r="178" spans="1:17">
      <c r="A178" s="682"/>
      <c r="B178" s="732"/>
      <c r="C178" s="682"/>
      <c r="D178" s="682"/>
      <c r="E178" s="682"/>
      <c r="F178" s="737"/>
      <c r="K178" s="696"/>
      <c r="L178" s="693"/>
      <c r="M178" s="693"/>
      <c r="N178" s="1443" t="str">
        <f>IFERROR(VLOOKUP(M178,Mychart!A301:U907,2,FALSE),"-")</f>
        <v>-</v>
      </c>
      <c r="O178" s="693"/>
      <c r="P178" s="693"/>
      <c r="Q178" s="693"/>
    </row>
    <row r="179" spans="1:17">
      <c r="A179" s="682"/>
      <c r="B179" s="732"/>
      <c r="C179" s="682"/>
      <c r="D179" s="682"/>
      <c r="E179" s="682"/>
      <c r="F179" s="737"/>
      <c r="K179" s="696"/>
      <c r="L179" s="693"/>
      <c r="M179" s="693"/>
      <c r="N179" s="1443" t="str">
        <f>IFERROR(VLOOKUP(M179,Mychart!A302:U908,2,FALSE),"-")</f>
        <v>-</v>
      </c>
      <c r="O179" s="693"/>
      <c r="P179" s="693"/>
      <c r="Q179" s="693"/>
    </row>
    <row r="180" spans="1:17">
      <c r="A180" s="682"/>
      <c r="B180" s="732"/>
      <c r="C180" s="682"/>
      <c r="D180" s="682"/>
      <c r="E180" s="682"/>
      <c r="F180" s="737"/>
      <c r="K180" s="696"/>
      <c r="L180" s="693"/>
      <c r="M180" s="693"/>
      <c r="N180" s="1443" t="str">
        <f>IFERROR(VLOOKUP(M180,Mychart!A303:U909,2,FALSE),"-")</f>
        <v>-</v>
      </c>
      <c r="O180" s="693"/>
      <c r="P180" s="693"/>
      <c r="Q180" s="693"/>
    </row>
    <row r="181" spans="1:17">
      <c r="A181" s="682"/>
      <c r="B181" s="732"/>
      <c r="C181" s="682"/>
      <c r="D181" s="682"/>
      <c r="E181" s="682"/>
      <c r="F181" s="737"/>
      <c r="K181" s="696"/>
      <c r="L181" s="693"/>
      <c r="M181" s="693"/>
      <c r="N181" s="1443" t="str">
        <f>IFERROR(VLOOKUP(M181,Mychart!A304:U910,2,FALSE),"-")</f>
        <v>-</v>
      </c>
      <c r="O181" s="693"/>
      <c r="P181" s="693"/>
      <c r="Q181" s="693"/>
    </row>
    <row r="182" spans="1:17">
      <c r="A182" s="682"/>
      <c r="B182" s="732"/>
      <c r="C182" s="682"/>
      <c r="D182" s="682"/>
      <c r="E182" s="682"/>
      <c r="F182" s="737"/>
      <c r="K182" s="696"/>
      <c r="L182" s="693"/>
      <c r="M182" s="693"/>
      <c r="N182" s="1443" t="str">
        <f>IFERROR(VLOOKUP(M182,Mychart!A305:U911,2,FALSE),"-")</f>
        <v>-</v>
      </c>
      <c r="O182" s="693"/>
      <c r="P182" s="693"/>
      <c r="Q182" s="693"/>
    </row>
    <row r="183" spans="1:17">
      <c r="A183" s="682"/>
      <c r="B183" s="732"/>
      <c r="C183" s="682"/>
      <c r="D183" s="682"/>
      <c r="E183" s="682"/>
      <c r="F183" s="737"/>
      <c r="K183" s="696"/>
      <c r="L183" s="693"/>
      <c r="M183" s="693"/>
      <c r="N183" s="1443" t="str">
        <f>IFERROR(VLOOKUP(M183,Mychart!A306:U912,2,FALSE),"-")</f>
        <v>-</v>
      </c>
      <c r="O183" s="693"/>
      <c r="P183" s="693"/>
      <c r="Q183" s="693"/>
    </row>
    <row r="184" spans="1:17">
      <c r="A184" s="682"/>
      <c r="B184" s="732"/>
      <c r="C184" s="682"/>
      <c r="D184" s="682"/>
      <c r="E184" s="682"/>
      <c r="F184" s="737"/>
      <c r="K184" s="696"/>
      <c r="L184" s="693"/>
      <c r="M184" s="693"/>
      <c r="N184" s="1443" t="str">
        <f>IFERROR(VLOOKUP(M184,Mychart!A307:U913,2,FALSE),"-")</f>
        <v>-</v>
      </c>
      <c r="O184" s="693"/>
      <c r="P184" s="693"/>
      <c r="Q184" s="693"/>
    </row>
    <row r="185" spans="1:17">
      <c r="A185" s="682"/>
      <c r="B185" s="732"/>
      <c r="C185" s="682"/>
      <c r="D185" s="682"/>
      <c r="E185" s="682"/>
      <c r="F185" s="737"/>
      <c r="K185" s="696"/>
      <c r="L185" s="693"/>
      <c r="M185" s="693"/>
      <c r="N185" s="1443" t="str">
        <f>IFERROR(VLOOKUP(M185,Mychart!A308:U914,2,FALSE),"-")</f>
        <v>-</v>
      </c>
      <c r="O185" s="693"/>
      <c r="P185" s="693"/>
      <c r="Q185" s="693"/>
    </row>
    <row r="186" spans="1:17">
      <c r="A186" s="682"/>
      <c r="B186" s="732"/>
      <c r="C186" s="682"/>
      <c r="D186" s="682"/>
      <c r="E186" s="682"/>
      <c r="F186" s="737"/>
      <c r="K186" s="696"/>
      <c r="L186" s="693"/>
      <c r="M186" s="693"/>
      <c r="N186" s="1443" t="str">
        <f>IFERROR(VLOOKUP(M186,Mychart!A309:U915,2,FALSE),"-")</f>
        <v>-</v>
      </c>
      <c r="O186" s="693"/>
      <c r="P186" s="693"/>
      <c r="Q186" s="693"/>
    </row>
    <row r="187" spans="1:17">
      <c r="A187" s="682"/>
      <c r="B187" s="732"/>
      <c r="C187" s="682"/>
      <c r="D187" s="682"/>
      <c r="E187" s="682"/>
      <c r="F187" s="737"/>
      <c r="K187" s="696"/>
      <c r="L187" s="693"/>
      <c r="M187" s="693"/>
      <c r="N187" s="1443" t="str">
        <f>IFERROR(VLOOKUP(M187,Mychart!A310:U916,2,FALSE),"-")</f>
        <v>-</v>
      </c>
      <c r="O187" s="693"/>
      <c r="P187" s="693"/>
      <c r="Q187" s="693"/>
    </row>
    <row r="188" spans="1:17">
      <c r="A188" s="682"/>
      <c r="B188" s="732"/>
      <c r="C188" s="682"/>
      <c r="D188" s="682"/>
      <c r="E188" s="682"/>
      <c r="F188" s="737"/>
      <c r="K188" s="696"/>
      <c r="L188" s="693"/>
      <c r="M188" s="693"/>
      <c r="N188" s="1443" t="str">
        <f>IFERROR(VLOOKUP(M188,Mychart!A311:U917,2,FALSE),"-")</f>
        <v>-</v>
      </c>
      <c r="O188" s="693"/>
      <c r="P188" s="693"/>
      <c r="Q188" s="693"/>
    </row>
    <row r="189" spans="1:17">
      <c r="A189" s="682"/>
      <c r="B189" s="732"/>
      <c r="C189" s="682"/>
      <c r="D189" s="682"/>
      <c r="E189" s="682"/>
      <c r="F189" s="737"/>
      <c r="K189" s="696"/>
      <c r="L189" s="693"/>
      <c r="M189" s="693"/>
      <c r="N189" s="1443" t="str">
        <f>IFERROR(VLOOKUP(M189,Mychart!A312:U918,2,FALSE),"-")</f>
        <v>-</v>
      </c>
      <c r="O189" s="693"/>
      <c r="P189" s="693"/>
      <c r="Q189" s="693"/>
    </row>
    <row r="190" spans="1:17">
      <c r="A190" s="682"/>
      <c r="B190" s="732"/>
      <c r="C190" s="682"/>
      <c r="D190" s="682"/>
      <c r="E190" s="682"/>
      <c r="F190" s="737"/>
      <c r="K190" s="696"/>
      <c r="L190" s="693"/>
      <c r="M190" s="693"/>
      <c r="N190" s="1443" t="str">
        <f>IFERROR(VLOOKUP(M190,Mychart!A313:U919,2,FALSE),"-")</f>
        <v>-</v>
      </c>
      <c r="O190" s="693"/>
      <c r="P190" s="693"/>
      <c r="Q190" s="693"/>
    </row>
    <row r="191" spans="1:17">
      <c r="A191" s="682"/>
      <c r="B191" s="732"/>
      <c r="C191" s="682"/>
      <c r="D191" s="682"/>
      <c r="E191" s="682"/>
      <c r="F191" s="737"/>
      <c r="K191" s="696"/>
      <c r="L191" s="693"/>
      <c r="M191" s="693"/>
      <c r="N191" s="1443" t="str">
        <f>IFERROR(VLOOKUP(M191,Mychart!A314:U920,2,FALSE),"-")</f>
        <v>-</v>
      </c>
      <c r="O191" s="693"/>
      <c r="P191" s="693"/>
      <c r="Q191" s="693"/>
    </row>
    <row r="192" spans="1:17">
      <c r="A192" s="682"/>
      <c r="B192" s="732"/>
      <c r="C192" s="682"/>
      <c r="D192" s="682"/>
      <c r="E192" s="682"/>
      <c r="F192" s="737"/>
      <c r="K192" s="696"/>
      <c r="L192" s="693"/>
      <c r="M192" s="693"/>
      <c r="N192" s="1443" t="str">
        <f>IFERROR(VLOOKUP(M192,Mychart!A315:U921,2,FALSE),"-")</f>
        <v>-</v>
      </c>
      <c r="O192" s="693"/>
      <c r="P192" s="693"/>
      <c r="Q192" s="693"/>
    </row>
    <row r="193" spans="1:17">
      <c r="A193" s="682"/>
      <c r="B193" s="732"/>
      <c r="C193" s="682"/>
      <c r="D193" s="682"/>
      <c r="E193" s="682"/>
      <c r="F193" s="737"/>
      <c r="K193" s="696"/>
      <c r="L193" s="693"/>
      <c r="M193" s="693"/>
      <c r="N193" s="1443" t="str">
        <f>IFERROR(VLOOKUP(M193,Mychart!A316:U922,2,FALSE),"-")</f>
        <v>-</v>
      </c>
      <c r="O193" s="693"/>
      <c r="P193" s="693"/>
      <c r="Q193" s="693"/>
    </row>
    <row r="194" spans="1:17">
      <c r="A194" s="682"/>
      <c r="B194" s="732"/>
      <c r="C194" s="682"/>
      <c r="D194" s="682"/>
      <c r="E194" s="682"/>
      <c r="F194" s="737"/>
      <c r="K194" s="696"/>
      <c r="L194" s="693"/>
      <c r="M194" s="693"/>
      <c r="N194" s="1443" t="str">
        <f>IFERROR(VLOOKUP(M194,Mychart!A317:U923,2,FALSE),"-")</f>
        <v>-</v>
      </c>
      <c r="O194" s="693"/>
      <c r="P194" s="693"/>
      <c r="Q194" s="693"/>
    </row>
    <row r="195" spans="1:17">
      <c r="A195" s="682"/>
      <c r="B195" s="732"/>
      <c r="C195" s="682"/>
      <c r="D195" s="682"/>
      <c r="E195" s="682"/>
      <c r="F195" s="737"/>
      <c r="K195" s="696"/>
      <c r="L195" s="693"/>
      <c r="M195" s="693"/>
      <c r="N195" s="1443" t="str">
        <f>IFERROR(VLOOKUP(M195,Mychart!A318:U924,2,FALSE),"-")</f>
        <v>-</v>
      </c>
      <c r="O195" s="693"/>
      <c r="P195" s="693"/>
      <c r="Q195" s="693"/>
    </row>
    <row r="196" spans="1:17">
      <c r="A196" s="682"/>
      <c r="B196" s="732"/>
      <c r="C196" s="682"/>
      <c r="D196" s="682"/>
      <c r="E196" s="682"/>
      <c r="F196" s="737"/>
      <c r="K196" s="696"/>
      <c r="L196" s="693"/>
      <c r="M196" s="693"/>
      <c r="N196" s="1443" t="str">
        <f>IFERROR(VLOOKUP(M196,Mychart!A319:U925,2,FALSE),"-")</f>
        <v>-</v>
      </c>
      <c r="O196" s="693"/>
      <c r="P196" s="693"/>
      <c r="Q196" s="693"/>
    </row>
    <row r="197" spans="1:17">
      <c r="A197" s="682"/>
      <c r="B197" s="732"/>
      <c r="C197" s="682"/>
      <c r="D197" s="682"/>
      <c r="E197" s="682"/>
      <c r="F197" s="737"/>
      <c r="K197" s="696"/>
      <c r="L197" s="693"/>
      <c r="M197" s="693"/>
      <c r="N197" s="1443" t="str">
        <f>IFERROR(VLOOKUP(M197,Mychart!A320:U926,2,FALSE),"-")</f>
        <v>-</v>
      </c>
      <c r="O197" s="693"/>
      <c r="P197" s="693"/>
      <c r="Q197" s="693"/>
    </row>
    <row r="198" spans="1:17">
      <c r="A198" s="682"/>
      <c r="B198" s="732"/>
      <c r="C198" s="682"/>
      <c r="D198" s="682"/>
      <c r="E198" s="682"/>
      <c r="F198" s="737"/>
      <c r="K198" s="696"/>
      <c r="L198" s="693"/>
      <c r="M198" s="693"/>
      <c r="N198" s="1443" t="str">
        <f>IFERROR(VLOOKUP(M198,Mychart!A321:U927,2,FALSE),"-")</f>
        <v>-</v>
      </c>
      <c r="O198" s="693"/>
      <c r="P198" s="693"/>
      <c r="Q198" s="693"/>
    </row>
    <row r="199" spans="1:17">
      <c r="A199" s="682"/>
      <c r="B199" s="732"/>
      <c r="C199" s="682"/>
      <c r="D199" s="682"/>
      <c r="E199" s="682"/>
      <c r="F199" s="737"/>
      <c r="K199" s="696"/>
      <c r="L199" s="693"/>
      <c r="M199" s="693"/>
      <c r="N199" s="1443" t="str">
        <f>IFERROR(VLOOKUP(M199,Mychart!A322:U928,2,FALSE),"-")</f>
        <v>-</v>
      </c>
      <c r="O199" s="693"/>
      <c r="P199" s="693"/>
      <c r="Q199" s="693"/>
    </row>
    <row r="200" spans="1:17">
      <c r="A200" s="682"/>
      <c r="B200" s="732"/>
      <c r="C200" s="682"/>
      <c r="D200" s="682"/>
      <c r="E200" s="682"/>
      <c r="F200" s="737"/>
      <c r="K200" s="696"/>
      <c r="L200" s="693"/>
      <c r="M200" s="693"/>
      <c r="N200" s="1443" t="str">
        <f>IFERROR(VLOOKUP(M200,Mychart!A323:U929,2,FALSE),"-")</f>
        <v>-</v>
      </c>
      <c r="O200" s="693"/>
      <c r="P200" s="693"/>
      <c r="Q200" s="693"/>
    </row>
    <row r="201" spans="1:17">
      <c r="A201" s="682"/>
      <c r="B201" s="732"/>
      <c r="C201" s="682"/>
      <c r="D201" s="682"/>
      <c r="E201" s="682"/>
      <c r="F201" s="737"/>
      <c r="K201" s="696"/>
      <c r="L201" s="693"/>
      <c r="M201" s="693"/>
      <c r="N201" s="1443" t="str">
        <f>IFERROR(VLOOKUP(M201,Mychart!A324:U930,2,FALSE),"-")</f>
        <v>-</v>
      </c>
      <c r="O201" s="693"/>
      <c r="P201" s="693"/>
      <c r="Q201" s="693"/>
    </row>
    <row r="202" spans="1:17">
      <c r="A202" s="682"/>
      <c r="B202" s="732"/>
      <c r="C202" s="682"/>
      <c r="D202" s="682"/>
      <c r="E202" s="682"/>
      <c r="F202" s="737"/>
      <c r="K202" s="696"/>
      <c r="L202" s="693"/>
      <c r="M202" s="693"/>
      <c r="N202" s="1443" t="str">
        <f>IFERROR(VLOOKUP(M202,Mychart!A325:U931,2,FALSE),"-")</f>
        <v>-</v>
      </c>
      <c r="O202" s="693"/>
      <c r="P202" s="693"/>
      <c r="Q202" s="693"/>
    </row>
    <row r="203" spans="1:17">
      <c r="A203" s="682"/>
      <c r="B203" s="732"/>
      <c r="C203" s="682"/>
      <c r="D203" s="682"/>
      <c r="E203" s="682"/>
      <c r="F203" s="737"/>
      <c r="K203" s="696"/>
      <c r="L203" s="693"/>
      <c r="M203" s="693"/>
      <c r="N203" s="1443" t="str">
        <f>IFERROR(VLOOKUP(M203,Mychart!A326:U932,2,FALSE),"-")</f>
        <v>-</v>
      </c>
      <c r="O203" s="693"/>
      <c r="P203" s="693"/>
      <c r="Q203" s="693"/>
    </row>
    <row r="204" spans="1:17">
      <c r="A204" s="682"/>
      <c r="B204" s="732"/>
      <c r="C204" s="682"/>
      <c r="D204" s="682"/>
      <c r="E204" s="682"/>
      <c r="F204" s="737"/>
      <c r="K204" s="696"/>
      <c r="L204" s="693"/>
      <c r="M204" s="693"/>
      <c r="N204" s="1443" t="str">
        <f>IFERROR(VLOOKUP(M204,Mychart!A327:U933,2,FALSE),"-")</f>
        <v>-</v>
      </c>
      <c r="O204" s="693"/>
      <c r="P204" s="693"/>
      <c r="Q204" s="693"/>
    </row>
    <row r="205" spans="1:17">
      <c r="A205" s="682"/>
      <c r="B205" s="732"/>
      <c r="C205" s="682"/>
      <c r="D205" s="682"/>
      <c r="E205" s="682"/>
      <c r="F205" s="737"/>
      <c r="K205" s="696"/>
      <c r="L205" s="693"/>
      <c r="M205" s="693"/>
      <c r="N205" s="1443" t="str">
        <f>IFERROR(VLOOKUP(M205,Mychart!A328:U934,2,FALSE),"-")</f>
        <v>-</v>
      </c>
      <c r="O205" s="693"/>
      <c r="P205" s="693"/>
      <c r="Q205" s="693"/>
    </row>
    <row r="206" spans="1:17">
      <c r="A206" s="682"/>
      <c r="B206" s="732"/>
      <c r="C206" s="682"/>
      <c r="D206" s="682"/>
      <c r="E206" s="682"/>
      <c r="F206" s="737"/>
      <c r="K206" s="696"/>
      <c r="L206" s="693"/>
      <c r="M206" s="693"/>
      <c r="N206" s="1443" t="str">
        <f>IFERROR(VLOOKUP(M206,Mychart!A329:U935,2,FALSE),"-")</f>
        <v>-</v>
      </c>
      <c r="O206" s="693"/>
      <c r="P206" s="693"/>
      <c r="Q206" s="693"/>
    </row>
    <row r="207" spans="1:17">
      <c r="A207" s="682"/>
      <c r="B207" s="732"/>
      <c r="C207" s="682"/>
      <c r="D207" s="682"/>
      <c r="E207" s="682"/>
      <c r="F207" s="737"/>
      <c r="K207" s="696"/>
      <c r="L207" s="693"/>
      <c r="M207" s="693"/>
      <c r="N207" s="1443" t="str">
        <f>IFERROR(VLOOKUP(M207,Mychart!A330:U936,2,FALSE),"-")</f>
        <v>-</v>
      </c>
      <c r="O207" s="693"/>
      <c r="P207" s="693"/>
      <c r="Q207" s="693"/>
    </row>
    <row r="208" spans="1:17">
      <c r="A208" s="682"/>
      <c r="B208" s="732"/>
      <c r="C208" s="682"/>
      <c r="D208" s="682"/>
      <c r="E208" s="682"/>
      <c r="F208" s="737"/>
      <c r="K208" s="696"/>
      <c r="L208" s="693"/>
      <c r="M208" s="693"/>
      <c r="N208" s="1443" t="str">
        <f>IFERROR(VLOOKUP(M208,Mychart!A331:U937,2,FALSE),"-")</f>
        <v>-</v>
      </c>
      <c r="O208" s="693"/>
      <c r="P208" s="693"/>
      <c r="Q208" s="693"/>
    </row>
    <row r="209" spans="1:17">
      <c r="A209" s="682"/>
      <c r="B209" s="732"/>
      <c r="C209" s="682"/>
      <c r="D209" s="682"/>
      <c r="E209" s="682"/>
      <c r="F209" s="737"/>
      <c r="K209" s="696"/>
      <c r="L209" s="693"/>
      <c r="M209" s="693"/>
      <c r="N209" s="1443" t="str">
        <f>IFERROR(VLOOKUP(M209,Mychart!A332:U938,2,FALSE),"-")</f>
        <v>-</v>
      </c>
      <c r="O209" s="693"/>
      <c r="P209" s="693"/>
      <c r="Q209" s="693"/>
    </row>
    <row r="210" spans="1:17">
      <c r="A210" s="682"/>
      <c r="B210" s="732"/>
      <c r="C210" s="682"/>
      <c r="D210" s="682"/>
      <c r="E210" s="682"/>
      <c r="F210" s="737"/>
      <c r="K210" s="696"/>
      <c r="L210" s="693"/>
      <c r="M210" s="693"/>
      <c r="N210" s="1443" t="str">
        <f>IFERROR(VLOOKUP(M210,Mychart!A333:U939,2,FALSE),"-")</f>
        <v>-</v>
      </c>
      <c r="O210" s="693"/>
      <c r="P210" s="693"/>
      <c r="Q210" s="693"/>
    </row>
    <row r="211" spans="1:17">
      <c r="A211" s="682"/>
      <c r="B211" s="732"/>
      <c r="C211" s="682"/>
      <c r="D211" s="682"/>
      <c r="E211" s="682"/>
      <c r="F211" s="737"/>
      <c r="K211" s="696"/>
      <c r="L211" s="693"/>
      <c r="M211" s="693"/>
      <c r="N211" s="1443" t="str">
        <f>IFERROR(VLOOKUP(M211,Mychart!A334:U940,2,FALSE),"-")</f>
        <v>-</v>
      </c>
      <c r="O211" s="693"/>
      <c r="P211" s="693"/>
      <c r="Q211" s="693"/>
    </row>
    <row r="212" spans="1:17">
      <c r="A212" s="682"/>
      <c r="B212" s="732"/>
      <c r="C212" s="682"/>
      <c r="D212" s="682"/>
      <c r="E212" s="682"/>
      <c r="F212" s="737"/>
      <c r="K212" s="696"/>
      <c r="L212" s="693"/>
      <c r="M212" s="693"/>
      <c r="N212" s="1443" t="str">
        <f>IFERROR(VLOOKUP(M212,Mychart!A335:U941,2,FALSE),"-")</f>
        <v>-</v>
      </c>
      <c r="O212" s="693"/>
      <c r="P212" s="693"/>
      <c r="Q212" s="693"/>
    </row>
    <row r="213" spans="1:17">
      <c r="A213" s="682"/>
      <c r="B213" s="732"/>
      <c r="C213" s="682"/>
      <c r="D213" s="682"/>
      <c r="E213" s="682"/>
      <c r="F213" s="737"/>
      <c r="K213" s="696"/>
      <c r="L213" s="693"/>
      <c r="M213" s="693"/>
      <c r="N213" s="1443" t="str">
        <f>IFERROR(VLOOKUP(M213,Mychart!A336:U942,2,FALSE),"-")</f>
        <v>-</v>
      </c>
      <c r="O213" s="693"/>
      <c r="P213" s="693"/>
      <c r="Q213" s="693"/>
    </row>
    <row r="214" spans="1:17">
      <c r="A214" s="682"/>
      <c r="B214" s="732"/>
      <c r="C214" s="682"/>
      <c r="D214" s="682"/>
      <c r="E214" s="682"/>
      <c r="F214" s="737"/>
      <c r="K214" s="696"/>
      <c r="L214" s="693"/>
      <c r="M214" s="693"/>
      <c r="N214" s="1443" t="str">
        <f>IFERROR(VLOOKUP(M214,Mychart!A337:U943,2,FALSE),"-")</f>
        <v>-</v>
      </c>
      <c r="O214" s="693"/>
      <c r="P214" s="693"/>
      <c r="Q214" s="693"/>
    </row>
    <row r="215" spans="1:17">
      <c r="A215" s="682"/>
      <c r="B215" s="732"/>
      <c r="C215" s="682"/>
      <c r="D215" s="682"/>
      <c r="E215" s="682"/>
      <c r="F215" s="737"/>
      <c r="K215" s="696"/>
      <c r="L215" s="693"/>
      <c r="M215" s="693"/>
      <c r="N215" s="1443" t="str">
        <f>IFERROR(VLOOKUP(M215,Mychart!A338:U944,2,FALSE),"-")</f>
        <v>-</v>
      </c>
      <c r="O215" s="693"/>
      <c r="P215" s="693"/>
      <c r="Q215" s="693"/>
    </row>
    <row r="216" spans="1:17">
      <c r="A216" s="682"/>
      <c r="B216" s="732"/>
      <c r="C216" s="682"/>
      <c r="D216" s="682"/>
      <c r="E216" s="682"/>
      <c r="F216" s="737"/>
      <c r="K216" s="692"/>
      <c r="L216" s="693"/>
      <c r="M216" s="693"/>
      <c r="N216" s="1443" t="str">
        <f>IFERROR(VLOOKUP(M216,Mychart!A339:U945,2,FALSE),"-")</f>
        <v>-</v>
      </c>
      <c r="O216" s="693"/>
      <c r="P216" s="693"/>
      <c r="Q216" s="693"/>
    </row>
    <row r="217" spans="1:17">
      <c r="A217" s="682"/>
      <c r="B217" s="732"/>
      <c r="C217" s="682"/>
      <c r="D217" s="682"/>
      <c r="E217" s="682"/>
      <c r="F217" s="737"/>
      <c r="K217" s="692"/>
      <c r="L217" s="693"/>
      <c r="M217" s="693"/>
      <c r="N217" s="1443" t="str">
        <f>IFERROR(VLOOKUP(M217,Mychart!A340:U946,2,FALSE),"-")</f>
        <v>-</v>
      </c>
      <c r="O217" s="693"/>
      <c r="P217" s="693"/>
      <c r="Q217" s="693"/>
    </row>
    <row r="218" spans="1:17">
      <c r="A218" s="682"/>
      <c r="B218" s="732"/>
      <c r="C218" s="682"/>
      <c r="D218" s="682"/>
      <c r="E218" s="682"/>
      <c r="F218" s="737"/>
      <c r="K218" s="692"/>
      <c r="L218" s="693"/>
      <c r="M218" s="693"/>
      <c r="N218" s="1443" t="str">
        <f>IFERROR(VLOOKUP(M218,Mychart!A341:U947,2,FALSE),"-")</f>
        <v>-</v>
      </c>
      <c r="O218" s="693"/>
      <c r="P218" s="693"/>
      <c r="Q218" s="693"/>
    </row>
    <row r="219" spans="1:17">
      <c r="A219" s="682"/>
      <c r="B219" s="732"/>
      <c r="C219" s="682"/>
      <c r="D219" s="682"/>
      <c r="E219" s="682"/>
      <c r="F219" s="737"/>
      <c r="K219" s="692"/>
      <c r="L219" s="693"/>
      <c r="M219" s="693"/>
      <c r="N219" s="1443" t="str">
        <f>IFERROR(VLOOKUP(M219,Mychart!A342:U948,2,FALSE),"-")</f>
        <v>-</v>
      </c>
      <c r="O219" s="693"/>
      <c r="P219" s="693"/>
      <c r="Q219" s="693"/>
    </row>
    <row r="220" spans="1:17">
      <c r="A220" s="682"/>
      <c r="B220" s="732"/>
      <c r="C220" s="682"/>
      <c r="D220" s="682"/>
      <c r="E220" s="682"/>
      <c r="F220" s="737"/>
      <c r="K220" s="692"/>
      <c r="L220" s="693"/>
      <c r="M220" s="693"/>
      <c r="N220" s="1443" t="str">
        <f>IFERROR(VLOOKUP(M220,Mychart!A343:U949,2,FALSE),"-")</f>
        <v>-</v>
      </c>
      <c r="O220" s="693"/>
      <c r="P220" s="693"/>
      <c r="Q220" s="693"/>
    </row>
    <row r="221" spans="1:17">
      <c r="A221" s="682"/>
      <c r="B221" s="732"/>
      <c r="C221" s="682"/>
      <c r="D221" s="682"/>
      <c r="E221" s="682"/>
      <c r="F221" s="737"/>
      <c r="K221" s="692"/>
      <c r="L221" s="693"/>
      <c r="M221" s="693"/>
      <c r="N221" s="1443" t="str">
        <f>IFERROR(VLOOKUP(M221,Mychart!A344:U950,2,FALSE),"-")</f>
        <v>-</v>
      </c>
      <c r="O221" s="693"/>
      <c r="P221" s="693"/>
      <c r="Q221" s="693"/>
    </row>
    <row r="222" spans="1:17">
      <c r="A222" s="682"/>
      <c r="B222" s="732"/>
      <c r="C222" s="682"/>
      <c r="D222" s="682"/>
      <c r="E222" s="682"/>
      <c r="F222" s="737"/>
      <c r="K222" s="692"/>
      <c r="L222" s="693"/>
      <c r="M222" s="693"/>
      <c r="N222" s="1443" t="str">
        <f>IFERROR(VLOOKUP(M222,Mychart!A345:U951,2,FALSE),"-")</f>
        <v>-</v>
      </c>
      <c r="O222" s="693"/>
      <c r="P222" s="693"/>
      <c r="Q222" s="693"/>
    </row>
    <row r="223" spans="1:17">
      <c r="A223" s="682"/>
      <c r="B223" s="732"/>
      <c r="C223" s="682"/>
      <c r="D223" s="682"/>
      <c r="E223" s="682"/>
      <c r="F223" s="737"/>
      <c r="K223" s="692"/>
      <c r="L223" s="693"/>
      <c r="M223" s="693"/>
      <c r="N223" s="1443" t="str">
        <f>IFERROR(VLOOKUP(M223,Mychart!A346:U952,2,FALSE),"-")</f>
        <v>-</v>
      </c>
      <c r="O223" s="693"/>
      <c r="P223" s="693"/>
      <c r="Q223" s="693"/>
    </row>
    <row r="224" spans="1:17">
      <c r="A224" s="682"/>
      <c r="B224" s="732"/>
      <c r="C224" s="682"/>
      <c r="D224" s="682"/>
      <c r="E224" s="682"/>
      <c r="F224" s="737"/>
      <c r="K224" s="692"/>
      <c r="L224" s="693"/>
      <c r="M224" s="693"/>
      <c r="N224" s="1443" t="str">
        <f>IFERROR(VLOOKUP(M224,Mychart!A347:U953,2,FALSE),"-")</f>
        <v>-</v>
      </c>
      <c r="O224" s="693"/>
      <c r="P224" s="693"/>
      <c r="Q224" s="693"/>
    </row>
    <row r="225" spans="1:17">
      <c r="A225" s="682"/>
      <c r="B225" s="732"/>
      <c r="C225" s="682"/>
      <c r="D225" s="682"/>
      <c r="E225" s="682"/>
      <c r="F225" s="737"/>
      <c r="K225" s="692"/>
      <c r="L225" s="693"/>
      <c r="M225" s="693"/>
      <c r="N225" s="1443" t="str">
        <f>IFERROR(VLOOKUP(M225,Mychart!A348:U954,2,FALSE),"-")</f>
        <v>-</v>
      </c>
      <c r="O225" s="693"/>
      <c r="P225" s="693"/>
      <c r="Q225" s="693"/>
    </row>
    <row r="226" spans="1:17">
      <c r="A226" s="682"/>
      <c r="B226" s="732"/>
      <c r="C226" s="682"/>
      <c r="D226" s="682"/>
      <c r="E226" s="682"/>
      <c r="F226" s="737"/>
      <c r="K226" s="692"/>
      <c r="L226" s="693"/>
      <c r="M226" s="693"/>
      <c r="N226" s="1443" t="str">
        <f>IFERROR(VLOOKUP(M226,Mychart!A349:U955,2,FALSE),"-")</f>
        <v>-</v>
      </c>
      <c r="O226" s="693"/>
      <c r="P226" s="693"/>
      <c r="Q226" s="693"/>
    </row>
    <row r="227" spans="1:17">
      <c r="A227" s="682"/>
      <c r="B227" s="732"/>
      <c r="C227" s="682"/>
      <c r="D227" s="682"/>
      <c r="E227" s="682"/>
      <c r="F227" s="737"/>
      <c r="K227" s="692"/>
      <c r="L227" s="693"/>
      <c r="M227" s="693"/>
      <c r="N227" s="1443" t="str">
        <f>IFERROR(VLOOKUP(M227,Mychart!A350:U956,2,FALSE),"-")</f>
        <v>-</v>
      </c>
      <c r="O227" s="693"/>
      <c r="P227" s="693"/>
      <c r="Q227" s="693"/>
    </row>
    <row r="228" spans="1:17">
      <c r="A228" s="682"/>
      <c r="B228" s="732"/>
      <c r="C228" s="682"/>
      <c r="D228" s="682"/>
      <c r="E228" s="682"/>
      <c r="F228" s="737"/>
      <c r="K228" s="692"/>
      <c r="L228" s="693"/>
      <c r="M228" s="693"/>
      <c r="N228" s="1443" t="str">
        <f>IFERROR(VLOOKUP(M228,Mychart!A351:U957,2,FALSE),"-")</f>
        <v>-</v>
      </c>
      <c r="O228" s="693"/>
      <c r="P228" s="693"/>
      <c r="Q228" s="693"/>
    </row>
    <row r="229" spans="1:17">
      <c r="A229" s="682"/>
      <c r="B229" s="732"/>
      <c r="C229" s="682"/>
      <c r="D229" s="682"/>
      <c r="E229" s="682"/>
      <c r="F229" s="737"/>
      <c r="K229" s="692"/>
      <c r="L229" s="693"/>
      <c r="M229" s="693"/>
      <c r="N229" s="1443" t="str">
        <f>IFERROR(VLOOKUP(M229,Mychart!A352:U958,2,FALSE),"-")</f>
        <v>-</v>
      </c>
      <c r="O229" s="693"/>
      <c r="P229" s="693"/>
      <c r="Q229" s="693"/>
    </row>
    <row r="230" spans="1:17">
      <c r="A230" s="682"/>
      <c r="B230" s="732"/>
      <c r="C230" s="682"/>
      <c r="D230" s="682"/>
      <c r="E230" s="682"/>
      <c r="F230" s="737"/>
      <c r="K230" s="692"/>
      <c r="L230" s="693"/>
      <c r="M230" s="693"/>
      <c r="N230" s="1443" t="str">
        <f>IFERROR(VLOOKUP(M230,Mychart!A353:U959,2,FALSE),"-")</f>
        <v>-</v>
      </c>
      <c r="O230" s="693"/>
      <c r="P230" s="693"/>
      <c r="Q230" s="693"/>
    </row>
    <row r="231" spans="1:17">
      <c r="A231" s="682"/>
      <c r="B231" s="732"/>
      <c r="C231" s="682"/>
      <c r="D231" s="682"/>
      <c r="E231" s="682"/>
      <c r="F231" s="737"/>
      <c r="K231" s="692"/>
      <c r="L231" s="693"/>
      <c r="M231" s="693"/>
      <c r="N231" s="1443" t="str">
        <f>IFERROR(VLOOKUP(M231,Mychart!A354:U960,2,FALSE),"-")</f>
        <v>-</v>
      </c>
      <c r="O231" s="693"/>
      <c r="P231" s="693"/>
      <c r="Q231" s="693"/>
    </row>
    <row r="232" spans="1:17">
      <c r="A232" s="682"/>
      <c r="B232" s="732"/>
      <c r="C232" s="682"/>
      <c r="D232" s="682"/>
      <c r="E232" s="682"/>
      <c r="F232" s="737"/>
      <c r="K232" s="692"/>
      <c r="L232" s="693"/>
      <c r="M232" s="693"/>
      <c r="N232" s="1443" t="str">
        <f>IFERROR(VLOOKUP(M232,Mychart!A355:U961,2,FALSE),"-")</f>
        <v>-</v>
      </c>
      <c r="O232" s="693"/>
      <c r="P232" s="693"/>
      <c r="Q232" s="693"/>
    </row>
    <row r="233" spans="1:17">
      <c r="A233" s="682"/>
      <c r="B233" s="732"/>
      <c r="C233" s="682"/>
      <c r="D233" s="682"/>
      <c r="E233" s="682"/>
      <c r="F233" s="737"/>
      <c r="K233" s="692"/>
      <c r="L233" s="693"/>
      <c r="M233" s="693"/>
      <c r="N233" s="1443" t="str">
        <f>IFERROR(VLOOKUP(M233,Mychart!A356:U962,2,FALSE),"-")</f>
        <v>-</v>
      </c>
      <c r="O233" s="693"/>
      <c r="P233" s="693"/>
      <c r="Q233" s="693"/>
    </row>
    <row r="234" spans="1:17">
      <c r="A234" s="682"/>
      <c r="B234" s="732"/>
      <c r="C234" s="682"/>
      <c r="D234" s="682"/>
      <c r="E234" s="682"/>
      <c r="F234" s="737"/>
      <c r="K234" s="692"/>
      <c r="L234" s="693"/>
      <c r="M234" s="693"/>
      <c r="N234" s="1443" t="str">
        <f>IFERROR(VLOOKUP(M234,Mychart!A357:U963,2,FALSE),"-")</f>
        <v>-</v>
      </c>
      <c r="O234" s="693"/>
      <c r="P234" s="693"/>
      <c r="Q234" s="693"/>
    </row>
    <row r="235" spans="1:17">
      <c r="A235" s="682"/>
      <c r="B235" s="732"/>
      <c r="C235" s="682"/>
      <c r="D235" s="682"/>
      <c r="E235" s="682"/>
      <c r="F235" s="737"/>
      <c r="K235" s="692"/>
      <c r="L235" s="693"/>
      <c r="M235" s="693"/>
      <c r="N235" s="1443" t="str">
        <f>IFERROR(VLOOKUP(M235,Mychart!A358:U964,2,FALSE),"-")</f>
        <v>-</v>
      </c>
      <c r="O235" s="693"/>
      <c r="P235" s="693"/>
      <c r="Q235" s="693"/>
    </row>
    <row r="236" spans="1:17">
      <c r="A236" s="682"/>
      <c r="B236" s="732"/>
      <c r="C236" s="682"/>
      <c r="D236" s="682"/>
      <c r="E236" s="682"/>
      <c r="F236" s="737"/>
      <c r="K236" s="689"/>
      <c r="L236" s="690"/>
      <c r="M236" s="690"/>
      <c r="N236" s="1443" t="str">
        <f>IFERROR(VLOOKUP(M236,Mychart!A359:U965,2,FALSE),"-")</f>
        <v>-</v>
      </c>
      <c r="O236" s="690"/>
      <c r="P236" s="690"/>
      <c r="Q236" s="690"/>
    </row>
    <row r="237" spans="1:17">
      <c r="A237" s="682"/>
      <c r="B237" s="732"/>
      <c r="C237" s="682"/>
      <c r="D237" s="682"/>
      <c r="E237" s="682"/>
      <c r="F237" s="737"/>
      <c r="K237" s="689"/>
      <c r="L237" s="690"/>
      <c r="M237" s="690"/>
      <c r="N237" s="1443" t="str">
        <f>IFERROR(VLOOKUP(M237,Mychart!A360:U966,2,FALSE),"-")</f>
        <v>-</v>
      </c>
      <c r="O237" s="690"/>
      <c r="P237" s="690"/>
      <c r="Q237" s="690"/>
    </row>
    <row r="238" spans="1:17">
      <c r="A238" s="682"/>
      <c r="B238" s="732"/>
      <c r="C238" s="682"/>
      <c r="D238" s="682"/>
      <c r="E238" s="682"/>
      <c r="F238" s="737"/>
      <c r="K238" s="689"/>
      <c r="L238" s="690"/>
      <c r="M238" s="690"/>
      <c r="N238" s="1443" t="str">
        <f>IFERROR(VLOOKUP(M238,Mychart!A361:U967,2,FALSE),"-")</f>
        <v>-</v>
      </c>
      <c r="O238" s="690"/>
      <c r="P238" s="690"/>
      <c r="Q238" s="690"/>
    </row>
    <row r="239" spans="1:17">
      <c r="A239" s="682"/>
      <c r="B239" s="732"/>
      <c r="C239" s="682"/>
      <c r="D239" s="682"/>
      <c r="E239" s="682"/>
      <c r="F239" s="737"/>
      <c r="K239" s="689"/>
      <c r="L239" s="690"/>
      <c r="M239" s="690"/>
      <c r="N239" s="1443" t="str">
        <f>IFERROR(VLOOKUP(M239,Mychart!A362:U968,2,FALSE),"-")</f>
        <v>-</v>
      </c>
      <c r="O239" s="690"/>
      <c r="P239" s="690"/>
      <c r="Q239" s="690"/>
    </row>
    <row r="240" spans="1:17">
      <c r="A240" s="682"/>
      <c r="B240" s="732"/>
      <c r="C240" s="682"/>
      <c r="D240" s="682"/>
      <c r="E240" s="682"/>
      <c r="F240" s="737"/>
      <c r="K240" s="689"/>
      <c r="L240" s="690"/>
      <c r="M240" s="690"/>
      <c r="N240" s="1443" t="str">
        <f>IFERROR(VLOOKUP(M240,Mychart!A363:U969,2,FALSE),"-")</f>
        <v>-</v>
      </c>
      <c r="O240" s="690"/>
      <c r="P240" s="690"/>
      <c r="Q240" s="690"/>
    </row>
    <row r="241" spans="1:17">
      <c r="A241" s="682"/>
      <c r="B241" s="732"/>
      <c r="C241" s="682"/>
      <c r="D241" s="682"/>
      <c r="E241" s="682"/>
      <c r="F241" s="737"/>
      <c r="K241" s="689"/>
      <c r="L241" s="690"/>
      <c r="M241" s="690"/>
      <c r="N241" s="1443" t="str">
        <f>IFERROR(VLOOKUP(M241,Mychart!A364:U970,2,FALSE),"-")</f>
        <v>-</v>
      </c>
      <c r="O241" s="690"/>
      <c r="P241" s="690"/>
      <c r="Q241" s="690"/>
    </row>
    <row r="242" spans="1:17">
      <c r="A242" s="682"/>
      <c r="B242" s="732"/>
      <c r="C242" s="682"/>
      <c r="D242" s="682"/>
      <c r="E242" s="682"/>
      <c r="F242" s="737"/>
      <c r="K242" s="689"/>
      <c r="L242" s="690"/>
      <c r="M242" s="690"/>
      <c r="N242" s="1443" t="str">
        <f>IFERROR(VLOOKUP(M242,Mychart!A365:U971,2,FALSE),"-")</f>
        <v>-</v>
      </c>
      <c r="O242" s="690"/>
      <c r="P242" s="690"/>
      <c r="Q242" s="690"/>
    </row>
    <row r="243" spans="1:17">
      <c r="A243" s="682"/>
      <c r="B243" s="732"/>
      <c r="C243" s="682"/>
      <c r="D243" s="682"/>
      <c r="E243" s="682"/>
      <c r="F243" s="737"/>
      <c r="K243" s="689"/>
      <c r="L243" s="690"/>
      <c r="M243" s="690"/>
      <c r="N243" s="1443" t="str">
        <f>IFERROR(VLOOKUP(M243,Mychart!A366:U972,2,FALSE),"-")</f>
        <v>-</v>
      </c>
      <c r="O243" s="690"/>
      <c r="P243" s="690"/>
      <c r="Q243" s="690"/>
    </row>
    <row r="244" spans="1:17">
      <c r="A244" s="682"/>
      <c r="B244" s="732"/>
      <c r="C244" s="682"/>
      <c r="D244" s="682"/>
      <c r="E244" s="682"/>
      <c r="F244" s="737"/>
      <c r="K244" s="689"/>
      <c r="L244" s="690"/>
      <c r="M244" s="690"/>
      <c r="N244" s="1443" t="str">
        <f>IFERROR(VLOOKUP(M244,Mychart!A367:U973,2,FALSE),"-")</f>
        <v>-</v>
      </c>
      <c r="O244" s="690"/>
      <c r="P244" s="690"/>
      <c r="Q244" s="690"/>
    </row>
    <row r="245" spans="1:17">
      <c r="A245" s="682"/>
      <c r="B245" s="732"/>
      <c r="C245" s="682"/>
      <c r="D245" s="682"/>
      <c r="E245" s="682"/>
      <c r="F245" s="737"/>
      <c r="K245" s="689"/>
      <c r="L245" s="690"/>
      <c r="M245" s="690"/>
      <c r="N245" s="1443" t="str">
        <f>IFERROR(VLOOKUP(M245,Mychart!A368:U974,2,FALSE),"-")</f>
        <v>-</v>
      </c>
      <c r="O245" s="690"/>
      <c r="P245" s="690"/>
      <c r="Q245" s="690"/>
    </row>
    <row r="246" spans="1:17">
      <c r="A246" s="682"/>
      <c r="B246" s="732"/>
      <c r="C246" s="682"/>
      <c r="D246" s="682"/>
      <c r="E246" s="682"/>
      <c r="F246" s="737"/>
      <c r="K246" s="689"/>
      <c r="L246" s="690"/>
      <c r="M246" s="690"/>
      <c r="N246" s="1443" t="str">
        <f>IFERROR(VLOOKUP(M246,Mychart!A369:U975,2,FALSE),"-")</f>
        <v>-</v>
      </c>
      <c r="O246" s="690"/>
      <c r="P246" s="690"/>
      <c r="Q246" s="690"/>
    </row>
    <row r="247" spans="1:17">
      <c r="A247" s="682"/>
      <c r="B247" s="732"/>
      <c r="C247" s="682"/>
      <c r="D247" s="682"/>
      <c r="E247" s="682"/>
      <c r="F247" s="737"/>
      <c r="K247" s="689"/>
      <c r="L247" s="690"/>
      <c r="M247" s="690"/>
      <c r="N247" s="1443" t="str">
        <f>IFERROR(VLOOKUP(M247,Mychart!A370:U976,2,FALSE),"-")</f>
        <v>-</v>
      </c>
      <c r="O247" s="690"/>
      <c r="P247" s="690"/>
      <c r="Q247" s="690"/>
    </row>
    <row r="248" spans="1:17">
      <c r="A248" s="682"/>
      <c r="B248" s="732"/>
      <c r="C248" s="682"/>
      <c r="D248" s="682"/>
      <c r="E248" s="682"/>
      <c r="F248" s="737"/>
      <c r="K248" s="689"/>
      <c r="L248" s="690"/>
      <c r="M248" s="690"/>
      <c r="N248" s="1443" t="str">
        <f>IFERROR(VLOOKUP(M248,Mychart!A371:U977,2,FALSE),"-")</f>
        <v>-</v>
      </c>
      <c r="O248" s="690"/>
      <c r="P248" s="690"/>
      <c r="Q248" s="690"/>
    </row>
    <row r="249" spans="1:17">
      <c r="A249" s="682"/>
      <c r="B249" s="732"/>
      <c r="C249" s="682"/>
      <c r="D249" s="682"/>
      <c r="E249" s="682"/>
      <c r="F249" s="737"/>
      <c r="K249" s="689"/>
      <c r="L249" s="690"/>
      <c r="M249" s="690"/>
      <c r="N249" s="1443" t="str">
        <f>IFERROR(VLOOKUP(M249,Mychart!A372:U978,2,FALSE),"-")</f>
        <v>-</v>
      </c>
      <c r="O249" s="690"/>
      <c r="P249" s="690"/>
      <c r="Q249" s="690"/>
    </row>
    <row r="250" spans="1:17">
      <c r="A250" s="682"/>
      <c r="B250" s="732"/>
      <c r="C250" s="682"/>
      <c r="D250" s="682"/>
      <c r="E250" s="682"/>
      <c r="F250" s="737"/>
      <c r="K250" s="689"/>
      <c r="L250" s="690"/>
      <c r="M250" s="690"/>
      <c r="N250" s="1443" t="str">
        <f>IFERROR(VLOOKUP(M250,Mychart!A373:U979,2,FALSE),"-")</f>
        <v>-</v>
      </c>
      <c r="O250" s="690"/>
      <c r="P250" s="690"/>
      <c r="Q250" s="690"/>
    </row>
    <row r="251" spans="1:17">
      <c r="A251" s="682"/>
      <c r="B251" s="732"/>
      <c r="C251" s="682"/>
      <c r="D251" s="682"/>
      <c r="E251" s="682"/>
      <c r="F251" s="737"/>
      <c r="K251" s="689"/>
      <c r="L251" s="690"/>
      <c r="M251" s="690"/>
      <c r="N251" s="1443" t="str">
        <f>IFERROR(VLOOKUP(M251,Mychart!A374:U980,2,FALSE),"-")</f>
        <v>-</v>
      </c>
      <c r="O251" s="690"/>
      <c r="P251" s="690"/>
      <c r="Q251" s="690"/>
    </row>
    <row r="252" spans="1:17">
      <c r="A252" s="682"/>
      <c r="B252" s="732"/>
      <c r="C252" s="682"/>
      <c r="D252" s="682"/>
      <c r="E252" s="682"/>
      <c r="F252" s="737"/>
      <c r="K252" s="689"/>
      <c r="L252" s="690"/>
      <c r="M252" s="690"/>
      <c r="N252" s="1443" t="str">
        <f>IFERROR(VLOOKUP(M252,Mychart!A375:U981,2,FALSE),"-")</f>
        <v>-</v>
      </c>
      <c r="O252" s="690"/>
      <c r="P252" s="690"/>
      <c r="Q252" s="690"/>
    </row>
    <row r="253" spans="1:17">
      <c r="A253" s="682"/>
      <c r="B253" s="732"/>
      <c r="C253" s="682"/>
      <c r="D253" s="682"/>
      <c r="E253" s="682"/>
      <c r="F253" s="737"/>
      <c r="K253" s="689"/>
      <c r="L253" s="690"/>
      <c r="M253" s="690"/>
      <c r="N253" s="1443" t="str">
        <f>IFERROR(VLOOKUP(M253,Mychart!A376:U982,2,FALSE),"-")</f>
        <v>-</v>
      </c>
      <c r="O253" s="690"/>
      <c r="P253" s="690"/>
      <c r="Q253" s="690"/>
    </row>
    <row r="254" spans="1:17">
      <c r="A254" s="682"/>
      <c r="B254" s="732"/>
      <c r="C254" s="682"/>
      <c r="D254" s="682"/>
      <c r="E254" s="682"/>
      <c r="F254" s="737"/>
      <c r="K254" s="689"/>
      <c r="L254" s="690"/>
      <c r="M254" s="690"/>
      <c r="N254" s="1443" t="str">
        <f>IFERROR(VLOOKUP(M254,Mychart!A377:U983,2,FALSE),"-")</f>
        <v>-</v>
      </c>
      <c r="O254" s="690"/>
      <c r="P254" s="690"/>
      <c r="Q254" s="690"/>
    </row>
    <row r="255" spans="1:17">
      <c r="A255" s="682"/>
      <c r="B255" s="732"/>
      <c r="C255" s="682"/>
      <c r="D255" s="682"/>
      <c r="E255" s="682"/>
      <c r="F255" s="737"/>
      <c r="K255" s="689"/>
      <c r="L255" s="690"/>
      <c r="M255" s="690"/>
      <c r="N255" s="1443" t="str">
        <f>IFERROR(VLOOKUP(M255,Mychart!A378:U984,2,FALSE),"-")</f>
        <v>-</v>
      </c>
      <c r="O255" s="690"/>
      <c r="P255" s="690"/>
      <c r="Q255" s="690"/>
    </row>
    <row r="256" spans="1:17">
      <c r="A256" s="682"/>
      <c r="B256" s="732"/>
      <c r="C256" s="682"/>
      <c r="D256" s="682"/>
      <c r="E256" s="682"/>
      <c r="F256" s="737"/>
      <c r="K256" s="689"/>
      <c r="L256" s="690"/>
      <c r="M256" s="690"/>
      <c r="N256" s="1443" t="str">
        <f>IFERROR(VLOOKUP(M256,Mychart!A379:U985,2,FALSE),"-")</f>
        <v>-</v>
      </c>
      <c r="O256" s="690"/>
      <c r="P256" s="690"/>
      <c r="Q256" s="690"/>
    </row>
    <row r="257" spans="1:17">
      <c r="A257" s="682"/>
      <c r="B257" s="732"/>
      <c r="C257" s="682"/>
      <c r="D257" s="682"/>
      <c r="E257" s="682"/>
      <c r="F257" s="737"/>
      <c r="K257" s="689"/>
      <c r="L257" s="690"/>
      <c r="M257" s="690"/>
      <c r="N257" s="1443" t="str">
        <f>IFERROR(VLOOKUP(M257,Mychart!A380:U986,2,FALSE),"-")</f>
        <v>-</v>
      </c>
      <c r="O257" s="690"/>
      <c r="P257" s="690"/>
      <c r="Q257" s="690"/>
    </row>
    <row r="258" spans="1:17">
      <c r="A258" s="682"/>
      <c r="B258" s="732"/>
      <c r="C258" s="682"/>
      <c r="D258" s="682"/>
      <c r="E258" s="682"/>
      <c r="F258" s="737"/>
      <c r="K258" s="689"/>
      <c r="L258" s="690"/>
      <c r="M258" s="690"/>
      <c r="N258" s="1443" t="str">
        <f>IFERROR(VLOOKUP(M258,Mychart!A381:U987,2,FALSE),"-")</f>
        <v>-</v>
      </c>
      <c r="O258" s="690"/>
      <c r="P258" s="690"/>
      <c r="Q258" s="690"/>
    </row>
    <row r="259" spans="1:17">
      <c r="A259" s="682"/>
      <c r="B259" s="732"/>
      <c r="C259" s="682"/>
      <c r="D259" s="682"/>
      <c r="E259" s="682"/>
      <c r="F259" s="737"/>
      <c r="K259" s="689"/>
      <c r="L259" s="690"/>
      <c r="M259" s="690"/>
      <c r="N259" s="1443" t="str">
        <f>IFERROR(VLOOKUP(M259,Mychart!A382:U988,2,FALSE),"-")</f>
        <v>-</v>
      </c>
      <c r="O259" s="690"/>
      <c r="P259" s="690"/>
      <c r="Q259" s="690"/>
    </row>
    <row r="260" spans="1:17">
      <c r="A260" s="682"/>
      <c r="B260" s="732"/>
      <c r="C260" s="682"/>
      <c r="D260" s="682"/>
      <c r="E260" s="682"/>
      <c r="F260" s="737"/>
      <c r="K260" s="689"/>
      <c r="L260" s="690"/>
      <c r="M260" s="690"/>
      <c r="N260" s="1443" t="str">
        <f>IFERROR(VLOOKUP(M260,Mychart!A383:U989,2,FALSE),"-")</f>
        <v>-</v>
      </c>
      <c r="O260" s="690"/>
      <c r="P260" s="690"/>
      <c r="Q260" s="690"/>
    </row>
    <row r="261" spans="1:17">
      <c r="A261" s="682"/>
      <c r="B261" s="732"/>
      <c r="C261" s="682"/>
      <c r="D261" s="682"/>
      <c r="E261" s="682"/>
      <c r="F261" s="737"/>
      <c r="K261" s="689"/>
      <c r="L261" s="690"/>
      <c r="M261" s="690"/>
      <c r="N261" s="1443" t="str">
        <f>IFERROR(VLOOKUP(M261,Mychart!A384:U990,2,FALSE),"-")</f>
        <v>-</v>
      </c>
      <c r="O261" s="690"/>
      <c r="P261" s="690"/>
      <c r="Q261" s="690"/>
    </row>
    <row r="262" spans="1:17">
      <c r="A262" s="682"/>
      <c r="B262" s="732"/>
      <c r="C262" s="682"/>
      <c r="D262" s="682"/>
      <c r="E262" s="682"/>
      <c r="F262" s="737"/>
      <c r="K262" s="689"/>
      <c r="L262" s="690"/>
      <c r="M262" s="690"/>
      <c r="N262" s="1443" t="str">
        <f>IFERROR(VLOOKUP(M262,Mychart!A385:U991,2,FALSE),"-")</f>
        <v>-</v>
      </c>
      <c r="O262" s="690"/>
      <c r="P262" s="690"/>
      <c r="Q262" s="690"/>
    </row>
    <row r="263" spans="1:17">
      <c r="A263" s="682"/>
      <c r="B263" s="732"/>
      <c r="C263" s="682"/>
      <c r="D263" s="682"/>
      <c r="E263" s="682"/>
      <c r="F263" s="737"/>
      <c r="K263" s="689"/>
      <c r="L263" s="690"/>
      <c r="M263" s="690"/>
      <c r="N263" s="1443" t="str">
        <f>IFERROR(VLOOKUP(M263,Mychart!A386:U992,2,FALSE),"-")</f>
        <v>-</v>
      </c>
      <c r="O263" s="690"/>
      <c r="P263" s="690"/>
      <c r="Q263" s="690"/>
    </row>
    <row r="264" spans="1:17">
      <c r="K264" s="689"/>
      <c r="L264" s="690"/>
      <c r="M264" s="690"/>
      <c r="N264" s="1443" t="str">
        <f>IFERROR(VLOOKUP(M264,Mychart!A387:U993,2,FALSE),"-")</f>
        <v>-</v>
      </c>
      <c r="O264" s="690"/>
      <c r="P264" s="690"/>
      <c r="Q264" s="690"/>
    </row>
    <row r="265" spans="1:17">
      <c r="K265" s="689"/>
      <c r="L265" s="690"/>
      <c r="M265" s="690"/>
      <c r="N265" s="1443" t="str">
        <f>IFERROR(VLOOKUP(M265,Mychart!A388:U994,2,FALSE),"-")</f>
        <v>-</v>
      </c>
      <c r="O265" s="690"/>
      <c r="P265" s="690"/>
      <c r="Q265" s="690"/>
    </row>
    <row r="266" spans="1:17">
      <c r="K266" s="689"/>
      <c r="L266" s="690"/>
      <c r="M266" s="690"/>
      <c r="N266" s="1443" t="str">
        <f>IFERROR(VLOOKUP(M266,Mychart!A389:U995,2,FALSE),"-")</f>
        <v>-</v>
      </c>
      <c r="O266" s="690"/>
      <c r="P266" s="690"/>
      <c r="Q266" s="690"/>
    </row>
    <row r="267" spans="1:17">
      <c r="K267" s="689"/>
      <c r="L267" s="690"/>
      <c r="M267" s="690"/>
      <c r="N267" s="1443" t="str">
        <f>IFERROR(VLOOKUP(M267,Mychart!A390:U996,2,FALSE),"-")</f>
        <v>-</v>
      </c>
      <c r="O267" s="690"/>
      <c r="P267" s="690"/>
      <c r="Q267" s="690"/>
    </row>
    <row r="268" spans="1:17">
      <c r="K268" s="689"/>
      <c r="L268" s="690"/>
      <c r="M268" s="690"/>
      <c r="N268" s="1443" t="str">
        <f>IFERROR(VLOOKUP(M268,Mychart!A391:U997,2,FALSE),"-")</f>
        <v>-</v>
      </c>
      <c r="O268" s="690"/>
      <c r="P268" s="690"/>
      <c r="Q268" s="690"/>
    </row>
    <row r="269" spans="1:17">
      <c r="K269" s="689"/>
      <c r="L269" s="690"/>
      <c r="M269" s="690"/>
      <c r="N269" s="1443" t="str">
        <f>IFERROR(VLOOKUP(M269,Mychart!A392:U998,2,FALSE),"-")</f>
        <v>-</v>
      </c>
      <c r="O269" s="690"/>
      <c r="P269" s="690"/>
      <c r="Q269" s="690"/>
    </row>
    <row r="270" spans="1:17">
      <c r="K270" s="689"/>
      <c r="L270" s="690"/>
      <c r="M270" s="690"/>
      <c r="N270" s="1443" t="str">
        <f>IFERROR(VLOOKUP(M270,Mychart!A393:U999,2,FALSE),"-")</f>
        <v>-</v>
      </c>
      <c r="O270" s="690"/>
      <c r="P270" s="690"/>
      <c r="Q270" s="690"/>
    </row>
    <row r="271" spans="1:17">
      <c r="K271" s="689"/>
      <c r="L271" s="690"/>
      <c r="M271" s="690"/>
      <c r="N271" s="1443" t="str">
        <f>IFERROR(VLOOKUP(M271,Mychart!A394:U1000,2,FALSE),"-")</f>
        <v>-</v>
      </c>
      <c r="O271" s="690"/>
      <c r="P271" s="690"/>
      <c r="Q271" s="690"/>
    </row>
    <row r="272" spans="1:17">
      <c r="K272" s="689"/>
      <c r="L272" s="690"/>
      <c r="M272" s="690"/>
      <c r="N272" s="1443" t="str">
        <f>IFERROR(VLOOKUP(M272,Mychart!A395:U1001,2,FALSE),"-")</f>
        <v>-</v>
      </c>
      <c r="O272" s="690"/>
      <c r="P272" s="690"/>
      <c r="Q272" s="690"/>
    </row>
    <row r="273" spans="11:17">
      <c r="K273" s="689"/>
      <c r="L273" s="690"/>
      <c r="M273" s="690"/>
      <c r="N273" s="1443" t="str">
        <f>IFERROR(VLOOKUP(M273,Mychart!A396:U1002,2,FALSE),"-")</f>
        <v>-</v>
      </c>
      <c r="O273" s="690"/>
      <c r="P273" s="690"/>
      <c r="Q273" s="690"/>
    </row>
    <row r="274" spans="11:17">
      <c r="K274" s="689"/>
      <c r="L274" s="690"/>
      <c r="M274" s="690"/>
      <c r="N274" s="1443" t="str">
        <f>IFERROR(VLOOKUP(M274,Mychart!A415:U1003,2,FALSE),"-")</f>
        <v>-</v>
      </c>
      <c r="O274" s="690"/>
      <c r="P274" s="690"/>
      <c r="Q274" s="690"/>
    </row>
    <row r="275" spans="11:17">
      <c r="K275" s="689"/>
      <c r="L275" s="690"/>
      <c r="M275" s="690"/>
      <c r="N275" s="1443" t="str">
        <f>IFERROR(VLOOKUP(M275,Mychart!A416:U1004,2,FALSE),"-")</f>
        <v>-</v>
      </c>
      <c r="O275" s="690"/>
      <c r="P275" s="690"/>
      <c r="Q275" s="690"/>
    </row>
    <row r="276" spans="11:17">
      <c r="K276" s="689"/>
      <c r="L276" s="690"/>
      <c r="M276" s="690"/>
      <c r="N276" s="1443" t="str">
        <f>IFERROR(VLOOKUP(M276,Mychart!A417:U1005,2,FALSE),"-")</f>
        <v>-</v>
      </c>
      <c r="O276" s="690"/>
      <c r="P276" s="690"/>
      <c r="Q276" s="690"/>
    </row>
    <row r="277" spans="11:17">
      <c r="K277" s="689"/>
      <c r="L277" s="690"/>
      <c r="M277" s="690"/>
      <c r="N277" s="1443" t="str">
        <f>IFERROR(VLOOKUP(M277,Mychart!A418:U1006,2,FALSE),"-")</f>
        <v>-</v>
      </c>
      <c r="O277" s="690"/>
      <c r="P277" s="690"/>
      <c r="Q277" s="690"/>
    </row>
    <row r="278" spans="11:17">
      <c r="K278" s="689"/>
      <c r="L278" s="690"/>
      <c r="M278" s="690"/>
      <c r="N278" s="1443" t="str">
        <f>IFERROR(VLOOKUP(M278,Mychart!A419:U1007,2,FALSE),"-")</f>
        <v>-</v>
      </c>
      <c r="O278" s="690"/>
      <c r="P278" s="690"/>
      <c r="Q278" s="690"/>
    </row>
    <row r="279" spans="11:17">
      <c r="K279" s="689"/>
      <c r="L279" s="690"/>
      <c r="M279" s="690"/>
      <c r="N279" s="1443" t="str">
        <f>IFERROR(VLOOKUP(M279,Mychart!A420:U1008,2,FALSE),"-")</f>
        <v>-</v>
      </c>
      <c r="O279" s="690"/>
      <c r="P279" s="690"/>
      <c r="Q279" s="690"/>
    </row>
    <row r="280" spans="11:17">
      <c r="K280" s="689"/>
      <c r="L280" s="690"/>
      <c r="M280" s="690"/>
      <c r="N280" s="1443" t="str">
        <f>IFERROR(VLOOKUP(M280,Mychart!A421:U1009,2,FALSE),"-")</f>
        <v>-</v>
      </c>
      <c r="O280" s="690"/>
      <c r="P280" s="690"/>
      <c r="Q280" s="690"/>
    </row>
    <row r="281" spans="11:17">
      <c r="K281" s="689"/>
      <c r="L281" s="690"/>
      <c r="M281" s="690"/>
      <c r="N281" s="1443" t="str">
        <f>IFERROR(VLOOKUP(M281,Mychart!A422:U1010,2,FALSE),"-")</f>
        <v>-</v>
      </c>
      <c r="O281" s="690"/>
      <c r="P281" s="690"/>
      <c r="Q281" s="690"/>
    </row>
    <row r="282" spans="11:17">
      <c r="K282" s="689"/>
      <c r="L282" s="690"/>
      <c r="M282" s="690"/>
      <c r="N282" s="1443" t="str">
        <f>IFERROR(VLOOKUP(M282,Mychart!A423:U1011,2,FALSE),"-")</f>
        <v>-</v>
      </c>
      <c r="O282" s="690"/>
      <c r="P282" s="690"/>
      <c r="Q282" s="690"/>
    </row>
    <row r="283" spans="11:17">
      <c r="K283" s="689"/>
      <c r="L283" s="690"/>
      <c r="M283" s="690"/>
      <c r="N283" s="1443" t="str">
        <f>IFERROR(VLOOKUP(M283,Mychart!A424:U1012,2,FALSE),"-")</f>
        <v>-</v>
      </c>
      <c r="O283" s="690"/>
      <c r="P283" s="690"/>
      <c r="Q283" s="690"/>
    </row>
    <row r="284" spans="11:17">
      <c r="K284" s="689"/>
      <c r="L284" s="690"/>
      <c r="M284" s="690"/>
      <c r="N284" s="1443" t="str">
        <f>IFERROR(VLOOKUP(M284,Mychart!A425:U1013,2,FALSE),"-")</f>
        <v>-</v>
      </c>
      <c r="O284" s="690"/>
      <c r="P284" s="690"/>
      <c r="Q284" s="690"/>
    </row>
    <row r="285" spans="11:17">
      <c r="K285" s="689"/>
      <c r="L285" s="690"/>
      <c r="M285" s="690"/>
      <c r="N285" s="1443" t="str">
        <f>IFERROR(VLOOKUP(M285,Mychart!A426:U1014,2,FALSE),"-")</f>
        <v>-</v>
      </c>
      <c r="O285" s="690"/>
      <c r="P285" s="690"/>
      <c r="Q285" s="690"/>
    </row>
    <row r="286" spans="11:17">
      <c r="K286" s="689"/>
      <c r="L286" s="690"/>
      <c r="M286" s="690"/>
      <c r="N286" s="1443" t="str">
        <f>IFERROR(VLOOKUP(M286,Mychart!A427:U1015,2,FALSE),"-")</f>
        <v>-</v>
      </c>
      <c r="O286" s="690"/>
      <c r="P286" s="690"/>
      <c r="Q286" s="690"/>
    </row>
    <row r="287" spans="11:17">
      <c r="K287" s="689"/>
      <c r="L287" s="690"/>
      <c r="M287" s="690"/>
      <c r="N287" s="1443" t="str">
        <f>IFERROR(VLOOKUP(M287,Mychart!A428:U1016,2,FALSE),"-")</f>
        <v>-</v>
      </c>
      <c r="O287" s="690"/>
      <c r="P287" s="690"/>
      <c r="Q287" s="690"/>
    </row>
    <row r="288" spans="11:17">
      <c r="K288" s="689"/>
      <c r="L288" s="690"/>
      <c r="M288" s="690"/>
      <c r="N288" s="1443" t="str">
        <f>IFERROR(VLOOKUP(M288,Mychart!A429:U1017,2,FALSE),"-")</f>
        <v>-</v>
      </c>
      <c r="O288" s="690"/>
      <c r="P288" s="690"/>
      <c r="Q288" s="690"/>
    </row>
    <row r="289" spans="11:17">
      <c r="K289" s="689"/>
      <c r="L289" s="690"/>
      <c r="M289" s="690"/>
      <c r="N289" s="1443" t="str">
        <f>IFERROR(VLOOKUP(M289,Mychart!A430:U1018,2,FALSE),"-")</f>
        <v>-</v>
      </c>
      <c r="O289" s="690"/>
      <c r="P289" s="690"/>
      <c r="Q289" s="690"/>
    </row>
    <row r="290" spans="11:17">
      <c r="K290" s="689"/>
      <c r="L290" s="690"/>
      <c r="M290" s="690"/>
      <c r="N290" s="1443" t="str">
        <f>IFERROR(VLOOKUP(M290,Mychart!A431:U1019,2,FALSE),"-")</f>
        <v>-</v>
      </c>
      <c r="O290" s="690"/>
      <c r="P290" s="690"/>
      <c r="Q290" s="690"/>
    </row>
    <row r="291" spans="11:17">
      <c r="K291" s="689"/>
      <c r="L291" s="690"/>
      <c r="M291" s="690"/>
      <c r="N291" s="1443" t="str">
        <f>IFERROR(VLOOKUP(M291,Mychart!A432:U1020,2,FALSE),"-")</f>
        <v>-</v>
      </c>
      <c r="O291" s="690"/>
      <c r="P291" s="690"/>
      <c r="Q291" s="690"/>
    </row>
    <row r="292" spans="11:17">
      <c r="K292" s="689"/>
      <c r="L292" s="690"/>
      <c r="M292" s="690"/>
      <c r="N292" s="1443" t="str">
        <f>IFERROR(VLOOKUP(M292,Mychart!A433:U1021,2,FALSE),"-")</f>
        <v>-</v>
      </c>
      <c r="O292" s="690"/>
      <c r="P292" s="690"/>
      <c r="Q292" s="690"/>
    </row>
    <row r="293" spans="11:17">
      <c r="K293" s="689"/>
      <c r="L293" s="690"/>
      <c r="M293" s="690"/>
      <c r="N293" s="1443" t="str">
        <f>IFERROR(VLOOKUP(M293,Mychart!A434:U1022,2,FALSE),"-")</f>
        <v>-</v>
      </c>
      <c r="O293" s="690"/>
      <c r="P293" s="690"/>
      <c r="Q293" s="690"/>
    </row>
    <row r="294" spans="11:17">
      <c r="K294" s="689"/>
      <c r="L294" s="690"/>
      <c r="M294" s="690"/>
      <c r="N294" s="1443" t="str">
        <f>IFERROR(VLOOKUP(M294,Mychart!A435:U1023,2,FALSE),"-")</f>
        <v>-</v>
      </c>
      <c r="O294" s="690"/>
      <c r="P294" s="690"/>
      <c r="Q294" s="690"/>
    </row>
    <row r="295" spans="11:17">
      <c r="K295" s="689"/>
      <c r="L295" s="690"/>
      <c r="M295" s="690"/>
      <c r="N295" s="1443" t="str">
        <f>IFERROR(VLOOKUP(M295,Mychart!A436:U1024,2,FALSE),"-")</f>
        <v>-</v>
      </c>
      <c r="O295" s="690"/>
      <c r="P295" s="690"/>
      <c r="Q295" s="690"/>
    </row>
    <row r="296" spans="11:17">
      <c r="K296" s="689"/>
      <c r="L296" s="690"/>
      <c r="M296" s="690"/>
      <c r="N296" s="1443" t="str">
        <f>IFERROR(VLOOKUP(M296,Mychart!A437:U1025,2,FALSE),"-")</f>
        <v>-</v>
      </c>
      <c r="O296" s="690"/>
      <c r="P296" s="690"/>
      <c r="Q296" s="690"/>
    </row>
    <row r="297" spans="11:17">
      <c r="K297" s="689"/>
      <c r="L297" s="690"/>
      <c r="M297" s="690"/>
      <c r="N297" s="1443" t="str">
        <f>IFERROR(VLOOKUP(M297,Mychart!A438:U1026,2,FALSE),"-")</f>
        <v>-</v>
      </c>
      <c r="O297" s="690"/>
      <c r="P297" s="690"/>
      <c r="Q297" s="690"/>
    </row>
    <row r="298" spans="11:17">
      <c r="K298" s="689"/>
      <c r="L298" s="690"/>
      <c r="M298" s="690"/>
      <c r="N298" s="1443" t="str">
        <f>IFERROR(VLOOKUP(M298,Mychart!A439:U1027,2,FALSE),"-")</f>
        <v>-</v>
      </c>
      <c r="O298" s="690"/>
      <c r="P298" s="690"/>
      <c r="Q298" s="690"/>
    </row>
    <row r="299" spans="11:17">
      <c r="K299" s="689"/>
      <c r="L299" s="690"/>
      <c r="M299" s="690"/>
      <c r="N299" s="1443" t="str">
        <f>IFERROR(VLOOKUP(M299,Mychart!A440:U1028,2,FALSE),"-")</f>
        <v>-</v>
      </c>
      <c r="O299" s="690"/>
      <c r="P299" s="690"/>
      <c r="Q299" s="690"/>
    </row>
    <row r="300" spans="11:17">
      <c r="K300" s="689"/>
      <c r="L300" s="690"/>
      <c r="M300" s="690"/>
      <c r="N300" s="1443" t="str">
        <f>IFERROR(VLOOKUP(M300,Mychart!A441:U1029,2,FALSE),"-")</f>
        <v>-</v>
      </c>
      <c r="O300" s="690"/>
      <c r="P300" s="690"/>
      <c r="Q300" s="690"/>
    </row>
    <row r="301" spans="11:17">
      <c r="K301" s="689"/>
      <c r="L301" s="690"/>
      <c r="M301" s="690"/>
      <c r="N301" s="1443" t="str">
        <f>IFERROR(VLOOKUP(M301,Mychart!A442:U1030,2,FALSE),"-")</f>
        <v>-</v>
      </c>
      <c r="O301" s="690"/>
      <c r="P301" s="690"/>
      <c r="Q301" s="690"/>
    </row>
    <row r="302" spans="11:17">
      <c r="K302" s="689"/>
      <c r="L302" s="690"/>
      <c r="M302" s="690"/>
      <c r="N302" s="1443" t="str">
        <f>IFERROR(VLOOKUP(M302,Mychart!A443:U1031,2,FALSE),"-")</f>
        <v>-</v>
      </c>
      <c r="O302" s="690"/>
      <c r="P302" s="690"/>
      <c r="Q302" s="690"/>
    </row>
    <row r="303" spans="11:17">
      <c r="K303" s="689"/>
      <c r="L303" s="690"/>
      <c r="M303" s="690"/>
      <c r="N303" s="1443" t="str">
        <f>IFERROR(VLOOKUP(M303,Mychart!A444:U1032,2,FALSE),"-")</f>
        <v>-</v>
      </c>
      <c r="O303" s="690"/>
      <c r="P303" s="690"/>
      <c r="Q303" s="690"/>
    </row>
    <row r="304" spans="11:17">
      <c r="K304" s="689"/>
      <c r="L304" s="690"/>
      <c r="M304" s="690"/>
      <c r="N304" s="1443" t="str">
        <f>IFERROR(VLOOKUP(M304,Mychart!A445:U1033,2,FALSE),"-")</f>
        <v>-</v>
      </c>
      <c r="O304" s="690"/>
      <c r="P304" s="690"/>
      <c r="Q304" s="690"/>
    </row>
    <row r="305" spans="11:17">
      <c r="K305" s="689"/>
      <c r="L305" s="690"/>
      <c r="M305" s="690"/>
      <c r="N305" s="1443" t="str">
        <f>IFERROR(VLOOKUP(M305,Mychart!A446:U1034,2,FALSE),"-")</f>
        <v>-</v>
      </c>
      <c r="O305" s="690"/>
      <c r="P305" s="690"/>
      <c r="Q305" s="690"/>
    </row>
    <row r="306" spans="11:17">
      <c r="K306" s="689"/>
      <c r="L306" s="690"/>
      <c r="M306" s="690"/>
      <c r="N306" s="1443" t="str">
        <f>IFERROR(VLOOKUP(M306,Mychart!A447:U1035,2,FALSE),"-")</f>
        <v>-</v>
      </c>
      <c r="O306" s="690"/>
      <c r="P306" s="690"/>
      <c r="Q306" s="690"/>
    </row>
    <row r="307" spans="11:17">
      <c r="K307" s="689"/>
      <c r="L307" s="690"/>
      <c r="M307" s="690"/>
      <c r="N307" s="1443" t="str">
        <f>IFERROR(VLOOKUP(M307,Mychart!A448:U1036,2,FALSE),"-")</f>
        <v>-</v>
      </c>
      <c r="O307" s="690"/>
      <c r="P307" s="690"/>
      <c r="Q307" s="690"/>
    </row>
    <row r="308" spans="11:17">
      <c r="K308" s="689"/>
      <c r="L308" s="690"/>
      <c r="M308" s="690"/>
      <c r="N308" s="1443" t="str">
        <f>IFERROR(VLOOKUP(M308,Mychart!A449:U1037,2,FALSE),"-")</f>
        <v>-</v>
      </c>
      <c r="O308" s="690"/>
      <c r="P308" s="690"/>
      <c r="Q308" s="690"/>
    </row>
    <row r="309" spans="11:17">
      <c r="K309" s="689"/>
      <c r="L309" s="690"/>
      <c r="M309" s="690"/>
      <c r="N309" s="1443" t="str">
        <f>IFERROR(VLOOKUP(M309,Mychart!A450:U1038,2,FALSE),"-")</f>
        <v>-</v>
      </c>
      <c r="O309" s="690"/>
      <c r="P309" s="690"/>
      <c r="Q309" s="690"/>
    </row>
    <row r="310" spans="11:17">
      <c r="K310" s="689"/>
      <c r="L310" s="690"/>
      <c r="M310" s="690"/>
      <c r="N310" s="1443" t="str">
        <f>IFERROR(VLOOKUP(M310,Mychart!A451:U1039,2,FALSE),"-")</f>
        <v>-</v>
      </c>
      <c r="O310" s="690"/>
      <c r="P310" s="690"/>
      <c r="Q310" s="690"/>
    </row>
    <row r="311" spans="11:17">
      <c r="K311" s="689"/>
      <c r="L311" s="690"/>
      <c r="M311" s="690"/>
      <c r="N311" s="1443" t="str">
        <f>IFERROR(VLOOKUP(M311,Mychart!A452:U1040,2,FALSE),"-")</f>
        <v>-</v>
      </c>
      <c r="O311" s="690"/>
      <c r="P311" s="690"/>
      <c r="Q311" s="690"/>
    </row>
    <row r="312" spans="11:17">
      <c r="K312" s="689"/>
      <c r="L312" s="690"/>
      <c r="M312" s="690"/>
      <c r="N312" s="1443" t="str">
        <f>IFERROR(VLOOKUP(M312,Mychart!A453:U1041,2,FALSE),"-")</f>
        <v>-</v>
      </c>
      <c r="O312" s="690"/>
      <c r="P312" s="690"/>
      <c r="Q312" s="690"/>
    </row>
    <row r="313" spans="11:17">
      <c r="K313" s="689"/>
      <c r="L313" s="690"/>
      <c r="M313" s="690"/>
      <c r="N313" s="1443" t="str">
        <f>IFERROR(VLOOKUP(M313,Mychart!A454:U1042,2,FALSE),"-")</f>
        <v>-</v>
      </c>
      <c r="O313" s="690"/>
      <c r="P313" s="690"/>
      <c r="Q313" s="690"/>
    </row>
    <row r="314" spans="11:17">
      <c r="K314" s="689"/>
      <c r="L314" s="690"/>
      <c r="M314" s="690"/>
      <c r="N314" s="1443" t="str">
        <f>IFERROR(VLOOKUP(M314,Mychart!A455:U1043,2,FALSE),"-")</f>
        <v>-</v>
      </c>
      <c r="O314" s="690"/>
      <c r="P314" s="690"/>
      <c r="Q314" s="690"/>
    </row>
    <row r="315" spans="11:17">
      <c r="K315" s="689"/>
      <c r="L315" s="690"/>
      <c r="M315" s="690"/>
      <c r="N315" s="1443" t="str">
        <f>IFERROR(VLOOKUP(M315,Mychart!A456:U1044,2,FALSE),"-")</f>
        <v>-</v>
      </c>
      <c r="O315" s="690"/>
      <c r="P315" s="690"/>
      <c r="Q315" s="690"/>
    </row>
    <row r="316" spans="11:17">
      <c r="K316" s="689"/>
      <c r="L316" s="690"/>
      <c r="M316" s="690"/>
      <c r="N316" s="1443" t="str">
        <f>IFERROR(VLOOKUP(M316,Mychart!A457:U1045,2,FALSE),"-")</f>
        <v>-</v>
      </c>
      <c r="O316" s="690"/>
      <c r="P316" s="690"/>
      <c r="Q316" s="690"/>
    </row>
    <row r="317" spans="11:17">
      <c r="K317" s="689"/>
      <c r="L317" s="690"/>
      <c r="M317" s="690"/>
      <c r="N317" s="1443" t="str">
        <f>IFERROR(VLOOKUP(M317,Mychart!A458:U1046,2,FALSE),"-")</f>
        <v>-</v>
      </c>
      <c r="O317" s="690"/>
      <c r="P317" s="690"/>
      <c r="Q317" s="690"/>
    </row>
    <row r="318" spans="11:17">
      <c r="K318" s="689"/>
      <c r="L318" s="690"/>
      <c r="M318" s="690"/>
      <c r="N318" s="1443" t="str">
        <f>IFERROR(VLOOKUP(M318,Mychart!A459:U1047,2,FALSE),"-")</f>
        <v>-</v>
      </c>
      <c r="O318" s="690"/>
      <c r="P318" s="690"/>
      <c r="Q318" s="690"/>
    </row>
    <row r="319" spans="11:17">
      <c r="K319" s="689"/>
      <c r="L319" s="690"/>
      <c r="M319" s="690"/>
      <c r="N319" s="1443" t="str">
        <f>IFERROR(VLOOKUP(M319,Mychart!A460:U1048,2,FALSE),"-")</f>
        <v>-</v>
      </c>
      <c r="O319" s="690"/>
      <c r="P319" s="690"/>
      <c r="Q319" s="690"/>
    </row>
    <row r="320" spans="11:17">
      <c r="K320" s="689"/>
      <c r="L320" s="690"/>
      <c r="M320" s="690"/>
      <c r="N320" s="1443" t="str">
        <f>IFERROR(VLOOKUP(M320,Mychart!A461:U1049,2,FALSE),"-")</f>
        <v>-</v>
      </c>
      <c r="O320" s="690"/>
      <c r="P320" s="690"/>
      <c r="Q320" s="690"/>
    </row>
    <row r="321" spans="11:17">
      <c r="K321" s="689"/>
      <c r="L321" s="690"/>
      <c r="M321" s="690"/>
      <c r="N321" s="1443" t="str">
        <f>IFERROR(VLOOKUP(M321,Mychart!A462:U1050,2,FALSE),"-")</f>
        <v>-</v>
      </c>
      <c r="O321" s="690"/>
      <c r="P321" s="690"/>
      <c r="Q321" s="690"/>
    </row>
    <row r="322" spans="11:17">
      <c r="K322" s="689"/>
      <c r="L322" s="690"/>
      <c r="M322" s="690"/>
      <c r="N322" s="1443" t="str">
        <f>IFERROR(VLOOKUP(M322,Mychart!A463:U1051,2,FALSE),"-")</f>
        <v>-</v>
      </c>
      <c r="O322" s="690"/>
      <c r="P322" s="690"/>
      <c r="Q322" s="690"/>
    </row>
    <row r="323" spans="11:17">
      <c r="K323" s="689"/>
      <c r="L323" s="690"/>
      <c r="M323" s="690"/>
      <c r="N323" s="1443" t="str">
        <f>IFERROR(VLOOKUP(M323,Mychart!A464:U1052,2,FALSE),"-")</f>
        <v>-</v>
      </c>
      <c r="O323" s="690"/>
      <c r="P323" s="690"/>
      <c r="Q323" s="690"/>
    </row>
    <row r="324" spans="11:17">
      <c r="K324" s="689"/>
      <c r="L324" s="690"/>
      <c r="M324" s="690"/>
      <c r="N324" s="1443" t="str">
        <f>IFERROR(VLOOKUP(M324,Mychart!A465:U1053,2,FALSE),"-")</f>
        <v>-</v>
      </c>
      <c r="O324" s="690"/>
      <c r="P324" s="690"/>
      <c r="Q324" s="690"/>
    </row>
    <row r="325" spans="11:17">
      <c r="K325" s="689"/>
      <c r="L325" s="690"/>
      <c r="M325" s="690"/>
      <c r="N325" s="1443" t="str">
        <f>IFERROR(VLOOKUP(M325,Mychart!A466:U1054,2,FALSE),"-")</f>
        <v>-</v>
      </c>
      <c r="O325" s="690"/>
      <c r="P325" s="690"/>
      <c r="Q325" s="690"/>
    </row>
    <row r="326" spans="11:17">
      <c r="K326" s="689"/>
      <c r="L326" s="690"/>
      <c r="M326" s="690"/>
      <c r="N326" s="1443" t="str">
        <f>IFERROR(VLOOKUP(M326,Mychart!A467:U1055,2,FALSE),"-")</f>
        <v>-</v>
      </c>
      <c r="O326" s="690"/>
      <c r="P326" s="690"/>
      <c r="Q326" s="690"/>
    </row>
    <row r="327" spans="11:17">
      <c r="K327" s="689"/>
      <c r="L327" s="690"/>
      <c r="M327" s="690"/>
      <c r="N327" s="1443" t="str">
        <f>IFERROR(VLOOKUP(M327,Mychart!A468:U1056,2,FALSE),"-")</f>
        <v>-</v>
      </c>
      <c r="O327" s="690"/>
      <c r="P327" s="690"/>
      <c r="Q327" s="690"/>
    </row>
    <row r="328" spans="11:17">
      <c r="K328" s="689"/>
      <c r="L328" s="690"/>
      <c r="M328" s="690"/>
      <c r="N328" s="1443" t="str">
        <f>IFERROR(VLOOKUP(M328,Mychart!A469:U1057,2,FALSE),"-")</f>
        <v>-</v>
      </c>
      <c r="O328" s="690"/>
      <c r="P328" s="690"/>
      <c r="Q328" s="690"/>
    </row>
    <row r="329" spans="11:17">
      <c r="K329" s="689"/>
      <c r="L329" s="690"/>
      <c r="M329" s="690"/>
      <c r="N329" s="1443" t="str">
        <f>IFERROR(VLOOKUP(M329,Mychart!A470:U1058,2,FALSE),"-")</f>
        <v>-</v>
      </c>
      <c r="O329" s="690"/>
      <c r="P329" s="690"/>
      <c r="Q329" s="690"/>
    </row>
    <row r="330" spans="11:17">
      <c r="K330" s="689"/>
      <c r="L330" s="690"/>
      <c r="M330" s="690"/>
      <c r="N330" s="1443" t="str">
        <f>IFERROR(VLOOKUP(M330,Mychart!A471:U1059,2,FALSE),"-")</f>
        <v>-</v>
      </c>
      <c r="O330" s="690"/>
      <c r="P330" s="690"/>
      <c r="Q330" s="690"/>
    </row>
    <row r="331" spans="11:17">
      <c r="K331" s="689"/>
      <c r="L331" s="690"/>
      <c r="M331" s="690"/>
      <c r="N331" s="1443" t="str">
        <f>IFERROR(VLOOKUP(M331,Mychart!A472:U1060,2,FALSE),"-")</f>
        <v>-</v>
      </c>
      <c r="O331" s="690"/>
      <c r="P331" s="690"/>
      <c r="Q331" s="690"/>
    </row>
    <row r="332" spans="11:17">
      <c r="K332" s="689"/>
      <c r="L332" s="690"/>
      <c r="M332" s="690"/>
      <c r="N332" s="1443" t="str">
        <f>IFERROR(VLOOKUP(M332,Mychart!A473:U1061,2,FALSE),"-")</f>
        <v>-</v>
      </c>
      <c r="O332" s="690"/>
      <c r="P332" s="690"/>
      <c r="Q332" s="690"/>
    </row>
    <row r="333" spans="11:17">
      <c r="K333" s="689"/>
      <c r="L333" s="690"/>
      <c r="M333" s="690"/>
      <c r="N333" s="1443" t="str">
        <f>IFERROR(VLOOKUP(M333,Mychart!A474:U1062,2,FALSE),"-")</f>
        <v>-</v>
      </c>
      <c r="O333" s="690"/>
      <c r="P333" s="690"/>
      <c r="Q333" s="690"/>
    </row>
    <row r="334" spans="11:17">
      <c r="K334" s="689"/>
      <c r="L334" s="690"/>
      <c r="M334" s="690"/>
      <c r="N334" s="1443" t="str">
        <f>IFERROR(VLOOKUP(M334,Mychart!A475:U1063,2,FALSE),"-")</f>
        <v>-</v>
      </c>
      <c r="O334" s="690"/>
      <c r="P334" s="690"/>
      <c r="Q334" s="690"/>
    </row>
    <row r="335" spans="11:17">
      <c r="K335" s="689"/>
      <c r="L335" s="690"/>
      <c r="M335" s="690"/>
      <c r="N335" s="1443" t="str">
        <f>IFERROR(VLOOKUP(M335,Mychart!A476:U1064,2,FALSE),"-")</f>
        <v>-</v>
      </c>
      <c r="O335" s="690"/>
      <c r="P335" s="690"/>
      <c r="Q335" s="690"/>
    </row>
    <row r="336" spans="11:17">
      <c r="K336" s="689"/>
      <c r="L336" s="690"/>
      <c r="M336" s="690"/>
      <c r="N336" s="1443" t="str">
        <f>IFERROR(VLOOKUP(M336,Mychart!A477:U1065,2,FALSE),"-")</f>
        <v>-</v>
      </c>
      <c r="O336" s="690"/>
      <c r="P336" s="690"/>
      <c r="Q336" s="690"/>
    </row>
    <row r="337" spans="11:17">
      <c r="K337" s="689"/>
      <c r="L337" s="690"/>
      <c r="M337" s="690"/>
      <c r="N337" s="1443" t="str">
        <f>IFERROR(VLOOKUP(M337,Mychart!A478:U1066,2,FALSE),"-")</f>
        <v>-</v>
      </c>
      <c r="O337" s="690"/>
      <c r="P337" s="690"/>
      <c r="Q337" s="690"/>
    </row>
    <row r="338" spans="11:17">
      <c r="K338" s="689"/>
      <c r="L338" s="690"/>
      <c r="M338" s="690"/>
      <c r="N338" s="1443" t="str">
        <f>IFERROR(VLOOKUP(M338,Mychart!A479:U1067,2,FALSE),"-")</f>
        <v>-</v>
      </c>
      <c r="O338" s="690"/>
      <c r="P338" s="690"/>
      <c r="Q338" s="690"/>
    </row>
    <row r="339" spans="11:17">
      <c r="K339" s="689"/>
      <c r="L339" s="690"/>
      <c r="M339" s="690"/>
      <c r="N339" s="1443" t="str">
        <f>IFERROR(VLOOKUP(M339,Mychart!A480:U1068,2,FALSE),"-")</f>
        <v>-</v>
      </c>
      <c r="O339" s="690"/>
      <c r="P339" s="690"/>
      <c r="Q339" s="690"/>
    </row>
    <row r="340" spans="11:17">
      <c r="K340" s="689"/>
      <c r="L340" s="690"/>
      <c r="M340" s="690"/>
      <c r="N340" s="1443" t="str">
        <f>IFERROR(VLOOKUP(M340,Mychart!A481:U1069,2,FALSE),"-")</f>
        <v>-</v>
      </c>
      <c r="O340" s="690"/>
      <c r="P340" s="690"/>
      <c r="Q340" s="690"/>
    </row>
    <row r="341" spans="11:17">
      <c r="K341" s="689"/>
      <c r="L341" s="690"/>
      <c r="M341" s="690"/>
      <c r="N341" s="1443" t="str">
        <f>IFERROR(VLOOKUP(M341,Mychart!A482:U1070,2,FALSE),"-")</f>
        <v>-</v>
      </c>
      <c r="O341" s="690"/>
      <c r="P341" s="690"/>
      <c r="Q341" s="690"/>
    </row>
    <row r="342" spans="11:17">
      <c r="K342" s="689"/>
      <c r="L342" s="690"/>
      <c r="M342" s="690"/>
      <c r="N342" s="1443" t="str">
        <f>IFERROR(VLOOKUP(M342,Mychart!A483:U1071,2,FALSE),"-")</f>
        <v>-</v>
      </c>
      <c r="O342" s="690"/>
      <c r="P342" s="690"/>
      <c r="Q342" s="690"/>
    </row>
    <row r="343" spans="11:17">
      <c r="K343" s="689"/>
      <c r="L343" s="690"/>
      <c r="M343" s="690"/>
      <c r="N343" s="1443" t="str">
        <f>IFERROR(VLOOKUP(M343,Mychart!A484:U1072,2,FALSE),"-")</f>
        <v>-</v>
      </c>
      <c r="O343" s="690"/>
      <c r="P343" s="690"/>
      <c r="Q343" s="690"/>
    </row>
    <row r="344" spans="11:17">
      <c r="K344" s="689"/>
      <c r="L344" s="690"/>
      <c r="M344" s="690"/>
      <c r="N344" s="1443" t="str">
        <f>IFERROR(VLOOKUP(M344,Mychart!A485:U1073,2,FALSE),"-")</f>
        <v>-</v>
      </c>
      <c r="O344" s="690"/>
      <c r="P344" s="690"/>
      <c r="Q344" s="690"/>
    </row>
    <row r="345" spans="11:17">
      <c r="K345" s="689"/>
      <c r="L345" s="690"/>
      <c r="M345" s="690"/>
      <c r="N345" s="1443" t="str">
        <f>IFERROR(VLOOKUP(M345,Mychart!A486:U1074,2,FALSE),"-")</f>
        <v>-</v>
      </c>
      <c r="O345" s="690"/>
      <c r="P345" s="690"/>
      <c r="Q345" s="690"/>
    </row>
    <row r="346" spans="11:17">
      <c r="K346" s="689"/>
      <c r="L346" s="690"/>
      <c r="M346" s="690"/>
      <c r="N346" s="1443" t="str">
        <f>IFERROR(VLOOKUP(M346,Mychart!A487:U1075,2,FALSE),"-")</f>
        <v>-</v>
      </c>
      <c r="O346" s="690"/>
      <c r="P346" s="690"/>
      <c r="Q346" s="690"/>
    </row>
    <row r="347" spans="11:17">
      <c r="K347" s="689"/>
      <c r="L347" s="690"/>
      <c r="M347" s="690"/>
      <c r="N347" s="1443" t="str">
        <f>IFERROR(VLOOKUP(M347,Mychart!A488:U1076,2,FALSE),"-")</f>
        <v>-</v>
      </c>
      <c r="O347" s="690"/>
      <c r="P347" s="690"/>
      <c r="Q347" s="690"/>
    </row>
    <row r="348" spans="11:17">
      <c r="K348" s="689"/>
      <c r="L348" s="690"/>
      <c r="M348" s="690"/>
      <c r="N348" s="1443" t="str">
        <f>IFERROR(VLOOKUP(M348,Mychart!A489:U1077,2,FALSE),"-")</f>
        <v>-</v>
      </c>
      <c r="O348" s="690"/>
      <c r="P348" s="690"/>
      <c r="Q348" s="690"/>
    </row>
    <row r="349" spans="11:17">
      <c r="K349" s="689"/>
      <c r="L349" s="690"/>
      <c r="M349" s="690"/>
      <c r="N349" s="1443" t="str">
        <f>IFERROR(VLOOKUP(M349,Mychart!A490:U1078,2,FALSE),"-")</f>
        <v>-</v>
      </c>
      <c r="O349" s="690"/>
      <c r="P349" s="690"/>
      <c r="Q349" s="690"/>
    </row>
    <row r="350" spans="11:17">
      <c r="K350" s="689"/>
      <c r="L350" s="690"/>
      <c r="M350" s="690"/>
      <c r="N350" s="1443" t="str">
        <f>IFERROR(VLOOKUP(M350,Mychart!A491:U1079,2,FALSE),"-")</f>
        <v>-</v>
      </c>
      <c r="O350" s="690"/>
      <c r="P350" s="690"/>
      <c r="Q350" s="690"/>
    </row>
    <row r="351" spans="11:17">
      <c r="K351" s="689"/>
      <c r="L351" s="690"/>
      <c r="M351" s="690"/>
      <c r="N351" s="1443" t="str">
        <f>IFERROR(VLOOKUP(M351,Mychart!A492:U1080,2,FALSE),"-")</f>
        <v>-</v>
      </c>
      <c r="O351" s="690"/>
      <c r="P351" s="690"/>
      <c r="Q351" s="690"/>
    </row>
    <row r="352" spans="11:17">
      <c r="K352" s="689"/>
      <c r="L352" s="690"/>
      <c r="M352" s="690"/>
      <c r="N352" s="1443" t="str">
        <f>IFERROR(VLOOKUP(M352,Mychart!A493:U1081,2,FALSE),"-")</f>
        <v>-</v>
      </c>
      <c r="O352" s="690"/>
      <c r="P352" s="690"/>
      <c r="Q352" s="690"/>
    </row>
    <row r="353" spans="11:17">
      <c r="K353" s="689"/>
      <c r="L353" s="690"/>
      <c r="M353" s="690"/>
      <c r="N353" s="1443" t="str">
        <f>IFERROR(VLOOKUP(M353,Mychart!A494:U1082,2,FALSE),"-")</f>
        <v>-</v>
      </c>
      <c r="O353" s="690"/>
      <c r="P353" s="690"/>
      <c r="Q353" s="690"/>
    </row>
    <row r="354" spans="11:17">
      <c r="K354" s="689"/>
      <c r="L354" s="690"/>
      <c r="M354" s="690"/>
      <c r="N354" s="1443" t="str">
        <f>IFERROR(VLOOKUP(M354,Mychart!A495:U1083,2,FALSE),"-")</f>
        <v>-</v>
      </c>
      <c r="O354" s="690"/>
      <c r="P354" s="690"/>
      <c r="Q354" s="690"/>
    </row>
    <row r="355" spans="11:17">
      <c r="K355" s="689"/>
      <c r="L355" s="690"/>
      <c r="M355" s="690"/>
      <c r="N355" s="1443" t="str">
        <f>IFERROR(VLOOKUP(M355,Mychart!A496:U1084,2,FALSE),"-")</f>
        <v>-</v>
      </c>
      <c r="O355" s="690"/>
      <c r="P355" s="690"/>
      <c r="Q355" s="690"/>
    </row>
    <row r="356" spans="11:17">
      <c r="K356" s="689"/>
      <c r="L356" s="690"/>
      <c r="M356" s="690"/>
      <c r="N356" s="1443" t="str">
        <f>IFERROR(VLOOKUP(M356,Mychart!A497:U1085,2,FALSE),"-")</f>
        <v>-</v>
      </c>
      <c r="O356" s="690"/>
      <c r="P356" s="690"/>
      <c r="Q356" s="690"/>
    </row>
    <row r="357" spans="11:17">
      <c r="K357" s="689"/>
      <c r="L357" s="690"/>
      <c r="M357" s="690"/>
      <c r="N357" s="1443" t="str">
        <f>IFERROR(VLOOKUP(M357,Mychart!A498:U1086,2,FALSE),"-")</f>
        <v>-</v>
      </c>
      <c r="O357" s="690"/>
      <c r="P357" s="690"/>
      <c r="Q357" s="690"/>
    </row>
    <row r="358" spans="11:17">
      <c r="K358" s="689"/>
      <c r="L358" s="690"/>
      <c r="M358" s="690"/>
      <c r="N358" s="1443" t="str">
        <f>IFERROR(VLOOKUP(M358,Mychart!A499:U1087,2,FALSE),"-")</f>
        <v>-</v>
      </c>
      <c r="O358" s="690"/>
      <c r="P358" s="690"/>
      <c r="Q358" s="690"/>
    </row>
    <row r="359" spans="11:17">
      <c r="K359" s="689"/>
      <c r="L359" s="690"/>
      <c r="M359" s="690"/>
      <c r="N359" s="1443" t="str">
        <f>IFERROR(VLOOKUP(M359,Mychart!A500:U1088,2,FALSE),"-")</f>
        <v>-</v>
      </c>
      <c r="O359" s="690"/>
      <c r="P359" s="690"/>
      <c r="Q359" s="690"/>
    </row>
    <row r="360" spans="11:17">
      <c r="K360" s="689"/>
      <c r="L360" s="690"/>
      <c r="M360" s="690"/>
      <c r="N360" s="1443" t="str">
        <f>IFERROR(VLOOKUP(M360,Mychart!A501:U1089,2,FALSE),"-")</f>
        <v>-</v>
      </c>
      <c r="O360" s="690"/>
      <c r="P360" s="690"/>
      <c r="Q360" s="690"/>
    </row>
    <row r="361" spans="11:17">
      <c r="K361" s="689"/>
      <c r="L361" s="690"/>
      <c r="M361" s="690"/>
      <c r="N361" s="1443" t="str">
        <f>IFERROR(VLOOKUP(M361,Mychart!A502:U1090,2,FALSE),"-")</f>
        <v>-</v>
      </c>
      <c r="O361" s="690"/>
      <c r="P361" s="690"/>
      <c r="Q361" s="690"/>
    </row>
    <row r="362" spans="11:17">
      <c r="K362" s="689"/>
      <c r="L362" s="690"/>
      <c r="M362" s="690"/>
      <c r="N362" s="1443" t="str">
        <f>IFERROR(VLOOKUP(M362,Mychart!A503:U1091,2,FALSE),"-")</f>
        <v>-</v>
      </c>
      <c r="O362" s="690"/>
      <c r="P362" s="690"/>
      <c r="Q362" s="690"/>
    </row>
    <row r="363" spans="11:17">
      <c r="K363" s="689"/>
      <c r="L363" s="690"/>
      <c r="M363" s="690"/>
      <c r="N363" s="1443" t="str">
        <f>IFERROR(VLOOKUP(M363,Mychart!A504:U1092,2,FALSE),"-")</f>
        <v>-</v>
      </c>
      <c r="O363" s="690"/>
      <c r="P363" s="690"/>
      <c r="Q363" s="690"/>
    </row>
    <row r="364" spans="11:17">
      <c r="K364" s="689"/>
      <c r="L364" s="690"/>
      <c r="M364" s="690"/>
      <c r="N364" s="1443" t="str">
        <f>IFERROR(VLOOKUP(M364,Mychart!A505:U1093,2,FALSE),"-")</f>
        <v>-</v>
      </c>
      <c r="O364" s="690"/>
      <c r="P364" s="690"/>
      <c r="Q364" s="690"/>
    </row>
    <row r="365" spans="11:17">
      <c r="K365" s="689"/>
      <c r="L365" s="690"/>
      <c r="M365" s="690"/>
      <c r="N365" s="1443" t="str">
        <f>IFERROR(VLOOKUP(M365,Mychart!A506:U1094,2,FALSE),"-")</f>
        <v>-</v>
      </c>
      <c r="O365" s="690"/>
      <c r="P365" s="690"/>
      <c r="Q365" s="690"/>
    </row>
    <row r="366" spans="11:17">
      <c r="K366" s="689"/>
      <c r="L366" s="690"/>
      <c r="M366" s="690"/>
      <c r="N366" s="1443" t="str">
        <f>IFERROR(VLOOKUP(M366,Mychart!A507:U1095,2,FALSE),"-")</f>
        <v>-</v>
      </c>
      <c r="O366" s="690"/>
      <c r="P366" s="690"/>
      <c r="Q366" s="690"/>
    </row>
    <row r="367" spans="11:17">
      <c r="K367" s="689"/>
      <c r="L367" s="690"/>
      <c r="M367" s="690"/>
      <c r="N367" s="1443" t="str">
        <f>IFERROR(VLOOKUP(M367,Mychart!A508:U1096,2,FALSE),"-")</f>
        <v>-</v>
      </c>
      <c r="O367" s="690"/>
      <c r="P367" s="690"/>
      <c r="Q367" s="690"/>
    </row>
    <row r="368" spans="11:17">
      <c r="K368" s="689"/>
      <c r="L368" s="690"/>
      <c r="M368" s="690"/>
      <c r="N368" s="1443" t="str">
        <f>IFERROR(VLOOKUP(M368,Mychart!A509:U1097,2,FALSE),"-")</f>
        <v>-</v>
      </c>
      <c r="O368" s="690"/>
      <c r="P368" s="690"/>
      <c r="Q368" s="690"/>
    </row>
    <row r="369" spans="11:17">
      <c r="K369" s="689"/>
      <c r="L369" s="690"/>
      <c r="M369" s="690"/>
      <c r="N369" s="1443" t="str">
        <f>IFERROR(VLOOKUP(M369,Mychart!A510:U1098,2,FALSE),"-")</f>
        <v>-</v>
      </c>
      <c r="O369" s="690"/>
      <c r="P369" s="690"/>
      <c r="Q369" s="690"/>
    </row>
    <row r="370" spans="11:17">
      <c r="K370" s="689"/>
      <c r="L370" s="690"/>
      <c r="M370" s="690"/>
      <c r="N370" s="1443" t="str">
        <f>IFERROR(VLOOKUP(M370,Mychart!A511:U1099,2,FALSE),"-")</f>
        <v>-</v>
      </c>
      <c r="O370" s="690"/>
      <c r="P370" s="690"/>
      <c r="Q370" s="690"/>
    </row>
    <row r="371" spans="11:17">
      <c r="K371" s="689"/>
      <c r="L371" s="690"/>
      <c r="M371" s="690"/>
      <c r="N371" s="1443" t="str">
        <f>IFERROR(VLOOKUP(M371,Mychart!A512:U1100,2,FALSE),"-")</f>
        <v>-</v>
      </c>
      <c r="O371" s="690"/>
      <c r="P371" s="690"/>
      <c r="Q371" s="690"/>
    </row>
    <row r="372" spans="11:17">
      <c r="K372" s="689"/>
      <c r="L372" s="690"/>
      <c r="M372" s="690"/>
      <c r="N372" s="1443" t="str">
        <f>IFERROR(VLOOKUP(M372,Mychart!A513:U1101,2,FALSE),"-")</f>
        <v>-</v>
      </c>
      <c r="O372" s="690"/>
      <c r="P372" s="690"/>
      <c r="Q372" s="690"/>
    </row>
    <row r="373" spans="11:17">
      <c r="K373" s="689"/>
      <c r="L373" s="690"/>
      <c r="M373" s="690"/>
      <c r="N373" s="1443" t="str">
        <f>IFERROR(VLOOKUP(M373,Mychart!A514:U1102,2,FALSE),"-")</f>
        <v>-</v>
      </c>
      <c r="O373" s="690"/>
      <c r="P373" s="690"/>
      <c r="Q373" s="690"/>
    </row>
    <row r="374" spans="11:17">
      <c r="K374" s="689"/>
      <c r="L374" s="690"/>
      <c r="M374" s="690"/>
      <c r="N374" s="1443" t="str">
        <f>IFERROR(VLOOKUP(M374,Mychart!A515:U1103,2,FALSE),"-")</f>
        <v>-</v>
      </c>
      <c r="O374" s="690"/>
      <c r="P374" s="690"/>
      <c r="Q374" s="690"/>
    </row>
    <row r="375" spans="11:17">
      <c r="K375" s="689"/>
      <c r="L375" s="690"/>
      <c r="M375" s="690"/>
      <c r="N375" s="1443" t="str">
        <f>IFERROR(VLOOKUP(M375,Mychart!A516:U1104,2,FALSE),"-")</f>
        <v>-</v>
      </c>
      <c r="O375" s="690"/>
      <c r="P375" s="690"/>
      <c r="Q375" s="690"/>
    </row>
    <row r="376" spans="11:17">
      <c r="K376" s="689"/>
      <c r="L376" s="690"/>
      <c r="M376" s="690"/>
      <c r="N376" s="1443" t="str">
        <f>IFERROR(VLOOKUP(M376,Mychart!A517:U1105,2,FALSE),"-")</f>
        <v>-</v>
      </c>
      <c r="O376" s="690"/>
      <c r="P376" s="690"/>
      <c r="Q376" s="690"/>
    </row>
    <row r="377" spans="11:17">
      <c r="K377" s="689"/>
      <c r="L377" s="690"/>
      <c r="M377" s="690"/>
      <c r="N377" s="1443" t="str">
        <f>IFERROR(VLOOKUP(M377,Mychart!A518:U1106,2,FALSE),"-")</f>
        <v>-</v>
      </c>
      <c r="O377" s="690"/>
      <c r="P377" s="690"/>
      <c r="Q377" s="690"/>
    </row>
    <row r="378" spans="11:17">
      <c r="K378" s="689"/>
      <c r="L378" s="690"/>
      <c r="M378" s="690"/>
      <c r="N378" s="1443" t="str">
        <f>IFERROR(VLOOKUP(M378,Mychart!A519:U1107,2,FALSE),"-")</f>
        <v>-</v>
      </c>
      <c r="O378" s="690"/>
      <c r="P378" s="690"/>
      <c r="Q378" s="690"/>
    </row>
    <row r="379" spans="11:17">
      <c r="K379" s="689"/>
      <c r="L379" s="690"/>
      <c r="M379" s="690"/>
      <c r="N379" s="1443" t="str">
        <f>IFERROR(VLOOKUP(M379,Mychart!A520:U1108,2,FALSE),"-")</f>
        <v>-</v>
      </c>
      <c r="O379" s="690"/>
      <c r="P379" s="690"/>
      <c r="Q379" s="690"/>
    </row>
    <row r="380" spans="11:17">
      <c r="K380" s="689"/>
      <c r="L380" s="690"/>
      <c r="M380" s="690"/>
      <c r="N380" s="1443" t="str">
        <f>IFERROR(VLOOKUP(M380,Mychart!A521:U1109,2,FALSE),"-")</f>
        <v>-</v>
      </c>
      <c r="O380" s="690"/>
      <c r="P380" s="690"/>
      <c r="Q380" s="690"/>
    </row>
    <row r="381" spans="11:17">
      <c r="K381" s="689"/>
      <c r="L381" s="690"/>
      <c r="M381" s="690"/>
      <c r="N381" s="1443" t="str">
        <f>IFERROR(VLOOKUP(M381,Mychart!A522:U1110,2,FALSE),"-")</f>
        <v>-</v>
      </c>
      <c r="O381" s="690"/>
      <c r="P381" s="690"/>
      <c r="Q381" s="690"/>
    </row>
    <row r="382" spans="11:17">
      <c r="K382" s="689"/>
      <c r="L382" s="690"/>
      <c r="M382" s="690"/>
      <c r="N382" s="1443" t="str">
        <f>IFERROR(VLOOKUP(M382,Mychart!A523:U1111,2,FALSE),"-")</f>
        <v>-</v>
      </c>
      <c r="O382" s="690"/>
      <c r="P382" s="690"/>
      <c r="Q382" s="690"/>
    </row>
    <row r="383" spans="11:17">
      <c r="K383" s="689"/>
      <c r="L383" s="690"/>
      <c r="M383" s="690"/>
      <c r="N383" s="1443" t="str">
        <f>IFERROR(VLOOKUP(M383,Mychart!A524:U1112,2,FALSE),"-")</f>
        <v>-</v>
      </c>
      <c r="O383" s="690"/>
      <c r="P383" s="690"/>
      <c r="Q383" s="690"/>
    </row>
    <row r="384" spans="11:17">
      <c r="K384" s="689"/>
      <c r="L384" s="690"/>
      <c r="M384" s="690"/>
      <c r="N384" s="1443" t="str">
        <f>IFERROR(VLOOKUP(M384,Mychart!A525:U1113,2,FALSE),"-")</f>
        <v>-</v>
      </c>
      <c r="O384" s="690"/>
      <c r="P384" s="690"/>
      <c r="Q384" s="690"/>
    </row>
    <row r="385" spans="11:17">
      <c r="K385" s="689"/>
      <c r="L385" s="690"/>
      <c r="M385" s="690"/>
      <c r="N385" s="1443" t="str">
        <f>IFERROR(VLOOKUP(M385,Mychart!A526:U1114,2,FALSE),"-")</f>
        <v>-</v>
      </c>
      <c r="O385" s="690"/>
      <c r="P385" s="690"/>
      <c r="Q385" s="690"/>
    </row>
    <row r="386" spans="11:17">
      <c r="K386" s="689"/>
      <c r="L386" s="690"/>
      <c r="M386" s="690"/>
      <c r="N386" s="1443" t="str">
        <f>IFERROR(VLOOKUP(M386,Mychart!A527:U1115,2,FALSE),"-")</f>
        <v>-</v>
      </c>
      <c r="O386" s="690"/>
      <c r="P386" s="690"/>
      <c r="Q386" s="690"/>
    </row>
    <row r="387" spans="11:17">
      <c r="K387" s="689"/>
      <c r="L387" s="690"/>
      <c r="M387" s="690"/>
      <c r="N387" s="1443" t="str">
        <f>IFERROR(VLOOKUP(M387,Mychart!A528:U1116,2,FALSE),"-")</f>
        <v>-</v>
      </c>
      <c r="O387" s="690"/>
      <c r="P387" s="690"/>
      <c r="Q387" s="690"/>
    </row>
    <row r="388" spans="11:17">
      <c r="K388" s="689"/>
      <c r="L388" s="690"/>
      <c r="M388" s="690"/>
      <c r="N388" s="1443" t="str">
        <f>IFERROR(VLOOKUP(M388,Mychart!A529:U1117,2,FALSE),"-")</f>
        <v>-</v>
      </c>
      <c r="O388" s="690"/>
      <c r="P388" s="690"/>
      <c r="Q388" s="690"/>
    </row>
    <row r="389" spans="11:17">
      <c r="K389" s="689"/>
      <c r="L389" s="690"/>
      <c r="M389" s="690"/>
      <c r="N389" s="1443" t="str">
        <f>IFERROR(VLOOKUP(M389,Mychart!A530:U1118,2,FALSE),"-")</f>
        <v>-</v>
      </c>
      <c r="O389" s="690"/>
      <c r="P389" s="690"/>
      <c r="Q389" s="690"/>
    </row>
    <row r="390" spans="11:17">
      <c r="K390" s="689"/>
      <c r="L390" s="690"/>
      <c r="M390" s="690"/>
      <c r="N390" s="1443" t="str">
        <f>IFERROR(VLOOKUP(M390,Mychart!A531:U1119,2,FALSE),"-")</f>
        <v>-</v>
      </c>
      <c r="O390" s="690"/>
      <c r="P390" s="690"/>
      <c r="Q390" s="690"/>
    </row>
    <row r="391" spans="11:17">
      <c r="K391" s="689"/>
      <c r="L391" s="690"/>
      <c r="M391" s="690"/>
      <c r="N391" s="1443" t="str">
        <f>IFERROR(VLOOKUP(M391,Mychart!A532:U1120,2,FALSE),"-")</f>
        <v>-</v>
      </c>
      <c r="O391" s="690"/>
      <c r="P391" s="690"/>
      <c r="Q391" s="690"/>
    </row>
    <row r="392" spans="11:17">
      <c r="K392" s="689"/>
      <c r="L392" s="690"/>
      <c r="M392" s="690"/>
      <c r="N392" s="1443" t="str">
        <f>IFERROR(VLOOKUP(M392,Mychart!A533:U1121,2,FALSE),"-")</f>
        <v>-</v>
      </c>
      <c r="O392" s="690"/>
      <c r="P392" s="690"/>
      <c r="Q392" s="690"/>
    </row>
    <row r="393" spans="11:17">
      <c r="K393" s="689"/>
      <c r="L393" s="690"/>
      <c r="M393" s="690"/>
      <c r="N393" s="1443" t="str">
        <f>IFERROR(VLOOKUP(M393,Mychart!A534:U1122,2,FALSE),"-")</f>
        <v>-</v>
      </c>
      <c r="O393" s="690"/>
      <c r="P393" s="690"/>
      <c r="Q393" s="690"/>
    </row>
    <row r="394" spans="11:17">
      <c r="K394" s="689"/>
      <c r="L394" s="690"/>
      <c r="M394" s="690"/>
      <c r="N394" s="1443" t="str">
        <f>IFERROR(VLOOKUP(M394,Mychart!A535:U1123,2,FALSE),"-")</f>
        <v>-</v>
      </c>
      <c r="O394" s="690"/>
      <c r="P394" s="690"/>
      <c r="Q394" s="690"/>
    </row>
    <row r="395" spans="11:17">
      <c r="K395" s="689"/>
      <c r="L395" s="690"/>
      <c r="M395" s="690"/>
      <c r="N395" s="1443" t="str">
        <f>IFERROR(VLOOKUP(M395,Mychart!A536:U1124,2,FALSE),"-")</f>
        <v>-</v>
      </c>
      <c r="O395" s="690"/>
      <c r="P395" s="690"/>
      <c r="Q395" s="690"/>
    </row>
    <row r="396" spans="11:17">
      <c r="K396" s="689"/>
      <c r="L396" s="690"/>
      <c r="M396" s="690"/>
      <c r="N396" s="1443" t="str">
        <f>IFERROR(VLOOKUP(M396,Mychart!A537:U1125,2,FALSE),"-")</f>
        <v>-</v>
      </c>
      <c r="O396" s="690"/>
      <c r="P396" s="690"/>
      <c r="Q396" s="690"/>
    </row>
    <row r="397" spans="11:17">
      <c r="K397" s="689"/>
      <c r="L397" s="690"/>
      <c r="M397" s="690"/>
      <c r="N397" s="1443" t="str">
        <f>IFERROR(VLOOKUP(M397,Mychart!A538:U1126,2,FALSE),"-")</f>
        <v>-</v>
      </c>
      <c r="O397" s="690"/>
      <c r="P397" s="690"/>
      <c r="Q397" s="690"/>
    </row>
    <row r="398" spans="11:17">
      <c r="K398" s="689"/>
      <c r="L398" s="690"/>
      <c r="M398" s="690"/>
      <c r="N398" s="1443" t="str">
        <f>IFERROR(VLOOKUP(M398,Mychart!A539:U1127,2,FALSE),"-")</f>
        <v>-</v>
      </c>
      <c r="O398" s="690"/>
      <c r="P398" s="690"/>
      <c r="Q398" s="690"/>
    </row>
    <row r="399" spans="11:17">
      <c r="K399" s="689"/>
      <c r="L399" s="690"/>
      <c r="M399" s="690"/>
      <c r="N399" s="1443" t="str">
        <f>IFERROR(VLOOKUP(M399,Mychart!A540:U1128,2,FALSE),"-")</f>
        <v>-</v>
      </c>
      <c r="O399" s="690"/>
      <c r="P399" s="690"/>
      <c r="Q399" s="690"/>
    </row>
    <row r="400" spans="11:17">
      <c r="K400" s="689"/>
      <c r="L400" s="690"/>
      <c r="M400" s="690"/>
      <c r="N400" s="1443" t="str">
        <f>IFERROR(VLOOKUP(M400,Mychart!A541:U1129,2,FALSE),"-")</f>
        <v>-</v>
      </c>
      <c r="O400" s="690"/>
      <c r="P400" s="690"/>
      <c r="Q400" s="690"/>
    </row>
    <row r="401" spans="11:17">
      <c r="K401" s="689"/>
      <c r="L401" s="690"/>
      <c r="M401" s="690"/>
      <c r="N401" s="1443" t="str">
        <f>IFERROR(VLOOKUP(M401,Mychart!A542:U1130,2,FALSE),"-")</f>
        <v>-</v>
      </c>
      <c r="O401" s="690"/>
      <c r="P401" s="690"/>
      <c r="Q401" s="690"/>
    </row>
    <row r="402" spans="11:17">
      <c r="K402" s="689"/>
      <c r="L402" s="690"/>
      <c r="M402" s="690"/>
      <c r="N402" s="1443" t="str">
        <f>IFERROR(VLOOKUP(M402,Mychart!A543:U1131,2,FALSE),"-")</f>
        <v>-</v>
      </c>
      <c r="O402" s="690"/>
      <c r="P402" s="690"/>
      <c r="Q402" s="690"/>
    </row>
    <row r="403" spans="11:17">
      <c r="K403" s="689"/>
      <c r="L403" s="690"/>
      <c r="M403" s="690"/>
      <c r="N403" s="1443" t="str">
        <f>IFERROR(VLOOKUP(M403,Mychart!A544:U1132,2,FALSE),"-")</f>
        <v>-</v>
      </c>
      <c r="O403" s="690"/>
      <c r="P403" s="690"/>
      <c r="Q403" s="690"/>
    </row>
    <row r="404" spans="11:17">
      <c r="K404" s="689"/>
      <c r="L404" s="690"/>
      <c r="M404" s="690"/>
      <c r="N404" s="1443" t="str">
        <f>IFERROR(VLOOKUP(M404,Mychart!A545:U1133,2,FALSE),"-")</f>
        <v>-</v>
      </c>
      <c r="O404" s="690"/>
      <c r="P404" s="690"/>
      <c r="Q404" s="690"/>
    </row>
    <row r="405" spans="11:17">
      <c r="K405" s="689"/>
      <c r="L405" s="690"/>
      <c r="M405" s="690"/>
      <c r="N405" s="1443" t="str">
        <f>IFERROR(VLOOKUP(M405,Mychart!A546:U1134,2,FALSE),"-")</f>
        <v>-</v>
      </c>
      <c r="O405" s="690"/>
      <c r="P405" s="690"/>
      <c r="Q405" s="690"/>
    </row>
    <row r="406" spans="11:17">
      <c r="K406" s="689"/>
      <c r="L406" s="690"/>
      <c r="M406" s="690"/>
      <c r="N406" s="1443" t="str">
        <f>IFERROR(VLOOKUP(M406,Mychart!A547:U1135,2,FALSE),"-")</f>
        <v>-</v>
      </c>
      <c r="O406" s="690"/>
      <c r="P406" s="690"/>
      <c r="Q406" s="690"/>
    </row>
    <row r="407" spans="11:17">
      <c r="K407" s="689"/>
      <c r="L407" s="690"/>
      <c r="M407" s="690"/>
      <c r="N407" s="1443" t="str">
        <f>IFERROR(VLOOKUP(M407,Mychart!A548:U1136,2,FALSE),"-")</f>
        <v>-</v>
      </c>
      <c r="O407" s="690"/>
      <c r="P407" s="690"/>
      <c r="Q407" s="690"/>
    </row>
    <row r="408" spans="11:17">
      <c r="K408" s="689"/>
      <c r="L408" s="690"/>
      <c r="M408" s="690"/>
      <c r="N408" s="1443" t="str">
        <f>IFERROR(VLOOKUP(M408,Mychart!A549:U1137,2,FALSE),"-")</f>
        <v>-</v>
      </c>
      <c r="O408" s="690"/>
      <c r="P408" s="690"/>
      <c r="Q408" s="690"/>
    </row>
    <row r="409" spans="11:17">
      <c r="K409" s="689"/>
      <c r="L409" s="690"/>
      <c r="M409" s="690"/>
      <c r="N409" s="1443" t="str">
        <f>IFERROR(VLOOKUP(M409,Mychart!A550:U1138,2,FALSE),"-")</f>
        <v>-</v>
      </c>
      <c r="O409" s="690"/>
      <c r="P409" s="690"/>
      <c r="Q409" s="690"/>
    </row>
    <row r="410" spans="11:17">
      <c r="K410" s="689"/>
      <c r="L410" s="690"/>
      <c r="M410" s="690"/>
      <c r="N410" s="1443" t="str">
        <f>IFERROR(VLOOKUP(M410,Mychart!A551:U1139,2,FALSE),"-")</f>
        <v>-</v>
      </c>
      <c r="O410" s="690"/>
      <c r="P410" s="690"/>
      <c r="Q410" s="690"/>
    </row>
    <row r="411" spans="11:17">
      <c r="K411" s="689"/>
      <c r="L411" s="690"/>
      <c r="M411" s="690"/>
      <c r="N411" s="1443" t="str">
        <f>IFERROR(VLOOKUP(M411,Mychart!A552:U1140,2,FALSE),"-")</f>
        <v>-</v>
      </c>
      <c r="O411" s="690"/>
      <c r="P411" s="690"/>
      <c r="Q411" s="690"/>
    </row>
    <row r="412" spans="11:17">
      <c r="K412" s="689"/>
      <c r="L412" s="690"/>
      <c r="M412" s="690"/>
      <c r="N412" s="1443" t="str">
        <f>IFERROR(VLOOKUP(M412,Mychart!A553:U1141,2,FALSE),"-")</f>
        <v>-</v>
      </c>
      <c r="O412" s="690"/>
      <c r="P412" s="690"/>
      <c r="Q412" s="690"/>
    </row>
    <row r="413" spans="11:17">
      <c r="K413" s="689"/>
      <c r="L413" s="690"/>
      <c r="M413" s="690"/>
      <c r="N413" s="1443" t="str">
        <f>IFERROR(VLOOKUP(M413,Mychart!A554:U1142,2,FALSE),"-")</f>
        <v>-</v>
      </c>
      <c r="O413" s="690"/>
      <c r="P413" s="690"/>
      <c r="Q413" s="690"/>
    </row>
    <row r="414" spans="11:17">
      <c r="K414" s="689"/>
      <c r="L414" s="690"/>
      <c r="M414" s="690"/>
      <c r="N414" s="1443" t="str">
        <f>IFERROR(VLOOKUP(M414,Mychart!A555:U1143,2,FALSE),"-")</f>
        <v>-</v>
      </c>
      <c r="O414" s="690"/>
      <c r="P414" s="690"/>
      <c r="Q414" s="690"/>
    </row>
    <row r="415" spans="11:17">
      <c r="K415" s="689"/>
      <c r="L415" s="690"/>
      <c r="M415" s="690"/>
      <c r="N415" s="1443" t="str">
        <f>IFERROR(VLOOKUP(M415,Mychart!A556:U1144,2,FALSE),"-")</f>
        <v>-</v>
      </c>
      <c r="O415" s="690"/>
      <c r="P415" s="690"/>
      <c r="Q415" s="690"/>
    </row>
    <row r="416" spans="11:17">
      <c r="K416" s="689"/>
      <c r="L416" s="690"/>
      <c r="M416" s="690"/>
      <c r="N416" s="1443" t="str">
        <f>IFERROR(VLOOKUP(M416,Mychart!A557:U1145,2,FALSE),"-")</f>
        <v>-</v>
      </c>
      <c r="O416" s="690"/>
      <c r="P416" s="690"/>
      <c r="Q416" s="690"/>
    </row>
    <row r="417" spans="11:17">
      <c r="K417" s="689"/>
      <c r="L417" s="690"/>
      <c r="M417" s="690"/>
      <c r="N417" s="1443" t="str">
        <f>IFERROR(VLOOKUP(M417,Mychart!A558:U1146,2,FALSE),"-")</f>
        <v>-</v>
      </c>
      <c r="O417" s="690"/>
      <c r="P417" s="690"/>
      <c r="Q417" s="690"/>
    </row>
    <row r="418" spans="11:17">
      <c r="K418" s="689"/>
      <c r="L418" s="690"/>
      <c r="M418" s="690"/>
      <c r="N418" s="1443" t="str">
        <f>IFERROR(VLOOKUP(M418,Mychart!A559:U1147,2,FALSE),"-")</f>
        <v>-</v>
      </c>
      <c r="O418" s="690"/>
      <c r="P418" s="690"/>
      <c r="Q418" s="690"/>
    </row>
    <row r="419" spans="11:17">
      <c r="K419" s="689"/>
      <c r="L419" s="690"/>
      <c r="M419" s="690"/>
      <c r="N419" s="1443" t="str">
        <f>IFERROR(VLOOKUP(M419,Mychart!A560:U1148,2,FALSE),"-")</f>
        <v>-</v>
      </c>
      <c r="O419" s="690"/>
      <c r="P419" s="690"/>
      <c r="Q419" s="690"/>
    </row>
    <row r="420" spans="11:17">
      <c r="K420" s="689"/>
      <c r="L420" s="690"/>
      <c r="M420" s="690"/>
      <c r="N420" s="1443" t="str">
        <f>IFERROR(VLOOKUP(M420,Mychart!A561:U1149,2,FALSE),"-")</f>
        <v>-</v>
      </c>
      <c r="O420" s="690"/>
      <c r="P420" s="690"/>
      <c r="Q420" s="690"/>
    </row>
    <row r="421" spans="11:17">
      <c r="K421" s="689"/>
      <c r="L421" s="690"/>
      <c r="M421" s="690"/>
      <c r="N421" s="1443" t="str">
        <f>IFERROR(VLOOKUP(M421,Mychart!A562:U1150,2,FALSE),"-")</f>
        <v>-</v>
      </c>
      <c r="O421" s="690"/>
      <c r="P421" s="690"/>
      <c r="Q421" s="690"/>
    </row>
    <row r="422" spans="11:17">
      <c r="K422" s="689"/>
      <c r="L422" s="690"/>
      <c r="M422" s="690"/>
      <c r="N422" s="1443" t="str">
        <f>IFERROR(VLOOKUP(M422,Mychart!A563:U1151,2,FALSE),"-")</f>
        <v>-</v>
      </c>
      <c r="O422" s="690"/>
      <c r="P422" s="690"/>
      <c r="Q422" s="690"/>
    </row>
    <row r="423" spans="11:17">
      <c r="K423" s="689"/>
      <c r="L423" s="690"/>
      <c r="M423" s="690"/>
      <c r="N423" s="1443" t="str">
        <f>IFERROR(VLOOKUP(M423,Mychart!A564:U1152,2,FALSE),"-")</f>
        <v>-</v>
      </c>
      <c r="O423" s="690"/>
      <c r="P423" s="690"/>
      <c r="Q423" s="690"/>
    </row>
    <row r="424" spans="11:17">
      <c r="K424" s="689"/>
      <c r="L424" s="690"/>
      <c r="M424" s="690"/>
      <c r="N424" s="1443" t="str">
        <f>IFERROR(VLOOKUP(M424,Mychart!A565:U1153,2,FALSE),"-")</f>
        <v>-</v>
      </c>
      <c r="O424" s="690"/>
      <c r="P424" s="690"/>
      <c r="Q424" s="690"/>
    </row>
    <row r="425" spans="11:17">
      <c r="K425" s="689"/>
      <c r="L425" s="690"/>
      <c r="M425" s="690"/>
      <c r="N425" s="1443" t="str">
        <f>IFERROR(VLOOKUP(M425,Mychart!A566:U1154,2,FALSE),"-")</f>
        <v>-</v>
      </c>
      <c r="O425" s="690"/>
      <c r="P425" s="690"/>
      <c r="Q425" s="690"/>
    </row>
    <row r="426" spans="11:17">
      <c r="K426" s="689"/>
      <c r="L426" s="690"/>
      <c r="M426" s="690"/>
      <c r="N426" s="1443" t="str">
        <f>IFERROR(VLOOKUP(M426,Mychart!A567:U1155,2,FALSE),"-")</f>
        <v>-</v>
      </c>
      <c r="O426" s="690"/>
      <c r="P426" s="690"/>
      <c r="Q426" s="690"/>
    </row>
    <row r="427" spans="11:17">
      <c r="K427" s="689"/>
      <c r="L427" s="690"/>
      <c r="M427" s="690"/>
      <c r="N427" s="1443" t="str">
        <f>IFERROR(VLOOKUP(M427,Mychart!A568:U1156,2,FALSE),"-")</f>
        <v>-</v>
      </c>
      <c r="O427" s="690"/>
      <c r="P427" s="690"/>
      <c r="Q427" s="690"/>
    </row>
    <row r="428" spans="11:17">
      <c r="K428" s="689"/>
      <c r="L428" s="690"/>
      <c r="M428" s="690"/>
      <c r="N428" s="1443" t="str">
        <f>IFERROR(VLOOKUP(M428,Mychart!A569:U1157,2,FALSE),"-")</f>
        <v>-</v>
      </c>
      <c r="O428" s="690"/>
      <c r="P428" s="690"/>
      <c r="Q428" s="690"/>
    </row>
    <row r="429" spans="11:17">
      <c r="K429" s="689"/>
      <c r="L429" s="690"/>
      <c r="M429" s="690"/>
      <c r="N429" s="1443" t="str">
        <f>IFERROR(VLOOKUP(M429,Mychart!A570:U1158,2,FALSE),"-")</f>
        <v>-</v>
      </c>
      <c r="O429" s="690"/>
      <c r="P429" s="690"/>
      <c r="Q429" s="690"/>
    </row>
    <row r="430" spans="11:17">
      <c r="K430" s="689"/>
      <c r="L430" s="690"/>
      <c r="M430" s="690"/>
      <c r="N430" s="1443" t="str">
        <f>IFERROR(VLOOKUP(M430,Mychart!A571:U1159,2,FALSE),"-")</f>
        <v>-</v>
      </c>
      <c r="O430" s="690"/>
      <c r="P430" s="690"/>
      <c r="Q430" s="690"/>
    </row>
    <row r="431" spans="11:17">
      <c r="K431" s="689"/>
      <c r="L431" s="690"/>
      <c r="M431" s="690"/>
      <c r="N431" s="1443" t="str">
        <f>IFERROR(VLOOKUP(M431,Mychart!A572:U1160,2,FALSE),"-")</f>
        <v>-</v>
      </c>
      <c r="O431" s="690"/>
      <c r="P431" s="690"/>
      <c r="Q431" s="690"/>
    </row>
    <row r="432" spans="11:17">
      <c r="K432" s="689"/>
      <c r="L432" s="690"/>
      <c r="M432" s="690"/>
      <c r="N432" s="1443" t="str">
        <f>IFERROR(VLOOKUP(M432,Mychart!A573:U1161,2,FALSE),"-")</f>
        <v>-</v>
      </c>
      <c r="O432" s="690"/>
      <c r="P432" s="690"/>
      <c r="Q432" s="690"/>
    </row>
    <row r="433" spans="11:17">
      <c r="K433" s="689"/>
      <c r="L433" s="690"/>
      <c r="M433" s="690"/>
      <c r="N433" s="1443" t="str">
        <f>IFERROR(VLOOKUP(M433,Mychart!A574:U1162,2,FALSE),"-")</f>
        <v>-</v>
      </c>
      <c r="O433" s="690"/>
      <c r="P433" s="690"/>
      <c r="Q433" s="690"/>
    </row>
    <row r="434" spans="11:17">
      <c r="K434" s="689"/>
      <c r="L434" s="690"/>
      <c r="M434" s="690"/>
      <c r="N434" s="1443" t="str">
        <f>IFERROR(VLOOKUP(M434,Mychart!A575:U1163,2,FALSE),"-")</f>
        <v>-</v>
      </c>
      <c r="O434" s="690"/>
      <c r="P434" s="690"/>
      <c r="Q434" s="690"/>
    </row>
    <row r="435" spans="11:17">
      <c r="K435" s="689"/>
      <c r="L435" s="690"/>
      <c r="M435" s="690"/>
      <c r="N435" s="1443" t="str">
        <f>IFERROR(VLOOKUP(M435,Mychart!A576:U1164,2,FALSE),"-")</f>
        <v>-</v>
      </c>
      <c r="O435" s="690"/>
      <c r="P435" s="690"/>
      <c r="Q435" s="690"/>
    </row>
    <row r="436" spans="11:17">
      <c r="K436" s="689"/>
      <c r="L436" s="690"/>
      <c r="M436" s="690"/>
      <c r="N436" s="1443" t="str">
        <f>IFERROR(VLOOKUP(M436,Mychart!A577:U1165,2,FALSE),"-")</f>
        <v>-</v>
      </c>
      <c r="O436" s="690"/>
      <c r="P436" s="690"/>
      <c r="Q436" s="690"/>
    </row>
    <row r="437" spans="11:17">
      <c r="K437" s="689"/>
      <c r="L437" s="690"/>
      <c r="M437" s="690"/>
      <c r="N437" s="1443" t="str">
        <f>IFERROR(VLOOKUP(M437,Mychart!A578:U1166,2,FALSE),"-")</f>
        <v>-</v>
      </c>
      <c r="O437" s="690"/>
      <c r="P437" s="690"/>
      <c r="Q437" s="690"/>
    </row>
    <row r="438" spans="11:17">
      <c r="K438" s="689"/>
      <c r="L438" s="690"/>
      <c r="M438" s="690"/>
      <c r="N438" s="1443" t="str">
        <f>IFERROR(VLOOKUP(M438,Mychart!A579:U1167,2,FALSE),"-")</f>
        <v>-</v>
      </c>
      <c r="O438" s="690"/>
      <c r="P438" s="690"/>
      <c r="Q438" s="690"/>
    </row>
    <row r="439" spans="11:17">
      <c r="K439" s="689"/>
      <c r="L439" s="690"/>
      <c r="M439" s="690"/>
      <c r="N439" s="1443" t="str">
        <f>IFERROR(VLOOKUP(M439,Mychart!A580:U1168,2,FALSE),"-")</f>
        <v>-</v>
      </c>
      <c r="O439" s="690"/>
      <c r="P439" s="690"/>
      <c r="Q439" s="690"/>
    </row>
    <row r="440" spans="11:17">
      <c r="K440" s="689"/>
      <c r="L440" s="690"/>
      <c r="M440" s="690"/>
      <c r="N440" s="1443" t="str">
        <f>IFERROR(VLOOKUP(M440,Mychart!A581:U1169,2,FALSE),"-")</f>
        <v>-</v>
      </c>
      <c r="O440" s="690"/>
      <c r="P440" s="690"/>
      <c r="Q440" s="690"/>
    </row>
    <row r="441" spans="11:17">
      <c r="K441" s="689"/>
      <c r="L441" s="690"/>
      <c r="M441" s="690"/>
      <c r="N441" s="1443" t="str">
        <f>IFERROR(VLOOKUP(M441,Mychart!A582:U1170,2,FALSE),"-")</f>
        <v>-</v>
      </c>
      <c r="O441" s="690"/>
      <c r="P441" s="690"/>
      <c r="Q441" s="690"/>
    </row>
    <row r="442" spans="11:17">
      <c r="K442" s="689"/>
      <c r="L442" s="690"/>
      <c r="M442" s="690"/>
      <c r="N442" s="1443" t="str">
        <f>IFERROR(VLOOKUP(M442,Mychart!A583:U1171,2,FALSE),"-")</f>
        <v>-</v>
      </c>
      <c r="O442" s="690"/>
      <c r="P442" s="690"/>
      <c r="Q442" s="690"/>
    </row>
    <row r="443" spans="11:17">
      <c r="K443" s="689"/>
      <c r="L443" s="690"/>
      <c r="M443" s="690"/>
      <c r="N443" s="1443" t="str">
        <f>IFERROR(VLOOKUP(M443,Mychart!A584:U1172,2,FALSE),"-")</f>
        <v>-</v>
      </c>
      <c r="O443" s="690"/>
      <c r="P443" s="690"/>
      <c r="Q443" s="690"/>
    </row>
    <row r="444" spans="11:17">
      <c r="K444" s="689"/>
      <c r="L444" s="690"/>
      <c r="M444" s="690"/>
      <c r="N444" s="1443" t="str">
        <f>IFERROR(VLOOKUP(M444,Mychart!A585:U1173,2,FALSE),"-")</f>
        <v>-</v>
      </c>
      <c r="O444" s="690"/>
      <c r="P444" s="690"/>
      <c r="Q444" s="690"/>
    </row>
    <row r="445" spans="11:17">
      <c r="K445" s="689"/>
      <c r="L445" s="690"/>
      <c r="M445" s="690"/>
      <c r="N445" s="1443" t="str">
        <f>IFERROR(VLOOKUP(M445,Mychart!A586:U1174,2,FALSE),"-")</f>
        <v>-</v>
      </c>
      <c r="O445" s="690"/>
      <c r="P445" s="690"/>
      <c r="Q445" s="690"/>
    </row>
    <row r="446" spans="11:17">
      <c r="K446" s="689"/>
      <c r="L446" s="690"/>
      <c r="M446" s="690"/>
      <c r="N446" s="1443" t="str">
        <f>IFERROR(VLOOKUP(M446,Mychart!A587:U1175,2,FALSE),"-")</f>
        <v>-</v>
      </c>
      <c r="O446" s="690"/>
      <c r="P446" s="690"/>
      <c r="Q446" s="690"/>
    </row>
    <row r="447" spans="11:17">
      <c r="K447" s="689"/>
      <c r="L447" s="690"/>
      <c r="M447" s="690"/>
      <c r="N447" s="1443" t="str">
        <f>IFERROR(VLOOKUP(M447,Mychart!A588:U1176,2,FALSE),"-")</f>
        <v>-</v>
      </c>
      <c r="O447" s="690"/>
      <c r="P447" s="690"/>
      <c r="Q447" s="690"/>
    </row>
    <row r="448" spans="11:17">
      <c r="K448" s="689"/>
      <c r="L448" s="690"/>
      <c r="M448" s="690"/>
      <c r="N448" s="1443" t="str">
        <f>IFERROR(VLOOKUP(M448,Mychart!A589:U1177,2,FALSE),"-")</f>
        <v>-</v>
      </c>
      <c r="O448" s="690"/>
      <c r="P448" s="690"/>
      <c r="Q448" s="690"/>
    </row>
    <row r="449" spans="11:17">
      <c r="K449" s="689"/>
      <c r="L449" s="690"/>
      <c r="M449" s="690"/>
      <c r="N449" s="1443" t="str">
        <f>IFERROR(VLOOKUP(M449,Mychart!A590:U1178,2,FALSE),"-")</f>
        <v>-</v>
      </c>
      <c r="O449" s="690"/>
      <c r="P449" s="690"/>
      <c r="Q449" s="690"/>
    </row>
    <row r="450" spans="11:17">
      <c r="K450" s="689"/>
      <c r="L450" s="690"/>
      <c r="M450" s="690"/>
      <c r="N450" s="1443" t="str">
        <f>IFERROR(VLOOKUP(M450,Mychart!A591:U1179,2,FALSE),"-")</f>
        <v>-</v>
      </c>
      <c r="O450" s="690"/>
      <c r="P450" s="690"/>
      <c r="Q450" s="690"/>
    </row>
    <row r="451" spans="11:17">
      <c r="K451" s="689"/>
      <c r="L451" s="690"/>
      <c r="M451" s="690"/>
      <c r="N451" s="1443" t="str">
        <f>IFERROR(VLOOKUP(M451,Mychart!A592:U1180,2,FALSE),"-")</f>
        <v>-</v>
      </c>
      <c r="O451" s="690"/>
      <c r="P451" s="690"/>
      <c r="Q451" s="690"/>
    </row>
    <row r="452" spans="11:17">
      <c r="K452" s="689"/>
      <c r="L452" s="690"/>
      <c r="M452" s="690"/>
      <c r="N452" s="1443" t="str">
        <f>IFERROR(VLOOKUP(M452,Mychart!A593:U1181,2,FALSE),"-")</f>
        <v>-</v>
      </c>
      <c r="O452" s="690"/>
      <c r="P452" s="690"/>
      <c r="Q452" s="690"/>
    </row>
    <row r="453" spans="11:17">
      <c r="K453" s="689"/>
      <c r="L453" s="690"/>
      <c r="M453" s="690"/>
      <c r="N453" s="1443" t="str">
        <f>IFERROR(VLOOKUP(M453,Mychart!A594:U1182,2,FALSE),"-")</f>
        <v>-</v>
      </c>
      <c r="O453" s="690"/>
      <c r="P453" s="690"/>
      <c r="Q453" s="690"/>
    </row>
    <row r="454" spans="11:17">
      <c r="K454" s="689"/>
      <c r="L454" s="690"/>
      <c r="M454" s="690"/>
      <c r="N454" s="1443" t="str">
        <f>IFERROR(VLOOKUP(M454,Mychart!A595:U1183,2,FALSE),"-")</f>
        <v>-</v>
      </c>
      <c r="O454" s="690"/>
      <c r="P454" s="690"/>
      <c r="Q454" s="690"/>
    </row>
    <row r="455" spans="11:17">
      <c r="K455" s="689"/>
      <c r="L455" s="690"/>
      <c r="M455" s="690"/>
      <c r="N455" s="1443" t="str">
        <f>IFERROR(VLOOKUP(M455,Mychart!A596:U1184,2,FALSE),"-")</f>
        <v>-</v>
      </c>
      <c r="O455" s="690"/>
      <c r="P455" s="690"/>
      <c r="Q455" s="690"/>
    </row>
    <row r="456" spans="11:17">
      <c r="K456" s="689"/>
      <c r="L456" s="690"/>
      <c r="M456" s="690"/>
      <c r="N456" s="1443" t="str">
        <f>IFERROR(VLOOKUP(M456,Mychart!A597:U1185,2,FALSE),"-")</f>
        <v>-</v>
      </c>
      <c r="O456" s="690"/>
      <c r="P456" s="690"/>
      <c r="Q456" s="690"/>
    </row>
    <row r="457" spans="11:17">
      <c r="K457" s="689"/>
      <c r="L457" s="690"/>
      <c r="M457" s="690"/>
      <c r="N457" s="1443" t="str">
        <f>IFERROR(VLOOKUP(M457,Mychart!A598:U1186,2,FALSE),"-")</f>
        <v>-</v>
      </c>
      <c r="O457" s="690"/>
      <c r="P457" s="690"/>
      <c r="Q457" s="690"/>
    </row>
    <row r="458" spans="11:17">
      <c r="K458" s="689"/>
      <c r="L458" s="690"/>
      <c r="M458" s="690"/>
      <c r="N458" s="1443" t="str">
        <f>IFERROR(VLOOKUP(M458,Mychart!A599:U1187,2,FALSE),"-")</f>
        <v>-</v>
      </c>
      <c r="O458" s="690"/>
      <c r="P458" s="690"/>
      <c r="Q458" s="690"/>
    </row>
    <row r="459" spans="11:17">
      <c r="K459" s="689"/>
      <c r="L459" s="690"/>
      <c r="M459" s="690"/>
      <c r="N459" s="1443" t="str">
        <f>IFERROR(VLOOKUP(M459,Mychart!A600:U1188,2,FALSE),"-")</f>
        <v>-</v>
      </c>
      <c r="O459" s="690"/>
      <c r="P459" s="690"/>
      <c r="Q459" s="690"/>
    </row>
    <row r="460" spans="11:17">
      <c r="K460" s="689"/>
      <c r="L460" s="690"/>
      <c r="M460" s="690"/>
      <c r="N460" s="1443" t="str">
        <f>IFERROR(VLOOKUP(M460,Mychart!A601:U1189,2,FALSE),"-")</f>
        <v>-</v>
      </c>
      <c r="O460" s="690"/>
      <c r="P460" s="690"/>
      <c r="Q460" s="690"/>
    </row>
    <row r="461" spans="11:17">
      <c r="K461" s="689"/>
      <c r="L461" s="690"/>
      <c r="M461" s="690"/>
      <c r="N461" s="1443" t="str">
        <f>IFERROR(VLOOKUP(M461,Mychart!A602:U1190,2,FALSE),"-")</f>
        <v>-</v>
      </c>
      <c r="O461" s="690"/>
      <c r="P461" s="690"/>
      <c r="Q461" s="690"/>
    </row>
    <row r="462" spans="11:17">
      <c r="K462" s="689"/>
      <c r="L462" s="690"/>
      <c r="M462" s="690"/>
      <c r="N462" s="1443" t="str">
        <f>IFERROR(VLOOKUP(M462,Mychart!A603:U1191,2,FALSE),"-")</f>
        <v>-</v>
      </c>
      <c r="O462" s="690"/>
      <c r="P462" s="690"/>
      <c r="Q462" s="690"/>
    </row>
    <row r="463" spans="11:17">
      <c r="K463" s="689"/>
      <c r="L463" s="690"/>
      <c r="M463" s="690"/>
      <c r="N463" s="1443" t="str">
        <f>IFERROR(VLOOKUP(M463,Mychart!A604:U1192,2,FALSE),"-")</f>
        <v>-</v>
      </c>
      <c r="O463" s="690"/>
      <c r="P463" s="690"/>
      <c r="Q463" s="690"/>
    </row>
    <row r="464" spans="11:17">
      <c r="K464" s="689"/>
      <c r="L464" s="690"/>
      <c r="M464" s="690"/>
      <c r="N464" s="1443" t="str">
        <f>IFERROR(VLOOKUP(M464,Mychart!A605:U1193,2,FALSE),"-")</f>
        <v>-</v>
      </c>
      <c r="O464" s="690"/>
      <c r="P464" s="690"/>
      <c r="Q464" s="690"/>
    </row>
    <row r="465" spans="11:17">
      <c r="K465" s="689"/>
      <c r="L465" s="690"/>
      <c r="M465" s="690"/>
      <c r="N465" s="1443" t="str">
        <f>IFERROR(VLOOKUP(M465,Mychart!A606:U1194,2,FALSE),"-")</f>
        <v>-</v>
      </c>
      <c r="O465" s="690"/>
      <c r="P465" s="690"/>
      <c r="Q465" s="690"/>
    </row>
    <row r="466" spans="11:17">
      <c r="K466" s="689"/>
      <c r="L466" s="690"/>
      <c r="M466" s="690"/>
      <c r="N466" s="1443" t="str">
        <f>IFERROR(VLOOKUP(M466,Mychart!A607:U1195,2,FALSE),"-")</f>
        <v>-</v>
      </c>
      <c r="O466" s="690"/>
      <c r="P466" s="690"/>
      <c r="Q466" s="690"/>
    </row>
    <row r="467" spans="11:17">
      <c r="K467" s="689"/>
      <c r="L467" s="690"/>
      <c r="M467" s="690"/>
      <c r="N467" s="1443" t="str">
        <f>IFERROR(VLOOKUP(M467,Mychart!A608:U1196,2,FALSE),"-")</f>
        <v>-</v>
      </c>
      <c r="O467" s="690"/>
      <c r="P467" s="690"/>
      <c r="Q467" s="690"/>
    </row>
    <row r="468" spans="11:17">
      <c r="K468" s="689"/>
      <c r="L468" s="690"/>
      <c r="M468" s="690"/>
      <c r="N468" s="1443" t="str">
        <f>IFERROR(VLOOKUP(M468,Mychart!A609:U1197,2,FALSE),"-")</f>
        <v>-</v>
      </c>
      <c r="O468" s="690"/>
      <c r="P468" s="690"/>
      <c r="Q468" s="690"/>
    </row>
    <row r="469" spans="11:17">
      <c r="K469" s="689"/>
      <c r="L469" s="690"/>
      <c r="M469" s="690"/>
      <c r="N469" s="1443" t="str">
        <f>IFERROR(VLOOKUP(M469,Mychart!A610:U1198,2,FALSE),"-")</f>
        <v>-</v>
      </c>
      <c r="O469" s="690"/>
      <c r="P469" s="690"/>
      <c r="Q469" s="690"/>
    </row>
    <row r="470" spans="11:17">
      <c r="K470" s="689"/>
      <c r="L470" s="690"/>
      <c r="M470" s="690"/>
      <c r="N470" s="1443" t="str">
        <f>IFERROR(VLOOKUP(M470,Mychart!A611:U1199,2,FALSE),"-")</f>
        <v>-</v>
      </c>
      <c r="O470" s="690"/>
      <c r="P470" s="690"/>
      <c r="Q470" s="690"/>
    </row>
    <row r="471" spans="11:17">
      <c r="K471" s="689"/>
      <c r="L471" s="690"/>
      <c r="M471" s="690"/>
      <c r="N471" s="1443" t="str">
        <f>IFERROR(VLOOKUP(M471,Mychart!A612:U1200,2,FALSE),"-")</f>
        <v>-</v>
      </c>
      <c r="O471" s="690"/>
      <c r="P471" s="690"/>
      <c r="Q471" s="690"/>
    </row>
    <row r="472" spans="11:17">
      <c r="K472" s="689"/>
      <c r="L472" s="690"/>
      <c r="M472" s="690"/>
      <c r="N472" s="1443" t="str">
        <f>IFERROR(VLOOKUP(M472,Mychart!A613:U1201,2,FALSE),"-")</f>
        <v>-</v>
      </c>
      <c r="O472" s="690"/>
      <c r="P472" s="690"/>
      <c r="Q472" s="690"/>
    </row>
    <row r="473" spans="11:17">
      <c r="K473" s="689"/>
      <c r="L473" s="690"/>
      <c r="M473" s="690"/>
      <c r="N473" s="1443" t="str">
        <f>IFERROR(VLOOKUP(M473,Mychart!A614:U1202,2,FALSE),"-")</f>
        <v>-</v>
      </c>
      <c r="O473" s="690"/>
      <c r="P473" s="690"/>
      <c r="Q473" s="690"/>
    </row>
    <row r="474" spans="11:17">
      <c r="K474" s="689"/>
      <c r="L474" s="690"/>
      <c r="M474" s="690"/>
      <c r="N474" s="1443" t="str">
        <f>IFERROR(VLOOKUP(M474,Mychart!A615:U1203,2,FALSE),"-")</f>
        <v>-</v>
      </c>
      <c r="O474" s="690"/>
      <c r="P474" s="690"/>
      <c r="Q474" s="690"/>
    </row>
    <row r="475" spans="11:17">
      <c r="K475" s="689"/>
      <c r="L475" s="690"/>
      <c r="M475" s="690"/>
      <c r="N475" s="1443" t="str">
        <f>IFERROR(VLOOKUP(M475,Mychart!A616:U1204,2,FALSE),"-")</f>
        <v>-</v>
      </c>
      <c r="O475" s="690"/>
      <c r="P475" s="690"/>
      <c r="Q475" s="690"/>
    </row>
    <row r="476" spans="11:17">
      <c r="K476" s="689"/>
      <c r="L476" s="690"/>
      <c r="M476" s="690"/>
      <c r="N476" s="1443" t="str">
        <f>IFERROR(VLOOKUP(M476,Mychart!A617:U1205,2,FALSE),"-")</f>
        <v>-</v>
      </c>
      <c r="O476" s="690"/>
      <c r="P476" s="690"/>
      <c r="Q476" s="690"/>
    </row>
    <row r="477" spans="11:17">
      <c r="K477" s="689"/>
      <c r="L477" s="690"/>
      <c r="M477" s="690"/>
      <c r="N477" s="1443" t="str">
        <f>IFERROR(VLOOKUP(M477,Mychart!A618:U1206,2,FALSE),"-")</f>
        <v>-</v>
      </c>
      <c r="O477" s="690"/>
      <c r="P477" s="690"/>
      <c r="Q477" s="690"/>
    </row>
    <row r="478" spans="11:17">
      <c r="K478" s="689"/>
      <c r="L478" s="690"/>
      <c r="M478" s="690"/>
      <c r="N478" s="1443" t="str">
        <f>IFERROR(VLOOKUP(M478,Mychart!A619:U1207,2,FALSE),"-")</f>
        <v>-</v>
      </c>
      <c r="O478" s="690"/>
      <c r="P478" s="690"/>
      <c r="Q478" s="690"/>
    </row>
    <row r="479" spans="11:17">
      <c r="K479" s="689"/>
      <c r="L479" s="690"/>
      <c r="M479" s="690"/>
      <c r="N479" s="1443" t="str">
        <f>IFERROR(VLOOKUP(M479,Mychart!A620:U1208,2,FALSE),"-")</f>
        <v>-</v>
      </c>
      <c r="O479" s="690"/>
      <c r="P479" s="690"/>
      <c r="Q479" s="690"/>
    </row>
    <row r="480" spans="11:17">
      <c r="K480" s="689"/>
      <c r="L480" s="690"/>
      <c r="M480" s="690"/>
      <c r="N480" s="1443" t="str">
        <f>IFERROR(VLOOKUP(M480,Mychart!A621:U1209,2,FALSE),"-")</f>
        <v>-</v>
      </c>
      <c r="O480" s="690"/>
      <c r="P480" s="690"/>
      <c r="Q480" s="690"/>
    </row>
    <row r="481" spans="11:17">
      <c r="K481" s="689"/>
      <c r="L481" s="690"/>
      <c r="M481" s="690"/>
      <c r="N481" s="1443" t="str">
        <f>IFERROR(VLOOKUP(M481,Mychart!A622:U1210,2,FALSE),"-")</f>
        <v>-</v>
      </c>
      <c r="O481" s="690"/>
      <c r="P481" s="690"/>
      <c r="Q481" s="690"/>
    </row>
    <row r="482" spans="11:17">
      <c r="K482" s="689"/>
      <c r="L482" s="690"/>
      <c r="M482" s="690"/>
      <c r="N482" s="1443" t="str">
        <f>IFERROR(VLOOKUP(M482,Mychart!A623:U1211,2,FALSE),"-")</f>
        <v>-</v>
      </c>
      <c r="O482" s="690"/>
      <c r="P482" s="690"/>
      <c r="Q482" s="690"/>
    </row>
    <row r="483" spans="11:17">
      <c r="K483" s="689"/>
      <c r="L483" s="690"/>
      <c r="M483" s="690"/>
      <c r="N483" s="1443" t="str">
        <f>IFERROR(VLOOKUP(M483,Mychart!A624:U1212,2,FALSE),"-")</f>
        <v>-</v>
      </c>
      <c r="O483" s="690"/>
      <c r="P483" s="690"/>
      <c r="Q483" s="690"/>
    </row>
  </sheetData>
  <sheetProtection selectLockedCells="1"/>
  <sortState xmlns:xlrd2="http://schemas.microsoft.com/office/spreadsheetml/2017/richdata2" ref="B61:B218">
    <sortCondition ref="B61:B218"/>
  </sortState>
  <customSheetViews>
    <customSheetView guid="{CE7484BD-F9E2-4C03-AA0F-F7057FD8E6EF}">
      <selection sqref="A1:C2"/>
      <pageMargins left="0" right="0" top="1.1811023622047245" bottom="0" header="0" footer="0"/>
      <pageSetup paperSize="9" orientation="portrait" r:id="rId1"/>
      <headerFooter>
        <oddHeader>&amp;L&amp;G</oddHeader>
        <oddFooter>&amp;L&amp;G</oddFooter>
      </headerFooter>
    </customSheetView>
  </customSheetViews>
  <mergeCells count="43">
    <mergeCell ref="A1:C2"/>
    <mergeCell ref="A3:C3"/>
    <mergeCell ref="A4:C4"/>
    <mergeCell ref="H3:I3"/>
    <mergeCell ref="H8:I8"/>
    <mergeCell ref="E8:E9"/>
    <mergeCell ref="F8:F9"/>
    <mergeCell ref="B9:C9"/>
    <mergeCell ref="E6:E7"/>
    <mergeCell ref="F6:F7"/>
    <mergeCell ref="A6:C6"/>
    <mergeCell ref="H6:I6"/>
    <mergeCell ref="A8:C8"/>
    <mergeCell ref="A36:D36"/>
    <mergeCell ref="A34:D34"/>
    <mergeCell ref="A35:D35"/>
    <mergeCell ref="F10:F11"/>
    <mergeCell ref="B22:C22"/>
    <mergeCell ref="B23:C23"/>
    <mergeCell ref="B24:C24"/>
    <mergeCell ref="B25:C25"/>
    <mergeCell ref="B17:C17"/>
    <mergeCell ref="B18:C18"/>
    <mergeCell ref="E10:E11"/>
    <mergeCell ref="B15:C15"/>
    <mergeCell ref="B12:C12"/>
    <mergeCell ref="B13:C13"/>
    <mergeCell ref="B10:C11"/>
    <mergeCell ref="A10:A11"/>
    <mergeCell ref="D10:D11"/>
    <mergeCell ref="B30:C30"/>
    <mergeCell ref="B32:C32"/>
    <mergeCell ref="B33:C33"/>
    <mergeCell ref="B31:C31"/>
    <mergeCell ref="B21:C21"/>
    <mergeCell ref="B20:C20"/>
    <mergeCell ref="B19:C19"/>
    <mergeCell ref="B29:C29"/>
    <mergeCell ref="B28:C28"/>
    <mergeCell ref="B14:C14"/>
    <mergeCell ref="B27:C27"/>
    <mergeCell ref="B26:C26"/>
    <mergeCell ref="B16:C16"/>
  </mergeCells>
  <phoneticPr fontId="36" type="noConversion"/>
  <pageMargins left="0" right="0" top="1.1811023622047245" bottom="0" header="0" footer="0"/>
  <pageSetup paperSize="9" orientation="portrait" r:id="rId2"/>
  <headerFooter>
    <oddHeader>&amp;L&amp;G</oddHeader>
    <oddFooter>&amp;L&amp;G</oddFooter>
  </headerFooter>
  <customProperties>
    <customPr name="LastActive" r:id="rId3"/>
  </customProperties>
  <ignoredErrors>
    <ignoredError sqref="F12 F13:F33 F36 A34:D36" unlockedFormula="1"/>
  </ignoredErrors>
  <drawing r:id="rId4"/>
  <legacyDrawing r:id="rId5"/>
  <legacyDrawingHF r:id="rId6"/>
  <controls>
    <mc:AlternateContent xmlns:mc="http://schemas.openxmlformats.org/markup-compatibility/2006">
      <mc:Choice Requires="x14">
        <control shapeId="168961" r:id="rId7" name="ComboBox1">
          <controlPr locked="0" defaultSize="0" autoLine="0" r:id="rId8">
            <anchor moveWithCells="1">
              <from>
                <xdr:col>6</xdr:col>
                <xdr:colOff>47625</xdr:colOff>
                <xdr:row>3</xdr:row>
                <xdr:rowOff>28575</xdr:rowOff>
              </from>
              <to>
                <xdr:col>9</xdr:col>
                <xdr:colOff>38100</xdr:colOff>
                <xdr:row>5</xdr:row>
                <xdr:rowOff>0</xdr:rowOff>
              </to>
            </anchor>
          </controlPr>
        </control>
      </mc:Choice>
      <mc:Fallback>
        <control shapeId="168961" r:id="rId7" name="ComboBox1"/>
      </mc:Fallback>
    </mc:AlternateContent>
    <mc:AlternateContent xmlns:mc="http://schemas.openxmlformats.org/markup-compatibility/2006">
      <mc:Choice Requires="x14">
        <control shapeId="168963" r:id="rId9" name="ComboBox2">
          <controlPr locked="0" defaultSize="0" autoLine="0" listFillRange="Mychart!A396:B722" r:id="rId10">
            <anchor moveWithCells="1">
              <from>
                <xdr:col>6</xdr:col>
                <xdr:colOff>47625</xdr:colOff>
                <xdr:row>6</xdr:row>
                <xdr:rowOff>9525</xdr:rowOff>
              </from>
              <to>
                <xdr:col>9</xdr:col>
                <xdr:colOff>38100</xdr:colOff>
                <xdr:row>7</xdr:row>
                <xdr:rowOff>19050</xdr:rowOff>
              </to>
            </anchor>
          </controlPr>
        </control>
      </mc:Choice>
      <mc:Fallback>
        <control shapeId="168963" r:id="rId9" name="ComboBox2"/>
      </mc:Fallback>
    </mc:AlternateContent>
    <mc:AlternateContent xmlns:mc="http://schemas.openxmlformats.org/markup-compatibility/2006">
      <mc:Choice Requires="x14">
        <control shapeId="168964" r:id="rId11" name="ComboBox3">
          <controlPr locked="0" defaultSize="0" autoLine="0" listFillRange="ProHeader!C6:D90" r:id="rId12">
            <anchor moveWithCells="1">
              <from>
                <xdr:col>6</xdr:col>
                <xdr:colOff>47625</xdr:colOff>
                <xdr:row>8</xdr:row>
                <xdr:rowOff>0</xdr:rowOff>
              </from>
              <to>
                <xdr:col>9</xdr:col>
                <xdr:colOff>38100</xdr:colOff>
                <xdr:row>9</xdr:row>
                <xdr:rowOff>47625</xdr:rowOff>
              </to>
            </anchor>
          </controlPr>
        </control>
      </mc:Choice>
      <mc:Fallback>
        <control shapeId="168964" r:id="rId11" name="ComboBox3"/>
      </mc:Fallback>
    </mc:AlternateContent>
    <mc:AlternateContent xmlns:mc="http://schemas.openxmlformats.org/markup-compatibility/2006">
      <mc:Choice Requires="x14">
        <control shapeId="168965" r:id="rId13" name="CommandButton1">
          <controlPr locked="0" defaultSize="0" autoLine="0" r:id="rId14">
            <anchor moveWithCells="1">
              <from>
                <xdr:col>6</xdr:col>
                <xdr:colOff>285750</xdr:colOff>
                <xdr:row>18</xdr:row>
                <xdr:rowOff>142875</xdr:rowOff>
              </from>
              <to>
                <xdr:col>7</xdr:col>
                <xdr:colOff>571500</xdr:colOff>
                <xdr:row>20</xdr:row>
                <xdr:rowOff>38100</xdr:rowOff>
              </to>
            </anchor>
          </controlPr>
        </control>
      </mc:Choice>
      <mc:Fallback>
        <control shapeId="168965" r:id="rId13" name="CommandButton1"/>
      </mc:Fallback>
    </mc:AlternateContent>
    <mc:AlternateContent xmlns:mc="http://schemas.openxmlformats.org/markup-compatibility/2006">
      <mc:Choice Requires="x14">
        <control shapeId="168966" r:id="rId15" name="CommandButton2">
          <controlPr locked="0" defaultSize="0" autoLine="0" r:id="rId16">
            <anchor moveWithCells="1">
              <from>
                <xdr:col>6</xdr:col>
                <xdr:colOff>304800</xdr:colOff>
                <xdr:row>16</xdr:row>
                <xdr:rowOff>142875</xdr:rowOff>
              </from>
              <to>
                <xdr:col>7</xdr:col>
                <xdr:colOff>590550</xdr:colOff>
                <xdr:row>18</xdr:row>
                <xdr:rowOff>38100</xdr:rowOff>
              </to>
            </anchor>
          </controlPr>
        </control>
      </mc:Choice>
      <mc:Fallback>
        <control shapeId="168966" r:id="rId15" name="CommandButton2"/>
      </mc:Fallback>
    </mc:AlternateContent>
    <mc:AlternateContent xmlns:mc="http://schemas.openxmlformats.org/markup-compatibility/2006">
      <mc:Choice Requires="x14">
        <control shapeId="168967" r:id="rId17" name="CommandButton3">
          <controlPr locked="0" defaultSize="0" autoLine="0" r:id="rId18">
            <anchor moveWithCells="1">
              <from>
                <xdr:col>6</xdr:col>
                <xdr:colOff>276225</xdr:colOff>
                <xdr:row>12</xdr:row>
                <xdr:rowOff>161925</xdr:rowOff>
              </from>
              <to>
                <xdr:col>7</xdr:col>
                <xdr:colOff>561975</xdr:colOff>
                <xdr:row>14</xdr:row>
                <xdr:rowOff>57150</xdr:rowOff>
              </to>
            </anchor>
          </controlPr>
        </control>
      </mc:Choice>
      <mc:Fallback>
        <control shapeId="168967" r:id="rId17" name="CommandButton3"/>
      </mc:Fallback>
    </mc:AlternateContent>
    <mc:AlternateContent xmlns:mc="http://schemas.openxmlformats.org/markup-compatibility/2006">
      <mc:Choice Requires="x14">
        <control shapeId="168969" r:id="rId19" name="CommandButton5">
          <controlPr locked="0" defaultSize="0" autoLine="0" r:id="rId20">
            <anchor moveWithCells="1">
              <from>
                <xdr:col>6</xdr:col>
                <xdr:colOff>285750</xdr:colOff>
                <xdr:row>10</xdr:row>
                <xdr:rowOff>171450</xdr:rowOff>
              </from>
              <to>
                <xdr:col>7</xdr:col>
                <xdr:colOff>571500</xdr:colOff>
                <xdr:row>12</xdr:row>
                <xdr:rowOff>66675</xdr:rowOff>
              </to>
            </anchor>
          </controlPr>
        </control>
      </mc:Choice>
      <mc:Fallback>
        <control shapeId="168969" r:id="rId19" name="CommandButton5"/>
      </mc:Fallback>
    </mc:AlternateContent>
    <mc:AlternateContent xmlns:mc="http://schemas.openxmlformats.org/markup-compatibility/2006">
      <mc:Choice Requires="x14">
        <control shapeId="168970" r:id="rId21" name="CommandButton4">
          <controlPr locked="0" defaultSize="0" autoLine="0" r:id="rId22">
            <anchor moveWithCells="1">
              <from>
                <xdr:col>6</xdr:col>
                <xdr:colOff>295275</xdr:colOff>
                <xdr:row>14</xdr:row>
                <xdr:rowOff>171450</xdr:rowOff>
              </from>
              <to>
                <xdr:col>7</xdr:col>
                <xdr:colOff>581025</xdr:colOff>
                <xdr:row>16</xdr:row>
                <xdr:rowOff>57150</xdr:rowOff>
              </to>
            </anchor>
          </controlPr>
        </control>
      </mc:Choice>
      <mc:Fallback>
        <control shapeId="168970" r:id="rId21" name="CommandButton4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F0BBD-7EBF-43BC-8909-DFFB2798B52A}">
  <sheetPr codeName="Sheet41" filterMode="1">
    <tabColor rgb="FFFF0000"/>
  </sheetPr>
  <dimension ref="A1:AO80"/>
  <sheetViews>
    <sheetView zoomScale="85" zoomScaleNormal="85" zoomScaleSheetLayoutView="85" workbookViewId="0">
      <selection activeCell="M35" sqref="M35"/>
    </sheetView>
  </sheetViews>
  <sheetFormatPr defaultColWidth="9.140625" defaultRowHeight="15.75"/>
  <cols>
    <col min="1" max="2" width="2.28515625" style="115" customWidth="1"/>
    <col min="3" max="3" width="2.7109375" style="86" customWidth="1"/>
    <col min="4" max="4" width="9.5703125" style="86" customWidth="1"/>
    <col min="5" max="5" width="18.28515625" style="86" customWidth="1"/>
    <col min="6" max="6" width="13.42578125" style="109" customWidth="1"/>
    <col min="7" max="7" width="11.140625" style="86" customWidth="1"/>
    <col min="8" max="8" width="18" style="86" customWidth="1"/>
    <col min="9" max="9" width="12.85546875" style="86" customWidth="1"/>
    <col min="10" max="10" width="15.5703125" style="86" customWidth="1"/>
    <col min="11" max="11" width="9.140625" style="23"/>
    <col min="12" max="12" width="10.5703125" style="23" customWidth="1"/>
    <col min="13" max="13" width="23" style="23" bestFit="1" customWidth="1"/>
    <col min="14" max="14" width="12.28515625" style="23" bestFit="1" customWidth="1"/>
    <col min="15" max="15" width="11" style="23" bestFit="1" customWidth="1"/>
    <col min="16" max="16" width="10.7109375" style="23" bestFit="1" customWidth="1"/>
    <col min="17" max="17" width="9.140625" style="23"/>
    <col min="18" max="18" width="5.28515625" style="23" customWidth="1"/>
    <col min="19" max="27" width="9.140625" style="23"/>
    <col min="28" max="16384" width="9.140625" style="86"/>
  </cols>
  <sheetData>
    <row r="1" spans="1:41" ht="16.5" thickBot="1">
      <c r="A1" s="821">
        <v>2</v>
      </c>
      <c r="B1" s="821">
        <v>1</v>
      </c>
      <c r="C1" s="1816"/>
      <c r="D1" s="1816"/>
      <c r="E1" s="1816"/>
      <c r="F1" s="1816"/>
      <c r="G1" s="23"/>
      <c r="H1" s="23"/>
      <c r="I1" s="23"/>
      <c r="J1" s="23"/>
      <c r="K1" s="837"/>
      <c r="L1" s="838">
        <v>297</v>
      </c>
      <c r="M1" s="838"/>
      <c r="N1" s="837" t="e">
        <f>VLOOKUP(M1,salesInv!A8:D128,4,FALSE)</f>
        <v>#N/A</v>
      </c>
      <c r="O1" s="837">
        <f>VLOOKUP(L1,ProHeader!C9:O182,12,FALSE)</f>
        <v>0</v>
      </c>
      <c r="P1" s="837">
        <v>2</v>
      </c>
      <c r="Q1" s="837">
        <v>153</v>
      </c>
      <c r="R1" s="837"/>
      <c r="S1" s="837"/>
      <c r="T1" s="837"/>
      <c r="U1" s="837"/>
      <c r="V1" s="839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23"/>
      <c r="AM1" s="23"/>
    </row>
    <row r="2" spans="1:41" ht="20.100000000000001" customHeight="1" thickTop="1">
      <c r="A2" s="821">
        <v>2</v>
      </c>
      <c r="B2" s="821">
        <v>1</v>
      </c>
      <c r="C2" s="1816"/>
      <c r="D2" s="1816"/>
      <c r="E2" s="1816"/>
      <c r="F2" s="1816"/>
      <c r="G2" s="23"/>
      <c r="H2" s="23"/>
      <c r="I2" s="23"/>
      <c r="J2" s="23"/>
      <c r="K2" s="887"/>
      <c r="L2" s="890" t="s">
        <v>2824</v>
      </c>
      <c r="M2" s="887"/>
      <c r="N2" s="887"/>
      <c r="O2" s="887"/>
      <c r="P2" s="887"/>
      <c r="Q2" s="887"/>
      <c r="R2" s="811"/>
      <c r="S2" s="811"/>
      <c r="T2" s="811"/>
      <c r="U2" s="829"/>
      <c r="V2" s="832"/>
      <c r="W2" s="811"/>
      <c r="X2" s="811"/>
      <c r="Y2" s="811"/>
      <c r="Z2" s="811"/>
      <c r="AA2" s="811"/>
      <c r="AB2" s="811"/>
      <c r="AC2" s="811"/>
      <c r="AD2" s="811"/>
      <c r="AE2" s="811"/>
      <c r="AF2" s="811"/>
      <c r="AG2" s="811"/>
      <c r="AH2" s="811"/>
      <c r="AI2" s="811"/>
      <c r="AJ2" s="811"/>
      <c r="AK2" s="811"/>
      <c r="AL2" s="811"/>
      <c r="AM2" s="811"/>
      <c r="AN2" s="811"/>
      <c r="AO2" s="811"/>
    </row>
    <row r="3" spans="1:41" ht="30" customHeight="1" thickBot="1">
      <c r="A3" s="821">
        <v>2</v>
      </c>
      <c r="B3" s="821">
        <v>1</v>
      </c>
      <c r="C3" s="1816"/>
      <c r="D3" s="1816"/>
      <c r="E3" s="1816"/>
      <c r="F3" s="1816"/>
      <c r="G3" s="23"/>
      <c r="H3" s="23"/>
      <c r="I3" s="592"/>
      <c r="J3" s="23"/>
      <c r="K3" s="888"/>
      <c r="L3" s="889"/>
      <c r="M3" s="888"/>
      <c r="N3" s="888"/>
      <c r="O3" s="888"/>
      <c r="P3" s="888"/>
      <c r="Q3" s="888"/>
      <c r="R3" s="811"/>
      <c r="S3" s="811"/>
      <c r="T3" s="811"/>
      <c r="U3" s="830" t="s">
        <v>2825</v>
      </c>
      <c r="V3" s="832"/>
      <c r="W3" s="811"/>
      <c r="X3" s="811"/>
      <c r="Y3" s="811"/>
      <c r="Z3" s="811"/>
      <c r="AA3" s="811"/>
      <c r="AB3" s="811"/>
      <c r="AC3" s="811"/>
      <c r="AD3" s="811"/>
      <c r="AE3" s="811"/>
      <c r="AF3" s="811"/>
      <c r="AG3" s="811"/>
      <c r="AH3" s="811"/>
      <c r="AI3" s="811"/>
      <c r="AJ3" s="811"/>
      <c r="AK3" s="811"/>
      <c r="AL3" s="811"/>
      <c r="AM3" s="811"/>
      <c r="AN3" s="811"/>
      <c r="AO3" s="811"/>
    </row>
    <row r="4" spans="1:41" ht="20.100000000000001" customHeight="1" thickTop="1">
      <c r="A4" s="821">
        <v>2</v>
      </c>
      <c r="B4" s="821">
        <v>1</v>
      </c>
      <c r="C4" s="1816"/>
      <c r="D4" s="1816"/>
      <c r="E4" s="1816"/>
      <c r="F4" s="1816"/>
      <c r="G4" s="23"/>
      <c r="H4" s="23"/>
      <c r="I4" s="23"/>
      <c r="J4" s="23"/>
      <c r="K4" s="813"/>
      <c r="L4" s="814"/>
      <c r="M4" s="813"/>
      <c r="N4" s="813"/>
      <c r="O4" s="813"/>
      <c r="P4" s="813"/>
      <c r="Q4" s="813"/>
      <c r="R4" s="811"/>
      <c r="S4" s="811"/>
      <c r="T4" s="811"/>
      <c r="U4" s="830" t="s">
        <v>2820</v>
      </c>
      <c r="V4" s="832"/>
      <c r="W4" s="811"/>
      <c r="X4" s="811"/>
      <c r="Y4" s="811"/>
      <c r="Z4" s="811"/>
      <c r="AA4" s="811"/>
      <c r="AB4" s="811"/>
      <c r="AC4" s="811"/>
      <c r="AD4" s="811"/>
      <c r="AE4" s="811"/>
      <c r="AF4" s="811"/>
      <c r="AG4" s="811"/>
      <c r="AH4" s="811"/>
      <c r="AI4" s="811"/>
      <c r="AJ4" s="811"/>
      <c r="AK4" s="811"/>
      <c r="AL4" s="811"/>
      <c r="AM4" s="811"/>
      <c r="AN4" s="811"/>
      <c r="AO4" s="811"/>
    </row>
    <row r="5" spans="1:41" ht="20.100000000000001" customHeight="1" thickBot="1">
      <c r="A5" s="821">
        <v>2</v>
      </c>
      <c r="B5" s="821">
        <v>1</v>
      </c>
      <c r="C5" s="1817" t="s">
        <v>1210</v>
      </c>
      <c r="D5" s="1817"/>
      <c r="E5" s="1817"/>
      <c r="F5" s="1817"/>
      <c r="G5" s="23"/>
      <c r="H5" s="23"/>
      <c r="I5" s="23"/>
      <c r="J5" s="23"/>
      <c r="K5" s="824" t="s">
        <v>2829</v>
      </c>
      <c r="L5" s="824"/>
      <c r="M5" s="892">
        <f>VLOOKUP(L1,ProHeader!C9:AN175,10,FALSE)</f>
        <v>90000</v>
      </c>
      <c r="N5" s="813"/>
      <c r="O5" s="824" t="s">
        <v>242</v>
      </c>
      <c r="P5" s="813"/>
      <c r="Q5" s="894"/>
      <c r="R5" s="811"/>
      <c r="S5" s="811"/>
      <c r="T5" s="811"/>
      <c r="U5" s="829" t="s">
        <v>2826</v>
      </c>
      <c r="V5" s="832"/>
      <c r="W5" s="811"/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</row>
    <row r="6" spans="1:41" ht="20.100000000000001" customHeight="1" thickTop="1" thickBot="1">
      <c r="A6" s="821">
        <v>2</v>
      </c>
      <c r="B6" s="821">
        <v>1</v>
      </c>
      <c r="C6" s="1817"/>
      <c r="D6" s="1817"/>
      <c r="E6" s="1817"/>
      <c r="F6" s="1817"/>
      <c r="G6" s="23"/>
      <c r="H6" s="23"/>
      <c r="I6" s="23"/>
      <c r="J6" s="23"/>
      <c r="K6" s="824" t="s">
        <v>2830</v>
      </c>
      <c r="L6" s="824"/>
      <c r="M6" s="892">
        <f>VLOOKUP(L1,ProHeader!C9:AN175,11,FALSE)</f>
        <v>0</v>
      </c>
      <c r="N6" s="813"/>
      <c r="O6" s="824" t="s">
        <v>244</v>
      </c>
      <c r="P6" s="813"/>
      <c r="Q6" s="894"/>
      <c r="R6" s="811"/>
      <c r="S6" s="811"/>
      <c r="T6" s="811"/>
      <c r="U6" s="829"/>
      <c r="V6" s="832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</row>
    <row r="7" spans="1:41" ht="20.100000000000001" customHeight="1" thickTop="1" thickBot="1">
      <c r="A7" s="821">
        <v>2</v>
      </c>
      <c r="B7" s="821">
        <v>1</v>
      </c>
      <c r="C7" s="353"/>
      <c r="D7" s="353"/>
      <c r="E7" s="1011"/>
      <c r="F7" s="353"/>
      <c r="G7" s="23"/>
      <c r="H7" s="23"/>
      <c r="I7" s="23"/>
      <c r="J7" s="23"/>
      <c r="K7" s="824" t="s">
        <v>2831</v>
      </c>
      <c r="L7" s="824"/>
      <c r="M7" s="892">
        <f>VLOOKUP(L1,ProHeader!C9:AN175,12,FALSE)</f>
        <v>0</v>
      </c>
      <c r="N7" s="813"/>
      <c r="O7" s="824" t="s">
        <v>245</v>
      </c>
      <c r="P7" s="813"/>
      <c r="Q7" s="894"/>
      <c r="R7" s="811"/>
      <c r="S7" s="811"/>
      <c r="T7" s="811"/>
      <c r="U7" s="830" t="s">
        <v>2827</v>
      </c>
      <c r="V7" s="83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</row>
    <row r="8" spans="1:41" ht="20.100000000000001" customHeight="1" thickTop="1" thickBot="1">
      <c r="A8" s="821">
        <v>2</v>
      </c>
      <c r="B8" s="821">
        <v>1</v>
      </c>
      <c r="C8" s="23"/>
      <c r="D8" s="1018" t="s">
        <v>4</v>
      </c>
      <c r="E8" s="577">
        <v>45638</v>
      </c>
      <c r="F8" s="1014"/>
      <c r="G8" s="1015"/>
      <c r="H8" s="1016" t="s">
        <v>1327</v>
      </c>
      <c r="I8" s="1016"/>
      <c r="J8" s="23"/>
      <c r="K8" s="824" t="s">
        <v>1328</v>
      </c>
      <c r="L8" s="824"/>
      <c r="M8" s="893">
        <f>VLOOKUP(L1,ProHeader!C9:AN175,23,FALSE)</f>
        <v>0</v>
      </c>
      <c r="N8" s="892">
        <f>J31*M8</f>
        <v>0</v>
      </c>
      <c r="O8" s="824" t="s">
        <v>246</v>
      </c>
      <c r="P8" s="813"/>
      <c r="Q8" s="822"/>
      <c r="R8" s="811"/>
      <c r="S8" s="811"/>
      <c r="T8" s="811"/>
      <c r="U8" s="829" t="s">
        <v>2828</v>
      </c>
      <c r="V8" s="83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</row>
    <row r="9" spans="1:41" ht="20.100000000000001" customHeight="1" thickTop="1" thickBot="1">
      <c r="A9" s="821">
        <v>2</v>
      </c>
      <c r="B9" s="821">
        <v>1</v>
      </c>
      <c r="C9" s="23"/>
      <c r="D9" s="1019" t="s">
        <v>964</v>
      </c>
      <c r="E9" s="1013" t="s">
        <v>1488</v>
      </c>
      <c r="F9" s="1014"/>
      <c r="G9" s="1015"/>
      <c r="H9" s="1017"/>
      <c r="I9" s="1015"/>
      <c r="J9" s="23"/>
      <c r="K9" s="824" t="s">
        <v>2832</v>
      </c>
      <c r="L9" s="824"/>
      <c r="M9" s="893">
        <f>VLOOKUP(L1,ProHeader!C9:AN175,22,FALSE)</f>
        <v>0.05</v>
      </c>
      <c r="N9" s="813"/>
      <c r="O9" s="824" t="s">
        <v>855</v>
      </c>
      <c r="P9" s="813"/>
      <c r="Q9" s="823"/>
      <c r="R9" s="811"/>
      <c r="S9" s="811"/>
      <c r="T9" s="811"/>
      <c r="U9" s="829"/>
      <c r="V9" s="832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</row>
    <row r="10" spans="1:41" ht="20.100000000000001" customHeight="1" thickTop="1">
      <c r="A10" s="821">
        <v>2</v>
      </c>
      <c r="B10" s="821">
        <v>1</v>
      </c>
      <c r="C10" s="23"/>
      <c r="D10" s="1019" t="s">
        <v>1763</v>
      </c>
      <c r="E10" s="1828" t="str">
        <f>VLOOKUP(L1,ProHeader!C9:O175,3,FALSE) &amp;"  -  " &amp;L1</f>
        <v>RASHID AL MARZOUQI  -  297</v>
      </c>
      <c r="F10" s="1828"/>
      <c r="G10" s="1828"/>
      <c r="H10" s="1828"/>
      <c r="I10" s="1828"/>
      <c r="J10" s="866"/>
      <c r="K10" s="824" t="s">
        <v>1329</v>
      </c>
      <c r="L10" s="824"/>
      <c r="M10" s="1652">
        <f>VLOOKUP(L1,ProHeader!C9:AN175,24,FALSE)</f>
        <v>0</v>
      </c>
      <c r="N10" s="813"/>
      <c r="O10" s="813"/>
      <c r="P10" s="813"/>
      <c r="Q10" s="813"/>
      <c r="R10" s="811"/>
      <c r="S10" s="811"/>
      <c r="T10" s="811"/>
      <c r="U10" s="830"/>
      <c r="V10" s="832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</row>
    <row r="11" spans="1:41" ht="30.75" customHeight="1">
      <c r="A11" s="821">
        <v>2</v>
      </c>
      <c r="B11" s="821">
        <v>1</v>
      </c>
      <c r="C11" s="23"/>
      <c r="D11" s="1019" t="s">
        <v>854</v>
      </c>
      <c r="E11" s="1431" t="str">
        <f>VLOOKUP(L1,ProHeader!C9:O175,4,FALSE) &amp;" - Address:- " &amp;W35&amp;  VLOOKUP(L1,ProHeader!C9:O175,5,FALSE) &amp;" - Polt No / " &amp;W36&amp; VLOOKUP(L1,ProHeader!C9:O175,6,FALSE)</f>
        <v>Private Villa - Address:- Al Muhaisnah- DUBAI - Polt No / …..</v>
      </c>
      <c r="F11" s="1016"/>
      <c r="G11" s="1016"/>
      <c r="H11" s="1016"/>
      <c r="I11" s="1016"/>
      <c r="J11" s="23"/>
      <c r="K11" s="824" t="s">
        <v>223</v>
      </c>
      <c r="L11" s="825"/>
      <c r="M11" s="1810" t="str">
        <f>VLOOKUP(L1,ProHeader!C9:AN175,21,FALSE)</f>
        <v>ca</v>
      </c>
      <c r="N11" s="1811"/>
      <c r="O11" s="1811"/>
      <c r="P11" s="1811"/>
      <c r="Q11" s="1812"/>
      <c r="R11" s="811"/>
      <c r="S11" s="811"/>
      <c r="T11" s="811"/>
      <c r="U11" s="829"/>
      <c r="V11" s="832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</row>
    <row r="12" spans="1:41" s="87" customFormat="1" ht="24.75" hidden="1" customHeight="1" thickBot="1">
      <c r="A12" s="821"/>
      <c r="B12" s="821">
        <v>1</v>
      </c>
      <c r="D12" s="1818" t="s">
        <v>1623</v>
      </c>
      <c r="E12" s="1819"/>
      <c r="F12" s="1819"/>
      <c r="G12" s="1819"/>
      <c r="H12" s="1819"/>
      <c r="I12" s="1819"/>
      <c r="J12" s="359">
        <f>VLOOKUP(L1,ProHeader!C9:O175,10,FALSE)</f>
        <v>90000</v>
      </c>
      <c r="K12" s="813"/>
      <c r="L12" s="825"/>
      <c r="M12" s="813"/>
      <c r="N12" s="813"/>
      <c r="O12" s="813"/>
      <c r="P12" s="813"/>
      <c r="Q12" s="813"/>
      <c r="R12" s="814"/>
      <c r="S12" s="814"/>
      <c r="T12" s="814"/>
      <c r="U12" s="829"/>
      <c r="V12" s="833"/>
      <c r="W12" s="814"/>
      <c r="X12" s="814"/>
      <c r="Y12" s="814"/>
      <c r="Z12" s="814"/>
      <c r="AA12" s="814"/>
      <c r="AB12" s="814"/>
      <c r="AC12" s="814"/>
      <c r="AD12" s="814"/>
      <c r="AE12" s="814"/>
      <c r="AF12" s="814"/>
      <c r="AG12" s="814"/>
      <c r="AH12" s="814"/>
      <c r="AI12" s="814"/>
      <c r="AJ12" s="814"/>
      <c r="AK12" s="814"/>
      <c r="AL12" s="814"/>
      <c r="AM12" s="814"/>
      <c r="AN12" s="814"/>
      <c r="AO12" s="814"/>
    </row>
    <row r="13" spans="1:41" s="88" customFormat="1" ht="22.5" hidden="1" customHeight="1">
      <c r="A13" s="821"/>
      <c r="B13" s="821">
        <v>1</v>
      </c>
      <c r="C13" s="212"/>
      <c r="D13" s="119" t="s">
        <v>830</v>
      </c>
      <c r="E13" s="120" t="s">
        <v>14</v>
      </c>
      <c r="F13" s="121" t="s">
        <v>240</v>
      </c>
      <c r="G13" s="122" t="s">
        <v>222</v>
      </c>
      <c r="H13" s="123" t="s">
        <v>241</v>
      </c>
      <c r="I13" s="123" t="s">
        <v>240</v>
      </c>
      <c r="J13" s="124" t="s">
        <v>222</v>
      </c>
      <c r="K13" s="813"/>
      <c r="L13" s="825"/>
      <c r="M13" s="813"/>
      <c r="N13" s="813"/>
      <c r="O13" s="813"/>
      <c r="P13" s="813"/>
      <c r="Q13" s="813"/>
      <c r="R13" s="813"/>
      <c r="S13" s="813"/>
      <c r="T13" s="813"/>
      <c r="U13" s="829"/>
      <c r="V13" s="834"/>
      <c r="W13" s="813"/>
      <c r="X13" s="813"/>
      <c r="Y13" s="813"/>
      <c r="Z13" s="813"/>
      <c r="AA13" s="813"/>
      <c r="AB13" s="813"/>
      <c r="AC13" s="813"/>
      <c r="AD13" s="813"/>
      <c r="AE13" s="813"/>
      <c r="AF13" s="813"/>
      <c r="AG13" s="813"/>
      <c r="AH13" s="813"/>
      <c r="AI13" s="813"/>
      <c r="AJ13" s="813"/>
      <c r="AK13" s="813"/>
      <c r="AL13" s="813"/>
      <c r="AM13" s="813"/>
      <c r="AN13" s="813"/>
      <c r="AO13" s="813"/>
    </row>
    <row r="14" spans="1:41" s="88" customFormat="1" ht="24" hidden="1" customHeight="1">
      <c r="A14" s="821"/>
      <c r="B14" s="821">
        <v>1</v>
      </c>
      <c r="C14" s="212"/>
      <c r="D14" s="117">
        <v>1</v>
      </c>
      <c r="E14" s="89" t="s">
        <v>242</v>
      </c>
      <c r="F14" s="90">
        <v>0.25</v>
      </c>
      <c r="G14" s="91">
        <f>J12*F14</f>
        <v>22500</v>
      </c>
      <c r="H14" s="89" t="s">
        <v>243</v>
      </c>
      <c r="I14" s="90">
        <v>0.8</v>
      </c>
      <c r="J14" s="92">
        <f>I14*G14</f>
        <v>18000</v>
      </c>
      <c r="K14" s="813"/>
      <c r="L14" s="825"/>
      <c r="M14" s="813"/>
      <c r="N14" s="813"/>
      <c r="O14" s="813"/>
      <c r="P14" s="813"/>
      <c r="Q14" s="813"/>
      <c r="R14" s="813"/>
      <c r="S14" s="813"/>
      <c r="T14" s="813"/>
      <c r="U14" s="829"/>
      <c r="V14" s="834"/>
      <c r="W14" s="813"/>
      <c r="X14" s="813"/>
      <c r="Y14" s="813"/>
      <c r="Z14" s="813"/>
      <c r="AA14" s="813"/>
      <c r="AB14" s="813"/>
      <c r="AC14" s="813"/>
      <c r="AD14" s="813"/>
      <c r="AE14" s="813"/>
      <c r="AF14" s="813"/>
      <c r="AG14" s="813"/>
      <c r="AH14" s="813"/>
      <c r="AI14" s="813"/>
      <c r="AJ14" s="813"/>
      <c r="AK14" s="813"/>
      <c r="AL14" s="813"/>
      <c r="AM14" s="813"/>
      <c r="AN14" s="813"/>
      <c r="AO14" s="813"/>
    </row>
    <row r="15" spans="1:41" s="88" customFormat="1" ht="24" hidden="1" customHeight="1">
      <c r="A15" s="821"/>
      <c r="B15" s="821">
        <v>1</v>
      </c>
      <c r="C15" s="212"/>
      <c r="D15" s="118">
        <v>2</v>
      </c>
      <c r="E15" s="93" t="s">
        <v>244</v>
      </c>
      <c r="F15" s="94">
        <v>0.3</v>
      </c>
      <c r="G15" s="95">
        <f>J12*F15</f>
        <v>27000</v>
      </c>
      <c r="H15" s="89" t="s">
        <v>831</v>
      </c>
      <c r="I15" s="90">
        <v>1</v>
      </c>
      <c r="J15" s="92">
        <f>I15*G15</f>
        <v>27000</v>
      </c>
      <c r="K15" s="813"/>
      <c r="L15" s="825"/>
      <c r="M15" s="813"/>
      <c r="N15" s="813"/>
      <c r="O15" s="813"/>
      <c r="P15" s="813"/>
      <c r="Q15" s="813"/>
      <c r="R15" s="813"/>
      <c r="S15" s="813"/>
      <c r="T15" s="813"/>
      <c r="U15" s="831"/>
      <c r="V15" s="834"/>
      <c r="W15" s="813"/>
      <c r="X15" s="813"/>
      <c r="Y15" s="813"/>
      <c r="Z15" s="813"/>
      <c r="AA15" s="813"/>
      <c r="AB15" s="813"/>
      <c r="AC15" s="813"/>
      <c r="AD15" s="813"/>
      <c r="AE15" s="813"/>
      <c r="AF15" s="813"/>
      <c r="AG15" s="813"/>
      <c r="AH15" s="813"/>
      <c r="AI15" s="813"/>
      <c r="AJ15" s="813"/>
      <c r="AK15" s="813"/>
      <c r="AL15" s="813"/>
      <c r="AM15" s="813"/>
      <c r="AN15" s="813"/>
      <c r="AO15" s="813"/>
    </row>
    <row r="16" spans="1:41" s="88" customFormat="1" ht="24" hidden="1" customHeight="1">
      <c r="A16" s="821"/>
      <c r="B16" s="821">
        <v>1</v>
      </c>
      <c r="C16" s="212"/>
      <c r="D16" s="118">
        <v>3</v>
      </c>
      <c r="E16" s="93" t="s">
        <v>245</v>
      </c>
      <c r="F16" s="94">
        <v>0.35</v>
      </c>
      <c r="G16" s="95">
        <f>F16*J12</f>
        <v>31499.999999999996</v>
      </c>
      <c r="H16" s="89" t="s">
        <v>831</v>
      </c>
      <c r="I16" s="90">
        <v>0</v>
      </c>
      <c r="J16" s="92">
        <f>I16*G16</f>
        <v>0</v>
      </c>
      <c r="K16" s="813"/>
      <c r="L16" s="825"/>
      <c r="M16" s="815"/>
      <c r="N16" s="813"/>
      <c r="O16" s="813"/>
      <c r="P16" s="891"/>
      <c r="Q16" s="813"/>
      <c r="R16" s="813"/>
      <c r="S16" s="813"/>
      <c r="T16" s="813"/>
      <c r="U16" s="831"/>
      <c r="V16" s="834"/>
      <c r="W16" s="813"/>
      <c r="X16" s="813"/>
      <c r="Y16" s="813"/>
      <c r="Z16" s="813"/>
      <c r="AA16" s="813"/>
      <c r="AB16" s="813"/>
      <c r="AC16" s="813"/>
      <c r="AD16" s="813"/>
      <c r="AE16" s="813"/>
      <c r="AF16" s="813"/>
      <c r="AG16" s="813"/>
      <c r="AH16" s="813"/>
      <c r="AI16" s="813"/>
      <c r="AJ16" s="813"/>
      <c r="AK16" s="813"/>
      <c r="AL16" s="813"/>
      <c r="AM16" s="813"/>
      <c r="AN16" s="813"/>
      <c r="AO16" s="813"/>
    </row>
    <row r="17" spans="1:41" s="88" customFormat="1" ht="24" hidden="1" customHeight="1">
      <c r="A17" s="821"/>
      <c r="B17" s="821">
        <v>1</v>
      </c>
      <c r="C17" s="212"/>
      <c r="D17" s="117">
        <v>4</v>
      </c>
      <c r="E17" s="89" t="s">
        <v>246</v>
      </c>
      <c r="F17" s="90">
        <v>7.0000000000000007E-2</v>
      </c>
      <c r="G17" s="91">
        <f>J12*F17</f>
        <v>6300.0000000000009</v>
      </c>
      <c r="H17" s="89" t="s">
        <v>243</v>
      </c>
      <c r="I17" s="90">
        <v>0</v>
      </c>
      <c r="J17" s="92">
        <f>G17*I17</f>
        <v>0</v>
      </c>
      <c r="K17" s="813"/>
      <c r="L17" s="825"/>
      <c r="M17" s="815"/>
      <c r="N17" s="813"/>
      <c r="O17" s="813"/>
      <c r="P17" s="891"/>
      <c r="Q17" s="813"/>
      <c r="R17" s="813"/>
      <c r="S17" s="813"/>
      <c r="T17" s="813"/>
      <c r="U17" s="826"/>
      <c r="V17" s="834"/>
      <c r="W17" s="813"/>
      <c r="X17" s="813"/>
      <c r="Y17" s="813"/>
      <c r="Z17" s="813"/>
      <c r="AA17" s="813"/>
      <c r="AB17" s="813"/>
      <c r="AC17" s="813"/>
      <c r="AD17" s="813"/>
      <c r="AE17" s="813"/>
      <c r="AF17" s="813"/>
      <c r="AG17" s="813"/>
      <c r="AH17" s="813"/>
      <c r="AI17" s="813"/>
      <c r="AJ17" s="813"/>
      <c r="AK17" s="813"/>
      <c r="AL17" s="813"/>
      <c r="AM17" s="813"/>
      <c r="AN17" s="813"/>
      <c r="AO17" s="813"/>
    </row>
    <row r="18" spans="1:41" s="88" customFormat="1" ht="24" hidden="1" customHeight="1" thickBot="1">
      <c r="A18" s="821"/>
      <c r="B18" s="821">
        <v>1</v>
      </c>
      <c r="C18" s="212"/>
      <c r="D18" s="118">
        <v>5</v>
      </c>
      <c r="E18" s="93" t="s">
        <v>855</v>
      </c>
      <c r="F18" s="94">
        <v>0.03</v>
      </c>
      <c r="G18" s="95">
        <f>J12*F18</f>
        <v>2700</v>
      </c>
      <c r="H18" s="93" t="s">
        <v>243</v>
      </c>
      <c r="I18" s="90">
        <v>0</v>
      </c>
      <c r="J18" s="97">
        <f>G18*I18</f>
        <v>0</v>
      </c>
      <c r="K18" s="813"/>
      <c r="L18" s="825"/>
      <c r="M18" s="815"/>
      <c r="N18" s="813"/>
      <c r="O18" s="813"/>
      <c r="P18" s="813"/>
      <c r="Q18" s="813"/>
      <c r="R18" s="813"/>
      <c r="S18" s="813"/>
      <c r="T18" s="813"/>
      <c r="U18" s="826"/>
      <c r="V18" s="834"/>
      <c r="W18" s="813"/>
      <c r="X18" s="813"/>
      <c r="Y18" s="813"/>
      <c r="Z18" s="813"/>
      <c r="AA18" s="813"/>
      <c r="AB18" s="813"/>
      <c r="AC18" s="813"/>
      <c r="AD18" s="813"/>
      <c r="AE18" s="813"/>
      <c r="AF18" s="813"/>
      <c r="AG18" s="813"/>
      <c r="AH18" s="813"/>
      <c r="AI18" s="813"/>
      <c r="AJ18" s="813"/>
      <c r="AK18" s="813"/>
      <c r="AL18" s="813"/>
      <c r="AM18" s="813"/>
      <c r="AN18" s="813"/>
      <c r="AO18" s="813"/>
    </row>
    <row r="19" spans="1:41" s="88" customFormat="1" ht="24" hidden="1" customHeight="1" thickBot="1">
      <c r="A19" s="821"/>
      <c r="B19" s="821">
        <v>1</v>
      </c>
      <c r="C19" s="212"/>
      <c r="D19" s="1820" t="s">
        <v>247</v>
      </c>
      <c r="E19" s="1821"/>
      <c r="F19" s="98">
        <f>SUM(F14:F18)</f>
        <v>1</v>
      </c>
      <c r="G19" s="99">
        <f>SUM(G14:G18)</f>
        <v>90000</v>
      </c>
      <c r="H19" s="100"/>
      <c r="I19" s="98"/>
      <c r="J19" s="101">
        <f>SUM(J14:J18)</f>
        <v>45000</v>
      </c>
      <c r="K19" s="813"/>
      <c r="L19" s="825"/>
      <c r="M19" s="815"/>
      <c r="N19" s="813"/>
      <c r="O19" s="813"/>
      <c r="P19" s="816"/>
      <c r="Q19" s="813"/>
      <c r="R19" s="813"/>
      <c r="S19" s="813"/>
      <c r="T19" s="813"/>
      <c r="U19" s="826"/>
      <c r="V19" s="834"/>
      <c r="W19" s="813"/>
      <c r="X19" s="813"/>
      <c r="Y19" s="813"/>
      <c r="Z19" s="813"/>
      <c r="AA19" s="813"/>
      <c r="AB19" s="813"/>
      <c r="AC19" s="813"/>
      <c r="AD19" s="813"/>
      <c r="AE19" s="813"/>
      <c r="AF19" s="813"/>
      <c r="AG19" s="813"/>
      <c r="AH19" s="813"/>
      <c r="AI19" s="813"/>
      <c r="AJ19" s="813"/>
      <c r="AK19" s="813"/>
      <c r="AL19" s="813"/>
      <c r="AM19" s="813"/>
      <c r="AN19" s="813"/>
      <c r="AO19" s="813"/>
    </row>
    <row r="20" spans="1:41" s="102" customFormat="1" hidden="1">
      <c r="A20" s="821"/>
      <c r="B20" s="821">
        <v>1</v>
      </c>
      <c r="C20" s="233"/>
      <c r="D20" s="234"/>
      <c r="E20" s="235" t="s">
        <v>864</v>
      </c>
      <c r="F20" s="236"/>
      <c r="G20" s="237"/>
      <c r="H20" s="238"/>
      <c r="I20" s="237"/>
      <c r="J20" s="239"/>
      <c r="K20" s="817"/>
      <c r="L20" s="825"/>
      <c r="M20" s="815"/>
      <c r="N20" s="813"/>
      <c r="O20" s="816"/>
      <c r="P20" s="817"/>
      <c r="Q20" s="817"/>
      <c r="R20" s="817"/>
      <c r="S20" s="817"/>
      <c r="T20" s="817"/>
      <c r="U20" s="827"/>
      <c r="V20" s="835"/>
      <c r="W20" s="817"/>
      <c r="X20" s="817"/>
      <c r="Y20" s="817"/>
      <c r="Z20" s="817"/>
      <c r="AA20" s="817"/>
      <c r="AB20" s="817"/>
      <c r="AC20" s="817"/>
      <c r="AD20" s="817"/>
      <c r="AE20" s="817"/>
      <c r="AF20" s="817"/>
      <c r="AG20" s="817"/>
      <c r="AH20" s="817"/>
      <c r="AI20" s="817"/>
      <c r="AJ20" s="817"/>
      <c r="AK20" s="817"/>
      <c r="AL20" s="817"/>
      <c r="AM20" s="817"/>
      <c r="AN20" s="817"/>
      <c r="AO20" s="817"/>
    </row>
    <row r="21" spans="1:41" s="102" customFormat="1" hidden="1">
      <c r="A21" s="821"/>
      <c r="B21" s="821">
        <v>1</v>
      </c>
      <c r="C21" s="233"/>
      <c r="D21" s="240"/>
      <c r="E21" s="1822" t="s">
        <v>856</v>
      </c>
      <c r="F21" s="1822"/>
      <c r="G21" s="1822"/>
      <c r="H21" s="241"/>
      <c r="I21" s="241">
        <f>VLOOKUP(L1,ProHeader!C9:Z175,22,FALSE)</f>
        <v>0.05</v>
      </c>
      <c r="J21" s="242">
        <f>I21*J19</f>
        <v>2250</v>
      </c>
      <c r="K21" s="817"/>
      <c r="L21" s="825"/>
      <c r="M21" s="815"/>
      <c r="N21" s="813"/>
      <c r="O21" s="813"/>
      <c r="P21" s="817"/>
      <c r="Q21" s="817"/>
      <c r="R21" s="817"/>
      <c r="S21" s="817"/>
      <c r="T21" s="817"/>
      <c r="U21" s="827"/>
      <c r="V21" s="835"/>
      <c r="W21" s="817"/>
      <c r="X21" s="817"/>
      <c r="Y21" s="817"/>
      <c r="Z21" s="817"/>
      <c r="AA21" s="817"/>
      <c r="AB21" s="817"/>
      <c r="AC21" s="817"/>
      <c r="AD21" s="817"/>
      <c r="AE21" s="817"/>
      <c r="AF21" s="817"/>
      <c r="AG21" s="817"/>
      <c r="AH21" s="817"/>
      <c r="AI21" s="817"/>
      <c r="AJ21" s="817"/>
      <c r="AK21" s="817"/>
      <c r="AL21" s="817"/>
      <c r="AM21" s="817"/>
      <c r="AN21" s="817"/>
      <c r="AO21" s="817"/>
    </row>
    <row r="22" spans="1:41" s="102" customFormat="1" hidden="1">
      <c r="A22" s="821"/>
      <c r="B22" s="821"/>
      <c r="C22" s="233"/>
      <c r="D22" s="240"/>
      <c r="E22" s="1822" t="s">
        <v>1326</v>
      </c>
      <c r="F22" s="1822"/>
      <c r="G22" s="1822"/>
      <c r="H22" s="241"/>
      <c r="I22" s="241">
        <f>VLOOKUP(L1,ProHeader!C9:Z175,24,FALSE)</f>
        <v>0</v>
      </c>
      <c r="J22" s="242">
        <f>I22*J19</f>
        <v>0</v>
      </c>
      <c r="K22" s="817"/>
      <c r="L22" s="825"/>
      <c r="M22" s="815"/>
      <c r="N22" s="813"/>
      <c r="O22" s="813"/>
      <c r="P22" s="817"/>
      <c r="Q22" s="817"/>
      <c r="R22" s="817"/>
      <c r="S22" s="817"/>
      <c r="T22" s="817"/>
      <c r="U22" s="827"/>
      <c r="V22" s="835"/>
      <c r="W22" s="817"/>
      <c r="X22" s="817"/>
      <c r="Y22" s="817"/>
      <c r="Z22" s="817"/>
      <c r="AA22" s="817"/>
      <c r="AB22" s="817"/>
      <c r="AC22" s="817"/>
      <c r="AD22" s="817"/>
      <c r="AE22" s="817"/>
      <c r="AF22" s="817"/>
      <c r="AG22" s="817"/>
      <c r="AH22" s="817"/>
      <c r="AI22" s="817"/>
      <c r="AJ22" s="817"/>
      <c r="AK22" s="817"/>
      <c r="AL22" s="817"/>
      <c r="AM22" s="817"/>
      <c r="AN22" s="817"/>
      <c r="AO22" s="817"/>
    </row>
    <row r="23" spans="1:41" s="102" customFormat="1" hidden="1">
      <c r="A23" s="821"/>
      <c r="B23" s="821">
        <v>1</v>
      </c>
      <c r="C23" s="233"/>
      <c r="D23" s="240"/>
      <c r="E23" s="1823" t="s">
        <v>857</v>
      </c>
      <c r="F23" s="1823"/>
      <c r="G23" s="1823"/>
      <c r="H23" s="241"/>
      <c r="I23" s="241">
        <f>VLOOKUP(L1,ProHeader!C9:Z175,23,FALSE)</f>
        <v>0</v>
      </c>
      <c r="J23" s="242">
        <f>J19*I23</f>
        <v>0</v>
      </c>
      <c r="K23" s="817"/>
      <c r="L23" s="825"/>
      <c r="M23" s="815"/>
      <c r="N23" s="813"/>
      <c r="O23" s="813"/>
      <c r="P23" s="817"/>
      <c r="Q23" s="817"/>
      <c r="R23" s="817"/>
      <c r="S23" s="817"/>
      <c r="T23" s="817"/>
      <c r="U23" s="827"/>
      <c r="V23" s="835"/>
      <c r="W23" s="817"/>
      <c r="X23" s="817"/>
      <c r="Y23" s="817"/>
      <c r="Z23" s="817"/>
      <c r="AA23" s="817"/>
      <c r="AB23" s="817"/>
      <c r="AC23" s="817"/>
      <c r="AD23" s="817"/>
      <c r="AE23" s="817"/>
      <c r="AF23" s="817"/>
      <c r="AG23" s="817"/>
      <c r="AH23" s="817"/>
      <c r="AI23" s="817"/>
      <c r="AJ23" s="817"/>
      <c r="AK23" s="817"/>
      <c r="AL23" s="817"/>
      <c r="AM23" s="817"/>
      <c r="AN23" s="817"/>
      <c r="AO23" s="817"/>
    </row>
    <row r="24" spans="1:41" s="102" customFormat="1" ht="16.5" hidden="1" thickBot="1">
      <c r="A24" s="821"/>
      <c r="B24" s="821">
        <v>1</v>
      </c>
      <c r="C24" s="233"/>
      <c r="D24" s="243"/>
      <c r="E24" s="1824" t="s">
        <v>858</v>
      </c>
      <c r="F24" s="1824"/>
      <c r="G24" s="1824"/>
      <c r="H24" s="244"/>
      <c r="I24" s="245"/>
      <c r="J24" s="246">
        <v>0</v>
      </c>
      <c r="K24" s="817"/>
      <c r="L24" s="1012"/>
      <c r="M24" s="815"/>
      <c r="N24" s="813"/>
      <c r="O24" s="813"/>
      <c r="P24" s="817"/>
      <c r="Q24" s="817"/>
      <c r="R24" s="817"/>
      <c r="S24" s="817"/>
      <c r="T24" s="817"/>
      <c r="U24" s="827"/>
      <c r="V24" s="835"/>
      <c r="W24" s="817"/>
      <c r="X24" s="817"/>
      <c r="Y24" s="817"/>
      <c r="Z24" s="817"/>
      <c r="AA24" s="817"/>
      <c r="AB24" s="817"/>
      <c r="AC24" s="817"/>
      <c r="AD24" s="817"/>
      <c r="AE24" s="817"/>
      <c r="AF24" s="817"/>
      <c r="AG24" s="817"/>
      <c r="AH24" s="817"/>
      <c r="AI24" s="817"/>
      <c r="AJ24" s="817"/>
      <c r="AK24" s="817"/>
      <c r="AL24" s="817"/>
      <c r="AM24" s="817"/>
      <c r="AN24" s="817"/>
      <c r="AO24" s="817"/>
    </row>
    <row r="25" spans="1:41" s="102" customFormat="1" ht="20.25" hidden="1" customHeight="1" thickBot="1">
      <c r="A25" s="821"/>
      <c r="B25" s="821">
        <v>1</v>
      </c>
      <c r="C25" s="233"/>
      <c r="D25" s="114" t="s">
        <v>18</v>
      </c>
      <c r="E25" s="1813" t="str">
        <f>SpellNum_Dirham(J25)</f>
        <v>Forty Two Thousand Seven Hundred Fifty  Dirham and No Fils</v>
      </c>
      <c r="F25" s="1814"/>
      <c r="G25" s="1814"/>
      <c r="H25" s="1814"/>
      <c r="I25" s="1815"/>
      <c r="J25" s="104">
        <f>J19-J21-J22-J23-J24</f>
        <v>42750</v>
      </c>
      <c r="K25" s="818"/>
      <c r="L25" s="818"/>
      <c r="M25" s="817"/>
      <c r="N25" s="818"/>
      <c r="O25" s="817"/>
      <c r="P25" s="817"/>
      <c r="Q25" s="817"/>
      <c r="R25" s="817"/>
      <c r="S25" s="817"/>
      <c r="T25" s="817"/>
      <c r="U25" s="827"/>
      <c r="V25" s="835"/>
      <c r="W25" s="817"/>
      <c r="X25" s="817"/>
      <c r="Y25" s="817"/>
      <c r="Z25" s="817"/>
      <c r="AA25" s="817"/>
      <c r="AB25" s="817"/>
      <c r="AC25" s="817"/>
      <c r="AD25" s="817"/>
      <c r="AE25" s="817"/>
      <c r="AF25" s="817"/>
      <c r="AG25" s="817"/>
      <c r="AH25" s="817"/>
      <c r="AI25" s="817"/>
      <c r="AJ25" s="817"/>
      <c r="AK25" s="817"/>
      <c r="AL25" s="817"/>
      <c r="AM25" s="817"/>
      <c r="AN25" s="817"/>
      <c r="AO25" s="817"/>
    </row>
    <row r="26" spans="1:41" s="102" customFormat="1" ht="24.75" hidden="1" customHeight="1" thickBot="1">
      <c r="A26" s="821"/>
      <c r="B26" s="821"/>
      <c r="C26" s="233"/>
      <c r="D26" s="114" t="s">
        <v>966</v>
      </c>
      <c r="E26" s="1813"/>
      <c r="F26" s="1814"/>
      <c r="G26" s="1814"/>
      <c r="H26" s="1814"/>
      <c r="I26" s="1815"/>
      <c r="J26" s="104">
        <v>0</v>
      </c>
      <c r="K26" s="818"/>
      <c r="L26" s="818"/>
      <c r="M26" s="817"/>
      <c r="N26" s="817"/>
      <c r="O26" s="817"/>
      <c r="P26" s="817"/>
      <c r="Q26" s="817"/>
      <c r="R26" s="817"/>
      <c r="S26" s="817"/>
      <c r="T26" s="817"/>
      <c r="U26" s="827"/>
      <c r="V26" s="835"/>
      <c r="W26" s="817"/>
      <c r="X26" s="817"/>
      <c r="Y26" s="817"/>
      <c r="Z26" s="817"/>
      <c r="AA26" s="817"/>
      <c r="AB26" s="817"/>
      <c r="AC26" s="817"/>
      <c r="AD26" s="817"/>
      <c r="AE26" s="817"/>
      <c r="AF26" s="817"/>
      <c r="AG26" s="817"/>
      <c r="AH26" s="817"/>
      <c r="AI26" s="817"/>
      <c r="AJ26" s="817"/>
      <c r="AK26" s="817"/>
      <c r="AL26" s="817"/>
      <c r="AM26" s="817"/>
      <c r="AN26" s="817"/>
      <c r="AO26" s="817"/>
    </row>
    <row r="27" spans="1:41" s="102" customFormat="1" ht="20.25" hidden="1" customHeight="1" thickBot="1">
      <c r="A27" s="821"/>
      <c r="B27" s="821">
        <v>1</v>
      </c>
      <c r="C27" s="233"/>
      <c r="D27" s="114" t="s">
        <v>19</v>
      </c>
      <c r="E27" s="1813" t="str">
        <f>SpellNum_Dirham(J27)</f>
        <v>Two Thousand One Hundred Thirty Seven Dirham and Fifty  Fils</v>
      </c>
      <c r="F27" s="1814"/>
      <c r="G27" s="1814"/>
      <c r="H27" s="1814"/>
      <c r="I27" s="1815"/>
      <c r="J27" s="106">
        <f>(J25+J26)*5%</f>
        <v>2137.5</v>
      </c>
      <c r="K27" s="817"/>
      <c r="L27" s="817"/>
      <c r="M27" s="817"/>
      <c r="N27" s="818"/>
      <c r="O27" s="817"/>
      <c r="P27" s="817"/>
      <c r="Q27" s="817"/>
      <c r="R27" s="817"/>
      <c r="S27" s="817"/>
      <c r="T27" s="817"/>
      <c r="U27" s="827"/>
      <c r="V27" s="835"/>
      <c r="W27" s="817"/>
      <c r="X27" s="817"/>
      <c r="Y27" s="817"/>
      <c r="Z27" s="817"/>
      <c r="AA27" s="817"/>
      <c r="AB27" s="817"/>
      <c r="AC27" s="817"/>
      <c r="AD27" s="817"/>
      <c r="AE27" s="817"/>
      <c r="AF27" s="817"/>
      <c r="AG27" s="817"/>
      <c r="AH27" s="817"/>
      <c r="AI27" s="817"/>
      <c r="AJ27" s="817"/>
      <c r="AK27" s="817"/>
      <c r="AL27" s="817"/>
      <c r="AM27" s="817"/>
      <c r="AN27" s="817"/>
      <c r="AO27" s="817"/>
    </row>
    <row r="28" spans="1:41" s="102" customFormat="1" ht="40.5" hidden="1" customHeight="1" thickBot="1">
      <c r="A28" s="821"/>
      <c r="B28" s="821"/>
      <c r="C28" s="233"/>
      <c r="D28" s="114" t="s">
        <v>1134</v>
      </c>
      <c r="E28" s="1825"/>
      <c r="F28" s="1826"/>
      <c r="G28" s="1826"/>
      <c r="H28" s="1826"/>
      <c r="I28" s="1827"/>
      <c r="J28" s="104">
        <v>0</v>
      </c>
      <c r="K28" s="818"/>
      <c r="L28" s="818"/>
      <c r="M28" s="817"/>
      <c r="N28" s="817"/>
      <c r="O28" s="817"/>
      <c r="P28" s="817"/>
      <c r="Q28" s="817"/>
      <c r="R28" s="817"/>
      <c r="S28" s="817"/>
      <c r="T28" s="817"/>
      <c r="U28" s="827"/>
      <c r="V28" s="835"/>
      <c r="W28" s="817"/>
      <c r="X28" s="817"/>
      <c r="Y28" s="817"/>
      <c r="Z28" s="817"/>
      <c r="AA28" s="817"/>
      <c r="AB28" s="817"/>
      <c r="AC28" s="817"/>
      <c r="AD28" s="817"/>
      <c r="AE28" s="817"/>
      <c r="AF28" s="817"/>
      <c r="AG28" s="817"/>
      <c r="AH28" s="817"/>
      <c r="AI28" s="817"/>
      <c r="AJ28" s="817"/>
      <c r="AK28" s="817"/>
      <c r="AL28" s="817"/>
      <c r="AM28" s="817"/>
      <c r="AN28" s="817"/>
      <c r="AO28" s="817"/>
    </row>
    <row r="29" spans="1:41" s="102" customFormat="1" ht="20.25" hidden="1" customHeight="1" thickBot="1">
      <c r="A29" s="821"/>
      <c r="B29" s="821">
        <v>1</v>
      </c>
      <c r="C29" s="233"/>
      <c r="D29" s="114" t="s">
        <v>247</v>
      </c>
      <c r="E29" s="1813" t="str">
        <f>SpellNum_Dirham(J29)</f>
        <v>Forty Four Thousand Eight Hundred Eighty Seven Dirham and Fifty  Fils</v>
      </c>
      <c r="F29" s="1814"/>
      <c r="G29" s="1814"/>
      <c r="H29" s="1814"/>
      <c r="I29" s="1815"/>
      <c r="J29" s="106">
        <f>J25+J26+J27+J28</f>
        <v>44887.5</v>
      </c>
      <c r="K29" s="817"/>
      <c r="L29" s="817"/>
      <c r="M29" s="817"/>
      <c r="N29" s="817"/>
      <c r="O29" s="817"/>
      <c r="P29" s="817"/>
      <c r="Q29" s="817"/>
      <c r="R29" s="817"/>
      <c r="S29" s="817"/>
      <c r="T29" s="817"/>
      <c r="U29" s="827"/>
      <c r="V29" s="835"/>
      <c r="W29" s="817"/>
      <c r="X29" s="817"/>
      <c r="Y29" s="817"/>
      <c r="Z29" s="817"/>
      <c r="AA29" s="817"/>
      <c r="AB29" s="817"/>
      <c r="AC29" s="817"/>
      <c r="AD29" s="817"/>
      <c r="AE29" s="817"/>
      <c r="AF29" s="817"/>
      <c r="AG29" s="817"/>
      <c r="AH29" s="817"/>
      <c r="AI29" s="817"/>
      <c r="AJ29" s="817"/>
      <c r="AK29" s="817"/>
      <c r="AL29" s="817"/>
      <c r="AM29" s="817"/>
      <c r="AN29" s="817"/>
      <c r="AO29" s="817"/>
    </row>
    <row r="30" spans="1:41" ht="30" hidden="1" customHeight="1">
      <c r="A30" s="821"/>
      <c r="B30" s="821"/>
      <c r="C30" s="23"/>
      <c r="D30" s="107"/>
      <c r="E30" s="108" t="s">
        <v>9</v>
      </c>
      <c r="K30" s="811"/>
      <c r="L30" s="811"/>
      <c r="M30" s="811"/>
      <c r="N30" s="811"/>
      <c r="O30" s="811"/>
      <c r="P30" s="811"/>
      <c r="Q30" s="811"/>
      <c r="R30" s="811"/>
      <c r="S30" s="811"/>
      <c r="T30" s="811"/>
      <c r="U30" s="812"/>
      <c r="V30" s="832"/>
      <c r="W30" s="811"/>
      <c r="X30" s="811"/>
      <c r="Y30" s="811"/>
      <c r="Z30" s="811"/>
      <c r="AA30" s="811"/>
      <c r="AB30" s="811"/>
      <c r="AC30" s="811"/>
      <c r="AD30" s="811"/>
      <c r="AE30" s="811"/>
      <c r="AF30" s="811"/>
      <c r="AG30" s="811"/>
      <c r="AH30" s="811"/>
      <c r="AI30" s="811"/>
      <c r="AJ30" s="811"/>
      <c r="AK30" s="811"/>
      <c r="AL30" s="811"/>
      <c r="AM30" s="811"/>
      <c r="AN30" s="811"/>
      <c r="AO30" s="811"/>
    </row>
    <row r="31" spans="1:41" ht="37.5" customHeight="1">
      <c r="A31" s="821">
        <v>2</v>
      </c>
      <c r="B31" s="821"/>
      <c r="C31" s="253"/>
      <c r="D31" s="1832" t="s">
        <v>1623</v>
      </c>
      <c r="E31" s="1833"/>
      <c r="F31" s="1833"/>
      <c r="G31" s="1833"/>
      <c r="H31" s="1833"/>
      <c r="I31" s="1834"/>
      <c r="J31" s="1138">
        <f>VLOOKUP(L1,ProHeader!C9:O175,10,FALSE)</f>
        <v>90000</v>
      </c>
      <c r="K31" s="811"/>
      <c r="L31" s="811"/>
      <c r="M31" s="811"/>
      <c r="N31" s="811"/>
      <c r="O31" s="811"/>
      <c r="P31" s="811"/>
      <c r="Q31" s="811"/>
      <c r="R31" s="811"/>
      <c r="S31" s="811"/>
      <c r="T31" s="811"/>
      <c r="U31" s="812"/>
      <c r="V31" s="832"/>
      <c r="W31" s="811"/>
      <c r="X31" s="811"/>
      <c r="Y31" s="811"/>
      <c r="Z31" s="811"/>
      <c r="AA31" s="811"/>
      <c r="AB31" s="811"/>
      <c r="AC31" s="811"/>
      <c r="AD31" s="811"/>
      <c r="AE31" s="811"/>
      <c r="AF31" s="811"/>
      <c r="AG31" s="811"/>
      <c r="AH31" s="811"/>
      <c r="AI31" s="811"/>
      <c r="AJ31" s="811"/>
      <c r="AK31" s="811"/>
      <c r="AL31" s="811"/>
      <c r="AM31" s="811"/>
      <c r="AN31" s="811"/>
      <c r="AO31" s="811"/>
    </row>
    <row r="32" spans="1:41" ht="21.75" customHeight="1">
      <c r="A32" s="821">
        <v>2</v>
      </c>
      <c r="B32" s="821"/>
      <c r="C32" s="254"/>
      <c r="D32" s="110" t="s">
        <v>13</v>
      </c>
      <c r="E32" s="1840"/>
      <c r="F32" s="1841"/>
      <c r="G32" s="1841"/>
      <c r="H32" s="1841"/>
      <c r="I32" s="1842"/>
      <c r="J32" s="111"/>
      <c r="K32" s="811"/>
      <c r="L32" s="811"/>
      <c r="M32" s="811"/>
      <c r="N32" s="811"/>
      <c r="O32" s="811"/>
      <c r="P32" s="811"/>
      <c r="Q32" s="811"/>
      <c r="R32" s="811"/>
      <c r="S32" s="811"/>
      <c r="T32" s="811"/>
      <c r="U32" s="812"/>
      <c r="V32" s="832"/>
      <c r="W32" s="811"/>
      <c r="X32" s="811"/>
      <c r="Y32" s="811"/>
      <c r="Z32" s="811"/>
      <c r="AA32" s="811"/>
      <c r="AB32" s="811"/>
      <c r="AC32" s="811"/>
      <c r="AD32" s="811"/>
      <c r="AE32" s="811"/>
      <c r="AF32" s="811"/>
      <c r="AG32" s="811"/>
      <c r="AH32" s="811"/>
      <c r="AI32" s="811"/>
      <c r="AJ32" s="811"/>
      <c r="AK32" s="811"/>
      <c r="AL32" s="811"/>
      <c r="AM32" s="811"/>
      <c r="AN32" s="811"/>
      <c r="AO32" s="811"/>
    </row>
    <row r="33" spans="1:41" ht="26.25" customHeight="1">
      <c r="A33" s="821">
        <v>2</v>
      </c>
      <c r="B33" s="821"/>
      <c r="C33" s="23"/>
      <c r="D33" s="112">
        <v>1</v>
      </c>
      <c r="E33" s="1836" t="s">
        <v>6167</v>
      </c>
      <c r="F33" s="1836"/>
      <c r="G33" s="1836"/>
      <c r="H33" s="1836"/>
      <c r="I33" s="1836"/>
      <c r="J33" s="1654">
        <v>25715</v>
      </c>
      <c r="K33" s="811"/>
      <c r="L33" s="1587"/>
      <c r="M33" s="811"/>
      <c r="N33" s="811"/>
      <c r="O33" s="811"/>
      <c r="P33" s="811"/>
      <c r="Q33" s="811"/>
      <c r="R33" s="811"/>
      <c r="S33" s="811"/>
      <c r="T33" s="811"/>
      <c r="U33" s="812"/>
      <c r="V33" s="832"/>
      <c r="W33" s="811"/>
      <c r="X33" s="811"/>
      <c r="Y33" s="811"/>
      <c r="Z33" s="811"/>
      <c r="AA33" s="811"/>
      <c r="AB33" s="811"/>
      <c r="AC33" s="811"/>
      <c r="AD33" s="811"/>
      <c r="AE33" s="811"/>
      <c r="AF33" s="811"/>
      <c r="AG33" s="811"/>
      <c r="AH33" s="811"/>
      <c r="AI33" s="811"/>
      <c r="AJ33" s="811"/>
      <c r="AK33" s="811"/>
      <c r="AL33" s="811"/>
      <c r="AM33" s="811"/>
      <c r="AN33" s="811"/>
      <c r="AO33" s="811"/>
    </row>
    <row r="34" spans="1:41" ht="26.25" customHeight="1">
      <c r="A34" s="821">
        <v>2</v>
      </c>
      <c r="B34" s="821"/>
      <c r="C34" s="23"/>
      <c r="D34" s="1430">
        <v>2</v>
      </c>
      <c r="E34" s="1843"/>
      <c r="F34" s="1843"/>
      <c r="G34" s="1843"/>
      <c r="H34" s="1843"/>
      <c r="I34" s="1843"/>
      <c r="J34" s="1684"/>
      <c r="K34" s="811"/>
      <c r="L34" s="811">
        <f>27000/90000</f>
        <v>0.3</v>
      </c>
      <c r="M34" s="1587"/>
      <c r="N34" s="811"/>
      <c r="O34" s="811"/>
      <c r="P34" s="1653"/>
      <c r="Q34" s="811"/>
      <c r="R34" s="811"/>
      <c r="S34" s="811"/>
      <c r="T34" s="811"/>
      <c r="U34" s="812"/>
      <c r="V34" s="832"/>
      <c r="W34" s="811"/>
      <c r="X34" s="811"/>
      <c r="Y34" s="811"/>
      <c r="Z34" s="811"/>
      <c r="AA34" s="811"/>
      <c r="AB34" s="811"/>
      <c r="AC34" s="811"/>
      <c r="AD34" s="811"/>
      <c r="AE34" s="811"/>
      <c r="AF34" s="811"/>
      <c r="AG34" s="811"/>
      <c r="AH34" s="811"/>
      <c r="AI34" s="811"/>
      <c r="AJ34" s="811"/>
      <c r="AK34" s="811"/>
      <c r="AL34" s="811"/>
      <c r="AM34" s="811"/>
      <c r="AN34" s="811"/>
      <c r="AO34" s="811"/>
    </row>
    <row r="35" spans="1:41" ht="26.25" customHeight="1">
      <c r="A35" s="821">
        <v>2</v>
      </c>
      <c r="B35" s="821"/>
      <c r="C35" s="23"/>
      <c r="D35" s="112">
        <v>3</v>
      </c>
      <c r="E35" s="1836"/>
      <c r="F35" s="1836"/>
      <c r="G35" s="1836"/>
      <c r="H35" s="1836"/>
      <c r="I35" s="1836"/>
      <c r="J35" s="1288"/>
      <c r="K35" s="811"/>
      <c r="L35" s="811"/>
      <c r="M35" s="819"/>
      <c r="N35" s="811"/>
      <c r="O35" s="811"/>
      <c r="P35" s="811"/>
      <c r="Q35" s="811"/>
      <c r="R35" s="811"/>
      <c r="S35" s="1587"/>
      <c r="T35" s="811"/>
      <c r="U35" s="812"/>
      <c r="V35" s="832"/>
      <c r="W35" s="811"/>
      <c r="X35" s="811"/>
      <c r="Y35" s="811"/>
      <c r="Z35" s="811"/>
      <c r="AA35" s="811"/>
      <c r="AB35" s="811"/>
      <c r="AC35" s="811"/>
      <c r="AD35" s="811"/>
      <c r="AE35" s="811"/>
      <c r="AF35" s="811"/>
      <c r="AG35" s="811"/>
      <c r="AH35" s="811"/>
      <c r="AI35" s="811"/>
      <c r="AJ35" s="811"/>
      <c r="AK35" s="811"/>
      <c r="AL35" s="811"/>
      <c r="AM35" s="811"/>
      <c r="AN35" s="811"/>
      <c r="AO35" s="811"/>
    </row>
    <row r="36" spans="1:41" ht="26.25" customHeight="1">
      <c r="A36" s="821">
        <v>2</v>
      </c>
      <c r="B36" s="821"/>
      <c r="C36" s="23"/>
      <c r="D36" s="112">
        <v>4</v>
      </c>
      <c r="E36" s="1836"/>
      <c r="F36" s="1836"/>
      <c r="G36" s="1836"/>
      <c r="H36" s="1836"/>
      <c r="I36" s="1836"/>
      <c r="J36" s="1288"/>
      <c r="K36" s="811"/>
      <c r="L36" s="811"/>
      <c r="M36" s="811"/>
      <c r="N36" s="1586">
        <f>J31*28.573%</f>
        <v>25715.699999999997</v>
      </c>
      <c r="O36" s="1586"/>
      <c r="P36" s="811"/>
      <c r="Q36" s="811"/>
      <c r="R36" s="811"/>
      <c r="S36" s="1587"/>
      <c r="T36" s="811"/>
      <c r="U36" s="812"/>
      <c r="V36" s="832"/>
      <c r="W36" s="811"/>
      <c r="X36" s="811"/>
      <c r="Y36" s="811"/>
      <c r="Z36" s="811"/>
      <c r="AA36" s="811"/>
      <c r="AB36" s="811"/>
      <c r="AC36" s="811"/>
      <c r="AD36" s="811"/>
      <c r="AE36" s="811"/>
      <c r="AF36" s="811"/>
      <c r="AG36" s="811"/>
      <c r="AH36" s="811"/>
      <c r="AI36" s="811"/>
      <c r="AJ36" s="811"/>
      <c r="AK36" s="811"/>
      <c r="AL36" s="811"/>
      <c r="AM36" s="811"/>
      <c r="AN36" s="811"/>
      <c r="AO36" s="811"/>
    </row>
    <row r="37" spans="1:41" ht="26.25" customHeight="1" thickBot="1">
      <c r="A37" s="821">
        <v>2</v>
      </c>
      <c r="B37" s="821"/>
      <c r="C37" s="23"/>
      <c r="D37" s="1433">
        <v>5</v>
      </c>
      <c r="E37" s="1837"/>
      <c r="F37" s="1837"/>
      <c r="G37" s="1837"/>
      <c r="H37" s="1837"/>
      <c r="I37" s="1837"/>
      <c r="J37" s="1289"/>
      <c r="K37" s="811"/>
      <c r="L37" s="811"/>
      <c r="M37" s="811"/>
      <c r="N37" s="1585"/>
      <c r="O37" s="1586"/>
      <c r="P37" s="811"/>
      <c r="Q37" s="811"/>
      <c r="R37" s="811"/>
      <c r="S37" s="1587"/>
      <c r="T37" s="811"/>
      <c r="U37" s="812"/>
      <c r="V37" s="832"/>
      <c r="W37" s="811"/>
      <c r="X37" s="811"/>
      <c r="Y37" s="811"/>
      <c r="Z37" s="811"/>
      <c r="AA37" s="811"/>
      <c r="AB37" s="811"/>
      <c r="AC37" s="811"/>
      <c r="AD37" s="811"/>
      <c r="AE37" s="811"/>
      <c r="AF37" s="811"/>
      <c r="AG37" s="811"/>
      <c r="AH37" s="811"/>
      <c r="AI37" s="811"/>
      <c r="AJ37" s="811"/>
      <c r="AK37" s="811"/>
      <c r="AL37" s="811"/>
      <c r="AM37" s="811"/>
      <c r="AN37" s="811"/>
      <c r="AO37" s="811"/>
    </row>
    <row r="38" spans="1:41" ht="27.75" customHeight="1" thickBot="1">
      <c r="A38" s="821">
        <v>2</v>
      </c>
      <c r="B38" s="821"/>
      <c r="C38" s="23"/>
      <c r="D38" s="1139" t="s">
        <v>18</v>
      </c>
      <c r="E38" s="1825" t="str">
        <f>SpellNum_Dirham(J38)</f>
        <v>Twenty Five Thousand Seven Hundred Fifteen Dirham and No Fils</v>
      </c>
      <c r="F38" s="1826"/>
      <c r="G38" s="1826"/>
      <c r="H38" s="1826"/>
      <c r="I38" s="1827"/>
      <c r="J38" s="104">
        <f>SUM(J33:J37)</f>
        <v>25715</v>
      </c>
      <c r="K38" s="811"/>
      <c r="L38" s="811"/>
      <c r="M38" s="811"/>
      <c r="N38" s="1709">
        <f>J33/90000</f>
        <v>0.28572222222222221</v>
      </c>
      <c r="O38" s="1586"/>
      <c r="P38" s="811"/>
      <c r="Q38" s="811"/>
      <c r="R38" s="811"/>
      <c r="S38" s="1587"/>
      <c r="T38" s="811"/>
      <c r="U38" s="812"/>
      <c r="V38" s="832"/>
      <c r="W38" s="811"/>
      <c r="X38" s="811"/>
      <c r="Y38" s="811"/>
      <c r="Z38" s="811"/>
      <c r="AA38" s="811"/>
      <c r="AB38" s="811"/>
      <c r="AC38" s="811"/>
      <c r="AD38" s="811"/>
      <c r="AE38" s="811"/>
      <c r="AF38" s="811"/>
      <c r="AG38" s="811"/>
      <c r="AH38" s="811"/>
      <c r="AI38" s="811"/>
      <c r="AJ38" s="811"/>
      <c r="AK38" s="811"/>
      <c r="AL38" s="811"/>
      <c r="AM38" s="811"/>
      <c r="AN38" s="811"/>
      <c r="AO38" s="811"/>
    </row>
    <row r="39" spans="1:41" ht="27.75" customHeight="1" thickBot="1">
      <c r="A39" s="821">
        <v>2</v>
      </c>
      <c r="B39" s="821"/>
      <c r="C39" s="23"/>
      <c r="D39" s="1139" t="s">
        <v>7</v>
      </c>
      <c r="E39" s="1825" t="str">
        <f>SpellNum_Dirham(J39)</f>
        <v>One Thousand Two Hundred Eighty Five Dirham and Seventy Five Fils</v>
      </c>
      <c r="F39" s="1826"/>
      <c r="G39" s="1826"/>
      <c r="H39" s="1826"/>
      <c r="I39" s="1827"/>
      <c r="J39" s="104">
        <f>0.05*J38</f>
        <v>1285.75</v>
      </c>
      <c r="K39" s="811"/>
      <c r="L39" s="811"/>
      <c r="M39" s="1585"/>
      <c r="N39" s="1686"/>
      <c r="O39" s="1585"/>
      <c r="P39" s="1586"/>
      <c r="Q39" s="811"/>
      <c r="R39" s="811"/>
      <c r="S39" s="811"/>
      <c r="T39" s="811"/>
      <c r="U39" s="812"/>
      <c r="V39" s="832"/>
      <c r="W39" s="811"/>
      <c r="X39" s="811"/>
      <c r="Y39" s="811"/>
      <c r="Z39" s="811"/>
      <c r="AA39" s="811"/>
      <c r="AB39" s="811"/>
      <c r="AC39" s="811"/>
      <c r="AD39" s="811"/>
      <c r="AE39" s="811"/>
      <c r="AF39" s="811"/>
      <c r="AG39" s="811"/>
      <c r="AH39" s="811"/>
      <c r="AI39" s="811"/>
      <c r="AJ39" s="811"/>
      <c r="AK39" s="811"/>
      <c r="AL39" s="811"/>
      <c r="AM39" s="811"/>
      <c r="AN39" s="811"/>
      <c r="AO39" s="811"/>
    </row>
    <row r="40" spans="1:41" s="102" customFormat="1" ht="27.75" hidden="1" customHeight="1" thickBot="1">
      <c r="A40" s="821"/>
      <c r="B40" s="821"/>
      <c r="C40" s="233"/>
      <c r="D40" s="1434" t="s">
        <v>1134</v>
      </c>
      <c r="E40" s="1844"/>
      <c r="F40" s="1845"/>
      <c r="G40" s="1845"/>
      <c r="H40" s="1845"/>
      <c r="I40" s="1846"/>
      <c r="J40" s="1435"/>
      <c r="K40" s="818"/>
      <c r="L40" s="818"/>
      <c r="M40" s="817"/>
      <c r="N40" s="817"/>
      <c r="O40" s="817"/>
      <c r="P40" s="817"/>
      <c r="Q40" s="817"/>
      <c r="R40" s="817"/>
      <c r="S40" s="817"/>
      <c r="T40" s="817"/>
      <c r="U40" s="827"/>
      <c r="V40" s="835"/>
      <c r="W40" s="817"/>
      <c r="X40" s="817"/>
      <c r="Y40" s="817"/>
      <c r="Z40" s="817"/>
      <c r="AA40" s="817"/>
      <c r="AB40" s="817"/>
      <c r="AC40" s="817"/>
      <c r="AD40" s="817"/>
      <c r="AE40" s="817"/>
      <c r="AF40" s="817"/>
      <c r="AG40" s="817"/>
      <c r="AH40" s="817"/>
      <c r="AI40" s="817"/>
      <c r="AJ40" s="817"/>
      <c r="AK40" s="817"/>
      <c r="AL40" s="817"/>
      <c r="AM40" s="817"/>
      <c r="AN40" s="817"/>
      <c r="AO40" s="817"/>
    </row>
    <row r="41" spans="1:41" ht="27.75" customHeight="1" thickBot="1">
      <c r="A41" s="821">
        <v>2</v>
      </c>
      <c r="B41" s="821"/>
      <c r="C41" s="23"/>
      <c r="D41" s="1139" t="s">
        <v>20</v>
      </c>
      <c r="E41" s="1829" t="str">
        <f>SpellNum_Dirham(J41)</f>
        <v>Twenty Seven Thousand  Dirham and Seventy Five Fils</v>
      </c>
      <c r="F41" s="1830"/>
      <c r="G41" s="1830"/>
      <c r="H41" s="1830"/>
      <c r="I41" s="1831"/>
      <c r="J41" s="1432">
        <f>J39+J40+J38</f>
        <v>27000.75</v>
      </c>
      <c r="K41" s="811"/>
      <c r="L41" s="811"/>
      <c r="M41" s="1585"/>
      <c r="N41" s="1586"/>
      <c r="O41" s="1586"/>
      <c r="P41" s="811"/>
      <c r="Q41" s="811"/>
      <c r="R41" s="811"/>
      <c r="S41" s="811"/>
      <c r="T41" s="811"/>
      <c r="U41" s="812"/>
      <c r="V41" s="832"/>
      <c r="W41" s="811"/>
      <c r="X41" s="811"/>
      <c r="Y41" s="811"/>
      <c r="Z41" s="811"/>
      <c r="AA41" s="811"/>
      <c r="AB41" s="811"/>
      <c r="AC41" s="811"/>
      <c r="AD41" s="811"/>
      <c r="AE41" s="811"/>
      <c r="AF41" s="811"/>
      <c r="AG41" s="811"/>
      <c r="AH41" s="811"/>
      <c r="AI41" s="811"/>
      <c r="AJ41" s="811"/>
      <c r="AK41" s="811"/>
      <c r="AL41" s="811"/>
      <c r="AM41" s="811"/>
      <c r="AN41" s="811"/>
      <c r="AO41" s="811"/>
    </row>
    <row r="42" spans="1:41" ht="17.25" customHeight="1">
      <c r="A42" s="821">
        <v>2</v>
      </c>
      <c r="B42" s="821"/>
      <c r="C42" s="23"/>
      <c r="D42" s="258"/>
      <c r="E42" s="259"/>
      <c r="F42" s="259"/>
      <c r="G42" s="259"/>
      <c r="H42" s="259"/>
      <c r="I42" s="259"/>
      <c r="J42" s="260"/>
      <c r="K42" s="811"/>
      <c r="L42" s="811"/>
      <c r="M42" s="811"/>
      <c r="N42" s="811"/>
      <c r="O42" s="811"/>
      <c r="P42" s="811"/>
      <c r="Q42" s="811"/>
      <c r="R42" s="811"/>
      <c r="S42" s="811"/>
      <c r="T42" s="811"/>
      <c r="U42" s="812"/>
      <c r="V42" s="832"/>
      <c r="W42" s="811"/>
      <c r="X42" s="811"/>
      <c r="Y42" s="811"/>
      <c r="Z42" s="811"/>
      <c r="AA42" s="811"/>
      <c r="AB42" s="811"/>
      <c r="AC42" s="811"/>
      <c r="AD42" s="811"/>
      <c r="AE42" s="811"/>
      <c r="AF42" s="811"/>
      <c r="AG42" s="811"/>
      <c r="AH42" s="811"/>
      <c r="AI42" s="811"/>
      <c r="AJ42" s="811"/>
      <c r="AK42" s="811"/>
      <c r="AL42" s="811"/>
      <c r="AM42" s="811"/>
      <c r="AN42" s="811"/>
      <c r="AO42" s="811"/>
    </row>
    <row r="43" spans="1:41" ht="20.25" customHeight="1">
      <c r="A43" s="821">
        <v>2</v>
      </c>
      <c r="B43" s="821">
        <v>1</v>
      </c>
      <c r="C43" s="23"/>
      <c r="D43" s="258"/>
      <c r="E43" s="259"/>
      <c r="F43" s="259"/>
      <c r="G43" s="259"/>
      <c r="H43" s="259"/>
      <c r="I43" s="259"/>
      <c r="J43" s="260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2"/>
      <c r="V43" s="832"/>
      <c r="W43" s="811"/>
      <c r="X43" s="811"/>
      <c r="Y43" s="811"/>
      <c r="Z43" s="811"/>
      <c r="AA43" s="811"/>
      <c r="AB43" s="811"/>
      <c r="AC43" s="811"/>
      <c r="AD43" s="811"/>
      <c r="AE43" s="811"/>
      <c r="AF43" s="811"/>
      <c r="AG43" s="811"/>
      <c r="AH43" s="811"/>
      <c r="AI43" s="811"/>
      <c r="AJ43" s="811"/>
      <c r="AK43" s="811"/>
      <c r="AL43" s="811"/>
      <c r="AM43" s="811"/>
      <c r="AN43" s="811"/>
      <c r="AO43" s="811"/>
    </row>
    <row r="44" spans="1:41" ht="16.5" customHeight="1">
      <c r="A44" s="821">
        <v>2</v>
      </c>
      <c r="B44" s="821">
        <v>1</v>
      </c>
      <c r="C44" s="23"/>
      <c r="D44" s="1838" t="s">
        <v>21</v>
      </c>
      <c r="E44" s="1838"/>
      <c r="F44" s="261"/>
      <c r="G44" s="23"/>
      <c r="H44" s="23"/>
      <c r="I44" s="262"/>
      <c r="J44" s="23"/>
      <c r="K44" s="811"/>
      <c r="L44" s="811"/>
      <c r="M44" s="811"/>
      <c r="N44" s="811"/>
      <c r="O44" s="811"/>
      <c r="P44" s="811"/>
      <c r="Q44" s="811"/>
      <c r="R44" s="811"/>
      <c r="S44" s="811"/>
      <c r="T44" s="811"/>
      <c r="U44" s="812"/>
      <c r="V44" s="832"/>
      <c r="W44" s="811"/>
      <c r="X44" s="811"/>
      <c r="Y44" s="811"/>
      <c r="Z44" s="811"/>
      <c r="AA44" s="811"/>
      <c r="AB44" s="811"/>
      <c r="AC44" s="811"/>
      <c r="AD44" s="811"/>
      <c r="AE44" s="811"/>
      <c r="AF44" s="811"/>
      <c r="AG44" s="811"/>
      <c r="AH44" s="811"/>
      <c r="AI44" s="811"/>
      <c r="AJ44" s="811"/>
      <c r="AK44" s="811"/>
      <c r="AL44" s="811"/>
      <c r="AM44" s="811"/>
      <c r="AN44" s="811"/>
      <c r="AO44" s="811"/>
    </row>
    <row r="45" spans="1:41" ht="6.75" customHeight="1">
      <c r="A45" s="821">
        <v>2</v>
      </c>
      <c r="B45" s="821"/>
      <c r="C45" s="23"/>
      <c r="D45" s="355"/>
      <c r="E45" s="355"/>
      <c r="F45" s="261"/>
      <c r="G45" s="23"/>
      <c r="H45" s="23"/>
      <c r="I45" s="262"/>
      <c r="J45" s="23"/>
      <c r="K45" s="811"/>
      <c r="L45" s="811"/>
      <c r="M45" s="811"/>
      <c r="N45" s="811"/>
      <c r="O45" s="811"/>
      <c r="P45" s="811"/>
      <c r="Q45" s="811"/>
      <c r="R45" s="811"/>
      <c r="S45" s="811"/>
      <c r="T45" s="811"/>
      <c r="U45" s="812"/>
      <c r="V45" s="832"/>
      <c r="W45" s="811"/>
      <c r="X45" s="811"/>
      <c r="Y45" s="811"/>
      <c r="Z45" s="811"/>
      <c r="AA45" s="811"/>
      <c r="AB45" s="811"/>
      <c r="AC45" s="811"/>
      <c r="AD45" s="811"/>
      <c r="AE45" s="811"/>
      <c r="AF45" s="811"/>
      <c r="AG45" s="811"/>
      <c r="AH45" s="811"/>
      <c r="AI45" s="811"/>
      <c r="AJ45" s="811"/>
      <c r="AK45" s="811"/>
      <c r="AL45" s="811"/>
      <c r="AM45" s="811"/>
      <c r="AN45" s="811"/>
      <c r="AO45" s="811"/>
    </row>
    <row r="46" spans="1:41">
      <c r="A46" s="821">
        <v>2</v>
      </c>
      <c r="B46" s="821">
        <v>1</v>
      </c>
      <c r="C46" s="23"/>
      <c r="D46" s="23" t="s">
        <v>859</v>
      </c>
      <c r="E46" s="23"/>
      <c r="F46" s="23"/>
      <c r="G46" s="23"/>
      <c r="H46" s="23"/>
      <c r="I46" s="262"/>
      <c r="J46" s="23"/>
      <c r="K46" s="811"/>
      <c r="L46" s="811"/>
      <c r="M46" s="811"/>
      <c r="N46" s="811"/>
      <c r="O46" s="811"/>
      <c r="P46" s="811"/>
      <c r="Q46" s="811"/>
      <c r="R46" s="811"/>
      <c r="S46" s="811"/>
      <c r="T46" s="811"/>
      <c r="U46" s="812"/>
      <c r="V46" s="832"/>
      <c r="W46" s="811"/>
      <c r="X46" s="811"/>
      <c r="Y46" s="811"/>
      <c r="Z46" s="811"/>
      <c r="AA46" s="811"/>
      <c r="AB46" s="811"/>
      <c r="AC46" s="811"/>
      <c r="AD46" s="811"/>
      <c r="AE46" s="811"/>
      <c r="AF46" s="811"/>
      <c r="AG46" s="811"/>
      <c r="AH46" s="811"/>
      <c r="AI46" s="811"/>
      <c r="AJ46" s="811"/>
      <c r="AK46" s="811"/>
      <c r="AL46" s="811"/>
      <c r="AM46" s="811"/>
      <c r="AN46" s="811"/>
      <c r="AO46" s="811"/>
    </row>
    <row r="47" spans="1:41">
      <c r="A47" s="821">
        <v>2</v>
      </c>
      <c r="B47" s="821">
        <v>1</v>
      </c>
      <c r="C47" s="23"/>
      <c r="D47" s="352"/>
      <c r="E47" s="264"/>
      <c r="F47" s="252"/>
      <c r="G47" s="23"/>
      <c r="H47" s="23"/>
      <c r="I47" s="23"/>
      <c r="J47" s="23"/>
      <c r="K47" s="811"/>
      <c r="L47" s="811"/>
      <c r="M47" s="811"/>
      <c r="N47" s="811"/>
      <c r="O47" s="811"/>
      <c r="P47" s="811"/>
      <c r="Q47" s="811"/>
      <c r="R47" s="811"/>
      <c r="S47" s="811"/>
      <c r="T47" s="811"/>
      <c r="U47" s="812"/>
      <c r="V47" s="832"/>
      <c r="W47" s="811"/>
      <c r="X47" s="811"/>
      <c r="Y47" s="811"/>
      <c r="Z47" s="811"/>
      <c r="AA47" s="811"/>
      <c r="AB47" s="811"/>
      <c r="AC47" s="811"/>
      <c r="AD47" s="811"/>
      <c r="AE47" s="811"/>
      <c r="AF47" s="811"/>
      <c r="AG47" s="811"/>
      <c r="AH47" s="811"/>
      <c r="AI47" s="811"/>
      <c r="AJ47" s="811"/>
      <c r="AK47" s="811"/>
      <c r="AL47" s="811"/>
      <c r="AM47" s="811"/>
      <c r="AN47" s="811"/>
      <c r="AO47" s="811"/>
    </row>
    <row r="48" spans="1:41" ht="18.75" customHeight="1">
      <c r="A48" s="821">
        <v>2</v>
      </c>
      <c r="B48" s="821">
        <v>1</v>
      </c>
      <c r="C48" s="23"/>
      <c r="D48" s="352"/>
      <c r="E48" s="264"/>
      <c r="F48" s="252"/>
      <c r="G48" s="23"/>
      <c r="H48" s="23"/>
      <c r="I48" s="23"/>
      <c r="J48" s="23"/>
      <c r="K48" s="811"/>
      <c r="L48" s="811"/>
      <c r="M48" s="811"/>
      <c r="N48" s="811"/>
      <c r="O48" s="811"/>
      <c r="P48" s="811"/>
      <c r="Q48" s="811"/>
      <c r="R48" s="811"/>
      <c r="S48" s="811"/>
      <c r="T48" s="811"/>
      <c r="U48" s="812"/>
      <c r="V48" s="832"/>
      <c r="W48" s="811"/>
      <c r="X48" s="811"/>
      <c r="Y48" s="811"/>
      <c r="Z48" s="811"/>
      <c r="AA48" s="811"/>
      <c r="AB48" s="811"/>
      <c r="AC48" s="811"/>
      <c r="AD48" s="811"/>
      <c r="AE48" s="811"/>
      <c r="AF48" s="811"/>
      <c r="AG48" s="811"/>
      <c r="AH48" s="811"/>
      <c r="AI48" s="811"/>
      <c r="AJ48" s="811"/>
      <c r="AK48" s="811"/>
      <c r="AL48" s="811"/>
      <c r="AM48" s="811"/>
      <c r="AN48" s="811"/>
      <c r="AO48" s="811"/>
    </row>
    <row r="49" spans="1:41" s="109" customFormat="1" ht="21" customHeight="1">
      <c r="A49" s="821">
        <v>2</v>
      </c>
      <c r="B49" s="821">
        <v>1</v>
      </c>
      <c r="C49" s="23"/>
      <c r="D49" s="352"/>
      <c r="E49" s="264"/>
      <c r="F49" s="252"/>
      <c r="G49" s="23"/>
      <c r="H49" s="23"/>
      <c r="I49" s="23"/>
      <c r="J49" s="23"/>
      <c r="K49" s="811"/>
      <c r="L49" s="811"/>
      <c r="M49" s="811"/>
      <c r="N49" s="820"/>
      <c r="O49" s="820"/>
      <c r="P49" s="820"/>
      <c r="Q49" s="820"/>
      <c r="R49" s="820"/>
      <c r="S49" s="820"/>
      <c r="T49" s="820"/>
      <c r="U49" s="828"/>
      <c r="V49" s="836"/>
      <c r="W49" s="820"/>
      <c r="X49" s="820"/>
      <c r="Y49" s="820"/>
      <c r="Z49" s="820"/>
      <c r="AA49" s="820"/>
      <c r="AB49" s="820"/>
      <c r="AC49" s="820"/>
      <c r="AD49" s="820"/>
      <c r="AE49" s="820"/>
      <c r="AF49" s="820"/>
      <c r="AG49" s="820"/>
      <c r="AH49" s="820"/>
      <c r="AI49" s="820"/>
      <c r="AJ49" s="820"/>
      <c r="AK49" s="820"/>
      <c r="AL49" s="820"/>
      <c r="AM49" s="820"/>
      <c r="AN49" s="820"/>
      <c r="AO49" s="820"/>
    </row>
    <row r="50" spans="1:41" s="109" customFormat="1">
      <c r="A50" s="821">
        <v>2</v>
      </c>
      <c r="B50" s="821">
        <v>1</v>
      </c>
      <c r="C50" s="23"/>
      <c r="D50" s="352"/>
      <c r="E50" s="264"/>
      <c r="F50" s="252"/>
      <c r="G50" s="23"/>
      <c r="H50" s="23"/>
      <c r="I50" s="23"/>
      <c r="J50" s="23"/>
      <c r="K50" s="811"/>
      <c r="L50" s="811"/>
      <c r="M50" s="811"/>
      <c r="N50" s="820"/>
      <c r="O50" s="820"/>
      <c r="P50" s="820"/>
      <c r="Q50" s="820"/>
      <c r="R50" s="820"/>
      <c r="S50" s="820"/>
      <c r="T50" s="820"/>
      <c r="U50" s="828"/>
      <c r="V50" s="836"/>
      <c r="W50" s="820"/>
      <c r="X50" s="820"/>
      <c r="Y50" s="820"/>
      <c r="Z50" s="820"/>
      <c r="AA50" s="820"/>
      <c r="AB50" s="820"/>
      <c r="AC50" s="820"/>
      <c r="AD50" s="820"/>
      <c r="AE50" s="820"/>
      <c r="AF50" s="820"/>
      <c r="AG50" s="820"/>
      <c r="AH50" s="820"/>
      <c r="AI50" s="820"/>
      <c r="AJ50" s="820"/>
      <c r="AK50" s="820"/>
      <c r="AL50" s="820"/>
      <c r="AM50" s="820"/>
      <c r="AN50" s="820"/>
      <c r="AO50" s="820"/>
    </row>
    <row r="51" spans="1:41" s="109" customFormat="1" ht="21" customHeight="1">
      <c r="A51" s="821">
        <v>2</v>
      </c>
      <c r="B51" s="821">
        <v>1</v>
      </c>
      <c r="C51" s="23"/>
      <c r="D51" s="352"/>
      <c r="E51" s="264"/>
      <c r="F51" s="252"/>
      <c r="G51" s="23"/>
      <c r="H51" s="23"/>
      <c r="I51" s="23"/>
      <c r="J51" s="23"/>
      <c r="K51" s="811"/>
      <c r="L51" s="811"/>
      <c r="M51" s="811"/>
      <c r="N51" s="820"/>
      <c r="O51" s="820"/>
      <c r="P51" s="820"/>
      <c r="Q51" s="820"/>
      <c r="R51" s="820"/>
      <c r="S51" s="820"/>
      <c r="T51" s="820"/>
      <c r="U51" s="828"/>
      <c r="V51" s="836"/>
      <c r="W51" s="820"/>
      <c r="X51" s="820"/>
      <c r="Y51" s="820"/>
      <c r="Z51" s="820"/>
      <c r="AA51" s="820"/>
      <c r="AB51" s="820"/>
      <c r="AC51" s="820"/>
      <c r="AD51" s="820"/>
      <c r="AE51" s="820"/>
      <c r="AF51" s="820"/>
      <c r="AG51" s="820"/>
      <c r="AH51" s="820"/>
      <c r="AI51" s="820"/>
      <c r="AJ51" s="820"/>
      <c r="AK51" s="820"/>
      <c r="AL51" s="820"/>
      <c r="AM51" s="820"/>
      <c r="AN51" s="820"/>
      <c r="AO51" s="820"/>
    </row>
    <row r="52" spans="1:41" s="109" customFormat="1">
      <c r="A52" s="821">
        <v>2</v>
      </c>
      <c r="B52" s="821">
        <v>1</v>
      </c>
      <c r="C52" s="23"/>
      <c r="D52" s="1839"/>
      <c r="E52" s="1839"/>
      <c r="F52" s="252"/>
      <c r="G52" s="23"/>
      <c r="H52" s="23"/>
      <c r="I52" s="23"/>
      <c r="J52" s="23"/>
      <c r="K52" s="811"/>
      <c r="L52" s="811"/>
      <c r="M52" s="811"/>
      <c r="N52" s="820"/>
      <c r="O52" s="820"/>
      <c r="P52" s="820"/>
      <c r="Q52" s="820"/>
      <c r="R52" s="820"/>
      <c r="S52" s="820"/>
      <c r="T52" s="820"/>
      <c r="U52" s="828"/>
      <c r="V52" s="836"/>
      <c r="W52" s="820"/>
      <c r="X52" s="820"/>
      <c r="Y52" s="820"/>
      <c r="Z52" s="820"/>
      <c r="AA52" s="820"/>
      <c r="AB52" s="820"/>
      <c r="AC52" s="820"/>
      <c r="AD52" s="820"/>
      <c r="AE52" s="820"/>
      <c r="AF52" s="820"/>
      <c r="AG52" s="820"/>
      <c r="AH52" s="820"/>
      <c r="AI52" s="820"/>
      <c r="AJ52" s="820"/>
      <c r="AK52" s="820"/>
      <c r="AL52" s="820"/>
      <c r="AM52" s="820"/>
      <c r="AN52" s="820"/>
      <c r="AO52" s="820"/>
    </row>
    <row r="53" spans="1:41" s="109" customFormat="1">
      <c r="A53" s="821">
        <v>2</v>
      </c>
      <c r="B53" s="821">
        <v>1</v>
      </c>
      <c r="C53" s="23"/>
      <c r="D53" s="1839" t="s">
        <v>860</v>
      </c>
      <c r="E53" s="1839"/>
      <c r="F53" s="252"/>
      <c r="G53" s="23"/>
      <c r="H53" s="23"/>
      <c r="I53" s="23"/>
      <c r="J53" s="23"/>
      <c r="K53" s="811"/>
      <c r="L53" s="811"/>
      <c r="M53" s="811"/>
      <c r="N53" s="820"/>
      <c r="O53" s="820"/>
      <c r="P53" s="820"/>
      <c r="Q53" s="820"/>
      <c r="R53" s="820"/>
      <c r="S53" s="820"/>
      <c r="T53" s="820"/>
      <c r="U53" s="828"/>
      <c r="V53" s="836"/>
      <c r="W53" s="820"/>
      <c r="X53" s="820"/>
      <c r="Y53" s="820"/>
      <c r="Z53" s="820"/>
      <c r="AA53" s="820"/>
      <c r="AB53" s="820"/>
      <c r="AC53" s="820"/>
      <c r="AD53" s="820"/>
      <c r="AE53" s="820"/>
      <c r="AF53" s="820"/>
      <c r="AG53" s="820"/>
      <c r="AH53" s="820"/>
      <c r="AI53" s="820"/>
      <c r="AJ53" s="820"/>
      <c r="AK53" s="820"/>
      <c r="AL53" s="820"/>
      <c r="AM53" s="820"/>
      <c r="AN53" s="820"/>
      <c r="AO53" s="820"/>
    </row>
    <row r="54" spans="1:41" s="109" customFormat="1" ht="15" customHeight="1">
      <c r="A54" s="821">
        <v>2</v>
      </c>
      <c r="B54" s="821"/>
      <c r="C54" s="23"/>
      <c r="D54" s="354"/>
      <c r="E54" s="354"/>
      <c r="F54" s="252"/>
      <c r="G54" s="23"/>
      <c r="H54" s="23"/>
      <c r="I54" s="23"/>
      <c r="J54" s="23"/>
      <c r="K54" s="811"/>
      <c r="L54" s="811"/>
      <c r="M54" s="811"/>
      <c r="N54" s="820"/>
      <c r="O54" s="820"/>
      <c r="P54" s="820"/>
      <c r="Q54" s="820"/>
      <c r="R54" s="820"/>
      <c r="S54" s="820"/>
      <c r="T54" s="820"/>
      <c r="U54" s="828"/>
      <c r="V54" s="836"/>
      <c r="W54" s="820"/>
      <c r="X54" s="820"/>
      <c r="Y54" s="820"/>
      <c r="Z54" s="820"/>
      <c r="AA54" s="820"/>
      <c r="AB54" s="820"/>
      <c r="AC54" s="820"/>
      <c r="AD54" s="820"/>
      <c r="AE54" s="820"/>
      <c r="AF54" s="820"/>
      <c r="AG54" s="820"/>
      <c r="AH54" s="820"/>
      <c r="AI54" s="820"/>
      <c r="AJ54" s="820"/>
      <c r="AK54" s="820"/>
      <c r="AL54" s="820"/>
      <c r="AM54" s="820"/>
      <c r="AN54" s="820"/>
      <c r="AO54" s="820"/>
    </row>
    <row r="55" spans="1:41" s="109" customFormat="1" ht="14.25" customHeight="1">
      <c r="A55" s="821">
        <v>2</v>
      </c>
      <c r="B55" s="821">
        <v>1</v>
      </c>
      <c r="C55" s="23"/>
      <c r="D55" s="1838" t="s">
        <v>9</v>
      </c>
      <c r="E55" s="1838"/>
      <c r="F55" s="252"/>
      <c r="G55" s="23"/>
      <c r="H55" s="23"/>
      <c r="I55" s="23"/>
      <c r="J55" s="23"/>
      <c r="K55" s="811"/>
      <c r="L55" s="811"/>
      <c r="M55" s="811"/>
      <c r="N55" s="820"/>
      <c r="O55" s="820"/>
      <c r="P55" s="820"/>
      <c r="Q55" s="820"/>
      <c r="R55" s="820"/>
      <c r="S55" s="820"/>
      <c r="T55" s="820"/>
      <c r="U55" s="828"/>
      <c r="V55" s="836"/>
      <c r="W55" s="820"/>
      <c r="X55" s="820"/>
      <c r="Y55" s="820"/>
      <c r="Z55" s="820"/>
      <c r="AA55" s="820"/>
      <c r="AB55" s="820"/>
      <c r="AC55" s="820"/>
      <c r="AD55" s="820"/>
      <c r="AE55" s="820"/>
      <c r="AF55" s="820"/>
      <c r="AG55" s="820"/>
      <c r="AH55" s="820"/>
      <c r="AI55" s="820"/>
      <c r="AJ55" s="820"/>
      <c r="AK55" s="820"/>
      <c r="AL55" s="820"/>
      <c r="AM55" s="820"/>
      <c r="AN55" s="820"/>
      <c r="AO55" s="820"/>
    </row>
    <row r="56" spans="1:41" s="109" customFormat="1">
      <c r="A56" s="821">
        <v>2</v>
      </c>
      <c r="B56" s="821">
        <v>1</v>
      </c>
      <c r="C56" s="23"/>
      <c r="D56" s="356" t="s">
        <v>861</v>
      </c>
      <c r="E56" s="356"/>
      <c r="F56" s="267"/>
      <c r="G56" s="23"/>
      <c r="H56" s="23"/>
      <c r="I56" s="23"/>
      <c r="J56" s="23"/>
      <c r="K56" s="811"/>
      <c r="L56" s="811"/>
      <c r="M56" s="811"/>
      <c r="N56" s="820"/>
      <c r="O56" s="820"/>
      <c r="P56" s="820"/>
      <c r="Q56" s="820"/>
      <c r="R56" s="820"/>
      <c r="S56" s="820"/>
      <c r="T56" s="820"/>
      <c r="U56" s="828"/>
      <c r="V56" s="836"/>
      <c r="W56" s="820"/>
      <c r="X56" s="820"/>
      <c r="Y56" s="820"/>
      <c r="Z56" s="820"/>
      <c r="AA56" s="820"/>
      <c r="AB56" s="820"/>
      <c r="AC56" s="820"/>
      <c r="AD56" s="820"/>
      <c r="AE56" s="820"/>
      <c r="AF56" s="820"/>
      <c r="AG56" s="820"/>
      <c r="AH56" s="820"/>
      <c r="AI56" s="820"/>
      <c r="AJ56" s="820"/>
      <c r="AK56" s="820"/>
      <c r="AL56" s="820"/>
      <c r="AM56" s="820"/>
      <c r="AN56" s="820"/>
      <c r="AO56" s="820"/>
    </row>
    <row r="57" spans="1:41" s="109" customFormat="1">
      <c r="A57" s="821">
        <v>2</v>
      </c>
      <c r="B57" s="821">
        <v>1</v>
      </c>
      <c r="C57" s="23"/>
      <c r="D57" s="356" t="s">
        <v>862</v>
      </c>
      <c r="E57" s="356"/>
      <c r="F57" s="267"/>
      <c r="G57" s="23"/>
      <c r="H57" s="23"/>
      <c r="I57" s="23"/>
      <c r="J57" s="23"/>
      <c r="K57" s="811"/>
      <c r="L57" s="811"/>
      <c r="M57" s="811"/>
      <c r="N57" s="820"/>
      <c r="O57" s="820"/>
      <c r="P57" s="820"/>
      <c r="Q57" s="820"/>
      <c r="R57" s="820"/>
      <c r="S57" s="820"/>
      <c r="T57" s="820"/>
      <c r="U57" s="828"/>
      <c r="V57" s="836"/>
      <c r="W57" s="820"/>
      <c r="X57" s="820"/>
      <c r="Y57" s="820"/>
      <c r="Z57" s="820"/>
      <c r="AA57" s="820"/>
      <c r="AB57" s="820"/>
      <c r="AC57" s="820"/>
      <c r="AD57" s="820"/>
      <c r="AE57" s="820"/>
      <c r="AF57" s="820"/>
      <c r="AG57" s="820"/>
      <c r="AH57" s="820"/>
      <c r="AI57" s="820"/>
      <c r="AJ57" s="820"/>
      <c r="AK57" s="820"/>
      <c r="AL57" s="820"/>
      <c r="AM57" s="820"/>
      <c r="AN57" s="820"/>
      <c r="AO57" s="820"/>
    </row>
    <row r="58" spans="1:41" s="109" customFormat="1" ht="17.25" customHeight="1">
      <c r="A58" s="821">
        <v>2</v>
      </c>
      <c r="B58" s="821">
        <v>1</v>
      </c>
      <c r="C58" s="23"/>
      <c r="D58" s="1835" t="s">
        <v>863</v>
      </c>
      <c r="E58" s="1835"/>
      <c r="F58" s="1835"/>
      <c r="G58" s="23"/>
      <c r="H58" s="23"/>
      <c r="I58" s="23"/>
      <c r="J58" s="23"/>
      <c r="K58" s="811"/>
      <c r="L58" s="811"/>
      <c r="M58" s="811"/>
      <c r="N58" s="820"/>
      <c r="O58" s="820"/>
      <c r="P58" s="820"/>
      <c r="Q58" s="820"/>
      <c r="R58" s="820"/>
      <c r="S58" s="820"/>
      <c r="T58" s="820"/>
      <c r="U58" s="828"/>
      <c r="V58" s="836"/>
      <c r="W58" s="820"/>
      <c r="X58" s="820"/>
      <c r="Y58" s="820"/>
      <c r="Z58" s="820"/>
      <c r="AA58" s="820"/>
      <c r="AB58" s="820"/>
      <c r="AC58" s="820"/>
      <c r="AD58" s="820"/>
      <c r="AE58" s="820"/>
      <c r="AF58" s="820"/>
      <c r="AG58" s="820"/>
      <c r="AH58" s="820"/>
      <c r="AI58" s="820"/>
      <c r="AJ58" s="820"/>
      <c r="AK58" s="820"/>
      <c r="AL58" s="820"/>
      <c r="AM58" s="820"/>
      <c r="AN58" s="820"/>
      <c r="AO58" s="820"/>
    </row>
    <row r="59" spans="1:41" s="109" customFormat="1" ht="16.5" customHeight="1">
      <c r="A59" s="821">
        <v>2</v>
      </c>
      <c r="B59" s="821">
        <v>1</v>
      </c>
      <c r="C59" s="23"/>
      <c r="D59" s="268"/>
      <c r="E59" s="268"/>
      <c r="F59" s="252"/>
      <c r="G59" s="23"/>
      <c r="H59" s="23"/>
      <c r="I59" s="23"/>
      <c r="J59" s="23"/>
      <c r="K59" s="811"/>
      <c r="L59" s="811"/>
      <c r="M59" s="811"/>
      <c r="N59" s="820"/>
      <c r="O59" s="820"/>
      <c r="P59" s="820"/>
      <c r="Q59" s="820"/>
      <c r="R59" s="820"/>
      <c r="S59" s="820"/>
      <c r="T59" s="820"/>
      <c r="U59" s="828"/>
      <c r="V59" s="836"/>
      <c r="W59" s="820"/>
      <c r="X59" s="820"/>
      <c r="Y59" s="820"/>
      <c r="Z59" s="820"/>
      <c r="AA59" s="820"/>
      <c r="AB59" s="820"/>
      <c r="AC59" s="820"/>
      <c r="AD59" s="820"/>
      <c r="AE59" s="820"/>
      <c r="AF59" s="820"/>
      <c r="AG59" s="820"/>
      <c r="AH59" s="820"/>
      <c r="AI59" s="820"/>
      <c r="AJ59" s="820"/>
      <c r="AK59" s="820"/>
      <c r="AL59" s="820"/>
      <c r="AM59" s="820"/>
      <c r="AN59" s="820"/>
      <c r="AO59" s="820"/>
    </row>
    <row r="60" spans="1:41" s="109" customFormat="1" ht="17.25" customHeight="1">
      <c r="A60" s="821">
        <v>2</v>
      </c>
      <c r="B60" s="821">
        <v>1</v>
      </c>
      <c r="C60" s="883"/>
      <c r="D60" s="883">
        <v>1</v>
      </c>
      <c r="E60" s="883"/>
      <c r="F60" s="884"/>
      <c r="G60" s="883"/>
      <c r="H60" s="883"/>
      <c r="I60" s="883"/>
      <c r="J60" s="883">
        <v>1</v>
      </c>
      <c r="K60" s="811"/>
      <c r="L60" s="811"/>
      <c r="M60" s="811"/>
      <c r="N60" s="820"/>
      <c r="O60" s="820"/>
      <c r="P60" s="820"/>
      <c r="Q60" s="820"/>
      <c r="R60" s="820"/>
      <c r="S60" s="820"/>
      <c r="T60" s="820"/>
      <c r="U60" s="828"/>
      <c r="V60" s="836"/>
      <c r="W60" s="820"/>
      <c r="X60" s="820"/>
      <c r="Y60" s="820"/>
      <c r="Z60" s="820"/>
      <c r="AA60" s="820"/>
      <c r="AB60" s="820"/>
      <c r="AC60" s="820"/>
      <c r="AD60" s="820"/>
      <c r="AE60" s="820"/>
      <c r="AF60" s="820"/>
      <c r="AG60" s="820"/>
      <c r="AH60" s="820"/>
      <c r="AI60" s="820"/>
      <c r="AJ60" s="820"/>
      <c r="AK60" s="820"/>
      <c r="AL60" s="820"/>
      <c r="AM60" s="820"/>
      <c r="AN60" s="820"/>
      <c r="AO60" s="820"/>
    </row>
    <row r="61" spans="1:41">
      <c r="A61" s="821">
        <v>2</v>
      </c>
      <c r="B61" s="821">
        <v>1</v>
      </c>
      <c r="C61" s="883">
        <v>1</v>
      </c>
      <c r="D61" s="883">
        <v>1</v>
      </c>
      <c r="E61" s="883"/>
      <c r="F61" s="884"/>
      <c r="G61" s="883"/>
      <c r="H61" s="883"/>
      <c r="I61" s="883"/>
      <c r="J61" s="883">
        <v>1</v>
      </c>
      <c r="K61" s="811"/>
      <c r="L61" s="811"/>
      <c r="M61" s="811"/>
      <c r="N61" s="811"/>
      <c r="O61" s="811"/>
      <c r="P61" s="811"/>
      <c r="Q61" s="811"/>
      <c r="R61" s="811"/>
      <c r="S61" s="811"/>
      <c r="T61" s="811"/>
      <c r="U61" s="812"/>
      <c r="V61" s="832"/>
      <c r="W61" s="811"/>
      <c r="X61" s="811"/>
      <c r="Y61" s="811"/>
      <c r="Z61" s="811"/>
      <c r="AA61" s="811"/>
      <c r="AB61" s="811"/>
      <c r="AC61" s="811"/>
      <c r="AD61" s="811"/>
      <c r="AE61" s="811"/>
      <c r="AF61" s="811"/>
      <c r="AG61" s="811"/>
      <c r="AH61" s="811"/>
      <c r="AI61" s="811"/>
      <c r="AJ61" s="811"/>
      <c r="AK61" s="811"/>
      <c r="AL61" s="811"/>
      <c r="AM61" s="811"/>
      <c r="AN61" s="811"/>
      <c r="AO61" s="811"/>
    </row>
    <row r="62" spans="1:41">
      <c r="A62" s="821"/>
      <c r="B62" s="821"/>
      <c r="C62" s="811"/>
      <c r="D62" s="811"/>
      <c r="E62" s="811"/>
      <c r="F62" s="820"/>
      <c r="G62" s="811"/>
      <c r="H62" s="811"/>
      <c r="I62" s="811"/>
      <c r="J62" s="811"/>
      <c r="K62" s="811"/>
      <c r="L62" s="811"/>
      <c r="M62" s="811"/>
      <c r="N62" s="811"/>
      <c r="O62" s="811"/>
      <c r="P62" s="811"/>
      <c r="Q62" s="811"/>
      <c r="R62" s="811"/>
      <c r="S62" s="811"/>
      <c r="T62" s="811"/>
      <c r="U62" s="812"/>
      <c r="V62" s="832"/>
      <c r="W62" s="811"/>
      <c r="X62" s="811"/>
      <c r="Y62" s="811"/>
      <c r="Z62" s="811"/>
      <c r="AA62" s="811"/>
      <c r="AB62" s="811"/>
      <c r="AC62" s="811"/>
      <c r="AD62" s="811"/>
      <c r="AE62" s="811"/>
      <c r="AF62" s="811"/>
      <c r="AG62" s="811"/>
      <c r="AH62" s="811"/>
      <c r="AI62" s="811"/>
      <c r="AJ62" s="811"/>
      <c r="AK62" s="811"/>
      <c r="AL62" s="811"/>
      <c r="AM62" s="811"/>
      <c r="AN62" s="811"/>
      <c r="AO62" s="811"/>
    </row>
    <row r="63" spans="1:41">
      <c r="A63" s="821"/>
      <c r="B63" s="821"/>
      <c r="C63" s="811"/>
      <c r="D63" s="811"/>
      <c r="E63" s="811"/>
      <c r="F63" s="820"/>
      <c r="G63" s="811"/>
      <c r="H63" s="811"/>
      <c r="I63" s="811"/>
      <c r="J63" s="811"/>
      <c r="K63" s="811"/>
      <c r="L63" s="811"/>
      <c r="M63" s="811"/>
      <c r="N63" s="811"/>
      <c r="O63" s="811"/>
      <c r="P63" s="811"/>
      <c r="Q63" s="811"/>
      <c r="R63" s="811"/>
      <c r="S63" s="811"/>
      <c r="T63" s="811"/>
      <c r="U63" s="812"/>
      <c r="V63" s="832"/>
      <c r="W63" s="811"/>
      <c r="X63" s="811"/>
      <c r="Y63" s="811"/>
      <c r="Z63" s="811"/>
      <c r="AA63" s="811"/>
      <c r="AB63" s="811"/>
      <c r="AC63" s="811"/>
      <c r="AD63" s="811"/>
      <c r="AE63" s="811"/>
      <c r="AF63" s="811"/>
      <c r="AG63" s="811"/>
      <c r="AH63" s="811"/>
      <c r="AI63" s="811"/>
      <c r="AJ63" s="811"/>
      <c r="AK63" s="811"/>
      <c r="AL63" s="811"/>
      <c r="AM63" s="811"/>
      <c r="AN63" s="811"/>
      <c r="AO63" s="811"/>
    </row>
    <row r="64" spans="1:41">
      <c r="A64" s="821"/>
      <c r="B64" s="821"/>
      <c r="C64" s="811"/>
      <c r="D64" s="811"/>
      <c r="E64" s="811"/>
      <c r="F64" s="820"/>
      <c r="G64" s="811"/>
      <c r="H64" s="811"/>
      <c r="I64" s="811"/>
      <c r="J64" s="811"/>
      <c r="K64" s="811"/>
      <c r="L64" s="811"/>
      <c r="M64" s="811"/>
      <c r="N64" s="811"/>
      <c r="O64" s="811"/>
      <c r="P64" s="811"/>
      <c r="Q64" s="811"/>
      <c r="R64" s="811"/>
      <c r="S64" s="811"/>
      <c r="T64" s="811"/>
      <c r="U64" s="812"/>
      <c r="V64" s="832"/>
      <c r="W64" s="811"/>
      <c r="X64" s="811"/>
      <c r="Y64" s="811"/>
      <c r="Z64" s="811"/>
      <c r="AA64" s="811"/>
      <c r="AB64" s="811"/>
      <c r="AC64" s="811"/>
      <c r="AD64" s="811"/>
      <c r="AE64" s="811"/>
      <c r="AF64" s="811"/>
      <c r="AG64" s="811"/>
      <c r="AH64" s="811"/>
      <c r="AI64" s="811"/>
      <c r="AJ64" s="811"/>
      <c r="AK64" s="811"/>
      <c r="AL64" s="811"/>
      <c r="AM64" s="811"/>
      <c r="AN64" s="811"/>
      <c r="AO64" s="811"/>
    </row>
    <row r="65" spans="1:41">
      <c r="A65" s="821"/>
      <c r="B65" s="821"/>
      <c r="C65" s="811"/>
      <c r="D65" s="811"/>
      <c r="E65" s="811"/>
      <c r="F65" s="820"/>
      <c r="G65" s="811"/>
      <c r="H65" s="811"/>
      <c r="I65" s="811"/>
      <c r="J65" s="811"/>
      <c r="K65" s="811"/>
      <c r="L65" s="811"/>
      <c r="M65" s="811"/>
      <c r="N65" s="811"/>
      <c r="O65" s="811"/>
      <c r="P65" s="811"/>
      <c r="Q65" s="811"/>
      <c r="R65" s="811"/>
      <c r="S65" s="811"/>
      <c r="T65" s="811"/>
      <c r="U65" s="811"/>
      <c r="V65" s="832"/>
      <c r="W65" s="811"/>
      <c r="X65" s="811"/>
      <c r="Y65" s="811"/>
      <c r="Z65" s="811"/>
      <c r="AA65" s="811"/>
      <c r="AB65" s="811"/>
      <c r="AC65" s="811"/>
      <c r="AD65" s="811"/>
      <c r="AE65" s="811"/>
      <c r="AF65" s="811"/>
      <c r="AG65" s="811"/>
      <c r="AH65" s="811"/>
      <c r="AI65" s="811"/>
      <c r="AJ65" s="811"/>
      <c r="AK65" s="811"/>
      <c r="AL65" s="811"/>
      <c r="AM65" s="811"/>
      <c r="AN65" s="811"/>
      <c r="AO65" s="811"/>
    </row>
    <row r="66" spans="1:41">
      <c r="A66" s="821"/>
      <c r="B66" s="821"/>
      <c r="C66" s="811"/>
      <c r="D66" s="811"/>
      <c r="E66" s="811"/>
      <c r="F66" s="820"/>
      <c r="G66" s="811"/>
      <c r="H66" s="811"/>
      <c r="I66" s="811"/>
      <c r="J66" s="811"/>
      <c r="K66" s="811"/>
      <c r="L66" s="811"/>
      <c r="M66" s="811"/>
      <c r="N66" s="811"/>
      <c r="O66" s="811"/>
      <c r="P66" s="811"/>
      <c r="Q66" s="811"/>
      <c r="R66" s="811"/>
      <c r="S66" s="811"/>
      <c r="T66" s="811"/>
      <c r="U66" s="811"/>
      <c r="V66" s="832"/>
      <c r="W66" s="811"/>
      <c r="X66" s="811"/>
      <c r="Y66" s="811"/>
      <c r="Z66" s="811"/>
      <c r="AA66" s="811"/>
      <c r="AB66" s="811"/>
      <c r="AC66" s="811"/>
      <c r="AD66" s="811"/>
      <c r="AE66" s="811"/>
      <c r="AF66" s="811"/>
      <c r="AG66" s="811"/>
      <c r="AH66" s="811"/>
      <c r="AI66" s="811"/>
      <c r="AJ66" s="811"/>
      <c r="AK66" s="811"/>
      <c r="AL66" s="811"/>
      <c r="AM66" s="811"/>
      <c r="AN66" s="811"/>
      <c r="AO66" s="811"/>
    </row>
    <row r="67" spans="1:41">
      <c r="A67" s="821"/>
      <c r="B67" s="821"/>
      <c r="C67" s="811"/>
      <c r="D67" s="811"/>
      <c r="E67" s="811"/>
      <c r="F67" s="820"/>
      <c r="G67" s="811"/>
      <c r="H67" s="811"/>
      <c r="I67" s="811"/>
      <c r="J67" s="811"/>
      <c r="K67" s="811"/>
      <c r="L67" s="811"/>
      <c r="M67" s="811"/>
      <c r="N67" s="811"/>
      <c r="O67" s="811"/>
      <c r="P67" s="811"/>
      <c r="Q67" s="811"/>
      <c r="R67" s="811"/>
      <c r="S67" s="811"/>
      <c r="T67" s="811"/>
      <c r="U67" s="811"/>
      <c r="V67" s="832"/>
      <c r="W67" s="811"/>
      <c r="X67" s="811"/>
      <c r="Y67" s="811"/>
      <c r="Z67" s="811"/>
      <c r="AA67" s="811"/>
      <c r="AB67" s="811"/>
      <c r="AC67" s="811"/>
      <c r="AD67" s="811"/>
      <c r="AE67" s="811"/>
      <c r="AF67" s="811"/>
      <c r="AG67" s="811"/>
      <c r="AH67" s="811"/>
      <c r="AI67" s="811"/>
      <c r="AJ67" s="811"/>
      <c r="AK67" s="811"/>
      <c r="AL67" s="811"/>
      <c r="AM67" s="811"/>
      <c r="AN67" s="811"/>
      <c r="AO67" s="811"/>
    </row>
    <row r="68" spans="1:41">
      <c r="A68" s="821"/>
      <c r="B68" s="821"/>
      <c r="C68" s="811"/>
      <c r="D68" s="811"/>
      <c r="E68" s="811"/>
      <c r="F68" s="820"/>
      <c r="G68" s="811"/>
      <c r="H68" s="811"/>
      <c r="I68" s="811"/>
      <c r="J68" s="811"/>
      <c r="K68" s="811"/>
      <c r="L68" s="811"/>
      <c r="M68" s="811"/>
      <c r="N68" s="811"/>
      <c r="O68" s="811"/>
      <c r="P68" s="811"/>
      <c r="Q68" s="811"/>
      <c r="R68" s="811"/>
      <c r="S68" s="811"/>
      <c r="T68" s="811"/>
      <c r="U68" s="811"/>
      <c r="V68" s="832"/>
      <c r="W68" s="811"/>
      <c r="X68" s="811"/>
      <c r="Y68" s="811"/>
      <c r="Z68" s="811"/>
      <c r="AA68" s="811"/>
      <c r="AB68" s="811"/>
      <c r="AC68" s="811"/>
      <c r="AD68" s="811"/>
      <c r="AE68" s="811"/>
      <c r="AF68" s="811"/>
      <c r="AG68" s="811"/>
      <c r="AH68" s="811"/>
      <c r="AI68" s="811"/>
      <c r="AJ68" s="811"/>
      <c r="AK68" s="811"/>
      <c r="AL68" s="811"/>
      <c r="AM68" s="811"/>
      <c r="AN68" s="811"/>
      <c r="AO68" s="811"/>
    </row>
    <row r="69" spans="1:41">
      <c r="A69" s="821"/>
      <c r="B69" s="821"/>
      <c r="C69" s="811"/>
      <c r="D69" s="811"/>
      <c r="E69" s="811"/>
      <c r="F69" s="820"/>
      <c r="G69" s="811"/>
      <c r="H69" s="811"/>
      <c r="I69" s="811"/>
      <c r="J69" s="811"/>
      <c r="K69" s="811"/>
      <c r="L69" s="811"/>
      <c r="M69" s="811"/>
      <c r="N69" s="811"/>
      <c r="O69" s="811"/>
      <c r="P69" s="811"/>
      <c r="Q69" s="811"/>
      <c r="R69" s="811"/>
      <c r="S69" s="811"/>
      <c r="T69" s="811"/>
      <c r="U69" s="811"/>
      <c r="V69" s="832"/>
      <c r="W69" s="811"/>
      <c r="X69" s="811"/>
      <c r="Y69" s="811"/>
      <c r="Z69" s="811"/>
      <c r="AA69" s="811"/>
      <c r="AB69" s="811"/>
      <c r="AC69" s="811"/>
      <c r="AD69" s="811"/>
      <c r="AE69" s="811"/>
      <c r="AF69" s="811"/>
      <c r="AG69" s="811"/>
      <c r="AH69" s="811"/>
      <c r="AI69" s="811"/>
      <c r="AJ69" s="811"/>
      <c r="AK69" s="811"/>
      <c r="AL69" s="811"/>
      <c r="AM69" s="811"/>
      <c r="AN69" s="811"/>
      <c r="AO69" s="811"/>
    </row>
    <row r="70" spans="1:41">
      <c r="A70" s="821"/>
      <c r="B70" s="821"/>
      <c r="C70" s="811"/>
      <c r="D70" s="811"/>
      <c r="E70" s="811"/>
      <c r="F70" s="820"/>
      <c r="G70" s="811"/>
      <c r="H70" s="811"/>
      <c r="I70" s="811"/>
      <c r="J70" s="811"/>
      <c r="K70" s="811"/>
      <c r="L70" s="811"/>
      <c r="M70" s="811"/>
      <c r="N70" s="811"/>
      <c r="O70" s="811"/>
      <c r="P70" s="811"/>
      <c r="Q70" s="811"/>
      <c r="R70" s="811"/>
      <c r="S70" s="811"/>
      <c r="T70" s="811"/>
      <c r="U70" s="811"/>
      <c r="V70" s="832"/>
      <c r="W70" s="811"/>
      <c r="X70" s="811"/>
      <c r="Y70" s="811"/>
      <c r="Z70" s="811"/>
      <c r="AA70" s="811"/>
      <c r="AB70" s="811"/>
      <c r="AC70" s="811"/>
      <c r="AD70" s="811"/>
      <c r="AE70" s="811"/>
      <c r="AF70" s="811"/>
      <c r="AG70" s="811"/>
      <c r="AH70" s="811"/>
      <c r="AI70" s="811"/>
      <c r="AJ70" s="811"/>
      <c r="AK70" s="811"/>
      <c r="AL70" s="811"/>
      <c r="AM70" s="811"/>
      <c r="AN70" s="811"/>
      <c r="AO70" s="811"/>
    </row>
    <row r="71" spans="1:41">
      <c r="A71" s="821"/>
      <c r="B71" s="821"/>
      <c r="C71" s="811"/>
      <c r="D71" s="811"/>
      <c r="E71" s="811"/>
      <c r="F71" s="820"/>
      <c r="G71" s="811"/>
      <c r="H71" s="811"/>
      <c r="I71" s="811"/>
      <c r="J71" s="811"/>
      <c r="K71" s="811"/>
      <c r="L71" s="811"/>
      <c r="M71" s="811"/>
      <c r="N71" s="811"/>
      <c r="O71" s="811"/>
      <c r="P71" s="811"/>
      <c r="Q71" s="811"/>
      <c r="R71" s="811"/>
      <c r="S71" s="811"/>
      <c r="T71" s="811"/>
      <c r="U71" s="811"/>
      <c r="V71" s="832"/>
      <c r="W71" s="811"/>
      <c r="X71" s="811"/>
      <c r="Y71" s="811"/>
      <c r="Z71" s="811"/>
      <c r="AA71" s="811"/>
      <c r="AB71" s="811"/>
      <c r="AC71" s="811"/>
      <c r="AD71" s="811"/>
      <c r="AE71" s="811"/>
      <c r="AF71" s="811"/>
      <c r="AG71" s="811"/>
      <c r="AH71" s="811"/>
      <c r="AI71" s="811"/>
      <c r="AJ71" s="811"/>
      <c r="AK71" s="811"/>
      <c r="AL71" s="811"/>
      <c r="AM71" s="811"/>
      <c r="AN71" s="811"/>
      <c r="AO71" s="811"/>
    </row>
    <row r="72" spans="1:41">
      <c r="A72" s="821"/>
      <c r="B72" s="821"/>
      <c r="C72" s="811"/>
      <c r="D72" s="811"/>
      <c r="E72" s="811"/>
      <c r="F72" s="820"/>
      <c r="G72" s="811"/>
      <c r="H72" s="811"/>
      <c r="I72" s="811"/>
      <c r="J72" s="811"/>
      <c r="K72" s="811"/>
      <c r="L72" s="811"/>
      <c r="M72" s="811"/>
      <c r="N72" s="811"/>
      <c r="O72" s="811"/>
      <c r="P72" s="811"/>
      <c r="Q72" s="811"/>
      <c r="R72" s="811"/>
      <c r="S72" s="811"/>
      <c r="T72" s="811"/>
      <c r="U72" s="811"/>
      <c r="V72" s="832"/>
      <c r="W72" s="811"/>
      <c r="X72" s="811"/>
      <c r="Y72" s="811"/>
      <c r="Z72" s="811"/>
      <c r="AA72" s="811"/>
      <c r="AB72" s="811"/>
      <c r="AC72" s="811"/>
      <c r="AD72" s="811"/>
      <c r="AE72" s="811"/>
      <c r="AF72" s="811"/>
      <c r="AG72" s="811"/>
      <c r="AH72" s="811"/>
      <c r="AI72" s="811"/>
      <c r="AJ72" s="811"/>
      <c r="AK72" s="811"/>
      <c r="AL72" s="811"/>
      <c r="AM72" s="811"/>
      <c r="AN72" s="811"/>
      <c r="AO72" s="811"/>
    </row>
    <row r="73" spans="1:41">
      <c r="A73" s="821"/>
      <c r="B73" s="821"/>
      <c r="C73" s="811"/>
      <c r="D73" s="811"/>
      <c r="E73" s="811"/>
      <c r="F73" s="820"/>
      <c r="G73" s="811"/>
      <c r="H73" s="811"/>
      <c r="I73" s="811"/>
      <c r="J73" s="811"/>
      <c r="K73" s="811"/>
      <c r="L73" s="811"/>
      <c r="M73" s="811"/>
      <c r="N73" s="811"/>
      <c r="O73" s="811"/>
      <c r="P73" s="811"/>
      <c r="Q73" s="811"/>
      <c r="R73" s="811"/>
      <c r="S73" s="811"/>
      <c r="T73" s="811"/>
      <c r="U73" s="811"/>
      <c r="V73" s="832"/>
      <c r="W73" s="811"/>
      <c r="X73" s="811"/>
      <c r="Y73" s="811"/>
      <c r="Z73" s="811"/>
      <c r="AA73" s="811"/>
      <c r="AB73" s="811"/>
      <c r="AC73" s="811"/>
      <c r="AD73" s="811"/>
      <c r="AE73" s="811"/>
      <c r="AF73" s="811"/>
      <c r="AG73" s="811"/>
      <c r="AH73" s="811"/>
      <c r="AI73" s="811"/>
      <c r="AJ73" s="811"/>
      <c r="AK73" s="811"/>
      <c r="AL73" s="811"/>
      <c r="AM73" s="811"/>
      <c r="AN73" s="811"/>
      <c r="AO73" s="811"/>
    </row>
    <row r="74" spans="1:41">
      <c r="A74" s="821"/>
      <c r="B74" s="821"/>
      <c r="C74" s="811"/>
      <c r="D74" s="811"/>
      <c r="E74" s="811"/>
      <c r="F74" s="820"/>
      <c r="G74" s="811"/>
      <c r="H74" s="811"/>
      <c r="I74" s="811"/>
      <c r="J74" s="811"/>
      <c r="K74" s="811"/>
      <c r="L74" s="811"/>
      <c r="M74" s="811"/>
      <c r="N74" s="811"/>
      <c r="O74" s="811"/>
      <c r="P74" s="811"/>
      <c r="Q74" s="811"/>
      <c r="R74" s="811"/>
      <c r="S74" s="811"/>
      <c r="T74" s="811"/>
      <c r="U74" s="811"/>
      <c r="V74" s="832"/>
      <c r="W74" s="811"/>
      <c r="X74" s="811"/>
      <c r="Y74" s="811"/>
      <c r="Z74" s="811"/>
      <c r="AA74" s="811"/>
      <c r="AB74" s="811"/>
      <c r="AC74" s="811"/>
      <c r="AD74" s="811"/>
      <c r="AE74" s="811"/>
      <c r="AF74" s="811"/>
      <c r="AG74" s="811"/>
      <c r="AH74" s="811"/>
      <c r="AI74" s="811"/>
      <c r="AJ74" s="811"/>
      <c r="AK74" s="811"/>
      <c r="AL74" s="811"/>
      <c r="AM74" s="811"/>
      <c r="AN74" s="811"/>
      <c r="AO74" s="811"/>
    </row>
    <row r="75" spans="1:41">
      <c r="A75" s="821"/>
      <c r="B75" s="821"/>
      <c r="C75" s="811"/>
      <c r="D75" s="811"/>
      <c r="E75" s="811"/>
      <c r="F75" s="820"/>
      <c r="G75" s="811"/>
      <c r="H75" s="811"/>
      <c r="I75" s="811"/>
      <c r="J75" s="811"/>
      <c r="K75" s="811"/>
      <c r="L75" s="811"/>
      <c r="M75" s="811"/>
      <c r="N75" s="811"/>
      <c r="O75" s="811"/>
      <c r="P75" s="811"/>
      <c r="Q75" s="811"/>
      <c r="R75" s="811"/>
      <c r="S75" s="811"/>
      <c r="T75" s="811"/>
      <c r="U75" s="811"/>
      <c r="V75" s="832"/>
      <c r="W75" s="811"/>
      <c r="X75" s="811"/>
      <c r="Y75" s="811"/>
      <c r="Z75" s="811"/>
      <c r="AA75" s="811"/>
      <c r="AB75" s="811"/>
      <c r="AC75" s="811"/>
      <c r="AD75" s="811"/>
      <c r="AE75" s="811"/>
      <c r="AF75" s="811"/>
      <c r="AG75" s="811"/>
      <c r="AH75" s="811"/>
      <c r="AI75" s="811"/>
      <c r="AJ75" s="811"/>
      <c r="AK75" s="811"/>
      <c r="AL75" s="811"/>
      <c r="AM75" s="811"/>
      <c r="AN75" s="811"/>
      <c r="AO75" s="811"/>
    </row>
    <row r="76" spans="1:41">
      <c r="A76" s="821"/>
      <c r="B76" s="821"/>
      <c r="C76" s="811"/>
      <c r="D76" s="811"/>
      <c r="E76" s="811"/>
      <c r="F76" s="820"/>
      <c r="G76" s="811"/>
      <c r="H76" s="811"/>
      <c r="I76" s="811"/>
      <c r="J76" s="811"/>
      <c r="K76" s="811"/>
      <c r="L76" s="811"/>
      <c r="M76" s="811"/>
      <c r="N76" s="811"/>
      <c r="O76" s="811"/>
      <c r="P76" s="811"/>
      <c r="Q76" s="811"/>
      <c r="R76" s="811"/>
      <c r="S76" s="811"/>
      <c r="T76" s="811"/>
      <c r="U76" s="811"/>
      <c r="V76" s="832"/>
      <c r="W76" s="811"/>
      <c r="X76" s="811"/>
      <c r="Y76" s="811"/>
      <c r="Z76" s="811"/>
      <c r="AA76" s="811"/>
      <c r="AB76" s="811"/>
      <c r="AC76" s="811"/>
      <c r="AD76" s="811"/>
      <c r="AE76" s="811"/>
      <c r="AF76" s="811"/>
      <c r="AG76" s="811"/>
      <c r="AH76" s="811"/>
      <c r="AI76" s="811"/>
      <c r="AJ76" s="811"/>
      <c r="AK76" s="811"/>
      <c r="AL76" s="811"/>
      <c r="AM76" s="811"/>
      <c r="AN76" s="811"/>
      <c r="AO76" s="811"/>
    </row>
    <row r="77" spans="1:41">
      <c r="A77" s="821"/>
      <c r="B77" s="821"/>
      <c r="C77" s="811"/>
      <c r="D77" s="811"/>
      <c r="E77" s="811"/>
      <c r="F77" s="820"/>
      <c r="G77" s="811"/>
      <c r="H77" s="811"/>
      <c r="I77" s="811"/>
      <c r="J77" s="811"/>
      <c r="K77" s="811"/>
      <c r="L77" s="811"/>
      <c r="M77" s="811"/>
      <c r="N77" s="811"/>
      <c r="O77" s="811"/>
      <c r="P77" s="811"/>
      <c r="Q77" s="811"/>
      <c r="R77" s="811"/>
      <c r="S77" s="811"/>
      <c r="T77" s="811"/>
      <c r="U77" s="811"/>
      <c r="V77" s="832"/>
      <c r="W77" s="811"/>
      <c r="X77" s="811"/>
      <c r="Y77" s="811"/>
      <c r="Z77" s="811"/>
      <c r="AA77" s="811"/>
      <c r="AB77" s="811"/>
      <c r="AC77" s="811"/>
      <c r="AD77" s="811"/>
      <c r="AE77" s="811"/>
      <c r="AF77" s="811"/>
      <c r="AG77" s="811"/>
      <c r="AH77" s="811"/>
      <c r="AI77" s="811"/>
      <c r="AJ77" s="811"/>
      <c r="AK77" s="811"/>
      <c r="AL77" s="811"/>
      <c r="AM77" s="811"/>
      <c r="AN77" s="811"/>
      <c r="AO77" s="811"/>
    </row>
    <row r="78" spans="1:41">
      <c r="A78" s="821"/>
      <c r="B78" s="821"/>
      <c r="C78" s="811"/>
      <c r="D78" s="811"/>
      <c r="E78" s="811"/>
      <c r="F78" s="820"/>
      <c r="G78" s="811"/>
      <c r="H78" s="811"/>
      <c r="I78" s="811"/>
      <c r="J78" s="811"/>
      <c r="K78" s="811"/>
      <c r="L78" s="811"/>
      <c r="M78" s="811"/>
      <c r="N78" s="811"/>
      <c r="O78" s="811"/>
      <c r="P78" s="811"/>
      <c r="Q78" s="811"/>
      <c r="R78" s="811"/>
      <c r="S78" s="811"/>
      <c r="T78" s="811"/>
      <c r="U78" s="811"/>
      <c r="V78" s="832"/>
      <c r="W78" s="811"/>
      <c r="X78" s="811"/>
      <c r="Y78" s="811"/>
      <c r="Z78" s="811"/>
      <c r="AA78" s="811"/>
      <c r="AB78" s="811"/>
      <c r="AC78" s="811"/>
      <c r="AD78" s="811"/>
      <c r="AE78" s="811"/>
      <c r="AF78" s="811"/>
      <c r="AG78" s="811"/>
      <c r="AH78" s="811"/>
      <c r="AI78" s="811"/>
      <c r="AJ78" s="811"/>
      <c r="AK78" s="811"/>
      <c r="AL78" s="811"/>
      <c r="AM78" s="811"/>
      <c r="AN78" s="811"/>
      <c r="AO78" s="811"/>
    </row>
    <row r="79" spans="1:41">
      <c r="A79" s="821"/>
      <c r="B79" s="821"/>
      <c r="C79" s="811"/>
      <c r="D79" s="811"/>
      <c r="E79" s="811"/>
      <c r="F79" s="820"/>
      <c r="G79" s="811"/>
      <c r="H79" s="811"/>
      <c r="I79" s="811"/>
      <c r="J79" s="811"/>
      <c r="K79" s="811"/>
      <c r="L79" s="811"/>
      <c r="M79" s="811"/>
      <c r="N79" s="811"/>
      <c r="O79" s="811"/>
      <c r="P79" s="811"/>
      <c r="Q79" s="811"/>
      <c r="R79" s="811"/>
      <c r="S79" s="811"/>
      <c r="T79" s="811"/>
      <c r="U79" s="811"/>
      <c r="V79" s="811"/>
      <c r="W79" s="811"/>
      <c r="X79" s="811"/>
      <c r="Y79" s="811"/>
      <c r="Z79" s="811"/>
      <c r="AA79" s="811"/>
      <c r="AB79" s="811"/>
      <c r="AC79" s="811"/>
      <c r="AD79" s="811"/>
      <c r="AE79" s="811"/>
      <c r="AF79" s="811"/>
      <c r="AG79" s="811"/>
      <c r="AH79" s="811"/>
      <c r="AI79" s="811"/>
      <c r="AJ79" s="811"/>
      <c r="AK79" s="811"/>
      <c r="AL79" s="811"/>
      <c r="AM79" s="811"/>
      <c r="AN79" s="811"/>
      <c r="AO79" s="811"/>
    </row>
    <row r="80" spans="1:41">
      <c r="A80" s="821"/>
      <c r="B80" s="821"/>
      <c r="C80" s="811"/>
      <c r="D80" s="811"/>
      <c r="E80" s="811"/>
      <c r="F80" s="820"/>
      <c r="G80" s="811"/>
      <c r="H80" s="811"/>
      <c r="I80" s="811"/>
      <c r="J80" s="811"/>
      <c r="K80" s="811"/>
      <c r="L80" s="811"/>
      <c r="M80" s="811"/>
      <c r="N80" s="811"/>
      <c r="O80" s="811"/>
      <c r="P80" s="811"/>
      <c r="Q80" s="811"/>
      <c r="R80" s="811"/>
      <c r="S80" s="811"/>
      <c r="T80" s="811"/>
      <c r="U80" s="811"/>
      <c r="V80" s="811"/>
      <c r="W80" s="811"/>
      <c r="X80" s="811"/>
      <c r="Y80" s="811"/>
      <c r="Z80" s="811"/>
      <c r="AA80" s="811"/>
      <c r="AB80" s="811"/>
      <c r="AC80" s="811"/>
      <c r="AD80" s="811"/>
      <c r="AE80" s="811"/>
      <c r="AF80" s="811"/>
      <c r="AG80" s="811"/>
      <c r="AH80" s="811"/>
      <c r="AI80" s="811"/>
      <c r="AJ80" s="811"/>
      <c r="AK80" s="811"/>
      <c r="AL80" s="811"/>
      <c r="AM80" s="811"/>
      <c r="AN80" s="811"/>
      <c r="AO80" s="811"/>
    </row>
  </sheetData>
  <autoFilter ref="A1:J61" xr:uid="{851F0BBD-7EBF-43BC-8909-DFFB2798B52A}">
    <filterColumn colId="0">
      <filters>
        <filter val="2"/>
      </filters>
    </filterColumn>
    <filterColumn colId="2" showButton="0"/>
    <filterColumn colId="3" showButton="0"/>
    <filterColumn colId="4" showButton="0"/>
  </autoFilter>
  <customSheetViews>
    <customSheetView guid="{CE7484BD-F9E2-4C03-AA0F-F7057FD8E6EF}" scale="85" showPageBreaks="1" printArea="1" filter="1" showAutoFilter="1">
      <selection activeCell="N23" sqref="N23"/>
      <pageMargins left="0" right="0" top="0" bottom="0" header="0" footer="0"/>
      <pageSetup paperSize="9" orientation="portrait" horizontalDpi="4294967293" r:id="rId1"/>
      <headerFooter>
        <oddHeader>&amp;L&amp;G</oddHeader>
      </headerFooter>
      <autoFilter ref="A1:J60" xr:uid="{A18A6FD0-C3B6-4DC3-939A-855744098F73}">
        <filterColumn colId="1">
          <customFilters>
            <customFilter operator="notEqual" val=" "/>
          </customFilters>
        </filterColumn>
        <filterColumn colId="2" showButton="0"/>
        <filterColumn colId="3" showButton="0"/>
        <filterColumn colId="4" showButton="0"/>
      </autoFilter>
    </customSheetView>
  </customSheetViews>
  <mergeCells count="31">
    <mergeCell ref="E41:I41"/>
    <mergeCell ref="D31:I31"/>
    <mergeCell ref="D58:F58"/>
    <mergeCell ref="E35:I35"/>
    <mergeCell ref="E36:I36"/>
    <mergeCell ref="E37:I37"/>
    <mergeCell ref="E33:I33"/>
    <mergeCell ref="E38:I38"/>
    <mergeCell ref="E39:I39"/>
    <mergeCell ref="D44:E44"/>
    <mergeCell ref="D52:E52"/>
    <mergeCell ref="D53:E53"/>
    <mergeCell ref="D55:E55"/>
    <mergeCell ref="E32:I32"/>
    <mergeCell ref="E34:I34"/>
    <mergeCell ref="E40:I40"/>
    <mergeCell ref="M11:Q11"/>
    <mergeCell ref="E29:I29"/>
    <mergeCell ref="C1:F4"/>
    <mergeCell ref="C5:F6"/>
    <mergeCell ref="D12:I12"/>
    <mergeCell ref="D19:E19"/>
    <mergeCell ref="E21:G21"/>
    <mergeCell ref="E23:G23"/>
    <mergeCell ref="E24:G24"/>
    <mergeCell ref="E25:I25"/>
    <mergeCell ref="E27:I27"/>
    <mergeCell ref="E26:I26"/>
    <mergeCell ref="E28:I28"/>
    <mergeCell ref="E22:G22"/>
    <mergeCell ref="E10:I10"/>
  </mergeCells>
  <pageMargins left="0" right="0" top="0" bottom="0" header="0" footer="0"/>
  <pageSetup paperSize="9" orientation="portrait" horizontalDpi="4294967293" r:id="rId2"/>
  <headerFooter>
    <oddHeader>&amp;L&amp;G</oddHeader>
  </headerFooter>
  <customProperties>
    <customPr name="LastActive" r:id="rId3"/>
  </customProperties>
  <drawing r:id="rId4"/>
  <legacyDrawing r:id="rId5"/>
  <legacyDrawingHF r:id="rId6"/>
  <controls>
    <mc:AlternateContent xmlns:mc="http://schemas.openxmlformats.org/markup-compatibility/2006">
      <mc:Choice Requires="x14">
        <control shapeId="198669" r:id="rId7" name="CommandButton6">
          <controlPr defaultSize="0" autoLine="0" autoPict="0" r:id="rId8">
            <anchor moveWithCells="1">
              <from>
                <xdr:col>18</xdr:col>
                <xdr:colOff>190500</xdr:colOff>
                <xdr:row>8</xdr:row>
                <xdr:rowOff>104775</xdr:rowOff>
              </from>
              <to>
                <xdr:col>19</xdr:col>
                <xdr:colOff>552450</xdr:colOff>
                <xdr:row>9</xdr:row>
                <xdr:rowOff>123825</xdr:rowOff>
              </to>
            </anchor>
          </controlPr>
        </control>
      </mc:Choice>
      <mc:Fallback>
        <control shapeId="198669" r:id="rId7" name="CommandButton6"/>
      </mc:Fallback>
    </mc:AlternateContent>
    <mc:AlternateContent xmlns:mc="http://schemas.openxmlformats.org/markup-compatibility/2006">
      <mc:Choice Requires="x14">
        <control shapeId="198663" r:id="rId9" name="CommandButton4">
          <controlPr defaultSize="0" autoLine="0" r:id="rId10">
            <anchor moveWithCells="1">
              <from>
                <xdr:col>18</xdr:col>
                <xdr:colOff>171450</xdr:colOff>
                <xdr:row>4</xdr:row>
                <xdr:rowOff>19050</xdr:rowOff>
              </from>
              <to>
                <xdr:col>19</xdr:col>
                <xdr:colOff>581025</xdr:colOff>
                <xdr:row>5</xdr:row>
                <xdr:rowOff>76200</xdr:rowOff>
              </to>
            </anchor>
          </controlPr>
        </control>
      </mc:Choice>
      <mc:Fallback>
        <control shapeId="198663" r:id="rId9" name="CommandButton4"/>
      </mc:Fallback>
    </mc:AlternateContent>
    <mc:AlternateContent xmlns:mc="http://schemas.openxmlformats.org/markup-compatibility/2006">
      <mc:Choice Requires="x14">
        <control shapeId="198661" r:id="rId11" name="ComboBox1">
          <controlPr defaultSize="0" autoLine="0" listFillRange="ProHeader!AB6:AC95" r:id="rId12">
            <anchor moveWithCells="1">
              <from>
                <xdr:col>12</xdr:col>
                <xdr:colOff>314325</xdr:colOff>
                <xdr:row>1</xdr:row>
                <xdr:rowOff>47625</xdr:rowOff>
              </from>
              <to>
                <xdr:col>15</xdr:col>
                <xdr:colOff>285750</xdr:colOff>
                <xdr:row>2</xdr:row>
                <xdr:rowOff>123825</xdr:rowOff>
              </to>
            </anchor>
          </controlPr>
        </control>
      </mc:Choice>
      <mc:Fallback>
        <control shapeId="198661" r:id="rId11" name="ComboBox1"/>
      </mc:Fallback>
    </mc:AlternateContent>
    <mc:AlternateContent xmlns:mc="http://schemas.openxmlformats.org/markup-compatibility/2006">
      <mc:Choice Requires="x14">
        <control shapeId="198660" r:id="rId13" name="CommandButton3">
          <controlPr defaultSize="0" autoLine="0" r:id="rId14">
            <anchor moveWithCells="1">
              <from>
                <xdr:col>18</xdr:col>
                <xdr:colOff>180975</xdr:colOff>
                <xdr:row>9</xdr:row>
                <xdr:rowOff>180975</xdr:rowOff>
              </from>
              <to>
                <xdr:col>19</xdr:col>
                <xdr:colOff>533400</xdr:colOff>
                <xdr:row>10</xdr:row>
                <xdr:rowOff>190500</xdr:rowOff>
              </to>
            </anchor>
          </controlPr>
        </control>
      </mc:Choice>
      <mc:Fallback>
        <control shapeId="198660" r:id="rId13" name="CommandButton3"/>
      </mc:Fallback>
    </mc:AlternateContent>
    <mc:AlternateContent xmlns:mc="http://schemas.openxmlformats.org/markup-compatibility/2006">
      <mc:Choice Requires="x14">
        <control shapeId="198658" r:id="rId15" name="CommandButton2">
          <controlPr defaultSize="0" autoLine="0" r:id="rId16">
            <anchor moveWithCells="1">
              <from>
                <xdr:col>18</xdr:col>
                <xdr:colOff>180975</xdr:colOff>
                <xdr:row>7</xdr:row>
                <xdr:rowOff>38100</xdr:rowOff>
              </from>
              <to>
                <xdr:col>19</xdr:col>
                <xdr:colOff>581025</xdr:colOff>
                <xdr:row>8</xdr:row>
                <xdr:rowOff>85725</xdr:rowOff>
              </to>
            </anchor>
          </controlPr>
        </control>
      </mc:Choice>
      <mc:Fallback>
        <control shapeId="198658" r:id="rId15" name="CommandButton2"/>
      </mc:Fallback>
    </mc:AlternateContent>
    <mc:AlternateContent xmlns:mc="http://schemas.openxmlformats.org/markup-compatibility/2006">
      <mc:Choice Requires="x14">
        <control shapeId="198657" r:id="rId17" name="CommandButton1">
          <controlPr defaultSize="0" autoLine="0" r:id="rId18">
            <anchor moveWithCells="1">
              <from>
                <xdr:col>18</xdr:col>
                <xdr:colOff>171450</xdr:colOff>
                <xdr:row>5</xdr:row>
                <xdr:rowOff>152400</xdr:rowOff>
              </from>
              <to>
                <xdr:col>19</xdr:col>
                <xdr:colOff>571500</xdr:colOff>
                <xdr:row>6</xdr:row>
                <xdr:rowOff>219075</xdr:rowOff>
              </to>
            </anchor>
          </controlPr>
        </control>
      </mc:Choice>
      <mc:Fallback>
        <control shapeId="198657" r:id="rId17" name="CommandButton1"/>
      </mc:Fallback>
    </mc:AlternateContent>
    <mc:AlternateContent xmlns:mc="http://schemas.openxmlformats.org/markup-compatibility/2006">
      <mc:Choice Requires="x14">
        <control shapeId="198664" r:id="rId19" name="CommandButton5">
          <controlPr defaultSize="0" autoLine="0" autoPict="0" r:id="rId20">
            <anchor moveWithCells="1">
              <from>
                <xdr:col>18</xdr:col>
                <xdr:colOff>180975</xdr:colOff>
                <xdr:row>2</xdr:row>
                <xdr:rowOff>0</xdr:rowOff>
              </from>
              <to>
                <xdr:col>19</xdr:col>
                <xdr:colOff>581025</xdr:colOff>
                <xdr:row>2</xdr:row>
                <xdr:rowOff>304800</xdr:rowOff>
              </to>
            </anchor>
          </controlPr>
        </control>
      </mc:Choice>
      <mc:Fallback>
        <control shapeId="198664" r:id="rId19" name="CommandButton5"/>
      </mc:Fallback>
    </mc:AlternateContent>
    <mc:AlternateContent xmlns:mc="http://schemas.openxmlformats.org/markup-compatibility/2006">
      <mc:Choice Requires="x14">
        <control shapeId="198668" r:id="rId21" name="CommandButton7">
          <controlPr defaultSize="0" autoLine="0" autoPict="0" r:id="rId22">
            <anchor moveWithCells="1">
              <from>
                <xdr:col>18</xdr:col>
                <xdr:colOff>180975</xdr:colOff>
                <xdr:row>2</xdr:row>
                <xdr:rowOff>314325</xdr:rowOff>
              </from>
              <to>
                <xdr:col>19</xdr:col>
                <xdr:colOff>581025</xdr:colOff>
                <xdr:row>3</xdr:row>
                <xdr:rowOff>238125</xdr:rowOff>
              </to>
            </anchor>
          </controlPr>
        </control>
      </mc:Choice>
      <mc:Fallback>
        <control shapeId="198668" r:id="rId21" name="CommandButton7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D0A2D-0475-4017-AF17-7F907D182C35}">
  <sheetPr codeName="Sheet50">
    <tabColor rgb="FFFFFF00"/>
    <pageSetUpPr fitToPage="1"/>
  </sheetPr>
  <dimension ref="A1:AM1398"/>
  <sheetViews>
    <sheetView zoomScaleNormal="100" zoomScaleSheetLayoutView="85" workbookViewId="0">
      <pane ySplit="7" topLeftCell="A56" activePane="bottomLeft" state="frozen"/>
      <selection activeCell="A26" sqref="A26:B31"/>
      <selection pane="bottomLeft" activeCell="B64" sqref="B64"/>
    </sheetView>
  </sheetViews>
  <sheetFormatPr defaultRowHeight="15"/>
  <cols>
    <col min="1" max="1" width="6.28515625" customWidth="1"/>
    <col min="2" max="2" width="19.42578125" customWidth="1"/>
    <col min="3" max="3" width="9.42578125" customWidth="1"/>
    <col min="4" max="4" width="7.42578125" customWidth="1"/>
    <col min="5" max="8" width="10" customWidth="1"/>
    <col min="9" max="9" width="9.85546875" customWidth="1"/>
    <col min="10" max="10" width="10.28515625" bestFit="1" customWidth="1"/>
    <col min="11" max="12" width="8.85546875" bestFit="1" customWidth="1"/>
    <col min="13" max="14" width="9" bestFit="1" customWidth="1"/>
    <col min="15" max="15" width="8.85546875" bestFit="1" customWidth="1"/>
    <col min="16" max="16" width="9.140625" customWidth="1"/>
    <col min="17" max="17" width="9" customWidth="1"/>
    <col min="18" max="18" width="9" bestFit="1" customWidth="1"/>
    <col min="19" max="19" width="9.7109375" customWidth="1"/>
    <col min="20" max="20" width="9.85546875" customWidth="1"/>
    <col min="21" max="21" width="9.7109375" customWidth="1"/>
    <col min="22" max="22" width="9.85546875" customWidth="1"/>
    <col min="23" max="32" width="7.42578125" customWidth="1"/>
  </cols>
  <sheetData>
    <row r="1" spans="1:39" s="2" customFormat="1" ht="24" thickBot="1">
      <c r="A1" s="899" t="s">
        <v>1852</v>
      </c>
      <c r="B1" s="900"/>
      <c r="C1" s="900"/>
      <c r="D1" s="900"/>
      <c r="E1" s="901"/>
      <c r="F1" s="901"/>
      <c r="G1" s="901"/>
      <c r="H1" s="901"/>
      <c r="I1" s="902"/>
      <c r="J1" s="903"/>
      <c r="K1" s="903"/>
      <c r="L1" s="903"/>
      <c r="M1" s="903"/>
      <c r="N1" s="903"/>
      <c r="O1" s="903"/>
      <c r="P1" s="903"/>
      <c r="Q1" s="904"/>
      <c r="R1" s="904"/>
      <c r="S1" s="904"/>
      <c r="T1" s="904"/>
      <c r="U1" s="904"/>
      <c r="V1" s="904"/>
      <c r="W1" s="904"/>
      <c r="X1" s="904"/>
      <c r="Y1" s="904"/>
      <c r="Z1" s="904"/>
      <c r="AA1" s="904"/>
      <c r="AB1" s="904"/>
      <c r="AC1" s="904"/>
      <c r="AD1" s="904"/>
      <c r="AE1" s="904"/>
      <c r="AF1" s="904"/>
      <c r="AG1" s="898"/>
      <c r="AH1" s="898"/>
      <c r="AI1" s="898"/>
      <c r="AJ1" s="898"/>
      <c r="AK1" s="898"/>
      <c r="AL1" s="898"/>
      <c r="AM1" s="898"/>
    </row>
    <row r="2" spans="1:39" s="2" customFormat="1" ht="24" thickTop="1">
      <c r="A2" s="905"/>
      <c r="B2" s="874"/>
      <c r="C2" s="874"/>
      <c r="D2" s="874"/>
      <c r="E2" s="681"/>
      <c r="F2" s="681"/>
      <c r="G2" s="681"/>
      <c r="H2" s="681"/>
      <c r="I2" s="896">
        <f>I12-J12</f>
        <v>0</v>
      </c>
      <c r="J2" s="896">
        <f>I2-750</f>
        <v>-750</v>
      </c>
      <c r="K2" s="896"/>
      <c r="L2" s="897"/>
      <c r="M2" s="896"/>
      <c r="N2" s="897"/>
      <c r="O2" s="897"/>
      <c r="P2" s="897"/>
      <c r="Q2" s="898"/>
      <c r="R2" s="898"/>
      <c r="S2" s="898"/>
      <c r="T2" s="898"/>
      <c r="U2" s="898"/>
      <c r="V2" s="898"/>
      <c r="W2" s="898"/>
      <c r="X2" s="898"/>
      <c r="Y2" s="898"/>
      <c r="Z2" s="898"/>
      <c r="AA2" s="898"/>
      <c r="AB2" s="898"/>
      <c r="AC2" s="898"/>
      <c r="AD2" s="898"/>
      <c r="AE2" s="898"/>
      <c r="AF2" s="898"/>
      <c r="AG2" s="898"/>
      <c r="AH2" s="898"/>
      <c r="AI2" s="898"/>
      <c r="AJ2" s="898"/>
      <c r="AK2" s="898"/>
      <c r="AL2" s="898"/>
      <c r="AM2" s="898"/>
    </row>
    <row r="3" spans="1:39" s="2" customFormat="1" ht="23.25">
      <c r="A3" s="905"/>
      <c r="B3" s="906"/>
      <c r="C3" s="874"/>
      <c r="D3" s="874"/>
      <c r="E3" s="896"/>
      <c r="F3" s="896"/>
      <c r="G3" s="896"/>
      <c r="H3" s="896"/>
      <c r="I3" s="896"/>
      <c r="J3" s="896"/>
      <c r="K3" s="897"/>
      <c r="L3" s="897"/>
      <c r="M3" s="897"/>
      <c r="N3" s="897"/>
      <c r="O3" s="897"/>
      <c r="P3" s="897"/>
      <c r="Q3" s="898"/>
      <c r="R3" s="898"/>
      <c r="S3" s="898"/>
      <c r="T3" s="898"/>
      <c r="U3" s="898"/>
      <c r="V3" s="898"/>
      <c r="W3" s="898"/>
      <c r="X3" s="898"/>
      <c r="Y3" s="898"/>
      <c r="Z3" s="898"/>
      <c r="AA3" s="898"/>
      <c r="AB3" s="898"/>
      <c r="AC3" s="898"/>
      <c r="AD3" s="898"/>
      <c r="AE3" s="898"/>
      <c r="AF3" s="898"/>
      <c r="AG3" s="898"/>
      <c r="AH3" s="898"/>
      <c r="AI3" s="898"/>
      <c r="AJ3" s="898"/>
      <c r="AK3" s="898"/>
      <c r="AL3" s="898"/>
      <c r="AM3" s="898"/>
    </row>
    <row r="4" spans="1:39" s="2" customFormat="1" ht="23.25">
      <c r="A4" s="907"/>
      <c r="B4" s="907"/>
      <c r="C4" s="908"/>
      <c r="D4" s="908"/>
      <c r="E4" s="909">
        <v>5</v>
      </c>
      <c r="F4" s="910"/>
      <c r="G4" s="909">
        <v>5</v>
      </c>
      <c r="H4" s="910"/>
      <c r="I4" s="909">
        <f>I7-J7</f>
        <v>-47942.579999994487</v>
      </c>
      <c r="J4" s="910"/>
      <c r="K4" s="909">
        <v>6</v>
      </c>
      <c r="L4" s="909"/>
      <c r="M4" s="909">
        <v>7</v>
      </c>
      <c r="N4" s="909"/>
      <c r="O4" s="909">
        <v>8</v>
      </c>
      <c r="P4" s="909"/>
      <c r="Q4" s="911">
        <v>9</v>
      </c>
      <c r="R4" s="911"/>
      <c r="S4" s="911">
        <v>10</v>
      </c>
      <c r="T4" s="911"/>
      <c r="U4" s="911">
        <v>11</v>
      </c>
      <c r="V4" s="911"/>
      <c r="W4" s="911"/>
      <c r="X4" s="911"/>
      <c r="Y4" s="911"/>
      <c r="Z4" s="911"/>
      <c r="AA4" s="911"/>
      <c r="AB4" s="911"/>
      <c r="AC4" s="911"/>
      <c r="AD4" s="911"/>
      <c r="AE4" s="911"/>
      <c r="AF4" s="911"/>
      <c r="AG4" s="898"/>
      <c r="AH4" s="898"/>
      <c r="AI4" s="898"/>
      <c r="AJ4" s="898"/>
      <c r="AK4" s="898"/>
      <c r="AL4" s="898"/>
      <c r="AM4" s="898"/>
    </row>
    <row r="5" spans="1:39" s="2" customFormat="1" ht="23.25" customHeight="1">
      <c r="A5" s="1861" t="s">
        <v>2893</v>
      </c>
      <c r="B5" s="1861"/>
      <c r="C5" s="1861" t="s">
        <v>2</v>
      </c>
      <c r="D5" s="1861"/>
      <c r="E5" s="1859" t="s">
        <v>4808</v>
      </c>
      <c r="F5" s="1860"/>
      <c r="G5" s="1859" t="s">
        <v>1858</v>
      </c>
      <c r="H5" s="1860"/>
      <c r="I5" s="1852" t="s">
        <v>1869</v>
      </c>
      <c r="J5" s="1853"/>
      <c r="K5" s="1854" t="s">
        <v>1460</v>
      </c>
      <c r="L5" s="1855"/>
      <c r="M5" s="1854" t="s">
        <v>1461</v>
      </c>
      <c r="N5" s="1855"/>
      <c r="O5" s="1854" t="s">
        <v>1462</v>
      </c>
      <c r="P5" s="1855"/>
      <c r="Q5" s="1850" t="s">
        <v>1463</v>
      </c>
      <c r="R5" s="1851"/>
      <c r="S5" s="1850" t="s">
        <v>1464</v>
      </c>
      <c r="T5" s="1851"/>
      <c r="U5" s="1850" t="s">
        <v>1535</v>
      </c>
      <c r="V5" s="1851"/>
      <c r="W5" s="1850" t="s">
        <v>1468</v>
      </c>
      <c r="X5" s="1851"/>
      <c r="Y5" s="1850"/>
      <c r="Z5" s="1851"/>
      <c r="AA5" s="1850"/>
      <c r="AB5" s="1851"/>
      <c r="AC5" s="1850"/>
      <c r="AD5" s="1851"/>
      <c r="AE5" s="1850"/>
      <c r="AF5" s="1850"/>
      <c r="AG5" s="898"/>
      <c r="AH5" s="898"/>
      <c r="AI5" s="898"/>
      <c r="AJ5" s="898"/>
      <c r="AK5" s="898"/>
      <c r="AL5" s="898"/>
      <c r="AM5" s="898"/>
    </row>
    <row r="6" spans="1:39" s="2" customFormat="1" ht="23.25" customHeight="1">
      <c r="A6" s="1856" t="s">
        <v>1529</v>
      </c>
      <c r="B6" s="1848"/>
      <c r="C6" s="1849">
        <f>SUM(C8:C24)</f>
        <v>1658391.8999999987</v>
      </c>
      <c r="D6" s="1849"/>
      <c r="E6" s="549"/>
      <c r="F6" s="550"/>
      <c r="G6" s="549"/>
      <c r="H6" s="550"/>
      <c r="I6" s="549" t="s">
        <v>2894</v>
      </c>
      <c r="J6" s="550" t="s">
        <v>2895</v>
      </c>
      <c r="K6" s="549" t="s">
        <v>2894</v>
      </c>
      <c r="L6" s="550" t="s">
        <v>2895</v>
      </c>
      <c r="M6" s="549" t="s">
        <v>2894</v>
      </c>
      <c r="N6" s="550" t="s">
        <v>2895</v>
      </c>
      <c r="O6" s="549" t="s">
        <v>2894</v>
      </c>
      <c r="P6" s="550" t="s">
        <v>2895</v>
      </c>
      <c r="Q6" s="549" t="s">
        <v>2894</v>
      </c>
      <c r="R6" s="550" t="s">
        <v>2895</v>
      </c>
      <c r="S6" s="549" t="s">
        <v>2894</v>
      </c>
      <c r="T6" s="550" t="s">
        <v>2895</v>
      </c>
      <c r="U6" s="549" t="s">
        <v>1422</v>
      </c>
      <c r="V6" s="550" t="s">
        <v>1423</v>
      </c>
      <c r="W6" s="447" t="s">
        <v>1422</v>
      </c>
      <c r="X6" s="448" t="s">
        <v>1423</v>
      </c>
      <c r="Y6" s="447"/>
      <c r="Z6" s="448"/>
      <c r="AA6" s="447"/>
      <c r="AB6" s="448"/>
      <c r="AC6" s="447"/>
      <c r="AD6" s="448"/>
      <c r="AE6" s="447"/>
      <c r="AF6" s="1055"/>
      <c r="AG6" s="898"/>
      <c r="AH6" s="898"/>
      <c r="AI6" s="898"/>
      <c r="AJ6" s="898"/>
      <c r="AK6" s="898"/>
      <c r="AL6" s="898"/>
      <c r="AM6" s="898"/>
    </row>
    <row r="7" spans="1:39" s="2" customFormat="1" ht="23.25">
      <c r="A7" s="1857"/>
      <c r="B7" s="1858"/>
      <c r="C7" s="1849"/>
      <c r="D7" s="1849"/>
      <c r="E7" s="644">
        <f t="shared" ref="E7:AF7" si="0">SUM(E8:E87)</f>
        <v>21865901.422549993</v>
      </c>
      <c r="F7" s="645">
        <f t="shared" si="0"/>
        <v>21408837.302549999</v>
      </c>
      <c r="G7" s="644">
        <f t="shared" si="0"/>
        <v>12342062.279999999</v>
      </c>
      <c r="H7" s="645">
        <f t="shared" si="0"/>
        <v>11837055.580000002</v>
      </c>
      <c r="I7" s="644">
        <f t="shared" si="0"/>
        <v>9523839.1425500065</v>
      </c>
      <c r="J7" s="645">
        <f t="shared" si="0"/>
        <v>9571781.722550001</v>
      </c>
      <c r="K7" s="644">
        <f t="shared" si="0"/>
        <v>516316.88</v>
      </c>
      <c r="L7" s="645">
        <f t="shared" si="0"/>
        <v>465594.20999999996</v>
      </c>
      <c r="M7" s="644">
        <f t="shared" si="0"/>
        <v>1089250.95</v>
      </c>
      <c r="N7" s="645">
        <f t="shared" si="0"/>
        <v>1223104.4099999999</v>
      </c>
      <c r="O7" s="644">
        <f t="shared" si="0"/>
        <v>816343.02000000025</v>
      </c>
      <c r="P7" s="645">
        <f t="shared" si="0"/>
        <v>861063.57000000007</v>
      </c>
      <c r="Q7" s="644">
        <f t="shared" si="0"/>
        <v>909990.41999999993</v>
      </c>
      <c r="R7" s="645">
        <f t="shared" si="0"/>
        <v>728367.64000000013</v>
      </c>
      <c r="S7" s="644">
        <f t="shared" si="0"/>
        <v>3771873.2199999993</v>
      </c>
      <c r="T7" s="645">
        <f t="shared" si="0"/>
        <v>3825961.8100000015</v>
      </c>
      <c r="U7" s="644">
        <f t="shared" si="0"/>
        <v>2467689.6525499998</v>
      </c>
      <c r="V7" s="645">
        <f t="shared" si="0"/>
        <v>2467690.0825499999</v>
      </c>
      <c r="W7" s="503">
        <f t="shared" si="0"/>
        <v>0</v>
      </c>
      <c r="X7" s="503">
        <f t="shared" si="0"/>
        <v>0</v>
      </c>
      <c r="Y7" s="503">
        <f t="shared" si="0"/>
        <v>0</v>
      </c>
      <c r="Z7" s="503">
        <f t="shared" si="0"/>
        <v>0</v>
      </c>
      <c r="AA7" s="503">
        <f t="shared" si="0"/>
        <v>0</v>
      </c>
      <c r="AB7" s="503">
        <f t="shared" si="0"/>
        <v>0</v>
      </c>
      <c r="AC7" s="503">
        <f t="shared" si="0"/>
        <v>0</v>
      </c>
      <c r="AD7" s="503">
        <f t="shared" si="0"/>
        <v>0</v>
      </c>
      <c r="AE7" s="503">
        <f t="shared" si="0"/>
        <v>0</v>
      </c>
      <c r="AF7" s="503">
        <f t="shared" si="0"/>
        <v>0</v>
      </c>
      <c r="AG7" s="898"/>
      <c r="AH7" s="898"/>
      <c r="AI7" s="898"/>
      <c r="AJ7" s="898"/>
      <c r="AK7" s="898"/>
      <c r="AL7" s="898"/>
      <c r="AM7" s="898"/>
    </row>
    <row r="8" spans="1:39" s="2" customFormat="1" ht="23.25">
      <c r="A8" s="656">
        <v>1011</v>
      </c>
      <c r="B8" s="886" t="s">
        <v>34</v>
      </c>
      <c r="C8" s="654">
        <f>E8-F8</f>
        <v>890.5</v>
      </c>
      <c r="D8" s="654"/>
      <c r="E8" s="660">
        <f>G8+I8</f>
        <v>60000</v>
      </c>
      <c r="F8" s="661">
        <f>H8+J8</f>
        <v>59109.5</v>
      </c>
      <c r="G8" s="660">
        <f>SUMIFS('collpy (2)'!$F$11:$F$11319,'collpy (2)'!$B$11:$B$11319,"&lt;1/6/2024",'collpy (2)'!$C$11:$C$11319,FinView!A8)</f>
        <v>35000</v>
      </c>
      <c r="H8" s="661">
        <f>SUMIFS('collpy (2)'!$G$11:$G$11319,'collpy (2)'!$B$11:$B$11319,"&lt;1/6/2024",'collpy (2)'!$C$11:$C$11319,FinView!A8)</f>
        <v>27079.74</v>
      </c>
      <c r="I8" s="660">
        <f>K8+M8+O8+Q8+S8</f>
        <v>25000</v>
      </c>
      <c r="J8" s="661">
        <f>L8+N8+P8+R8+T8</f>
        <v>32029.759999999998</v>
      </c>
      <c r="K8" s="646">
        <f>SUMIFS('collpy (2)'!$F$94:$F$3676,'collpy (2)'!$C$94:$C$3676,FinView!A8,'collpy (2)'!$A$94:$A$3676,FinView!$K$4)</f>
        <v>0</v>
      </c>
      <c r="L8" s="647">
        <f>SUMIFS('collpy (2)'!$G$94:$G$3676,'collpy (2)'!$C$94:$C$3676,FinView!A8,'collpy (2)'!$A$94:$A$3676,FinView!$K$4)</f>
        <v>5718.63</v>
      </c>
      <c r="M8" s="646">
        <f>SUMIFS('collpy (2)'!$F$94:$F$3676,'collpy (2)'!$C$94:$C$3676,FinView!A8,'collpy (2)'!$A$94:$A$3676,FinView!$M$4)</f>
        <v>5000</v>
      </c>
      <c r="N8" s="647">
        <f>SUMIFS('collpy (2)'!$G$94:$G$3676,'collpy (2)'!$C$94:$C$3676,FinView!A8,'collpy (2)'!$A$94:$A$3676,FinView!$M$4)</f>
        <v>6512.28</v>
      </c>
      <c r="O8" s="646">
        <f>SUMIFS('collpy (2)'!$F$94:$F$3676,'collpy (2)'!$C$94:$C$3676,FinView!A8,'collpy (2)'!$A$94:$A$3676,FinView!$O$4)</f>
        <v>5000</v>
      </c>
      <c r="P8" s="647">
        <f>SUMIFS('collpy (2)'!$G$94:$G$3676,'collpy (2)'!$C$94:$C$3676,FinView!A8,'collpy (2)'!$A$94:$A$3676,FinView!$O$4)</f>
        <v>7304.58</v>
      </c>
      <c r="Q8" s="646">
        <f>SUMIFS('collpy (2)'!$F$94:$F$3676,'collpy (2)'!$C$94:$C$3676,FinView!A8,'collpy (2)'!$A$94:$A$3676,FinView!$Q$4)</f>
        <v>10000</v>
      </c>
      <c r="R8" s="647">
        <f>SUMIFS('collpy (2)'!$G$94:$G$3676,'collpy (2)'!$C$94:$C$3676,FinView!A8,'collpy (2)'!$A$94:$A$3676,FinView!$Q$4)</f>
        <v>6391.97</v>
      </c>
      <c r="S8" s="646">
        <f>SUMIFS('collpy (2)'!$F$94:$F$3676,'collpy (2)'!$C$94:$C$3676,FinView!A8,'collpy (2)'!$A$94:$A$3676,FinView!$S$4)</f>
        <v>5000</v>
      </c>
      <c r="T8" s="647">
        <f>SUMIFS('collpy (2)'!$G$94:$G$3676,'collpy (2)'!$C$94:$C$3676,FinView!A8,'collpy (2)'!$A$94:$A$3676,FinView!$S$4)</f>
        <v>6102.3</v>
      </c>
      <c r="U8" s="646">
        <f>SUMIFS('collpy (2)'!$F$94:$F$3676,'collpy (2)'!$C$94:$C$3676,FinView!A8,'collpy (2)'!$A$94:$A$3676,FinView!$U$4)</f>
        <v>5000</v>
      </c>
      <c r="V8" s="647">
        <f>SUMIFS('collpy (2)'!$G$94:$G$3676,'collpy (2)'!$C$94:$C$3676,FinView!A8,'collpy (2)'!$A$94:$A$3676,FinView!$U$4)</f>
        <v>0</v>
      </c>
      <c r="W8" s="449" t="str">
        <f>IF( SUMIFS(srpro!$E$10:$E$3010,srpro!$J$10:$J$3010,#REF!,srpro!$B$10:$B$3010,'ProjectsX (2)'!#REF!)&gt;0,SUMIFS(srpro!$E$10:$E$3010,srpro!$J$10:$J$3010,#REF!,srpro!$B$10:$B$3010,'ProjectsX (2)'!#REF!),"")</f>
        <v/>
      </c>
      <c r="X8" s="450"/>
      <c r="Y8" s="450"/>
      <c r="Z8" s="450"/>
      <c r="AA8" s="450"/>
      <c r="AB8" s="450"/>
      <c r="AC8" s="450"/>
      <c r="AD8" s="450"/>
      <c r="AE8" s="450"/>
      <c r="AF8" s="450"/>
      <c r="AG8" s="898"/>
      <c r="AH8" s="898"/>
      <c r="AI8" s="898"/>
      <c r="AJ8" s="898"/>
      <c r="AK8" s="898"/>
      <c r="AL8" s="898"/>
      <c r="AM8" s="898"/>
    </row>
    <row r="9" spans="1:39" s="2" customFormat="1" ht="23.25">
      <c r="A9" s="656">
        <v>1012</v>
      </c>
      <c r="B9" s="648" t="s">
        <v>35</v>
      </c>
      <c r="C9" s="654">
        <f t="shared" ref="C9:C24" si="1">E9-F9</f>
        <v>2000</v>
      </c>
      <c r="D9" s="654"/>
      <c r="E9" s="660">
        <f t="shared" ref="E9:E24" si="2">G9+I9</f>
        <v>2000</v>
      </c>
      <c r="F9" s="661">
        <f t="shared" ref="F9:F24" si="3">H9+J9</f>
        <v>0</v>
      </c>
      <c r="G9" s="660">
        <f>SUMIFS('collpy (2)'!$F$11:$F$11319,'collpy (2)'!$B$11:$B$11319,"&lt;1/6/2024",'collpy (2)'!$C$11:$C$11319,FinView!A9)</f>
        <v>0</v>
      </c>
      <c r="H9" s="661">
        <f>SUMIFS('collpy (2)'!$G$11:$G$11319,'collpy (2)'!$B$11:$B$11319,"&lt;1/6/2024",'collpy (2)'!$C$11:$C$11319,FinView!A9)</f>
        <v>0</v>
      </c>
      <c r="I9" s="660">
        <f t="shared" ref="I9:I13" si="4">K9+M9+O9+Q9+S9</f>
        <v>2000</v>
      </c>
      <c r="J9" s="661">
        <f t="shared" ref="J9:J13" si="5">L9+N9+P9+R9+T9</f>
        <v>0</v>
      </c>
      <c r="K9" s="646">
        <f>SUMIFS('collpy (2)'!$F$94:$F$3676,'collpy (2)'!$C$94:$C$3676,FinView!A9,'collpy (2)'!$A$94:$A$3676,FinView!$K$4)</f>
        <v>2000</v>
      </c>
      <c r="L9" s="647">
        <f>SUMIFS('collpy (2)'!$G$94:$G$3676,'collpy (2)'!$C$94:$C$3676,FinView!A9,'collpy (2)'!$A$94:$A$3676,FinView!$K$4)</f>
        <v>0</v>
      </c>
      <c r="M9" s="646">
        <f>SUMIFS('collpy (2)'!$F$94:$F$3676,'collpy (2)'!$C$94:$C$3676,FinView!A9,'collpy (2)'!$A$94:$A$3676,FinView!$M$4)</f>
        <v>0</v>
      </c>
      <c r="N9" s="647">
        <f>SUMIFS('collpy (2)'!$G$94:$G$3676,'collpy (2)'!$C$94:$C$3676,FinView!A9,'collpy (2)'!$A$94:$A$3676,FinView!$M$4)</f>
        <v>0</v>
      </c>
      <c r="O9" s="646">
        <f>SUMIFS('collpy (2)'!$F$94:$F$3676,'collpy (2)'!$C$94:$C$3676,FinView!A9,'collpy (2)'!$A$94:$A$3676,FinView!$O$4)</f>
        <v>0</v>
      </c>
      <c r="P9" s="647">
        <f>SUMIFS('collpy (2)'!$G$94:$G$3676,'collpy (2)'!$C$94:$C$3676,FinView!A9,'collpy (2)'!$A$94:$A$3676,FinView!$O$4)</f>
        <v>0</v>
      </c>
      <c r="Q9" s="646">
        <f>SUMIFS('collpy (2)'!$F$94:$F$3676,'collpy (2)'!$C$94:$C$3676,FinView!A9,'collpy (2)'!$A$94:$A$3676,FinView!$Q$4)</f>
        <v>0</v>
      </c>
      <c r="R9" s="647">
        <f>SUMIFS('collpy (2)'!$G$94:$G$3676,'collpy (2)'!$C$94:$C$3676,FinView!A9,'collpy (2)'!$A$94:$A$3676,FinView!$Q$4)</f>
        <v>0</v>
      </c>
      <c r="S9" s="646">
        <f>SUMIFS('collpy (2)'!$F$94:$F$3676,'collpy (2)'!$C$94:$C$3676,FinView!A9,'collpy (2)'!$A$94:$A$3676,FinView!$S$4)</f>
        <v>0</v>
      </c>
      <c r="T9" s="647">
        <f>SUMIFS('collpy (2)'!$G$94:$G$3676,'collpy (2)'!$C$94:$C$3676,FinView!A9,'collpy (2)'!$A$94:$A$3676,FinView!$S$4)</f>
        <v>0</v>
      </c>
      <c r="U9" s="646">
        <f>SUMIFS('collpy (2)'!$F$94:$F$3676,'collpy (2)'!$C$94:$C$3676,FinView!A9,'collpy (2)'!$A$94:$A$3676,FinView!$U$4)</f>
        <v>0</v>
      </c>
      <c r="V9" s="647">
        <f>SUMIFS('collpy (2)'!$G$94:$G$3676,'collpy (2)'!$C$94:$C$3676,FinView!A9,'collpy (2)'!$A$94:$A$3676,FinView!$U$4)</f>
        <v>0</v>
      </c>
      <c r="W9" s="449"/>
      <c r="X9" s="450"/>
      <c r="Y9" s="450"/>
      <c r="Z9" s="450"/>
      <c r="AA9" s="450"/>
      <c r="AB9" s="450"/>
      <c r="AC9" s="450"/>
      <c r="AD9" s="450"/>
      <c r="AE9" s="450"/>
      <c r="AF9" s="450"/>
      <c r="AG9" s="898"/>
      <c r="AH9" s="898"/>
      <c r="AI9" s="898"/>
      <c r="AJ9" s="898"/>
      <c r="AK9" s="898"/>
      <c r="AL9" s="898"/>
      <c r="AM9" s="898"/>
    </row>
    <row r="10" spans="1:39" s="2" customFormat="1" ht="23.25">
      <c r="A10" s="656">
        <v>1017</v>
      </c>
      <c r="B10" s="886" t="s">
        <v>38</v>
      </c>
      <c r="C10" s="654">
        <f t="shared" si="1"/>
        <v>-9123.4099999999162</v>
      </c>
      <c r="D10" s="654"/>
      <c r="E10" s="660">
        <f t="shared" si="2"/>
        <v>596805.11</v>
      </c>
      <c r="F10" s="661">
        <f t="shared" si="3"/>
        <v>605928.5199999999</v>
      </c>
      <c r="G10" s="660">
        <f>SUMIFS('collpy (2)'!$F$11:$F$11319,'collpy (2)'!$B$11:$B$11319,"&lt;1/6/2024",'collpy (2)'!$C$11:$C$11319,FinView!A10)</f>
        <v>271370.11</v>
      </c>
      <c r="H10" s="661">
        <f>SUMIFS('collpy (2)'!$G$11:$G$11319,'collpy (2)'!$B$11:$B$11319,"&lt;1/6/2024",'collpy (2)'!$C$11:$C$11319,FinView!A10)</f>
        <v>272076.46999999997</v>
      </c>
      <c r="I10" s="660">
        <f t="shared" si="4"/>
        <v>325435</v>
      </c>
      <c r="J10" s="661">
        <f t="shared" si="5"/>
        <v>333852.04999999993</v>
      </c>
      <c r="K10" s="646">
        <f>SUMIFS('collpy (2)'!$F$94:$F$3676,'collpy (2)'!$C$94:$C$3676,FinView!A10,'collpy (2)'!$A$94:$A$3676,FinView!$K$4)</f>
        <v>55000</v>
      </c>
      <c r="L10" s="647">
        <f>SUMIFS('collpy (2)'!$G$94:$G$3676,'collpy (2)'!$C$94:$C$3676,FinView!A10,'collpy (2)'!$A$94:$A$3676,FinView!$K$4)</f>
        <v>64425.229999999996</v>
      </c>
      <c r="M10" s="646">
        <f>SUMIFS('collpy (2)'!$F$94:$F$3676,'collpy (2)'!$C$94:$C$3676,FinView!A10,'collpy (2)'!$A$94:$A$3676,FinView!$M$4)</f>
        <v>92300</v>
      </c>
      <c r="N10" s="647">
        <f>SUMIFS('collpy (2)'!$G$94:$G$3676,'collpy (2)'!$C$94:$C$3676,FinView!A10,'collpy (2)'!$A$94:$A$3676,FinView!$M$4)</f>
        <v>71256.44</v>
      </c>
      <c r="O10" s="646">
        <f>SUMIFS('collpy (2)'!$F$94:$F$3676,'collpy (2)'!$C$94:$C$3676,FinView!A10,'collpy (2)'!$A$94:$A$3676,FinView!$O$4)</f>
        <v>55535</v>
      </c>
      <c r="P10" s="647">
        <f>SUMIFS('collpy (2)'!$G$94:$G$3676,'collpy (2)'!$C$94:$C$3676,FinView!A10,'collpy (2)'!$A$94:$A$3676,FinView!$O$4)</f>
        <v>68129.859999999971</v>
      </c>
      <c r="Q10" s="646">
        <f>SUMIFS('collpy (2)'!$F$94:$F$3676,'collpy (2)'!$C$94:$C$3676,FinView!A10,'collpy (2)'!$A$94:$A$3676,FinView!$Q$4)</f>
        <v>77600</v>
      </c>
      <c r="R10" s="647">
        <f>SUMIFS('collpy (2)'!$G$94:$G$3676,'collpy (2)'!$C$94:$C$3676,FinView!A10,'collpy (2)'!$A$94:$A$3676,FinView!$Q$4)</f>
        <v>48361.619999999995</v>
      </c>
      <c r="S10" s="646">
        <f>SUMIFS('collpy (2)'!$F$94:$F$3676,'collpy (2)'!$C$94:$C$3676,FinView!A10,'collpy (2)'!$A$94:$A$3676,FinView!$S$4)</f>
        <v>45000</v>
      </c>
      <c r="T10" s="647">
        <f>SUMIFS('collpy (2)'!$G$94:$G$3676,'collpy (2)'!$C$94:$C$3676,FinView!A10,'collpy (2)'!$A$94:$A$3676,FinView!$S$4)</f>
        <v>81678.899999999994</v>
      </c>
      <c r="U10" s="646">
        <f>SUMIFS('collpy (2)'!$F$94:$F$3676,'collpy (2)'!$C$94:$C$3676,FinView!A10,'collpy (2)'!$A$94:$A$3676,FinView!$U$4)</f>
        <v>42625</v>
      </c>
      <c r="V10" s="647">
        <f>SUMIFS('collpy (2)'!$G$94:$G$3676,'collpy (2)'!$C$94:$C$3676,FinView!A10,'collpy (2)'!$A$94:$A$3676,FinView!$U$4)</f>
        <v>0</v>
      </c>
      <c r="W10" s="449"/>
      <c r="X10" s="450"/>
      <c r="Y10" s="450"/>
      <c r="Z10" s="450"/>
      <c r="AA10" s="450"/>
      <c r="AB10" s="450"/>
      <c r="AC10" s="450"/>
      <c r="AD10" s="450"/>
      <c r="AE10" s="450"/>
      <c r="AF10" s="450"/>
      <c r="AG10" s="898"/>
      <c r="AH10" s="898"/>
      <c r="AI10" s="898"/>
      <c r="AJ10" s="898"/>
      <c r="AK10" s="898"/>
      <c r="AL10" s="898"/>
      <c r="AM10" s="898"/>
    </row>
    <row r="11" spans="1:39" s="2" customFormat="1" ht="23.25">
      <c r="A11" s="656">
        <v>1018</v>
      </c>
      <c r="B11" s="648" t="s">
        <v>39</v>
      </c>
      <c r="C11" s="654">
        <f t="shared" si="1"/>
        <v>1017.9499999999989</v>
      </c>
      <c r="D11" s="654"/>
      <c r="E11" s="660">
        <f t="shared" si="2"/>
        <v>12449.1</v>
      </c>
      <c r="F11" s="661">
        <f t="shared" si="3"/>
        <v>11431.150000000001</v>
      </c>
      <c r="G11" s="660">
        <f>SUMIFS('collpy (2)'!$F$11:$F$11319,'collpy (2)'!$B$11:$B$11319,"&lt;1/6/2024",'collpy (2)'!$C$11:$C$11319,FinView!A11)</f>
        <v>5043.6000000000004</v>
      </c>
      <c r="H11" s="661">
        <f>SUMIFS('collpy (2)'!$G$11:$G$11319,'collpy (2)'!$B$11:$B$11319,"&lt;1/6/2024",'collpy (2)'!$C$11:$C$11319,FinView!A11)</f>
        <v>3091.45</v>
      </c>
      <c r="I11" s="660">
        <f t="shared" si="4"/>
        <v>7405.5</v>
      </c>
      <c r="J11" s="661">
        <f t="shared" si="5"/>
        <v>8339.7000000000007</v>
      </c>
      <c r="K11" s="646">
        <f>SUMIFS('collpy (2)'!$F$94:$F$3676,'collpy (2)'!$C$94:$C$3676,FinView!A11,'collpy (2)'!$A$94:$A$3676,FinView!$K$4)</f>
        <v>0</v>
      </c>
      <c r="L11" s="647">
        <f>SUMIFS('collpy (2)'!$G$94:$G$3676,'collpy (2)'!$C$94:$C$3676,FinView!A11,'collpy (2)'!$A$94:$A$3676,FinView!$K$4)</f>
        <v>822.3</v>
      </c>
      <c r="M11" s="646">
        <f>SUMIFS('collpy (2)'!$F$94:$F$3676,'collpy (2)'!$C$94:$C$3676,FinView!A11,'collpy (2)'!$A$94:$A$3676,FinView!$M$4)</f>
        <v>1000</v>
      </c>
      <c r="N11" s="647">
        <f>SUMIFS('collpy (2)'!$G$94:$G$3676,'collpy (2)'!$C$94:$C$3676,FinView!A11,'collpy (2)'!$A$94:$A$3676,FinView!$M$4)</f>
        <v>887</v>
      </c>
      <c r="O11" s="646">
        <f>SUMIFS('collpy (2)'!$F$94:$F$3676,'collpy (2)'!$C$94:$C$3676,FinView!A11,'collpy (2)'!$A$94:$A$3676,FinView!$O$4)</f>
        <v>0</v>
      </c>
      <c r="P11" s="647">
        <f>SUMIFS('collpy (2)'!$G$94:$G$3676,'collpy (2)'!$C$94:$C$3676,FinView!A11,'collpy (2)'!$A$94:$A$3676,FinView!$O$4)</f>
        <v>443.5</v>
      </c>
      <c r="Q11" s="646">
        <f>SUMIFS('collpy (2)'!$F$94:$F$3676,'collpy (2)'!$C$94:$C$3676,FinView!A11,'collpy (2)'!$A$94:$A$3676,FinView!$Q$4)</f>
        <v>1468.5</v>
      </c>
      <c r="R11" s="647">
        <f>SUMIFS('collpy (2)'!$G$94:$G$3676,'collpy (2)'!$C$94:$C$3676,FinView!A11,'collpy (2)'!$A$94:$A$3676,FinView!$Q$4)</f>
        <v>1528.15</v>
      </c>
      <c r="S11" s="646">
        <f>SUMIFS('collpy (2)'!$F$94:$F$3676,'collpy (2)'!$C$94:$C$3676,FinView!A11,'collpy (2)'!$A$94:$A$3676,FinView!$S$4)</f>
        <v>4937</v>
      </c>
      <c r="T11" s="647">
        <f>SUMIFS('collpy (2)'!$G$94:$G$3676,'collpy (2)'!$C$94:$C$3676,FinView!A11,'collpy (2)'!$A$94:$A$3676,FinView!$S$4)</f>
        <v>4658.75</v>
      </c>
      <c r="U11" s="646">
        <f>SUMIFS('collpy (2)'!$F$94:$F$3676,'collpy (2)'!$C$94:$C$3676,FinView!A11,'collpy (2)'!$A$94:$A$3676,FinView!$U$4)</f>
        <v>0</v>
      </c>
      <c r="V11" s="647">
        <f>SUMIFS('collpy (2)'!$G$94:$G$3676,'collpy (2)'!$C$94:$C$3676,FinView!A11,'collpy (2)'!$A$94:$A$3676,FinView!$U$4)</f>
        <v>0</v>
      </c>
      <c r="W11" s="449"/>
      <c r="X11" s="450"/>
      <c r="Y11" s="450"/>
      <c r="Z11" s="450"/>
      <c r="AA11" s="450"/>
      <c r="AB11" s="450"/>
      <c r="AC11" s="450"/>
      <c r="AD11" s="450"/>
      <c r="AE11" s="450"/>
      <c r="AF11" s="450"/>
      <c r="AG11" s="898"/>
      <c r="AH11" s="898"/>
      <c r="AI11" s="898"/>
      <c r="AJ11" s="898"/>
      <c r="AK11" s="898"/>
      <c r="AL11" s="898"/>
      <c r="AM11" s="898"/>
    </row>
    <row r="12" spans="1:39" s="2" customFormat="1" ht="23.25">
      <c r="A12" s="656">
        <v>1020</v>
      </c>
      <c r="B12" s="648" t="s">
        <v>41</v>
      </c>
      <c r="C12" s="654">
        <f t="shared" si="1"/>
        <v>7393.15</v>
      </c>
      <c r="D12" s="654"/>
      <c r="E12" s="660">
        <f t="shared" si="2"/>
        <v>7393.15</v>
      </c>
      <c r="F12" s="661">
        <f t="shared" si="3"/>
        <v>0</v>
      </c>
      <c r="G12" s="660">
        <f>SUMIFS('collpy (2)'!$F$11:$F$11319,'collpy (2)'!$B$11:$B$11319,"&lt;1/6/2024",'collpy (2)'!$C$11:$C$11319,FinView!A12)</f>
        <v>7393.15</v>
      </c>
      <c r="H12" s="661">
        <f>SUMIFS('collpy (2)'!$G$11:$G$11319,'collpy (2)'!$B$11:$B$11319,"&lt;1/6/2024",'collpy (2)'!$C$11:$C$11319,FinView!A12)</f>
        <v>0</v>
      </c>
      <c r="I12" s="660">
        <f t="shared" si="4"/>
        <v>0</v>
      </c>
      <c r="J12" s="661">
        <f t="shared" si="5"/>
        <v>0</v>
      </c>
      <c r="K12" s="646">
        <f>SUMIFS('collpy (2)'!$F$94:$F$3676,'collpy (2)'!$C$94:$C$3676,FinView!A12,'collpy (2)'!$A$94:$A$3676,FinView!$K$4)</f>
        <v>0</v>
      </c>
      <c r="L12" s="647">
        <f>SUMIFS('collpy (2)'!$G$94:$G$3676,'collpy (2)'!$C$94:$C$3676,FinView!A12,'collpy (2)'!$A$94:$A$3676,FinView!$K$4)</f>
        <v>0</v>
      </c>
      <c r="M12" s="646">
        <f>SUMIFS('collpy (2)'!$F$94:$F$3676,'collpy (2)'!$C$94:$C$3676,FinView!A12,'collpy (2)'!$A$94:$A$3676,FinView!$M$4)</f>
        <v>0</v>
      </c>
      <c r="N12" s="647">
        <f>SUMIFS('collpy (2)'!$G$94:$G$3676,'collpy (2)'!$C$94:$C$3676,FinView!A12,'collpy (2)'!$A$94:$A$3676,FinView!$M$4)</f>
        <v>0</v>
      </c>
      <c r="O12" s="646">
        <f>SUMIFS('collpy (2)'!$F$94:$F$3676,'collpy (2)'!$C$94:$C$3676,FinView!A12,'collpy (2)'!$A$94:$A$3676,FinView!$O$4)</f>
        <v>0</v>
      </c>
      <c r="P12" s="647">
        <f>SUMIFS('collpy (2)'!$G$94:$G$3676,'collpy (2)'!$C$94:$C$3676,FinView!A12,'collpy (2)'!$A$94:$A$3676,FinView!$O$4)</f>
        <v>0</v>
      </c>
      <c r="Q12" s="646">
        <f>SUMIFS('collpy (2)'!$F$94:$F$3676,'collpy (2)'!$C$94:$C$3676,FinView!A12,'collpy (2)'!$A$94:$A$3676,FinView!$Q$4)</f>
        <v>0</v>
      </c>
      <c r="R12" s="647">
        <f>SUMIFS('collpy (2)'!$G$94:$G$3676,'collpy (2)'!$C$94:$C$3676,FinView!A12,'collpy (2)'!$A$94:$A$3676,FinView!$Q$4)</f>
        <v>0</v>
      </c>
      <c r="S12" s="646">
        <f>SUMIFS('collpy (2)'!$F$94:$F$3676,'collpy (2)'!$C$94:$C$3676,FinView!A12,'collpy (2)'!$A$94:$A$3676,FinView!$S$4)</f>
        <v>0</v>
      </c>
      <c r="T12" s="647">
        <f>SUMIFS('collpy (2)'!$G$94:$G$3676,'collpy (2)'!$C$94:$C$3676,FinView!A12,'collpy (2)'!$A$94:$A$3676,FinView!$S$4)</f>
        <v>0</v>
      </c>
      <c r="U12" s="646">
        <f>SUMIFS('collpy (2)'!$F$94:$F$3676,'collpy (2)'!$C$94:$C$3676,FinView!A12,'collpy (2)'!$A$94:$A$3676,FinView!$U$4)</f>
        <v>0</v>
      </c>
      <c r="V12" s="647">
        <f>SUMIFS('collpy (2)'!$G$94:$G$3676,'collpy (2)'!$C$94:$C$3676,FinView!A12,'collpy (2)'!$A$94:$A$3676,FinView!$U$4)</f>
        <v>0</v>
      </c>
      <c r="W12" s="449"/>
      <c r="X12" s="450"/>
      <c r="Y12" s="450"/>
      <c r="Z12" s="450"/>
      <c r="AA12" s="450"/>
      <c r="AB12" s="450"/>
      <c r="AC12" s="450"/>
      <c r="AD12" s="450"/>
      <c r="AE12" s="450"/>
      <c r="AF12" s="450"/>
      <c r="AG12" s="898"/>
      <c r="AH12" s="898"/>
      <c r="AI12" s="898"/>
      <c r="AJ12" s="898"/>
      <c r="AK12" s="898"/>
      <c r="AL12" s="898"/>
      <c r="AM12" s="898"/>
    </row>
    <row r="13" spans="1:39" s="2" customFormat="1" ht="23.25">
      <c r="A13" s="656">
        <v>1021</v>
      </c>
      <c r="B13" s="648" t="s">
        <v>42</v>
      </c>
      <c r="C13" s="654">
        <f t="shared" si="1"/>
        <v>46010.75</v>
      </c>
      <c r="D13" s="654"/>
      <c r="E13" s="660">
        <f t="shared" si="2"/>
        <v>46010.75</v>
      </c>
      <c r="F13" s="661">
        <f t="shared" si="3"/>
        <v>0</v>
      </c>
      <c r="G13" s="660">
        <f>SUMIFS('collpy (2)'!$F$11:$F$11319,'collpy (2)'!$B$11:$B$11319,"&lt;1/6/2024",'collpy (2)'!$C$11:$C$11319,FinView!A13)</f>
        <v>46010.75</v>
      </c>
      <c r="H13" s="661">
        <f>SUMIFS('collpy (2)'!$G$11:$G$11319,'collpy (2)'!$B$11:$B$11319,"&lt;1/6/2024",'collpy (2)'!$C$11:$C$11319,FinView!A13)</f>
        <v>0</v>
      </c>
      <c r="I13" s="660">
        <f t="shared" si="4"/>
        <v>0</v>
      </c>
      <c r="J13" s="661">
        <f t="shared" si="5"/>
        <v>0</v>
      </c>
      <c r="K13" s="646">
        <f>SUMIFS('collpy (2)'!$F$94:$F$3676,'collpy (2)'!$C$94:$C$3676,FinView!A13,'collpy (2)'!$A$94:$A$3676,FinView!$K$4)</f>
        <v>0</v>
      </c>
      <c r="L13" s="647">
        <f>SUMIFS('collpy (2)'!$G$94:$G$3676,'collpy (2)'!$C$94:$C$3676,FinView!A13,'collpy (2)'!$A$94:$A$3676,FinView!$K$4)</f>
        <v>0</v>
      </c>
      <c r="M13" s="646">
        <f>SUMIFS('collpy (2)'!$F$94:$F$3676,'collpy (2)'!$C$94:$C$3676,FinView!A13,'collpy (2)'!$A$94:$A$3676,FinView!$M$4)</f>
        <v>0</v>
      </c>
      <c r="N13" s="647">
        <f>SUMIFS('collpy (2)'!$G$94:$G$3676,'collpy (2)'!$C$94:$C$3676,FinView!A13,'collpy (2)'!$A$94:$A$3676,FinView!$M$4)</f>
        <v>0</v>
      </c>
      <c r="O13" s="646">
        <f>SUMIFS('collpy (2)'!$F$94:$F$3676,'collpy (2)'!$C$94:$C$3676,FinView!A13,'collpy (2)'!$A$94:$A$3676,FinView!$O$4)</f>
        <v>0</v>
      </c>
      <c r="P13" s="647">
        <f>SUMIFS('collpy (2)'!$G$94:$G$3676,'collpy (2)'!$C$94:$C$3676,FinView!A13,'collpy (2)'!$A$94:$A$3676,FinView!$O$4)</f>
        <v>0</v>
      </c>
      <c r="Q13" s="646">
        <f>SUMIFS('collpy (2)'!$F$94:$F$3676,'collpy (2)'!$C$94:$C$3676,FinView!A13,'collpy (2)'!$A$94:$A$3676,FinView!$Q$4)</f>
        <v>0</v>
      </c>
      <c r="R13" s="647">
        <f>SUMIFS('collpy (2)'!$G$94:$G$3676,'collpy (2)'!$C$94:$C$3676,FinView!A13,'collpy (2)'!$A$94:$A$3676,FinView!$Q$4)</f>
        <v>0</v>
      </c>
      <c r="S13" s="646">
        <f>SUMIFS('collpy (2)'!$F$94:$F$3676,'collpy (2)'!$C$94:$C$3676,FinView!A13,'collpy (2)'!$A$94:$A$3676,FinView!$S$4)</f>
        <v>0</v>
      </c>
      <c r="T13" s="647">
        <f>SUMIFS('collpy (2)'!$G$94:$G$3676,'collpy (2)'!$C$94:$C$3676,FinView!A13,'collpy (2)'!$A$94:$A$3676,FinView!$S$4)</f>
        <v>0</v>
      </c>
      <c r="U13" s="646">
        <f>SUMIFS('collpy (2)'!$F$94:$F$3676,'collpy (2)'!$C$94:$C$3676,FinView!A13,'collpy (2)'!$A$94:$A$3676,FinView!$U$4)</f>
        <v>0</v>
      </c>
      <c r="V13" s="647">
        <f>SUMIFS('collpy (2)'!$G$94:$G$3676,'collpy (2)'!$C$94:$C$3676,FinView!A13,'collpy (2)'!$A$94:$A$3676,FinView!$U$4)</f>
        <v>0</v>
      </c>
      <c r="W13" s="449"/>
      <c r="X13" s="450"/>
      <c r="Y13" s="450"/>
      <c r="Z13" s="450"/>
      <c r="AA13" s="450"/>
      <c r="AB13" s="450"/>
      <c r="AC13" s="450"/>
      <c r="AD13" s="450"/>
      <c r="AE13" s="450"/>
      <c r="AF13" s="450"/>
      <c r="AG13" s="898"/>
      <c r="AH13" s="898"/>
      <c r="AI13" s="898"/>
      <c r="AJ13" s="898"/>
      <c r="AK13" s="898"/>
      <c r="AL13" s="898"/>
      <c r="AM13" s="898"/>
    </row>
    <row r="14" spans="1:39" s="2" customFormat="1" ht="23.25">
      <c r="A14" s="656">
        <v>1022</v>
      </c>
      <c r="B14" s="886" t="s">
        <v>43</v>
      </c>
      <c r="C14" s="654">
        <f t="shared" si="1"/>
        <v>718669.48999999929</v>
      </c>
      <c r="D14" s="654"/>
      <c r="E14" s="660">
        <f t="shared" si="2"/>
        <v>5527674.5199999996</v>
      </c>
      <c r="F14" s="661">
        <f t="shared" si="3"/>
        <v>4809005.03</v>
      </c>
      <c r="G14" s="660">
        <f>SUMIFS('collpy (2)'!$F$11:$F$11319,'collpy (2)'!$B$11:$B$11319,"&lt;1/6/2024",'collpy (2)'!$C$11:$C$11319,FinView!A14)</f>
        <v>3506781.74</v>
      </c>
      <c r="H14" s="661">
        <f>SUMIFS('collpy (2)'!$G$11:$G$11319,'collpy (2)'!$B$11:$B$11319,"&lt;1/6/2024",'collpy (2)'!$C$11:$C$11319,FinView!A14)</f>
        <v>2510624.9900000002</v>
      </c>
      <c r="I14" s="660">
        <f>K14+M14+O14+Q14+S14+U14</f>
        <v>2020892.7799999998</v>
      </c>
      <c r="J14" s="661">
        <f>L14+N14+P14+R14+T14+V14</f>
        <v>2298380.04</v>
      </c>
      <c r="K14" s="646">
        <f>SUMIFS('collpy (2)'!$F$94:$F$3676,'collpy (2)'!$C$94:$C$3676,FinView!A14,'collpy (2)'!$A$94:$A$3676,FinView!$K$4)</f>
        <v>140387.54999999999</v>
      </c>
      <c r="L14" s="647">
        <f>SUMIFS('collpy (2)'!$G$94:$G$3676,'collpy (2)'!$C$94:$C$3676,FinView!A14,'collpy (2)'!$A$94:$A$3676,FinView!$K$4)</f>
        <v>294630.68</v>
      </c>
      <c r="M14" s="646">
        <f>SUMIFS('collpy (2)'!$F$94:$F$3676,'collpy (2)'!$C$94:$C$3676,FinView!A14,'collpy (2)'!$A$94:$A$3676,FinView!$M$4)</f>
        <v>422452.85</v>
      </c>
      <c r="N14" s="647">
        <f>SUMIFS('collpy (2)'!$G$94:$G$3676,'collpy (2)'!$C$94:$C$3676,FinView!A14,'collpy (2)'!$A$94:$A$3676,FinView!$M$4)</f>
        <v>475800.11</v>
      </c>
      <c r="O14" s="646">
        <f>SUMIFS('collpy (2)'!$F$94:$F$3676,'collpy (2)'!$C$94:$C$3676,FinView!A14,'collpy (2)'!$A$94:$A$3676,FinView!$O$4)</f>
        <v>228894.5</v>
      </c>
      <c r="P14" s="647">
        <f>SUMIFS('collpy (2)'!$G$94:$G$3676,'collpy (2)'!$C$94:$C$3676,FinView!A14,'collpy (2)'!$A$94:$A$3676,FinView!$O$4)</f>
        <v>392203.75</v>
      </c>
      <c r="Q14" s="646">
        <f>SUMIFS('collpy (2)'!$F$94:$F$3676,'collpy (2)'!$C$94:$C$3676,FinView!A14,'collpy (2)'!$A$94:$A$3676,FinView!$Q$4)</f>
        <v>362712</v>
      </c>
      <c r="R14" s="647">
        <f>SUMIFS('collpy (2)'!$G$94:$G$3676,'collpy (2)'!$C$94:$C$3676,FinView!A14,'collpy (2)'!$A$94:$A$3676,FinView!$Q$4)</f>
        <v>365090</v>
      </c>
      <c r="S14" s="646">
        <f>SUMIFS('collpy (2)'!$F$94:$F$3676,'collpy (2)'!$C$94:$C$3676,FinView!A14,'collpy (2)'!$A$94:$A$3676,FinView!$S$4)</f>
        <v>271620.88</v>
      </c>
      <c r="T14" s="647">
        <f>SUMIFS('collpy (2)'!$G$94:$G$3676,'collpy (2)'!$C$94:$C$3676,FinView!A14,'collpy (2)'!$A$94:$A$3676,FinView!$S$4)</f>
        <v>310836</v>
      </c>
      <c r="U14" s="646">
        <f>SUMIFS('collpy (2)'!$F$94:$F$3676,'collpy (2)'!$C$94:$C$3676,FinView!A14,'collpy (2)'!$A$94:$A$3676,FinView!$U$4)</f>
        <v>594825</v>
      </c>
      <c r="V14" s="647">
        <f>SUMIFS('collpy (2)'!$G$94:$G$3676,'collpy (2)'!$C$94:$C$3676,FinView!A14,'collpy (2)'!$A$94:$A$3676,FinView!$U$4)</f>
        <v>459819.5</v>
      </c>
      <c r="W14" s="449"/>
      <c r="X14" s="450"/>
      <c r="Y14" s="450"/>
      <c r="Z14" s="450"/>
      <c r="AA14" s="450"/>
      <c r="AB14" s="450"/>
      <c r="AC14" s="450"/>
      <c r="AD14" s="450"/>
      <c r="AE14" s="450"/>
      <c r="AF14" s="450"/>
      <c r="AG14" s="898"/>
      <c r="AH14" s="898"/>
      <c r="AI14" s="898"/>
      <c r="AJ14" s="898"/>
      <c r="AK14" s="898"/>
      <c r="AL14" s="898"/>
      <c r="AM14" s="898"/>
    </row>
    <row r="15" spans="1:39" s="2" customFormat="1" ht="23.25">
      <c r="A15" s="656">
        <v>1019</v>
      </c>
      <c r="B15" s="648" t="s">
        <v>5778</v>
      </c>
      <c r="C15" s="654">
        <f t="shared" ref="C15" si="6">E15-F15</f>
        <v>98616</v>
      </c>
      <c r="D15" s="654"/>
      <c r="E15" s="660">
        <f t="shared" ref="E15" si="7">G15+I15</f>
        <v>99616</v>
      </c>
      <c r="F15" s="661">
        <f t="shared" ref="F15" si="8">H15+J15</f>
        <v>1000</v>
      </c>
      <c r="G15" s="660">
        <f>SUMIFS('collpy (2)'!$F$11:$F$11319,'collpy (2)'!$B$11:$B$11319,"&lt;1/6/2024",'collpy (2)'!$C$11:$C$11319,FinView!A15)</f>
        <v>0</v>
      </c>
      <c r="H15" s="661">
        <f>SUMIFS('collpy (2)'!$G$11:$G$11319,'collpy (2)'!$B$11:$B$11319,"&lt;1/6/2024",'collpy (2)'!$C$11:$C$11319,FinView!A15)</f>
        <v>0</v>
      </c>
      <c r="I15" s="660">
        <f t="shared" ref="I15:I24" si="9">K15+M15+O15+Q15+S15+U15</f>
        <v>99616</v>
      </c>
      <c r="J15" s="661">
        <f t="shared" ref="J15:J24" si="10">L15+N15+P15+R15+T15+V15</f>
        <v>1000</v>
      </c>
      <c r="K15" s="646">
        <f>SUMIFS('collpy (2)'!$F$94:$F$3676,'collpy (2)'!$C$94:$C$3676,FinView!A15,'collpy (2)'!$A$94:$A$3676,FinView!$K$4)</f>
        <v>0</v>
      </c>
      <c r="L15" s="647">
        <f>SUMIFS('collpy (2)'!$G$94:$G$3676,'collpy (2)'!$C$94:$C$3676,FinView!A15,'collpy (2)'!$A$94:$A$3676,FinView!$K$4)</f>
        <v>0</v>
      </c>
      <c r="M15" s="646">
        <f>SUMIFS('collpy (2)'!$F$94:$F$3676,'collpy (2)'!$C$94:$C$3676,FinView!A15,'collpy (2)'!$A$94:$A$3676,FinView!$M$4)</f>
        <v>0</v>
      </c>
      <c r="N15" s="647">
        <f>SUMIFS('collpy (2)'!$G$94:$G$3676,'collpy (2)'!$C$94:$C$3676,FinView!A15,'collpy (2)'!$A$94:$A$3676,FinView!$M$4)</f>
        <v>0</v>
      </c>
      <c r="O15" s="646">
        <f>SUMIFS('collpy (2)'!$F$94:$F$3676,'collpy (2)'!$C$94:$C$3676,FinView!A15,'collpy (2)'!$A$94:$A$3676,FinView!$O$4)</f>
        <v>0</v>
      </c>
      <c r="P15" s="647">
        <f>SUMIFS('collpy (2)'!$G$94:$G$3676,'collpy (2)'!$C$94:$C$3676,FinView!A15,'collpy (2)'!$A$94:$A$3676,FinView!$O$4)</f>
        <v>0</v>
      </c>
      <c r="Q15" s="646">
        <f>SUMIFS('collpy (2)'!$F$94:$F$3676,'collpy (2)'!$C$94:$C$3676,FinView!A15,'collpy (2)'!$A$94:$A$3676,FinView!$Q$4)</f>
        <v>10500</v>
      </c>
      <c r="R15" s="647">
        <f>SUMIFS('collpy (2)'!$G$94:$G$3676,'collpy (2)'!$C$94:$C$3676,FinView!A15,'collpy (2)'!$A$94:$A$3676,FinView!$Q$4)</f>
        <v>0</v>
      </c>
      <c r="S15" s="646">
        <f>SUMIFS('collpy (2)'!$F$94:$F$3676,'collpy (2)'!$C$94:$C$3676,FinView!A15,'collpy (2)'!$A$94:$A$3676,FinView!$S$4)</f>
        <v>3200</v>
      </c>
      <c r="T15" s="647">
        <f>SUMIFS('collpy (2)'!$G$94:$G$3676,'collpy (2)'!$C$94:$C$3676,FinView!A15,'collpy (2)'!$A$94:$A$3676,FinView!$S$4)</f>
        <v>0</v>
      </c>
      <c r="U15" s="646">
        <f>SUMIFS('collpy (2)'!$F$94:$F$3676,'collpy (2)'!$C$94:$C$3676,FinView!A15,'collpy (2)'!$A$94:$A$3676,FinView!$U$4)</f>
        <v>85916</v>
      </c>
      <c r="V15" s="647">
        <f>SUMIFS('collpy (2)'!$G$94:$G$3676,'collpy (2)'!$C$94:$C$3676,FinView!A15,'collpy (2)'!$A$94:$A$3676,FinView!$U$4)</f>
        <v>1000</v>
      </c>
      <c r="W15" s="449"/>
      <c r="X15" s="450"/>
      <c r="Y15" s="450"/>
      <c r="Z15" s="450"/>
      <c r="AA15" s="450"/>
      <c r="AB15" s="450"/>
      <c r="AC15" s="450"/>
      <c r="AD15" s="450"/>
      <c r="AE15" s="450"/>
      <c r="AF15" s="450"/>
      <c r="AG15" s="898"/>
      <c r="AH15" s="898"/>
      <c r="AI15" s="898"/>
      <c r="AJ15" s="898"/>
      <c r="AK15" s="898"/>
      <c r="AL15" s="898"/>
      <c r="AM15" s="898"/>
    </row>
    <row r="16" spans="1:39" s="2" customFormat="1" ht="23.25">
      <c r="A16" s="656">
        <v>1025</v>
      </c>
      <c r="B16" s="886" t="s">
        <v>44</v>
      </c>
      <c r="C16" s="654">
        <f t="shared" si="1"/>
        <v>-23194.960000000079</v>
      </c>
      <c r="D16" s="654"/>
      <c r="E16" s="660">
        <f t="shared" si="2"/>
        <v>981270.2</v>
      </c>
      <c r="F16" s="661">
        <f t="shared" si="3"/>
        <v>1004465.16</v>
      </c>
      <c r="G16" s="660">
        <f>SUMIFS('collpy (2)'!$F$11:$F$11319,'collpy (2)'!$B$11:$B$11319,"&lt;1/6/2024",'collpy (2)'!$C$11:$C$11319,FinView!A16)</f>
        <v>563753.19999999995</v>
      </c>
      <c r="H16" s="661">
        <f>SUMIFS('collpy (2)'!$G$11:$G$11319,'collpy (2)'!$B$11:$B$11319,"&lt;1/6/2024",'collpy (2)'!$C$11:$C$11319,FinView!A16)</f>
        <v>668395.43000000005</v>
      </c>
      <c r="I16" s="660">
        <f t="shared" si="9"/>
        <v>417517</v>
      </c>
      <c r="J16" s="661">
        <f t="shared" si="10"/>
        <v>336069.73</v>
      </c>
      <c r="K16" s="646">
        <f>SUMIFS('collpy (2)'!$F$94:$F$3676,'collpy (2)'!$C$94:$C$3676,FinView!A16,'collpy (2)'!$A$94:$A$3676,FinView!$K$4)</f>
        <v>41917.5</v>
      </c>
      <c r="L16" s="647">
        <f>SUMIFS('collpy (2)'!$G$94:$G$3676,'collpy (2)'!$C$94:$C$3676,FinView!A16,'collpy (2)'!$A$94:$A$3676,FinView!$K$4)</f>
        <v>45112.369999999995</v>
      </c>
      <c r="M16" s="646">
        <f>SUMIFS('collpy (2)'!$F$94:$F$3676,'collpy (2)'!$C$94:$C$3676,FinView!A16,'collpy (2)'!$A$94:$A$3676,FinView!$M$4)</f>
        <v>85170</v>
      </c>
      <c r="N16" s="647">
        <f>SUMIFS('collpy (2)'!$G$94:$G$3676,'collpy (2)'!$C$94:$C$3676,FinView!A16,'collpy (2)'!$A$94:$A$3676,FinView!$M$4)</f>
        <v>77389.849999999991</v>
      </c>
      <c r="O16" s="646">
        <f>SUMIFS('collpy (2)'!$F$94:$F$3676,'collpy (2)'!$C$94:$C$3676,FinView!A16,'collpy (2)'!$A$94:$A$3676,FinView!$O$4)</f>
        <v>95000</v>
      </c>
      <c r="P16" s="647">
        <f>SUMIFS('collpy (2)'!$G$94:$G$3676,'collpy (2)'!$C$94:$C$3676,FinView!A16,'collpy (2)'!$A$94:$A$3676,FinView!$O$4)</f>
        <v>35000</v>
      </c>
      <c r="Q16" s="646">
        <f>SUMIFS('collpy (2)'!$F$94:$F$3676,'collpy (2)'!$C$94:$C$3676,FinView!A16,'collpy (2)'!$A$94:$A$3676,FinView!$Q$4)</f>
        <v>54127.5</v>
      </c>
      <c r="R16" s="647">
        <f>SUMIFS('collpy (2)'!$G$94:$G$3676,'collpy (2)'!$C$94:$C$3676,FinView!A16,'collpy (2)'!$A$94:$A$3676,FinView!$Q$4)</f>
        <v>45130.33</v>
      </c>
      <c r="S16" s="646">
        <f>SUMIFS('collpy (2)'!$F$94:$F$3676,'collpy (2)'!$C$94:$C$3676,FinView!A16,'collpy (2)'!$A$94:$A$3676,FinView!$S$4)</f>
        <v>81897</v>
      </c>
      <c r="T16" s="647">
        <f>SUMIFS('collpy (2)'!$G$94:$G$3676,'collpy (2)'!$C$94:$C$3676,FinView!A16,'collpy (2)'!$A$94:$A$3676,FinView!$S$4)</f>
        <v>74145.249999999985</v>
      </c>
      <c r="U16" s="646">
        <f>SUMIFS('collpy (2)'!$F$94:$F$3676,'collpy (2)'!$C$94:$C$3676,FinView!A16,'collpy (2)'!$A$94:$A$3676,FinView!$U$4)</f>
        <v>59405</v>
      </c>
      <c r="V16" s="647">
        <f>SUMIFS('collpy (2)'!$G$94:$G$3676,'collpy (2)'!$C$94:$C$3676,FinView!A16,'collpy (2)'!$A$94:$A$3676,FinView!$U$4)</f>
        <v>59291.93</v>
      </c>
      <c r="W16" s="449"/>
      <c r="X16" s="450"/>
      <c r="Y16" s="450"/>
      <c r="Z16" s="450"/>
      <c r="AA16" s="450"/>
      <c r="AB16" s="450"/>
      <c r="AC16" s="450"/>
      <c r="AD16" s="450"/>
      <c r="AE16" s="450"/>
      <c r="AF16" s="450"/>
      <c r="AG16" s="898"/>
      <c r="AH16" s="898"/>
      <c r="AI16" s="898"/>
      <c r="AJ16" s="898"/>
      <c r="AK16" s="898"/>
      <c r="AL16" s="898"/>
      <c r="AM16" s="898"/>
    </row>
    <row r="17" spans="1:39" s="2" customFormat="1" ht="23.25">
      <c r="A17" s="656">
        <v>1100</v>
      </c>
      <c r="B17" s="886" t="s">
        <v>46</v>
      </c>
      <c r="C17" s="654">
        <f t="shared" si="1"/>
        <v>398599.68999999948</v>
      </c>
      <c r="D17" s="654"/>
      <c r="E17" s="660">
        <f t="shared" si="2"/>
        <v>5231932.97</v>
      </c>
      <c r="F17" s="661">
        <f t="shared" si="3"/>
        <v>4833333.28</v>
      </c>
      <c r="G17" s="660">
        <f>SUMIFS('collpy (2)'!$F$11:$F$11319,'collpy (2)'!$B$11:$B$11319,"&lt;1/6/2024",'collpy (2)'!$C$11:$C$11319,FinView!A17)</f>
        <v>2693406.92</v>
      </c>
      <c r="H17" s="661">
        <f>SUMIFS('collpy (2)'!$G$11:$G$11319,'collpy (2)'!$B$11:$B$11319,"&lt;1/6/2024",'collpy (2)'!$C$11:$C$11319,FinView!A17)</f>
        <v>2513195.7000000002</v>
      </c>
      <c r="I17" s="660">
        <f t="shared" si="9"/>
        <v>2538526.0499999998</v>
      </c>
      <c r="J17" s="661">
        <f t="shared" si="10"/>
        <v>2320137.58</v>
      </c>
      <c r="K17" s="646">
        <f>SUMIFS('collpy (2)'!$F$94:$F$3676,'collpy (2)'!$C$94:$C$3676,FinView!A17,'collpy (2)'!$A$94:$A$3676,FinView!$K$4)</f>
        <v>0</v>
      </c>
      <c r="L17" s="647">
        <f>SUMIFS('collpy (2)'!$G$94:$G$3676,'collpy (2)'!$C$94:$C$3676,FinView!A17,'collpy (2)'!$A$94:$A$3676,FinView!$K$4)</f>
        <v>0</v>
      </c>
      <c r="M17" s="646">
        <f>SUMIFS('collpy (2)'!$F$94:$F$3676,'collpy (2)'!$C$94:$C$3676,FinView!A17,'collpy (2)'!$A$94:$A$3676,FinView!$M$4)</f>
        <v>0</v>
      </c>
      <c r="N17" s="647">
        <f>SUMIFS('collpy (2)'!$G$94:$G$3676,'collpy (2)'!$C$94:$C$3676,FinView!A17,'collpy (2)'!$A$94:$A$3676,FinView!$M$4)</f>
        <v>0</v>
      </c>
      <c r="O17" s="646">
        <f>SUMIFS('collpy (2)'!$F$94:$F$3676,'collpy (2)'!$C$94:$C$3676,FinView!A17,'collpy (2)'!$A$94:$A$3676,FinView!$O$4)</f>
        <v>0</v>
      </c>
      <c r="P17" s="647">
        <f>SUMIFS('collpy (2)'!$G$94:$G$3676,'collpy (2)'!$C$94:$C$3676,FinView!A17,'collpy (2)'!$A$94:$A$3676,FinView!$O$4)</f>
        <v>0</v>
      </c>
      <c r="Q17" s="646">
        <f>SUMIFS('collpy (2)'!$F$94:$F$3676,'collpy (2)'!$C$94:$C$3676,FinView!A17,'collpy (2)'!$A$94:$A$3676,FinView!$Q$4)</f>
        <v>0</v>
      </c>
      <c r="R17" s="647">
        <f>SUMIFS('collpy (2)'!$G$94:$G$3676,'collpy (2)'!$C$94:$C$3676,FinView!A17,'collpy (2)'!$A$94:$A$3676,FinView!$Q$4)</f>
        <v>0</v>
      </c>
      <c r="S17" s="646">
        <f>SUMIFS('collpy (2)'!$F$94:$F$3676,'collpy (2)'!$C$94:$C$3676,FinView!A17,'collpy (2)'!$A$94:$A$3676,FinView!$S$4)</f>
        <v>1716978.7499999998</v>
      </c>
      <c r="T17" s="647">
        <f>SUMIFS('collpy (2)'!$G$94:$G$3676,'collpy (2)'!$C$94:$C$3676,FinView!A17,'collpy (2)'!$A$94:$A$3676,FinView!$S$4)</f>
        <v>1563365.28</v>
      </c>
      <c r="U17" s="646">
        <f>SUMIFS('collpy (2)'!$F$94:$F$3676,'collpy (2)'!$C$94:$C$3676,FinView!A17,'collpy (2)'!$A$94:$A$3676,FinView!$U$4)</f>
        <v>821547.3</v>
      </c>
      <c r="V17" s="647">
        <f>SUMIFS('collpy (2)'!$G$94:$G$3676,'collpy (2)'!$C$94:$C$3676,FinView!A17,'collpy (2)'!$A$94:$A$3676,FinView!$U$4)</f>
        <v>756772.3</v>
      </c>
      <c r="W17" s="449"/>
      <c r="X17" s="450"/>
      <c r="Y17" s="450"/>
      <c r="Z17" s="450"/>
      <c r="AA17" s="450"/>
      <c r="AB17" s="450"/>
      <c r="AC17" s="450"/>
      <c r="AD17" s="450"/>
      <c r="AE17" s="450"/>
      <c r="AF17" s="450"/>
      <c r="AG17" s="898"/>
      <c r="AH17" s="898"/>
      <c r="AI17" s="898"/>
      <c r="AJ17" s="898"/>
      <c r="AK17" s="898"/>
      <c r="AL17" s="898"/>
      <c r="AM17" s="898"/>
    </row>
    <row r="18" spans="1:39" s="2" customFormat="1" ht="17.25" customHeight="1">
      <c r="A18" s="656">
        <v>1400</v>
      </c>
      <c r="B18" s="648" t="s">
        <v>49</v>
      </c>
      <c r="C18" s="654">
        <f t="shared" si="1"/>
        <v>163583</v>
      </c>
      <c r="D18" s="654"/>
      <c r="E18" s="660">
        <f t="shared" si="2"/>
        <v>245725.94</v>
      </c>
      <c r="F18" s="661">
        <f t="shared" si="3"/>
        <v>82142.94</v>
      </c>
      <c r="G18" s="660">
        <f>SUMIFS('collpy (2)'!$F$11:$F$11319,'collpy (2)'!$B$11:$B$11319,"&lt;1/6/2024",'collpy (2)'!$C$11:$C$11319,FinView!A18)</f>
        <v>213725.94</v>
      </c>
      <c r="H18" s="661">
        <f>SUMIFS('collpy (2)'!$G$11:$G$11319,'collpy (2)'!$B$11:$B$11319,"&lt;1/6/2024",'collpy (2)'!$C$11:$C$11319,FinView!A18)</f>
        <v>70557.94</v>
      </c>
      <c r="I18" s="660">
        <f t="shared" si="9"/>
        <v>32000</v>
      </c>
      <c r="J18" s="661">
        <f t="shared" si="10"/>
        <v>11585</v>
      </c>
      <c r="K18" s="646">
        <f>SUMIFS('collpy (2)'!$F$94:$F$3676,'collpy (2)'!$C$94:$C$3676,FinView!A18,'collpy (2)'!$A$94:$A$3676,FinView!$K$4)</f>
        <v>0</v>
      </c>
      <c r="L18" s="647">
        <f>SUMIFS('collpy (2)'!$G$94:$G$3676,'collpy (2)'!$C$94:$C$3676,FinView!A18,'collpy (2)'!$A$94:$A$3676,FinView!$K$4)</f>
        <v>0</v>
      </c>
      <c r="M18" s="646">
        <f>SUMIFS('collpy (2)'!$F$94:$F$3676,'collpy (2)'!$C$94:$C$3676,FinView!A18,'collpy (2)'!$A$94:$A$3676,FinView!$M$4)</f>
        <v>0</v>
      </c>
      <c r="N18" s="647">
        <f>SUMIFS('collpy (2)'!$G$94:$G$3676,'collpy (2)'!$C$94:$C$3676,FinView!A18,'collpy (2)'!$A$94:$A$3676,FinView!$M$4)</f>
        <v>0</v>
      </c>
      <c r="O18" s="646">
        <f>SUMIFS('collpy (2)'!$F$94:$F$3676,'collpy (2)'!$C$94:$C$3676,FinView!A18,'collpy (2)'!$A$94:$A$3676,FinView!$O$4)</f>
        <v>0</v>
      </c>
      <c r="P18" s="647">
        <f>SUMIFS('collpy (2)'!$G$94:$G$3676,'collpy (2)'!$C$94:$C$3676,FinView!A18,'collpy (2)'!$A$94:$A$3676,FinView!$O$4)</f>
        <v>0</v>
      </c>
      <c r="Q18" s="646">
        <f>SUMIFS('collpy (2)'!$F$94:$F$3676,'collpy (2)'!$C$94:$C$3676,FinView!A18,'collpy (2)'!$A$94:$A$3676,FinView!$Q$4)</f>
        <v>0</v>
      </c>
      <c r="R18" s="647">
        <f>SUMIFS('collpy (2)'!$G$94:$G$3676,'collpy (2)'!$C$94:$C$3676,FinView!A18,'collpy (2)'!$A$94:$A$3676,FinView!$Q$4)</f>
        <v>11585</v>
      </c>
      <c r="S18" s="646">
        <f>SUMIFS('collpy (2)'!$F$94:$F$3676,'collpy (2)'!$C$94:$C$3676,FinView!A18,'collpy (2)'!$A$94:$A$3676,FinView!$S$4)</f>
        <v>0</v>
      </c>
      <c r="T18" s="647">
        <f>SUMIFS('collpy (2)'!$G$94:$G$3676,'collpy (2)'!$C$94:$C$3676,FinView!A18,'collpy (2)'!$A$94:$A$3676,FinView!$S$4)</f>
        <v>0</v>
      </c>
      <c r="U18" s="646">
        <f>SUMIFS('collpy (2)'!$F$94:$F$3676,'collpy (2)'!$C$94:$C$3676,FinView!A18,'collpy (2)'!$A$94:$A$3676,FinView!$U$4)</f>
        <v>32000</v>
      </c>
      <c r="V18" s="647">
        <f>SUMIFS('collpy (2)'!$G$94:$G$3676,'collpy (2)'!$C$94:$C$3676,FinView!A18,'collpy (2)'!$A$94:$A$3676,FinView!$U$4)</f>
        <v>0</v>
      </c>
      <c r="W18" s="449"/>
      <c r="X18" s="450"/>
      <c r="Y18" s="450"/>
      <c r="Z18" s="450"/>
      <c r="AA18" s="450"/>
      <c r="AB18" s="450"/>
      <c r="AC18" s="450"/>
      <c r="AD18" s="450"/>
      <c r="AE18" s="450"/>
      <c r="AF18" s="450"/>
      <c r="AG18" s="898"/>
      <c r="AH18" s="898"/>
      <c r="AI18" s="898"/>
      <c r="AJ18" s="898"/>
      <c r="AK18" s="898"/>
      <c r="AL18" s="898"/>
      <c r="AM18" s="898"/>
    </row>
    <row r="19" spans="1:39" s="2" customFormat="1" ht="23.25">
      <c r="A19" s="656">
        <v>1430</v>
      </c>
      <c r="B19" s="648" t="s">
        <v>50</v>
      </c>
      <c r="C19" s="654">
        <f t="shared" si="1"/>
        <v>0</v>
      </c>
      <c r="D19" s="654"/>
      <c r="E19" s="660">
        <f t="shared" si="2"/>
        <v>0</v>
      </c>
      <c r="F19" s="661">
        <f t="shared" si="3"/>
        <v>0</v>
      </c>
      <c r="G19" s="660">
        <f>SUMIFS('collpy (2)'!$F$11:$F$11319,'collpy (2)'!$B$11:$B$11319,"&lt;1/6/2024",'collpy (2)'!$C$11:$C$11319,FinView!A19)</f>
        <v>0</v>
      </c>
      <c r="H19" s="661">
        <f>SUMIFS('collpy (2)'!$G$11:$G$11319,'collpy (2)'!$B$11:$B$11319,"&lt;1/6/2024",'collpy (2)'!$C$11:$C$11319,FinView!A19)</f>
        <v>0</v>
      </c>
      <c r="I19" s="660">
        <f t="shared" si="9"/>
        <v>0</v>
      </c>
      <c r="J19" s="661">
        <f t="shared" si="10"/>
        <v>0</v>
      </c>
      <c r="K19" s="646">
        <f>SUMIFS('collpy (2)'!$F$94:$F$3676,'collpy (2)'!$C$94:$C$3676,FinView!A19,'collpy (2)'!$A$94:$A$3676,FinView!$K$4)</f>
        <v>0</v>
      </c>
      <c r="L19" s="647">
        <f>SUMIFS('collpy (2)'!$G$94:$G$3676,'collpy (2)'!$C$94:$C$3676,FinView!A19,'collpy (2)'!$A$94:$A$3676,FinView!$K$4)</f>
        <v>0</v>
      </c>
      <c r="M19" s="646">
        <f>SUMIFS('collpy (2)'!$F$94:$F$3676,'collpy (2)'!$C$94:$C$3676,FinView!A19,'collpy (2)'!$A$94:$A$3676,FinView!$M$4)</f>
        <v>0</v>
      </c>
      <c r="N19" s="647">
        <f>SUMIFS('collpy (2)'!$G$94:$G$3676,'collpy (2)'!$C$94:$C$3676,FinView!A19,'collpy (2)'!$A$94:$A$3676,FinView!$M$4)</f>
        <v>0</v>
      </c>
      <c r="O19" s="646">
        <f>SUMIFS('collpy (2)'!$F$94:$F$3676,'collpy (2)'!$C$94:$C$3676,FinView!A19,'collpy (2)'!$A$94:$A$3676,FinView!$O$4)</f>
        <v>0</v>
      </c>
      <c r="P19" s="647">
        <f>SUMIFS('collpy (2)'!$G$94:$G$3676,'collpy (2)'!$C$94:$C$3676,FinView!A19,'collpy (2)'!$A$94:$A$3676,FinView!$O$4)</f>
        <v>0</v>
      </c>
      <c r="Q19" s="646">
        <f>SUMIFS('collpy (2)'!$F$94:$F$3676,'collpy (2)'!$C$94:$C$3676,FinView!A19,'collpy (2)'!$A$94:$A$3676,FinView!$Q$4)</f>
        <v>0</v>
      </c>
      <c r="R19" s="647">
        <f>SUMIFS('collpy (2)'!$G$94:$G$3676,'collpy (2)'!$C$94:$C$3676,FinView!A19,'collpy (2)'!$A$94:$A$3676,FinView!$Q$4)</f>
        <v>0</v>
      </c>
      <c r="S19" s="646">
        <f>SUMIFS('collpy (2)'!$F$94:$F$3676,'collpy (2)'!$C$94:$C$3676,FinView!A19,'collpy (2)'!$A$94:$A$3676,FinView!$S$4)</f>
        <v>0</v>
      </c>
      <c r="T19" s="647">
        <f>SUMIFS('collpy (2)'!$G$94:$G$3676,'collpy (2)'!$C$94:$C$3676,FinView!A19,'collpy (2)'!$A$94:$A$3676,FinView!$S$4)</f>
        <v>0</v>
      </c>
      <c r="U19" s="646">
        <f>SUMIFS('collpy (2)'!$F$94:$F$3676,'collpy (2)'!$C$94:$C$3676,FinView!A19,'collpy (2)'!$A$94:$A$3676,FinView!$U$4)</f>
        <v>0</v>
      </c>
      <c r="V19" s="647">
        <f>SUMIFS('collpy (2)'!$G$94:$G$3676,'collpy (2)'!$C$94:$C$3676,FinView!A19,'collpy (2)'!$A$94:$A$3676,FinView!$U$4)</f>
        <v>0</v>
      </c>
      <c r="W19" s="449"/>
      <c r="X19" s="450"/>
      <c r="Y19" s="450"/>
      <c r="Z19" s="450"/>
      <c r="AA19" s="450"/>
      <c r="AB19" s="450"/>
      <c r="AC19" s="450"/>
      <c r="AD19" s="450"/>
      <c r="AE19" s="450"/>
      <c r="AF19" s="450"/>
      <c r="AG19" s="898"/>
      <c r="AH19" s="898"/>
      <c r="AI19" s="898"/>
      <c r="AJ19" s="898"/>
      <c r="AK19" s="898"/>
      <c r="AL19" s="898"/>
      <c r="AM19" s="898"/>
    </row>
    <row r="20" spans="1:39" s="2" customFormat="1" ht="23.25">
      <c r="A20" s="656">
        <v>1450</v>
      </c>
      <c r="B20" s="648" t="s">
        <v>52</v>
      </c>
      <c r="C20" s="654">
        <f t="shared" si="1"/>
        <v>2</v>
      </c>
      <c r="D20" s="654"/>
      <c r="E20" s="660">
        <f t="shared" si="2"/>
        <v>2</v>
      </c>
      <c r="F20" s="661">
        <f t="shared" si="3"/>
        <v>0</v>
      </c>
      <c r="G20" s="660">
        <f>SUMIFS('collpy (2)'!$F$11:$F$11319,'collpy (2)'!$B$11:$B$11319,"&lt;1/6/2024",'collpy (2)'!$C$11:$C$11319,FinView!A20)</f>
        <v>0</v>
      </c>
      <c r="H20" s="661">
        <f>SUMIFS('collpy (2)'!$G$11:$G$11319,'collpy (2)'!$B$11:$B$11319,"&lt;1/6/2024",'collpy (2)'!$C$11:$C$11319,FinView!A20)</f>
        <v>0</v>
      </c>
      <c r="I20" s="660">
        <f t="shared" si="9"/>
        <v>2</v>
      </c>
      <c r="J20" s="661">
        <f t="shared" si="10"/>
        <v>0</v>
      </c>
      <c r="K20" s="646">
        <f>SUMIFS('collpy (2)'!$F$94:$F$3676,'collpy (2)'!$C$94:$C$3676,FinView!A20,'collpy (2)'!$A$94:$A$3676,FinView!$K$4)</f>
        <v>0</v>
      </c>
      <c r="L20" s="647">
        <f>SUMIFS('collpy (2)'!$G$94:$G$3676,'collpy (2)'!$C$94:$C$3676,FinView!A20,'collpy (2)'!$A$94:$A$3676,FinView!$K$4)</f>
        <v>0</v>
      </c>
      <c r="M20" s="646">
        <f>SUMIFS('collpy (2)'!$F$94:$F$3676,'collpy (2)'!$C$94:$C$3676,FinView!A20,'collpy (2)'!$A$94:$A$3676,FinView!$M$4)</f>
        <v>0</v>
      </c>
      <c r="N20" s="647">
        <f>SUMIFS('collpy (2)'!$G$94:$G$3676,'collpy (2)'!$C$94:$C$3676,FinView!A20,'collpy (2)'!$A$94:$A$3676,FinView!$M$4)</f>
        <v>0</v>
      </c>
      <c r="O20" s="646">
        <f>SUMIFS('collpy (2)'!$F$94:$F$3676,'collpy (2)'!$C$94:$C$3676,FinView!A20,'collpy (2)'!$A$94:$A$3676,FinView!$O$4)</f>
        <v>0</v>
      </c>
      <c r="P20" s="647">
        <f>SUMIFS('collpy (2)'!$G$94:$G$3676,'collpy (2)'!$C$94:$C$3676,FinView!A20,'collpy (2)'!$A$94:$A$3676,FinView!$O$4)</f>
        <v>0</v>
      </c>
      <c r="Q20" s="646">
        <f>SUMIFS('collpy (2)'!$F$94:$F$3676,'collpy (2)'!$C$94:$C$3676,FinView!A20,'collpy (2)'!$A$94:$A$3676,FinView!$Q$4)</f>
        <v>0</v>
      </c>
      <c r="R20" s="647">
        <f>SUMIFS('collpy (2)'!$G$94:$G$3676,'collpy (2)'!$C$94:$C$3676,FinView!A20,'collpy (2)'!$A$94:$A$3676,FinView!$Q$4)</f>
        <v>0</v>
      </c>
      <c r="S20" s="646">
        <f>SUMIFS('collpy (2)'!$F$94:$F$3676,'collpy (2)'!$C$94:$C$3676,FinView!A20,'collpy (2)'!$A$94:$A$3676,FinView!$S$4)</f>
        <v>1</v>
      </c>
      <c r="T20" s="647">
        <f>SUMIFS('collpy (2)'!$G$94:$G$3676,'collpy (2)'!$C$94:$C$3676,FinView!A20,'collpy (2)'!$A$94:$A$3676,FinView!$S$4)</f>
        <v>0</v>
      </c>
      <c r="U20" s="646">
        <f>SUMIFS('collpy (2)'!$F$94:$F$3676,'collpy (2)'!$C$94:$C$3676,FinView!A20,'collpy (2)'!$A$94:$A$3676,FinView!$U$4)</f>
        <v>1</v>
      </c>
      <c r="V20" s="647">
        <f>SUMIFS('collpy (2)'!$G$94:$G$3676,'collpy (2)'!$C$94:$C$3676,FinView!A20,'collpy (2)'!$A$94:$A$3676,FinView!$U$4)</f>
        <v>0</v>
      </c>
      <c r="W20" s="449"/>
      <c r="X20" s="450"/>
      <c r="Y20" s="450"/>
      <c r="Z20" s="450"/>
      <c r="AA20" s="450"/>
      <c r="AB20" s="450"/>
      <c r="AC20" s="450"/>
      <c r="AD20" s="450"/>
      <c r="AE20" s="450"/>
      <c r="AF20" s="450"/>
      <c r="AG20" s="898"/>
      <c r="AH20" s="898"/>
      <c r="AI20" s="898"/>
      <c r="AJ20" s="898"/>
      <c r="AK20" s="898"/>
      <c r="AL20" s="898"/>
      <c r="AM20" s="898"/>
    </row>
    <row r="21" spans="1:39" s="2" customFormat="1" ht="23.25">
      <c r="A21" s="656">
        <v>1500</v>
      </c>
      <c r="B21" s="648" t="s">
        <v>53</v>
      </c>
      <c r="C21" s="654">
        <f t="shared" si="1"/>
        <v>45201.74</v>
      </c>
      <c r="D21" s="654"/>
      <c r="E21" s="660">
        <f t="shared" si="2"/>
        <v>45201.74</v>
      </c>
      <c r="F21" s="661">
        <f t="shared" si="3"/>
        <v>0</v>
      </c>
      <c r="G21" s="660">
        <f>SUMIFS('collpy (2)'!$F$11:$F$11319,'collpy (2)'!$B$11:$B$11319,"&lt;1/6/2024",'collpy (2)'!$C$11:$C$11319,FinView!A21)</f>
        <v>39473.31</v>
      </c>
      <c r="H21" s="661">
        <f>SUMIFS('collpy (2)'!$G$11:$G$11319,'collpy (2)'!$B$11:$B$11319,"&lt;1/6/2024",'collpy (2)'!$C$11:$C$11319,FinView!A21)</f>
        <v>0</v>
      </c>
      <c r="I21" s="660">
        <f t="shared" si="9"/>
        <v>5728.43</v>
      </c>
      <c r="J21" s="661">
        <f t="shared" si="10"/>
        <v>0</v>
      </c>
      <c r="K21" s="646">
        <f>SUMIFS('collpy (2)'!$F$94:$F$3676,'collpy (2)'!$C$94:$C$3676,FinView!A21,'collpy (2)'!$A$94:$A$3676,FinView!$K$4)</f>
        <v>3617.12</v>
      </c>
      <c r="L21" s="647">
        <f>SUMIFS('collpy (2)'!$G$94:$G$3676,'collpy (2)'!$C$94:$C$3676,FinView!A21,'collpy (2)'!$A$94:$A$3676,FinView!$K$4)</f>
        <v>0</v>
      </c>
      <c r="M21" s="646">
        <f>SUMIFS('collpy (2)'!$F$94:$F$3676,'collpy (2)'!$C$94:$C$3676,FinView!A21,'collpy (2)'!$A$94:$A$3676,FinView!$M$4)</f>
        <v>0</v>
      </c>
      <c r="N21" s="647">
        <f>SUMIFS('collpy (2)'!$G$94:$G$3676,'collpy (2)'!$C$94:$C$3676,FinView!A21,'collpy (2)'!$A$94:$A$3676,FinView!$M$4)</f>
        <v>0</v>
      </c>
      <c r="O21" s="646">
        <f>SUMIFS('collpy (2)'!$F$94:$F$3676,'collpy (2)'!$C$94:$C$3676,FinView!A21,'collpy (2)'!$A$94:$A$3676,FinView!$O$4)</f>
        <v>1166.5500000000002</v>
      </c>
      <c r="P21" s="647">
        <f>SUMIFS('collpy (2)'!$G$94:$G$3676,'collpy (2)'!$C$94:$C$3676,FinView!A21,'collpy (2)'!$A$94:$A$3676,FinView!$O$4)</f>
        <v>0</v>
      </c>
      <c r="Q21" s="646">
        <f>SUMIFS('collpy (2)'!$F$94:$F$3676,'collpy (2)'!$C$94:$C$3676,FinView!A21,'collpy (2)'!$A$94:$A$3676,FinView!$Q$4)</f>
        <v>0</v>
      </c>
      <c r="R21" s="647">
        <f>SUMIFS('collpy (2)'!$G$94:$G$3676,'collpy (2)'!$C$94:$C$3676,FinView!A21,'collpy (2)'!$A$94:$A$3676,FinView!$Q$4)</f>
        <v>0</v>
      </c>
      <c r="S21" s="646">
        <f>SUMIFS('collpy (2)'!$F$94:$F$3676,'collpy (2)'!$C$94:$C$3676,FinView!A21,'collpy (2)'!$A$94:$A$3676,FinView!$S$4)</f>
        <v>660</v>
      </c>
      <c r="T21" s="647">
        <f>SUMIFS('collpy (2)'!$G$94:$G$3676,'collpy (2)'!$C$94:$C$3676,FinView!A21,'collpy (2)'!$A$94:$A$3676,FinView!$S$4)</f>
        <v>0</v>
      </c>
      <c r="U21" s="646">
        <f>SUMIFS('collpy (2)'!$F$94:$F$3676,'collpy (2)'!$C$94:$C$3676,FinView!A21,'collpy (2)'!$A$94:$A$3676,FinView!$U$4)</f>
        <v>284.76</v>
      </c>
      <c r="V21" s="647">
        <f>SUMIFS('collpy (2)'!$G$94:$G$3676,'collpy (2)'!$C$94:$C$3676,FinView!A21,'collpy (2)'!$A$94:$A$3676,FinView!$U$4)</f>
        <v>0</v>
      </c>
      <c r="W21" s="449"/>
      <c r="X21" s="450"/>
      <c r="Y21" s="450"/>
      <c r="Z21" s="450"/>
      <c r="AA21" s="450"/>
      <c r="AB21" s="450"/>
      <c r="AC21" s="450"/>
      <c r="AD21" s="450"/>
      <c r="AE21" s="450"/>
      <c r="AF21" s="450"/>
      <c r="AG21" s="898"/>
      <c r="AH21" s="898"/>
      <c r="AI21" s="898"/>
      <c r="AJ21" s="898"/>
      <c r="AK21" s="898"/>
      <c r="AL21" s="898"/>
      <c r="AM21" s="898"/>
    </row>
    <row r="22" spans="1:39" s="2" customFormat="1" ht="23.25">
      <c r="A22" s="656">
        <v>1550</v>
      </c>
      <c r="B22" s="648" t="s">
        <v>54</v>
      </c>
      <c r="C22" s="654">
        <f t="shared" si="1"/>
        <v>392800</v>
      </c>
      <c r="D22" s="654"/>
      <c r="E22" s="660">
        <f t="shared" si="2"/>
        <v>392800</v>
      </c>
      <c r="F22" s="661">
        <f t="shared" si="3"/>
        <v>0</v>
      </c>
      <c r="G22" s="660">
        <f>SUMIFS('collpy (2)'!$F$11:$F$11319,'collpy (2)'!$B$11:$B$11319,"&lt;1/6/2024",'collpy (2)'!$C$11:$C$11319,FinView!A22)</f>
        <v>392800</v>
      </c>
      <c r="H22" s="661">
        <f>SUMIFS('collpy (2)'!$G$11:$G$11319,'collpy (2)'!$B$11:$B$11319,"&lt;1/6/2024",'collpy (2)'!$C$11:$C$11319,FinView!A22)</f>
        <v>0</v>
      </c>
      <c r="I22" s="660">
        <f t="shared" si="9"/>
        <v>0</v>
      </c>
      <c r="J22" s="661">
        <f t="shared" si="10"/>
        <v>0</v>
      </c>
      <c r="K22" s="646">
        <f>SUMIFS('collpy (2)'!$F$94:$F$3676,'collpy (2)'!$C$94:$C$3676,FinView!A22,'collpy (2)'!$A$94:$A$3676,FinView!$K$4)</f>
        <v>0</v>
      </c>
      <c r="L22" s="647">
        <f>SUMIFS('collpy (2)'!$G$94:$G$3676,'collpy (2)'!$C$94:$C$3676,FinView!A22,'collpy (2)'!$A$94:$A$3676,FinView!$K$4)</f>
        <v>0</v>
      </c>
      <c r="M22" s="646">
        <f>SUMIFS('collpy (2)'!$F$94:$F$3676,'collpy (2)'!$C$94:$C$3676,FinView!A22,'collpy (2)'!$A$94:$A$3676,FinView!$M$4)</f>
        <v>0</v>
      </c>
      <c r="N22" s="647">
        <f>SUMIFS('collpy (2)'!$G$94:$G$3676,'collpy (2)'!$C$94:$C$3676,FinView!A22,'collpy (2)'!$A$94:$A$3676,FinView!$M$4)</f>
        <v>0</v>
      </c>
      <c r="O22" s="646">
        <f>SUMIFS('collpy (2)'!$F$94:$F$3676,'collpy (2)'!$C$94:$C$3676,FinView!A22,'collpy (2)'!$A$94:$A$3676,FinView!$O$4)</f>
        <v>0</v>
      </c>
      <c r="P22" s="647">
        <f>SUMIFS('collpy (2)'!$G$94:$G$3676,'collpy (2)'!$C$94:$C$3676,FinView!A22,'collpy (2)'!$A$94:$A$3676,FinView!$O$4)</f>
        <v>0</v>
      </c>
      <c r="Q22" s="646">
        <f>SUMIFS('collpy (2)'!$F$94:$F$3676,'collpy (2)'!$C$94:$C$3676,FinView!A22,'collpy (2)'!$A$94:$A$3676,FinView!$Q$4)</f>
        <v>0</v>
      </c>
      <c r="R22" s="647">
        <f>SUMIFS('collpy (2)'!$G$94:$G$3676,'collpy (2)'!$C$94:$C$3676,FinView!A22,'collpy (2)'!$A$94:$A$3676,FinView!$Q$4)</f>
        <v>0</v>
      </c>
      <c r="S22" s="646">
        <f>SUMIFS('collpy (2)'!$F$94:$F$3676,'collpy (2)'!$C$94:$C$3676,FinView!A22,'collpy (2)'!$A$94:$A$3676,FinView!$S$4)</f>
        <v>0</v>
      </c>
      <c r="T22" s="647">
        <f>SUMIFS('collpy (2)'!$G$94:$G$3676,'collpy (2)'!$C$94:$C$3676,FinView!A22,'collpy (2)'!$A$94:$A$3676,FinView!$S$4)</f>
        <v>0</v>
      </c>
      <c r="U22" s="646">
        <f>SUMIFS('collpy (2)'!$F$94:$F$3676,'collpy (2)'!$C$94:$C$3676,FinView!A22,'collpy (2)'!$A$94:$A$3676,FinView!$U$4)</f>
        <v>0</v>
      </c>
      <c r="V22" s="647">
        <f>SUMIFS('collpy (2)'!$G$94:$G$3676,'collpy (2)'!$C$94:$C$3676,FinView!A22,'collpy (2)'!$A$94:$A$3676,FinView!$U$4)</f>
        <v>0</v>
      </c>
      <c r="W22" s="449"/>
      <c r="X22" s="450"/>
      <c r="Y22" s="450"/>
      <c r="Z22" s="450"/>
      <c r="AA22" s="450"/>
      <c r="AB22" s="450"/>
      <c r="AC22" s="450"/>
      <c r="AD22" s="450"/>
      <c r="AE22" s="450"/>
      <c r="AF22" s="450"/>
      <c r="AG22" s="898"/>
      <c r="AH22" s="898"/>
      <c r="AI22" s="898"/>
      <c r="AJ22" s="898"/>
      <c r="AK22" s="898"/>
      <c r="AL22" s="898"/>
      <c r="AM22" s="898"/>
    </row>
    <row r="23" spans="1:39" s="2" customFormat="1" ht="23.25">
      <c r="A23" s="656">
        <v>1600</v>
      </c>
      <c r="B23" s="648" t="s">
        <v>55</v>
      </c>
      <c r="C23" s="654">
        <f t="shared" si="1"/>
        <v>6926</v>
      </c>
      <c r="D23" s="654"/>
      <c r="E23" s="660">
        <f t="shared" si="2"/>
        <v>6926</v>
      </c>
      <c r="F23" s="661">
        <f t="shared" si="3"/>
        <v>0</v>
      </c>
      <c r="G23" s="660">
        <f>SUMIFS('collpy (2)'!$F$11:$F$11319,'collpy (2)'!$B$11:$B$11319,"&lt;1/6/2024",'collpy (2)'!$C$11:$C$11319,FinView!A23)</f>
        <v>6926</v>
      </c>
      <c r="H23" s="661">
        <f>SUMIFS('collpy (2)'!$G$11:$G$11319,'collpy (2)'!$B$11:$B$11319,"&lt;1/6/2024",'collpy (2)'!$C$11:$C$11319,FinView!A23)</f>
        <v>0</v>
      </c>
      <c r="I23" s="660">
        <f t="shared" si="9"/>
        <v>0</v>
      </c>
      <c r="J23" s="661">
        <f t="shared" si="10"/>
        <v>0</v>
      </c>
      <c r="K23" s="646">
        <f>SUMIFS('collpy (2)'!$F$94:$F$3676,'collpy (2)'!$C$94:$C$3676,FinView!A23,'collpy (2)'!$A$94:$A$3676,FinView!$K$4)</f>
        <v>0</v>
      </c>
      <c r="L23" s="647">
        <f>SUMIFS('collpy (2)'!$G$94:$G$3676,'collpy (2)'!$C$94:$C$3676,FinView!A23,'collpy (2)'!$A$94:$A$3676,FinView!$K$4)</f>
        <v>0</v>
      </c>
      <c r="M23" s="646">
        <f>SUMIFS('collpy (2)'!$F$94:$F$3676,'collpy (2)'!$C$94:$C$3676,FinView!A23,'collpy (2)'!$A$94:$A$3676,FinView!$M$4)</f>
        <v>0</v>
      </c>
      <c r="N23" s="647">
        <f>SUMIFS('collpy (2)'!$G$94:$G$3676,'collpy (2)'!$C$94:$C$3676,FinView!A23,'collpy (2)'!$A$94:$A$3676,FinView!$M$4)</f>
        <v>0</v>
      </c>
      <c r="O23" s="646">
        <f>SUMIFS('collpy (2)'!$F$94:$F$3676,'collpy (2)'!$C$94:$C$3676,FinView!A23,'collpy (2)'!$A$94:$A$3676,FinView!$O$4)</f>
        <v>0</v>
      </c>
      <c r="P23" s="647">
        <f>SUMIFS('collpy (2)'!$G$94:$G$3676,'collpy (2)'!$C$94:$C$3676,FinView!A23,'collpy (2)'!$A$94:$A$3676,FinView!$O$4)</f>
        <v>0</v>
      </c>
      <c r="Q23" s="646">
        <f>SUMIFS('collpy (2)'!$F$94:$F$3676,'collpy (2)'!$C$94:$C$3676,FinView!A23,'collpy (2)'!$A$94:$A$3676,FinView!$Q$4)</f>
        <v>0</v>
      </c>
      <c r="R23" s="647">
        <f>SUMIFS('collpy (2)'!$G$94:$G$3676,'collpy (2)'!$C$94:$C$3676,FinView!A23,'collpy (2)'!$A$94:$A$3676,FinView!$Q$4)</f>
        <v>0</v>
      </c>
      <c r="S23" s="646">
        <f>SUMIFS('collpy (2)'!$F$94:$F$3676,'collpy (2)'!$C$94:$C$3676,FinView!A23,'collpy (2)'!$A$94:$A$3676,FinView!$S$4)</f>
        <v>0</v>
      </c>
      <c r="T23" s="647">
        <f>SUMIFS('collpy (2)'!$G$94:$G$3676,'collpy (2)'!$C$94:$C$3676,FinView!A23,'collpy (2)'!$A$94:$A$3676,FinView!$S$4)</f>
        <v>0</v>
      </c>
      <c r="U23" s="646">
        <f>SUMIFS('collpy (2)'!$F$94:$F$3676,'collpy (2)'!$C$94:$C$3676,FinView!A23,'collpy (2)'!$A$94:$A$3676,FinView!$U$4)</f>
        <v>0</v>
      </c>
      <c r="V23" s="647">
        <f>SUMIFS('collpy (2)'!$G$94:$G$3676,'collpy (2)'!$C$94:$C$3676,FinView!A23,'collpy (2)'!$A$94:$A$3676,FinView!$U$4)</f>
        <v>0</v>
      </c>
      <c r="W23" s="449"/>
      <c r="X23" s="450"/>
      <c r="Y23" s="450"/>
      <c r="Z23" s="450"/>
      <c r="AA23" s="450"/>
      <c r="AB23" s="450"/>
      <c r="AC23" s="450"/>
      <c r="AD23" s="450"/>
      <c r="AE23" s="450"/>
      <c r="AF23" s="450"/>
      <c r="AG23" s="898"/>
      <c r="AH23" s="898"/>
      <c r="AI23" s="898"/>
      <c r="AJ23" s="898"/>
      <c r="AK23" s="898"/>
      <c r="AL23" s="898"/>
      <c r="AM23" s="898"/>
    </row>
    <row r="24" spans="1:39" s="2" customFormat="1" ht="23.25">
      <c r="A24" s="656">
        <v>1900</v>
      </c>
      <c r="B24" s="648" t="s">
        <v>56</v>
      </c>
      <c r="C24" s="654">
        <f t="shared" si="1"/>
        <v>-191000</v>
      </c>
      <c r="D24" s="654"/>
      <c r="E24" s="660">
        <f t="shared" si="2"/>
        <v>0</v>
      </c>
      <c r="F24" s="661">
        <f t="shared" si="3"/>
        <v>191000</v>
      </c>
      <c r="G24" s="660">
        <f>SUMIFS('collpy (2)'!$F$11:$F$11319,'collpy (2)'!$B$11:$B$11319,"&lt;1/6/2024",'collpy (2)'!$C$11:$C$11319,FinView!A24)</f>
        <v>0</v>
      </c>
      <c r="H24" s="661">
        <f>SUMIFS('collpy (2)'!$G$11:$G$11319,'collpy (2)'!$B$11:$B$11319,"&lt;1/6/2024",'collpy (2)'!$C$11:$C$11319,FinView!A24)</f>
        <v>191000</v>
      </c>
      <c r="I24" s="660">
        <f t="shared" si="9"/>
        <v>0</v>
      </c>
      <c r="J24" s="661">
        <f t="shared" si="10"/>
        <v>0</v>
      </c>
      <c r="K24" s="646">
        <f>SUMIFS('collpy (2)'!$F$94:$F$3676,'collpy (2)'!$C$94:$C$3676,FinView!A24,'collpy (2)'!$A$94:$A$3676,FinView!$K$4)</f>
        <v>0</v>
      </c>
      <c r="L24" s="647">
        <f>SUMIFS('collpy (2)'!$G$94:$G$3676,'collpy (2)'!$C$94:$C$3676,FinView!A24,'collpy (2)'!$A$94:$A$3676,FinView!$K$4)</f>
        <v>0</v>
      </c>
      <c r="M24" s="646">
        <f>SUMIFS('collpy (2)'!$F$94:$F$3676,'collpy (2)'!$C$94:$C$3676,FinView!A24,'collpy (2)'!$A$94:$A$3676,FinView!$M$4)</f>
        <v>0</v>
      </c>
      <c r="N24" s="647">
        <f>SUMIFS('collpy (2)'!$G$94:$G$3676,'collpy (2)'!$C$94:$C$3676,FinView!A24,'collpy (2)'!$A$94:$A$3676,FinView!$M$4)</f>
        <v>0</v>
      </c>
      <c r="O24" s="646">
        <f>SUMIFS('collpy (2)'!$F$94:$F$3676,'collpy (2)'!$C$94:$C$3676,FinView!A24,'collpy (2)'!$A$94:$A$3676,FinView!$O$4)</f>
        <v>0</v>
      </c>
      <c r="P24" s="647">
        <f>SUMIFS('collpy (2)'!$G$94:$G$3676,'collpy (2)'!$C$94:$C$3676,FinView!A24,'collpy (2)'!$A$94:$A$3676,FinView!$O$4)</f>
        <v>0</v>
      </c>
      <c r="Q24" s="646">
        <f>SUMIFS('collpy (2)'!$F$94:$F$3676,'collpy (2)'!$C$94:$C$3676,FinView!A24,'collpy (2)'!$A$94:$A$3676,FinView!$Q$4)</f>
        <v>0</v>
      </c>
      <c r="R24" s="647">
        <f>SUMIFS('collpy (2)'!$G$94:$G$3676,'collpy (2)'!$C$94:$C$3676,FinView!A24,'collpy (2)'!$A$94:$A$3676,FinView!$Q$4)</f>
        <v>0</v>
      </c>
      <c r="S24" s="646">
        <f>SUMIFS('collpy (2)'!$F$94:$F$3676,'collpy (2)'!$C$94:$C$3676,FinView!A24,'collpy (2)'!$A$94:$A$3676,FinView!$S$4)</f>
        <v>0</v>
      </c>
      <c r="T24" s="647">
        <f>SUMIFS('collpy (2)'!$G$94:$G$3676,'collpy (2)'!$C$94:$C$3676,FinView!A24,'collpy (2)'!$A$94:$A$3676,FinView!$S$4)</f>
        <v>0</v>
      </c>
      <c r="U24" s="646">
        <f>SUMIFS('collpy (2)'!$F$94:$F$3676,'collpy (2)'!$C$94:$C$3676,FinView!A24,'collpy (2)'!$A$94:$A$3676,FinView!$U$4)</f>
        <v>0</v>
      </c>
      <c r="V24" s="647">
        <f>SUMIFS('collpy (2)'!$G$94:$G$3676,'collpy (2)'!$C$94:$C$3676,FinView!A24,'collpy (2)'!$A$94:$A$3676,FinView!$U$4)</f>
        <v>0</v>
      </c>
      <c r="W24" s="449"/>
      <c r="X24" s="450"/>
      <c r="Y24" s="450"/>
      <c r="Z24" s="450"/>
      <c r="AA24" s="450"/>
      <c r="AB24" s="450"/>
      <c r="AC24" s="450"/>
      <c r="AD24" s="450"/>
      <c r="AE24" s="450"/>
      <c r="AF24" s="450"/>
      <c r="AG24" s="898"/>
      <c r="AH24" s="898"/>
      <c r="AI24" s="898"/>
      <c r="AJ24" s="898"/>
      <c r="AK24" s="898"/>
      <c r="AL24" s="898"/>
      <c r="AM24" s="898"/>
    </row>
    <row r="25" spans="1:39" s="2" customFormat="1" ht="23.25">
      <c r="A25" s="1847" t="s">
        <v>5820</v>
      </c>
      <c r="B25" s="1847"/>
      <c r="C25" s="1849">
        <f>SUM(D27:D28)</f>
        <v>236473</v>
      </c>
      <c r="D25" s="1651"/>
      <c r="E25" s="658"/>
      <c r="F25" s="658"/>
      <c r="G25" s="658"/>
      <c r="H25" s="658"/>
      <c r="I25" s="658"/>
      <c r="J25" s="659"/>
      <c r="K25" s="658"/>
      <c r="L25" s="659"/>
      <c r="M25" s="658"/>
      <c r="N25" s="659"/>
      <c r="O25" s="658"/>
      <c r="P25" s="659"/>
      <c r="Q25" s="658"/>
      <c r="R25" s="659"/>
      <c r="S25" s="658"/>
      <c r="T25" s="659"/>
      <c r="U25" s="658"/>
      <c r="V25" s="659"/>
      <c r="W25" s="449"/>
      <c r="X25" s="450"/>
      <c r="Y25" s="450"/>
      <c r="Z25" s="450"/>
      <c r="AA25" s="450"/>
      <c r="AB25" s="450"/>
      <c r="AC25" s="450"/>
      <c r="AD25" s="450"/>
      <c r="AE25" s="450"/>
      <c r="AF25" s="450"/>
      <c r="AG25" s="898"/>
      <c r="AH25" s="898"/>
      <c r="AI25" s="898"/>
      <c r="AJ25" s="898"/>
      <c r="AK25" s="898"/>
      <c r="AL25" s="898"/>
      <c r="AM25" s="898"/>
    </row>
    <row r="26" spans="1:39" s="2" customFormat="1" ht="23.25">
      <c r="A26" s="1848"/>
      <c r="B26" s="1848"/>
      <c r="C26" s="1849"/>
      <c r="D26" s="1651"/>
      <c r="E26" s="658"/>
      <c r="F26" s="658"/>
      <c r="G26" s="658"/>
      <c r="H26" s="658"/>
      <c r="I26" s="658"/>
      <c r="J26" s="659"/>
      <c r="K26" s="658"/>
      <c r="L26" s="659"/>
      <c r="M26" s="658"/>
      <c r="N26" s="659"/>
      <c r="O26" s="658"/>
      <c r="P26" s="659"/>
      <c r="Q26" s="658"/>
      <c r="R26" s="659"/>
      <c r="S26" s="658"/>
      <c r="T26" s="659"/>
      <c r="U26" s="658"/>
      <c r="V26" s="659"/>
      <c r="W26" s="449"/>
      <c r="X26" s="450"/>
      <c r="Y26" s="450"/>
      <c r="Z26" s="450"/>
      <c r="AA26" s="450"/>
      <c r="AB26" s="450"/>
      <c r="AC26" s="450"/>
      <c r="AD26" s="450"/>
      <c r="AE26" s="450"/>
      <c r="AF26" s="450"/>
      <c r="AG26" s="898"/>
      <c r="AH26" s="898"/>
      <c r="AI26" s="898"/>
      <c r="AJ26" s="898"/>
      <c r="AK26" s="898"/>
      <c r="AL26" s="898"/>
      <c r="AM26" s="898"/>
    </row>
    <row r="27" spans="1:39" s="2" customFormat="1" ht="23.25">
      <c r="A27" s="656">
        <v>2370</v>
      </c>
      <c r="B27" s="648" t="s">
        <v>5834</v>
      </c>
      <c r="C27" s="654"/>
      <c r="D27" s="654">
        <f>(H27+J27) - (G27+I27)</f>
        <v>236473</v>
      </c>
      <c r="E27" s="660">
        <f t="shared" ref="E27" si="11">G27+I27</f>
        <v>53964</v>
      </c>
      <c r="F27" s="661">
        <f t="shared" ref="F27" si="12">H27+J27</f>
        <v>290437</v>
      </c>
      <c r="G27" s="660">
        <f>SUMIFS('collpy (2)'!$F$11:$F$11319,'collpy (2)'!$B$11:$B$11319,"&lt;1/6/2024",'collpy (2)'!$C$11:$C$11319,FinView!A27)</f>
        <v>0</v>
      </c>
      <c r="H27" s="661">
        <f>SUMIFS('collpy (2)'!$G$11:$G$11319,'collpy (2)'!$B$11:$B$11319,"&lt;1/6/2024",'collpy (2)'!$C$11:$C$11319,FinView!A27)</f>
        <v>0</v>
      </c>
      <c r="I27" s="660">
        <f t="shared" ref="I27" si="13">K27+M27+O27+Q27+S27+U27</f>
        <v>53964</v>
      </c>
      <c r="J27" s="661">
        <f t="shared" ref="J27" si="14">L27+N27+P27+R27+T27+V27</f>
        <v>290437</v>
      </c>
      <c r="K27" s="646">
        <f>SUMIFS('collpy (2)'!$F$94:$F$3676,'collpy (2)'!$C$94:$C$3676,FinView!A27,'collpy (2)'!$A$94:$A$3676,FinView!$K$4)</f>
        <v>0</v>
      </c>
      <c r="L27" s="647">
        <f>SUMIFS('collpy (2)'!$G$94:$G$3676,'collpy (2)'!$C$94:$C$3676,FinView!A27,'collpy (2)'!$A$94:$A$3676,FinView!$K$4)</f>
        <v>0</v>
      </c>
      <c r="M27" s="646">
        <f>SUMIFS('collpy (2)'!$F$94:$F$3676,'collpy (2)'!$C$94:$C$3676,FinView!A27,'collpy (2)'!$A$94:$A$3676,FinView!$M$4)</f>
        <v>0</v>
      </c>
      <c r="N27" s="647">
        <f>SUMIFS('collpy (2)'!$G$94:$G$3676,'collpy (2)'!$C$94:$C$3676,FinView!A27,'collpy (2)'!$A$94:$A$3676,FinView!$M$4)</f>
        <v>52152</v>
      </c>
      <c r="O27" s="646">
        <f>SUMIFS('collpy (2)'!$F$94:$F$3676,'collpy (2)'!$C$94:$C$3676,FinView!A27,'collpy (2)'!$A$94:$A$3676,FinView!$O$4)</f>
        <v>8167</v>
      </c>
      <c r="P27" s="647">
        <f>SUMIFS('collpy (2)'!$G$94:$G$3676,'collpy (2)'!$C$94:$C$3676,FinView!A27,'collpy (2)'!$A$94:$A$3676,FinView!$O$4)</f>
        <v>0</v>
      </c>
      <c r="Q27" s="646">
        <f>SUMIFS('collpy (2)'!$F$94:$F$3676,'collpy (2)'!$C$94:$C$3676,FinView!A27,'collpy (2)'!$A$94:$A$3676,FinView!$Q$4)</f>
        <v>1575</v>
      </c>
      <c r="R27" s="647">
        <f>SUMIFS('collpy (2)'!$G$94:$G$3676,'collpy (2)'!$C$94:$C$3676,FinView!A27,'collpy (2)'!$A$94:$A$3676,FinView!$Q$4)</f>
        <v>105920</v>
      </c>
      <c r="S27" s="646">
        <f>SUMIFS('collpy (2)'!$F$94:$F$3676,'collpy (2)'!$C$94:$C$3676,FinView!A27,'collpy (2)'!$A$94:$A$3676,FinView!$S$4)</f>
        <v>36222</v>
      </c>
      <c r="T27" s="647">
        <f>SUMIFS('collpy (2)'!$G$94:$G$3676,'collpy (2)'!$C$94:$C$3676,FinView!A27,'collpy (2)'!$A$94:$A$3676,FinView!$S$4)</f>
        <v>0</v>
      </c>
      <c r="U27" s="646">
        <f>SUMIFS('collpy (2)'!$F$94:$F$3676,'collpy (2)'!$C$94:$C$3676,FinView!A27,'collpy (2)'!$A$94:$A$3676,FinView!$U$4)</f>
        <v>8000</v>
      </c>
      <c r="V27" s="647">
        <f>SUMIFS('collpy (2)'!$G$94:$G$3676,'collpy (2)'!$C$94:$C$3676,FinView!A27,'collpy (2)'!$A$94:$A$3676,FinView!$U$4)</f>
        <v>132365</v>
      </c>
      <c r="W27" s="449"/>
      <c r="X27" s="450"/>
      <c r="Y27" s="450"/>
      <c r="Z27" s="450"/>
      <c r="AA27" s="450"/>
      <c r="AB27" s="450"/>
      <c r="AC27" s="450"/>
      <c r="AD27" s="450"/>
      <c r="AE27" s="450"/>
      <c r="AF27" s="450"/>
      <c r="AG27" s="898"/>
      <c r="AH27" s="898"/>
      <c r="AI27" s="898"/>
      <c r="AJ27" s="898"/>
      <c r="AK27" s="898"/>
      <c r="AL27" s="898"/>
      <c r="AM27" s="898"/>
    </row>
    <row r="28" spans="1:39" s="2" customFormat="1" ht="23.25">
      <c r="A28" s="656"/>
      <c r="B28" s="648"/>
      <c r="C28" s="654"/>
      <c r="D28" s="654"/>
      <c r="E28" s="660"/>
      <c r="F28" s="661"/>
      <c r="G28" s="660"/>
      <c r="H28" s="661"/>
      <c r="I28" s="660"/>
      <c r="J28" s="661"/>
      <c r="K28" s="646"/>
      <c r="L28" s="647"/>
      <c r="M28" s="646"/>
      <c r="N28" s="647"/>
      <c r="O28" s="646"/>
      <c r="P28" s="647"/>
      <c r="Q28" s="646"/>
      <c r="R28" s="647"/>
      <c r="S28" s="646"/>
      <c r="T28" s="647"/>
      <c r="U28" s="646"/>
      <c r="V28" s="647"/>
      <c r="W28" s="449"/>
      <c r="X28" s="450"/>
      <c r="Y28" s="450"/>
      <c r="Z28" s="450"/>
      <c r="AA28" s="450"/>
      <c r="AB28" s="450"/>
      <c r="AC28" s="450"/>
      <c r="AD28" s="450"/>
      <c r="AE28" s="450"/>
      <c r="AF28" s="450"/>
      <c r="AG28" s="898"/>
      <c r="AH28" s="898"/>
      <c r="AI28" s="898"/>
      <c r="AJ28" s="898"/>
      <c r="AK28" s="898"/>
      <c r="AL28" s="898"/>
      <c r="AM28" s="898"/>
    </row>
    <row r="29" spans="1:39" s="2" customFormat="1" ht="23.25">
      <c r="A29" s="1847" t="s">
        <v>1533</v>
      </c>
      <c r="B29" s="1847"/>
      <c r="C29" s="1849">
        <f>SUM(D31:D34)</f>
        <v>5411209.7999999998</v>
      </c>
      <c r="D29" s="895"/>
      <c r="E29" s="658"/>
      <c r="F29" s="658"/>
      <c r="G29" s="658"/>
      <c r="H29" s="658"/>
      <c r="I29" s="658"/>
      <c r="J29" s="659"/>
      <c r="K29" s="658"/>
      <c r="L29" s="659"/>
      <c r="M29" s="658"/>
      <c r="N29" s="659"/>
      <c r="O29" s="658"/>
      <c r="P29" s="659"/>
      <c r="Q29" s="658"/>
      <c r="R29" s="659"/>
      <c r="S29" s="658"/>
      <c r="T29" s="659"/>
      <c r="U29" s="658"/>
      <c r="V29" s="659"/>
      <c r="W29" s="449"/>
      <c r="X29" s="450"/>
      <c r="Y29" s="450"/>
      <c r="Z29" s="450"/>
      <c r="AA29" s="450"/>
      <c r="AB29" s="450"/>
      <c r="AC29" s="450"/>
      <c r="AD29" s="450"/>
      <c r="AE29" s="450"/>
      <c r="AF29" s="450"/>
      <c r="AG29" s="898"/>
      <c r="AH29" s="898"/>
      <c r="AI29" s="898"/>
      <c r="AJ29" s="898"/>
      <c r="AK29" s="898"/>
      <c r="AL29" s="898"/>
      <c r="AM29" s="898"/>
    </row>
    <row r="30" spans="1:39" s="2" customFormat="1" ht="23.25">
      <c r="A30" s="1848"/>
      <c r="B30" s="1848"/>
      <c r="C30" s="1849"/>
      <c r="D30" s="895"/>
      <c r="E30" s="658"/>
      <c r="F30" s="658"/>
      <c r="G30" s="658"/>
      <c r="H30" s="658"/>
      <c r="I30" s="658"/>
      <c r="J30" s="659"/>
      <c r="K30" s="658"/>
      <c r="L30" s="659"/>
      <c r="M30" s="658"/>
      <c r="N30" s="659"/>
      <c r="O30" s="658"/>
      <c r="P30" s="659"/>
      <c r="Q30" s="658"/>
      <c r="R30" s="659"/>
      <c r="S30" s="658"/>
      <c r="T30" s="659"/>
      <c r="U30" s="658"/>
      <c r="V30" s="659"/>
      <c r="W30" s="449"/>
      <c r="X30" s="450"/>
      <c r="Y30" s="450"/>
      <c r="Z30" s="450"/>
      <c r="AA30" s="450"/>
      <c r="AB30" s="450"/>
      <c r="AC30" s="450"/>
      <c r="AD30" s="450"/>
      <c r="AE30" s="450"/>
      <c r="AF30" s="450"/>
      <c r="AG30" s="898"/>
      <c r="AH30" s="898"/>
      <c r="AI30" s="898"/>
      <c r="AJ30" s="898"/>
      <c r="AK30" s="898"/>
      <c r="AL30" s="898"/>
      <c r="AM30" s="898"/>
    </row>
    <row r="31" spans="1:39" s="2" customFormat="1" ht="23.25">
      <c r="A31" s="657">
        <v>4000</v>
      </c>
      <c r="B31" s="648" t="str">
        <f>VLOOKUP(A31,Mychart!$A$6:$B$518,2,FALSE)</f>
        <v>Projects Income</v>
      </c>
      <c r="C31" s="654"/>
      <c r="D31" s="654">
        <f>(H31+J31) - (G31+I31)</f>
        <v>5374374.7999999998</v>
      </c>
      <c r="E31" s="660">
        <f t="shared" ref="E31:E86" si="15">G31+I31</f>
        <v>0</v>
      </c>
      <c r="F31" s="661">
        <f t="shared" ref="F31:F86" si="16">H31+J31</f>
        <v>5374374.7999999998</v>
      </c>
      <c r="G31" s="660">
        <f>SUMIFS('collpy (2)'!$F$11:$F$11319,'collpy (2)'!$B$11:$B$11319,"&lt;1/6/2024",'collpy (2)'!$C$11:$C$11319,FinView!A31)</f>
        <v>0</v>
      </c>
      <c r="H31" s="661">
        <f>SUMIFS('collpy (2)'!$G$11:$G$11319,'collpy (2)'!$B$11:$B$11319,"&lt;1/6/2024",'collpy (2)'!$C$11:$C$11319,FinView!A31)</f>
        <v>2961203.57</v>
      </c>
      <c r="I31" s="660">
        <f t="shared" ref="I31" si="17">K31+M31+O31+Q31+S31+U31</f>
        <v>0</v>
      </c>
      <c r="J31" s="661">
        <f t="shared" ref="J31" si="18">L31+N31+P31+R31+T31+V31</f>
        <v>2413171.23</v>
      </c>
      <c r="K31" s="646">
        <f>SUMIFS('collpy (2)'!$F$94:$F$3676,'collpy (2)'!$C$94:$C$3676,FinView!A31,'collpy (2)'!$A$94:$A$3676,FinView!$K$4)</f>
        <v>0</v>
      </c>
      <c r="L31" s="647">
        <f>SUMIFS('collpy (2)'!$G$94:$G$3676,'collpy (2)'!$C$94:$C$3676,FinView!A31,'collpy (2)'!$A$94:$A$3676,FinView!$K$4)</f>
        <v>46081</v>
      </c>
      <c r="M31" s="646">
        <f>SUMIFS('collpy (2)'!$F$94:$F$3676,'collpy (2)'!$C$94:$C$3676,FinView!A31,'collpy (2)'!$A$94:$A$3676,FinView!$M$4)</f>
        <v>0</v>
      </c>
      <c r="N31" s="647">
        <f>SUMIFS('collpy (2)'!$G$94:$G$3676,'collpy (2)'!$C$94:$C$3676,FinView!A31,'collpy (2)'!$A$94:$A$3676,FinView!$M$4)</f>
        <v>511244.5</v>
      </c>
      <c r="O31" s="646">
        <f>SUMIFS('collpy (2)'!$F$94:$F$3676,'collpy (2)'!$C$94:$C$3676,FinView!A31,'collpy (2)'!$A$94:$A$3676,FinView!$O$4)</f>
        <v>0</v>
      </c>
      <c r="P31" s="647">
        <f>SUMIFS('collpy (2)'!$G$94:$G$3676,'collpy (2)'!$C$94:$C$3676,FinView!A31,'collpy (2)'!$A$94:$A$3676,FinView!$O$4)</f>
        <v>332000.8</v>
      </c>
      <c r="Q31" s="646">
        <f>SUMIFS('collpy (2)'!$F$94:$F$3676,'collpy (2)'!$C$94:$C$3676,FinView!A31,'collpy (2)'!$A$94:$A$3676,FinView!$Q$4)</f>
        <v>0</v>
      </c>
      <c r="R31" s="647">
        <f>SUMIFS('collpy (2)'!$G$94:$G$3676,'collpy (2)'!$C$94:$C$3676,FinView!A31,'collpy (2)'!$A$94:$A$3676,FinView!$Q$4)</f>
        <v>130796</v>
      </c>
      <c r="S31" s="646">
        <f>SUMIFS('collpy (2)'!$F$94:$F$3676,'collpy (2)'!$C$94:$C$3676,FinView!A31,'collpy (2)'!$A$94:$A$3676,FinView!$S$4)</f>
        <v>0</v>
      </c>
      <c r="T31" s="647">
        <f>SUMIFS('collpy (2)'!$G$94:$G$3676,'collpy (2)'!$C$94:$C$3676,FinView!A31,'collpy (2)'!$A$94:$A$3676,FinView!$S$4)</f>
        <v>613122.92999999993</v>
      </c>
      <c r="U31" s="646">
        <f>SUMIFS('collpy (2)'!$F$94:$F$3676,'collpy (2)'!$C$94:$C$3676,FinView!A31,'collpy (2)'!$A$94:$A$3676,FinView!$U$4)</f>
        <v>0</v>
      </c>
      <c r="V31" s="647">
        <f>SUMIFS('collpy (2)'!$G$94:$G$3676,'collpy (2)'!$C$94:$C$3676,FinView!A31,'collpy (2)'!$A$94:$A$3676,FinView!$U$4)</f>
        <v>779926</v>
      </c>
      <c r="W31" s="449"/>
      <c r="X31" s="450"/>
      <c r="Y31" s="450"/>
      <c r="Z31" s="450"/>
      <c r="AA31" s="450"/>
      <c r="AB31" s="450"/>
      <c r="AC31" s="450"/>
      <c r="AD31" s="450"/>
      <c r="AE31" s="450"/>
      <c r="AF31" s="450"/>
      <c r="AG31" s="898"/>
      <c r="AH31" s="898"/>
      <c r="AI31" s="898"/>
      <c r="AJ31" s="898"/>
      <c r="AK31" s="898"/>
      <c r="AL31" s="898"/>
      <c r="AM31" s="898"/>
    </row>
    <row r="32" spans="1:39" s="2" customFormat="1" ht="23.25">
      <c r="A32" s="657">
        <v>4010</v>
      </c>
      <c r="B32" s="648" t="str">
        <f>VLOOKUP(A32,Mychart!$A$6:$B$518,2,FALSE)</f>
        <v>Maintenance Income</v>
      </c>
      <c r="C32" s="654"/>
      <c r="D32" s="654">
        <f>(H32+J32) - (G32+I32)</f>
        <v>33635</v>
      </c>
      <c r="E32" s="660">
        <f t="shared" si="15"/>
        <v>0</v>
      </c>
      <c r="F32" s="661">
        <f t="shared" si="16"/>
        <v>33635</v>
      </c>
      <c r="G32" s="660">
        <f>SUMIFS('collpy (2)'!$F$11:$F$11319,'collpy (2)'!$B$11:$B$11319,"&lt;1/6/2024",'collpy (2)'!$C$11:$C$11319,FinView!A32)</f>
        <v>0</v>
      </c>
      <c r="H32" s="661">
        <f>SUMIFS('collpy (2)'!$G$11:$G$11319,'collpy (2)'!$B$11:$B$11319,"&lt;1/6/2024",'collpy (2)'!$C$11:$C$11319,FinView!A32)</f>
        <v>12300</v>
      </c>
      <c r="I32" s="660">
        <f t="shared" ref="I32:I35" si="19">K32+M32+O32+Q32+S32+U32</f>
        <v>0</v>
      </c>
      <c r="J32" s="661">
        <f t="shared" ref="J32:J35" si="20">L32+N32+P32+R32+T32+V32</f>
        <v>21335</v>
      </c>
      <c r="K32" s="646">
        <f>SUMIFS('collpy (2)'!$F$94:$F$3676,'collpy (2)'!$C$94:$C$3676,FinView!A32,'collpy (2)'!$A$94:$A$3676,FinView!$K$4)</f>
        <v>0</v>
      </c>
      <c r="L32" s="647">
        <f>SUMIFS('collpy (2)'!$G$94:$G$3676,'collpy (2)'!$C$94:$C$3676,FinView!A32,'collpy (2)'!$A$94:$A$3676,FinView!$K$4)</f>
        <v>5000</v>
      </c>
      <c r="M32" s="646">
        <f>SUMIFS('collpy (2)'!$F$94:$F$3676,'collpy (2)'!$C$94:$C$3676,FinView!A32,'collpy (2)'!$A$94:$A$3676,FinView!$M$4)</f>
        <v>0</v>
      </c>
      <c r="N32" s="647">
        <f>SUMIFS('collpy (2)'!$G$94:$G$3676,'collpy (2)'!$C$94:$C$3676,FinView!A32,'collpy (2)'!$A$94:$A$3676,FinView!$M$4)</f>
        <v>2300</v>
      </c>
      <c r="O32" s="646">
        <f>SUMIFS('collpy (2)'!$F$94:$F$3676,'collpy (2)'!$C$94:$C$3676,FinView!A32,'collpy (2)'!$A$94:$A$3676,FinView!$O$4)</f>
        <v>0</v>
      </c>
      <c r="P32" s="647">
        <f>SUMIFS('collpy (2)'!$G$94:$G$3676,'collpy (2)'!$C$94:$C$3676,FinView!A32,'collpy (2)'!$A$94:$A$3676,FinView!$O$4)</f>
        <v>8935</v>
      </c>
      <c r="Q32" s="646">
        <f>SUMIFS('collpy (2)'!$F$94:$F$3676,'collpy (2)'!$C$94:$C$3676,FinView!A32,'collpy (2)'!$A$94:$A$3676,FinView!$Q$4)</f>
        <v>0</v>
      </c>
      <c r="R32" s="647">
        <f>SUMIFS('collpy (2)'!$G$94:$G$3676,'collpy (2)'!$C$94:$C$3676,FinView!A32,'collpy (2)'!$A$94:$A$3676,FinView!$Q$4)</f>
        <v>2600</v>
      </c>
      <c r="S32" s="646">
        <f>SUMIFS('collpy (2)'!$F$94:$F$3676,'collpy (2)'!$C$94:$C$3676,FinView!A32,'collpy (2)'!$A$94:$A$3676,FinView!$S$4)</f>
        <v>0</v>
      </c>
      <c r="T32" s="647">
        <f>SUMIFS('collpy (2)'!$G$94:$G$3676,'collpy (2)'!$C$94:$C$3676,FinView!A32,'collpy (2)'!$A$94:$A$3676,FinView!$S$4)</f>
        <v>0</v>
      </c>
      <c r="U32" s="646">
        <f>SUMIFS('collpy (2)'!$F$94:$F$3676,'collpy (2)'!$C$94:$C$3676,FinView!A32,'collpy (2)'!$A$94:$A$3676,FinView!$U$4)</f>
        <v>0</v>
      </c>
      <c r="V32" s="647">
        <f>SUMIFS('collpy (2)'!$G$94:$G$3676,'collpy (2)'!$C$94:$C$3676,FinView!A32,'collpy (2)'!$A$94:$A$3676,FinView!$U$4)</f>
        <v>2500</v>
      </c>
      <c r="W32" s="449"/>
      <c r="X32" s="450"/>
      <c r="Y32" s="450"/>
      <c r="Z32" s="450"/>
      <c r="AA32" s="450"/>
      <c r="AB32" s="450"/>
      <c r="AC32" s="450"/>
      <c r="AD32" s="450"/>
      <c r="AE32" s="450"/>
      <c r="AF32" s="450"/>
      <c r="AG32" s="898"/>
      <c r="AH32" s="898"/>
      <c r="AI32" s="898"/>
      <c r="AJ32" s="898"/>
      <c r="AK32" s="898"/>
      <c r="AL32" s="898"/>
      <c r="AM32" s="898"/>
    </row>
    <row r="33" spans="1:39" s="2" customFormat="1" ht="23.25">
      <c r="A33" s="649">
        <v>4100</v>
      </c>
      <c r="B33" s="648" t="str">
        <f>VLOOKUP(A33,Mychart!$A$6:$B$518,2,FALSE)</f>
        <v>Interest Income</v>
      </c>
      <c r="C33" s="654"/>
      <c r="D33" s="654">
        <f>(H33+J33) - (G33+I33)</f>
        <v>0</v>
      </c>
      <c r="E33" s="660">
        <f t="shared" si="15"/>
        <v>0</v>
      </c>
      <c r="F33" s="661">
        <f t="shared" si="16"/>
        <v>0</v>
      </c>
      <c r="G33" s="660">
        <f>SUMIFS('collpy (2)'!$F$11:$F$11319,'collpy (2)'!$B$11:$B$11319,"&lt;1/6/2024",'collpy (2)'!$C$11:$C$11319,FinView!A33)</f>
        <v>0</v>
      </c>
      <c r="H33" s="661">
        <f>SUMIFS('collpy (2)'!$G$11:$G$11319,'collpy (2)'!$B$11:$B$11319,"&lt;1/6/2024",'collpy (2)'!$C$11:$C$11319,FinView!A33)</f>
        <v>0</v>
      </c>
      <c r="I33" s="660">
        <f t="shared" si="19"/>
        <v>0</v>
      </c>
      <c r="J33" s="661">
        <f t="shared" si="20"/>
        <v>0</v>
      </c>
      <c r="K33" s="646">
        <f>SUMIFS('collpy (2)'!$F$94:$F$3676,'collpy (2)'!$C$94:$C$3676,FinView!A33,'collpy (2)'!$A$94:$A$3676,FinView!$K$4)</f>
        <v>0</v>
      </c>
      <c r="L33" s="647">
        <f>SUMIFS('collpy (2)'!$G$94:$G$3676,'collpy (2)'!$C$94:$C$3676,FinView!A33,'collpy (2)'!$A$94:$A$3676,FinView!$K$4)</f>
        <v>0</v>
      </c>
      <c r="M33" s="646">
        <f>SUMIFS('collpy (2)'!$F$94:$F$3676,'collpy (2)'!$C$94:$C$3676,FinView!A33,'collpy (2)'!$A$94:$A$3676,FinView!$M$4)</f>
        <v>0</v>
      </c>
      <c r="N33" s="647">
        <f>SUMIFS('collpy (2)'!$G$94:$G$3676,'collpy (2)'!$C$94:$C$3676,FinView!A33,'collpy (2)'!$A$94:$A$3676,FinView!$M$4)</f>
        <v>0</v>
      </c>
      <c r="O33" s="646">
        <f>SUMIFS('collpy (2)'!$F$94:$F$3676,'collpy (2)'!$C$94:$C$3676,FinView!A33,'collpy (2)'!$A$94:$A$3676,FinView!$O$4)</f>
        <v>0</v>
      </c>
      <c r="P33" s="647">
        <f>SUMIFS('collpy (2)'!$G$94:$G$3676,'collpy (2)'!$C$94:$C$3676,FinView!A33,'collpy (2)'!$A$94:$A$3676,FinView!$O$4)</f>
        <v>0</v>
      </c>
      <c r="Q33" s="646">
        <f>SUMIFS('collpy (2)'!$F$94:$F$3676,'collpy (2)'!$C$94:$C$3676,FinView!A33,'collpy (2)'!$A$94:$A$3676,FinView!$Q$4)</f>
        <v>0</v>
      </c>
      <c r="R33" s="647">
        <f>SUMIFS('collpy (2)'!$G$94:$G$3676,'collpy (2)'!$C$94:$C$3676,FinView!A33,'collpy (2)'!$A$94:$A$3676,FinView!$Q$4)</f>
        <v>0</v>
      </c>
      <c r="S33" s="646">
        <f>SUMIFS('collpy (2)'!$F$94:$F$3676,'collpy (2)'!$C$94:$C$3676,FinView!A33,'collpy (2)'!$A$94:$A$3676,FinView!$S$4)</f>
        <v>0</v>
      </c>
      <c r="T33" s="647">
        <f>SUMIFS('collpy (2)'!$G$94:$G$3676,'collpy (2)'!$C$94:$C$3676,FinView!A33,'collpy (2)'!$A$94:$A$3676,FinView!$S$4)</f>
        <v>0</v>
      </c>
      <c r="U33" s="646">
        <f>SUMIFS('collpy (2)'!$F$94:$F$3676,'collpy (2)'!$C$94:$C$3676,FinView!A33,'collpy (2)'!$A$94:$A$3676,FinView!$U$4)</f>
        <v>0</v>
      </c>
      <c r="V33" s="647">
        <f>SUMIFS('collpy (2)'!$G$94:$G$3676,'collpy (2)'!$C$94:$C$3676,FinView!A33,'collpy (2)'!$A$94:$A$3676,FinView!$U$4)</f>
        <v>0</v>
      </c>
      <c r="W33" s="449"/>
      <c r="X33" s="450"/>
      <c r="Y33" s="450"/>
      <c r="Z33" s="450"/>
      <c r="AA33" s="450"/>
      <c r="AB33" s="450"/>
      <c r="AC33" s="450"/>
      <c r="AD33" s="450"/>
      <c r="AE33" s="450"/>
      <c r="AF33" s="450"/>
      <c r="AG33" s="898"/>
      <c r="AH33" s="898"/>
      <c r="AI33" s="898"/>
      <c r="AJ33" s="898"/>
      <c r="AK33" s="898"/>
      <c r="AL33" s="898"/>
      <c r="AM33" s="898"/>
    </row>
    <row r="34" spans="1:39" s="2" customFormat="1" ht="23.25">
      <c r="A34" s="649">
        <v>4200</v>
      </c>
      <c r="B34" s="648" t="str">
        <f>VLOOKUP(A34,Mychart!$A$6:$B$518,2,FALSE)</f>
        <v>Other Income</v>
      </c>
      <c r="C34" s="654"/>
      <c r="D34" s="654">
        <f>(H34+J34) - (G34+I34)</f>
        <v>3200</v>
      </c>
      <c r="E34" s="660">
        <f t="shared" si="15"/>
        <v>0</v>
      </c>
      <c r="F34" s="661">
        <f t="shared" si="16"/>
        <v>3200</v>
      </c>
      <c r="G34" s="660">
        <f>SUMIFS('collpy (2)'!$F$11:$F$11319,'collpy (2)'!$B$11:$B$11319,"&lt;1/6/2024",'collpy (2)'!$C$11:$C$11319,FinView!A34)</f>
        <v>0</v>
      </c>
      <c r="H34" s="661">
        <f>SUMIFS('collpy (2)'!$G$11:$G$11319,'collpy (2)'!$B$11:$B$11319,"&lt;1/6/2024",'collpy (2)'!$C$11:$C$11319,FinView!A34)</f>
        <v>0</v>
      </c>
      <c r="I34" s="660">
        <f t="shared" si="19"/>
        <v>0</v>
      </c>
      <c r="J34" s="661">
        <f t="shared" si="20"/>
        <v>3200</v>
      </c>
      <c r="K34" s="646">
        <f>SUMIFS('collpy (2)'!$F$94:$F$3676,'collpy (2)'!$C$94:$C$3676,FinView!A34,'collpy (2)'!$A$94:$A$3676,FinView!$K$4)</f>
        <v>0</v>
      </c>
      <c r="L34" s="647">
        <f>SUMIFS('collpy (2)'!$G$94:$G$3676,'collpy (2)'!$C$94:$C$3676,FinView!A34,'collpy (2)'!$A$94:$A$3676,FinView!$K$4)</f>
        <v>0</v>
      </c>
      <c r="M34" s="646">
        <f>SUMIFS('collpy (2)'!$F$94:$F$3676,'collpy (2)'!$C$94:$C$3676,FinView!A34,'collpy (2)'!$A$94:$A$3676,FinView!$M$4)</f>
        <v>0</v>
      </c>
      <c r="N34" s="647">
        <f>SUMIFS('collpy (2)'!$G$94:$G$3676,'collpy (2)'!$C$94:$C$3676,FinView!A34,'collpy (2)'!$A$94:$A$3676,FinView!$M$4)</f>
        <v>0</v>
      </c>
      <c r="O34" s="646">
        <f>SUMIFS('collpy (2)'!$F$94:$F$3676,'collpy (2)'!$C$94:$C$3676,FinView!A34,'collpy (2)'!$A$94:$A$3676,FinView!$O$4)</f>
        <v>0</v>
      </c>
      <c r="P34" s="647">
        <f>SUMIFS('collpy (2)'!$G$94:$G$3676,'collpy (2)'!$C$94:$C$3676,FinView!A34,'collpy (2)'!$A$94:$A$3676,FinView!$O$4)</f>
        <v>0</v>
      </c>
      <c r="Q34" s="646">
        <f>SUMIFS('collpy (2)'!$F$94:$F$3676,'collpy (2)'!$C$94:$C$3676,FinView!A34,'collpy (2)'!$A$94:$A$3676,FinView!$Q$4)</f>
        <v>0</v>
      </c>
      <c r="R34" s="647">
        <f>SUMIFS('collpy (2)'!$G$94:$G$3676,'collpy (2)'!$C$94:$C$3676,FinView!A34,'collpy (2)'!$A$94:$A$3676,FinView!$Q$4)</f>
        <v>0</v>
      </c>
      <c r="S34" s="646">
        <f>SUMIFS('collpy (2)'!$F$94:$F$3676,'collpy (2)'!$C$94:$C$3676,FinView!A34,'collpy (2)'!$A$94:$A$3676,FinView!$S$4)</f>
        <v>0</v>
      </c>
      <c r="T34" s="647">
        <f>SUMIFS('collpy (2)'!$G$94:$G$3676,'collpy (2)'!$C$94:$C$3676,FinView!A34,'collpy (2)'!$A$94:$A$3676,FinView!$S$4)</f>
        <v>3200</v>
      </c>
      <c r="U34" s="646">
        <f>SUMIFS('collpy (2)'!$F$94:$F$3676,'collpy (2)'!$C$94:$C$3676,FinView!A34,'collpy (2)'!$A$94:$A$3676,FinView!$U$4)</f>
        <v>0</v>
      </c>
      <c r="V34" s="647">
        <f>SUMIFS('collpy (2)'!$G$94:$G$3676,'collpy (2)'!$C$94:$C$3676,FinView!A34,'collpy (2)'!$A$94:$A$3676,FinView!$U$4)</f>
        <v>0</v>
      </c>
      <c r="W34" s="449"/>
      <c r="X34" s="450"/>
      <c r="Y34" s="450"/>
      <c r="Z34" s="450"/>
      <c r="AA34" s="450"/>
      <c r="AB34" s="450"/>
      <c r="AC34" s="450"/>
      <c r="AD34" s="450"/>
      <c r="AE34" s="450"/>
      <c r="AF34" s="450"/>
      <c r="AG34" s="898"/>
      <c r="AH34" s="898"/>
      <c r="AI34" s="898"/>
      <c r="AJ34" s="898"/>
      <c r="AK34" s="898"/>
      <c r="AL34" s="898"/>
      <c r="AM34" s="898"/>
    </row>
    <row r="35" spans="1:39" s="2" customFormat="1" ht="23.25">
      <c r="A35" s="1034">
        <v>4900</v>
      </c>
      <c r="B35" s="1035" t="s">
        <v>78</v>
      </c>
      <c r="C35" s="654"/>
      <c r="D35" s="654">
        <f>(H35+J35) - (G35+I35)</f>
        <v>-3000</v>
      </c>
      <c r="E35" s="660">
        <f t="shared" si="15"/>
        <v>3000</v>
      </c>
      <c r="F35" s="661">
        <f t="shared" si="16"/>
        <v>0</v>
      </c>
      <c r="G35" s="660">
        <f>SUMIFS('collpy (2)'!$F$11:$F$11319,'collpy (2)'!$B$11:$B$11319,"&lt;1/6/2024",'collpy (2)'!$C$11:$C$11319,FinView!A35)</f>
        <v>0</v>
      </c>
      <c r="H35" s="661">
        <f>SUMIFS('collpy (2)'!$G$11:$G$11319,'collpy (2)'!$B$11:$B$11319,"&lt;1/6/2024",'collpy (2)'!$C$11:$C$11319,FinView!A35)</f>
        <v>0</v>
      </c>
      <c r="I35" s="660">
        <f t="shared" si="19"/>
        <v>3000</v>
      </c>
      <c r="J35" s="661">
        <f t="shared" si="20"/>
        <v>0</v>
      </c>
      <c r="K35" s="646">
        <f>SUMIFS('collpy (2)'!$F$94:$F$3676,'collpy (2)'!$C$94:$C$3676,FinView!A35,'collpy (2)'!$A$94:$A$3676,FinView!$K$4)</f>
        <v>0</v>
      </c>
      <c r="L35" s="647">
        <f>SUMIFS('collpy (2)'!$G$94:$G$3676,'collpy (2)'!$C$94:$C$3676,FinView!A35,'collpy (2)'!$A$94:$A$3676,FinView!$K$4)</f>
        <v>0</v>
      </c>
      <c r="M35" s="646">
        <f>SUMIFS('collpy (2)'!$F$94:$F$3676,'collpy (2)'!$C$94:$C$3676,FinView!A35,'collpy (2)'!$A$94:$A$3676,FinView!$M$4)</f>
        <v>0</v>
      </c>
      <c r="N35" s="647">
        <f>SUMIFS('collpy (2)'!$G$94:$G$3676,'collpy (2)'!$C$94:$C$3676,FinView!A35,'collpy (2)'!$A$94:$A$3676,FinView!$M$4)</f>
        <v>0</v>
      </c>
      <c r="O35" s="646">
        <f>SUMIFS('collpy (2)'!$F$94:$F$3676,'collpy (2)'!$C$94:$C$3676,FinView!A35,'collpy (2)'!$A$94:$A$3676,FinView!$O$4)</f>
        <v>0</v>
      </c>
      <c r="P35" s="647">
        <f>SUMIFS('collpy (2)'!$G$94:$G$3676,'collpy (2)'!$C$94:$C$3676,FinView!A35,'collpy (2)'!$A$94:$A$3676,FinView!$O$4)</f>
        <v>0</v>
      </c>
      <c r="Q35" s="646">
        <f>SUMIFS('collpy (2)'!$F$94:$F$3676,'collpy (2)'!$C$94:$C$3676,FinView!A35,'collpy (2)'!$A$94:$A$3676,FinView!$Q$4)</f>
        <v>0</v>
      </c>
      <c r="R35" s="647">
        <f>SUMIFS('collpy (2)'!$G$94:$G$3676,'collpy (2)'!$C$94:$C$3676,FinView!A35,'collpy (2)'!$A$94:$A$3676,FinView!$Q$4)</f>
        <v>0</v>
      </c>
      <c r="S35" s="646">
        <f>SUMIFS('collpy (2)'!$F$94:$F$3676,'collpy (2)'!$C$94:$C$3676,FinView!A35,'collpy (2)'!$A$94:$A$3676,FinView!$S$4)</f>
        <v>3000</v>
      </c>
      <c r="T35" s="647">
        <f>SUMIFS('collpy (2)'!$G$94:$G$3676,'collpy (2)'!$C$94:$C$3676,FinView!A35,'collpy (2)'!$A$94:$A$3676,FinView!$S$4)</f>
        <v>0</v>
      </c>
      <c r="U35" s="646">
        <f>SUMIFS('collpy (2)'!$F$94:$F$3676,'collpy (2)'!$C$94:$C$3676,FinView!A35,'collpy (2)'!$A$94:$A$3676,FinView!$U$4)</f>
        <v>0</v>
      </c>
      <c r="V35" s="647">
        <f>SUMIFS('collpy (2)'!$G$94:$G$3676,'collpy (2)'!$C$94:$C$3676,FinView!A35,'collpy (2)'!$A$94:$A$3676,FinView!$U$4)</f>
        <v>0</v>
      </c>
      <c r="W35" s="449"/>
      <c r="X35" s="450"/>
      <c r="Y35" s="450"/>
      <c r="Z35" s="450"/>
      <c r="AA35" s="450"/>
      <c r="AB35" s="450"/>
      <c r="AC35" s="450"/>
      <c r="AD35" s="450"/>
      <c r="AE35" s="450"/>
      <c r="AF35" s="450"/>
      <c r="AG35" s="898"/>
      <c r="AH35" s="898"/>
      <c r="AI35" s="898"/>
      <c r="AJ35" s="898"/>
      <c r="AK35" s="898"/>
      <c r="AL35" s="898"/>
      <c r="AM35" s="898"/>
    </row>
    <row r="36" spans="1:39" s="2" customFormat="1" ht="23.25">
      <c r="A36" s="1847" t="s">
        <v>1450</v>
      </c>
      <c r="B36" s="1847"/>
      <c r="C36" s="1849">
        <f>SUM(C38:C43)</f>
        <v>3225711.0424224995</v>
      </c>
      <c r="D36" s="1849"/>
      <c r="E36" s="658"/>
      <c r="F36" s="658"/>
      <c r="G36" s="658"/>
      <c r="H36" s="658"/>
      <c r="I36" s="658"/>
      <c r="J36" s="659"/>
      <c r="K36" s="658"/>
      <c r="L36" s="659"/>
      <c r="M36" s="658"/>
      <c r="N36" s="659"/>
      <c r="O36" s="658"/>
      <c r="P36" s="659"/>
      <c r="Q36" s="658"/>
      <c r="R36" s="659"/>
      <c r="S36" s="658"/>
      <c r="T36" s="659"/>
      <c r="U36" s="658"/>
      <c r="V36" s="659"/>
      <c r="W36" s="449"/>
      <c r="X36" s="450"/>
      <c r="Y36" s="450"/>
      <c r="Z36" s="450"/>
      <c r="AA36" s="450"/>
      <c r="AB36" s="450"/>
      <c r="AC36" s="450"/>
      <c r="AD36" s="450"/>
      <c r="AE36" s="450"/>
      <c r="AF36" s="450"/>
      <c r="AG36" s="898"/>
      <c r="AH36" s="898"/>
      <c r="AI36" s="898"/>
      <c r="AJ36" s="898"/>
      <c r="AK36" s="898"/>
      <c r="AL36" s="898"/>
      <c r="AM36" s="898"/>
    </row>
    <row r="37" spans="1:39" s="2" customFormat="1" ht="23.25">
      <c r="A37" s="1848"/>
      <c r="B37" s="1848"/>
      <c r="C37" s="1849"/>
      <c r="D37" s="1849"/>
      <c r="E37" s="658"/>
      <c r="F37" s="658"/>
      <c r="G37" s="658"/>
      <c r="H37" s="658"/>
      <c r="I37" s="658"/>
      <c r="J37" s="659"/>
      <c r="K37" s="658"/>
      <c r="L37" s="659"/>
      <c r="M37" s="658"/>
      <c r="N37" s="659"/>
      <c r="O37" s="658"/>
      <c r="P37" s="659"/>
      <c r="Q37" s="658"/>
      <c r="R37" s="659"/>
      <c r="S37" s="658"/>
      <c r="T37" s="659"/>
      <c r="U37" s="658"/>
      <c r="V37" s="659"/>
      <c r="W37" s="449"/>
      <c r="X37" s="450"/>
      <c r="Y37" s="450"/>
      <c r="Z37" s="450"/>
      <c r="AA37" s="450"/>
      <c r="AB37" s="450"/>
      <c r="AC37" s="450"/>
      <c r="AD37" s="450"/>
      <c r="AE37" s="450"/>
      <c r="AF37" s="450"/>
      <c r="AG37" s="898"/>
      <c r="AH37" s="898"/>
      <c r="AI37" s="898"/>
      <c r="AJ37" s="898"/>
      <c r="AK37" s="898"/>
      <c r="AL37" s="898"/>
      <c r="AM37" s="898"/>
    </row>
    <row r="38" spans="1:39" s="2" customFormat="1" ht="23.25">
      <c r="A38" s="649">
        <v>5100</v>
      </c>
      <c r="B38" s="648" t="s">
        <v>81</v>
      </c>
      <c r="C38" s="654">
        <f t="shared" ref="C38:C43" si="21">(G38+I38)-(H38+J38)</f>
        <v>152478.71000000002</v>
      </c>
      <c r="D38" s="654"/>
      <c r="E38" s="660">
        <f t="shared" si="15"/>
        <v>152478.71000000002</v>
      </c>
      <c r="F38" s="661">
        <f t="shared" si="16"/>
        <v>0</v>
      </c>
      <c r="G38" s="660">
        <f>SUMIFS('collpy (2)'!$F$11:$F$11319,'collpy (2)'!$B$11:$B$11319,"&lt;1/6/2024",'collpy (2)'!$C$11:$C$11319,FinView!A38)</f>
        <v>8767.64</v>
      </c>
      <c r="H38" s="661">
        <f>SUMIFS('collpy (2)'!$G$11:$G$11319,'collpy (2)'!$B$11:$B$11319,"&lt;1/6/2024",'collpy (2)'!$C$11:$C$11319,FinView!A38)</f>
        <v>0</v>
      </c>
      <c r="I38" s="660">
        <f t="shared" ref="I38" si="22">K38+M38+O38+Q38+S38+U38</f>
        <v>143711.07</v>
      </c>
      <c r="J38" s="661">
        <f t="shared" ref="J38" si="23">L38+N38+P38+R38+T38+V38</f>
        <v>0</v>
      </c>
      <c r="K38" s="646">
        <f>SUMIFS('collpy (2)'!$F$94:$F$3676,'collpy (2)'!$C$94:$C$3676,FinView!A38,'collpy (2)'!$A$94:$A$3676,FinView!$K$4)</f>
        <v>0</v>
      </c>
      <c r="L38" s="647">
        <f>SUMIFS('collpy (2)'!$G$94:$G$3676,'collpy (2)'!$C$94:$C$3676,FinView!A38,'collpy (2)'!$A$94:$A$3676,FinView!$K$4)</f>
        <v>0</v>
      </c>
      <c r="M38" s="646">
        <f>SUMIFS('collpy (2)'!$F$94:$F$3676,'collpy (2)'!$C$94:$C$3676,FinView!A38,'collpy (2)'!$A$94:$A$3676,FinView!$M$4)</f>
        <v>0</v>
      </c>
      <c r="N38" s="647">
        <f>SUMIFS('collpy (2)'!$G$94:$G$3676,'collpy (2)'!$C$94:$C$3676,FinView!A38,'collpy (2)'!$A$94:$A$3676,FinView!$M$4)</f>
        <v>0</v>
      </c>
      <c r="O38" s="646">
        <f>SUMIFS('collpy (2)'!$F$94:$F$3676,'collpy (2)'!$C$94:$C$3676,FinView!A38,'collpy (2)'!$A$94:$A$3676,FinView!$O$4)</f>
        <v>300</v>
      </c>
      <c r="P38" s="647">
        <f>SUMIFS('collpy (2)'!$G$94:$G$3676,'collpy (2)'!$C$94:$C$3676,FinView!A38,'collpy (2)'!$A$94:$A$3676,FinView!$O$4)</f>
        <v>0</v>
      </c>
      <c r="Q38" s="646">
        <f>SUMIFS('collpy (2)'!$F$94:$F$3676,'collpy (2)'!$C$94:$C$3676,FinView!A38,'collpy (2)'!$A$94:$A$3676,FinView!$Q$4)</f>
        <v>0</v>
      </c>
      <c r="R38" s="647">
        <f>SUMIFS('collpy (2)'!$G$94:$G$3676,'collpy (2)'!$C$94:$C$3676,FinView!A38,'collpy (2)'!$A$94:$A$3676,FinView!$Q$4)</f>
        <v>0</v>
      </c>
      <c r="S38" s="646">
        <f>SUMIFS('collpy (2)'!$F$94:$F$3676,'collpy (2)'!$C$94:$C$3676,FinView!A38,'collpy (2)'!$A$94:$A$3676,FinView!$S$4)</f>
        <v>63411.070000000007</v>
      </c>
      <c r="T38" s="647">
        <f>SUMIFS('collpy (2)'!$G$94:$G$3676,'collpy (2)'!$C$94:$C$3676,FinView!A38,'collpy (2)'!$A$94:$A$3676,FinView!$S$4)</f>
        <v>0</v>
      </c>
      <c r="U38" s="646">
        <f>SUMIFS('collpy (2)'!$F$94:$F$3676,'collpy (2)'!$C$94:$C$3676,FinView!A38,'collpy (2)'!$A$94:$A$3676,FinView!$U$4)</f>
        <v>80000</v>
      </c>
      <c r="V38" s="647">
        <f>SUMIFS('collpy (2)'!$G$94:$G$3676,'collpy (2)'!$C$94:$C$3676,FinView!A38,'collpy (2)'!$A$94:$A$3676,FinView!$U$4)</f>
        <v>0</v>
      </c>
      <c r="W38" s="449"/>
      <c r="X38" s="450"/>
      <c r="Y38" s="450"/>
      <c r="Z38" s="450"/>
      <c r="AA38" s="450"/>
      <c r="AB38" s="450"/>
      <c r="AC38" s="450"/>
      <c r="AD38" s="450"/>
      <c r="AE38" s="450"/>
      <c r="AF38" s="450"/>
      <c r="AG38" s="898"/>
      <c r="AH38" s="898"/>
      <c r="AI38" s="898"/>
      <c r="AJ38" s="898"/>
      <c r="AK38" s="898"/>
      <c r="AL38" s="898"/>
      <c r="AM38" s="898"/>
    </row>
    <row r="39" spans="1:39" s="2" customFormat="1" ht="23.25">
      <c r="A39" s="657">
        <v>5150</v>
      </c>
      <c r="B39" s="648" t="s">
        <v>82</v>
      </c>
      <c r="C39" s="654">
        <f t="shared" si="21"/>
        <v>2216782.9124224996</v>
      </c>
      <c r="D39" s="654"/>
      <c r="E39" s="660">
        <f t="shared" si="15"/>
        <v>2216782.9124224996</v>
      </c>
      <c r="F39" s="661">
        <f t="shared" si="16"/>
        <v>0</v>
      </c>
      <c r="G39" s="660">
        <f>SUMIFS('collpy (2)'!$F$11:$F$11319,'collpy (2)'!$B$11:$B$11319,"&lt;1/6/2024",'collpy (2)'!$C$11:$C$11319,FinView!A39)</f>
        <v>1386920.95</v>
      </c>
      <c r="H39" s="661">
        <f>SUMIFS('collpy (2)'!$G$11:$G$11319,'collpy (2)'!$B$11:$B$11319,"&lt;1/6/2024",'collpy (2)'!$C$11:$C$11319,FinView!A39)</f>
        <v>0</v>
      </c>
      <c r="I39" s="660">
        <f t="shared" ref="I39:I45" si="24">K39+M39+O39+Q39+S39+U39</f>
        <v>829861.9624224999</v>
      </c>
      <c r="J39" s="661">
        <f t="shared" ref="J39:J45" si="25">L39+N39+P39+R39+T39+V39</f>
        <v>0</v>
      </c>
      <c r="K39" s="646">
        <f>SUMIFS('collpy (2)'!$F$94:$F$3676,'collpy (2)'!$C$94:$C$3676,FinView!A39,'collpy (2)'!$A$94:$A$3676,FinView!$K$4)</f>
        <v>121453.98000000001</v>
      </c>
      <c r="L39" s="647">
        <f>SUMIFS('collpy (2)'!$G$94:$G$3676,'collpy (2)'!$C$94:$C$3676,FinView!A39,'collpy (2)'!$A$94:$A$3676,FinView!$K$4)</f>
        <v>0</v>
      </c>
      <c r="M39" s="646">
        <f>SUMIFS('collpy (2)'!$F$94:$F$3676,'collpy (2)'!$C$94:$C$3676,FinView!A39,'collpy (2)'!$A$94:$A$3676,FinView!$M$4)</f>
        <v>105864.25</v>
      </c>
      <c r="N39" s="647">
        <f>SUMIFS('collpy (2)'!$G$94:$G$3676,'collpy (2)'!$C$94:$C$3676,FinView!A39,'collpy (2)'!$A$94:$A$3676,FinView!$M$4)</f>
        <v>0</v>
      </c>
      <c r="O39" s="646">
        <f>SUMIFS('collpy (2)'!$F$94:$F$3676,'collpy (2)'!$C$94:$C$3676,FinView!A39,'collpy (2)'!$A$94:$A$3676,FinView!$O$4)</f>
        <v>213805</v>
      </c>
      <c r="P39" s="647">
        <f>SUMIFS('collpy (2)'!$G$94:$G$3676,'collpy (2)'!$C$94:$C$3676,FinView!A39,'collpy (2)'!$A$94:$A$3676,FinView!$O$4)</f>
        <v>0</v>
      </c>
      <c r="Q39" s="646">
        <f>SUMIFS('collpy (2)'!$F$94:$F$3676,'collpy (2)'!$C$94:$C$3676,FinView!A39,'collpy (2)'!$A$94:$A$3676,FinView!$Q$4)</f>
        <v>76383.350000000006</v>
      </c>
      <c r="R39" s="647">
        <f>SUMIFS('collpy (2)'!$G$94:$G$3676,'collpy (2)'!$C$94:$C$3676,FinView!A39,'collpy (2)'!$A$94:$A$3676,FinView!$Q$4)</f>
        <v>0</v>
      </c>
      <c r="S39" s="646">
        <f>SUMIFS('collpy (2)'!$F$94:$F$3676,'collpy (2)'!$C$94:$C$3676,FinView!A39,'collpy (2)'!$A$94:$A$3676,FinView!$S$4)</f>
        <v>184580</v>
      </c>
      <c r="T39" s="647">
        <f>SUMIFS('collpy (2)'!$G$94:$G$3676,'collpy (2)'!$C$94:$C$3676,FinView!A39,'collpy (2)'!$A$94:$A$3676,FinView!$S$4)</f>
        <v>0</v>
      </c>
      <c r="U39" s="646">
        <f>SUMIFS('collpy (2)'!$F$94:$F$3676,'collpy (2)'!$C$94:$C$3676,FinView!A39,'collpy (2)'!$A$94:$A$3676,FinView!$U$4)</f>
        <v>127775.3824225</v>
      </c>
      <c r="V39" s="647">
        <f>SUMIFS('collpy (2)'!$G$94:$G$3676,'collpy (2)'!$C$94:$C$3676,FinView!A39,'collpy (2)'!$A$94:$A$3676,FinView!$U$4)</f>
        <v>0</v>
      </c>
      <c r="W39" s="449"/>
      <c r="X39" s="450"/>
      <c r="Y39" s="450"/>
      <c r="Z39" s="450"/>
      <c r="AA39" s="450"/>
      <c r="AB39" s="450"/>
      <c r="AC39" s="450"/>
      <c r="AD39" s="450"/>
      <c r="AE39" s="450"/>
      <c r="AF39" s="450"/>
      <c r="AG39" s="898"/>
      <c r="AH39" s="898"/>
      <c r="AI39" s="898"/>
      <c r="AJ39" s="898"/>
      <c r="AK39" s="898"/>
      <c r="AL39" s="898"/>
      <c r="AM39" s="898"/>
    </row>
    <row r="40" spans="1:39" s="2" customFormat="1" ht="23.25">
      <c r="A40" s="657">
        <v>5200</v>
      </c>
      <c r="B40" s="648" t="s">
        <v>83</v>
      </c>
      <c r="C40" s="654">
        <f t="shared" si="21"/>
        <v>342032.80000000005</v>
      </c>
      <c r="D40" s="654"/>
      <c r="E40" s="660">
        <f t="shared" si="15"/>
        <v>342032.80000000005</v>
      </c>
      <c r="F40" s="661">
        <f t="shared" si="16"/>
        <v>0</v>
      </c>
      <c r="G40" s="660">
        <f>SUMIFS('collpy (2)'!$F$11:$F$11319,'collpy (2)'!$B$11:$B$11319,"&lt;1/6/2024",'collpy (2)'!$C$11:$C$11319,FinView!A40)</f>
        <v>176433.29</v>
      </c>
      <c r="H40" s="661">
        <f>SUMIFS('collpy (2)'!$G$11:$G$11319,'collpy (2)'!$B$11:$B$11319,"&lt;1/6/2024",'collpy (2)'!$C$11:$C$11319,FinView!A40)</f>
        <v>0</v>
      </c>
      <c r="I40" s="660">
        <f t="shared" si="24"/>
        <v>165599.51</v>
      </c>
      <c r="J40" s="661">
        <f t="shared" si="25"/>
        <v>0</v>
      </c>
      <c r="K40" s="646">
        <f>SUMIFS('collpy (2)'!$F$94:$F$3676,'collpy (2)'!$C$94:$C$3676,FinView!A40,'collpy (2)'!$A$94:$A$3676,FinView!$K$4)</f>
        <v>19709.759999999998</v>
      </c>
      <c r="L40" s="647">
        <f>SUMIFS('collpy (2)'!$G$94:$G$3676,'collpy (2)'!$C$94:$C$3676,FinView!A40,'collpy (2)'!$A$94:$A$3676,FinView!$K$4)</f>
        <v>0</v>
      </c>
      <c r="M40" s="646">
        <f>SUMIFS('collpy (2)'!$F$94:$F$3676,'collpy (2)'!$C$94:$C$3676,FinView!A40,'collpy (2)'!$A$94:$A$3676,FinView!$M$4)</f>
        <v>53491.280000000006</v>
      </c>
      <c r="N40" s="647">
        <f>SUMIFS('collpy (2)'!$G$94:$G$3676,'collpy (2)'!$C$94:$C$3676,FinView!A40,'collpy (2)'!$A$94:$A$3676,FinView!$M$4)</f>
        <v>0</v>
      </c>
      <c r="O40" s="646">
        <f>SUMIFS('collpy (2)'!$F$94:$F$3676,'collpy (2)'!$C$94:$C$3676,FinView!A40,'collpy (2)'!$A$94:$A$3676,FinView!$O$4)</f>
        <v>26224.909999999996</v>
      </c>
      <c r="P40" s="647">
        <f>SUMIFS('collpy (2)'!$G$94:$G$3676,'collpy (2)'!$C$94:$C$3676,FinView!A40,'collpy (2)'!$A$94:$A$3676,FinView!$O$4)</f>
        <v>0</v>
      </c>
      <c r="Q40" s="646">
        <f>SUMIFS('collpy (2)'!$F$94:$F$3676,'collpy (2)'!$C$94:$C$3676,FinView!A40,'collpy (2)'!$A$94:$A$3676,FinView!$Q$4)</f>
        <v>29053.39</v>
      </c>
      <c r="R40" s="647">
        <f>SUMIFS('collpy (2)'!$G$94:$G$3676,'collpy (2)'!$C$94:$C$3676,FinView!A40,'collpy (2)'!$A$94:$A$3676,FinView!$Q$4)</f>
        <v>0</v>
      </c>
      <c r="S40" s="646">
        <f>SUMIFS('collpy (2)'!$F$94:$F$3676,'collpy (2)'!$C$94:$C$3676,FinView!A40,'collpy (2)'!$A$94:$A$3676,FinView!$S$4)</f>
        <v>23803.010000000002</v>
      </c>
      <c r="T40" s="647">
        <f>SUMIFS('collpy (2)'!$G$94:$G$3676,'collpy (2)'!$C$94:$C$3676,FinView!A40,'collpy (2)'!$A$94:$A$3676,FinView!$S$4)</f>
        <v>0</v>
      </c>
      <c r="U40" s="646">
        <f>SUMIFS('collpy (2)'!$F$94:$F$3676,'collpy (2)'!$C$94:$C$3676,FinView!A40,'collpy (2)'!$A$94:$A$3676,FinView!$U$4)</f>
        <v>13317.16</v>
      </c>
      <c r="V40" s="647">
        <f>SUMIFS('collpy (2)'!$G$94:$G$3676,'collpy (2)'!$C$94:$C$3676,FinView!A40,'collpy (2)'!$A$94:$A$3676,FinView!$U$4)</f>
        <v>0</v>
      </c>
      <c r="W40" s="449"/>
      <c r="X40" s="450"/>
      <c r="Y40" s="450"/>
      <c r="Z40" s="450"/>
      <c r="AA40" s="450"/>
      <c r="AB40" s="450"/>
      <c r="AC40" s="450"/>
      <c r="AD40" s="450"/>
      <c r="AE40" s="450"/>
      <c r="AF40" s="450"/>
      <c r="AG40" s="898"/>
      <c r="AH40" s="898"/>
      <c r="AI40" s="898"/>
      <c r="AJ40" s="898"/>
      <c r="AK40" s="898"/>
      <c r="AL40" s="898"/>
      <c r="AM40" s="898"/>
    </row>
    <row r="41" spans="1:39" s="2" customFormat="1" ht="23.25">
      <c r="A41" s="657">
        <v>5220</v>
      </c>
      <c r="B41" s="648" t="s">
        <v>84</v>
      </c>
      <c r="C41" s="654">
        <f t="shared" si="21"/>
        <v>36531.130000000005</v>
      </c>
      <c r="D41" s="654"/>
      <c r="E41" s="660">
        <f t="shared" si="15"/>
        <v>36531.130000000005</v>
      </c>
      <c r="F41" s="661">
        <f t="shared" si="16"/>
        <v>0</v>
      </c>
      <c r="G41" s="660">
        <f>SUMIFS('collpy (2)'!$F$11:$F$11319,'collpy (2)'!$B$11:$B$11319,"&lt;1/6/2024",'collpy (2)'!$C$11:$C$11319,FinView!A41)</f>
        <v>3213.3</v>
      </c>
      <c r="H41" s="661">
        <f>SUMIFS('collpy (2)'!$G$11:$G$11319,'collpy (2)'!$B$11:$B$11319,"&lt;1/6/2024",'collpy (2)'!$C$11:$C$11319,FinView!A41)</f>
        <v>0</v>
      </c>
      <c r="I41" s="660">
        <f t="shared" si="24"/>
        <v>33317.83</v>
      </c>
      <c r="J41" s="661">
        <f t="shared" si="25"/>
        <v>0</v>
      </c>
      <c r="K41" s="646">
        <f>SUMIFS('collpy (2)'!$F$94:$F$3676,'collpy (2)'!$C$94:$C$3676,FinView!A41,'collpy (2)'!$A$94:$A$3676,FinView!$K$4)</f>
        <v>7489.3499999999995</v>
      </c>
      <c r="L41" s="647">
        <f>SUMIFS('collpy (2)'!$G$94:$G$3676,'collpy (2)'!$C$94:$C$3676,FinView!A41,'collpy (2)'!$A$94:$A$3676,FinView!$K$4)</f>
        <v>0</v>
      </c>
      <c r="M41" s="646">
        <f>SUMIFS('collpy (2)'!$F$94:$F$3676,'collpy (2)'!$C$94:$C$3676,FinView!A41,'collpy (2)'!$A$94:$A$3676,FinView!$M$4)</f>
        <v>6785.6</v>
      </c>
      <c r="N41" s="647">
        <f>SUMIFS('collpy (2)'!$G$94:$G$3676,'collpy (2)'!$C$94:$C$3676,FinView!A41,'collpy (2)'!$A$94:$A$3676,FinView!$M$4)</f>
        <v>0</v>
      </c>
      <c r="O41" s="646">
        <f>SUMIFS('collpy (2)'!$F$94:$F$3676,'collpy (2)'!$C$94:$C$3676,FinView!A41,'collpy (2)'!$A$94:$A$3676,FinView!$O$4)</f>
        <v>13844.880000000001</v>
      </c>
      <c r="P41" s="647">
        <f>SUMIFS('collpy (2)'!$G$94:$G$3676,'collpy (2)'!$C$94:$C$3676,FinView!A41,'collpy (2)'!$A$94:$A$3676,FinView!$O$4)</f>
        <v>0</v>
      </c>
      <c r="Q41" s="646">
        <f>SUMIFS('collpy (2)'!$F$94:$F$3676,'collpy (2)'!$C$94:$C$3676,FinView!A41,'collpy (2)'!$A$94:$A$3676,FinView!$Q$4)</f>
        <v>5198</v>
      </c>
      <c r="R41" s="647">
        <f>SUMIFS('collpy (2)'!$G$94:$G$3676,'collpy (2)'!$C$94:$C$3676,FinView!A41,'collpy (2)'!$A$94:$A$3676,FinView!$Q$4)</f>
        <v>0</v>
      </c>
      <c r="S41" s="646">
        <f>SUMIFS('collpy (2)'!$F$94:$F$3676,'collpy (2)'!$C$94:$C$3676,FinView!A41,'collpy (2)'!$A$94:$A$3676,FinView!$S$4)</f>
        <v>0</v>
      </c>
      <c r="T41" s="647">
        <f>SUMIFS('collpy (2)'!$G$94:$G$3676,'collpy (2)'!$C$94:$C$3676,FinView!A41,'collpy (2)'!$A$94:$A$3676,FinView!$S$4)</f>
        <v>0</v>
      </c>
      <c r="U41" s="646">
        <f>SUMIFS('collpy (2)'!$F$94:$F$3676,'collpy (2)'!$C$94:$C$3676,FinView!A41,'collpy (2)'!$A$94:$A$3676,FinView!$U$4)</f>
        <v>0</v>
      </c>
      <c r="V41" s="647">
        <f>SUMIFS('collpy (2)'!$G$94:$G$3676,'collpy (2)'!$C$94:$C$3676,FinView!A41,'collpy (2)'!$A$94:$A$3676,FinView!$U$4)</f>
        <v>0</v>
      </c>
      <c r="W41" s="449"/>
      <c r="X41" s="450"/>
      <c r="Y41" s="450"/>
      <c r="Z41" s="450"/>
      <c r="AA41" s="450"/>
      <c r="AB41" s="450"/>
      <c r="AC41" s="450"/>
      <c r="AD41" s="450"/>
      <c r="AE41" s="450"/>
      <c r="AF41" s="450"/>
      <c r="AG41" s="898"/>
      <c r="AH41" s="898"/>
      <c r="AI41" s="898"/>
      <c r="AJ41" s="898"/>
      <c r="AK41" s="898"/>
      <c r="AL41" s="898"/>
      <c r="AM41" s="898"/>
    </row>
    <row r="42" spans="1:39" s="2" customFormat="1" ht="23.25">
      <c r="A42" s="657">
        <v>5250</v>
      </c>
      <c r="B42" s="648" t="s">
        <v>85</v>
      </c>
      <c r="C42" s="654">
        <f t="shared" si="21"/>
        <v>408885.49</v>
      </c>
      <c r="D42" s="654"/>
      <c r="E42" s="660">
        <f t="shared" si="15"/>
        <v>408885.49</v>
      </c>
      <c r="F42" s="661">
        <f t="shared" si="16"/>
        <v>0</v>
      </c>
      <c r="G42" s="660">
        <f>SUMIFS('collpy (2)'!$F$11:$F$11319,'collpy (2)'!$B$11:$B$11319,"&lt;1/6/2024",'collpy (2)'!$C$11:$C$11319,FinView!A42)</f>
        <v>207686.49</v>
      </c>
      <c r="H42" s="661">
        <f>SUMIFS('collpy (2)'!$G$11:$G$11319,'collpy (2)'!$B$11:$B$11319,"&lt;1/6/2024",'collpy (2)'!$C$11:$C$11319,FinView!A42)</f>
        <v>0</v>
      </c>
      <c r="I42" s="660">
        <f t="shared" si="24"/>
        <v>201199.00000000003</v>
      </c>
      <c r="J42" s="661">
        <f t="shared" si="25"/>
        <v>0</v>
      </c>
      <c r="K42" s="646">
        <f>SUMIFS('collpy (2)'!$F$94:$F$3676,'collpy (2)'!$C$94:$C$3676,FinView!A42,'collpy (2)'!$A$94:$A$3676,FinView!$K$4)</f>
        <v>42236.28</v>
      </c>
      <c r="L42" s="647">
        <f>SUMIFS('collpy (2)'!$G$94:$G$3676,'collpy (2)'!$C$94:$C$3676,FinView!A42,'collpy (2)'!$A$94:$A$3676,FinView!$K$4)</f>
        <v>0</v>
      </c>
      <c r="M42" s="646">
        <f>SUMIFS('collpy (2)'!$F$94:$F$3676,'collpy (2)'!$C$94:$C$3676,FinView!A42,'collpy (2)'!$A$94:$A$3676,FinView!$M$4)</f>
        <v>56837.900000000016</v>
      </c>
      <c r="N42" s="647">
        <f>SUMIFS('collpy (2)'!$G$94:$G$3676,'collpy (2)'!$C$94:$C$3676,FinView!A42,'collpy (2)'!$A$94:$A$3676,FinView!$M$4)</f>
        <v>0</v>
      </c>
      <c r="O42" s="646">
        <f>SUMIFS('collpy (2)'!$F$94:$F$3676,'collpy (2)'!$C$94:$C$3676,FinView!A42,'collpy (2)'!$A$94:$A$3676,FinView!$O$4)</f>
        <v>48902.05</v>
      </c>
      <c r="P42" s="647">
        <f>SUMIFS('collpy (2)'!$G$94:$G$3676,'collpy (2)'!$C$94:$C$3676,FinView!A42,'collpy (2)'!$A$94:$A$3676,FinView!$O$4)</f>
        <v>0</v>
      </c>
      <c r="Q42" s="646">
        <f>SUMIFS('collpy (2)'!$F$94:$F$3676,'collpy (2)'!$C$94:$C$3676,FinView!A42,'collpy (2)'!$A$94:$A$3676,FinView!$Q$4)</f>
        <v>37290.189999999995</v>
      </c>
      <c r="R42" s="647">
        <f>SUMIFS('collpy (2)'!$G$94:$G$3676,'collpy (2)'!$C$94:$C$3676,FinView!A42,'collpy (2)'!$A$94:$A$3676,FinView!$Q$4)</f>
        <v>0</v>
      </c>
      <c r="S42" s="646">
        <f>SUMIFS('collpy (2)'!$F$94:$F$3676,'collpy (2)'!$C$94:$C$3676,FinView!A42,'collpy (2)'!$A$94:$A$3676,FinView!$S$4)</f>
        <v>13832.58</v>
      </c>
      <c r="T42" s="647">
        <f>SUMIFS('collpy (2)'!$G$94:$G$3676,'collpy (2)'!$C$94:$C$3676,FinView!A42,'collpy (2)'!$A$94:$A$3676,FinView!$S$4)</f>
        <v>0</v>
      </c>
      <c r="U42" s="646">
        <f>SUMIFS('collpy (2)'!$F$94:$F$3676,'collpy (2)'!$C$94:$C$3676,FinView!A42,'collpy (2)'!$A$94:$A$3676,FinView!$U$4)</f>
        <v>2100</v>
      </c>
      <c r="V42" s="647">
        <f>SUMIFS('collpy (2)'!$G$94:$G$3676,'collpy (2)'!$C$94:$C$3676,FinView!A42,'collpy (2)'!$A$94:$A$3676,FinView!$U$4)</f>
        <v>0</v>
      </c>
      <c r="W42" s="449"/>
      <c r="X42" s="450"/>
      <c r="Y42" s="450"/>
      <c r="Z42" s="450"/>
      <c r="AA42" s="450"/>
      <c r="AB42" s="450"/>
      <c r="AC42" s="450"/>
      <c r="AD42" s="450"/>
      <c r="AE42" s="450"/>
      <c r="AF42" s="450"/>
      <c r="AG42" s="898"/>
      <c r="AH42" s="898"/>
      <c r="AI42" s="898"/>
      <c r="AJ42" s="898"/>
      <c r="AK42" s="898"/>
      <c r="AL42" s="898"/>
      <c r="AM42" s="898"/>
    </row>
    <row r="43" spans="1:39" s="2" customFormat="1" ht="23.25">
      <c r="A43" s="657">
        <v>5350</v>
      </c>
      <c r="B43" s="648" t="s">
        <v>87</v>
      </c>
      <c r="C43" s="654">
        <f t="shared" si="21"/>
        <v>69000</v>
      </c>
      <c r="D43" s="654"/>
      <c r="E43" s="660">
        <f t="shared" si="15"/>
        <v>69000</v>
      </c>
      <c r="F43" s="661">
        <f t="shared" si="16"/>
        <v>0</v>
      </c>
      <c r="G43" s="660">
        <f>SUMIFS('collpy (2)'!$F$11:$F$11319,'collpy (2)'!$B$11:$B$11319,"&lt;1/6/2024",'collpy (2)'!$C$11:$C$11319,FinView!A43)</f>
        <v>69000</v>
      </c>
      <c r="H43" s="661">
        <f>SUMIFS('collpy (2)'!$G$11:$G$11319,'collpy (2)'!$B$11:$B$11319,"&lt;1/6/2024",'collpy (2)'!$C$11:$C$11319,FinView!A43)</f>
        <v>0</v>
      </c>
      <c r="I43" s="660">
        <f t="shared" si="24"/>
        <v>0</v>
      </c>
      <c r="J43" s="661">
        <f t="shared" si="25"/>
        <v>0</v>
      </c>
      <c r="K43" s="646">
        <f>SUMIFS('collpy (2)'!$F$94:$F$3676,'collpy (2)'!$C$94:$C$3676,FinView!A43,'collpy (2)'!$A$94:$A$3676,FinView!$K$4)</f>
        <v>0</v>
      </c>
      <c r="L43" s="647">
        <f>SUMIFS('collpy (2)'!$G$94:$G$3676,'collpy (2)'!$C$94:$C$3676,FinView!A43,'collpy (2)'!$A$94:$A$3676,FinView!$K$4)</f>
        <v>0</v>
      </c>
      <c r="M43" s="646">
        <f>SUMIFS('collpy (2)'!$F$94:$F$3676,'collpy (2)'!$C$94:$C$3676,FinView!A43,'collpy (2)'!$A$94:$A$3676,FinView!$M$4)</f>
        <v>0</v>
      </c>
      <c r="N43" s="647">
        <f>SUMIFS('collpy (2)'!$G$94:$G$3676,'collpy (2)'!$C$94:$C$3676,FinView!A43,'collpy (2)'!$A$94:$A$3676,FinView!$M$4)</f>
        <v>0</v>
      </c>
      <c r="O43" s="646">
        <f>SUMIFS('collpy (2)'!$F$94:$F$3676,'collpy (2)'!$C$94:$C$3676,FinView!A43,'collpy (2)'!$A$94:$A$3676,FinView!$O$4)</f>
        <v>0</v>
      </c>
      <c r="P43" s="647">
        <f>SUMIFS('collpy (2)'!$G$94:$G$3676,'collpy (2)'!$C$94:$C$3676,FinView!A43,'collpy (2)'!$A$94:$A$3676,FinView!$O$4)</f>
        <v>0</v>
      </c>
      <c r="Q43" s="646">
        <f>SUMIFS('collpy (2)'!$F$94:$F$3676,'collpy (2)'!$C$94:$C$3676,FinView!A43,'collpy (2)'!$A$94:$A$3676,FinView!$Q$4)</f>
        <v>0</v>
      </c>
      <c r="R43" s="647">
        <f>SUMIFS('collpy (2)'!$G$94:$G$3676,'collpy (2)'!$C$94:$C$3676,FinView!A43,'collpy (2)'!$A$94:$A$3676,FinView!$Q$4)</f>
        <v>0</v>
      </c>
      <c r="S43" s="646">
        <f>SUMIFS('collpy (2)'!$F$94:$F$3676,'collpy (2)'!$C$94:$C$3676,FinView!A43,'collpy (2)'!$A$94:$A$3676,FinView!$S$4)</f>
        <v>0</v>
      </c>
      <c r="T43" s="647">
        <f>SUMIFS('collpy (2)'!$G$94:$G$3676,'collpy (2)'!$C$94:$C$3676,FinView!A43,'collpy (2)'!$A$94:$A$3676,FinView!$S$4)</f>
        <v>0</v>
      </c>
      <c r="U43" s="646">
        <f>SUMIFS('collpy (2)'!$F$94:$F$3676,'collpy (2)'!$C$94:$C$3676,FinView!A43,'collpy (2)'!$A$94:$A$3676,FinView!$U$4)</f>
        <v>0</v>
      </c>
      <c r="V43" s="647">
        <f>SUMIFS('collpy (2)'!$G$94:$G$3676,'collpy (2)'!$C$94:$C$3676,FinView!A43,'collpy (2)'!$A$94:$A$3676,FinView!$U$4)</f>
        <v>0</v>
      </c>
      <c r="W43" s="449"/>
      <c r="X43" s="450"/>
      <c r="Y43" s="450"/>
      <c r="Z43" s="450"/>
      <c r="AA43" s="450"/>
      <c r="AB43" s="450"/>
      <c r="AC43" s="450"/>
      <c r="AD43" s="450"/>
      <c r="AE43" s="450"/>
      <c r="AF43" s="450"/>
      <c r="AG43" s="898"/>
      <c r="AH43" s="898"/>
      <c r="AI43" s="898"/>
      <c r="AJ43" s="898"/>
      <c r="AK43" s="898"/>
      <c r="AL43" s="898"/>
      <c r="AM43" s="898"/>
    </row>
    <row r="44" spans="1:39" s="2" customFormat="1" ht="23.25">
      <c r="A44" s="1050">
        <v>5950</v>
      </c>
      <c r="B44" s="1035" t="s">
        <v>90</v>
      </c>
      <c r="C44" s="654">
        <f>(G44+I44)-(H44+J44)</f>
        <v>22378.33</v>
      </c>
      <c r="D44" s="654"/>
      <c r="E44" s="660">
        <f t="shared" si="15"/>
        <v>22378.33</v>
      </c>
      <c r="F44" s="661">
        <f t="shared" si="16"/>
        <v>0</v>
      </c>
      <c r="G44" s="660">
        <f>SUMIFS('collpy (2)'!$F$11:$F$11319,'collpy (2)'!$B$11:$B$11319,"&lt;1/6/2024",'collpy (2)'!$C$11:$C$11319,FinView!A44)</f>
        <v>14568.33</v>
      </c>
      <c r="H44" s="661">
        <f>SUMIFS('collpy (2)'!$G$11:$G$11319,'collpy (2)'!$B$11:$B$11319,"&lt;1/6/2024",'collpy (2)'!$C$11:$C$11319,FinView!A44)</f>
        <v>0</v>
      </c>
      <c r="I44" s="660">
        <f t="shared" si="24"/>
        <v>7810</v>
      </c>
      <c r="J44" s="661">
        <f t="shared" si="25"/>
        <v>0</v>
      </c>
      <c r="K44" s="646">
        <f>SUMIFS('collpy (2)'!$F$94:$F$3676,'collpy (2)'!$C$94:$C$3676,FinView!A44,'collpy (2)'!$A$94:$A$3676,FinView!$K$4)</f>
        <v>3000</v>
      </c>
      <c r="L44" s="647">
        <f>SUMIFS('collpy (2)'!$G$94:$G$3676,'collpy (2)'!$C$94:$C$3676,FinView!A44,'collpy (2)'!$A$94:$A$3676,FinView!$K$4)</f>
        <v>0</v>
      </c>
      <c r="M44" s="646">
        <f>SUMIFS('collpy (2)'!$F$94:$F$3676,'collpy (2)'!$C$94:$C$3676,FinView!A44,'collpy (2)'!$A$94:$A$3676,FinView!$M$4)</f>
        <v>0</v>
      </c>
      <c r="N44" s="647">
        <f>SUMIFS('collpy (2)'!$G$94:$G$3676,'collpy (2)'!$C$94:$C$3676,FinView!A44,'collpy (2)'!$A$94:$A$3676,FinView!$M$4)</f>
        <v>0</v>
      </c>
      <c r="O44" s="646">
        <f>SUMIFS('collpy (2)'!$F$94:$F$3676,'collpy (2)'!$C$94:$C$3676,FinView!A44,'collpy (2)'!$A$94:$A$3676,FinView!$O$4)</f>
        <v>0</v>
      </c>
      <c r="P44" s="647">
        <f>SUMIFS('collpy (2)'!$G$94:$G$3676,'collpy (2)'!$C$94:$C$3676,FinView!A44,'collpy (2)'!$A$94:$A$3676,FinView!$O$4)</f>
        <v>0</v>
      </c>
      <c r="Q44" s="646">
        <f>SUMIFS('collpy (2)'!$F$94:$F$3676,'collpy (2)'!$C$94:$C$3676,FinView!A44,'collpy (2)'!$A$94:$A$3676,FinView!$Q$4)</f>
        <v>0</v>
      </c>
      <c r="R44" s="647">
        <f>SUMIFS('collpy (2)'!$G$94:$G$3676,'collpy (2)'!$C$94:$C$3676,FinView!A44,'collpy (2)'!$A$94:$A$3676,FinView!$Q$4)</f>
        <v>0</v>
      </c>
      <c r="S44" s="646">
        <f>SUMIFS('collpy (2)'!$F$94:$F$3676,'collpy (2)'!$C$94:$C$3676,FinView!A44,'collpy (2)'!$A$94:$A$3676,FinView!$S$4)</f>
        <v>4810</v>
      </c>
      <c r="T44" s="647">
        <f>SUMIFS('collpy (2)'!$G$94:$G$3676,'collpy (2)'!$C$94:$C$3676,FinView!A44,'collpy (2)'!$A$94:$A$3676,FinView!$S$4)</f>
        <v>0</v>
      </c>
      <c r="U44" s="646">
        <f>SUMIFS('collpy (2)'!$F$94:$F$3676,'collpy (2)'!$C$94:$C$3676,FinView!A44,'collpy (2)'!$A$94:$A$3676,FinView!$U$4)</f>
        <v>0</v>
      </c>
      <c r="V44" s="647">
        <f>SUMIFS('collpy (2)'!$G$94:$G$3676,'collpy (2)'!$C$94:$C$3676,FinView!A44,'collpy (2)'!$A$94:$A$3676,FinView!$U$4)</f>
        <v>0</v>
      </c>
      <c r="W44" s="449"/>
      <c r="X44" s="450"/>
      <c r="Y44" s="450"/>
      <c r="Z44" s="450"/>
      <c r="AA44" s="450"/>
      <c r="AB44" s="450"/>
      <c r="AC44" s="450"/>
      <c r="AD44" s="450"/>
      <c r="AE44" s="450"/>
      <c r="AF44" s="450"/>
      <c r="AG44" s="898"/>
      <c r="AH44" s="898"/>
      <c r="AI44" s="898"/>
      <c r="AJ44" s="898"/>
      <c r="AK44" s="898"/>
      <c r="AL44" s="898"/>
      <c r="AM44" s="898"/>
    </row>
    <row r="45" spans="1:39" s="2" customFormat="1" ht="23.25">
      <c r="A45" s="1050">
        <v>2000</v>
      </c>
      <c r="B45" s="1035" t="s">
        <v>4807</v>
      </c>
      <c r="C45" s="654">
        <f>(G45+I45)-(H45+J45)</f>
        <v>101900.34744999837</v>
      </c>
      <c r="D45" s="654"/>
      <c r="E45" s="660">
        <f t="shared" si="15"/>
        <v>3534100.3</v>
      </c>
      <c r="F45" s="661">
        <f t="shared" si="16"/>
        <v>3432199.9525500014</v>
      </c>
      <c r="G45" s="660">
        <f>SUMIFS('collpy (2)'!$F$11:$F$11319,'collpy (2)'!$B$11:$B$11319,"&lt;1/6/2024",'collpy (2)'!$C$11:$C$11319,FinView!A45)</f>
        <v>1896568.98</v>
      </c>
      <c r="H45" s="661">
        <f>SUMIFS('collpy (2)'!$G$11:$G$11319,'collpy (2)'!$B$11:$B$11319,"&lt;1/6/2024",'collpy (2)'!$C$11:$C$11319,FinView!A45)</f>
        <v>2053090.65</v>
      </c>
      <c r="I45" s="660">
        <f t="shared" si="24"/>
        <v>1637531.3199999998</v>
      </c>
      <c r="J45" s="661">
        <f t="shared" si="25"/>
        <v>1379109.3025500015</v>
      </c>
      <c r="K45" s="646">
        <f>SUMIFS('collpy (2)'!$F$94:$F$3676,'collpy (2)'!$C$94:$C$3676,FinView!A45,'collpy (2)'!$A$94:$A$3676,FinView!$K$4)</f>
        <v>0</v>
      </c>
      <c r="L45" s="647">
        <f>SUMIFS('collpy (2)'!$G$94:$G$3676,'collpy (2)'!$C$94:$C$3676,FinView!A45,'collpy (2)'!$A$94:$A$3676,FinView!$K$4)</f>
        <v>0</v>
      </c>
      <c r="M45" s="646">
        <f>SUMIFS('collpy (2)'!$F$94:$F$3676,'collpy (2)'!$C$94:$C$3676,FinView!A45,'collpy (2)'!$A$94:$A$3676,FinView!$M$4)</f>
        <v>0</v>
      </c>
      <c r="N45" s="647">
        <f>SUMIFS('collpy (2)'!$G$94:$G$3676,'collpy (2)'!$C$94:$C$3676,FinView!A45,'collpy (2)'!$A$94:$A$3676,FinView!$M$4)</f>
        <v>0</v>
      </c>
      <c r="O45" s="646">
        <f>SUMIFS('collpy (2)'!$F$94:$F$3676,'collpy (2)'!$C$94:$C$3676,FinView!A45,'collpy (2)'!$A$94:$A$3676,FinView!$O$4)</f>
        <v>0</v>
      </c>
      <c r="P45" s="647">
        <f>SUMIFS('collpy (2)'!$G$94:$G$3676,'collpy (2)'!$C$94:$C$3676,FinView!A45,'collpy (2)'!$A$94:$A$3676,FinView!$O$4)</f>
        <v>446.04</v>
      </c>
      <c r="Q45" s="646">
        <f>SUMIFS('collpy (2)'!$F$94:$F$3676,'collpy (2)'!$C$94:$C$3676,FinView!A45,'collpy (2)'!$A$94:$A$3676,FinView!$Q$4)</f>
        <v>0</v>
      </c>
      <c r="R45" s="647">
        <f>SUMIFS('collpy (2)'!$G$94:$G$3676,'collpy (2)'!$C$94:$C$3676,FinView!A45,'collpy (2)'!$A$94:$A$3676,FinView!$Q$4)</f>
        <v>4424.7699999999995</v>
      </c>
      <c r="S45" s="646">
        <f>SUMIFS('collpy (2)'!$F$94:$F$3676,'collpy (2)'!$C$94:$C$3676,FinView!A45,'collpy (2)'!$A$94:$A$3676,FinView!$S$4)</f>
        <v>1189345.25</v>
      </c>
      <c r="T45" s="647">
        <f>SUMIFS('collpy (2)'!$G$94:$G$3676,'collpy (2)'!$C$94:$C$3676,FinView!A45,'collpy (2)'!$A$94:$A$3676,FinView!$S$4)</f>
        <v>1137344.4400000016</v>
      </c>
      <c r="U45" s="646">
        <f>SUMIFS('collpy (2)'!$F$94:$F$3676,'collpy (2)'!$C$94:$C$3676,FinView!A45,'collpy (2)'!$A$94:$A$3676,FinView!$U$4)</f>
        <v>448186.06999999995</v>
      </c>
      <c r="V45" s="647">
        <f>SUMIFS('collpy (2)'!$G$94:$G$3676,'collpy (2)'!$C$94:$C$3676,FinView!A45,'collpy (2)'!$A$94:$A$3676,FinView!$U$4)</f>
        <v>236894.05254999999</v>
      </c>
      <c r="W45" s="449"/>
      <c r="X45" s="450"/>
      <c r="Y45" s="450"/>
      <c r="Z45" s="450"/>
      <c r="AA45" s="450"/>
      <c r="AB45" s="450"/>
      <c r="AC45" s="450"/>
      <c r="AD45" s="450"/>
      <c r="AE45" s="450"/>
      <c r="AF45" s="450"/>
      <c r="AG45" s="898"/>
      <c r="AH45" s="898"/>
      <c r="AI45" s="898"/>
      <c r="AJ45" s="898"/>
      <c r="AK45" s="898"/>
      <c r="AL45" s="898"/>
      <c r="AM45" s="898"/>
    </row>
    <row r="46" spans="1:39" s="2" customFormat="1" ht="23.25">
      <c r="A46" s="1847" t="s">
        <v>2892</v>
      </c>
      <c r="B46" s="1847"/>
      <c r="C46" s="1849"/>
      <c r="D46" s="1849"/>
      <c r="E46" s="658"/>
      <c r="F46" s="658"/>
      <c r="G46" s="658"/>
      <c r="H46" s="658"/>
      <c r="I46" s="658"/>
      <c r="J46" s="659"/>
      <c r="K46" s="658"/>
      <c r="L46" s="659"/>
      <c r="M46" s="658"/>
      <c r="N46" s="659"/>
      <c r="O46" s="658"/>
      <c r="P46" s="659"/>
      <c r="Q46" s="658"/>
      <c r="R46" s="659"/>
      <c r="S46" s="658"/>
      <c r="T46" s="659"/>
      <c r="U46" s="658"/>
      <c r="V46" s="659"/>
      <c r="W46" s="449"/>
      <c r="X46" s="450"/>
      <c r="Y46" s="450"/>
      <c r="Z46" s="450"/>
      <c r="AA46" s="450"/>
      <c r="AB46" s="450"/>
      <c r="AC46" s="450"/>
      <c r="AD46" s="450"/>
      <c r="AE46" s="450"/>
      <c r="AF46" s="450"/>
      <c r="AG46" s="898"/>
      <c r="AH46" s="898"/>
      <c r="AI46" s="898"/>
      <c r="AJ46" s="898"/>
      <c r="AK46" s="898"/>
      <c r="AL46" s="898"/>
      <c r="AM46" s="898"/>
    </row>
    <row r="47" spans="1:39" s="2" customFormat="1" ht="23.25">
      <c r="A47" s="1848"/>
      <c r="B47" s="1848"/>
      <c r="C47" s="1849"/>
      <c r="D47" s="1849"/>
      <c r="E47" s="658"/>
      <c r="F47" s="658"/>
      <c r="G47" s="658"/>
      <c r="H47" s="658"/>
      <c r="I47" s="658"/>
      <c r="J47" s="659"/>
      <c r="K47" s="658"/>
      <c r="L47" s="659"/>
      <c r="M47" s="658"/>
      <c r="N47" s="659"/>
      <c r="O47" s="658"/>
      <c r="P47" s="659"/>
      <c r="Q47" s="658"/>
      <c r="R47" s="659"/>
      <c r="S47" s="658"/>
      <c r="T47" s="659"/>
      <c r="U47" s="658"/>
      <c r="V47" s="659"/>
      <c r="W47" s="449"/>
      <c r="X47" s="450"/>
      <c r="Y47" s="450"/>
      <c r="Z47" s="450"/>
      <c r="AA47" s="450"/>
      <c r="AB47" s="450"/>
      <c r="AC47" s="450"/>
      <c r="AD47" s="450"/>
      <c r="AE47" s="450"/>
      <c r="AF47" s="450"/>
      <c r="AG47" s="898"/>
      <c r="AH47" s="898"/>
      <c r="AI47" s="898"/>
      <c r="AJ47" s="898"/>
      <c r="AK47" s="898"/>
      <c r="AL47" s="898"/>
      <c r="AM47" s="898"/>
    </row>
    <row r="48" spans="1:39" s="2" customFormat="1" ht="23.25">
      <c r="A48" s="649">
        <v>3920</v>
      </c>
      <c r="B48" s="648" t="str">
        <f>VLOOKUP(A48,Mychart!$A$6:$B$518,2,FALSE)</f>
        <v>Paid-in Capital</v>
      </c>
      <c r="C48" s="654"/>
      <c r="D48" s="654">
        <f>(H48+J48) - (G48+I48)</f>
        <v>300000</v>
      </c>
      <c r="E48" s="660">
        <f t="shared" si="15"/>
        <v>0</v>
      </c>
      <c r="F48" s="661">
        <f t="shared" si="16"/>
        <v>300000</v>
      </c>
      <c r="G48" s="660">
        <f>SUMIFS('collpy (2)'!$F$11:$F$11319,'collpy (2)'!$B$11:$B$11319,"&lt;1/6/2024",'collpy (2)'!$C$11:$C$11319,FinView!A48)</f>
        <v>0</v>
      </c>
      <c r="H48" s="661">
        <f>SUMIFS('collpy (2)'!$G$11:$G$11319,'collpy (2)'!$B$11:$B$11319,"&lt;1/6/2024",'collpy (2)'!$C$11:$C$11319,FinView!A48)</f>
        <v>300000</v>
      </c>
      <c r="I48" s="660">
        <f t="shared" ref="I48:J50" si="26">K48+M48+O48+Q48+S48</f>
        <v>0</v>
      </c>
      <c r="J48" s="661">
        <f t="shared" si="26"/>
        <v>0</v>
      </c>
      <c r="K48" s="646">
        <f>SUMIFS('collpy (2)'!$F$94:$F$3676,'collpy (2)'!$C$94:$C$3676,FinView!A48,'collpy (2)'!$A$94:$A$3676,FinView!$K$4)</f>
        <v>0</v>
      </c>
      <c r="L48" s="647">
        <f>SUMIFS('collpy (2)'!$G$94:$G$3676,'collpy (2)'!$C$94:$C$3676,FinView!A48,'collpy (2)'!$A$94:$A$3676,FinView!$K$4)</f>
        <v>0</v>
      </c>
      <c r="M48" s="646">
        <f>SUMIFS('collpy (2)'!$F$94:$F$3676,'collpy (2)'!$C$94:$C$3676,FinView!A48,'collpy (2)'!$A$94:$A$3676,FinView!$M$4)</f>
        <v>0</v>
      </c>
      <c r="N48" s="647">
        <f>SUMIFS('collpy (2)'!$G$94:$G$3676,'collpy (2)'!$C$94:$C$3676,FinView!A48,'collpy (2)'!$A$94:$A$3676,FinView!$M$4)</f>
        <v>0</v>
      </c>
      <c r="O48" s="646">
        <f>SUMIFS('collpy (2)'!$F$94:$F$3676,'collpy (2)'!$C$94:$C$3676,FinView!A48,'collpy (2)'!$A$94:$A$3676,FinView!$O$4)</f>
        <v>0</v>
      </c>
      <c r="P48" s="647">
        <f>SUMIFS('collpy (2)'!$G$94:$G$3676,'collpy (2)'!$C$94:$C$3676,FinView!A48,'collpy (2)'!$A$94:$A$3676,FinView!$O$4)</f>
        <v>0</v>
      </c>
      <c r="Q48" s="646">
        <f>SUMIFS('collpy (2)'!$F$94:$F$3676,'collpy (2)'!$C$94:$C$3676,FinView!A48,'collpy (2)'!$A$94:$A$3676,FinView!$Q$4)</f>
        <v>0</v>
      </c>
      <c r="R48" s="647">
        <f>SUMIFS('collpy (2)'!$G$94:$G$3676,'collpy (2)'!$C$94:$C$3676,FinView!A48,'collpy (2)'!$A$94:$A$3676,FinView!$Q$4)</f>
        <v>0</v>
      </c>
      <c r="S48" s="646">
        <f>SUMIFS('collpy (2)'!$F$94:$F$3676,'collpy (2)'!$C$94:$C$3676,FinView!A48,'collpy (2)'!$A$94:$A$3676,FinView!$S$4)</f>
        <v>0</v>
      </c>
      <c r="T48" s="647">
        <f>SUMIFS('collpy (2)'!$G$94:$G$3676,'collpy (2)'!$C$94:$C$3676,FinView!A48,'collpy (2)'!$A$94:$A$3676,FinView!$S$4)</f>
        <v>0</v>
      </c>
      <c r="U48" s="646">
        <f>SUMIFS('collpy (2)'!$F$94:$F$3676,'collpy (2)'!$C$94:$C$3676,FinView!A48,'collpy (2)'!$A$94:$A$3676,FinView!$U$4)</f>
        <v>0</v>
      </c>
      <c r="V48" s="647">
        <f>SUMIFS('collpy (2)'!$G$94:$G$3676,'collpy (2)'!$C$94:$C$3676,FinView!A48,'collpy (2)'!$A$94:$A$3676,FinView!$U$4)</f>
        <v>0</v>
      </c>
      <c r="W48" s="449"/>
      <c r="X48" s="450"/>
      <c r="Y48" s="450"/>
      <c r="Z48" s="450"/>
      <c r="AA48" s="450"/>
      <c r="AB48" s="450"/>
      <c r="AC48" s="450"/>
      <c r="AD48" s="450"/>
      <c r="AE48" s="450"/>
      <c r="AF48" s="450"/>
      <c r="AG48" s="898"/>
      <c r="AH48" s="898"/>
      <c r="AI48" s="898"/>
      <c r="AJ48" s="898"/>
      <c r="AK48" s="898"/>
      <c r="AL48" s="898"/>
      <c r="AM48" s="898"/>
    </row>
    <row r="49" spans="1:39" s="2" customFormat="1" ht="23.25">
      <c r="A49" s="657">
        <v>3910</v>
      </c>
      <c r="B49" s="648" t="str">
        <f>VLOOKUP(A49,Mychart!$A$6:$B$518,2,FALSE)</f>
        <v>Retained Earnings</v>
      </c>
      <c r="C49" s="654"/>
      <c r="D49" s="654">
        <f>(H49+J49) - (G49+I49)</f>
        <v>0</v>
      </c>
      <c r="E49" s="660">
        <f t="shared" si="15"/>
        <v>0</v>
      </c>
      <c r="F49" s="661">
        <f t="shared" si="16"/>
        <v>0</v>
      </c>
      <c r="G49" s="660">
        <f>SUMIFS('collpy (2)'!$F$11:$F$11319,'collpy (2)'!$B$11:$B$11319,"&lt;1/6/2024",'collpy (2)'!$C$11:$C$11319,FinView!A49)</f>
        <v>0</v>
      </c>
      <c r="H49" s="661">
        <f>SUMIFS('collpy (2)'!$G$11:$G$11319,'collpy (2)'!$B$11:$B$11319,"&lt;1/6/2024",'collpy (2)'!$C$11:$C$11319,FinView!A49)</f>
        <v>0</v>
      </c>
      <c r="I49" s="660">
        <f t="shared" si="26"/>
        <v>0</v>
      </c>
      <c r="J49" s="661">
        <f t="shared" si="26"/>
        <v>0</v>
      </c>
      <c r="K49" s="646">
        <f>SUMIFS('collpy (2)'!$F$94:$F$3676,'collpy (2)'!$C$94:$C$3676,FinView!A49,'collpy (2)'!$A$94:$A$3676,FinView!$K$4)</f>
        <v>0</v>
      </c>
      <c r="L49" s="647">
        <f>SUMIFS('collpy (2)'!$G$94:$G$3676,'collpy (2)'!$C$94:$C$3676,FinView!A49,'collpy (2)'!$A$94:$A$3676,FinView!$K$4)</f>
        <v>0</v>
      </c>
      <c r="M49" s="646">
        <f>SUMIFS('collpy (2)'!$F$94:$F$3676,'collpy (2)'!$C$94:$C$3676,FinView!A49,'collpy (2)'!$A$94:$A$3676,FinView!$M$4)</f>
        <v>0</v>
      </c>
      <c r="N49" s="647">
        <f>SUMIFS('collpy (2)'!$G$94:$G$3676,'collpy (2)'!$C$94:$C$3676,FinView!A49,'collpy (2)'!$A$94:$A$3676,FinView!$M$4)</f>
        <v>0</v>
      </c>
      <c r="O49" s="646">
        <f>SUMIFS('collpy (2)'!$F$94:$F$3676,'collpy (2)'!$C$94:$C$3676,FinView!A49,'collpy (2)'!$A$94:$A$3676,FinView!$O$4)</f>
        <v>0</v>
      </c>
      <c r="P49" s="647">
        <f>SUMIFS('collpy (2)'!$G$94:$G$3676,'collpy (2)'!$C$94:$C$3676,FinView!A49,'collpy (2)'!$A$94:$A$3676,FinView!$O$4)</f>
        <v>0</v>
      </c>
      <c r="Q49" s="646">
        <f>SUMIFS('collpy (2)'!$F$94:$F$3676,'collpy (2)'!$C$94:$C$3676,FinView!A49,'collpy (2)'!$A$94:$A$3676,FinView!$Q$4)</f>
        <v>0</v>
      </c>
      <c r="R49" s="647">
        <f>SUMIFS('collpy (2)'!$G$94:$G$3676,'collpy (2)'!$C$94:$C$3676,FinView!A49,'collpy (2)'!$A$94:$A$3676,FinView!$Q$4)</f>
        <v>0</v>
      </c>
      <c r="S49" s="646">
        <f>SUMIFS('collpy (2)'!$F$94:$F$3676,'collpy (2)'!$C$94:$C$3676,FinView!A49,'collpy (2)'!$A$94:$A$3676,FinView!$S$4)</f>
        <v>0</v>
      </c>
      <c r="T49" s="647">
        <f>SUMIFS('collpy (2)'!$G$94:$G$3676,'collpy (2)'!$C$94:$C$3676,FinView!A49,'collpy (2)'!$A$94:$A$3676,FinView!$S$4)</f>
        <v>0</v>
      </c>
      <c r="U49" s="646">
        <f>SUMIFS('collpy (2)'!$F$94:$F$3676,'collpy (2)'!$C$94:$C$3676,FinView!A49,'collpy (2)'!$A$94:$A$3676,FinView!$U$4)</f>
        <v>0</v>
      </c>
      <c r="V49" s="647">
        <f>SUMIFS('collpy (2)'!$G$94:$G$3676,'collpy (2)'!$C$94:$C$3676,FinView!A49,'collpy (2)'!$A$94:$A$3676,FinView!$U$4)</f>
        <v>0</v>
      </c>
      <c r="W49" s="449"/>
      <c r="X49" s="450"/>
      <c r="Y49" s="450"/>
      <c r="Z49" s="450"/>
      <c r="AA49" s="450"/>
      <c r="AB49" s="450"/>
      <c r="AC49" s="450"/>
      <c r="AD49" s="450"/>
      <c r="AE49" s="450"/>
      <c r="AF49" s="450"/>
      <c r="AG49" s="898"/>
      <c r="AH49" s="898"/>
      <c r="AI49" s="898"/>
      <c r="AJ49" s="898"/>
      <c r="AK49" s="898"/>
      <c r="AL49" s="898"/>
      <c r="AM49" s="898"/>
    </row>
    <row r="50" spans="1:39" s="2" customFormat="1" ht="23.25">
      <c r="A50" s="657"/>
      <c r="B50" s="648"/>
      <c r="C50" s="654"/>
      <c r="D50" s="654"/>
      <c r="E50" s="660">
        <f t="shared" si="15"/>
        <v>0</v>
      </c>
      <c r="F50" s="661">
        <f t="shared" si="16"/>
        <v>0</v>
      </c>
      <c r="G50" s="660">
        <f>SUMIFS('collpy (2)'!$F$11:$F$11319,'collpy (2)'!$B$11:$B$11319,"&lt;1/6/2024",'collpy (2)'!$C$11:$C$11319,FinView!A50)</f>
        <v>0</v>
      </c>
      <c r="H50" s="661">
        <f>SUMIFS('collpy (2)'!$G$11:$G$11319,'collpy (2)'!$B$11:$B$11319,"&lt;1/6/2024",'collpy (2)'!$C$11:$C$11319,FinView!A50)</f>
        <v>0</v>
      </c>
      <c r="I50" s="660">
        <f t="shared" si="26"/>
        <v>0</v>
      </c>
      <c r="J50" s="661">
        <f t="shared" si="26"/>
        <v>0</v>
      </c>
      <c r="K50" s="646">
        <f>SUMIFS('collpy (2)'!$F$94:$F$3676,'collpy (2)'!$C$94:$C$3676,FinView!A50,'collpy (2)'!$A$94:$A$3676,FinView!$K$4)</f>
        <v>0</v>
      </c>
      <c r="L50" s="647">
        <f>SUMIFS('collpy (2)'!$G$94:$G$3676,'collpy (2)'!$C$94:$C$3676,FinView!A50,'collpy (2)'!$A$94:$A$3676,FinView!$K$4)</f>
        <v>0</v>
      </c>
      <c r="M50" s="646">
        <f>SUMIFS('collpy (2)'!$F$94:$F$3676,'collpy (2)'!$C$94:$C$3676,FinView!A50,'collpy (2)'!$A$94:$A$3676,FinView!$M$4)</f>
        <v>0</v>
      </c>
      <c r="N50" s="647">
        <f>SUMIFS('collpy (2)'!$G$94:$G$3676,'collpy (2)'!$C$94:$C$3676,FinView!A50,'collpy (2)'!$A$94:$A$3676,FinView!$M$4)</f>
        <v>0</v>
      </c>
      <c r="O50" s="646">
        <f>SUMIFS('collpy (2)'!$F$94:$F$3676,'collpy (2)'!$C$94:$C$3676,FinView!A50,'collpy (2)'!$A$94:$A$3676,FinView!$O$4)</f>
        <v>0</v>
      </c>
      <c r="P50" s="647">
        <f>SUMIFS('collpy (2)'!$G$94:$G$3676,'collpy (2)'!$C$94:$C$3676,FinView!A50,'collpy (2)'!$A$94:$A$3676,FinView!$O$4)</f>
        <v>0</v>
      </c>
      <c r="Q50" s="646">
        <f>SUMIFS('collpy (2)'!$F$94:$F$3676,'collpy (2)'!$C$94:$C$3676,FinView!A50,'collpy (2)'!$A$94:$A$3676,FinView!$Q$4)</f>
        <v>0</v>
      </c>
      <c r="R50" s="647">
        <f>SUMIFS('collpy (2)'!$G$94:$G$3676,'collpy (2)'!$C$94:$C$3676,FinView!A50,'collpy (2)'!$A$94:$A$3676,FinView!$Q$4)</f>
        <v>0</v>
      </c>
      <c r="S50" s="646">
        <f>SUMIFS('collpy (2)'!$F$94:$F$3676,'collpy (2)'!$C$94:$C$3676,FinView!A50,'collpy (2)'!$A$94:$A$3676,FinView!$S$4)</f>
        <v>0</v>
      </c>
      <c r="T50" s="647">
        <f>SUMIFS('collpy (2)'!$G$94:$G$3676,'collpy (2)'!$C$94:$C$3676,FinView!A50,'collpy (2)'!$A$94:$A$3676,FinView!$S$4)</f>
        <v>0</v>
      </c>
      <c r="U50" s="646">
        <f>SUMIFS('collpy (2)'!$F$94:$F$3676,'collpy (2)'!$C$94:$C$3676,FinView!A50,'collpy (2)'!$A$94:$A$3676,FinView!$U$4)</f>
        <v>0</v>
      </c>
      <c r="V50" s="647">
        <f>SUMIFS('collpy (2)'!$G$94:$G$3676,'collpy (2)'!$C$94:$C$3676,FinView!A50,'collpy (2)'!$A$94:$A$3676,FinView!$U$4)</f>
        <v>0</v>
      </c>
      <c r="W50" s="449"/>
      <c r="X50" s="450"/>
      <c r="Y50" s="450"/>
      <c r="Z50" s="450"/>
      <c r="AA50" s="450"/>
      <c r="AB50" s="450"/>
      <c r="AC50" s="450"/>
      <c r="AD50" s="450"/>
      <c r="AE50" s="450"/>
      <c r="AF50" s="450"/>
      <c r="AG50" s="898"/>
      <c r="AH50" s="898"/>
      <c r="AI50" s="898"/>
      <c r="AJ50" s="898"/>
      <c r="AK50" s="898"/>
      <c r="AL50" s="898"/>
      <c r="AM50" s="898"/>
    </row>
    <row r="51" spans="1:39" s="2" customFormat="1" ht="23.25">
      <c r="A51" s="1847" t="s">
        <v>1534</v>
      </c>
      <c r="B51" s="1847"/>
      <c r="C51" s="1849">
        <f>SUM(C53:C86)</f>
        <v>1393365.3001275</v>
      </c>
      <c r="D51" s="1849"/>
      <c r="E51" s="658"/>
      <c r="F51" s="658"/>
      <c r="G51" s="658"/>
      <c r="H51" s="658"/>
      <c r="I51" s="658"/>
      <c r="J51" s="659"/>
      <c r="K51" s="658"/>
      <c r="L51" s="659"/>
      <c r="M51" s="658"/>
      <c r="N51" s="659"/>
      <c r="O51" s="658"/>
      <c r="P51" s="659"/>
      <c r="Q51" s="658"/>
      <c r="R51" s="659"/>
      <c r="S51" s="658"/>
      <c r="T51" s="659"/>
      <c r="U51" s="658"/>
      <c r="V51" s="659"/>
      <c r="W51" s="449"/>
      <c r="X51" s="450"/>
      <c r="Y51" s="450"/>
      <c r="Z51" s="450"/>
      <c r="AA51" s="450"/>
      <c r="AB51" s="450"/>
      <c r="AC51" s="450"/>
      <c r="AD51" s="450"/>
      <c r="AE51" s="450"/>
      <c r="AF51" s="450"/>
      <c r="AG51" s="898"/>
      <c r="AH51" s="898"/>
      <c r="AI51" s="898"/>
      <c r="AJ51" s="898"/>
      <c r="AK51" s="898"/>
      <c r="AL51" s="898"/>
      <c r="AM51" s="898"/>
    </row>
    <row r="52" spans="1:39" s="2" customFormat="1" ht="23.25">
      <c r="A52" s="1848"/>
      <c r="B52" s="1848"/>
      <c r="C52" s="1849"/>
      <c r="D52" s="1849"/>
      <c r="E52" s="658"/>
      <c r="F52" s="658"/>
      <c r="G52" s="658"/>
      <c r="H52" s="658"/>
      <c r="I52" s="658"/>
      <c r="J52" s="659"/>
      <c r="K52" s="658"/>
      <c r="L52" s="659"/>
      <c r="M52" s="658"/>
      <c r="N52" s="659"/>
      <c r="O52" s="658"/>
      <c r="P52" s="659"/>
      <c r="Q52" s="658"/>
      <c r="R52" s="659"/>
      <c r="S52" s="658"/>
      <c r="T52" s="659"/>
      <c r="U52" s="658"/>
      <c r="V52" s="659"/>
      <c r="W52" s="449"/>
      <c r="X52" s="450"/>
      <c r="Y52" s="450"/>
      <c r="Z52" s="450"/>
      <c r="AA52" s="450"/>
      <c r="AB52" s="450"/>
      <c r="AC52" s="450"/>
      <c r="AD52" s="450"/>
      <c r="AE52" s="450"/>
      <c r="AF52" s="450"/>
      <c r="AG52" s="898"/>
      <c r="AH52" s="898"/>
      <c r="AI52" s="898"/>
      <c r="AJ52" s="898"/>
      <c r="AK52" s="898"/>
      <c r="AL52" s="898"/>
      <c r="AM52" s="898"/>
    </row>
    <row r="53" spans="1:39" s="2" customFormat="1" ht="23.25">
      <c r="A53" s="657">
        <v>6000</v>
      </c>
      <c r="B53" s="648" t="s">
        <v>91</v>
      </c>
      <c r="C53" s="654">
        <f>(G53+I53)-(H53+J53)</f>
        <v>812502</v>
      </c>
      <c r="D53" s="654"/>
      <c r="E53" s="660">
        <f t="shared" si="15"/>
        <v>812502</v>
      </c>
      <c r="F53" s="661">
        <f t="shared" si="16"/>
        <v>0</v>
      </c>
      <c r="G53" s="660">
        <f>SUMIFS('collpy (2)'!$F$11:$F$11319,'collpy (2)'!$B$11:$B$11319,"&lt;1/6/2024",'collpy (2)'!$C$11:$C$11319,FinView!A53)</f>
        <v>381686</v>
      </c>
      <c r="H53" s="661">
        <f>SUMIFS('collpy (2)'!$G$11:$G$11319,'collpy (2)'!$B$11:$B$11319,"&lt;1/6/2024",'collpy (2)'!$C$11:$C$11319,FinView!A53)</f>
        <v>0</v>
      </c>
      <c r="I53" s="660">
        <f t="shared" ref="I53" si="27">K53+M53+O53+Q53+S53+U53</f>
        <v>430816</v>
      </c>
      <c r="J53" s="661">
        <f t="shared" ref="J53" si="28">L53+N53+P53+R53+T53+V53</f>
        <v>0</v>
      </c>
      <c r="K53" s="646">
        <f>SUMIFS('collpy (2)'!$F$94:$F$3676,'collpy (2)'!$C$94:$C$3676,FinView!A53,'collpy (2)'!$A$94:$A$3676,FinView!$K$4)</f>
        <v>1000</v>
      </c>
      <c r="L53" s="647">
        <f>SUMIFS('collpy (2)'!$G$94:$G$3676,'collpy (2)'!$C$94:$C$3676,FinView!A53,'collpy (2)'!$A$94:$A$3676,FinView!$K$4)</f>
        <v>0</v>
      </c>
      <c r="M53" s="646">
        <f>SUMIFS('collpy (2)'!$F$94:$F$3676,'collpy (2)'!$C$94:$C$3676,FinView!A53,'collpy (2)'!$A$94:$A$3676,FinView!$M$4)</f>
        <v>139524</v>
      </c>
      <c r="N53" s="647">
        <f>SUMIFS('collpy (2)'!$G$94:$G$3676,'collpy (2)'!$C$94:$C$3676,FinView!A53,'collpy (2)'!$A$94:$A$3676,FinView!$M$4)</f>
        <v>0</v>
      </c>
      <c r="O53" s="646">
        <f>SUMIFS('collpy (2)'!$F$94:$F$3676,'collpy (2)'!$C$94:$C$3676,FinView!A53,'collpy (2)'!$A$94:$A$3676,FinView!$O$4)</f>
        <v>68994</v>
      </c>
      <c r="P53" s="647">
        <f>SUMIFS('collpy (2)'!$G$94:$G$3676,'collpy (2)'!$C$94:$C$3676,FinView!A53,'collpy (2)'!$A$94:$A$3676,FinView!$O$4)</f>
        <v>0</v>
      </c>
      <c r="Q53" s="646">
        <f>SUMIFS('collpy (2)'!$F$94:$F$3676,'collpy (2)'!$C$94:$C$3676,FinView!A53,'collpy (2)'!$A$94:$A$3676,FinView!$Q$4)</f>
        <v>74837</v>
      </c>
      <c r="R53" s="647">
        <f>SUMIFS('collpy (2)'!$G$94:$G$3676,'collpy (2)'!$C$94:$C$3676,FinView!A53,'collpy (2)'!$A$94:$A$3676,FinView!$Q$4)</f>
        <v>0</v>
      </c>
      <c r="S53" s="646">
        <f>SUMIFS('collpy (2)'!$F$94:$F$3676,'collpy (2)'!$C$94:$C$3676,FinView!A53,'collpy (2)'!$A$94:$A$3676,FinView!$S$4)</f>
        <v>72924</v>
      </c>
      <c r="T53" s="647">
        <f>SUMIFS('collpy (2)'!$G$94:$G$3676,'collpy (2)'!$C$94:$C$3676,FinView!A53,'collpy (2)'!$A$94:$A$3676,FinView!$S$4)</f>
        <v>0</v>
      </c>
      <c r="U53" s="646">
        <f>SUMIFS('collpy (2)'!$F$94:$F$3676,'collpy (2)'!$C$94:$C$3676,FinView!A53,'collpy (2)'!$A$94:$A$3676,FinView!$U$4)</f>
        <v>73537</v>
      </c>
      <c r="V53" s="647">
        <f>SUMIFS('collpy (2)'!$G$94:$G$3676,'collpy (2)'!$C$94:$C$3676,FinView!A53,'collpy (2)'!$A$94:$A$3676,FinView!$U$4)</f>
        <v>0</v>
      </c>
      <c r="W53" s="449"/>
      <c r="X53" s="450"/>
      <c r="Y53" s="450"/>
      <c r="Z53" s="450"/>
      <c r="AA53" s="450"/>
      <c r="AB53" s="450"/>
      <c r="AC53" s="450"/>
      <c r="AD53" s="450"/>
      <c r="AE53" s="450"/>
      <c r="AF53" s="450"/>
      <c r="AG53" s="898"/>
      <c r="AH53" s="898"/>
      <c r="AI53" s="898"/>
      <c r="AJ53" s="898"/>
      <c r="AK53" s="898"/>
      <c r="AL53" s="898"/>
      <c r="AM53" s="898"/>
    </row>
    <row r="54" spans="1:39" s="2" customFormat="1" ht="23.25">
      <c r="A54" s="657">
        <v>6001</v>
      </c>
      <c r="B54" s="648" t="s">
        <v>92</v>
      </c>
      <c r="C54" s="654">
        <f>(G54+I54)-(H54+J54)</f>
        <v>64354.83</v>
      </c>
      <c r="D54" s="654"/>
      <c r="E54" s="660">
        <f t="shared" si="15"/>
        <v>64354.83</v>
      </c>
      <c r="F54" s="661">
        <f t="shared" si="16"/>
        <v>0</v>
      </c>
      <c r="G54" s="660">
        <f>SUMIFS('collpy (2)'!$F$11:$F$11319,'collpy (2)'!$B$11:$B$11319,"&lt;1/6/2024",'collpy (2)'!$C$11:$C$11319,FinView!A54)</f>
        <v>33805.25</v>
      </c>
      <c r="H54" s="661">
        <f>SUMIFS('collpy (2)'!$G$11:$G$11319,'collpy (2)'!$B$11:$B$11319,"&lt;1/6/2024",'collpy (2)'!$C$11:$C$11319,FinView!A54)</f>
        <v>0</v>
      </c>
      <c r="I54" s="660">
        <f t="shared" ref="I54:I86" si="29">K54+M54+O54+Q54+S54+U54</f>
        <v>30549.58</v>
      </c>
      <c r="J54" s="661">
        <f t="shared" ref="J54:J86" si="30">L54+N54+P54+R54+T54+V54</f>
        <v>0</v>
      </c>
      <c r="K54" s="646">
        <f>SUMIFS('collpy (2)'!$F$94:$F$3676,'collpy (2)'!$C$94:$C$3676,FinView!A54,'collpy (2)'!$A$94:$A$3676,FinView!$K$4)</f>
        <v>5481.33</v>
      </c>
      <c r="L54" s="647">
        <f>SUMIFS('collpy (2)'!$G$94:$G$3676,'collpy (2)'!$C$94:$C$3676,FinView!A54,'collpy (2)'!$A$94:$A$3676,FinView!$K$4)</f>
        <v>0</v>
      </c>
      <c r="M54" s="646">
        <f>SUMIFS('collpy (2)'!$F$94:$F$3676,'collpy (2)'!$C$94:$C$3676,FinView!A54,'collpy (2)'!$A$94:$A$3676,FinView!$M$4)</f>
        <v>6212.18</v>
      </c>
      <c r="N54" s="647">
        <f>SUMIFS('collpy (2)'!$G$94:$G$3676,'collpy (2)'!$C$94:$C$3676,FinView!A54,'collpy (2)'!$A$94:$A$3676,FinView!$M$4)</f>
        <v>0</v>
      </c>
      <c r="O54" s="646">
        <f>SUMIFS('collpy (2)'!$F$94:$F$3676,'collpy (2)'!$C$94:$C$3676,FinView!A54,'collpy (2)'!$A$94:$A$3676,FinView!$O$4)</f>
        <v>6956.75</v>
      </c>
      <c r="P54" s="647">
        <f>SUMIFS('collpy (2)'!$G$94:$G$3676,'collpy (2)'!$C$94:$C$3676,FinView!A54,'collpy (2)'!$A$94:$A$3676,FinView!$O$4)</f>
        <v>0</v>
      </c>
      <c r="Q54" s="646">
        <f>SUMIFS('collpy (2)'!$F$94:$F$3676,'collpy (2)'!$C$94:$C$3676,FinView!A54,'collpy (2)'!$A$94:$A$3676,FinView!$Q$4)</f>
        <v>6087.63</v>
      </c>
      <c r="R54" s="647">
        <f>SUMIFS('collpy (2)'!$G$94:$G$3676,'collpy (2)'!$C$94:$C$3676,FinView!A54,'collpy (2)'!$A$94:$A$3676,FinView!$Q$4)</f>
        <v>0</v>
      </c>
      <c r="S54" s="646">
        <f>SUMIFS('collpy (2)'!$F$94:$F$3676,'collpy (2)'!$C$94:$C$3676,FinView!A54,'collpy (2)'!$A$94:$A$3676,FinView!$S$4)</f>
        <v>5811.69</v>
      </c>
      <c r="T54" s="647">
        <f>SUMIFS('collpy (2)'!$G$94:$G$3676,'collpy (2)'!$C$94:$C$3676,FinView!A54,'collpy (2)'!$A$94:$A$3676,FinView!$S$4)</f>
        <v>0</v>
      </c>
      <c r="U54" s="646">
        <f>SUMIFS('collpy (2)'!$F$94:$F$3676,'collpy (2)'!$C$94:$C$3676,FinView!A54,'collpy (2)'!$A$94:$A$3676,FinView!$U$4)</f>
        <v>0</v>
      </c>
      <c r="V54" s="647">
        <f>SUMIFS('collpy (2)'!$G$94:$G$3676,'collpy (2)'!$C$94:$C$3676,FinView!A54,'collpy (2)'!$A$94:$A$3676,FinView!$U$4)</f>
        <v>0</v>
      </c>
      <c r="W54" s="449"/>
      <c r="X54" s="450"/>
      <c r="Y54" s="450"/>
      <c r="Z54" s="450"/>
      <c r="AA54" s="450"/>
      <c r="AB54" s="450"/>
      <c r="AC54" s="450"/>
      <c r="AD54" s="450"/>
      <c r="AE54" s="450"/>
      <c r="AF54" s="450"/>
      <c r="AG54" s="898"/>
      <c r="AH54" s="898"/>
      <c r="AI54" s="898"/>
      <c r="AJ54" s="898"/>
      <c r="AK54" s="898"/>
      <c r="AL54" s="898"/>
      <c r="AM54" s="898"/>
    </row>
    <row r="55" spans="1:39" s="2" customFormat="1" ht="23.25">
      <c r="A55" s="657">
        <v>6002</v>
      </c>
      <c r="B55" s="648" t="s">
        <v>93</v>
      </c>
      <c r="C55" s="654">
        <f t="shared" ref="C55:C86" si="31">(G55+I55)-(H55+J55)</f>
        <v>47</v>
      </c>
      <c r="D55" s="654"/>
      <c r="E55" s="660">
        <f t="shared" si="15"/>
        <v>47</v>
      </c>
      <c r="F55" s="661">
        <f t="shared" si="16"/>
        <v>0</v>
      </c>
      <c r="G55" s="660">
        <f>SUMIFS('collpy (2)'!$F$11:$F$11319,'collpy (2)'!$B$11:$B$11319,"&lt;1/6/2024",'collpy (2)'!$C$11:$C$11319,FinView!A55)</f>
        <v>0</v>
      </c>
      <c r="H55" s="661">
        <f>SUMIFS('collpy (2)'!$G$11:$G$11319,'collpy (2)'!$B$11:$B$11319,"&lt;1/6/2024",'collpy (2)'!$C$11:$C$11319,FinView!A55)</f>
        <v>0</v>
      </c>
      <c r="I55" s="660">
        <f t="shared" si="29"/>
        <v>47</v>
      </c>
      <c r="J55" s="661">
        <f t="shared" si="30"/>
        <v>0</v>
      </c>
      <c r="K55" s="646">
        <f>SUMIFS('collpy (2)'!$F$94:$F$3676,'collpy (2)'!$C$94:$C$3676,FinView!A55,'collpy (2)'!$A$94:$A$3676,FinView!$K$4)</f>
        <v>0</v>
      </c>
      <c r="L55" s="647">
        <f>SUMIFS('collpy (2)'!$G$94:$G$3676,'collpy (2)'!$C$94:$C$3676,FinView!A55,'collpy (2)'!$A$94:$A$3676,FinView!$K$4)</f>
        <v>0</v>
      </c>
      <c r="M55" s="646">
        <f>SUMIFS('collpy (2)'!$F$94:$F$3676,'collpy (2)'!$C$94:$C$3676,FinView!A55,'collpy (2)'!$A$94:$A$3676,FinView!$M$4)</f>
        <v>47</v>
      </c>
      <c r="N55" s="647">
        <f>SUMIFS('collpy (2)'!$G$94:$G$3676,'collpy (2)'!$C$94:$C$3676,FinView!A55,'collpy (2)'!$A$94:$A$3676,FinView!$M$4)</f>
        <v>0</v>
      </c>
      <c r="O55" s="646">
        <f>SUMIFS('collpy (2)'!$F$94:$F$3676,'collpy (2)'!$C$94:$C$3676,FinView!A55,'collpy (2)'!$A$94:$A$3676,FinView!$O$4)</f>
        <v>0</v>
      </c>
      <c r="P55" s="647">
        <f>SUMIFS('collpy (2)'!$G$94:$G$3676,'collpy (2)'!$C$94:$C$3676,FinView!A55,'collpy (2)'!$A$94:$A$3676,FinView!$O$4)</f>
        <v>0</v>
      </c>
      <c r="Q55" s="646">
        <f>SUMIFS('collpy (2)'!$F$94:$F$3676,'collpy (2)'!$C$94:$C$3676,FinView!A55,'collpy (2)'!$A$94:$A$3676,FinView!$Q$4)</f>
        <v>0</v>
      </c>
      <c r="R55" s="647">
        <f>SUMIFS('collpy (2)'!$G$94:$G$3676,'collpy (2)'!$C$94:$C$3676,FinView!A55,'collpy (2)'!$A$94:$A$3676,FinView!$Q$4)</f>
        <v>0</v>
      </c>
      <c r="S55" s="646">
        <f>SUMIFS('collpy (2)'!$F$94:$F$3676,'collpy (2)'!$C$94:$C$3676,FinView!A55,'collpy (2)'!$A$94:$A$3676,FinView!$S$4)</f>
        <v>0</v>
      </c>
      <c r="T55" s="647">
        <f>SUMIFS('collpy (2)'!$G$94:$G$3676,'collpy (2)'!$C$94:$C$3676,FinView!A55,'collpy (2)'!$A$94:$A$3676,FinView!$S$4)</f>
        <v>0</v>
      </c>
      <c r="U55" s="646">
        <f>SUMIFS('collpy (2)'!$F$94:$F$3676,'collpy (2)'!$C$94:$C$3676,FinView!A55,'collpy (2)'!$A$94:$A$3676,FinView!$U$4)</f>
        <v>0</v>
      </c>
      <c r="V55" s="647">
        <f>SUMIFS('collpy (2)'!$G$94:$G$3676,'collpy (2)'!$C$94:$C$3676,FinView!A55,'collpy (2)'!$A$94:$A$3676,FinView!$U$4)</f>
        <v>0</v>
      </c>
      <c r="W55" s="449"/>
      <c r="X55" s="450"/>
      <c r="Y55" s="450"/>
      <c r="Z55" s="450"/>
      <c r="AA55" s="450"/>
      <c r="AB55" s="450"/>
      <c r="AC55" s="450"/>
      <c r="AD55" s="450"/>
      <c r="AE55" s="450"/>
      <c r="AF55" s="450"/>
      <c r="AG55" s="898"/>
      <c r="AH55" s="898"/>
      <c r="AI55" s="898"/>
      <c r="AJ55" s="898"/>
      <c r="AK55" s="898"/>
      <c r="AL55" s="898"/>
      <c r="AM55" s="898"/>
    </row>
    <row r="56" spans="1:39" s="2" customFormat="1" ht="23.25">
      <c r="A56" s="657">
        <v>6003</v>
      </c>
      <c r="B56" s="648" t="s">
        <v>94</v>
      </c>
      <c r="C56" s="654">
        <f t="shared" si="31"/>
        <v>1508.95</v>
      </c>
      <c r="D56" s="654"/>
      <c r="E56" s="660">
        <f t="shared" si="15"/>
        <v>1508.95</v>
      </c>
      <c r="F56" s="661">
        <f t="shared" si="16"/>
        <v>0</v>
      </c>
      <c r="G56" s="660">
        <f>SUMIFS('collpy (2)'!$F$11:$F$11319,'collpy (2)'!$B$11:$B$11319,"&lt;1/6/2024",'collpy (2)'!$C$11:$C$11319,FinView!A56)</f>
        <v>333.32</v>
      </c>
      <c r="H56" s="661">
        <f>SUMIFS('collpy (2)'!$G$11:$G$11319,'collpy (2)'!$B$11:$B$11319,"&lt;1/6/2024",'collpy (2)'!$C$11:$C$11319,FinView!A56)</f>
        <v>0</v>
      </c>
      <c r="I56" s="660">
        <f t="shared" si="29"/>
        <v>1175.6300000000001</v>
      </c>
      <c r="J56" s="661">
        <f t="shared" si="30"/>
        <v>0</v>
      </c>
      <c r="K56" s="646">
        <f>SUMIFS('collpy (2)'!$F$94:$F$3676,'collpy (2)'!$C$94:$C$3676,FinView!A56,'collpy (2)'!$A$94:$A$3676,FinView!$K$4)</f>
        <v>201.47</v>
      </c>
      <c r="L56" s="647">
        <f>SUMIFS('collpy (2)'!$G$94:$G$3676,'collpy (2)'!$C$94:$C$3676,FinView!A56,'collpy (2)'!$A$94:$A$3676,FinView!$K$4)</f>
        <v>0</v>
      </c>
      <c r="M56" s="646">
        <f>SUMIFS('collpy (2)'!$F$94:$F$3676,'collpy (2)'!$C$94:$C$3676,FinView!A56,'collpy (2)'!$A$94:$A$3676,FinView!$M$4)</f>
        <v>266.14</v>
      </c>
      <c r="N56" s="647">
        <f>SUMIFS('collpy (2)'!$G$94:$G$3676,'collpy (2)'!$C$94:$C$3676,FinView!A56,'collpy (2)'!$A$94:$A$3676,FinView!$M$4)</f>
        <v>0</v>
      </c>
      <c r="O56" s="646">
        <f>SUMIFS('collpy (2)'!$F$94:$F$3676,'collpy (2)'!$C$94:$C$3676,FinView!A56,'collpy (2)'!$A$94:$A$3676,FinView!$O$4)</f>
        <v>0</v>
      </c>
      <c r="P56" s="647">
        <f>SUMIFS('collpy (2)'!$G$94:$G$3676,'collpy (2)'!$C$94:$C$3676,FinView!A56,'collpy (2)'!$A$94:$A$3676,FinView!$O$4)</f>
        <v>0</v>
      </c>
      <c r="Q56" s="646">
        <f>SUMIFS('collpy (2)'!$F$94:$F$3676,'collpy (2)'!$C$94:$C$3676,FinView!A56,'collpy (2)'!$A$94:$A$3676,FinView!$Q$4)</f>
        <v>381.12</v>
      </c>
      <c r="R56" s="647">
        <f>SUMIFS('collpy (2)'!$G$94:$G$3676,'collpy (2)'!$C$94:$C$3676,FinView!A56,'collpy (2)'!$A$94:$A$3676,FinView!$Q$4)</f>
        <v>0</v>
      </c>
      <c r="S56" s="646">
        <f>SUMIFS('collpy (2)'!$F$94:$F$3676,'collpy (2)'!$C$94:$C$3676,FinView!A56,'collpy (2)'!$A$94:$A$3676,FinView!$S$4)</f>
        <v>326.89999999999998</v>
      </c>
      <c r="T56" s="647">
        <f>SUMIFS('collpy (2)'!$G$94:$G$3676,'collpy (2)'!$C$94:$C$3676,FinView!A56,'collpy (2)'!$A$94:$A$3676,FinView!$S$4)</f>
        <v>0</v>
      </c>
      <c r="U56" s="646">
        <f>SUMIFS('collpy (2)'!$F$94:$F$3676,'collpy (2)'!$C$94:$C$3676,FinView!A56,'collpy (2)'!$A$94:$A$3676,FinView!$U$4)</f>
        <v>0</v>
      </c>
      <c r="V56" s="647">
        <f>SUMIFS('collpy (2)'!$G$94:$G$3676,'collpy (2)'!$C$94:$C$3676,FinView!A56,'collpy (2)'!$A$94:$A$3676,FinView!$U$4)</f>
        <v>0</v>
      </c>
      <c r="W56" s="449"/>
      <c r="X56" s="450"/>
      <c r="Y56" s="450"/>
      <c r="Z56" s="450"/>
      <c r="AA56" s="450"/>
      <c r="AB56" s="450"/>
      <c r="AC56" s="450"/>
      <c r="AD56" s="450"/>
      <c r="AE56" s="450"/>
      <c r="AF56" s="450"/>
      <c r="AG56" s="898"/>
      <c r="AH56" s="898"/>
      <c r="AI56" s="898"/>
      <c r="AJ56" s="898"/>
      <c r="AK56" s="898"/>
      <c r="AL56" s="898"/>
      <c r="AM56" s="898"/>
    </row>
    <row r="57" spans="1:39" s="2" customFormat="1" ht="18.75" customHeight="1">
      <c r="A57" s="657">
        <v>6004</v>
      </c>
      <c r="B57" s="648" t="s">
        <v>95</v>
      </c>
      <c r="C57" s="654">
        <f t="shared" si="31"/>
        <v>17035.73</v>
      </c>
      <c r="D57" s="654"/>
      <c r="E57" s="660">
        <f t="shared" si="15"/>
        <v>17035.73</v>
      </c>
      <c r="F57" s="661">
        <f t="shared" si="16"/>
        <v>0</v>
      </c>
      <c r="G57" s="660">
        <f>SUMIFS('collpy (2)'!$F$11:$F$11319,'collpy (2)'!$B$11:$B$11319,"&lt;1/6/2024",'collpy (2)'!$C$11:$C$11319,FinView!A57)</f>
        <v>7835.77</v>
      </c>
      <c r="H57" s="661">
        <f>SUMIFS('collpy (2)'!$G$11:$G$11319,'collpy (2)'!$B$11:$B$11319,"&lt;1/6/2024",'collpy (2)'!$C$11:$C$11319,FinView!A57)</f>
        <v>0</v>
      </c>
      <c r="I57" s="660">
        <f t="shared" si="29"/>
        <v>9199.9599999999991</v>
      </c>
      <c r="J57" s="661">
        <f t="shared" si="30"/>
        <v>0</v>
      </c>
      <c r="K57" s="646">
        <f>SUMIFS('collpy (2)'!$F$94:$F$3676,'collpy (2)'!$C$94:$C$3676,FinView!A57,'collpy (2)'!$A$94:$A$3676,FinView!$K$4)</f>
        <v>1235.96</v>
      </c>
      <c r="L57" s="647">
        <f>SUMIFS('collpy (2)'!$G$94:$G$3676,'collpy (2)'!$C$94:$C$3676,FinView!A57,'collpy (2)'!$A$94:$A$3676,FinView!$K$4)</f>
        <v>0</v>
      </c>
      <c r="M57" s="646">
        <f>SUMIFS('collpy (2)'!$F$94:$F$3676,'collpy (2)'!$C$94:$C$3676,FinView!A57,'collpy (2)'!$A$94:$A$3676,FinView!$M$4)</f>
        <v>1790</v>
      </c>
      <c r="N57" s="647">
        <f>SUMIFS('collpy (2)'!$G$94:$G$3676,'collpy (2)'!$C$94:$C$3676,FinView!A57,'collpy (2)'!$A$94:$A$3676,FinView!$M$4)</f>
        <v>0</v>
      </c>
      <c r="O57" s="646">
        <f>SUMIFS('collpy (2)'!$F$94:$F$3676,'collpy (2)'!$C$94:$C$3676,FinView!A57,'collpy (2)'!$A$94:$A$3676,FinView!$O$4)</f>
        <v>0</v>
      </c>
      <c r="P57" s="647">
        <f>SUMIFS('collpy (2)'!$G$94:$G$3676,'collpy (2)'!$C$94:$C$3676,FinView!A57,'collpy (2)'!$A$94:$A$3676,FinView!$O$4)</f>
        <v>0</v>
      </c>
      <c r="Q57" s="646">
        <f>SUMIFS('collpy (2)'!$F$94:$F$3676,'collpy (2)'!$C$94:$C$3676,FinView!A57,'collpy (2)'!$A$94:$A$3676,FinView!$Q$4)</f>
        <v>4560.5999999999995</v>
      </c>
      <c r="R57" s="647">
        <f>SUMIFS('collpy (2)'!$G$94:$G$3676,'collpy (2)'!$C$94:$C$3676,FinView!A57,'collpy (2)'!$A$94:$A$3676,FinView!$Q$4)</f>
        <v>0</v>
      </c>
      <c r="S57" s="646">
        <f>SUMIFS('collpy (2)'!$F$94:$F$3676,'collpy (2)'!$C$94:$C$3676,FinView!A57,'collpy (2)'!$A$94:$A$3676,FinView!$S$4)</f>
        <v>1613.4</v>
      </c>
      <c r="T57" s="647">
        <f>SUMIFS('collpy (2)'!$G$94:$G$3676,'collpy (2)'!$C$94:$C$3676,FinView!A57,'collpy (2)'!$A$94:$A$3676,FinView!$S$4)</f>
        <v>0</v>
      </c>
      <c r="U57" s="646">
        <f>SUMIFS('collpy (2)'!$F$94:$F$3676,'collpy (2)'!$C$94:$C$3676,FinView!A57,'collpy (2)'!$A$94:$A$3676,FinView!$U$4)</f>
        <v>0</v>
      </c>
      <c r="V57" s="647">
        <f>SUMIFS('collpy (2)'!$G$94:$G$3676,'collpy (2)'!$C$94:$C$3676,FinView!A57,'collpy (2)'!$A$94:$A$3676,FinView!$U$4)</f>
        <v>0</v>
      </c>
      <c r="W57" s="449"/>
      <c r="X57" s="450"/>
      <c r="Y57" s="450"/>
      <c r="Z57" s="450"/>
      <c r="AA57" s="450"/>
      <c r="AB57" s="450"/>
      <c r="AC57" s="450"/>
      <c r="AD57" s="450"/>
      <c r="AE57" s="450"/>
      <c r="AF57" s="450"/>
      <c r="AG57" s="898"/>
      <c r="AH57" s="898"/>
      <c r="AI57" s="898"/>
      <c r="AJ57" s="898"/>
      <c r="AK57" s="898"/>
      <c r="AL57" s="898"/>
      <c r="AM57" s="898"/>
    </row>
    <row r="58" spans="1:39" s="2" customFormat="1" ht="23.25">
      <c r="A58" s="657">
        <v>6005</v>
      </c>
      <c r="B58" s="648" t="s">
        <v>96</v>
      </c>
      <c r="C58" s="654">
        <f t="shared" si="31"/>
        <v>145.24</v>
      </c>
      <c r="D58" s="654"/>
      <c r="E58" s="660">
        <f t="shared" si="15"/>
        <v>145.24</v>
      </c>
      <c r="F58" s="661">
        <f t="shared" si="16"/>
        <v>0</v>
      </c>
      <c r="G58" s="660">
        <f>SUMIFS('collpy (2)'!$F$11:$F$11319,'collpy (2)'!$B$11:$B$11319,"&lt;1/6/2024",'collpy (2)'!$C$11:$C$11319,FinView!A58)</f>
        <v>30</v>
      </c>
      <c r="H58" s="661">
        <f>SUMIFS('collpy (2)'!$G$11:$G$11319,'collpy (2)'!$B$11:$B$11319,"&lt;1/6/2024",'collpy (2)'!$C$11:$C$11319,FinView!A58)</f>
        <v>0</v>
      </c>
      <c r="I58" s="660">
        <f t="shared" si="29"/>
        <v>115.24000000000001</v>
      </c>
      <c r="J58" s="661">
        <f t="shared" si="30"/>
        <v>0</v>
      </c>
      <c r="K58" s="646">
        <f>SUMIFS('collpy (2)'!$F$94:$F$3676,'collpy (2)'!$C$94:$C$3676,FinView!A58,'collpy (2)'!$A$94:$A$3676,FinView!$K$4)</f>
        <v>15.24</v>
      </c>
      <c r="L58" s="647">
        <f>SUMIFS('collpy (2)'!$G$94:$G$3676,'collpy (2)'!$C$94:$C$3676,FinView!A58,'collpy (2)'!$A$94:$A$3676,FinView!$K$4)</f>
        <v>0</v>
      </c>
      <c r="M58" s="646">
        <f>SUMIFS('collpy (2)'!$F$94:$F$3676,'collpy (2)'!$C$94:$C$3676,FinView!A58,'collpy (2)'!$A$94:$A$3676,FinView!$M$4)</f>
        <v>40</v>
      </c>
      <c r="N58" s="647">
        <f>SUMIFS('collpy (2)'!$G$94:$G$3676,'collpy (2)'!$C$94:$C$3676,FinView!A58,'collpy (2)'!$A$94:$A$3676,FinView!$M$4)</f>
        <v>0</v>
      </c>
      <c r="O58" s="646">
        <f>SUMIFS('collpy (2)'!$F$94:$F$3676,'collpy (2)'!$C$94:$C$3676,FinView!A58,'collpy (2)'!$A$94:$A$3676,FinView!$O$4)</f>
        <v>40</v>
      </c>
      <c r="P58" s="647">
        <f>SUMIFS('collpy (2)'!$G$94:$G$3676,'collpy (2)'!$C$94:$C$3676,FinView!A58,'collpy (2)'!$A$94:$A$3676,FinView!$O$4)</f>
        <v>0</v>
      </c>
      <c r="Q58" s="646">
        <f>SUMIFS('collpy (2)'!$F$94:$F$3676,'collpy (2)'!$C$94:$C$3676,FinView!A58,'collpy (2)'!$A$94:$A$3676,FinView!$Q$4)</f>
        <v>10</v>
      </c>
      <c r="R58" s="647">
        <f>SUMIFS('collpy (2)'!$G$94:$G$3676,'collpy (2)'!$C$94:$C$3676,FinView!A58,'collpy (2)'!$A$94:$A$3676,FinView!$Q$4)</f>
        <v>0</v>
      </c>
      <c r="S58" s="646">
        <f>SUMIFS('collpy (2)'!$F$94:$F$3676,'collpy (2)'!$C$94:$C$3676,FinView!A58,'collpy (2)'!$A$94:$A$3676,FinView!$S$4)</f>
        <v>10</v>
      </c>
      <c r="T58" s="647">
        <f>SUMIFS('collpy (2)'!$G$94:$G$3676,'collpy (2)'!$C$94:$C$3676,FinView!A58,'collpy (2)'!$A$94:$A$3676,FinView!$S$4)</f>
        <v>0</v>
      </c>
      <c r="U58" s="646">
        <f>SUMIFS('collpy (2)'!$F$94:$F$3676,'collpy (2)'!$C$94:$C$3676,FinView!A58,'collpy (2)'!$A$94:$A$3676,FinView!$U$4)</f>
        <v>0</v>
      </c>
      <c r="V58" s="647">
        <f>SUMIFS('collpy (2)'!$G$94:$G$3676,'collpy (2)'!$C$94:$C$3676,FinView!A58,'collpy (2)'!$A$94:$A$3676,FinView!$U$4)</f>
        <v>0</v>
      </c>
      <c r="W58" s="449"/>
      <c r="X58" s="450"/>
      <c r="Y58" s="450"/>
      <c r="Z58" s="450"/>
      <c r="AA58" s="450"/>
      <c r="AB58" s="450"/>
      <c r="AC58" s="450"/>
      <c r="AD58" s="450"/>
      <c r="AE58" s="450"/>
      <c r="AF58" s="450"/>
      <c r="AG58" s="898"/>
      <c r="AH58" s="898"/>
      <c r="AI58" s="898"/>
      <c r="AJ58" s="898"/>
      <c r="AK58" s="898"/>
      <c r="AL58" s="898"/>
      <c r="AM58" s="898"/>
    </row>
    <row r="59" spans="1:39" s="2" customFormat="1" ht="23.25">
      <c r="A59" s="657">
        <v>6006</v>
      </c>
      <c r="B59" s="648" t="s">
        <v>97</v>
      </c>
      <c r="C59" s="654">
        <f t="shared" si="31"/>
        <v>17422.21</v>
      </c>
      <c r="D59" s="654"/>
      <c r="E59" s="660">
        <f t="shared" si="15"/>
        <v>17422.21</v>
      </c>
      <c r="F59" s="661">
        <f t="shared" si="16"/>
        <v>0</v>
      </c>
      <c r="G59" s="660">
        <f>SUMIFS('collpy (2)'!$F$11:$F$11319,'collpy (2)'!$B$11:$B$11319,"&lt;1/6/2024",'collpy (2)'!$C$11:$C$11319,FinView!A59)</f>
        <v>0</v>
      </c>
      <c r="H59" s="661">
        <f>SUMIFS('collpy (2)'!$G$11:$G$11319,'collpy (2)'!$B$11:$B$11319,"&lt;1/6/2024",'collpy (2)'!$C$11:$C$11319,FinView!A59)</f>
        <v>0</v>
      </c>
      <c r="I59" s="660">
        <f t="shared" si="29"/>
        <v>17422.21</v>
      </c>
      <c r="J59" s="661">
        <f t="shared" si="30"/>
        <v>0</v>
      </c>
      <c r="K59" s="646">
        <f>SUMIFS('collpy (2)'!$F$94:$F$3676,'collpy (2)'!$C$94:$C$3676,FinView!A59,'collpy (2)'!$A$94:$A$3676,FinView!$K$4)</f>
        <v>0</v>
      </c>
      <c r="L59" s="647">
        <f>SUMIFS('collpy (2)'!$G$94:$G$3676,'collpy (2)'!$C$94:$C$3676,FinView!A59,'collpy (2)'!$A$94:$A$3676,FinView!$K$4)</f>
        <v>0</v>
      </c>
      <c r="M59" s="646">
        <f>SUMIFS('collpy (2)'!$F$94:$F$3676,'collpy (2)'!$C$94:$C$3676,FinView!A59,'collpy (2)'!$A$94:$A$3676,FinView!$M$4)</f>
        <v>15902.21</v>
      </c>
      <c r="N59" s="647">
        <f>SUMIFS('collpy (2)'!$G$94:$G$3676,'collpy (2)'!$C$94:$C$3676,FinView!A59,'collpy (2)'!$A$94:$A$3676,FinView!$M$4)</f>
        <v>0</v>
      </c>
      <c r="O59" s="646">
        <f>SUMIFS('collpy (2)'!$F$94:$F$3676,'collpy (2)'!$C$94:$C$3676,FinView!A59,'collpy (2)'!$A$94:$A$3676,FinView!$O$4)</f>
        <v>0</v>
      </c>
      <c r="P59" s="647">
        <f>SUMIFS('collpy (2)'!$G$94:$G$3676,'collpy (2)'!$C$94:$C$3676,FinView!A59,'collpy (2)'!$A$94:$A$3676,FinView!$O$4)</f>
        <v>0</v>
      </c>
      <c r="Q59" s="646">
        <f>SUMIFS('collpy (2)'!$F$94:$F$3676,'collpy (2)'!$C$94:$C$3676,FinView!A59,'collpy (2)'!$A$94:$A$3676,FinView!$Q$4)</f>
        <v>1520</v>
      </c>
      <c r="R59" s="647">
        <f>SUMIFS('collpy (2)'!$G$94:$G$3676,'collpy (2)'!$C$94:$C$3676,FinView!A59,'collpy (2)'!$A$94:$A$3676,FinView!$Q$4)</f>
        <v>0</v>
      </c>
      <c r="S59" s="646">
        <f>SUMIFS('collpy (2)'!$F$94:$F$3676,'collpy (2)'!$C$94:$C$3676,FinView!A59,'collpy (2)'!$A$94:$A$3676,FinView!$S$4)</f>
        <v>0</v>
      </c>
      <c r="T59" s="647">
        <f>SUMIFS('collpy (2)'!$G$94:$G$3676,'collpy (2)'!$C$94:$C$3676,FinView!A59,'collpy (2)'!$A$94:$A$3676,FinView!$S$4)</f>
        <v>0</v>
      </c>
      <c r="U59" s="646">
        <f>SUMIFS('collpy (2)'!$F$94:$F$3676,'collpy (2)'!$C$94:$C$3676,FinView!A59,'collpy (2)'!$A$94:$A$3676,FinView!$U$4)</f>
        <v>0</v>
      </c>
      <c r="V59" s="647">
        <f>SUMIFS('collpy (2)'!$G$94:$G$3676,'collpy (2)'!$C$94:$C$3676,FinView!A59,'collpy (2)'!$A$94:$A$3676,FinView!$U$4)</f>
        <v>0</v>
      </c>
      <c r="W59" s="449"/>
      <c r="X59" s="450"/>
      <c r="Y59" s="450"/>
      <c r="Z59" s="450"/>
      <c r="AA59" s="450"/>
      <c r="AB59" s="450"/>
      <c r="AC59" s="450"/>
      <c r="AD59" s="450"/>
      <c r="AE59" s="450"/>
      <c r="AF59" s="450"/>
      <c r="AG59" s="898"/>
      <c r="AH59" s="898"/>
      <c r="AI59" s="898"/>
      <c r="AJ59" s="898"/>
      <c r="AK59" s="898"/>
      <c r="AL59" s="898"/>
      <c r="AM59" s="898"/>
    </row>
    <row r="60" spans="1:39" s="2" customFormat="1" ht="23.25">
      <c r="A60" s="649">
        <v>6007</v>
      </c>
      <c r="B60" s="648" t="s">
        <v>98</v>
      </c>
      <c r="C60" s="654">
        <f t="shared" si="31"/>
        <v>11064.38</v>
      </c>
      <c r="D60" s="654"/>
      <c r="E60" s="660">
        <f t="shared" si="15"/>
        <v>11064.38</v>
      </c>
      <c r="F60" s="661">
        <f t="shared" si="16"/>
        <v>0</v>
      </c>
      <c r="G60" s="660">
        <f>SUMIFS('collpy (2)'!$F$11:$F$11319,'collpy (2)'!$B$11:$B$11319,"&lt;1/6/2024",'collpy (2)'!$C$11:$C$11319,FinView!A60)</f>
        <v>800</v>
      </c>
      <c r="H60" s="661">
        <f>SUMIFS('collpy (2)'!$G$11:$G$11319,'collpy (2)'!$B$11:$B$11319,"&lt;1/6/2024",'collpy (2)'!$C$11:$C$11319,FinView!A60)</f>
        <v>0</v>
      </c>
      <c r="I60" s="660">
        <f t="shared" si="29"/>
        <v>10264.379999999999</v>
      </c>
      <c r="J60" s="661">
        <f t="shared" si="30"/>
        <v>0</v>
      </c>
      <c r="K60" s="646">
        <f>SUMIFS('collpy (2)'!$F$94:$F$3676,'collpy (2)'!$C$94:$C$3676,FinView!A60,'collpy (2)'!$A$94:$A$3676,FinView!$K$4)</f>
        <v>1981.12</v>
      </c>
      <c r="L60" s="647">
        <f>SUMIFS('collpy (2)'!$G$94:$G$3676,'collpy (2)'!$C$94:$C$3676,FinView!A60,'collpy (2)'!$A$94:$A$3676,FinView!$K$4)</f>
        <v>0</v>
      </c>
      <c r="M60" s="646">
        <f>SUMIFS('collpy (2)'!$F$94:$F$3676,'collpy (2)'!$C$94:$C$3676,FinView!A60,'collpy (2)'!$A$94:$A$3676,FinView!$M$4)</f>
        <v>1975</v>
      </c>
      <c r="N60" s="647">
        <f>SUMIFS('collpy (2)'!$G$94:$G$3676,'collpy (2)'!$C$94:$C$3676,FinView!A60,'collpy (2)'!$A$94:$A$3676,FinView!$M$4)</f>
        <v>0</v>
      </c>
      <c r="O60" s="646">
        <f>SUMIFS('collpy (2)'!$F$94:$F$3676,'collpy (2)'!$C$94:$C$3676,FinView!A60,'collpy (2)'!$A$94:$A$3676,FinView!$O$4)</f>
        <v>350</v>
      </c>
      <c r="P60" s="647">
        <f>SUMIFS('collpy (2)'!$G$94:$G$3676,'collpy (2)'!$C$94:$C$3676,FinView!A60,'collpy (2)'!$A$94:$A$3676,FinView!$O$4)</f>
        <v>0</v>
      </c>
      <c r="Q60" s="646">
        <f>SUMIFS('collpy (2)'!$F$94:$F$3676,'collpy (2)'!$C$94:$C$3676,FinView!A60,'collpy (2)'!$A$94:$A$3676,FinView!$Q$4)</f>
        <v>4014.5</v>
      </c>
      <c r="R60" s="647">
        <f>SUMIFS('collpy (2)'!$G$94:$G$3676,'collpy (2)'!$C$94:$C$3676,FinView!A60,'collpy (2)'!$A$94:$A$3676,FinView!$Q$4)</f>
        <v>0</v>
      </c>
      <c r="S60" s="646">
        <f>SUMIFS('collpy (2)'!$F$94:$F$3676,'collpy (2)'!$C$94:$C$3676,FinView!A60,'collpy (2)'!$A$94:$A$3676,FinView!$S$4)</f>
        <v>1587.98</v>
      </c>
      <c r="T60" s="647">
        <f>SUMIFS('collpy (2)'!$G$94:$G$3676,'collpy (2)'!$C$94:$C$3676,FinView!A60,'collpy (2)'!$A$94:$A$3676,FinView!$S$4)</f>
        <v>0</v>
      </c>
      <c r="U60" s="646">
        <f>SUMIFS('collpy (2)'!$F$94:$F$3676,'collpy (2)'!$C$94:$C$3676,FinView!A60,'collpy (2)'!$A$94:$A$3676,FinView!$U$4)</f>
        <v>355.78</v>
      </c>
      <c r="V60" s="647">
        <f>SUMIFS('collpy (2)'!$G$94:$G$3676,'collpy (2)'!$C$94:$C$3676,FinView!A60,'collpy (2)'!$A$94:$A$3676,FinView!$U$4)</f>
        <v>0</v>
      </c>
      <c r="W60" s="449"/>
      <c r="X60" s="450"/>
      <c r="Y60" s="450"/>
      <c r="Z60" s="450"/>
      <c r="AA60" s="450"/>
      <c r="AB60" s="450"/>
      <c r="AC60" s="450"/>
      <c r="AD60" s="450"/>
      <c r="AE60" s="450"/>
      <c r="AF60" s="450"/>
      <c r="AG60" s="898"/>
      <c r="AH60" s="898"/>
      <c r="AI60" s="898"/>
      <c r="AJ60" s="898"/>
      <c r="AK60" s="898"/>
      <c r="AL60" s="898"/>
      <c r="AM60" s="898"/>
    </row>
    <row r="61" spans="1:39" s="2" customFormat="1" ht="23.25">
      <c r="A61" s="657">
        <v>6009</v>
      </c>
      <c r="B61" s="648" t="s">
        <v>100</v>
      </c>
      <c r="C61" s="654">
        <f t="shared" si="31"/>
        <v>6361.35</v>
      </c>
      <c r="D61" s="654"/>
      <c r="E61" s="660">
        <f t="shared" si="15"/>
        <v>6361.35</v>
      </c>
      <c r="F61" s="661">
        <f t="shared" si="16"/>
        <v>0</v>
      </c>
      <c r="G61" s="660">
        <f>SUMIFS('collpy (2)'!$F$11:$F$11319,'collpy (2)'!$B$11:$B$11319,"&lt;1/6/2024",'collpy (2)'!$C$11:$C$11319,FinView!A61)</f>
        <v>3831.85</v>
      </c>
      <c r="H61" s="661">
        <f>SUMIFS('collpy (2)'!$G$11:$G$11319,'collpy (2)'!$B$11:$B$11319,"&lt;1/6/2024",'collpy (2)'!$C$11:$C$11319,FinView!A61)</f>
        <v>0</v>
      </c>
      <c r="I61" s="660">
        <f t="shared" si="29"/>
        <v>2529.5</v>
      </c>
      <c r="J61" s="661">
        <f t="shared" si="30"/>
        <v>0</v>
      </c>
      <c r="K61" s="646">
        <f>SUMIFS('collpy (2)'!$F$94:$F$3676,'collpy (2)'!$C$94:$C$3676,FinView!A61,'collpy (2)'!$A$94:$A$3676,FinView!$K$4)</f>
        <v>249</v>
      </c>
      <c r="L61" s="647">
        <f>SUMIFS('collpy (2)'!$G$94:$G$3676,'collpy (2)'!$C$94:$C$3676,FinView!A61,'collpy (2)'!$A$94:$A$3676,FinView!$K$4)</f>
        <v>0</v>
      </c>
      <c r="M61" s="646">
        <f>SUMIFS('collpy (2)'!$F$94:$F$3676,'collpy (2)'!$C$94:$C$3676,FinView!A61,'collpy (2)'!$A$94:$A$3676,FinView!$M$4)</f>
        <v>257</v>
      </c>
      <c r="N61" s="647">
        <f>SUMIFS('collpy (2)'!$G$94:$G$3676,'collpy (2)'!$C$94:$C$3676,FinView!A61,'collpy (2)'!$A$94:$A$3676,FinView!$M$4)</f>
        <v>0</v>
      </c>
      <c r="O61" s="646">
        <f>SUMIFS('collpy (2)'!$F$94:$F$3676,'collpy (2)'!$C$94:$C$3676,FinView!A61,'collpy (2)'!$A$94:$A$3676,FinView!$O$4)</f>
        <v>0</v>
      </c>
      <c r="P61" s="647">
        <f>SUMIFS('collpy (2)'!$G$94:$G$3676,'collpy (2)'!$C$94:$C$3676,FinView!A61,'collpy (2)'!$A$94:$A$3676,FinView!$O$4)</f>
        <v>0</v>
      </c>
      <c r="Q61" s="646">
        <f>SUMIFS('collpy (2)'!$F$94:$F$3676,'collpy (2)'!$C$94:$C$3676,FinView!A61,'collpy (2)'!$A$94:$A$3676,FinView!$Q$4)</f>
        <v>674</v>
      </c>
      <c r="R61" s="647">
        <f>SUMIFS('collpy (2)'!$G$94:$G$3676,'collpy (2)'!$C$94:$C$3676,FinView!A61,'collpy (2)'!$A$94:$A$3676,FinView!$Q$4)</f>
        <v>0</v>
      </c>
      <c r="S61" s="646">
        <f>SUMIFS('collpy (2)'!$F$94:$F$3676,'collpy (2)'!$C$94:$C$3676,FinView!A61,'collpy (2)'!$A$94:$A$3676,FinView!$S$4)</f>
        <v>1100.5</v>
      </c>
      <c r="T61" s="647">
        <f>SUMIFS('collpy (2)'!$G$94:$G$3676,'collpy (2)'!$C$94:$C$3676,FinView!A61,'collpy (2)'!$A$94:$A$3676,FinView!$S$4)</f>
        <v>0</v>
      </c>
      <c r="U61" s="646">
        <f>SUMIFS('collpy (2)'!$F$94:$F$3676,'collpy (2)'!$C$94:$C$3676,FinView!A61,'collpy (2)'!$A$94:$A$3676,FinView!$U$4)</f>
        <v>249</v>
      </c>
      <c r="V61" s="647">
        <f>SUMIFS('collpy (2)'!$G$94:$G$3676,'collpy (2)'!$C$94:$C$3676,FinView!A61,'collpy (2)'!$A$94:$A$3676,FinView!$U$4)</f>
        <v>0</v>
      </c>
      <c r="W61" s="449"/>
      <c r="X61" s="450"/>
      <c r="Y61" s="450"/>
      <c r="Z61" s="450"/>
      <c r="AA61" s="450"/>
      <c r="AB61" s="450"/>
      <c r="AC61" s="450"/>
      <c r="AD61" s="450"/>
      <c r="AE61" s="450"/>
      <c r="AF61" s="450"/>
      <c r="AG61" s="898"/>
      <c r="AH61" s="898"/>
      <c r="AI61" s="898"/>
      <c r="AJ61" s="898"/>
      <c r="AK61" s="898"/>
      <c r="AL61" s="898"/>
      <c r="AM61" s="898"/>
    </row>
    <row r="62" spans="1:39" s="2" customFormat="1" ht="23.25">
      <c r="A62" s="657">
        <v>6010</v>
      </c>
      <c r="B62" s="648" t="s">
        <v>101</v>
      </c>
      <c r="C62" s="654">
        <f t="shared" si="31"/>
        <v>1300</v>
      </c>
      <c r="D62" s="654"/>
      <c r="E62" s="660">
        <f t="shared" si="15"/>
        <v>1300</v>
      </c>
      <c r="F62" s="661">
        <f t="shared" si="16"/>
        <v>0</v>
      </c>
      <c r="G62" s="660">
        <f>SUMIFS('collpy (2)'!$F$11:$F$11319,'collpy (2)'!$B$11:$B$11319,"&lt;1/6/2024",'collpy (2)'!$C$11:$C$11319,FinView!A62)</f>
        <v>100</v>
      </c>
      <c r="H62" s="661">
        <f>SUMIFS('collpy (2)'!$G$11:$G$11319,'collpy (2)'!$B$11:$B$11319,"&lt;1/6/2024",'collpy (2)'!$C$11:$C$11319,FinView!A62)</f>
        <v>0</v>
      </c>
      <c r="I62" s="660">
        <f t="shared" si="29"/>
        <v>1200</v>
      </c>
      <c r="J62" s="661">
        <f t="shared" si="30"/>
        <v>0</v>
      </c>
      <c r="K62" s="646">
        <f>SUMIFS('collpy (2)'!$F$94:$F$3676,'collpy (2)'!$C$94:$C$3676,FinView!A62,'collpy (2)'!$A$94:$A$3676,FinView!$K$4)</f>
        <v>0</v>
      </c>
      <c r="L62" s="647">
        <f>SUMIFS('collpy (2)'!$G$94:$G$3676,'collpy (2)'!$C$94:$C$3676,FinView!A62,'collpy (2)'!$A$94:$A$3676,FinView!$K$4)</f>
        <v>0</v>
      </c>
      <c r="M62" s="646">
        <f>SUMIFS('collpy (2)'!$F$94:$F$3676,'collpy (2)'!$C$94:$C$3676,FinView!A62,'collpy (2)'!$A$94:$A$3676,FinView!$M$4)</f>
        <v>0</v>
      </c>
      <c r="N62" s="647">
        <f>SUMIFS('collpy (2)'!$G$94:$G$3676,'collpy (2)'!$C$94:$C$3676,FinView!A62,'collpy (2)'!$A$94:$A$3676,FinView!$M$4)</f>
        <v>0</v>
      </c>
      <c r="O62" s="646">
        <f>SUMIFS('collpy (2)'!$F$94:$F$3676,'collpy (2)'!$C$94:$C$3676,FinView!A62,'collpy (2)'!$A$94:$A$3676,FinView!$O$4)</f>
        <v>0</v>
      </c>
      <c r="P62" s="647">
        <f>SUMIFS('collpy (2)'!$G$94:$G$3676,'collpy (2)'!$C$94:$C$3676,FinView!A62,'collpy (2)'!$A$94:$A$3676,FinView!$O$4)</f>
        <v>0</v>
      </c>
      <c r="Q62" s="646">
        <f>SUMIFS('collpy (2)'!$F$94:$F$3676,'collpy (2)'!$C$94:$C$3676,FinView!A62,'collpy (2)'!$A$94:$A$3676,FinView!$Q$4)</f>
        <v>1200</v>
      </c>
      <c r="R62" s="647">
        <f>SUMIFS('collpy (2)'!$G$94:$G$3676,'collpy (2)'!$C$94:$C$3676,FinView!A62,'collpy (2)'!$A$94:$A$3676,FinView!$Q$4)</f>
        <v>0</v>
      </c>
      <c r="S62" s="646">
        <f>SUMIFS('collpy (2)'!$F$94:$F$3676,'collpy (2)'!$C$94:$C$3676,FinView!A62,'collpy (2)'!$A$94:$A$3676,FinView!$S$4)</f>
        <v>0</v>
      </c>
      <c r="T62" s="647">
        <f>SUMIFS('collpy (2)'!$G$94:$G$3676,'collpy (2)'!$C$94:$C$3676,FinView!A62,'collpy (2)'!$A$94:$A$3676,FinView!$S$4)</f>
        <v>0</v>
      </c>
      <c r="U62" s="646">
        <f>SUMIFS('collpy (2)'!$F$94:$F$3676,'collpy (2)'!$C$94:$C$3676,FinView!A62,'collpy (2)'!$A$94:$A$3676,FinView!$U$4)</f>
        <v>0</v>
      </c>
      <c r="V62" s="647">
        <f>SUMIFS('collpy (2)'!$G$94:$G$3676,'collpy (2)'!$C$94:$C$3676,FinView!A62,'collpy (2)'!$A$94:$A$3676,FinView!$U$4)</f>
        <v>0</v>
      </c>
      <c r="W62" s="449"/>
      <c r="X62" s="450"/>
      <c r="Y62" s="450"/>
      <c r="Z62" s="450"/>
      <c r="AA62" s="450"/>
      <c r="AB62" s="450"/>
      <c r="AC62" s="450"/>
      <c r="AD62" s="450"/>
      <c r="AE62" s="450"/>
      <c r="AF62" s="450"/>
      <c r="AG62" s="898"/>
      <c r="AH62" s="898"/>
      <c r="AI62" s="898"/>
      <c r="AJ62" s="898"/>
      <c r="AK62" s="898"/>
      <c r="AL62" s="898"/>
      <c r="AM62" s="898"/>
    </row>
    <row r="63" spans="1:39" s="2" customFormat="1" ht="23.25">
      <c r="A63" s="657">
        <v>6011</v>
      </c>
      <c r="B63" s="648" t="s">
        <v>102</v>
      </c>
      <c r="C63" s="654">
        <f t="shared" si="31"/>
        <v>14254</v>
      </c>
      <c r="D63" s="654"/>
      <c r="E63" s="660">
        <f t="shared" si="15"/>
        <v>14254</v>
      </c>
      <c r="F63" s="661">
        <f t="shared" si="16"/>
        <v>0</v>
      </c>
      <c r="G63" s="660">
        <f>SUMIFS('collpy (2)'!$F$11:$F$11319,'collpy (2)'!$B$11:$B$11319,"&lt;1/6/2024",'collpy (2)'!$C$11:$C$11319,FinView!A63)</f>
        <v>8254</v>
      </c>
      <c r="H63" s="661">
        <f>SUMIFS('collpy (2)'!$G$11:$G$11319,'collpy (2)'!$B$11:$B$11319,"&lt;1/6/2024",'collpy (2)'!$C$11:$C$11319,FinView!A63)</f>
        <v>0</v>
      </c>
      <c r="I63" s="660">
        <f t="shared" si="29"/>
        <v>6000</v>
      </c>
      <c r="J63" s="661">
        <f t="shared" si="30"/>
        <v>0</v>
      </c>
      <c r="K63" s="646">
        <f>SUMIFS('collpy (2)'!$F$94:$F$3676,'collpy (2)'!$C$94:$C$3676,FinView!A63,'collpy (2)'!$A$94:$A$3676,FinView!$K$4)</f>
        <v>1500</v>
      </c>
      <c r="L63" s="647">
        <f>SUMIFS('collpy (2)'!$G$94:$G$3676,'collpy (2)'!$C$94:$C$3676,FinView!A63,'collpy (2)'!$A$94:$A$3676,FinView!$K$4)</f>
        <v>0</v>
      </c>
      <c r="M63" s="646">
        <f>SUMIFS('collpy (2)'!$F$94:$F$3676,'collpy (2)'!$C$94:$C$3676,FinView!A63,'collpy (2)'!$A$94:$A$3676,FinView!$M$4)</f>
        <v>2500</v>
      </c>
      <c r="N63" s="647">
        <f>SUMIFS('collpy (2)'!$G$94:$G$3676,'collpy (2)'!$C$94:$C$3676,FinView!A63,'collpy (2)'!$A$94:$A$3676,FinView!$M$4)</f>
        <v>0</v>
      </c>
      <c r="O63" s="646">
        <f>SUMIFS('collpy (2)'!$F$94:$F$3676,'collpy (2)'!$C$94:$C$3676,FinView!A63,'collpy (2)'!$A$94:$A$3676,FinView!$O$4)</f>
        <v>0</v>
      </c>
      <c r="P63" s="647">
        <f>SUMIFS('collpy (2)'!$G$94:$G$3676,'collpy (2)'!$C$94:$C$3676,FinView!A63,'collpy (2)'!$A$94:$A$3676,FinView!$O$4)</f>
        <v>0</v>
      </c>
      <c r="Q63" s="646">
        <f>SUMIFS('collpy (2)'!$F$94:$F$3676,'collpy (2)'!$C$94:$C$3676,FinView!A63,'collpy (2)'!$A$94:$A$3676,FinView!$Q$4)</f>
        <v>0</v>
      </c>
      <c r="R63" s="647">
        <f>SUMIFS('collpy (2)'!$G$94:$G$3676,'collpy (2)'!$C$94:$C$3676,FinView!A63,'collpy (2)'!$A$94:$A$3676,FinView!$Q$4)</f>
        <v>0</v>
      </c>
      <c r="S63" s="646">
        <f>SUMIFS('collpy (2)'!$F$94:$F$3676,'collpy (2)'!$C$94:$C$3676,FinView!A63,'collpy (2)'!$A$94:$A$3676,FinView!$S$4)</f>
        <v>2000</v>
      </c>
      <c r="T63" s="647">
        <f>SUMIFS('collpy (2)'!$G$94:$G$3676,'collpy (2)'!$C$94:$C$3676,FinView!A63,'collpy (2)'!$A$94:$A$3676,FinView!$S$4)</f>
        <v>0</v>
      </c>
      <c r="U63" s="646">
        <f>SUMIFS('collpy (2)'!$F$94:$F$3676,'collpy (2)'!$C$94:$C$3676,FinView!A63,'collpy (2)'!$A$94:$A$3676,FinView!$U$4)</f>
        <v>0</v>
      </c>
      <c r="V63" s="647">
        <f>SUMIFS('collpy (2)'!$G$94:$G$3676,'collpy (2)'!$C$94:$C$3676,FinView!A63,'collpy (2)'!$A$94:$A$3676,FinView!$U$4)</f>
        <v>0</v>
      </c>
      <c r="W63" s="449"/>
      <c r="X63" s="450"/>
      <c r="Y63" s="450"/>
      <c r="Z63" s="450"/>
      <c r="AA63" s="450"/>
      <c r="AB63" s="450"/>
      <c r="AC63" s="450"/>
      <c r="AD63" s="450"/>
      <c r="AE63" s="450"/>
      <c r="AF63" s="450"/>
      <c r="AG63" s="898"/>
      <c r="AH63" s="898"/>
      <c r="AI63" s="898"/>
      <c r="AJ63" s="898"/>
      <c r="AK63" s="898"/>
      <c r="AL63" s="898"/>
      <c r="AM63" s="898"/>
    </row>
    <row r="64" spans="1:39" s="2" customFormat="1" ht="23.25">
      <c r="A64" s="657">
        <v>6012</v>
      </c>
      <c r="B64" s="648" t="s">
        <v>103</v>
      </c>
      <c r="C64" s="654">
        <f t="shared" si="31"/>
        <v>133.1</v>
      </c>
      <c r="D64" s="654"/>
      <c r="E64" s="660">
        <f t="shared" si="15"/>
        <v>133.1</v>
      </c>
      <c r="F64" s="661">
        <f t="shared" si="16"/>
        <v>0</v>
      </c>
      <c r="G64" s="660">
        <f>SUMIFS('collpy (2)'!$F$11:$F$11319,'collpy (2)'!$B$11:$B$11319,"&lt;1/6/2024",'collpy (2)'!$C$11:$C$11319,FinView!A64)</f>
        <v>0</v>
      </c>
      <c r="H64" s="661">
        <f>SUMIFS('collpy (2)'!$G$11:$G$11319,'collpy (2)'!$B$11:$B$11319,"&lt;1/6/2024",'collpy (2)'!$C$11:$C$11319,FinView!A64)</f>
        <v>0</v>
      </c>
      <c r="I64" s="660">
        <f t="shared" si="29"/>
        <v>133.1</v>
      </c>
      <c r="J64" s="661">
        <f t="shared" si="30"/>
        <v>0</v>
      </c>
      <c r="K64" s="646">
        <f>SUMIFS('collpy (2)'!$F$94:$F$3676,'collpy (2)'!$C$94:$C$3676,FinView!A64,'collpy (2)'!$A$94:$A$3676,FinView!$K$4)</f>
        <v>0</v>
      </c>
      <c r="L64" s="647">
        <f>SUMIFS('collpy (2)'!$G$94:$G$3676,'collpy (2)'!$C$94:$C$3676,FinView!A64,'collpy (2)'!$A$94:$A$3676,FinView!$K$4)</f>
        <v>0</v>
      </c>
      <c r="M64" s="646">
        <f>SUMIFS('collpy (2)'!$F$94:$F$3676,'collpy (2)'!$C$94:$C$3676,FinView!A64,'collpy (2)'!$A$94:$A$3676,FinView!$M$4)</f>
        <v>0</v>
      </c>
      <c r="N64" s="647">
        <f>SUMIFS('collpy (2)'!$G$94:$G$3676,'collpy (2)'!$C$94:$C$3676,FinView!A64,'collpy (2)'!$A$94:$A$3676,FinView!$M$4)</f>
        <v>0</v>
      </c>
      <c r="O64" s="646">
        <f>SUMIFS('collpy (2)'!$F$94:$F$3676,'collpy (2)'!$C$94:$C$3676,FinView!A64,'collpy (2)'!$A$94:$A$3676,FinView!$O$4)</f>
        <v>0</v>
      </c>
      <c r="P64" s="647">
        <f>SUMIFS('collpy (2)'!$G$94:$G$3676,'collpy (2)'!$C$94:$C$3676,FinView!A64,'collpy (2)'!$A$94:$A$3676,FinView!$O$4)</f>
        <v>0</v>
      </c>
      <c r="Q64" s="646">
        <f>SUMIFS('collpy (2)'!$F$94:$F$3676,'collpy (2)'!$C$94:$C$3676,FinView!A64,'collpy (2)'!$A$94:$A$3676,FinView!$Q$4)</f>
        <v>133.1</v>
      </c>
      <c r="R64" s="647">
        <f>SUMIFS('collpy (2)'!$G$94:$G$3676,'collpy (2)'!$C$94:$C$3676,FinView!A64,'collpy (2)'!$A$94:$A$3676,FinView!$Q$4)</f>
        <v>0</v>
      </c>
      <c r="S64" s="646">
        <f>SUMIFS('collpy (2)'!$F$94:$F$3676,'collpy (2)'!$C$94:$C$3676,FinView!A64,'collpy (2)'!$A$94:$A$3676,FinView!$S$4)</f>
        <v>0</v>
      </c>
      <c r="T64" s="647">
        <f>SUMIFS('collpy (2)'!$G$94:$G$3676,'collpy (2)'!$C$94:$C$3676,FinView!A64,'collpy (2)'!$A$94:$A$3676,FinView!$S$4)</f>
        <v>0</v>
      </c>
      <c r="U64" s="646">
        <f>SUMIFS('collpy (2)'!$F$94:$F$3676,'collpy (2)'!$C$94:$C$3676,FinView!A64,'collpy (2)'!$A$94:$A$3676,FinView!$U$4)</f>
        <v>0</v>
      </c>
      <c r="V64" s="647">
        <f>SUMIFS('collpy (2)'!$G$94:$G$3676,'collpy (2)'!$C$94:$C$3676,FinView!A64,'collpy (2)'!$A$94:$A$3676,FinView!$U$4)</f>
        <v>0</v>
      </c>
      <c r="W64" s="449"/>
      <c r="X64" s="450"/>
      <c r="Y64" s="450"/>
      <c r="Z64" s="450"/>
      <c r="AA64" s="450"/>
      <c r="AB64" s="450"/>
      <c r="AC64" s="450"/>
      <c r="AD64" s="450"/>
      <c r="AE64" s="450"/>
      <c r="AF64" s="450"/>
      <c r="AG64" s="898"/>
      <c r="AH64" s="898"/>
      <c r="AI64" s="898"/>
      <c r="AJ64" s="898"/>
      <c r="AK64" s="898"/>
      <c r="AL64" s="898"/>
      <c r="AM64" s="898"/>
    </row>
    <row r="65" spans="1:39" s="2" customFormat="1" ht="23.25">
      <c r="A65" s="657">
        <v>6013</v>
      </c>
      <c r="B65" s="648" t="s">
        <v>104</v>
      </c>
      <c r="C65" s="654">
        <f t="shared" si="31"/>
        <v>63242.04</v>
      </c>
      <c r="D65" s="654"/>
      <c r="E65" s="660">
        <f t="shared" si="15"/>
        <v>63242.04</v>
      </c>
      <c r="F65" s="661">
        <f t="shared" si="16"/>
        <v>0</v>
      </c>
      <c r="G65" s="660">
        <f>SUMIFS('collpy (2)'!$F$11:$F$11319,'collpy (2)'!$B$11:$B$11319,"&lt;1/6/2024",'collpy (2)'!$C$11:$C$11319,FinView!A65)</f>
        <v>21015.32</v>
      </c>
      <c r="H65" s="661">
        <f>SUMIFS('collpy (2)'!$G$11:$G$11319,'collpy (2)'!$B$11:$B$11319,"&lt;1/6/2024",'collpy (2)'!$C$11:$C$11319,FinView!A65)</f>
        <v>0</v>
      </c>
      <c r="I65" s="660">
        <f t="shared" si="29"/>
        <v>42226.720000000001</v>
      </c>
      <c r="J65" s="661">
        <f t="shared" si="30"/>
        <v>0</v>
      </c>
      <c r="K65" s="646">
        <f>SUMIFS('collpy (2)'!$F$94:$F$3676,'collpy (2)'!$C$94:$C$3676,FinView!A65,'collpy (2)'!$A$94:$A$3676,FinView!$K$4)</f>
        <v>13790.349999999999</v>
      </c>
      <c r="L65" s="647">
        <f>SUMIFS('collpy (2)'!$G$94:$G$3676,'collpy (2)'!$C$94:$C$3676,FinView!A65,'collpy (2)'!$A$94:$A$3676,FinView!$K$4)</f>
        <v>0</v>
      </c>
      <c r="M65" s="646">
        <f>SUMIFS('collpy (2)'!$F$94:$F$3676,'collpy (2)'!$C$94:$C$3676,FinView!A65,'collpy (2)'!$A$94:$A$3676,FinView!$M$4)</f>
        <v>5640.6</v>
      </c>
      <c r="N65" s="647">
        <f>SUMIFS('collpy (2)'!$G$94:$G$3676,'collpy (2)'!$C$94:$C$3676,FinView!A65,'collpy (2)'!$A$94:$A$3676,FinView!$M$4)</f>
        <v>0</v>
      </c>
      <c r="O65" s="646">
        <f>SUMIFS('collpy (2)'!$F$94:$F$3676,'collpy (2)'!$C$94:$C$3676,FinView!A65,'collpy (2)'!$A$94:$A$3676,FinView!$O$4)</f>
        <v>440</v>
      </c>
      <c r="P65" s="647">
        <f>SUMIFS('collpy (2)'!$G$94:$G$3676,'collpy (2)'!$C$94:$C$3676,FinView!A65,'collpy (2)'!$A$94:$A$3676,FinView!$O$4)</f>
        <v>0</v>
      </c>
      <c r="Q65" s="646">
        <f>SUMIFS('collpy (2)'!$F$94:$F$3676,'collpy (2)'!$C$94:$C$3676,FinView!A65,'collpy (2)'!$A$94:$A$3676,FinView!$Q$4)</f>
        <v>11845.380000000001</v>
      </c>
      <c r="R65" s="647">
        <f>SUMIFS('collpy (2)'!$G$94:$G$3676,'collpy (2)'!$C$94:$C$3676,FinView!A65,'collpy (2)'!$A$94:$A$3676,FinView!$Q$4)</f>
        <v>0</v>
      </c>
      <c r="S65" s="646">
        <f>SUMIFS('collpy (2)'!$F$94:$F$3676,'collpy (2)'!$C$94:$C$3676,FinView!A65,'collpy (2)'!$A$94:$A$3676,FinView!$S$4)</f>
        <v>10510.390000000001</v>
      </c>
      <c r="T65" s="647">
        <f>SUMIFS('collpy (2)'!$G$94:$G$3676,'collpy (2)'!$C$94:$C$3676,FinView!A65,'collpy (2)'!$A$94:$A$3676,FinView!$S$4)</f>
        <v>0</v>
      </c>
      <c r="U65" s="646">
        <f>SUMIFS('collpy (2)'!$F$94:$F$3676,'collpy (2)'!$C$94:$C$3676,FinView!A65,'collpy (2)'!$A$94:$A$3676,FinView!$U$4)</f>
        <v>0</v>
      </c>
      <c r="V65" s="647">
        <f>SUMIFS('collpy (2)'!$G$94:$G$3676,'collpy (2)'!$C$94:$C$3676,FinView!A65,'collpy (2)'!$A$94:$A$3676,FinView!$U$4)</f>
        <v>0</v>
      </c>
      <c r="W65" s="449"/>
      <c r="X65" s="450"/>
      <c r="Y65" s="450"/>
      <c r="Z65" s="450"/>
      <c r="AA65" s="450"/>
      <c r="AB65" s="450"/>
      <c r="AC65" s="450"/>
      <c r="AD65" s="450"/>
      <c r="AE65" s="450"/>
      <c r="AF65" s="450"/>
      <c r="AG65" s="898"/>
      <c r="AH65" s="898"/>
      <c r="AI65" s="898"/>
      <c r="AJ65" s="898"/>
      <c r="AK65" s="898"/>
      <c r="AL65" s="898"/>
      <c r="AM65" s="898"/>
    </row>
    <row r="66" spans="1:39" s="2" customFormat="1" ht="23.25">
      <c r="A66" s="657">
        <v>6014</v>
      </c>
      <c r="B66" s="648" t="s">
        <v>105</v>
      </c>
      <c r="C66" s="654">
        <f t="shared" si="31"/>
        <v>5729.41</v>
      </c>
      <c r="D66" s="654"/>
      <c r="E66" s="660">
        <f t="shared" si="15"/>
        <v>5729.41</v>
      </c>
      <c r="F66" s="661">
        <f t="shared" si="16"/>
        <v>0</v>
      </c>
      <c r="G66" s="660">
        <f>SUMIFS('collpy (2)'!$F$11:$F$11319,'collpy (2)'!$B$11:$B$11319,"&lt;1/6/2024",'collpy (2)'!$C$11:$C$11319,FinView!A66)</f>
        <v>5729.41</v>
      </c>
      <c r="H66" s="661">
        <f>SUMIFS('collpy (2)'!$G$11:$G$11319,'collpy (2)'!$B$11:$B$11319,"&lt;1/6/2024",'collpy (2)'!$C$11:$C$11319,FinView!A66)</f>
        <v>0</v>
      </c>
      <c r="I66" s="660">
        <f t="shared" si="29"/>
        <v>0</v>
      </c>
      <c r="J66" s="661">
        <f t="shared" si="30"/>
        <v>0</v>
      </c>
      <c r="K66" s="646">
        <f>SUMIFS('collpy (2)'!$F$94:$F$3676,'collpy (2)'!$C$94:$C$3676,FinView!A66,'collpy (2)'!$A$94:$A$3676,FinView!$K$4)</f>
        <v>0</v>
      </c>
      <c r="L66" s="647">
        <f>SUMIFS('collpy (2)'!$G$94:$G$3676,'collpy (2)'!$C$94:$C$3676,FinView!A66,'collpy (2)'!$A$94:$A$3676,FinView!$K$4)</f>
        <v>0</v>
      </c>
      <c r="M66" s="646">
        <f>SUMIFS('collpy (2)'!$F$94:$F$3676,'collpy (2)'!$C$94:$C$3676,FinView!A66,'collpy (2)'!$A$94:$A$3676,FinView!$M$4)</f>
        <v>0</v>
      </c>
      <c r="N66" s="647">
        <f>SUMIFS('collpy (2)'!$G$94:$G$3676,'collpy (2)'!$C$94:$C$3676,FinView!A66,'collpy (2)'!$A$94:$A$3676,FinView!$M$4)</f>
        <v>0</v>
      </c>
      <c r="O66" s="646">
        <f>SUMIFS('collpy (2)'!$F$94:$F$3676,'collpy (2)'!$C$94:$C$3676,FinView!A66,'collpy (2)'!$A$94:$A$3676,FinView!$O$4)</f>
        <v>0</v>
      </c>
      <c r="P66" s="647">
        <f>SUMIFS('collpy (2)'!$G$94:$G$3676,'collpy (2)'!$C$94:$C$3676,FinView!A66,'collpy (2)'!$A$94:$A$3676,FinView!$O$4)</f>
        <v>0</v>
      </c>
      <c r="Q66" s="646">
        <f>SUMIFS('collpy (2)'!$F$94:$F$3676,'collpy (2)'!$C$94:$C$3676,FinView!A66,'collpy (2)'!$A$94:$A$3676,FinView!$Q$4)</f>
        <v>0</v>
      </c>
      <c r="R66" s="647">
        <f>SUMIFS('collpy (2)'!$G$94:$G$3676,'collpy (2)'!$C$94:$C$3676,FinView!A66,'collpy (2)'!$A$94:$A$3676,FinView!$Q$4)</f>
        <v>0</v>
      </c>
      <c r="S66" s="646">
        <f>SUMIFS('collpy (2)'!$F$94:$F$3676,'collpy (2)'!$C$94:$C$3676,FinView!A66,'collpy (2)'!$A$94:$A$3676,FinView!$S$4)</f>
        <v>0</v>
      </c>
      <c r="T66" s="647">
        <f>SUMIFS('collpy (2)'!$G$94:$G$3676,'collpy (2)'!$C$94:$C$3676,FinView!A66,'collpy (2)'!$A$94:$A$3676,FinView!$S$4)</f>
        <v>0</v>
      </c>
      <c r="U66" s="646">
        <f>SUMIFS('collpy (2)'!$F$94:$F$3676,'collpy (2)'!$C$94:$C$3676,FinView!A66,'collpy (2)'!$A$94:$A$3676,FinView!$U$4)</f>
        <v>0</v>
      </c>
      <c r="V66" s="647">
        <f>SUMIFS('collpy (2)'!$G$94:$G$3676,'collpy (2)'!$C$94:$C$3676,FinView!A66,'collpy (2)'!$A$94:$A$3676,FinView!$U$4)</f>
        <v>0</v>
      </c>
      <c r="W66" s="449"/>
      <c r="X66" s="450"/>
      <c r="Y66" s="450"/>
      <c r="Z66" s="450"/>
      <c r="AA66" s="450"/>
      <c r="AB66" s="450"/>
      <c r="AC66" s="450"/>
      <c r="AD66" s="450"/>
      <c r="AE66" s="450"/>
      <c r="AF66" s="450"/>
      <c r="AG66" s="898"/>
      <c r="AH66" s="898"/>
      <c r="AI66" s="898"/>
      <c r="AJ66" s="898"/>
      <c r="AK66" s="898"/>
      <c r="AL66" s="898"/>
      <c r="AM66" s="898"/>
    </row>
    <row r="67" spans="1:39" s="2" customFormat="1" ht="23.25">
      <c r="A67" s="649">
        <v>6015</v>
      </c>
      <c r="B67" s="648" t="s">
        <v>106</v>
      </c>
      <c r="C67" s="654">
        <f t="shared" si="31"/>
        <v>1150.8499999999999</v>
      </c>
      <c r="D67" s="654"/>
      <c r="E67" s="660">
        <f t="shared" si="15"/>
        <v>1150.8499999999999</v>
      </c>
      <c r="F67" s="661">
        <f t="shared" si="16"/>
        <v>0</v>
      </c>
      <c r="G67" s="660">
        <f>SUMIFS('collpy (2)'!$F$11:$F$11319,'collpy (2)'!$B$11:$B$11319,"&lt;1/6/2024",'collpy (2)'!$C$11:$C$11319,FinView!A67)</f>
        <v>1150.8499999999999</v>
      </c>
      <c r="H67" s="661">
        <f>SUMIFS('collpy (2)'!$G$11:$G$11319,'collpy (2)'!$B$11:$B$11319,"&lt;1/6/2024",'collpy (2)'!$C$11:$C$11319,FinView!A67)</f>
        <v>0</v>
      </c>
      <c r="I67" s="660">
        <f t="shared" si="29"/>
        <v>0</v>
      </c>
      <c r="J67" s="661">
        <f t="shared" si="30"/>
        <v>0</v>
      </c>
      <c r="K67" s="646">
        <f>SUMIFS('collpy (2)'!$F$94:$F$3676,'collpy (2)'!$C$94:$C$3676,FinView!A67,'collpy (2)'!$A$94:$A$3676,FinView!$K$4)</f>
        <v>0</v>
      </c>
      <c r="L67" s="647">
        <f>SUMIFS('collpy (2)'!$G$94:$G$3676,'collpy (2)'!$C$94:$C$3676,FinView!A67,'collpy (2)'!$A$94:$A$3676,FinView!$K$4)</f>
        <v>0</v>
      </c>
      <c r="M67" s="646">
        <f>SUMIFS('collpy (2)'!$F$94:$F$3676,'collpy (2)'!$C$94:$C$3676,FinView!A67,'collpy (2)'!$A$94:$A$3676,FinView!$M$4)</f>
        <v>0</v>
      </c>
      <c r="N67" s="647">
        <f>SUMIFS('collpy (2)'!$G$94:$G$3676,'collpy (2)'!$C$94:$C$3676,FinView!A67,'collpy (2)'!$A$94:$A$3676,FinView!$M$4)</f>
        <v>0</v>
      </c>
      <c r="O67" s="646">
        <f>SUMIFS('collpy (2)'!$F$94:$F$3676,'collpy (2)'!$C$94:$C$3676,FinView!A67,'collpy (2)'!$A$94:$A$3676,FinView!$O$4)</f>
        <v>0</v>
      </c>
      <c r="P67" s="647">
        <f>SUMIFS('collpy (2)'!$G$94:$G$3676,'collpy (2)'!$C$94:$C$3676,FinView!A67,'collpy (2)'!$A$94:$A$3676,FinView!$O$4)</f>
        <v>0</v>
      </c>
      <c r="Q67" s="646">
        <f>SUMIFS('collpy (2)'!$F$94:$F$3676,'collpy (2)'!$C$94:$C$3676,FinView!A67,'collpy (2)'!$A$94:$A$3676,FinView!$Q$4)</f>
        <v>0</v>
      </c>
      <c r="R67" s="647">
        <f>SUMIFS('collpy (2)'!$G$94:$G$3676,'collpy (2)'!$C$94:$C$3676,FinView!A67,'collpy (2)'!$A$94:$A$3676,FinView!$Q$4)</f>
        <v>0</v>
      </c>
      <c r="S67" s="646">
        <f>SUMIFS('collpy (2)'!$F$94:$F$3676,'collpy (2)'!$C$94:$C$3676,FinView!A67,'collpy (2)'!$A$94:$A$3676,FinView!$S$4)</f>
        <v>0</v>
      </c>
      <c r="T67" s="647">
        <f>SUMIFS('collpy (2)'!$G$94:$G$3676,'collpy (2)'!$C$94:$C$3676,FinView!A67,'collpy (2)'!$A$94:$A$3676,FinView!$S$4)</f>
        <v>0</v>
      </c>
      <c r="U67" s="646">
        <f>SUMIFS('collpy (2)'!$F$94:$F$3676,'collpy (2)'!$C$94:$C$3676,FinView!A67,'collpy (2)'!$A$94:$A$3676,FinView!$U$4)</f>
        <v>0</v>
      </c>
      <c r="V67" s="647">
        <f>SUMIFS('collpy (2)'!$G$94:$G$3676,'collpy (2)'!$C$94:$C$3676,FinView!A67,'collpy (2)'!$A$94:$A$3676,FinView!$U$4)</f>
        <v>0</v>
      </c>
      <c r="W67" s="449"/>
      <c r="X67" s="450"/>
      <c r="Y67" s="450"/>
      <c r="Z67" s="450"/>
      <c r="AA67" s="450"/>
      <c r="AB67" s="450"/>
      <c r="AC67" s="450"/>
      <c r="AD67" s="450"/>
      <c r="AE67" s="450"/>
      <c r="AF67" s="450"/>
      <c r="AG67" s="898"/>
      <c r="AH67" s="898"/>
      <c r="AI67" s="898"/>
      <c r="AJ67" s="898"/>
      <c r="AK67" s="898"/>
      <c r="AL67" s="898"/>
      <c r="AM67" s="898"/>
    </row>
    <row r="68" spans="1:39" s="2" customFormat="1" ht="23.25">
      <c r="A68" s="649">
        <v>6016</v>
      </c>
      <c r="B68" s="648" t="s">
        <v>107</v>
      </c>
      <c r="C68" s="654">
        <f t="shared" si="31"/>
        <v>152714.9</v>
      </c>
      <c r="D68" s="654"/>
      <c r="E68" s="660">
        <f t="shared" si="15"/>
        <v>152714.9</v>
      </c>
      <c r="F68" s="661">
        <f t="shared" si="16"/>
        <v>0</v>
      </c>
      <c r="G68" s="660">
        <f>SUMIFS('collpy (2)'!$F$11:$F$11319,'collpy (2)'!$B$11:$B$11319,"&lt;1/6/2024",'collpy (2)'!$C$11:$C$11319,FinView!A68)</f>
        <v>68458.899999999994</v>
      </c>
      <c r="H68" s="661">
        <f>SUMIFS('collpy (2)'!$G$11:$G$11319,'collpy (2)'!$B$11:$B$11319,"&lt;1/6/2024",'collpy (2)'!$C$11:$C$11319,FinView!A68)</f>
        <v>0</v>
      </c>
      <c r="I68" s="660">
        <f t="shared" si="29"/>
        <v>84256</v>
      </c>
      <c r="J68" s="661">
        <f t="shared" si="30"/>
        <v>0</v>
      </c>
      <c r="K68" s="646">
        <f>SUMIFS('collpy (2)'!$F$94:$F$3676,'collpy (2)'!$C$94:$C$3676,FinView!A68,'collpy (2)'!$A$94:$A$3676,FinView!$K$4)</f>
        <v>8167</v>
      </c>
      <c r="L68" s="647">
        <f>SUMIFS('collpy (2)'!$G$94:$G$3676,'collpy (2)'!$C$94:$C$3676,FinView!A68,'collpy (2)'!$A$94:$A$3676,FinView!$K$4)</f>
        <v>0</v>
      </c>
      <c r="M68" s="646">
        <f>SUMIFS('collpy (2)'!$F$94:$F$3676,'collpy (2)'!$C$94:$C$3676,FinView!A68,'collpy (2)'!$A$94:$A$3676,FinView!$M$4)</f>
        <v>54501</v>
      </c>
      <c r="N68" s="647">
        <f>SUMIFS('collpy (2)'!$G$94:$G$3676,'collpy (2)'!$C$94:$C$3676,FinView!A68,'collpy (2)'!$A$94:$A$3676,FinView!$M$4)</f>
        <v>0</v>
      </c>
      <c r="O68" s="646">
        <f>SUMIFS('collpy (2)'!$F$94:$F$3676,'collpy (2)'!$C$94:$C$3676,FinView!A68,'collpy (2)'!$A$94:$A$3676,FinView!$O$4)</f>
        <v>10794</v>
      </c>
      <c r="P68" s="647">
        <f>SUMIFS('collpy (2)'!$G$94:$G$3676,'collpy (2)'!$C$94:$C$3676,FinView!A68,'collpy (2)'!$A$94:$A$3676,FinView!$O$4)</f>
        <v>0</v>
      </c>
      <c r="Q68" s="646">
        <f>SUMIFS('collpy (2)'!$F$94:$F$3676,'collpy (2)'!$C$94:$C$3676,FinView!A68,'collpy (2)'!$A$94:$A$3676,FinView!$Q$4)</f>
        <v>0</v>
      </c>
      <c r="R68" s="647">
        <f>SUMIFS('collpy (2)'!$G$94:$G$3676,'collpy (2)'!$C$94:$C$3676,FinView!A68,'collpy (2)'!$A$94:$A$3676,FinView!$Q$4)</f>
        <v>0</v>
      </c>
      <c r="S68" s="646">
        <f>SUMIFS('collpy (2)'!$F$94:$F$3676,'collpy (2)'!$C$94:$C$3676,FinView!A68,'collpy (2)'!$A$94:$A$3676,FinView!$S$4)</f>
        <v>0</v>
      </c>
      <c r="T68" s="647">
        <f>SUMIFS('collpy (2)'!$G$94:$G$3676,'collpy (2)'!$C$94:$C$3676,FinView!A68,'collpy (2)'!$A$94:$A$3676,FinView!$S$4)</f>
        <v>0</v>
      </c>
      <c r="U68" s="646">
        <f>SUMIFS('collpy (2)'!$F$94:$F$3676,'collpy (2)'!$C$94:$C$3676,FinView!A68,'collpy (2)'!$A$94:$A$3676,FinView!$U$4)</f>
        <v>10794</v>
      </c>
      <c r="V68" s="647">
        <f>SUMIFS('collpy (2)'!$G$94:$G$3676,'collpy (2)'!$C$94:$C$3676,FinView!A68,'collpy (2)'!$A$94:$A$3676,FinView!$U$4)</f>
        <v>0</v>
      </c>
      <c r="W68" s="449"/>
      <c r="X68" s="450"/>
      <c r="Y68" s="450"/>
      <c r="Z68" s="450"/>
      <c r="AA68" s="450"/>
      <c r="AB68" s="450"/>
      <c r="AC68" s="450"/>
      <c r="AD68" s="450"/>
      <c r="AE68" s="450"/>
      <c r="AF68" s="450"/>
      <c r="AG68" s="898"/>
      <c r="AH68" s="898"/>
      <c r="AI68" s="898"/>
      <c r="AJ68" s="898"/>
      <c r="AK68" s="898"/>
      <c r="AL68" s="898"/>
      <c r="AM68" s="898"/>
    </row>
    <row r="69" spans="1:39" s="2" customFormat="1" ht="23.25">
      <c r="A69" s="649">
        <v>6017</v>
      </c>
      <c r="B69" s="648" t="s">
        <v>108</v>
      </c>
      <c r="C69" s="654">
        <f t="shared" si="31"/>
        <v>15769.45</v>
      </c>
      <c r="D69" s="654"/>
      <c r="E69" s="660">
        <f t="shared" si="15"/>
        <v>15769.45</v>
      </c>
      <c r="F69" s="661">
        <f t="shared" si="16"/>
        <v>0</v>
      </c>
      <c r="G69" s="660">
        <f>SUMIFS('collpy (2)'!$F$11:$F$11319,'collpy (2)'!$B$11:$B$11319,"&lt;1/6/2024",'collpy (2)'!$C$11:$C$11319,FinView!A69)</f>
        <v>3991.3</v>
      </c>
      <c r="H69" s="661">
        <f>SUMIFS('collpy (2)'!$G$11:$G$11319,'collpy (2)'!$B$11:$B$11319,"&lt;1/6/2024",'collpy (2)'!$C$11:$C$11319,FinView!A69)</f>
        <v>0</v>
      </c>
      <c r="I69" s="660">
        <f t="shared" si="29"/>
        <v>11778.15</v>
      </c>
      <c r="J69" s="661">
        <f t="shared" si="30"/>
        <v>0</v>
      </c>
      <c r="K69" s="646">
        <f>SUMIFS('collpy (2)'!$F$94:$F$3676,'collpy (2)'!$C$94:$C$3676,FinView!A69,'collpy (2)'!$A$94:$A$3676,FinView!$K$4)</f>
        <v>6441.61</v>
      </c>
      <c r="L69" s="647">
        <f>SUMIFS('collpy (2)'!$G$94:$G$3676,'collpy (2)'!$C$94:$C$3676,FinView!A69,'collpy (2)'!$A$94:$A$3676,FinView!$K$4)</f>
        <v>0</v>
      </c>
      <c r="M69" s="646">
        <f>SUMIFS('collpy (2)'!$F$94:$F$3676,'collpy (2)'!$C$94:$C$3676,FinView!A69,'collpy (2)'!$A$94:$A$3676,FinView!$M$4)</f>
        <v>3191.26</v>
      </c>
      <c r="N69" s="647">
        <f>SUMIFS('collpy (2)'!$G$94:$G$3676,'collpy (2)'!$C$94:$C$3676,FinView!A69,'collpy (2)'!$A$94:$A$3676,FinView!$M$4)</f>
        <v>0</v>
      </c>
      <c r="O69" s="646">
        <f>SUMIFS('collpy (2)'!$F$94:$F$3676,'collpy (2)'!$C$94:$C$3676,FinView!A69,'collpy (2)'!$A$94:$A$3676,FinView!$O$4)</f>
        <v>559.52</v>
      </c>
      <c r="P69" s="647">
        <f>SUMIFS('collpy (2)'!$G$94:$G$3676,'collpy (2)'!$C$94:$C$3676,FinView!A69,'collpy (2)'!$A$94:$A$3676,FinView!$O$4)</f>
        <v>0</v>
      </c>
      <c r="Q69" s="646">
        <f>SUMIFS('collpy (2)'!$F$94:$F$3676,'collpy (2)'!$C$94:$C$3676,FinView!A69,'collpy (2)'!$A$94:$A$3676,FinView!$Q$4)</f>
        <v>1140.76</v>
      </c>
      <c r="R69" s="647">
        <f>SUMIFS('collpy (2)'!$G$94:$G$3676,'collpy (2)'!$C$94:$C$3676,FinView!A69,'collpy (2)'!$A$94:$A$3676,FinView!$Q$4)</f>
        <v>0</v>
      </c>
      <c r="S69" s="646">
        <f>SUMIFS('collpy (2)'!$F$94:$F$3676,'collpy (2)'!$C$94:$C$3676,FinView!A69,'collpy (2)'!$A$94:$A$3676,FinView!$S$4)</f>
        <v>445</v>
      </c>
      <c r="T69" s="647">
        <f>SUMIFS('collpy (2)'!$G$94:$G$3676,'collpy (2)'!$C$94:$C$3676,FinView!A69,'collpy (2)'!$A$94:$A$3676,FinView!$S$4)</f>
        <v>0</v>
      </c>
      <c r="U69" s="646">
        <f>SUMIFS('collpy (2)'!$F$94:$F$3676,'collpy (2)'!$C$94:$C$3676,FinView!A69,'collpy (2)'!$A$94:$A$3676,FinView!$U$4)</f>
        <v>0</v>
      </c>
      <c r="V69" s="647">
        <f>SUMIFS('collpy (2)'!$G$94:$G$3676,'collpy (2)'!$C$94:$C$3676,FinView!A69,'collpy (2)'!$A$94:$A$3676,FinView!$U$4)</f>
        <v>0</v>
      </c>
      <c r="W69" s="449"/>
      <c r="X69" s="450"/>
      <c r="Y69" s="450"/>
      <c r="Z69" s="450"/>
      <c r="AA69" s="450"/>
      <c r="AB69" s="450"/>
      <c r="AC69" s="450"/>
      <c r="AD69" s="450"/>
      <c r="AE69" s="450"/>
      <c r="AF69" s="450"/>
      <c r="AG69" s="898"/>
      <c r="AH69" s="898"/>
      <c r="AI69" s="898"/>
      <c r="AJ69" s="898"/>
      <c r="AK69" s="898"/>
      <c r="AL69" s="898"/>
      <c r="AM69" s="898"/>
    </row>
    <row r="70" spans="1:39" s="2" customFormat="1" ht="16.5" customHeight="1">
      <c r="A70" s="657">
        <v>6022</v>
      </c>
      <c r="B70" s="886" t="s">
        <v>113</v>
      </c>
      <c r="C70" s="654">
        <f t="shared" si="31"/>
        <v>7081.49</v>
      </c>
      <c r="D70" s="654"/>
      <c r="E70" s="660">
        <f t="shared" si="15"/>
        <v>7081.49</v>
      </c>
      <c r="F70" s="661">
        <f t="shared" si="16"/>
        <v>0</v>
      </c>
      <c r="G70" s="660">
        <f>SUMIFS('collpy (2)'!$F$11:$F$11319,'collpy (2)'!$B$11:$B$11319,"&lt;1/6/2024",'collpy (2)'!$C$11:$C$11319,FinView!A70)</f>
        <v>7044.59</v>
      </c>
      <c r="H70" s="661">
        <f>SUMIFS('collpy (2)'!$G$11:$G$11319,'collpy (2)'!$B$11:$B$11319,"&lt;1/6/2024",'collpy (2)'!$C$11:$C$11319,FinView!A70)</f>
        <v>0</v>
      </c>
      <c r="I70" s="660">
        <f t="shared" si="29"/>
        <v>36.9</v>
      </c>
      <c r="J70" s="661">
        <f t="shared" si="30"/>
        <v>0</v>
      </c>
      <c r="K70" s="646">
        <f>SUMIFS('collpy (2)'!$F$94:$F$3676,'collpy (2)'!$C$94:$C$3676,FinView!A70,'collpy (2)'!$A$94:$A$3676,FinView!$K$4)</f>
        <v>36.9</v>
      </c>
      <c r="L70" s="647">
        <f>SUMIFS('collpy (2)'!$G$94:$G$3676,'collpy (2)'!$C$94:$C$3676,FinView!A70,'collpy (2)'!$A$94:$A$3676,FinView!$K$4)</f>
        <v>0</v>
      </c>
      <c r="M70" s="646">
        <f>SUMIFS('collpy (2)'!$F$94:$F$3676,'collpy (2)'!$C$94:$C$3676,FinView!A70,'collpy (2)'!$A$94:$A$3676,FinView!$M$4)</f>
        <v>0</v>
      </c>
      <c r="N70" s="647">
        <f>SUMIFS('collpy (2)'!$G$94:$G$3676,'collpy (2)'!$C$94:$C$3676,FinView!A70,'collpy (2)'!$A$94:$A$3676,FinView!$M$4)</f>
        <v>0</v>
      </c>
      <c r="O70" s="646">
        <f>SUMIFS('collpy (2)'!$F$94:$F$3676,'collpy (2)'!$C$94:$C$3676,FinView!A70,'collpy (2)'!$A$94:$A$3676,FinView!$O$4)</f>
        <v>0</v>
      </c>
      <c r="P70" s="647">
        <f>SUMIFS('collpy (2)'!$G$94:$G$3676,'collpy (2)'!$C$94:$C$3676,FinView!A70,'collpy (2)'!$A$94:$A$3676,FinView!$O$4)</f>
        <v>0</v>
      </c>
      <c r="Q70" s="646">
        <f>SUMIFS('collpy (2)'!$F$94:$F$3676,'collpy (2)'!$C$94:$C$3676,FinView!A70,'collpy (2)'!$A$94:$A$3676,FinView!$Q$4)</f>
        <v>0</v>
      </c>
      <c r="R70" s="647">
        <f>SUMIFS('collpy (2)'!$G$94:$G$3676,'collpy (2)'!$C$94:$C$3676,FinView!A70,'collpy (2)'!$A$94:$A$3676,FinView!$Q$4)</f>
        <v>0</v>
      </c>
      <c r="S70" s="646">
        <f>SUMIFS('collpy (2)'!$F$94:$F$3676,'collpy (2)'!$C$94:$C$3676,FinView!A70,'collpy (2)'!$A$94:$A$3676,FinView!$S$4)</f>
        <v>0</v>
      </c>
      <c r="T70" s="647">
        <f>SUMIFS('collpy (2)'!$G$94:$G$3676,'collpy (2)'!$C$94:$C$3676,FinView!A70,'collpy (2)'!$A$94:$A$3676,FinView!$S$4)</f>
        <v>0</v>
      </c>
      <c r="U70" s="646">
        <f>SUMIFS('collpy (2)'!$F$94:$F$3676,'collpy (2)'!$C$94:$C$3676,FinView!A70,'collpy (2)'!$A$94:$A$3676,FinView!$U$4)</f>
        <v>0</v>
      </c>
      <c r="V70" s="647">
        <f>SUMIFS('collpy (2)'!$G$94:$G$3676,'collpy (2)'!$C$94:$C$3676,FinView!A70,'collpy (2)'!$A$94:$A$3676,FinView!$U$4)</f>
        <v>0</v>
      </c>
      <c r="W70" s="449"/>
      <c r="X70" s="450"/>
      <c r="Y70" s="450"/>
      <c r="Z70" s="450"/>
      <c r="AA70" s="450"/>
      <c r="AB70" s="450"/>
      <c r="AC70" s="450"/>
      <c r="AD70" s="450"/>
      <c r="AE70" s="450"/>
      <c r="AF70" s="450"/>
      <c r="AG70" s="898"/>
      <c r="AH70" s="898"/>
      <c r="AI70" s="898"/>
      <c r="AJ70" s="898"/>
      <c r="AK70" s="898"/>
      <c r="AL70" s="898"/>
      <c r="AM70" s="898"/>
    </row>
    <row r="71" spans="1:39" s="2" customFormat="1" ht="23.25">
      <c r="A71" s="649">
        <v>6023</v>
      </c>
      <c r="B71" s="648" t="s">
        <v>114</v>
      </c>
      <c r="C71" s="654">
        <f t="shared" si="31"/>
        <v>3245</v>
      </c>
      <c r="D71" s="654"/>
      <c r="E71" s="660">
        <f t="shared" si="15"/>
        <v>3245</v>
      </c>
      <c r="F71" s="661">
        <f t="shared" si="16"/>
        <v>0</v>
      </c>
      <c r="G71" s="660">
        <f>SUMIFS('collpy (2)'!$F$11:$F$11319,'collpy (2)'!$B$11:$B$11319,"&lt;1/6/2024",'collpy (2)'!$C$11:$C$11319,FinView!A71)</f>
        <v>1780</v>
      </c>
      <c r="H71" s="661">
        <f>SUMIFS('collpy (2)'!$G$11:$G$11319,'collpy (2)'!$B$11:$B$11319,"&lt;1/6/2024",'collpy (2)'!$C$11:$C$11319,FinView!A71)</f>
        <v>0</v>
      </c>
      <c r="I71" s="660">
        <f t="shared" si="29"/>
        <v>1465</v>
      </c>
      <c r="J71" s="661">
        <f t="shared" si="30"/>
        <v>0</v>
      </c>
      <c r="K71" s="646">
        <f>SUMIFS('collpy (2)'!$F$94:$F$3676,'collpy (2)'!$C$94:$C$3676,FinView!A71,'collpy (2)'!$A$94:$A$3676,FinView!$K$4)</f>
        <v>0</v>
      </c>
      <c r="L71" s="647">
        <f>SUMIFS('collpy (2)'!$G$94:$G$3676,'collpy (2)'!$C$94:$C$3676,FinView!A71,'collpy (2)'!$A$94:$A$3676,FinView!$K$4)</f>
        <v>0</v>
      </c>
      <c r="M71" s="646">
        <f>SUMIFS('collpy (2)'!$F$94:$F$3676,'collpy (2)'!$C$94:$C$3676,FinView!A71,'collpy (2)'!$A$94:$A$3676,FinView!$M$4)</f>
        <v>0</v>
      </c>
      <c r="N71" s="647">
        <f>SUMIFS('collpy (2)'!$G$94:$G$3676,'collpy (2)'!$C$94:$C$3676,FinView!A71,'collpy (2)'!$A$94:$A$3676,FinView!$M$4)</f>
        <v>0</v>
      </c>
      <c r="O71" s="646">
        <f>SUMIFS('collpy (2)'!$F$94:$F$3676,'collpy (2)'!$C$94:$C$3676,FinView!A71,'collpy (2)'!$A$94:$A$3676,FinView!$O$4)</f>
        <v>0</v>
      </c>
      <c r="P71" s="647">
        <f>SUMIFS('collpy (2)'!$G$94:$G$3676,'collpy (2)'!$C$94:$C$3676,FinView!A71,'collpy (2)'!$A$94:$A$3676,FinView!$O$4)</f>
        <v>0</v>
      </c>
      <c r="Q71" s="646">
        <f>SUMIFS('collpy (2)'!$F$94:$F$3676,'collpy (2)'!$C$94:$C$3676,FinView!A71,'collpy (2)'!$A$94:$A$3676,FinView!$Q$4)</f>
        <v>0</v>
      </c>
      <c r="R71" s="647">
        <f>SUMIFS('collpy (2)'!$G$94:$G$3676,'collpy (2)'!$C$94:$C$3676,FinView!A71,'collpy (2)'!$A$94:$A$3676,FinView!$Q$4)</f>
        <v>0</v>
      </c>
      <c r="S71" s="646">
        <f>SUMIFS('collpy (2)'!$F$94:$F$3676,'collpy (2)'!$C$94:$C$3676,FinView!A71,'collpy (2)'!$A$94:$A$3676,FinView!$S$4)</f>
        <v>1465</v>
      </c>
      <c r="T71" s="647">
        <f>SUMIFS('collpy (2)'!$G$94:$G$3676,'collpy (2)'!$C$94:$C$3676,FinView!A71,'collpy (2)'!$A$94:$A$3676,FinView!$S$4)</f>
        <v>0</v>
      </c>
      <c r="U71" s="646">
        <f>SUMIFS('collpy (2)'!$F$94:$F$3676,'collpy (2)'!$C$94:$C$3676,FinView!A71,'collpy (2)'!$A$94:$A$3676,FinView!$U$4)</f>
        <v>0</v>
      </c>
      <c r="V71" s="647">
        <f>SUMIFS('collpy (2)'!$G$94:$G$3676,'collpy (2)'!$C$94:$C$3676,FinView!A71,'collpy (2)'!$A$94:$A$3676,FinView!$U$4)</f>
        <v>0</v>
      </c>
      <c r="W71" s="449"/>
      <c r="X71" s="450"/>
      <c r="Y71" s="450"/>
      <c r="Z71" s="450"/>
      <c r="AA71" s="450"/>
      <c r="AB71" s="450"/>
      <c r="AC71" s="450"/>
      <c r="AD71" s="450"/>
      <c r="AE71" s="450"/>
      <c r="AF71" s="450"/>
      <c r="AG71" s="898"/>
      <c r="AH71" s="898"/>
      <c r="AI71" s="898"/>
      <c r="AJ71" s="898"/>
      <c r="AK71" s="898"/>
      <c r="AL71" s="898"/>
      <c r="AM71" s="898"/>
    </row>
    <row r="72" spans="1:39" s="2" customFormat="1" ht="23.25">
      <c r="A72" s="649">
        <v>6024</v>
      </c>
      <c r="B72" s="648" t="s">
        <v>115</v>
      </c>
      <c r="C72" s="654">
        <f t="shared" si="31"/>
        <v>2270</v>
      </c>
      <c r="D72" s="654"/>
      <c r="E72" s="660">
        <f t="shared" si="15"/>
        <v>2270</v>
      </c>
      <c r="F72" s="661">
        <f t="shared" si="16"/>
        <v>0</v>
      </c>
      <c r="G72" s="660">
        <f>SUMIFS('collpy (2)'!$F$11:$F$11319,'collpy (2)'!$B$11:$B$11319,"&lt;1/6/2024",'collpy (2)'!$C$11:$C$11319,FinView!A72)</f>
        <v>1145</v>
      </c>
      <c r="H72" s="661">
        <f>SUMIFS('collpy (2)'!$G$11:$G$11319,'collpy (2)'!$B$11:$B$11319,"&lt;1/6/2024",'collpy (2)'!$C$11:$C$11319,FinView!A72)</f>
        <v>0</v>
      </c>
      <c r="I72" s="660">
        <f t="shared" si="29"/>
        <v>1125</v>
      </c>
      <c r="J72" s="661">
        <f t="shared" si="30"/>
        <v>0</v>
      </c>
      <c r="K72" s="646">
        <f>SUMIFS('collpy (2)'!$F$94:$F$3676,'collpy (2)'!$C$94:$C$3676,FinView!A72,'collpy (2)'!$A$94:$A$3676,FinView!$K$4)</f>
        <v>0</v>
      </c>
      <c r="L72" s="647">
        <f>SUMIFS('collpy (2)'!$G$94:$G$3676,'collpy (2)'!$C$94:$C$3676,FinView!A72,'collpy (2)'!$A$94:$A$3676,FinView!$K$4)</f>
        <v>0</v>
      </c>
      <c r="M72" s="646">
        <f>SUMIFS('collpy (2)'!$F$94:$F$3676,'collpy (2)'!$C$94:$C$3676,FinView!A72,'collpy (2)'!$A$94:$A$3676,FinView!$M$4)</f>
        <v>0</v>
      </c>
      <c r="N72" s="647">
        <f>SUMIFS('collpy (2)'!$G$94:$G$3676,'collpy (2)'!$C$94:$C$3676,FinView!A72,'collpy (2)'!$A$94:$A$3676,FinView!$M$4)</f>
        <v>0</v>
      </c>
      <c r="O72" s="646">
        <f>SUMIFS('collpy (2)'!$F$94:$F$3676,'collpy (2)'!$C$94:$C$3676,FinView!A72,'collpy (2)'!$A$94:$A$3676,FinView!$O$4)</f>
        <v>0</v>
      </c>
      <c r="P72" s="647">
        <f>SUMIFS('collpy (2)'!$G$94:$G$3676,'collpy (2)'!$C$94:$C$3676,FinView!A72,'collpy (2)'!$A$94:$A$3676,FinView!$O$4)</f>
        <v>0</v>
      </c>
      <c r="Q72" s="646">
        <f>SUMIFS('collpy (2)'!$F$94:$F$3676,'collpy (2)'!$C$94:$C$3676,FinView!A72,'collpy (2)'!$A$94:$A$3676,FinView!$Q$4)</f>
        <v>170</v>
      </c>
      <c r="R72" s="647">
        <f>SUMIFS('collpy (2)'!$G$94:$G$3676,'collpy (2)'!$C$94:$C$3676,FinView!A72,'collpy (2)'!$A$94:$A$3676,FinView!$Q$4)</f>
        <v>0</v>
      </c>
      <c r="S72" s="646">
        <f>SUMIFS('collpy (2)'!$F$94:$F$3676,'collpy (2)'!$C$94:$C$3676,FinView!A72,'collpy (2)'!$A$94:$A$3676,FinView!$S$4)</f>
        <v>955</v>
      </c>
      <c r="T72" s="647">
        <f>SUMIFS('collpy (2)'!$G$94:$G$3676,'collpy (2)'!$C$94:$C$3676,FinView!A72,'collpy (2)'!$A$94:$A$3676,FinView!$S$4)</f>
        <v>0</v>
      </c>
      <c r="U72" s="646">
        <f>SUMIFS('collpy (2)'!$F$94:$F$3676,'collpy (2)'!$C$94:$C$3676,FinView!A72,'collpy (2)'!$A$94:$A$3676,FinView!$U$4)</f>
        <v>0</v>
      </c>
      <c r="V72" s="647">
        <f>SUMIFS('collpy (2)'!$G$94:$G$3676,'collpy (2)'!$C$94:$C$3676,FinView!A72,'collpy (2)'!$A$94:$A$3676,FinView!$U$4)</f>
        <v>0</v>
      </c>
      <c r="W72" s="449"/>
      <c r="X72" s="450"/>
      <c r="Y72" s="450"/>
      <c r="Z72" s="450"/>
      <c r="AA72" s="450"/>
      <c r="AB72" s="450"/>
      <c r="AC72" s="450"/>
      <c r="AD72" s="450"/>
      <c r="AE72" s="450"/>
      <c r="AF72" s="450"/>
      <c r="AG72" s="898"/>
      <c r="AH72" s="898"/>
      <c r="AI72" s="898"/>
      <c r="AJ72" s="898"/>
      <c r="AK72" s="898"/>
      <c r="AL72" s="898"/>
      <c r="AM72" s="898"/>
    </row>
    <row r="73" spans="1:39" s="2" customFormat="1" ht="23.25">
      <c r="A73" s="657">
        <v>6025</v>
      </c>
      <c r="B73" s="886" t="s">
        <v>116</v>
      </c>
      <c r="C73" s="654">
        <f t="shared" si="31"/>
        <v>1066.5</v>
      </c>
      <c r="D73" s="654"/>
      <c r="E73" s="660">
        <f t="shared" si="15"/>
        <v>1066.5</v>
      </c>
      <c r="F73" s="661">
        <f t="shared" si="16"/>
        <v>0</v>
      </c>
      <c r="G73" s="660">
        <f>SUMIFS('collpy (2)'!$F$11:$F$11319,'collpy (2)'!$B$11:$B$11319,"&lt;1/6/2024",'collpy (2)'!$C$11:$C$11319,FinView!A73)</f>
        <v>605.5</v>
      </c>
      <c r="H73" s="661">
        <f>SUMIFS('collpy (2)'!$G$11:$G$11319,'collpy (2)'!$B$11:$B$11319,"&lt;1/6/2024",'collpy (2)'!$C$11:$C$11319,FinView!A73)</f>
        <v>0</v>
      </c>
      <c r="I73" s="660">
        <f t="shared" si="29"/>
        <v>461</v>
      </c>
      <c r="J73" s="661">
        <f t="shared" si="30"/>
        <v>0</v>
      </c>
      <c r="K73" s="646">
        <f>SUMIFS('collpy (2)'!$F$94:$F$3676,'collpy (2)'!$C$94:$C$3676,FinView!A73,'collpy (2)'!$A$94:$A$3676,FinView!$K$4)</f>
        <v>130</v>
      </c>
      <c r="L73" s="647">
        <f>SUMIFS('collpy (2)'!$G$94:$G$3676,'collpy (2)'!$C$94:$C$3676,FinView!A73,'collpy (2)'!$A$94:$A$3676,FinView!$K$4)</f>
        <v>0</v>
      </c>
      <c r="M73" s="646">
        <f>SUMIFS('collpy (2)'!$F$94:$F$3676,'collpy (2)'!$C$94:$C$3676,FinView!A73,'collpy (2)'!$A$94:$A$3676,FinView!$M$4)</f>
        <v>0</v>
      </c>
      <c r="N73" s="647">
        <f>SUMIFS('collpy (2)'!$G$94:$G$3676,'collpy (2)'!$C$94:$C$3676,FinView!A73,'collpy (2)'!$A$94:$A$3676,FinView!$M$4)</f>
        <v>0</v>
      </c>
      <c r="O73" s="646">
        <f>SUMIFS('collpy (2)'!$F$94:$F$3676,'collpy (2)'!$C$94:$C$3676,FinView!A73,'collpy (2)'!$A$94:$A$3676,FinView!$O$4)</f>
        <v>190</v>
      </c>
      <c r="P73" s="647">
        <f>SUMIFS('collpy (2)'!$G$94:$G$3676,'collpy (2)'!$C$94:$C$3676,FinView!A73,'collpy (2)'!$A$94:$A$3676,FinView!$O$4)</f>
        <v>0</v>
      </c>
      <c r="Q73" s="646">
        <f>SUMIFS('collpy (2)'!$F$94:$F$3676,'collpy (2)'!$C$94:$C$3676,FinView!A73,'collpy (2)'!$A$94:$A$3676,FinView!$Q$4)</f>
        <v>0</v>
      </c>
      <c r="R73" s="647">
        <f>SUMIFS('collpy (2)'!$G$94:$G$3676,'collpy (2)'!$C$94:$C$3676,FinView!A73,'collpy (2)'!$A$94:$A$3676,FinView!$Q$4)</f>
        <v>0</v>
      </c>
      <c r="S73" s="646">
        <f>SUMIFS('collpy (2)'!$F$94:$F$3676,'collpy (2)'!$C$94:$C$3676,FinView!A73,'collpy (2)'!$A$94:$A$3676,FinView!$S$4)</f>
        <v>141</v>
      </c>
      <c r="T73" s="647">
        <f>SUMIFS('collpy (2)'!$G$94:$G$3676,'collpy (2)'!$C$94:$C$3676,FinView!A73,'collpy (2)'!$A$94:$A$3676,FinView!$S$4)</f>
        <v>0</v>
      </c>
      <c r="U73" s="646">
        <f>SUMIFS('collpy (2)'!$F$94:$F$3676,'collpy (2)'!$C$94:$C$3676,FinView!A73,'collpy (2)'!$A$94:$A$3676,FinView!$U$4)</f>
        <v>0</v>
      </c>
      <c r="V73" s="647">
        <f>SUMIFS('collpy (2)'!$G$94:$G$3676,'collpy (2)'!$C$94:$C$3676,FinView!A73,'collpy (2)'!$A$94:$A$3676,FinView!$U$4)</f>
        <v>0</v>
      </c>
      <c r="W73" s="449"/>
      <c r="X73" s="450"/>
      <c r="Y73" s="450"/>
      <c r="Z73" s="450"/>
      <c r="AA73" s="450"/>
      <c r="AB73" s="450"/>
      <c r="AC73" s="450"/>
      <c r="AD73" s="450"/>
      <c r="AE73" s="450"/>
      <c r="AF73" s="450"/>
      <c r="AG73" s="898"/>
      <c r="AH73" s="898"/>
      <c r="AI73" s="898"/>
      <c r="AJ73" s="898"/>
      <c r="AK73" s="898"/>
      <c r="AL73" s="898"/>
      <c r="AM73" s="898"/>
    </row>
    <row r="74" spans="1:39" s="2" customFormat="1" ht="23.25">
      <c r="A74" s="649">
        <v>6026</v>
      </c>
      <c r="B74" s="886" t="s">
        <v>117</v>
      </c>
      <c r="C74" s="654">
        <f t="shared" si="31"/>
        <v>1628</v>
      </c>
      <c r="D74" s="654"/>
      <c r="E74" s="660">
        <f t="shared" si="15"/>
        <v>1628</v>
      </c>
      <c r="F74" s="661">
        <f t="shared" si="16"/>
        <v>0</v>
      </c>
      <c r="G74" s="660">
        <f>SUMIFS('collpy (2)'!$F$11:$F$11319,'collpy (2)'!$B$11:$B$11319,"&lt;1/6/2024",'collpy (2)'!$C$11:$C$11319,FinView!A74)</f>
        <v>200</v>
      </c>
      <c r="H74" s="661">
        <f>SUMIFS('collpy (2)'!$G$11:$G$11319,'collpy (2)'!$B$11:$B$11319,"&lt;1/6/2024",'collpy (2)'!$C$11:$C$11319,FinView!A74)</f>
        <v>0</v>
      </c>
      <c r="I74" s="660">
        <f t="shared" si="29"/>
        <v>1428</v>
      </c>
      <c r="J74" s="661">
        <f t="shared" si="30"/>
        <v>0</v>
      </c>
      <c r="K74" s="646">
        <f>SUMIFS('collpy (2)'!$F$94:$F$3676,'collpy (2)'!$C$94:$C$3676,FinView!A74,'collpy (2)'!$A$94:$A$3676,FinView!$K$4)</f>
        <v>40</v>
      </c>
      <c r="L74" s="647">
        <f>SUMIFS('collpy (2)'!$G$94:$G$3676,'collpy (2)'!$C$94:$C$3676,FinView!A74,'collpy (2)'!$A$94:$A$3676,FinView!$K$4)</f>
        <v>0</v>
      </c>
      <c r="M74" s="646">
        <f>SUMIFS('collpy (2)'!$F$94:$F$3676,'collpy (2)'!$C$94:$C$3676,FinView!A74,'collpy (2)'!$A$94:$A$3676,FinView!$M$4)</f>
        <v>0</v>
      </c>
      <c r="N74" s="647">
        <f>SUMIFS('collpy (2)'!$G$94:$G$3676,'collpy (2)'!$C$94:$C$3676,FinView!A74,'collpy (2)'!$A$94:$A$3676,FinView!$M$4)</f>
        <v>0</v>
      </c>
      <c r="O74" s="646">
        <f>SUMIFS('collpy (2)'!$F$94:$F$3676,'collpy (2)'!$C$94:$C$3676,FinView!A74,'collpy (2)'!$A$94:$A$3676,FinView!$O$4)</f>
        <v>0</v>
      </c>
      <c r="P74" s="647">
        <f>SUMIFS('collpy (2)'!$G$94:$G$3676,'collpy (2)'!$C$94:$C$3676,FinView!A74,'collpy (2)'!$A$94:$A$3676,FinView!$O$4)</f>
        <v>0</v>
      </c>
      <c r="Q74" s="646">
        <f>SUMIFS('collpy (2)'!$F$94:$F$3676,'collpy (2)'!$C$94:$C$3676,FinView!A74,'collpy (2)'!$A$94:$A$3676,FinView!$Q$4)</f>
        <v>1388</v>
      </c>
      <c r="R74" s="647">
        <f>SUMIFS('collpy (2)'!$G$94:$G$3676,'collpy (2)'!$C$94:$C$3676,FinView!A74,'collpy (2)'!$A$94:$A$3676,FinView!$Q$4)</f>
        <v>0</v>
      </c>
      <c r="S74" s="646">
        <f>SUMIFS('collpy (2)'!$F$94:$F$3676,'collpy (2)'!$C$94:$C$3676,FinView!A74,'collpy (2)'!$A$94:$A$3676,FinView!$S$4)</f>
        <v>0</v>
      </c>
      <c r="T74" s="647">
        <f>SUMIFS('collpy (2)'!$G$94:$G$3676,'collpy (2)'!$C$94:$C$3676,FinView!A74,'collpy (2)'!$A$94:$A$3676,FinView!$S$4)</f>
        <v>0</v>
      </c>
      <c r="U74" s="646">
        <f>SUMIFS('collpy (2)'!$F$94:$F$3676,'collpy (2)'!$C$94:$C$3676,FinView!A74,'collpy (2)'!$A$94:$A$3676,FinView!$U$4)</f>
        <v>0</v>
      </c>
      <c r="V74" s="647">
        <f>SUMIFS('collpy (2)'!$G$94:$G$3676,'collpy (2)'!$C$94:$C$3676,FinView!A74,'collpy (2)'!$A$94:$A$3676,FinView!$U$4)</f>
        <v>0</v>
      </c>
      <c r="W74" s="449"/>
      <c r="X74" s="450"/>
      <c r="Y74" s="450"/>
      <c r="Z74" s="450"/>
      <c r="AA74" s="450"/>
      <c r="AB74" s="450"/>
      <c r="AC74" s="450"/>
      <c r="AD74" s="450"/>
      <c r="AE74" s="450"/>
      <c r="AF74" s="450"/>
      <c r="AG74" s="898"/>
      <c r="AH74" s="898"/>
      <c r="AI74" s="898"/>
      <c r="AJ74" s="898"/>
      <c r="AK74" s="898"/>
      <c r="AL74" s="898"/>
      <c r="AM74" s="898"/>
    </row>
    <row r="75" spans="1:39" s="2" customFormat="1" ht="23.25">
      <c r="A75" s="649">
        <v>6027</v>
      </c>
      <c r="B75" s="648" t="s">
        <v>118</v>
      </c>
      <c r="C75" s="654">
        <f t="shared" si="31"/>
        <v>122400</v>
      </c>
      <c r="D75" s="654"/>
      <c r="E75" s="660">
        <f t="shared" si="15"/>
        <v>122400</v>
      </c>
      <c r="F75" s="661">
        <f t="shared" si="16"/>
        <v>0</v>
      </c>
      <c r="G75" s="660">
        <f>SUMIFS('collpy (2)'!$F$11:$F$11319,'collpy (2)'!$B$11:$B$11319,"&lt;1/6/2024",'collpy (2)'!$C$11:$C$11319,FinView!A75)</f>
        <v>46000</v>
      </c>
      <c r="H75" s="661">
        <f>SUMIFS('collpy (2)'!$G$11:$G$11319,'collpy (2)'!$B$11:$B$11319,"&lt;1/6/2024",'collpy (2)'!$C$11:$C$11319,FinView!A75)</f>
        <v>0</v>
      </c>
      <c r="I75" s="660">
        <f t="shared" si="29"/>
        <v>76400</v>
      </c>
      <c r="J75" s="661">
        <f t="shared" si="30"/>
        <v>0</v>
      </c>
      <c r="K75" s="646">
        <f>SUMIFS('collpy (2)'!$F$94:$F$3676,'collpy (2)'!$C$94:$C$3676,FinView!A75,'collpy (2)'!$A$94:$A$3676,FinView!$K$4)</f>
        <v>4600</v>
      </c>
      <c r="L75" s="647">
        <f>SUMIFS('collpy (2)'!$G$94:$G$3676,'collpy (2)'!$C$94:$C$3676,FinView!A75,'collpy (2)'!$A$94:$A$3676,FinView!$K$4)</f>
        <v>0</v>
      </c>
      <c r="M75" s="646">
        <f>SUMIFS('collpy (2)'!$F$94:$F$3676,'collpy (2)'!$C$94:$C$3676,FinView!A75,'collpy (2)'!$A$94:$A$3676,FinView!$M$4)</f>
        <v>11000</v>
      </c>
      <c r="N75" s="647">
        <f>SUMIFS('collpy (2)'!$G$94:$G$3676,'collpy (2)'!$C$94:$C$3676,FinView!A75,'collpy (2)'!$A$94:$A$3676,FinView!$M$4)</f>
        <v>0</v>
      </c>
      <c r="O75" s="646">
        <f>SUMIFS('collpy (2)'!$F$94:$F$3676,'collpy (2)'!$C$94:$C$3676,FinView!A75,'collpy (2)'!$A$94:$A$3676,FinView!$O$4)</f>
        <v>15000</v>
      </c>
      <c r="P75" s="647">
        <f>SUMIFS('collpy (2)'!$G$94:$G$3676,'collpy (2)'!$C$94:$C$3676,FinView!A75,'collpy (2)'!$A$94:$A$3676,FinView!$O$4)</f>
        <v>0</v>
      </c>
      <c r="Q75" s="646">
        <f>SUMIFS('collpy (2)'!$F$94:$F$3676,'collpy (2)'!$C$94:$C$3676,FinView!A75,'collpy (2)'!$A$94:$A$3676,FinView!$Q$4)</f>
        <v>0</v>
      </c>
      <c r="R75" s="647">
        <f>SUMIFS('collpy (2)'!$G$94:$G$3676,'collpy (2)'!$C$94:$C$3676,FinView!A75,'collpy (2)'!$A$94:$A$3676,FinView!$Q$4)</f>
        <v>0</v>
      </c>
      <c r="S75" s="646">
        <f>SUMIFS('collpy (2)'!$F$94:$F$3676,'collpy (2)'!$C$94:$C$3676,FinView!A75,'collpy (2)'!$A$94:$A$3676,FinView!$S$4)</f>
        <v>0</v>
      </c>
      <c r="T75" s="647">
        <f>SUMIFS('collpy (2)'!$G$94:$G$3676,'collpy (2)'!$C$94:$C$3676,FinView!A75,'collpy (2)'!$A$94:$A$3676,FinView!$S$4)</f>
        <v>0</v>
      </c>
      <c r="U75" s="646">
        <f>SUMIFS('collpy (2)'!$F$94:$F$3676,'collpy (2)'!$C$94:$C$3676,FinView!A75,'collpy (2)'!$A$94:$A$3676,FinView!$U$4)</f>
        <v>45800</v>
      </c>
      <c r="V75" s="647">
        <f>SUMIFS('collpy (2)'!$G$94:$G$3676,'collpy (2)'!$C$94:$C$3676,FinView!A75,'collpy (2)'!$A$94:$A$3676,FinView!$U$4)</f>
        <v>0</v>
      </c>
      <c r="W75" s="449"/>
      <c r="X75" s="450"/>
      <c r="Y75" s="450"/>
      <c r="Z75" s="450"/>
      <c r="AA75" s="450"/>
      <c r="AB75" s="450"/>
      <c r="AC75" s="450"/>
      <c r="AD75" s="450"/>
      <c r="AE75" s="450"/>
      <c r="AF75" s="450"/>
      <c r="AG75" s="898"/>
      <c r="AH75" s="898"/>
      <c r="AI75" s="898"/>
      <c r="AJ75" s="898"/>
      <c r="AK75" s="898"/>
      <c r="AL75" s="898"/>
      <c r="AM75" s="898"/>
    </row>
    <row r="76" spans="1:39" s="2" customFormat="1" ht="23.25">
      <c r="A76" s="649">
        <v>6028</v>
      </c>
      <c r="B76" s="648" t="s">
        <v>119</v>
      </c>
      <c r="C76" s="654">
        <f t="shared" si="31"/>
        <v>171065</v>
      </c>
      <c r="D76" s="654"/>
      <c r="E76" s="660">
        <f t="shared" si="15"/>
        <v>171065</v>
      </c>
      <c r="F76" s="661">
        <f t="shared" si="16"/>
        <v>0</v>
      </c>
      <c r="G76" s="660">
        <f>SUMIFS('collpy (2)'!$F$11:$F$11319,'collpy (2)'!$B$11:$B$11319,"&lt;1/6/2024",'collpy (2)'!$C$11:$C$11319,FinView!A76)</f>
        <v>46820</v>
      </c>
      <c r="H76" s="661">
        <f>SUMIFS('collpy (2)'!$G$11:$G$11319,'collpy (2)'!$B$11:$B$11319,"&lt;1/6/2024",'collpy (2)'!$C$11:$C$11319,FinView!A76)</f>
        <v>0</v>
      </c>
      <c r="I76" s="660">
        <f t="shared" si="29"/>
        <v>124245</v>
      </c>
      <c r="J76" s="661">
        <f t="shared" si="30"/>
        <v>0</v>
      </c>
      <c r="K76" s="646">
        <f>SUMIFS('collpy (2)'!$F$94:$F$3676,'collpy (2)'!$C$94:$C$3676,FinView!A76,'collpy (2)'!$A$94:$A$3676,FinView!$K$4)</f>
        <v>6740</v>
      </c>
      <c r="L76" s="647">
        <f>SUMIFS('collpy (2)'!$G$94:$G$3676,'collpy (2)'!$C$94:$C$3676,FinView!A76,'collpy (2)'!$A$94:$A$3676,FinView!$K$4)</f>
        <v>0</v>
      </c>
      <c r="M76" s="646">
        <f>SUMIFS('collpy (2)'!$F$94:$F$3676,'collpy (2)'!$C$94:$C$3676,FinView!A76,'collpy (2)'!$A$94:$A$3676,FinView!$M$4)</f>
        <v>0</v>
      </c>
      <c r="N76" s="647">
        <f>SUMIFS('collpy (2)'!$G$94:$G$3676,'collpy (2)'!$C$94:$C$3676,FinView!A76,'collpy (2)'!$A$94:$A$3676,FinView!$M$4)</f>
        <v>0</v>
      </c>
      <c r="O76" s="646">
        <f>SUMIFS('collpy (2)'!$F$94:$F$3676,'collpy (2)'!$C$94:$C$3676,FinView!A76,'collpy (2)'!$A$94:$A$3676,FinView!$O$4)</f>
        <v>0</v>
      </c>
      <c r="P76" s="647">
        <f>SUMIFS('collpy (2)'!$G$94:$G$3676,'collpy (2)'!$C$94:$C$3676,FinView!A76,'collpy (2)'!$A$94:$A$3676,FinView!$O$4)</f>
        <v>0</v>
      </c>
      <c r="Q76" s="646">
        <f>SUMIFS('collpy (2)'!$F$94:$F$3676,'collpy (2)'!$C$94:$C$3676,FinView!A76,'collpy (2)'!$A$94:$A$3676,FinView!$Q$4)</f>
        <v>117505</v>
      </c>
      <c r="R76" s="647">
        <f>SUMIFS('collpy (2)'!$G$94:$G$3676,'collpy (2)'!$C$94:$C$3676,FinView!A76,'collpy (2)'!$A$94:$A$3676,FinView!$Q$4)</f>
        <v>0</v>
      </c>
      <c r="S76" s="646">
        <f>SUMIFS('collpy (2)'!$F$94:$F$3676,'collpy (2)'!$C$94:$C$3676,FinView!A76,'collpy (2)'!$A$94:$A$3676,FinView!$S$4)</f>
        <v>0</v>
      </c>
      <c r="T76" s="647">
        <f>SUMIFS('collpy (2)'!$G$94:$G$3676,'collpy (2)'!$C$94:$C$3676,FinView!A76,'collpy (2)'!$A$94:$A$3676,FinView!$S$4)</f>
        <v>0</v>
      </c>
      <c r="U76" s="646">
        <f>SUMIFS('collpy (2)'!$F$94:$F$3676,'collpy (2)'!$C$94:$C$3676,FinView!A76,'collpy (2)'!$A$94:$A$3676,FinView!$U$4)</f>
        <v>0</v>
      </c>
      <c r="V76" s="647">
        <f>SUMIFS('collpy (2)'!$G$94:$G$3676,'collpy (2)'!$C$94:$C$3676,FinView!A76,'collpy (2)'!$A$94:$A$3676,FinView!$U$4)</f>
        <v>0</v>
      </c>
      <c r="W76" s="449"/>
      <c r="X76" s="450"/>
      <c r="Y76" s="450"/>
      <c r="Z76" s="450"/>
      <c r="AA76" s="450"/>
      <c r="AB76" s="450"/>
      <c r="AC76" s="450"/>
      <c r="AD76" s="450"/>
      <c r="AE76" s="450"/>
      <c r="AF76" s="450"/>
      <c r="AG76" s="898"/>
      <c r="AH76" s="898"/>
      <c r="AI76" s="898"/>
      <c r="AJ76" s="898"/>
      <c r="AK76" s="898"/>
      <c r="AL76" s="898"/>
      <c r="AM76" s="898"/>
    </row>
    <row r="77" spans="1:39" s="2" customFormat="1" ht="23.25">
      <c r="A77" s="649">
        <v>6050</v>
      </c>
      <c r="B77" s="648" t="s">
        <v>125</v>
      </c>
      <c r="C77" s="654">
        <f t="shared" si="31"/>
        <v>-127525</v>
      </c>
      <c r="D77" s="654"/>
      <c r="E77" s="660">
        <f t="shared" si="15"/>
        <v>800</v>
      </c>
      <c r="F77" s="661">
        <f t="shared" si="16"/>
        <v>128325</v>
      </c>
      <c r="G77" s="660">
        <f>SUMIFS('collpy (2)'!$F$11:$F$11319,'collpy (2)'!$B$11:$B$11319,"&lt;1/6/2024",'collpy (2)'!$C$11:$C$11319,FinView!A77)</f>
        <v>0</v>
      </c>
      <c r="H77" s="661">
        <f>SUMIFS('collpy (2)'!$G$11:$G$11319,'collpy (2)'!$B$11:$B$11319,"&lt;1/6/2024",'collpy (2)'!$C$11:$C$11319,FinView!A77)</f>
        <v>128325</v>
      </c>
      <c r="I77" s="660">
        <f t="shared" si="29"/>
        <v>800</v>
      </c>
      <c r="J77" s="661">
        <f t="shared" si="30"/>
        <v>0</v>
      </c>
      <c r="K77" s="646">
        <f>SUMIFS('collpy (2)'!$F$94:$F$3676,'collpy (2)'!$C$94:$C$3676,FinView!A77,'collpy (2)'!$A$94:$A$3676,FinView!$K$4)</f>
        <v>0</v>
      </c>
      <c r="L77" s="647">
        <f>SUMIFS('collpy (2)'!$G$94:$G$3676,'collpy (2)'!$C$94:$C$3676,FinView!A77,'collpy (2)'!$A$94:$A$3676,FinView!$K$4)</f>
        <v>0</v>
      </c>
      <c r="M77" s="646">
        <f>SUMIFS('collpy (2)'!$F$94:$F$3676,'collpy (2)'!$C$94:$C$3676,FinView!A77,'collpy (2)'!$A$94:$A$3676,FinView!$M$4)</f>
        <v>0</v>
      </c>
      <c r="N77" s="647">
        <f>SUMIFS('collpy (2)'!$G$94:$G$3676,'collpy (2)'!$C$94:$C$3676,FinView!A77,'collpy (2)'!$A$94:$A$3676,FinView!$M$4)</f>
        <v>0</v>
      </c>
      <c r="O77" s="646">
        <f>SUMIFS('collpy (2)'!$F$94:$F$3676,'collpy (2)'!$C$94:$C$3676,FinView!A77,'collpy (2)'!$A$94:$A$3676,FinView!$O$4)</f>
        <v>0</v>
      </c>
      <c r="P77" s="647">
        <f>SUMIFS('collpy (2)'!$G$94:$G$3676,'collpy (2)'!$C$94:$C$3676,FinView!A77,'collpy (2)'!$A$94:$A$3676,FinView!$O$4)</f>
        <v>0</v>
      </c>
      <c r="Q77" s="646">
        <f>SUMIFS('collpy (2)'!$F$94:$F$3676,'collpy (2)'!$C$94:$C$3676,FinView!A77,'collpy (2)'!$A$94:$A$3676,FinView!$Q$4)</f>
        <v>400</v>
      </c>
      <c r="R77" s="647">
        <f>SUMIFS('collpy (2)'!$G$94:$G$3676,'collpy (2)'!$C$94:$C$3676,FinView!A77,'collpy (2)'!$A$94:$A$3676,FinView!$Q$4)</f>
        <v>0</v>
      </c>
      <c r="S77" s="646">
        <f>SUMIFS('collpy (2)'!$F$94:$F$3676,'collpy (2)'!$C$94:$C$3676,FinView!A77,'collpy (2)'!$A$94:$A$3676,FinView!$S$4)</f>
        <v>400</v>
      </c>
      <c r="T77" s="647">
        <f>SUMIFS('collpy (2)'!$G$94:$G$3676,'collpy (2)'!$C$94:$C$3676,FinView!A77,'collpy (2)'!$A$94:$A$3676,FinView!$S$4)</f>
        <v>0</v>
      </c>
      <c r="U77" s="646">
        <f>SUMIFS('collpy (2)'!$F$94:$F$3676,'collpy (2)'!$C$94:$C$3676,FinView!A77,'collpy (2)'!$A$94:$A$3676,FinView!$U$4)</f>
        <v>0</v>
      </c>
      <c r="V77" s="647">
        <f>SUMIFS('collpy (2)'!$G$94:$G$3676,'collpy (2)'!$C$94:$C$3676,FinView!A77,'collpy (2)'!$A$94:$A$3676,FinView!$U$4)</f>
        <v>0</v>
      </c>
      <c r="W77" s="449"/>
      <c r="X77" s="450"/>
      <c r="Y77" s="450"/>
      <c r="Z77" s="450"/>
      <c r="AA77" s="450"/>
      <c r="AB77" s="450"/>
      <c r="AC77" s="450"/>
      <c r="AD77" s="450"/>
      <c r="AE77" s="450"/>
      <c r="AF77" s="450"/>
      <c r="AG77" s="898"/>
      <c r="AH77" s="898"/>
      <c r="AI77" s="898"/>
      <c r="AJ77" s="898"/>
      <c r="AK77" s="898"/>
      <c r="AL77" s="898"/>
      <c r="AM77" s="898"/>
    </row>
    <row r="78" spans="1:39" s="2" customFormat="1" ht="23.25">
      <c r="A78" s="649">
        <v>6200</v>
      </c>
      <c r="B78" s="648" t="s">
        <v>128</v>
      </c>
      <c r="C78" s="654">
        <f t="shared" si="31"/>
        <v>5267.55</v>
      </c>
      <c r="D78" s="654"/>
      <c r="E78" s="660">
        <f t="shared" si="15"/>
        <v>5267.55</v>
      </c>
      <c r="F78" s="661">
        <f t="shared" si="16"/>
        <v>0</v>
      </c>
      <c r="G78" s="660">
        <f>SUMIFS('collpy (2)'!$F$11:$F$11319,'collpy (2)'!$B$11:$B$11319,"&lt;1/6/2024",'collpy (2)'!$C$11:$C$11319,FinView!A78)</f>
        <v>5267.55</v>
      </c>
      <c r="H78" s="661">
        <f>SUMIFS('collpy (2)'!$G$11:$G$11319,'collpy (2)'!$B$11:$B$11319,"&lt;1/6/2024",'collpy (2)'!$C$11:$C$11319,FinView!A78)</f>
        <v>0</v>
      </c>
      <c r="I78" s="660">
        <f t="shared" si="29"/>
        <v>0</v>
      </c>
      <c r="J78" s="661">
        <f t="shared" si="30"/>
        <v>0</v>
      </c>
      <c r="K78" s="646">
        <f>SUMIFS('collpy (2)'!$F$94:$F$3676,'collpy (2)'!$C$94:$C$3676,FinView!A78,'collpy (2)'!$A$94:$A$3676,FinView!$K$4)</f>
        <v>0</v>
      </c>
      <c r="L78" s="647">
        <f>SUMIFS('collpy (2)'!$G$94:$G$3676,'collpy (2)'!$C$94:$C$3676,FinView!A78,'collpy (2)'!$A$94:$A$3676,FinView!$K$4)</f>
        <v>0</v>
      </c>
      <c r="M78" s="646">
        <f>SUMIFS('collpy (2)'!$F$94:$F$3676,'collpy (2)'!$C$94:$C$3676,FinView!A78,'collpy (2)'!$A$94:$A$3676,FinView!$M$4)</f>
        <v>0</v>
      </c>
      <c r="N78" s="647">
        <f>SUMIFS('collpy (2)'!$G$94:$G$3676,'collpy (2)'!$C$94:$C$3676,FinView!A78,'collpy (2)'!$A$94:$A$3676,FinView!$M$4)</f>
        <v>0</v>
      </c>
      <c r="O78" s="646">
        <f>SUMIFS('collpy (2)'!$F$94:$F$3676,'collpy (2)'!$C$94:$C$3676,FinView!A78,'collpy (2)'!$A$94:$A$3676,FinView!$O$4)</f>
        <v>0</v>
      </c>
      <c r="P78" s="647">
        <f>SUMIFS('collpy (2)'!$G$94:$G$3676,'collpy (2)'!$C$94:$C$3676,FinView!A78,'collpy (2)'!$A$94:$A$3676,FinView!$O$4)</f>
        <v>0</v>
      </c>
      <c r="Q78" s="646">
        <f>SUMIFS('collpy (2)'!$F$94:$F$3676,'collpy (2)'!$C$94:$C$3676,FinView!A78,'collpy (2)'!$A$94:$A$3676,FinView!$Q$4)</f>
        <v>0</v>
      </c>
      <c r="R78" s="647">
        <f>SUMIFS('collpy (2)'!$G$94:$G$3676,'collpy (2)'!$C$94:$C$3676,FinView!A78,'collpy (2)'!$A$94:$A$3676,FinView!$Q$4)</f>
        <v>0</v>
      </c>
      <c r="S78" s="646">
        <f>SUMIFS('collpy (2)'!$F$94:$F$3676,'collpy (2)'!$C$94:$C$3676,FinView!A78,'collpy (2)'!$A$94:$A$3676,FinView!$S$4)</f>
        <v>0</v>
      </c>
      <c r="T78" s="647">
        <f>SUMIFS('collpy (2)'!$G$94:$G$3676,'collpy (2)'!$C$94:$C$3676,FinView!A78,'collpy (2)'!$A$94:$A$3676,FinView!$S$4)</f>
        <v>0</v>
      </c>
      <c r="U78" s="646">
        <f>SUMIFS('collpy (2)'!$F$94:$F$3676,'collpy (2)'!$C$94:$C$3676,FinView!A78,'collpy (2)'!$A$94:$A$3676,FinView!$U$4)</f>
        <v>0</v>
      </c>
      <c r="V78" s="647">
        <f>SUMIFS('collpy (2)'!$G$94:$G$3676,'collpy (2)'!$C$94:$C$3676,FinView!A78,'collpy (2)'!$A$94:$A$3676,FinView!$U$4)</f>
        <v>0</v>
      </c>
      <c r="W78" s="449"/>
      <c r="X78" s="450"/>
      <c r="Y78" s="450"/>
      <c r="Z78" s="450"/>
      <c r="AA78" s="450"/>
      <c r="AB78" s="450"/>
      <c r="AC78" s="450"/>
      <c r="AD78" s="450"/>
      <c r="AE78" s="450"/>
      <c r="AF78" s="450"/>
      <c r="AG78" s="898"/>
      <c r="AH78" s="898"/>
      <c r="AI78" s="898"/>
      <c r="AJ78" s="898"/>
      <c r="AK78" s="898"/>
      <c r="AL78" s="898"/>
      <c r="AM78" s="898"/>
    </row>
    <row r="79" spans="1:39" s="2" customFormat="1" ht="23.25">
      <c r="A79" s="657">
        <v>6250</v>
      </c>
      <c r="B79" s="648" t="s">
        <v>129</v>
      </c>
      <c r="C79" s="654">
        <f t="shared" si="31"/>
        <v>-3017.6800000000003</v>
      </c>
      <c r="D79" s="654"/>
      <c r="E79" s="660">
        <f t="shared" si="15"/>
        <v>23388.41</v>
      </c>
      <c r="F79" s="661">
        <f t="shared" si="16"/>
        <v>26406.09</v>
      </c>
      <c r="G79" s="660">
        <f>SUMIFS('collpy (2)'!$F$11:$F$11319,'collpy (2)'!$B$11:$B$11319,"&lt;1/6/2024",'collpy (2)'!$C$11:$C$11319,FinView!A79)</f>
        <v>11504.95</v>
      </c>
      <c r="H79" s="661">
        <f>SUMIFS('collpy (2)'!$G$11:$G$11319,'collpy (2)'!$B$11:$B$11319,"&lt;1/6/2024",'collpy (2)'!$C$11:$C$11319,FinView!A79)</f>
        <v>0</v>
      </c>
      <c r="I79" s="660">
        <f t="shared" si="29"/>
        <v>11883.46</v>
      </c>
      <c r="J79" s="661">
        <f t="shared" si="30"/>
        <v>26406.09</v>
      </c>
      <c r="K79" s="646">
        <f>SUMIFS('collpy (2)'!$F$94:$F$3676,'collpy (2)'!$C$94:$C$3676,FinView!A79,'collpy (2)'!$A$94:$A$3676,FinView!$K$4)</f>
        <v>1930.07</v>
      </c>
      <c r="L79" s="647">
        <f>SUMIFS('collpy (2)'!$G$94:$G$3676,'collpy (2)'!$C$94:$C$3676,FinView!A79,'collpy (2)'!$A$94:$A$3676,FinView!$K$4)</f>
        <v>1057.5</v>
      </c>
      <c r="M79" s="646">
        <f>SUMIFS('collpy (2)'!$F$94:$F$3676,'collpy (2)'!$C$94:$C$3676,FinView!A79,'collpy (2)'!$A$94:$A$3676,FinView!$M$4)</f>
        <v>4030.13</v>
      </c>
      <c r="N79" s="647">
        <f>SUMIFS('collpy (2)'!$G$94:$G$3676,'collpy (2)'!$C$94:$C$3676,FinView!A79,'collpy (2)'!$A$94:$A$3676,FinView!$M$4)</f>
        <v>1100</v>
      </c>
      <c r="O79" s="646">
        <f>SUMIFS('collpy (2)'!$F$94:$F$3676,'collpy (2)'!$C$94:$C$3676,FinView!A79,'collpy (2)'!$A$94:$A$3676,FinView!$O$4)</f>
        <v>624.43000000000006</v>
      </c>
      <c r="P79" s="647">
        <f>SUMIFS('collpy (2)'!$G$94:$G$3676,'collpy (2)'!$C$94:$C$3676,FinView!A79,'collpy (2)'!$A$94:$A$3676,FinView!$O$4)</f>
        <v>10902.54</v>
      </c>
      <c r="Q79" s="646">
        <f>SUMIFS('collpy (2)'!$F$94:$F$3676,'collpy (2)'!$C$94:$C$3676,FinView!A79,'collpy (2)'!$A$94:$A$3676,FinView!$Q$4)</f>
        <v>4823.83</v>
      </c>
      <c r="R79" s="647">
        <f>SUMIFS('collpy (2)'!$G$94:$G$3676,'collpy (2)'!$C$94:$C$3676,FinView!A79,'collpy (2)'!$A$94:$A$3676,FinView!$Q$4)</f>
        <v>6539.8</v>
      </c>
      <c r="S79" s="646">
        <f>SUMIFS('collpy (2)'!$F$94:$F$3676,'collpy (2)'!$C$94:$C$3676,FinView!A79,'collpy (2)'!$A$94:$A$3676,FinView!$S$4)</f>
        <v>475</v>
      </c>
      <c r="T79" s="647">
        <f>SUMIFS('collpy (2)'!$G$94:$G$3676,'collpy (2)'!$C$94:$C$3676,FinView!A79,'collpy (2)'!$A$94:$A$3676,FinView!$S$4)</f>
        <v>6806.25</v>
      </c>
      <c r="U79" s="646">
        <f>SUMIFS('collpy (2)'!$F$94:$F$3676,'collpy (2)'!$C$94:$C$3676,FinView!A79,'collpy (2)'!$A$94:$A$3676,FinView!$U$4)</f>
        <v>0</v>
      </c>
      <c r="V79" s="647">
        <f>SUMIFS('collpy (2)'!$G$94:$G$3676,'collpy (2)'!$C$94:$C$3676,FinView!A79,'collpy (2)'!$A$94:$A$3676,FinView!$U$4)</f>
        <v>0</v>
      </c>
      <c r="W79" s="449"/>
      <c r="X79" s="450"/>
      <c r="Y79" s="450"/>
      <c r="Z79" s="450"/>
      <c r="AA79" s="450"/>
      <c r="AB79" s="450"/>
      <c r="AC79" s="450"/>
      <c r="AD79" s="450"/>
      <c r="AE79" s="450"/>
      <c r="AF79" s="450"/>
      <c r="AG79" s="898"/>
      <c r="AH79" s="898"/>
      <c r="AI79" s="898"/>
      <c r="AJ79" s="898"/>
      <c r="AK79" s="898"/>
      <c r="AL79" s="898"/>
      <c r="AM79" s="898"/>
    </row>
    <row r="80" spans="1:39" s="2" customFormat="1" ht="23.25">
      <c r="A80" s="657">
        <v>6300</v>
      </c>
      <c r="B80" s="648" t="s">
        <v>130</v>
      </c>
      <c r="C80" s="654">
        <f t="shared" si="31"/>
        <v>7327.5</v>
      </c>
      <c r="D80" s="654"/>
      <c r="E80" s="660">
        <f t="shared" si="15"/>
        <v>7327.5</v>
      </c>
      <c r="F80" s="661">
        <f t="shared" si="16"/>
        <v>0</v>
      </c>
      <c r="G80" s="660">
        <f>SUMIFS('collpy (2)'!$F$11:$F$11319,'collpy (2)'!$B$11:$B$11319,"&lt;1/6/2024",'collpy (2)'!$C$11:$C$11319,FinView!A80)</f>
        <v>1627.5</v>
      </c>
      <c r="H80" s="661">
        <f>SUMIFS('collpy (2)'!$G$11:$G$11319,'collpy (2)'!$B$11:$B$11319,"&lt;1/6/2024",'collpy (2)'!$C$11:$C$11319,FinView!A80)</f>
        <v>0</v>
      </c>
      <c r="I80" s="660">
        <f t="shared" si="29"/>
        <v>5700</v>
      </c>
      <c r="J80" s="661">
        <f t="shared" si="30"/>
        <v>0</v>
      </c>
      <c r="K80" s="646">
        <f>SUMIFS('collpy (2)'!$F$94:$F$3676,'collpy (2)'!$C$94:$C$3676,FinView!A80,'collpy (2)'!$A$94:$A$3676,FinView!$K$4)</f>
        <v>400</v>
      </c>
      <c r="L80" s="647">
        <f>SUMIFS('collpy (2)'!$G$94:$G$3676,'collpy (2)'!$C$94:$C$3676,FinView!A80,'collpy (2)'!$A$94:$A$3676,FinView!$K$4)</f>
        <v>0</v>
      </c>
      <c r="M80" s="646">
        <f>SUMIFS('collpy (2)'!$F$94:$F$3676,'collpy (2)'!$C$94:$C$3676,FinView!A80,'collpy (2)'!$A$94:$A$3676,FinView!$M$4)</f>
        <v>800</v>
      </c>
      <c r="N80" s="647">
        <f>SUMIFS('collpy (2)'!$G$94:$G$3676,'collpy (2)'!$C$94:$C$3676,FinView!A80,'collpy (2)'!$A$94:$A$3676,FinView!$M$4)</f>
        <v>0</v>
      </c>
      <c r="O80" s="646">
        <f>SUMIFS('collpy (2)'!$F$94:$F$3676,'collpy (2)'!$C$94:$C$3676,FinView!A80,'collpy (2)'!$A$94:$A$3676,FinView!$O$4)</f>
        <v>0</v>
      </c>
      <c r="P80" s="647">
        <f>SUMIFS('collpy (2)'!$G$94:$G$3676,'collpy (2)'!$C$94:$C$3676,FinView!A80,'collpy (2)'!$A$94:$A$3676,FinView!$O$4)</f>
        <v>0</v>
      </c>
      <c r="Q80" s="646">
        <f>SUMIFS('collpy (2)'!$F$94:$F$3676,'collpy (2)'!$C$94:$C$3676,FinView!A80,'collpy (2)'!$A$94:$A$3676,FinView!$Q$4)</f>
        <v>0</v>
      </c>
      <c r="R80" s="647">
        <f>SUMIFS('collpy (2)'!$G$94:$G$3676,'collpy (2)'!$C$94:$C$3676,FinView!A80,'collpy (2)'!$A$94:$A$3676,FinView!$Q$4)</f>
        <v>0</v>
      </c>
      <c r="S80" s="646">
        <f>SUMIFS('collpy (2)'!$F$94:$F$3676,'collpy (2)'!$C$94:$C$3676,FinView!A80,'collpy (2)'!$A$94:$A$3676,FinView!$S$4)</f>
        <v>0</v>
      </c>
      <c r="T80" s="647">
        <f>SUMIFS('collpy (2)'!$G$94:$G$3676,'collpy (2)'!$C$94:$C$3676,FinView!A80,'collpy (2)'!$A$94:$A$3676,FinView!$S$4)</f>
        <v>0</v>
      </c>
      <c r="U80" s="646">
        <f>SUMIFS('collpy (2)'!$F$94:$F$3676,'collpy (2)'!$C$94:$C$3676,FinView!A80,'collpy (2)'!$A$94:$A$3676,FinView!$U$4)</f>
        <v>4500</v>
      </c>
      <c r="V80" s="647">
        <f>SUMIFS('collpy (2)'!$G$94:$G$3676,'collpy (2)'!$C$94:$C$3676,FinView!A80,'collpy (2)'!$A$94:$A$3676,FinView!$U$4)</f>
        <v>0</v>
      </c>
      <c r="W80" s="449"/>
      <c r="X80" s="450"/>
      <c r="Y80" s="450"/>
      <c r="Z80" s="450"/>
      <c r="AA80" s="450"/>
      <c r="AB80" s="450"/>
      <c r="AC80" s="450"/>
      <c r="AD80" s="450"/>
      <c r="AE80" s="450"/>
      <c r="AF80" s="450"/>
      <c r="AG80" s="898"/>
      <c r="AH80" s="898"/>
      <c r="AI80" s="898"/>
      <c r="AJ80" s="898"/>
      <c r="AK80" s="898"/>
      <c r="AL80" s="898"/>
      <c r="AM80" s="898"/>
    </row>
    <row r="81" spans="1:39" s="2" customFormat="1" ht="23.25">
      <c r="A81" s="649">
        <v>6350</v>
      </c>
      <c r="B81" s="648" t="s">
        <v>131</v>
      </c>
      <c r="C81" s="654">
        <f t="shared" si="31"/>
        <v>4914.0600000000004</v>
      </c>
      <c r="D81" s="654"/>
      <c r="E81" s="660">
        <f t="shared" si="15"/>
        <v>4914.0600000000004</v>
      </c>
      <c r="F81" s="661">
        <f t="shared" si="16"/>
        <v>0</v>
      </c>
      <c r="G81" s="660">
        <f>SUMIFS('collpy (2)'!$F$11:$F$11319,'collpy (2)'!$B$11:$B$11319,"&lt;1/6/2024",'collpy (2)'!$C$11:$C$11319,FinView!A81)</f>
        <v>4914.0600000000004</v>
      </c>
      <c r="H81" s="661">
        <f>SUMIFS('collpy (2)'!$G$11:$G$11319,'collpy (2)'!$B$11:$B$11319,"&lt;1/6/2024",'collpy (2)'!$C$11:$C$11319,FinView!A81)</f>
        <v>0</v>
      </c>
      <c r="I81" s="660">
        <f t="shared" si="29"/>
        <v>0</v>
      </c>
      <c r="J81" s="661">
        <f t="shared" si="30"/>
        <v>0</v>
      </c>
      <c r="K81" s="646">
        <f>SUMIFS('collpy (2)'!$F$94:$F$3676,'collpy (2)'!$C$94:$C$3676,FinView!A81,'collpy (2)'!$A$94:$A$3676,FinView!$K$4)</f>
        <v>0</v>
      </c>
      <c r="L81" s="647">
        <f>SUMIFS('collpy (2)'!$G$94:$G$3676,'collpy (2)'!$C$94:$C$3676,FinView!A81,'collpy (2)'!$A$94:$A$3676,FinView!$K$4)</f>
        <v>0</v>
      </c>
      <c r="M81" s="646">
        <f>SUMIFS('collpy (2)'!$F$94:$F$3676,'collpy (2)'!$C$94:$C$3676,FinView!A81,'collpy (2)'!$A$94:$A$3676,FinView!$M$4)</f>
        <v>0</v>
      </c>
      <c r="N81" s="647">
        <f>SUMIFS('collpy (2)'!$G$94:$G$3676,'collpy (2)'!$C$94:$C$3676,FinView!A81,'collpy (2)'!$A$94:$A$3676,FinView!$M$4)</f>
        <v>0</v>
      </c>
      <c r="O81" s="646">
        <f>SUMIFS('collpy (2)'!$F$94:$F$3676,'collpy (2)'!$C$94:$C$3676,FinView!A81,'collpy (2)'!$A$94:$A$3676,FinView!$O$4)</f>
        <v>0</v>
      </c>
      <c r="P81" s="647">
        <f>SUMIFS('collpy (2)'!$G$94:$G$3676,'collpy (2)'!$C$94:$C$3676,FinView!A81,'collpy (2)'!$A$94:$A$3676,FinView!$O$4)</f>
        <v>0</v>
      </c>
      <c r="Q81" s="646">
        <f>SUMIFS('collpy (2)'!$F$94:$F$3676,'collpy (2)'!$C$94:$C$3676,FinView!A81,'collpy (2)'!$A$94:$A$3676,FinView!$Q$4)</f>
        <v>0</v>
      </c>
      <c r="R81" s="647">
        <f>SUMIFS('collpy (2)'!$G$94:$G$3676,'collpy (2)'!$C$94:$C$3676,FinView!A81,'collpy (2)'!$A$94:$A$3676,FinView!$Q$4)</f>
        <v>0</v>
      </c>
      <c r="S81" s="646">
        <f>SUMIFS('collpy (2)'!$F$94:$F$3676,'collpy (2)'!$C$94:$C$3676,FinView!A81,'collpy (2)'!$A$94:$A$3676,FinView!$S$4)</f>
        <v>0</v>
      </c>
      <c r="T81" s="647">
        <f>SUMIFS('collpy (2)'!$G$94:$G$3676,'collpy (2)'!$C$94:$C$3676,FinView!A81,'collpy (2)'!$A$94:$A$3676,FinView!$S$4)</f>
        <v>0</v>
      </c>
      <c r="U81" s="646">
        <f>SUMIFS('collpy (2)'!$F$94:$F$3676,'collpy (2)'!$C$94:$C$3676,FinView!A81,'collpy (2)'!$A$94:$A$3676,FinView!$U$4)</f>
        <v>0</v>
      </c>
      <c r="V81" s="647">
        <f>SUMIFS('collpy (2)'!$G$94:$G$3676,'collpy (2)'!$C$94:$C$3676,FinView!A81,'collpy (2)'!$A$94:$A$3676,FinView!$U$4)</f>
        <v>0</v>
      </c>
      <c r="W81" s="449"/>
      <c r="X81" s="450"/>
      <c r="Y81" s="450"/>
      <c r="Z81" s="450"/>
      <c r="AA81" s="450"/>
      <c r="AB81" s="450"/>
      <c r="AC81" s="450"/>
      <c r="AD81" s="450"/>
      <c r="AE81" s="450"/>
      <c r="AF81" s="450"/>
      <c r="AG81" s="898"/>
      <c r="AH81" s="898"/>
      <c r="AI81" s="898"/>
      <c r="AJ81" s="898"/>
      <c r="AK81" s="898"/>
      <c r="AL81" s="898"/>
      <c r="AM81" s="898"/>
    </row>
    <row r="82" spans="1:39" s="2" customFormat="1" ht="23.25">
      <c r="A82" s="649">
        <v>6450</v>
      </c>
      <c r="B82" s="648" t="s">
        <v>133</v>
      </c>
      <c r="C82" s="654">
        <f t="shared" si="31"/>
        <v>1018.53</v>
      </c>
      <c r="D82" s="654"/>
      <c r="E82" s="660">
        <f t="shared" si="15"/>
        <v>1018.53</v>
      </c>
      <c r="F82" s="661">
        <f t="shared" si="16"/>
        <v>0</v>
      </c>
      <c r="G82" s="660">
        <f>SUMIFS('collpy (2)'!$F$11:$F$11319,'collpy (2)'!$B$11:$B$11319,"&lt;1/6/2024",'collpy (2)'!$C$11:$C$11319,FinView!A82)</f>
        <v>1018.53</v>
      </c>
      <c r="H82" s="661">
        <f>SUMIFS('collpy (2)'!$G$11:$G$11319,'collpy (2)'!$B$11:$B$11319,"&lt;1/6/2024",'collpy (2)'!$C$11:$C$11319,FinView!A82)</f>
        <v>0</v>
      </c>
      <c r="I82" s="660">
        <f t="shared" si="29"/>
        <v>0</v>
      </c>
      <c r="J82" s="661">
        <f t="shared" si="30"/>
        <v>0</v>
      </c>
      <c r="K82" s="646">
        <f>SUMIFS('collpy (2)'!$F$94:$F$3676,'collpy (2)'!$C$94:$C$3676,FinView!A82,'collpy (2)'!$A$94:$A$3676,FinView!$K$4)</f>
        <v>0</v>
      </c>
      <c r="L82" s="647">
        <f>SUMIFS('collpy (2)'!$G$94:$G$3676,'collpy (2)'!$C$94:$C$3676,FinView!A82,'collpy (2)'!$A$94:$A$3676,FinView!$K$4)</f>
        <v>0</v>
      </c>
      <c r="M82" s="646">
        <f>SUMIFS('collpy (2)'!$F$94:$F$3676,'collpy (2)'!$C$94:$C$3676,FinView!A82,'collpy (2)'!$A$94:$A$3676,FinView!$M$4)</f>
        <v>0</v>
      </c>
      <c r="N82" s="647">
        <f>SUMIFS('collpy (2)'!$G$94:$G$3676,'collpy (2)'!$C$94:$C$3676,FinView!A82,'collpy (2)'!$A$94:$A$3676,FinView!$M$4)</f>
        <v>0</v>
      </c>
      <c r="O82" s="646">
        <f>SUMIFS('collpy (2)'!$F$94:$F$3676,'collpy (2)'!$C$94:$C$3676,FinView!A82,'collpy (2)'!$A$94:$A$3676,FinView!$O$4)</f>
        <v>0</v>
      </c>
      <c r="P82" s="647">
        <f>SUMIFS('collpy (2)'!$G$94:$G$3676,'collpy (2)'!$C$94:$C$3676,FinView!A82,'collpy (2)'!$A$94:$A$3676,FinView!$O$4)</f>
        <v>0</v>
      </c>
      <c r="Q82" s="646">
        <f>SUMIFS('collpy (2)'!$F$94:$F$3676,'collpy (2)'!$C$94:$C$3676,FinView!A82,'collpy (2)'!$A$94:$A$3676,FinView!$Q$4)</f>
        <v>0</v>
      </c>
      <c r="R82" s="647">
        <f>SUMIFS('collpy (2)'!$G$94:$G$3676,'collpy (2)'!$C$94:$C$3676,FinView!A82,'collpy (2)'!$A$94:$A$3676,FinView!$Q$4)</f>
        <v>0</v>
      </c>
      <c r="S82" s="646">
        <f>SUMIFS('collpy (2)'!$F$94:$F$3676,'collpy (2)'!$C$94:$C$3676,FinView!A82,'collpy (2)'!$A$94:$A$3676,FinView!$S$4)</f>
        <v>0</v>
      </c>
      <c r="T82" s="647">
        <f>SUMIFS('collpy (2)'!$G$94:$G$3676,'collpy (2)'!$C$94:$C$3676,FinView!A82,'collpy (2)'!$A$94:$A$3676,FinView!$S$4)</f>
        <v>0</v>
      </c>
      <c r="U82" s="646">
        <f>SUMIFS('collpy (2)'!$F$94:$F$3676,'collpy (2)'!$C$94:$C$3676,FinView!A82,'collpy (2)'!$A$94:$A$3676,FinView!$U$4)</f>
        <v>0</v>
      </c>
      <c r="V82" s="647">
        <f>SUMIFS('collpy (2)'!$G$94:$G$3676,'collpy (2)'!$C$94:$C$3676,FinView!A82,'collpy (2)'!$A$94:$A$3676,FinView!$U$4)</f>
        <v>0</v>
      </c>
      <c r="W82" s="449"/>
      <c r="X82" s="450"/>
      <c r="Y82" s="450"/>
      <c r="Z82" s="450"/>
      <c r="AA82" s="450"/>
      <c r="AB82" s="450"/>
      <c r="AC82" s="450"/>
      <c r="AD82" s="450"/>
      <c r="AE82" s="450"/>
      <c r="AF82" s="450"/>
      <c r="AG82" s="898"/>
      <c r="AH82" s="898"/>
      <c r="AI82" s="898"/>
      <c r="AJ82" s="898"/>
      <c r="AK82" s="898"/>
      <c r="AL82" s="898"/>
      <c r="AM82" s="898"/>
    </row>
    <row r="83" spans="1:39" s="2" customFormat="1" ht="23.25">
      <c r="A83" s="649">
        <v>7050</v>
      </c>
      <c r="B83" s="648" t="s">
        <v>137</v>
      </c>
      <c r="C83" s="654">
        <f t="shared" si="31"/>
        <v>275.49</v>
      </c>
      <c r="D83" s="654"/>
      <c r="E83" s="660">
        <f t="shared" si="15"/>
        <v>275.49</v>
      </c>
      <c r="F83" s="661">
        <f t="shared" si="16"/>
        <v>0</v>
      </c>
      <c r="G83" s="660">
        <f>SUMIFS('collpy (2)'!$F$11:$F$11319,'collpy (2)'!$B$11:$B$11319,"&lt;1/6/2024",'collpy (2)'!$C$11:$C$11319,FinView!A83)</f>
        <v>0</v>
      </c>
      <c r="H83" s="661">
        <f>SUMIFS('collpy (2)'!$G$11:$G$11319,'collpy (2)'!$B$11:$B$11319,"&lt;1/6/2024",'collpy (2)'!$C$11:$C$11319,FinView!A83)</f>
        <v>0</v>
      </c>
      <c r="I83" s="660">
        <f t="shared" si="29"/>
        <v>275.49</v>
      </c>
      <c r="J83" s="661">
        <f t="shared" si="30"/>
        <v>0</v>
      </c>
      <c r="K83" s="646">
        <f>SUMIFS('collpy (2)'!$F$94:$F$3676,'collpy (2)'!$C$94:$C$3676,FinView!A83,'collpy (2)'!$A$94:$A$3676,FinView!$K$4)</f>
        <v>0</v>
      </c>
      <c r="L83" s="647">
        <f>SUMIFS('collpy (2)'!$G$94:$G$3676,'collpy (2)'!$C$94:$C$3676,FinView!A83,'collpy (2)'!$A$94:$A$3676,FinView!$K$4)</f>
        <v>0</v>
      </c>
      <c r="M83" s="646">
        <f>SUMIFS('collpy (2)'!$F$94:$F$3676,'collpy (2)'!$C$94:$C$3676,FinView!A83,'collpy (2)'!$A$94:$A$3676,FinView!$M$4)</f>
        <v>0</v>
      </c>
      <c r="N83" s="647">
        <f>SUMIFS('collpy (2)'!$G$94:$G$3676,'collpy (2)'!$C$94:$C$3676,FinView!A83,'collpy (2)'!$A$94:$A$3676,FinView!$M$4)</f>
        <v>0</v>
      </c>
      <c r="O83" s="646">
        <f>SUMIFS('collpy (2)'!$F$94:$F$3676,'collpy (2)'!$C$94:$C$3676,FinView!A83,'collpy (2)'!$A$94:$A$3676,FinView!$O$4)</f>
        <v>0</v>
      </c>
      <c r="P83" s="647">
        <f>SUMIFS('collpy (2)'!$G$94:$G$3676,'collpy (2)'!$C$94:$C$3676,FinView!A83,'collpy (2)'!$A$94:$A$3676,FinView!$O$4)</f>
        <v>0</v>
      </c>
      <c r="Q83" s="646">
        <f>SUMIFS('collpy (2)'!$F$94:$F$3676,'collpy (2)'!$C$94:$C$3676,FinView!A83,'collpy (2)'!$A$94:$A$3676,FinView!$Q$4)</f>
        <v>69.650000000000006</v>
      </c>
      <c r="R83" s="647">
        <f>SUMIFS('collpy (2)'!$G$94:$G$3676,'collpy (2)'!$C$94:$C$3676,FinView!A83,'collpy (2)'!$A$94:$A$3676,FinView!$Q$4)</f>
        <v>0</v>
      </c>
      <c r="S83" s="646">
        <f>SUMIFS('collpy (2)'!$F$94:$F$3676,'collpy (2)'!$C$94:$C$3676,FinView!A83,'collpy (2)'!$A$94:$A$3676,FinView!$S$4)</f>
        <v>205.84</v>
      </c>
      <c r="T83" s="647">
        <f>SUMIFS('collpy (2)'!$G$94:$G$3676,'collpy (2)'!$C$94:$C$3676,FinView!A83,'collpy (2)'!$A$94:$A$3676,FinView!$S$4)</f>
        <v>0</v>
      </c>
      <c r="U83" s="646">
        <f>SUMIFS('collpy (2)'!$F$94:$F$3676,'collpy (2)'!$C$94:$C$3676,FinView!A83,'collpy (2)'!$A$94:$A$3676,FinView!$U$4)</f>
        <v>0</v>
      </c>
      <c r="V83" s="647">
        <f>SUMIFS('collpy (2)'!$G$94:$G$3676,'collpy (2)'!$C$94:$C$3676,FinView!A83,'collpy (2)'!$A$94:$A$3676,FinView!$U$4)</f>
        <v>0</v>
      </c>
      <c r="W83" s="449"/>
      <c r="X83" s="450"/>
      <c r="Y83" s="450"/>
      <c r="Z83" s="450"/>
      <c r="AA83" s="450"/>
      <c r="AB83" s="450"/>
      <c r="AC83" s="450"/>
      <c r="AD83" s="450"/>
      <c r="AE83" s="450"/>
      <c r="AF83" s="450"/>
      <c r="AG83" s="898"/>
      <c r="AH83" s="898"/>
      <c r="AI83" s="898"/>
      <c r="AJ83" s="898"/>
      <c r="AK83" s="898"/>
      <c r="AL83" s="898"/>
      <c r="AM83" s="898"/>
    </row>
    <row r="84" spans="1:39" s="2" customFormat="1" ht="23.25">
      <c r="A84" s="657">
        <v>7200</v>
      </c>
      <c r="B84" s="886" t="s">
        <v>140</v>
      </c>
      <c r="C84" s="654">
        <f t="shared" si="31"/>
        <v>1090.58</v>
      </c>
      <c r="D84" s="654"/>
      <c r="E84" s="660">
        <f t="shared" si="15"/>
        <v>1090.58</v>
      </c>
      <c r="F84" s="661">
        <f t="shared" si="16"/>
        <v>0</v>
      </c>
      <c r="G84" s="660">
        <f>SUMIFS('collpy (2)'!$F$11:$F$11319,'collpy (2)'!$B$11:$B$11319,"&lt;1/6/2024",'collpy (2)'!$C$11:$C$11319,FinView!A84)</f>
        <v>522.75</v>
      </c>
      <c r="H84" s="661">
        <f>SUMIFS('collpy (2)'!$G$11:$G$11319,'collpy (2)'!$B$11:$B$11319,"&lt;1/6/2024",'collpy (2)'!$C$11:$C$11319,FinView!A84)</f>
        <v>0</v>
      </c>
      <c r="I84" s="660">
        <f t="shared" si="29"/>
        <v>567.83000000000004</v>
      </c>
      <c r="J84" s="661">
        <f t="shared" si="30"/>
        <v>0</v>
      </c>
      <c r="K84" s="646">
        <f>SUMIFS('collpy (2)'!$F$94:$F$3676,'collpy (2)'!$C$94:$C$3676,FinView!A84,'collpy (2)'!$A$94:$A$3676,FinView!$K$4)</f>
        <v>31.17</v>
      </c>
      <c r="L84" s="647">
        <f>SUMIFS('collpy (2)'!$G$94:$G$3676,'collpy (2)'!$C$94:$C$3676,FinView!A84,'collpy (2)'!$A$94:$A$3676,FinView!$K$4)</f>
        <v>0</v>
      </c>
      <c r="M84" s="646">
        <f>SUMIFS('collpy (2)'!$F$94:$F$3676,'collpy (2)'!$C$94:$C$3676,FinView!A84,'collpy (2)'!$A$94:$A$3676,FinView!$M$4)</f>
        <v>101</v>
      </c>
      <c r="N84" s="647">
        <f>SUMIFS('collpy (2)'!$G$94:$G$3676,'collpy (2)'!$C$94:$C$3676,FinView!A84,'collpy (2)'!$A$94:$A$3676,FinView!$M$4)</f>
        <v>0</v>
      </c>
      <c r="O84" s="646">
        <f>SUMIFS('collpy (2)'!$F$94:$F$3676,'collpy (2)'!$C$94:$C$3676,FinView!A84,'collpy (2)'!$A$94:$A$3676,FinView!$O$4)</f>
        <v>0</v>
      </c>
      <c r="P84" s="647">
        <f>SUMIFS('collpy (2)'!$G$94:$G$3676,'collpy (2)'!$C$94:$C$3676,FinView!A84,'collpy (2)'!$A$94:$A$3676,FinView!$O$4)</f>
        <v>0</v>
      </c>
      <c r="Q84" s="646">
        <f>SUMIFS('collpy (2)'!$F$94:$F$3676,'collpy (2)'!$C$94:$C$3676,FinView!A84,'collpy (2)'!$A$94:$A$3676,FinView!$Q$4)</f>
        <v>100</v>
      </c>
      <c r="R84" s="647">
        <f>SUMIFS('collpy (2)'!$G$94:$G$3676,'collpy (2)'!$C$94:$C$3676,FinView!A84,'collpy (2)'!$A$94:$A$3676,FinView!$Q$4)</f>
        <v>0</v>
      </c>
      <c r="S84" s="646">
        <f>SUMIFS('collpy (2)'!$F$94:$F$3676,'collpy (2)'!$C$94:$C$3676,FinView!A84,'collpy (2)'!$A$94:$A$3676,FinView!$S$4)</f>
        <v>215.66000000000003</v>
      </c>
      <c r="T84" s="647">
        <f>SUMIFS('collpy (2)'!$G$94:$G$3676,'collpy (2)'!$C$94:$C$3676,FinView!A84,'collpy (2)'!$A$94:$A$3676,FinView!$S$4)</f>
        <v>0</v>
      </c>
      <c r="U84" s="646">
        <f>SUMIFS('collpy (2)'!$F$94:$F$3676,'collpy (2)'!$C$94:$C$3676,FinView!A84,'collpy (2)'!$A$94:$A$3676,FinView!$U$4)</f>
        <v>120</v>
      </c>
      <c r="V84" s="647">
        <f>SUMIFS('collpy (2)'!$G$94:$G$3676,'collpy (2)'!$C$94:$C$3676,FinView!A84,'collpy (2)'!$A$94:$A$3676,FinView!$U$4)</f>
        <v>0</v>
      </c>
      <c r="W84" s="449"/>
      <c r="X84" s="450"/>
      <c r="Y84" s="450"/>
      <c r="Z84" s="450"/>
      <c r="AA84" s="450"/>
      <c r="AB84" s="450"/>
      <c r="AC84" s="450"/>
      <c r="AD84" s="450"/>
      <c r="AE84" s="450"/>
      <c r="AF84" s="450"/>
      <c r="AG84" s="898"/>
      <c r="AH84" s="898"/>
      <c r="AI84" s="898"/>
      <c r="AJ84" s="898"/>
      <c r="AK84" s="898"/>
      <c r="AL84" s="898"/>
      <c r="AM84" s="898"/>
    </row>
    <row r="85" spans="1:39" s="2" customFormat="1" ht="23.25">
      <c r="A85" s="649">
        <v>7300</v>
      </c>
      <c r="B85" s="648" t="s">
        <v>142</v>
      </c>
      <c r="C85" s="654">
        <f t="shared" si="31"/>
        <v>35796.990000000005</v>
      </c>
      <c r="D85" s="654"/>
      <c r="E85" s="660">
        <f t="shared" si="15"/>
        <v>35796.990000000005</v>
      </c>
      <c r="F85" s="661">
        <f t="shared" si="16"/>
        <v>0</v>
      </c>
      <c r="G85" s="660">
        <f>SUMIFS('collpy (2)'!$F$11:$F$11319,'collpy (2)'!$B$11:$B$11319,"&lt;1/6/2024",'collpy (2)'!$C$11:$C$11319,FinView!A85)</f>
        <v>30607.99</v>
      </c>
      <c r="H85" s="661">
        <f>SUMIFS('collpy (2)'!$G$11:$G$11319,'collpy (2)'!$B$11:$B$11319,"&lt;1/6/2024",'collpy (2)'!$C$11:$C$11319,FinView!A85)</f>
        <v>0</v>
      </c>
      <c r="I85" s="660">
        <f t="shared" si="29"/>
        <v>5189</v>
      </c>
      <c r="J85" s="661">
        <f t="shared" si="30"/>
        <v>0</v>
      </c>
      <c r="K85" s="646">
        <f>SUMIFS('collpy (2)'!$F$94:$F$3676,'collpy (2)'!$C$94:$C$3676,FinView!A85,'collpy (2)'!$A$94:$A$3676,FinView!$K$4)</f>
        <v>0</v>
      </c>
      <c r="L85" s="647">
        <f>SUMIFS('collpy (2)'!$G$94:$G$3676,'collpy (2)'!$C$94:$C$3676,FinView!A85,'collpy (2)'!$A$94:$A$3676,FinView!$K$4)</f>
        <v>0</v>
      </c>
      <c r="M85" s="646">
        <f>SUMIFS('collpy (2)'!$F$94:$F$3676,'collpy (2)'!$C$94:$C$3676,FinView!A85,'collpy (2)'!$A$94:$A$3676,FinView!$M$4)</f>
        <v>189</v>
      </c>
      <c r="N85" s="647">
        <f>SUMIFS('collpy (2)'!$G$94:$G$3676,'collpy (2)'!$C$94:$C$3676,FinView!A85,'collpy (2)'!$A$94:$A$3676,FinView!$M$4)</f>
        <v>0</v>
      </c>
      <c r="O85" s="646">
        <f>SUMIFS('collpy (2)'!$F$94:$F$3676,'collpy (2)'!$C$94:$C$3676,FinView!A85,'collpy (2)'!$A$94:$A$3676,FinView!$O$4)</f>
        <v>0</v>
      </c>
      <c r="P85" s="647">
        <f>SUMIFS('collpy (2)'!$G$94:$G$3676,'collpy (2)'!$C$94:$C$3676,FinView!A85,'collpy (2)'!$A$94:$A$3676,FinView!$O$4)</f>
        <v>0</v>
      </c>
      <c r="Q85" s="646">
        <f>SUMIFS('collpy (2)'!$F$94:$F$3676,'collpy (2)'!$C$94:$C$3676,FinView!A85,'collpy (2)'!$A$94:$A$3676,FinView!$Q$4)</f>
        <v>5000</v>
      </c>
      <c r="R85" s="647">
        <f>SUMIFS('collpy (2)'!$G$94:$G$3676,'collpy (2)'!$C$94:$C$3676,FinView!A85,'collpy (2)'!$A$94:$A$3676,FinView!$Q$4)</f>
        <v>0</v>
      </c>
      <c r="S85" s="646">
        <f>SUMIFS('collpy (2)'!$F$94:$F$3676,'collpy (2)'!$C$94:$C$3676,FinView!A85,'collpy (2)'!$A$94:$A$3676,FinView!$S$4)</f>
        <v>0</v>
      </c>
      <c r="T85" s="647">
        <f>SUMIFS('collpy (2)'!$G$94:$G$3676,'collpy (2)'!$C$94:$C$3676,FinView!A85,'collpy (2)'!$A$94:$A$3676,FinView!$S$4)</f>
        <v>0</v>
      </c>
      <c r="U85" s="646">
        <f>SUMIFS('collpy (2)'!$F$94:$F$3676,'collpy (2)'!$C$94:$C$3676,FinView!A85,'collpy (2)'!$A$94:$A$3676,FinView!$U$4)</f>
        <v>0</v>
      </c>
      <c r="V85" s="647">
        <f>SUMIFS('collpy (2)'!$G$94:$G$3676,'collpy (2)'!$C$94:$C$3676,FinView!A85,'collpy (2)'!$A$94:$A$3676,FinView!$U$4)</f>
        <v>0</v>
      </c>
      <c r="W85" s="449"/>
      <c r="X85" s="450"/>
      <c r="Y85" s="450"/>
      <c r="Z85" s="450"/>
      <c r="AA85" s="450"/>
      <c r="AB85" s="450"/>
      <c r="AC85" s="450"/>
      <c r="AD85" s="450"/>
      <c r="AE85" s="450"/>
      <c r="AF85" s="450"/>
      <c r="AG85" s="898"/>
      <c r="AH85" s="898"/>
      <c r="AI85" s="898"/>
      <c r="AJ85" s="898"/>
      <c r="AK85" s="898"/>
      <c r="AL85" s="898"/>
      <c r="AM85" s="898"/>
    </row>
    <row r="86" spans="1:39" s="2" customFormat="1" ht="23.25">
      <c r="A86" s="657">
        <v>2018</v>
      </c>
      <c r="B86" s="674" t="str">
        <f>VLOOKUP(A86,Mychart!$A$6:$B$518,2,FALSE)</f>
        <v>VALUE ADDED TAX - VAT</v>
      </c>
      <c r="C86" s="654">
        <f t="shared" si="31"/>
        <v>-25274.149872500013</v>
      </c>
      <c r="D86" s="654"/>
      <c r="E86" s="660">
        <f t="shared" si="15"/>
        <v>197569.73012749999</v>
      </c>
      <c r="F86" s="661">
        <f t="shared" si="16"/>
        <v>222843.88</v>
      </c>
      <c r="G86" s="660">
        <f>SUMIFS('collpy (2)'!$F$11:$F$11319,'collpy (2)'!$B$11:$B$11319,"&lt;1/6/2024",'collpy (2)'!$C$11:$C$11319,FinView!A86)</f>
        <v>101138.19</v>
      </c>
      <c r="H86" s="661">
        <f>SUMIFS('collpy (2)'!$G$11:$G$11319,'collpy (2)'!$B$11:$B$11319,"&lt;1/6/2024",'collpy (2)'!$C$11:$C$11319,FinView!A86)</f>
        <v>126114.64</v>
      </c>
      <c r="I86" s="660">
        <f t="shared" si="29"/>
        <v>96431.540127499989</v>
      </c>
      <c r="J86" s="661">
        <f t="shared" si="30"/>
        <v>96729.24</v>
      </c>
      <c r="K86" s="646">
        <f>SUMIFS('collpy (2)'!$F$94:$F$3676,'collpy (2)'!$C$94:$C$3676,FinView!A86,'collpy (2)'!$A$94:$A$3676,FinView!$K$4)</f>
        <v>25534.119999999988</v>
      </c>
      <c r="L86" s="647">
        <f>SUMIFS('collpy (2)'!$G$94:$G$3676,'collpy (2)'!$C$94:$C$3676,FinView!A86,'collpy (2)'!$A$94:$A$3676,FinView!$K$4)</f>
        <v>2746.5</v>
      </c>
      <c r="M86" s="646">
        <f>SUMIFS('collpy (2)'!$F$94:$F$3676,'collpy (2)'!$C$94:$C$3676,FinView!A86,'collpy (2)'!$A$94:$A$3676,FinView!$M$4)</f>
        <v>12382.550000000001</v>
      </c>
      <c r="N86" s="647">
        <f>SUMIFS('collpy (2)'!$G$94:$G$3676,'collpy (2)'!$C$94:$C$3676,FinView!A86,'collpy (2)'!$A$94:$A$3676,FinView!$M$4)</f>
        <v>24462.230000000003</v>
      </c>
      <c r="O86" s="646">
        <f>SUMIFS('collpy (2)'!$F$94:$F$3676,'collpy (2)'!$C$94:$C$3676,FinView!A86,'collpy (2)'!$A$94:$A$3676,FinView!$O$4)</f>
        <v>15554.430000000006</v>
      </c>
      <c r="P86" s="647">
        <f>SUMIFS('collpy (2)'!$G$94:$G$3676,'collpy (2)'!$C$94:$C$3676,FinView!A86,'collpy (2)'!$A$94:$A$3676,FinView!$O$4)</f>
        <v>5697.5</v>
      </c>
      <c r="Q86" s="646">
        <f>SUMIFS('collpy (2)'!$F$94:$F$3676,'collpy (2)'!$C$94:$C$3676,FinView!A86,'collpy (2)'!$A$94:$A$3676,FinView!$Q$4)</f>
        <v>8221.92</v>
      </c>
      <c r="R86" s="647">
        <f>SUMIFS('collpy (2)'!$G$94:$G$3676,'collpy (2)'!$C$94:$C$3676,FinView!A86,'collpy (2)'!$A$94:$A$3676,FinView!$Q$4)</f>
        <v>0</v>
      </c>
      <c r="S86" s="646">
        <f>SUMIFS('collpy (2)'!$F$94:$F$3676,'collpy (2)'!$C$94:$C$3676,FinView!A86,'collpy (2)'!$A$94:$A$3676,FinView!$S$4)</f>
        <v>23387.319999999992</v>
      </c>
      <c r="T86" s="647">
        <f>SUMIFS('collpy (2)'!$G$94:$G$3676,'collpy (2)'!$C$94:$C$3676,FinView!A86,'collpy (2)'!$A$94:$A$3676,FinView!$S$4)</f>
        <v>24701.71</v>
      </c>
      <c r="U86" s="646">
        <f>SUMIFS('collpy (2)'!$F$94:$F$3676,'collpy (2)'!$C$94:$C$3676,FinView!A86,'collpy (2)'!$A$94:$A$3676,FinView!$U$4)</f>
        <v>11351.200127499998</v>
      </c>
      <c r="V86" s="647">
        <f>SUMIFS('collpy (2)'!$G$94:$G$3676,'collpy (2)'!$C$94:$C$3676,FinView!A86,'collpy (2)'!$A$94:$A$3676,FinView!$U$4)</f>
        <v>39121.300000000003</v>
      </c>
      <c r="W86" s="449"/>
      <c r="X86" s="450"/>
      <c r="Y86" s="450"/>
      <c r="Z86" s="450"/>
      <c r="AA86" s="450"/>
      <c r="AB86" s="450"/>
      <c r="AC86" s="450"/>
      <c r="AD86" s="450"/>
      <c r="AE86" s="450"/>
      <c r="AF86" s="450"/>
      <c r="AG86" s="898"/>
      <c r="AH86" s="898"/>
      <c r="AI86" s="898"/>
      <c r="AJ86" s="898"/>
      <c r="AK86" s="898"/>
      <c r="AL86" s="898"/>
      <c r="AM86" s="898"/>
    </row>
    <row r="87" spans="1:39" s="2" customFormat="1" ht="23.25">
      <c r="A87" s="364"/>
      <c r="B87" s="364"/>
      <c r="C87" s="655"/>
      <c r="D87" s="655"/>
      <c r="E87" s="650"/>
      <c r="F87" s="651"/>
      <c r="G87" s="650"/>
      <c r="H87" s="651"/>
      <c r="I87" s="650"/>
      <c r="J87" s="651"/>
      <c r="K87" s="650"/>
      <c r="L87" s="651"/>
      <c r="M87" s="650"/>
      <c r="N87" s="651"/>
      <c r="O87" s="650"/>
      <c r="P87" s="651"/>
      <c r="Q87" s="650"/>
      <c r="R87" s="651"/>
      <c r="S87" s="652" t="str">
        <f>IF( SUMIFS(srpro!$E$10:$E$3010,srpro!$J$10:$J$3010,#REF!,srpro!$B$10:$B$3010,'ProjectsX (2)'!#REF!)&gt;0,SUMIFS(srpro!$E$10:$E$3010,srpro!$J$10:$J$3010,#REF!,srpro!$B$10:$B$3010,'ProjectsX (2)'!#REF!),"")</f>
        <v/>
      </c>
      <c r="T87" s="653"/>
      <c r="U87" s="652" t="str">
        <f>IF( SUMIFS(srpro!$E$10:$E$3010,srpro!$J$10:$J$3010,#REF!,srpro!$B$10:$B$3010,'ProjectsX (2)'!#REF!)&gt;0,SUMIFS(srpro!$E$10:$E$3010,srpro!$J$10:$J$3010,#REF!,srpro!$B$10:$B$3010,'ProjectsX (2)'!#REF!),"")</f>
        <v/>
      </c>
      <c r="V87" s="653"/>
      <c r="W87" s="652"/>
      <c r="X87" s="653"/>
      <c r="Y87" s="653"/>
      <c r="Z87" s="653"/>
      <c r="AA87" s="653"/>
      <c r="AB87" s="653"/>
      <c r="AC87" s="653"/>
      <c r="AD87" s="653"/>
      <c r="AE87" s="653"/>
      <c r="AF87" s="653"/>
      <c r="AG87" s="898"/>
      <c r="AH87" s="898"/>
      <c r="AI87" s="898"/>
      <c r="AJ87" s="898"/>
      <c r="AK87" s="898"/>
      <c r="AL87" s="898"/>
      <c r="AM87" s="898"/>
    </row>
    <row r="88" spans="1:39" s="2" customFormat="1" ht="23.25">
      <c r="A88" s="551"/>
      <c r="B88" s="551"/>
      <c r="C88" s="551"/>
      <c r="D88" s="551"/>
      <c r="E88" s="551"/>
      <c r="F88" s="551"/>
      <c r="G88" s="551"/>
      <c r="H88" s="551"/>
      <c r="I88" s="551"/>
      <c r="J88" s="551"/>
      <c r="K88" s="551"/>
      <c r="L88" s="551"/>
      <c r="M88" s="551"/>
      <c r="N88" s="551"/>
      <c r="O88" s="551"/>
      <c r="P88" s="551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898"/>
      <c r="AH88" s="898"/>
      <c r="AI88" s="898"/>
      <c r="AJ88" s="898"/>
      <c r="AK88" s="898"/>
      <c r="AL88" s="898"/>
      <c r="AM88" s="898"/>
    </row>
    <row r="89" spans="1:39" s="2" customFormat="1" ht="23.25">
      <c r="A89" s="551"/>
      <c r="B89" s="551"/>
      <c r="C89" s="551"/>
      <c r="D89" s="551"/>
      <c r="E89" s="551"/>
      <c r="F89" s="551"/>
      <c r="G89" s="551"/>
      <c r="H89" s="551"/>
      <c r="I89" s="551"/>
      <c r="J89" s="551"/>
      <c r="K89" s="551"/>
      <c r="L89" s="551"/>
      <c r="M89" s="551"/>
      <c r="N89" s="551"/>
      <c r="O89" s="551"/>
      <c r="P89" s="551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898"/>
      <c r="AH89" s="898"/>
      <c r="AI89" s="898"/>
      <c r="AJ89" s="898"/>
      <c r="AK89" s="898"/>
      <c r="AL89" s="898"/>
      <c r="AM89" s="898"/>
    </row>
    <row r="90" spans="1:39" s="2" customFormat="1" ht="23.25">
      <c r="A90" s="551"/>
      <c r="B90" s="551"/>
      <c r="C90" s="551"/>
      <c r="D90" s="551"/>
      <c r="E90" s="551"/>
      <c r="F90" s="551"/>
      <c r="G90" s="551"/>
      <c r="H90" s="551"/>
      <c r="I90" s="551"/>
      <c r="J90" s="551"/>
      <c r="K90" s="551"/>
      <c r="L90" s="551"/>
      <c r="M90" s="551"/>
      <c r="N90" s="551"/>
      <c r="O90" s="551"/>
      <c r="P90" s="551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898"/>
      <c r="AH90" s="898"/>
      <c r="AI90" s="898"/>
      <c r="AJ90" s="898"/>
      <c r="AK90" s="898"/>
      <c r="AL90" s="898"/>
      <c r="AM90" s="898"/>
    </row>
    <row r="91" spans="1:39" s="2" customFormat="1" ht="23.25">
      <c r="A91" s="551"/>
      <c r="B91" s="551"/>
      <c r="C91" s="551"/>
      <c r="D91" s="551"/>
      <c r="E91" s="551"/>
      <c r="F91" s="551"/>
      <c r="G91" s="551"/>
      <c r="H91" s="551"/>
      <c r="I91" s="551"/>
      <c r="J91" s="551"/>
      <c r="K91" s="551"/>
      <c r="L91" s="551"/>
      <c r="M91" s="551"/>
      <c r="N91" s="551"/>
      <c r="O91" s="551"/>
      <c r="P91" s="551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898"/>
      <c r="AH91" s="898"/>
      <c r="AI91" s="898"/>
      <c r="AJ91" s="898"/>
      <c r="AK91" s="898"/>
      <c r="AL91" s="898"/>
      <c r="AM91" s="898"/>
    </row>
    <row r="92" spans="1:39" s="2" customFormat="1" ht="23.25">
      <c r="A92" s="551"/>
      <c r="B92" s="551"/>
      <c r="C92" s="551"/>
      <c r="D92" s="551"/>
      <c r="E92" s="551"/>
      <c r="F92" s="551"/>
      <c r="G92" s="551"/>
      <c r="H92" s="551"/>
      <c r="I92" s="551"/>
      <c r="J92" s="551"/>
      <c r="K92" s="551"/>
      <c r="L92" s="551"/>
      <c r="M92" s="551"/>
      <c r="N92" s="551"/>
      <c r="O92" s="551"/>
      <c r="P92" s="551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898"/>
      <c r="AH92" s="898"/>
      <c r="AI92" s="898"/>
      <c r="AJ92" s="898"/>
      <c r="AK92" s="898"/>
      <c r="AL92" s="898"/>
      <c r="AM92" s="898"/>
    </row>
    <row r="93" spans="1:39" s="2" customFormat="1" ht="23.25">
      <c r="A93" s="551"/>
      <c r="B93" s="551"/>
      <c r="C93" s="551"/>
      <c r="D93" s="551"/>
      <c r="E93" s="551"/>
      <c r="F93" s="551"/>
      <c r="G93" s="551"/>
      <c r="H93" s="551"/>
      <c r="I93" s="551"/>
      <c r="J93" s="551"/>
      <c r="K93" s="551"/>
      <c r="L93" s="551"/>
      <c r="M93" s="551"/>
      <c r="N93" s="551"/>
      <c r="O93" s="551"/>
      <c r="P93" s="551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898"/>
      <c r="AH93" s="898"/>
      <c r="AI93" s="898"/>
      <c r="AJ93" s="898"/>
      <c r="AK93" s="898"/>
      <c r="AL93" s="898"/>
      <c r="AM93" s="898"/>
    </row>
    <row r="94" spans="1:39" s="2" customFormat="1" ht="23.25">
      <c r="A94" s="551"/>
      <c r="B94" s="551"/>
      <c r="C94" s="551"/>
      <c r="D94" s="551"/>
      <c r="E94" s="551"/>
      <c r="F94" s="551"/>
      <c r="G94" s="551"/>
      <c r="H94" s="551"/>
      <c r="I94" s="551"/>
      <c r="J94" s="551"/>
      <c r="K94" s="551"/>
      <c r="L94" s="551"/>
      <c r="M94" s="551"/>
      <c r="N94" s="551"/>
      <c r="O94" s="551"/>
      <c r="P94" s="551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898"/>
      <c r="AH94" s="898"/>
      <c r="AI94" s="898"/>
      <c r="AJ94" s="898"/>
      <c r="AK94" s="898"/>
      <c r="AL94" s="898"/>
      <c r="AM94" s="898"/>
    </row>
    <row r="95" spans="1:39" s="2" customFormat="1" ht="23.25">
      <c r="A95" s="551"/>
      <c r="B95" s="551"/>
      <c r="C95" s="551"/>
      <c r="D95" s="551"/>
      <c r="E95" s="551"/>
      <c r="F95" s="551"/>
      <c r="G95" s="551"/>
      <c r="H95" s="551"/>
      <c r="I95" s="551"/>
      <c r="J95" s="551"/>
      <c r="K95" s="551"/>
      <c r="L95" s="551"/>
      <c r="M95" s="551"/>
      <c r="N95" s="551"/>
      <c r="O95" s="551"/>
      <c r="P95" s="551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898"/>
      <c r="AH95" s="898"/>
      <c r="AI95" s="898"/>
      <c r="AJ95" s="898"/>
      <c r="AK95" s="898"/>
      <c r="AL95" s="898"/>
      <c r="AM95" s="898"/>
    </row>
    <row r="96" spans="1:39" s="2" customFormat="1" ht="23.25">
      <c r="A96" s="551"/>
      <c r="B96" s="551"/>
      <c r="C96" s="551"/>
      <c r="D96" s="551"/>
      <c r="E96" s="551"/>
      <c r="F96" s="551"/>
      <c r="G96" s="551"/>
      <c r="H96" s="551"/>
      <c r="I96" s="551"/>
      <c r="J96" s="551"/>
      <c r="K96" s="551"/>
      <c r="L96" s="551"/>
      <c r="M96" s="551"/>
      <c r="N96" s="551"/>
      <c r="O96" s="551"/>
      <c r="P96" s="551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898"/>
      <c r="AH96" s="898"/>
      <c r="AI96" s="898"/>
      <c r="AJ96" s="898"/>
      <c r="AK96" s="898"/>
      <c r="AL96" s="898"/>
      <c r="AM96" s="898"/>
    </row>
    <row r="97" spans="17:39" s="551" customFormat="1" ht="23.25"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898"/>
      <c r="AH97" s="898"/>
      <c r="AI97" s="898"/>
      <c r="AJ97" s="898"/>
      <c r="AK97" s="898"/>
      <c r="AL97" s="898"/>
      <c r="AM97" s="898"/>
    </row>
    <row r="98" spans="17:39" s="551" customFormat="1" ht="23.25"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898"/>
      <c r="AH98" s="898"/>
      <c r="AI98" s="898"/>
      <c r="AJ98" s="898"/>
      <c r="AK98" s="898"/>
      <c r="AL98" s="898"/>
      <c r="AM98" s="898"/>
    </row>
    <row r="99" spans="17:39" s="551" customFormat="1" ht="23.25"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898"/>
      <c r="AH99" s="898"/>
      <c r="AI99" s="898"/>
      <c r="AJ99" s="898"/>
      <c r="AK99" s="898"/>
      <c r="AL99" s="898"/>
      <c r="AM99" s="898"/>
    </row>
    <row r="100" spans="17:39" s="551" customFormat="1" ht="23.25"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898"/>
      <c r="AH100" s="898"/>
      <c r="AI100" s="898"/>
      <c r="AJ100" s="898"/>
      <c r="AK100" s="898"/>
      <c r="AL100" s="898"/>
      <c r="AM100" s="898"/>
    </row>
    <row r="101" spans="17:39" s="551" customFormat="1" ht="23.25"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898"/>
      <c r="AH101" s="898"/>
      <c r="AI101" s="898"/>
      <c r="AJ101" s="898"/>
      <c r="AK101" s="898"/>
      <c r="AL101" s="898"/>
      <c r="AM101" s="898"/>
    </row>
    <row r="102" spans="17:39" s="551" customFormat="1" ht="23.25"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898"/>
      <c r="AH102" s="898"/>
      <c r="AI102" s="898"/>
      <c r="AJ102" s="898"/>
      <c r="AK102" s="898"/>
      <c r="AL102" s="898"/>
      <c r="AM102" s="898"/>
    </row>
    <row r="103" spans="17:39" s="551" customFormat="1" ht="23.25"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898"/>
      <c r="AH103" s="898"/>
      <c r="AI103" s="898"/>
      <c r="AJ103" s="898"/>
      <c r="AK103" s="898"/>
      <c r="AL103" s="898"/>
      <c r="AM103" s="898"/>
    </row>
    <row r="104" spans="17:39" s="551" customFormat="1" ht="23.25"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898"/>
      <c r="AH104" s="898"/>
      <c r="AI104" s="898"/>
      <c r="AJ104" s="898"/>
      <c r="AK104" s="898"/>
      <c r="AL104" s="898"/>
      <c r="AM104" s="898"/>
    </row>
    <row r="105" spans="17:39" s="551" customFormat="1" ht="23.25"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898"/>
      <c r="AH105" s="898"/>
      <c r="AI105" s="898"/>
      <c r="AJ105" s="898"/>
      <c r="AK105" s="898"/>
      <c r="AL105" s="898"/>
      <c r="AM105" s="898"/>
    </row>
    <row r="106" spans="17:39" s="551" customFormat="1" ht="23.25"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898"/>
      <c r="AH106" s="898"/>
      <c r="AI106" s="898"/>
      <c r="AJ106" s="898"/>
      <c r="AK106" s="898"/>
      <c r="AL106" s="898"/>
      <c r="AM106" s="898"/>
    </row>
    <row r="107" spans="17:39" s="551" customFormat="1" ht="23.25"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898"/>
      <c r="AH107" s="898"/>
      <c r="AI107" s="898"/>
      <c r="AJ107" s="898"/>
      <c r="AK107" s="898"/>
      <c r="AL107" s="898"/>
      <c r="AM107" s="898"/>
    </row>
    <row r="108" spans="17:39" s="551" customFormat="1" ht="23.25"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898"/>
      <c r="AH108" s="898"/>
      <c r="AI108" s="898"/>
      <c r="AJ108" s="898"/>
      <c r="AK108" s="898"/>
      <c r="AL108" s="898"/>
      <c r="AM108" s="898"/>
    </row>
    <row r="109" spans="17:39" s="551" customFormat="1" ht="23.25"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898"/>
      <c r="AH109" s="898"/>
      <c r="AI109" s="898"/>
      <c r="AJ109" s="898"/>
      <c r="AK109" s="898"/>
      <c r="AL109" s="898"/>
      <c r="AM109" s="898"/>
    </row>
    <row r="110" spans="17:39" s="551" customFormat="1" ht="23.25"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898"/>
      <c r="AH110" s="898"/>
      <c r="AI110" s="898"/>
      <c r="AJ110" s="898"/>
      <c r="AK110" s="898"/>
      <c r="AL110" s="898"/>
      <c r="AM110" s="898"/>
    </row>
    <row r="111" spans="17:39" s="551" customFormat="1" ht="23.25"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898"/>
      <c r="AH111" s="898"/>
      <c r="AI111" s="898"/>
      <c r="AJ111" s="898"/>
      <c r="AK111" s="898"/>
      <c r="AL111" s="898"/>
      <c r="AM111" s="898"/>
    </row>
    <row r="112" spans="17:39" s="551" customFormat="1" ht="23.25"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898"/>
      <c r="AH112" s="898"/>
      <c r="AI112" s="898"/>
      <c r="AJ112" s="898"/>
      <c r="AK112" s="898"/>
      <c r="AL112" s="898"/>
      <c r="AM112" s="898"/>
    </row>
    <row r="113" spans="17:39" s="551" customFormat="1" ht="23.25"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898"/>
      <c r="AH113" s="898"/>
      <c r="AI113" s="898"/>
      <c r="AJ113" s="898"/>
      <c r="AK113" s="898"/>
      <c r="AL113" s="898"/>
      <c r="AM113" s="898"/>
    </row>
    <row r="114" spans="17:39" s="551" customFormat="1" ht="23.25"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898"/>
      <c r="AH114" s="898"/>
      <c r="AI114" s="898"/>
      <c r="AJ114" s="898"/>
      <c r="AK114" s="898"/>
      <c r="AL114" s="898"/>
      <c r="AM114" s="898"/>
    </row>
    <row r="115" spans="17:39" s="551" customFormat="1" ht="23.25"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898"/>
      <c r="AH115" s="898"/>
      <c r="AI115" s="898"/>
      <c r="AJ115" s="898"/>
      <c r="AK115" s="898"/>
      <c r="AL115" s="898"/>
      <c r="AM115" s="898"/>
    </row>
    <row r="116" spans="17:39" s="551" customFormat="1" ht="23.25"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898"/>
      <c r="AH116" s="898"/>
      <c r="AI116" s="898"/>
      <c r="AJ116" s="898"/>
      <c r="AK116" s="898"/>
      <c r="AL116" s="898"/>
      <c r="AM116" s="898"/>
    </row>
    <row r="117" spans="17:39" s="551" customFormat="1" ht="12.75" customHeight="1"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898"/>
      <c r="AH117" s="898"/>
      <c r="AI117" s="898"/>
      <c r="AJ117" s="898"/>
      <c r="AK117" s="898"/>
      <c r="AL117" s="898"/>
      <c r="AM117" s="898"/>
    </row>
    <row r="118" spans="17:39" s="551" customFormat="1" ht="23.25"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898"/>
      <c r="AH118" s="898"/>
      <c r="AI118" s="898"/>
      <c r="AJ118" s="898"/>
      <c r="AK118" s="898"/>
      <c r="AL118" s="898"/>
      <c r="AM118" s="898"/>
    </row>
    <row r="119" spans="17:39" s="551" customFormat="1" ht="23.25"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898"/>
      <c r="AH119" s="898"/>
      <c r="AI119" s="898"/>
      <c r="AJ119" s="898"/>
      <c r="AK119" s="898"/>
      <c r="AL119" s="898"/>
      <c r="AM119" s="898"/>
    </row>
    <row r="120" spans="17:39" s="551" customFormat="1" ht="23.25"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898"/>
      <c r="AH120" s="898"/>
      <c r="AI120" s="898"/>
      <c r="AJ120" s="898"/>
      <c r="AK120" s="898"/>
      <c r="AL120" s="898"/>
      <c r="AM120" s="898"/>
    </row>
    <row r="121" spans="17:39" s="551" customFormat="1" ht="12.75" customHeight="1"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898"/>
      <c r="AH121" s="898"/>
      <c r="AI121" s="898"/>
      <c r="AJ121" s="898"/>
      <c r="AK121" s="898"/>
      <c r="AL121" s="898"/>
      <c r="AM121" s="898"/>
    </row>
    <row r="122" spans="17:39" s="551" customFormat="1" ht="23.25"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898"/>
      <c r="AH122" s="898"/>
      <c r="AI122" s="898"/>
      <c r="AJ122" s="898"/>
      <c r="AK122" s="898"/>
      <c r="AL122" s="898"/>
      <c r="AM122" s="898"/>
    </row>
    <row r="123" spans="17:39" s="551" customFormat="1" ht="23.25"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898"/>
      <c r="AH123" s="898"/>
      <c r="AI123" s="898"/>
      <c r="AJ123" s="898"/>
      <c r="AK123" s="898"/>
      <c r="AL123" s="898"/>
      <c r="AM123" s="898"/>
    </row>
    <row r="124" spans="17:39" s="551" customFormat="1" ht="23.25"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898"/>
      <c r="AH124" s="898"/>
      <c r="AI124" s="898"/>
      <c r="AJ124" s="898"/>
      <c r="AK124" s="898"/>
      <c r="AL124" s="898"/>
      <c r="AM124" s="898"/>
    </row>
    <row r="125" spans="17:39" s="551" customFormat="1" ht="12.75" customHeight="1"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898"/>
      <c r="AH125" s="898"/>
      <c r="AI125" s="898"/>
      <c r="AJ125" s="898"/>
      <c r="AK125" s="898"/>
      <c r="AL125" s="898"/>
      <c r="AM125" s="898"/>
    </row>
    <row r="126" spans="17:39" s="551" customFormat="1" ht="23.25"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898"/>
      <c r="AH126" s="898"/>
      <c r="AI126" s="898"/>
      <c r="AJ126" s="898"/>
      <c r="AK126" s="898"/>
      <c r="AL126" s="898"/>
      <c r="AM126" s="898"/>
    </row>
    <row r="127" spans="17:39" s="551" customFormat="1" ht="23.25"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898"/>
      <c r="AH127" s="898"/>
      <c r="AI127" s="898"/>
      <c r="AJ127" s="898"/>
      <c r="AK127" s="898"/>
      <c r="AL127" s="898"/>
      <c r="AM127" s="898"/>
    </row>
    <row r="128" spans="17:39" s="551" customFormat="1" ht="23.25"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898"/>
      <c r="AH128" s="898"/>
      <c r="AI128" s="898"/>
      <c r="AJ128" s="898"/>
      <c r="AK128" s="898"/>
      <c r="AL128" s="898"/>
      <c r="AM128" s="898"/>
    </row>
    <row r="129" spans="17:39" s="551" customFormat="1" ht="23.25"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898"/>
      <c r="AH129" s="898"/>
      <c r="AI129" s="898"/>
      <c r="AJ129" s="898"/>
      <c r="AK129" s="898"/>
      <c r="AL129" s="898"/>
      <c r="AM129" s="898"/>
    </row>
    <row r="130" spans="17:39" s="551" customFormat="1" ht="12.75" customHeight="1"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898"/>
      <c r="AH130" s="898"/>
      <c r="AI130" s="898"/>
      <c r="AJ130" s="898"/>
      <c r="AK130" s="898"/>
      <c r="AL130" s="898"/>
      <c r="AM130" s="898"/>
    </row>
    <row r="131" spans="17:39" s="551" customFormat="1" ht="23.25"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898"/>
      <c r="AH131" s="898"/>
      <c r="AI131" s="898"/>
      <c r="AJ131" s="898"/>
      <c r="AK131" s="898"/>
      <c r="AL131" s="898"/>
      <c r="AM131" s="898"/>
    </row>
    <row r="132" spans="17:39" s="551" customFormat="1" ht="12.75"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</row>
    <row r="133" spans="17:39" s="551" customFormat="1" ht="12.75"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</row>
    <row r="134" spans="17:39" s="551" customFormat="1" ht="12.75"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</row>
    <row r="135" spans="17:39" s="551" customFormat="1" ht="12.75"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</row>
    <row r="136" spans="17:39" s="551" customFormat="1" ht="12.75"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</row>
    <row r="137" spans="17:39" s="551" customFormat="1" ht="12.75"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</row>
    <row r="138" spans="17:39" s="551" customFormat="1" ht="12.75"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</row>
    <row r="139" spans="17:39" s="551" customFormat="1" ht="12.75"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</row>
    <row r="140" spans="17:39" s="551" customFormat="1" ht="12.75"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</row>
    <row r="141" spans="17:39" s="551" customFormat="1" ht="12.75" customHeight="1"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</row>
    <row r="142" spans="17:39" s="551" customFormat="1" ht="12.75"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</row>
    <row r="143" spans="17:39" s="551" customFormat="1" ht="12.75"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</row>
    <row r="144" spans="17:39" s="551" customFormat="1" ht="12.75" customHeight="1"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</row>
    <row r="145" spans="17:32" s="551" customFormat="1" ht="12.75" customHeight="1"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</row>
    <row r="146" spans="17:32" s="551" customFormat="1" ht="12.75"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</row>
    <row r="147" spans="17:32" s="551" customFormat="1" ht="12.75" customHeight="1"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</row>
    <row r="148" spans="17:32" s="551" customFormat="1" ht="12.75" customHeight="1"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</row>
    <row r="149" spans="17:32" s="551" customFormat="1" ht="12.75" customHeight="1"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</row>
    <row r="150" spans="17:32" s="551" customFormat="1" ht="12.75" customHeight="1"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</row>
    <row r="151" spans="17:32" s="551" customFormat="1" ht="12.75" customHeight="1"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</row>
    <row r="152" spans="17:32" s="551" customFormat="1" ht="12.75" customHeight="1"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</row>
    <row r="153" spans="17:32" s="551" customFormat="1" ht="12.75" customHeight="1"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</row>
    <row r="154" spans="17:32" s="551" customFormat="1" ht="12.75" customHeight="1"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</row>
    <row r="155" spans="17:32" s="551" customFormat="1" ht="12.75"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</row>
    <row r="156" spans="17:32" s="551" customFormat="1" ht="12.75"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</row>
    <row r="157" spans="17:32" s="551" customFormat="1" ht="12.75" customHeight="1"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</row>
    <row r="158" spans="17:32" s="551" customFormat="1" ht="15" customHeight="1"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</row>
    <row r="159" spans="17:32" s="551" customFormat="1" ht="15" customHeight="1"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</row>
    <row r="160" spans="17:32" s="551" customFormat="1" ht="15" customHeight="1"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</row>
    <row r="161" spans="17:32" s="551" customFormat="1" ht="15" customHeight="1"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</row>
    <row r="162" spans="17:32" s="551" customFormat="1" ht="15" customHeight="1"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</row>
    <row r="163" spans="17:32" s="551" customFormat="1" ht="15" customHeight="1"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</row>
    <row r="164" spans="17:32" s="551" customFormat="1" ht="15" customHeight="1"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</row>
    <row r="165" spans="17:32" s="551" customFormat="1" ht="15" customHeight="1"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</row>
    <row r="166" spans="17:32" s="551" customFormat="1" ht="12.75"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</row>
    <row r="167" spans="17:32" s="551" customFormat="1" ht="12.75"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</row>
    <row r="168" spans="17:32" s="551" customFormat="1" ht="12.75"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</row>
    <row r="169" spans="17:32" s="551" customFormat="1" ht="12.75"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</row>
    <row r="170" spans="17:32" s="551" customFormat="1" ht="12.75"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</row>
    <row r="171" spans="17:32" s="551" customFormat="1" ht="12.75"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</row>
    <row r="172" spans="17:32" s="551" customFormat="1" ht="12.75"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</row>
    <row r="173" spans="17:32" s="551" customFormat="1" ht="12.75"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</row>
    <row r="174" spans="17:32" s="551" customFormat="1" ht="12.75"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</row>
    <row r="175" spans="17:32" s="551" customFormat="1" ht="12.75"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</row>
    <row r="176" spans="17:32" s="551" customFormat="1" ht="12.75"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</row>
    <row r="177" spans="17:32" s="551" customFormat="1" ht="12.75"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</row>
    <row r="178" spans="17:32" s="551" customFormat="1" ht="12.75"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</row>
    <row r="179" spans="17:32" s="551" customFormat="1" ht="12.75"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</row>
    <row r="180" spans="17:32" s="551" customFormat="1" ht="12.75"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</row>
    <row r="181" spans="17:32" s="551" customFormat="1" ht="12.75"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</row>
    <row r="182" spans="17:32" s="551" customFormat="1" ht="12.75"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</row>
    <row r="183" spans="17:32" s="551" customFormat="1" ht="12.75"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</row>
    <row r="184" spans="17:32" s="551" customFormat="1" ht="12.75"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</row>
    <row r="185" spans="17:32" s="551" customFormat="1" ht="12.75"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</row>
    <row r="186" spans="17:32" s="551" customFormat="1" ht="12.75"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</row>
    <row r="187" spans="17:32" s="551" customFormat="1" ht="12.75"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</row>
    <row r="188" spans="17:32" s="551" customFormat="1" ht="12.75"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</row>
    <row r="189" spans="17:32" s="551" customFormat="1" ht="12.75"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</row>
    <row r="190" spans="17:32" s="551" customFormat="1" ht="12.75"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</row>
    <row r="191" spans="17:32" s="551" customFormat="1" ht="12.75"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</row>
    <row r="192" spans="17:32" s="551" customFormat="1" ht="12.75"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</row>
    <row r="193" spans="17:32" s="551" customFormat="1" ht="12.75"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</row>
    <row r="194" spans="17:32" s="551" customFormat="1" ht="12.75"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</row>
    <row r="195" spans="17:32" s="551" customFormat="1" ht="12.75"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</row>
    <row r="196" spans="17:32" s="551" customFormat="1" ht="12.75"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</row>
    <row r="197" spans="17:32" s="551" customFormat="1" ht="12.75"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</row>
    <row r="198" spans="17:32" s="551" customFormat="1" ht="12.75"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</row>
    <row r="199" spans="17:32" s="551" customFormat="1" ht="12.75"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</row>
    <row r="200" spans="17:32" s="551" customFormat="1" ht="12.75"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</row>
    <row r="201" spans="17:32" s="551" customFormat="1" ht="12.75"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</row>
    <row r="202" spans="17:32" s="551" customFormat="1" ht="12.75"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79"/>
    </row>
    <row r="203" spans="17:32" s="551" customFormat="1" ht="12.75"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</row>
    <row r="204" spans="17:32" s="551" customFormat="1" ht="12.75"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</row>
    <row r="205" spans="17:32" s="551" customFormat="1" ht="12.75"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</row>
    <row r="206" spans="17:32" s="551" customFormat="1" ht="12.75"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</row>
    <row r="207" spans="17:32" s="551" customFormat="1" ht="12.75"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</row>
    <row r="208" spans="17:32" s="551" customFormat="1" ht="12.75"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</row>
    <row r="209" spans="17:32" s="551" customFormat="1" ht="12.75"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</row>
    <row r="210" spans="17:32" s="551" customFormat="1" ht="12.75"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</row>
    <row r="211" spans="17:32" s="551" customFormat="1" ht="12.75"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</row>
    <row r="212" spans="17:32" s="551" customFormat="1" ht="12.75"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</row>
    <row r="213" spans="17:32" s="551" customFormat="1" ht="12.75"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</row>
    <row r="214" spans="17:32" s="551" customFormat="1" ht="12.75"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</row>
    <row r="215" spans="17:32" s="551" customFormat="1" ht="12.75"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</row>
    <row r="216" spans="17:32" s="551" customFormat="1" ht="12.75"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</row>
    <row r="217" spans="17:32" s="551" customFormat="1" ht="12.75"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</row>
    <row r="218" spans="17:32" s="551" customFormat="1" ht="12.75"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</row>
    <row r="219" spans="17:32" s="551" customFormat="1" ht="12.75"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</row>
    <row r="220" spans="17:32" s="551" customFormat="1" ht="12.75"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</row>
    <row r="221" spans="17:32" s="551" customFormat="1" ht="12.75"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</row>
    <row r="222" spans="17:32" s="551" customFormat="1" ht="12.75"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</row>
    <row r="223" spans="17:32" s="551" customFormat="1" ht="12.75"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</row>
    <row r="224" spans="17:32" s="551" customFormat="1" ht="12.75"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</row>
    <row r="225" spans="17:32" s="551" customFormat="1" ht="12.75"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</row>
    <row r="226" spans="17:32" s="551" customFormat="1" ht="12.75"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</row>
    <row r="227" spans="17:32" s="551" customFormat="1" ht="12.75"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</row>
    <row r="228" spans="17:32" s="551" customFormat="1" ht="12.75"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</row>
    <row r="229" spans="17:32" s="551" customFormat="1" ht="12.75"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</row>
    <row r="230" spans="17:32" s="551" customFormat="1" ht="12.75"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</row>
    <row r="231" spans="17:32" s="551" customFormat="1" ht="12.75"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</row>
    <row r="232" spans="17:32" s="551" customFormat="1" ht="12.75"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</row>
    <row r="233" spans="17:32" s="551" customFormat="1" ht="12.75"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</row>
    <row r="234" spans="17:32" s="551" customFormat="1" ht="12.75"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</row>
    <row r="235" spans="17:32" s="551" customFormat="1" ht="12.75"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</row>
    <row r="236" spans="17:32" s="551" customFormat="1" ht="12.75"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</row>
    <row r="237" spans="17:32" s="551" customFormat="1" ht="12.75"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</row>
    <row r="238" spans="17:32" s="551" customFormat="1" ht="12.75"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</row>
    <row r="239" spans="17:32" s="551" customFormat="1" ht="12.75"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</row>
    <row r="240" spans="17:32" s="551" customFormat="1" ht="12.75"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</row>
    <row r="241" spans="17:32" s="551" customFormat="1" ht="12.75"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</row>
    <row r="242" spans="17:32" s="551" customFormat="1" ht="12.75"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</row>
    <row r="243" spans="17:32" s="551" customFormat="1" ht="12.75"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</row>
    <row r="244" spans="17:32" s="551" customFormat="1" ht="12.75"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</row>
    <row r="245" spans="17:32" s="551" customFormat="1" ht="12.75"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</row>
    <row r="246" spans="17:32" s="551" customFormat="1" ht="12.75"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</row>
    <row r="247" spans="17:32" s="551" customFormat="1" ht="12.75"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</row>
    <row r="248" spans="17:32" s="551" customFormat="1" ht="12.75"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</row>
    <row r="249" spans="17:32" s="551" customFormat="1" ht="12.75"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</row>
    <row r="250" spans="17:32" s="551" customFormat="1" ht="12.75"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</row>
    <row r="251" spans="17:32" s="551" customFormat="1" ht="12.75"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</row>
    <row r="252" spans="17:32" s="551" customFormat="1" ht="12.75"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</row>
    <row r="253" spans="17:32" s="551" customFormat="1" ht="12.75"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</row>
    <row r="254" spans="17:32" s="551" customFormat="1" ht="12.75"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</row>
    <row r="255" spans="17:32" s="551" customFormat="1" ht="12.75"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</row>
    <row r="256" spans="17:32" s="551" customFormat="1" ht="12.75"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79"/>
    </row>
    <row r="257" spans="17:32" s="551" customFormat="1" ht="12.75"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</row>
    <row r="258" spans="17:32" s="551" customFormat="1" ht="12.75"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</row>
    <row r="259" spans="17:32" s="551" customFormat="1" ht="12.75"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79"/>
    </row>
    <row r="260" spans="17:32" s="551" customFormat="1" ht="12.75"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</row>
    <row r="261" spans="17:32" s="551" customFormat="1" ht="12.75"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79"/>
    </row>
    <row r="262" spans="17:32" s="551" customFormat="1" ht="12.75"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</row>
    <row r="263" spans="17:32" s="551" customFormat="1" ht="12.75"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</row>
    <row r="264" spans="17:32" s="551" customFormat="1" ht="12.75"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</row>
    <row r="265" spans="17:32" s="551" customFormat="1" ht="12.75"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</row>
    <row r="266" spans="17:32" s="551" customFormat="1" ht="12.75"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</row>
    <row r="267" spans="17:32" s="551" customFormat="1" ht="12.75"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79"/>
    </row>
    <row r="268" spans="17:32" s="551" customFormat="1" ht="12.75"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79"/>
      <c r="AD268" s="79"/>
      <c r="AE268" s="79"/>
      <c r="AF268" s="79"/>
    </row>
    <row r="269" spans="17:32" s="551" customFormat="1" ht="12.75"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79"/>
    </row>
    <row r="270" spans="17:32" s="551" customFormat="1" ht="12.75"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79"/>
    </row>
    <row r="271" spans="17:32" s="551" customFormat="1" ht="12.75"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79"/>
    </row>
    <row r="272" spans="17:32" s="551" customFormat="1" ht="12.75"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79"/>
    </row>
    <row r="273" spans="17:32" s="551" customFormat="1" ht="12.75"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</row>
    <row r="274" spans="17:32" s="551" customFormat="1" ht="12.75"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79"/>
    </row>
    <row r="275" spans="17:32" s="551" customFormat="1" ht="12.75">
      <c r="Q275" s="79"/>
      <c r="R275" s="79"/>
      <c r="S275" s="79"/>
      <c r="T275" s="79"/>
      <c r="U275" s="79"/>
      <c r="V275" s="79"/>
      <c r="W275" s="79"/>
      <c r="X275" s="79"/>
      <c r="Y275" s="79"/>
      <c r="Z275" s="79"/>
      <c r="AA275" s="79"/>
      <c r="AB275" s="79"/>
      <c r="AC275" s="79"/>
      <c r="AD275" s="79"/>
      <c r="AE275" s="79"/>
      <c r="AF275" s="79"/>
    </row>
    <row r="276" spans="17:32" s="551" customFormat="1" ht="12.75"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79"/>
    </row>
    <row r="277" spans="17:32" s="551" customFormat="1" ht="12.75"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79"/>
    </row>
    <row r="278" spans="17:32" s="551" customFormat="1" ht="12.75"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79"/>
    </row>
    <row r="279" spans="17:32" s="551" customFormat="1" ht="12.75"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</row>
    <row r="280" spans="17:32" s="551" customFormat="1" ht="12.75"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</row>
    <row r="281" spans="17:32" s="551" customFormat="1" ht="12.75"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79"/>
    </row>
    <row r="282" spans="17:32" s="551" customFormat="1" ht="12.75"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79"/>
    </row>
    <row r="283" spans="17:32" s="551" customFormat="1" ht="12.75"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  <c r="AD283" s="79"/>
      <c r="AE283" s="79"/>
      <c r="AF283" s="79"/>
    </row>
    <row r="284" spans="17:32" s="551" customFormat="1" ht="12.75"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  <c r="AD284" s="79"/>
      <c r="AE284" s="79"/>
      <c r="AF284" s="79"/>
    </row>
    <row r="285" spans="17:32" s="551" customFormat="1" ht="12.75"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</row>
    <row r="286" spans="17:32" s="551" customFormat="1" ht="12.75"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79"/>
    </row>
    <row r="287" spans="17:32" s="551" customFormat="1" ht="12.75"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  <c r="AD287" s="79"/>
      <c r="AE287" s="79"/>
      <c r="AF287" s="79"/>
    </row>
    <row r="288" spans="17:32" s="551" customFormat="1" ht="12.75"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79"/>
    </row>
    <row r="289" spans="17:32" s="551" customFormat="1" ht="12.75"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</row>
    <row r="290" spans="17:32" s="551" customFormat="1" ht="12.75"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79"/>
    </row>
    <row r="291" spans="17:32" s="551" customFormat="1" ht="12.75"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  <c r="AD291" s="79"/>
      <c r="AE291" s="79"/>
      <c r="AF291" s="79"/>
    </row>
    <row r="292" spans="17:32" s="551" customFormat="1" ht="12.75"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79"/>
    </row>
    <row r="293" spans="17:32" s="551" customFormat="1" ht="12.75"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</row>
    <row r="294" spans="17:32" s="551" customFormat="1" ht="12.75"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79"/>
    </row>
    <row r="295" spans="17:32" s="551" customFormat="1" ht="12.75"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</row>
    <row r="296" spans="17:32" s="551" customFormat="1" ht="12.75"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79"/>
    </row>
    <row r="297" spans="17:32" s="551" customFormat="1" ht="12.75"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79"/>
    </row>
    <row r="298" spans="17:32" s="551" customFormat="1" ht="12.75"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79"/>
    </row>
    <row r="299" spans="17:32" s="551" customFormat="1" ht="12.75"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79"/>
    </row>
    <row r="300" spans="17:32" s="551" customFormat="1" ht="12.75"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  <c r="AE300" s="79"/>
      <c r="AF300" s="79"/>
    </row>
    <row r="301" spans="17:32" s="551" customFormat="1" ht="12.75"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</row>
    <row r="302" spans="17:32" s="551" customFormat="1" ht="12.75"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79"/>
    </row>
    <row r="303" spans="17:32" s="551" customFormat="1" ht="12.75"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79"/>
      <c r="AD303" s="79"/>
      <c r="AE303" s="79"/>
      <c r="AF303" s="79"/>
    </row>
    <row r="304" spans="17:32" s="551" customFormat="1" ht="12.75"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/>
    </row>
    <row r="305" spans="17:32" s="551" customFormat="1" ht="12.75"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</row>
    <row r="306" spans="17:32" s="551" customFormat="1" ht="12.75"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  <c r="AD306" s="79"/>
      <c r="AE306" s="79"/>
      <c r="AF306" s="79"/>
    </row>
    <row r="307" spans="17:32" s="551" customFormat="1" ht="12.75">
      <c r="Q307" s="79"/>
      <c r="R307" s="79"/>
      <c r="S307" s="79"/>
      <c r="T307" s="79"/>
      <c r="U307" s="79"/>
      <c r="V307" s="79"/>
      <c r="W307" s="79"/>
      <c r="X307" s="79"/>
      <c r="Y307" s="79"/>
      <c r="Z307" s="79"/>
      <c r="AA307" s="79"/>
      <c r="AB307" s="79"/>
      <c r="AC307" s="79"/>
      <c r="AD307" s="79"/>
      <c r="AE307" s="79"/>
      <c r="AF307" s="79"/>
    </row>
    <row r="308" spans="17:32" s="551" customFormat="1" ht="12.75"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/>
      <c r="AC308" s="79"/>
      <c r="AD308" s="79"/>
      <c r="AE308" s="79"/>
      <c r="AF308" s="79"/>
    </row>
    <row r="309" spans="17:32" s="551" customFormat="1" ht="12.75"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  <c r="AD309" s="79"/>
      <c r="AE309" s="79"/>
      <c r="AF309" s="79"/>
    </row>
    <row r="310" spans="17:32" s="551" customFormat="1" ht="12.75"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79"/>
      <c r="AD310" s="79"/>
      <c r="AE310" s="79"/>
      <c r="AF310" s="79"/>
    </row>
    <row r="311" spans="17:32" s="551" customFormat="1" ht="12.75"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</row>
    <row r="312" spans="17:32" s="551" customFormat="1" ht="12.75"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</row>
    <row r="313" spans="17:32" s="551" customFormat="1" ht="12.75"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79"/>
      <c r="AD313" s="79"/>
      <c r="AE313" s="79"/>
      <c r="AF313" s="79"/>
    </row>
    <row r="314" spans="17:32" s="551" customFormat="1" ht="12.75"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</row>
    <row r="315" spans="17:32" s="551" customFormat="1" ht="12.75"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  <c r="AD315" s="79"/>
      <c r="AE315" s="79"/>
      <c r="AF315" s="79"/>
    </row>
    <row r="316" spans="17:32" s="551" customFormat="1" ht="12.75"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  <c r="AE316" s="79"/>
      <c r="AF316" s="79"/>
    </row>
    <row r="317" spans="17:32" s="551" customFormat="1" ht="12.75"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  <c r="AD317" s="79"/>
      <c r="AE317" s="79"/>
      <c r="AF317" s="79"/>
    </row>
    <row r="318" spans="17:32" s="551" customFormat="1" ht="12.75"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  <c r="AD318" s="79"/>
      <c r="AE318" s="79"/>
      <c r="AF318" s="79"/>
    </row>
    <row r="319" spans="17:32" s="551" customFormat="1" ht="12.75"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79"/>
      <c r="AD319" s="79"/>
      <c r="AE319" s="79"/>
      <c r="AF319" s="79"/>
    </row>
    <row r="320" spans="17:32" s="551" customFormat="1" ht="12.75"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</row>
    <row r="321" spans="17:32" s="551" customFormat="1" ht="12.75"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/>
      <c r="AE321" s="79"/>
      <c r="AF321" s="79"/>
    </row>
    <row r="322" spans="17:32" s="551" customFormat="1" ht="12.75"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  <c r="AD322" s="79"/>
      <c r="AE322" s="79"/>
      <c r="AF322" s="79"/>
    </row>
    <row r="323" spans="17:32" s="551" customFormat="1" ht="12.75"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  <c r="AD323" s="79"/>
      <c r="AE323" s="79"/>
      <c r="AF323" s="79"/>
    </row>
    <row r="324" spans="17:32" s="551" customFormat="1" ht="12.75"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  <c r="AD324" s="79"/>
      <c r="AE324" s="79"/>
      <c r="AF324" s="79"/>
    </row>
    <row r="325" spans="17:32" s="551" customFormat="1" ht="12.75"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  <c r="AD325" s="79"/>
      <c r="AE325" s="79"/>
      <c r="AF325" s="79"/>
    </row>
    <row r="326" spans="17:32" s="551" customFormat="1" ht="12.75"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  <c r="AD326" s="79"/>
      <c r="AE326" s="79"/>
      <c r="AF326" s="79"/>
    </row>
    <row r="327" spans="17:32" s="551" customFormat="1" ht="12.75"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  <c r="AD327" s="79"/>
      <c r="AE327" s="79"/>
      <c r="AF327" s="79"/>
    </row>
    <row r="328" spans="17:32" s="551" customFormat="1" ht="12.75"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</row>
    <row r="329" spans="17:32" s="551" customFormat="1" ht="12.75"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  <c r="AD329" s="79"/>
      <c r="AE329" s="79"/>
      <c r="AF329" s="79"/>
    </row>
    <row r="330" spans="17:32" s="551" customFormat="1" ht="12.75"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  <c r="AD330" s="79"/>
      <c r="AE330" s="79"/>
      <c r="AF330" s="79"/>
    </row>
    <row r="331" spans="17:32" s="551" customFormat="1" ht="12.75"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  <c r="AD331" s="79"/>
      <c r="AE331" s="79"/>
      <c r="AF331" s="79"/>
    </row>
    <row r="332" spans="17:32" s="551" customFormat="1" ht="12.75"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  <c r="AD332" s="79"/>
      <c r="AE332" s="79"/>
      <c r="AF332" s="79"/>
    </row>
    <row r="333" spans="17:32" s="551" customFormat="1" ht="12.75"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  <c r="AD333" s="79"/>
      <c r="AE333" s="79"/>
      <c r="AF333" s="79"/>
    </row>
    <row r="334" spans="17:32" s="551" customFormat="1" ht="12.75"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  <c r="AD334" s="79"/>
      <c r="AE334" s="79"/>
      <c r="AF334" s="79"/>
    </row>
    <row r="335" spans="17:32" s="551" customFormat="1" ht="12.75"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  <c r="AD335" s="79"/>
      <c r="AE335" s="79"/>
      <c r="AF335" s="79"/>
    </row>
    <row r="336" spans="17:32" s="551" customFormat="1" ht="12.75"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  <c r="AD336" s="79"/>
      <c r="AE336" s="79"/>
      <c r="AF336" s="79"/>
    </row>
    <row r="337" spans="17:32" s="551" customFormat="1" ht="12.75"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</row>
    <row r="338" spans="17:32" s="551" customFormat="1" ht="12.75"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  <c r="AD338" s="79"/>
      <c r="AE338" s="79"/>
      <c r="AF338" s="79"/>
    </row>
    <row r="339" spans="17:32" s="551" customFormat="1" ht="12.75"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  <c r="AD339" s="79"/>
      <c r="AE339" s="79"/>
      <c r="AF339" s="79"/>
    </row>
    <row r="340" spans="17:32" s="551" customFormat="1" ht="12.75"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  <c r="AD340" s="79"/>
      <c r="AE340" s="79"/>
      <c r="AF340" s="79"/>
    </row>
    <row r="341" spans="17:32" s="551" customFormat="1" ht="12.75"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  <c r="AD341" s="79"/>
      <c r="AE341" s="79"/>
      <c r="AF341" s="79"/>
    </row>
    <row r="342" spans="17:32" s="551" customFormat="1" ht="12.75"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  <c r="AD342" s="79"/>
      <c r="AE342" s="79"/>
      <c r="AF342" s="79"/>
    </row>
    <row r="343" spans="17:32" s="551" customFormat="1" ht="12.75"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  <c r="AD343" s="79"/>
      <c r="AE343" s="79"/>
      <c r="AF343" s="79"/>
    </row>
    <row r="344" spans="17:32" s="551" customFormat="1" ht="12.75"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  <c r="AD344" s="79"/>
      <c r="AE344" s="79"/>
      <c r="AF344" s="79"/>
    </row>
    <row r="345" spans="17:32" s="551" customFormat="1" ht="12.75"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  <c r="AD345" s="79"/>
      <c r="AE345" s="79"/>
      <c r="AF345" s="79"/>
    </row>
    <row r="346" spans="17:32" s="551" customFormat="1" ht="12.75"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  <c r="AD346" s="79"/>
      <c r="AE346" s="79"/>
      <c r="AF346" s="79"/>
    </row>
    <row r="347" spans="17:32" s="551" customFormat="1" ht="12.75"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</row>
    <row r="348" spans="17:32" s="551" customFormat="1" ht="12.75"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79"/>
      <c r="AD348" s="79"/>
      <c r="AE348" s="79"/>
      <c r="AF348" s="79"/>
    </row>
    <row r="349" spans="17:32" s="551" customFormat="1" ht="12.75"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79"/>
      <c r="AD349" s="79"/>
      <c r="AE349" s="79"/>
      <c r="AF349" s="79"/>
    </row>
    <row r="350" spans="17:32" s="551" customFormat="1" ht="12.75"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</row>
    <row r="351" spans="17:32" s="551" customFormat="1" ht="12.75"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  <c r="AD351" s="79"/>
      <c r="AE351" s="79"/>
      <c r="AF351" s="79"/>
    </row>
    <row r="352" spans="17:32" s="551" customFormat="1" ht="12.75"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</row>
    <row r="353" spans="17:32" s="551" customFormat="1" ht="12.75"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  <c r="AD353" s="79"/>
      <c r="AE353" s="79"/>
      <c r="AF353" s="79"/>
    </row>
    <row r="354" spans="17:32" s="551" customFormat="1" ht="12.75"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79"/>
      <c r="AD354" s="79"/>
      <c r="AE354" s="79"/>
      <c r="AF354" s="79"/>
    </row>
    <row r="355" spans="17:32" s="551" customFormat="1" ht="12.75"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  <c r="AD355" s="79"/>
      <c r="AE355" s="79"/>
      <c r="AF355" s="79"/>
    </row>
    <row r="356" spans="17:32" s="551" customFormat="1" ht="12.75"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  <c r="AD356" s="79"/>
      <c r="AE356" s="79"/>
      <c r="AF356" s="79"/>
    </row>
    <row r="357" spans="17:32" s="551" customFormat="1" ht="12.75"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79"/>
      <c r="AD357" s="79"/>
      <c r="AE357" s="79"/>
      <c r="AF357" s="79"/>
    </row>
    <row r="358" spans="17:32" s="551" customFormat="1" ht="12.75"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  <c r="AD358" s="79"/>
      <c r="AE358" s="79"/>
      <c r="AF358" s="79"/>
    </row>
    <row r="359" spans="17:32" s="551" customFormat="1" ht="12.75"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</row>
    <row r="360" spans="17:32" s="551" customFormat="1" ht="12.75"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  <c r="AD360" s="79"/>
      <c r="AE360" s="79"/>
      <c r="AF360" s="79"/>
    </row>
    <row r="361" spans="17:32" s="551" customFormat="1" ht="12.75"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</row>
    <row r="362" spans="17:32" s="551" customFormat="1" ht="12.75"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  <c r="AD362" s="79"/>
      <c r="AE362" s="79"/>
      <c r="AF362" s="79"/>
    </row>
    <row r="363" spans="17:32" s="551" customFormat="1" ht="12.75"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  <c r="AD363" s="79"/>
      <c r="AE363" s="79"/>
      <c r="AF363" s="79"/>
    </row>
    <row r="364" spans="17:32" s="551" customFormat="1" ht="12.75"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  <c r="AD364" s="79"/>
      <c r="AE364" s="79"/>
      <c r="AF364" s="79"/>
    </row>
    <row r="365" spans="17:32" s="551" customFormat="1" ht="12.75"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  <c r="AD365" s="79"/>
      <c r="AE365" s="79"/>
      <c r="AF365" s="79"/>
    </row>
    <row r="366" spans="17:32" s="551" customFormat="1" ht="12.75"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  <c r="AD366" s="79"/>
      <c r="AE366" s="79"/>
      <c r="AF366" s="79"/>
    </row>
    <row r="367" spans="17:32" s="551" customFormat="1" ht="12.75"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79"/>
      <c r="AD367" s="79"/>
      <c r="AE367" s="79"/>
      <c r="AF367" s="79"/>
    </row>
    <row r="368" spans="17:32" s="551" customFormat="1" ht="12.75"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</row>
    <row r="369" spans="17:32" s="551" customFormat="1" ht="12.75"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</row>
    <row r="370" spans="17:32" s="551" customFormat="1" ht="12.75"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  <c r="AD370" s="79"/>
      <c r="AE370" s="79"/>
      <c r="AF370" s="79"/>
    </row>
    <row r="371" spans="17:32" s="551" customFormat="1" ht="12.75"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  <c r="AD371" s="79"/>
      <c r="AE371" s="79"/>
      <c r="AF371" s="79"/>
    </row>
    <row r="372" spans="17:32" s="551" customFormat="1" ht="12.75"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  <c r="AD372" s="79"/>
      <c r="AE372" s="79"/>
      <c r="AF372" s="79"/>
    </row>
    <row r="373" spans="17:32" s="551" customFormat="1" ht="12.75"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  <c r="AD373" s="79"/>
      <c r="AE373" s="79"/>
      <c r="AF373" s="79"/>
    </row>
    <row r="374" spans="17:32" s="551" customFormat="1" ht="12.75"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  <c r="AD374" s="79"/>
      <c r="AE374" s="79"/>
      <c r="AF374" s="79"/>
    </row>
    <row r="375" spans="17:32" s="551" customFormat="1" ht="12.75"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</row>
    <row r="376" spans="17:32" s="551" customFormat="1" ht="12.75"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  <c r="AD376" s="79"/>
      <c r="AE376" s="79"/>
      <c r="AF376" s="79"/>
    </row>
    <row r="377" spans="17:32" s="551" customFormat="1" ht="12.75"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/>
    </row>
    <row r="378" spans="17:32" s="551" customFormat="1" ht="12.75"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</row>
    <row r="379" spans="17:32" s="551" customFormat="1" ht="12.75"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  <c r="AD379" s="79"/>
      <c r="AE379" s="79"/>
      <c r="AF379" s="79"/>
    </row>
    <row r="380" spans="17:32" s="551" customFormat="1" ht="12.75"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</row>
    <row r="381" spans="17:32" s="551" customFormat="1" ht="12.75"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  <c r="AD381" s="79"/>
      <c r="AE381" s="79"/>
      <c r="AF381" s="79"/>
    </row>
    <row r="382" spans="17:32" s="551" customFormat="1" ht="12.75"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  <c r="AD382" s="79"/>
      <c r="AE382" s="79"/>
      <c r="AF382" s="79"/>
    </row>
    <row r="383" spans="17:32" s="551" customFormat="1" ht="12.75"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  <c r="AD383" s="79"/>
      <c r="AE383" s="79"/>
      <c r="AF383" s="79"/>
    </row>
    <row r="384" spans="17:32" s="551" customFormat="1" ht="12.75"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/>
      <c r="AE384" s="79"/>
      <c r="AF384" s="79"/>
    </row>
    <row r="385" spans="17:32" s="551" customFormat="1" ht="12.75"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  <c r="AD385" s="79"/>
      <c r="AE385" s="79"/>
      <c r="AF385" s="79"/>
    </row>
    <row r="386" spans="17:32" s="551" customFormat="1" ht="12.75"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  <c r="AD386" s="79"/>
      <c r="AE386" s="79"/>
      <c r="AF386" s="79"/>
    </row>
    <row r="387" spans="17:32" s="551" customFormat="1" ht="12.75"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  <c r="AD387" s="79"/>
      <c r="AE387" s="79"/>
      <c r="AF387" s="79"/>
    </row>
    <row r="388" spans="17:32" s="551" customFormat="1" ht="12.75"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  <c r="AD388" s="79"/>
      <c r="AE388" s="79"/>
      <c r="AF388" s="79"/>
    </row>
    <row r="389" spans="17:32" s="551" customFormat="1" ht="12.75"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  <c r="AD389" s="79"/>
      <c r="AE389" s="79"/>
      <c r="AF389" s="79"/>
    </row>
    <row r="390" spans="17:32" s="551" customFormat="1" ht="12.75"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  <c r="AD390" s="79"/>
      <c r="AE390" s="79"/>
      <c r="AF390" s="79"/>
    </row>
    <row r="391" spans="17:32" s="551" customFormat="1" ht="12.75"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</row>
    <row r="392" spans="17:32" s="551" customFormat="1" ht="12.75"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  <c r="AD392" s="79"/>
      <c r="AE392" s="79"/>
      <c r="AF392" s="79"/>
    </row>
    <row r="393" spans="17:32" s="551" customFormat="1" ht="12.75"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/>
      <c r="AE393" s="79"/>
      <c r="AF393" s="79"/>
    </row>
    <row r="394" spans="17:32" s="551" customFormat="1" ht="12.75"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</row>
    <row r="395" spans="17:32" s="551" customFormat="1" ht="12.75"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  <c r="AD395" s="79"/>
      <c r="AE395" s="79"/>
      <c r="AF395" s="79"/>
    </row>
    <row r="396" spans="17:32" s="551" customFormat="1" ht="12.75"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</row>
    <row r="397" spans="17:32" s="551" customFormat="1" ht="12.75"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</row>
    <row r="398" spans="17:32" s="551" customFormat="1" ht="12.75"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  <c r="AD398" s="79"/>
      <c r="AE398" s="79"/>
      <c r="AF398" s="79"/>
    </row>
    <row r="399" spans="17:32" s="551" customFormat="1" ht="12.75"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</row>
    <row r="400" spans="17:32" s="551" customFormat="1" ht="12.75"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</row>
    <row r="401" spans="17:32" s="551" customFormat="1" ht="12.75"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79"/>
      <c r="AD401" s="79"/>
      <c r="AE401" s="79"/>
      <c r="AF401" s="79"/>
    </row>
    <row r="402" spans="17:32" s="551" customFormat="1" ht="12.75"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  <c r="AD402" s="79"/>
      <c r="AE402" s="79"/>
      <c r="AF402" s="79"/>
    </row>
    <row r="403" spans="17:32" s="551" customFormat="1" ht="12.75"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  <c r="AD403" s="79"/>
      <c r="AE403" s="79"/>
      <c r="AF403" s="79"/>
    </row>
    <row r="404" spans="17:32" s="551" customFormat="1" ht="12.75"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  <c r="AD404" s="79"/>
      <c r="AE404" s="79"/>
      <c r="AF404" s="79"/>
    </row>
    <row r="405" spans="17:32" s="551" customFormat="1" ht="12.75"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  <c r="AD405" s="79"/>
      <c r="AE405" s="79"/>
      <c r="AF405" s="79"/>
    </row>
    <row r="406" spans="17:32" s="551" customFormat="1" ht="12.75"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  <c r="AD406" s="79"/>
      <c r="AE406" s="79"/>
      <c r="AF406" s="79"/>
    </row>
    <row r="407" spans="17:32" s="551" customFormat="1" ht="12.75"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</row>
    <row r="408" spans="17:32" s="551" customFormat="1" ht="12.75"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  <c r="AD408" s="79"/>
      <c r="AE408" s="79"/>
      <c r="AF408" s="79"/>
    </row>
    <row r="409" spans="17:32" s="551" customFormat="1" ht="12.75"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  <c r="AD409" s="79"/>
      <c r="AE409" s="79"/>
      <c r="AF409" s="79"/>
    </row>
    <row r="410" spans="17:32" s="551" customFormat="1" ht="12.75"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</row>
    <row r="411" spans="17:32" s="551" customFormat="1" ht="12.75"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  <c r="AD411" s="79"/>
      <c r="AE411" s="79"/>
      <c r="AF411" s="79"/>
    </row>
    <row r="412" spans="17:32" s="551" customFormat="1" ht="12.75"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</row>
    <row r="413" spans="17:32" s="551" customFormat="1" ht="12.75"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</row>
    <row r="414" spans="17:32" s="551" customFormat="1" ht="12.75"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</row>
    <row r="415" spans="17:32" s="551" customFormat="1" ht="12.75"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</row>
    <row r="416" spans="17:32" s="551" customFormat="1" ht="12.75"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</row>
    <row r="417" spans="17:32" s="551" customFormat="1" ht="12.75"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</row>
    <row r="418" spans="17:32" s="551" customFormat="1" ht="12.75"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</row>
    <row r="419" spans="17:32" s="551" customFormat="1" ht="12.75"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</row>
    <row r="420" spans="17:32" s="551" customFormat="1" ht="12.75"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</row>
    <row r="421" spans="17:32" s="551" customFormat="1" ht="12.75"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79"/>
      <c r="AF421" s="79"/>
    </row>
    <row r="422" spans="17:32" s="551" customFormat="1" ht="12.75"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</row>
    <row r="423" spans="17:32" s="551" customFormat="1" ht="12.75"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</row>
    <row r="424" spans="17:32" s="551" customFormat="1" ht="12.75"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/>
    </row>
    <row r="425" spans="17:32" s="551" customFormat="1" ht="12.75"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</row>
    <row r="426" spans="17:32" s="551" customFormat="1" ht="12.75"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</row>
    <row r="427" spans="17:32" s="551" customFormat="1" ht="12.75"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</row>
    <row r="428" spans="17:32" s="551" customFormat="1" ht="12.75"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</row>
    <row r="429" spans="17:32" s="551" customFormat="1" ht="12.75"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</row>
    <row r="430" spans="17:32" s="551" customFormat="1" ht="12.75"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</row>
    <row r="431" spans="17:32" s="551" customFormat="1" ht="12.75"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</row>
    <row r="432" spans="17:32" s="551" customFormat="1" ht="12.75"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</row>
    <row r="433" spans="1:32" s="551" customFormat="1" ht="12.75"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</row>
    <row r="434" spans="1:32" s="551" customFormat="1" ht="12.75"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</row>
    <row r="435" spans="1:32" s="551" customFormat="1" ht="12.75"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</row>
    <row r="436" spans="1:32" s="551" customFormat="1" ht="12.75"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</row>
    <row r="437" spans="1:32" s="551" customFormat="1" ht="12.75"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</row>
    <row r="438" spans="1:32" s="551" customFormat="1" ht="12.75"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</row>
    <row r="439" spans="1:32" s="551" customFormat="1" ht="12.75"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</row>
    <row r="440" spans="1:32" s="551" customFormat="1" ht="12.75"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  <c r="AD440" s="79"/>
      <c r="AE440" s="79"/>
      <c r="AF440" s="79"/>
    </row>
    <row r="441" spans="1:32" s="2" customFormat="1">
      <c r="A441" s="551"/>
      <c r="B441" s="551"/>
      <c r="C441" s="551"/>
      <c r="D441" s="551"/>
      <c r="E441" s="551"/>
      <c r="F441" s="551"/>
      <c r="G441" s="551"/>
      <c r="H441" s="551"/>
      <c r="I441" s="551"/>
      <c r="J441" s="551"/>
      <c r="K441" s="551"/>
      <c r="L441" s="551"/>
      <c r="M441" s="551"/>
      <c r="N441" s="551"/>
      <c r="O441" s="551"/>
      <c r="P441" s="551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</row>
    <row r="442" spans="1:32" s="2" customFormat="1">
      <c r="A442" s="551"/>
      <c r="B442" s="551"/>
      <c r="C442" s="551"/>
      <c r="D442" s="551"/>
      <c r="E442" s="551"/>
      <c r="F442" s="551"/>
      <c r="G442" s="551"/>
      <c r="H442" s="551"/>
      <c r="I442" s="551"/>
      <c r="J442" s="551"/>
      <c r="K442" s="551"/>
      <c r="L442" s="551"/>
      <c r="M442" s="551"/>
      <c r="N442" s="551"/>
      <c r="O442" s="551"/>
      <c r="P442" s="551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</row>
    <row r="443" spans="1:32" s="2" customFormat="1">
      <c r="A443" s="551"/>
      <c r="B443" s="551"/>
      <c r="C443" s="551"/>
      <c r="D443" s="551"/>
      <c r="E443" s="551"/>
      <c r="F443" s="551"/>
      <c r="G443" s="551"/>
      <c r="H443" s="551"/>
      <c r="I443" s="551"/>
      <c r="J443" s="551"/>
      <c r="K443" s="551"/>
      <c r="L443" s="551"/>
      <c r="M443" s="551"/>
      <c r="N443" s="551"/>
      <c r="O443" s="551"/>
      <c r="P443" s="551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/>
      <c r="AC443" s="79"/>
      <c r="AD443" s="79"/>
      <c r="AE443" s="79"/>
      <c r="AF443" s="79"/>
    </row>
    <row r="444" spans="1:32" s="2" customFormat="1">
      <c r="A444" s="551"/>
      <c r="B444" s="551"/>
      <c r="C444" s="551"/>
      <c r="D444" s="551"/>
      <c r="E444" s="551"/>
      <c r="F444" s="551"/>
      <c r="G444" s="551"/>
      <c r="H444" s="551"/>
      <c r="I444" s="551"/>
      <c r="J444" s="551"/>
      <c r="K444" s="551"/>
      <c r="L444" s="551"/>
      <c r="M444" s="551"/>
      <c r="N444" s="551"/>
      <c r="O444" s="551"/>
      <c r="P444" s="551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  <c r="AD444" s="79"/>
      <c r="AE444" s="79"/>
      <c r="AF444" s="79"/>
    </row>
    <row r="445" spans="1:32" s="2" customFormat="1">
      <c r="A445" s="551"/>
      <c r="B445" s="551"/>
      <c r="C445" s="551"/>
      <c r="D445" s="551"/>
      <c r="E445" s="551"/>
      <c r="F445" s="551"/>
      <c r="G445" s="551"/>
      <c r="H445" s="551"/>
      <c r="I445" s="551"/>
      <c r="J445" s="551"/>
      <c r="K445" s="551"/>
      <c r="L445" s="551"/>
      <c r="M445" s="551"/>
      <c r="N445" s="551"/>
      <c r="O445" s="551"/>
      <c r="P445" s="551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  <c r="AD445" s="79"/>
      <c r="AE445" s="79"/>
      <c r="AF445" s="79"/>
    </row>
    <row r="446" spans="1:32" s="2" customFormat="1">
      <c r="A446" s="551"/>
      <c r="B446" s="551"/>
      <c r="C446" s="551"/>
      <c r="D446" s="551"/>
      <c r="E446" s="551"/>
      <c r="F446" s="551"/>
      <c r="G446" s="551"/>
      <c r="H446" s="551"/>
      <c r="I446" s="551"/>
      <c r="J446" s="551"/>
      <c r="K446" s="551"/>
      <c r="L446" s="551"/>
      <c r="M446" s="551"/>
      <c r="N446" s="551"/>
      <c r="O446" s="551"/>
      <c r="P446" s="551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79"/>
      <c r="AD446" s="79"/>
      <c r="AE446" s="79"/>
      <c r="AF446" s="79"/>
    </row>
    <row r="447" spans="1:32" s="2" customFormat="1">
      <c r="A447" s="551"/>
      <c r="B447" s="551"/>
      <c r="C447" s="551"/>
      <c r="D447" s="551"/>
      <c r="E447" s="551"/>
      <c r="F447" s="551"/>
      <c r="G447" s="551"/>
      <c r="H447" s="551"/>
      <c r="I447" s="551"/>
      <c r="J447" s="551"/>
      <c r="K447" s="551"/>
      <c r="L447" s="551"/>
      <c r="M447" s="551"/>
      <c r="N447" s="551"/>
      <c r="O447" s="551"/>
      <c r="P447" s="551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  <c r="AD447" s="79"/>
      <c r="AE447" s="79"/>
      <c r="AF447" s="79"/>
    </row>
    <row r="448" spans="1:32" s="2" customFormat="1">
      <c r="A448" s="551"/>
      <c r="B448" s="551"/>
      <c r="C448" s="551"/>
      <c r="D448" s="551"/>
      <c r="E448" s="551"/>
      <c r="F448" s="551"/>
      <c r="G448" s="551"/>
      <c r="H448" s="551"/>
      <c r="I448" s="551"/>
      <c r="J448" s="551"/>
      <c r="K448" s="551"/>
      <c r="L448" s="551"/>
      <c r="M448" s="551"/>
      <c r="N448" s="551"/>
      <c r="O448" s="551"/>
      <c r="P448" s="551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  <c r="AD448" s="79"/>
      <c r="AE448" s="79"/>
      <c r="AF448" s="79"/>
    </row>
    <row r="449" spans="1:32" s="2" customFormat="1">
      <c r="A449" s="551"/>
      <c r="B449" s="551"/>
      <c r="C449" s="551"/>
      <c r="D449" s="551"/>
      <c r="E449" s="551"/>
      <c r="F449" s="551"/>
      <c r="G449" s="551"/>
      <c r="H449" s="551"/>
      <c r="I449" s="551"/>
      <c r="J449" s="551"/>
      <c r="K449" s="551"/>
      <c r="L449" s="551"/>
      <c r="M449" s="551"/>
      <c r="N449" s="551"/>
      <c r="O449" s="551"/>
      <c r="P449" s="551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79"/>
      <c r="AD449" s="79"/>
      <c r="AE449" s="79"/>
      <c r="AF449" s="79"/>
    </row>
    <row r="450" spans="1:32" s="2" customFormat="1">
      <c r="A450" s="551"/>
      <c r="B450" s="551"/>
      <c r="C450" s="551"/>
      <c r="D450" s="551"/>
      <c r="E450" s="551"/>
      <c r="F450" s="551"/>
      <c r="G450" s="551"/>
      <c r="H450" s="551"/>
      <c r="I450" s="551"/>
      <c r="J450" s="551"/>
      <c r="K450" s="551"/>
      <c r="L450" s="551"/>
      <c r="M450" s="551"/>
      <c r="N450" s="551"/>
      <c r="O450" s="551"/>
      <c r="P450" s="551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  <c r="AD450" s="79"/>
      <c r="AE450" s="79"/>
      <c r="AF450" s="79"/>
    </row>
    <row r="451" spans="1:32" s="2" customFormat="1">
      <c r="A451" s="551"/>
      <c r="B451" s="551"/>
      <c r="C451" s="551"/>
      <c r="D451" s="551"/>
      <c r="E451" s="551"/>
      <c r="F451" s="551"/>
      <c r="G451" s="551"/>
      <c r="H451" s="551"/>
      <c r="I451" s="551"/>
      <c r="J451" s="551"/>
      <c r="K451" s="551"/>
      <c r="L451" s="551"/>
      <c r="M451" s="551"/>
      <c r="N451" s="551"/>
      <c r="O451" s="551"/>
      <c r="P451" s="551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79"/>
      <c r="AD451" s="79"/>
      <c r="AE451" s="79"/>
      <c r="AF451" s="79"/>
    </row>
    <row r="452" spans="1:32" s="2" customFormat="1">
      <c r="A452" s="551"/>
      <c r="B452" s="551"/>
      <c r="C452" s="551"/>
      <c r="D452" s="551"/>
      <c r="E452" s="551"/>
      <c r="F452" s="551"/>
      <c r="G452" s="551"/>
      <c r="H452" s="551"/>
      <c r="I452" s="551"/>
      <c r="J452" s="551"/>
      <c r="K452" s="551"/>
      <c r="L452" s="551"/>
      <c r="M452" s="551"/>
      <c r="N452" s="551"/>
      <c r="O452" s="551"/>
      <c r="P452" s="551"/>
      <c r="Q452" s="79"/>
      <c r="R452" s="79"/>
      <c r="S452" s="79"/>
      <c r="T452" s="79"/>
      <c r="U452" s="79"/>
      <c r="V452" s="79"/>
      <c r="W452" s="79"/>
      <c r="X452" s="79"/>
      <c r="Y452" s="79"/>
      <c r="Z452" s="79"/>
      <c r="AA452" s="79"/>
      <c r="AB452" s="79"/>
      <c r="AC452" s="79"/>
      <c r="AD452" s="79"/>
      <c r="AE452" s="79"/>
      <c r="AF452" s="79"/>
    </row>
    <row r="453" spans="1:32" s="2" customFormat="1">
      <c r="A453" s="551"/>
      <c r="B453" s="551"/>
      <c r="C453" s="551"/>
      <c r="D453" s="551"/>
      <c r="E453" s="551"/>
      <c r="F453" s="551"/>
      <c r="G453" s="551"/>
      <c r="H453" s="551"/>
      <c r="I453" s="551"/>
      <c r="J453" s="551"/>
      <c r="K453" s="551"/>
      <c r="L453" s="551"/>
      <c r="M453" s="551"/>
      <c r="N453" s="551"/>
      <c r="O453" s="551"/>
      <c r="P453" s="551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  <c r="AD453" s="79"/>
      <c r="AE453" s="79"/>
      <c r="AF453" s="79"/>
    </row>
    <row r="454" spans="1:32" s="2" customFormat="1">
      <c r="A454" s="551"/>
      <c r="B454" s="551"/>
      <c r="C454" s="551"/>
      <c r="D454" s="551"/>
      <c r="E454" s="551"/>
      <c r="F454" s="551"/>
      <c r="G454" s="551"/>
      <c r="H454" s="551"/>
      <c r="I454" s="551"/>
      <c r="J454" s="551"/>
      <c r="K454" s="551"/>
      <c r="L454" s="551"/>
      <c r="M454" s="551"/>
      <c r="N454" s="551"/>
      <c r="O454" s="551"/>
      <c r="P454" s="551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  <c r="AD454" s="79"/>
      <c r="AE454" s="79"/>
      <c r="AF454" s="79"/>
    </row>
    <row r="455" spans="1:32" s="2" customFormat="1">
      <c r="A455" s="551"/>
      <c r="B455" s="551"/>
      <c r="C455" s="551"/>
      <c r="D455" s="551"/>
      <c r="E455" s="551"/>
      <c r="F455" s="551"/>
      <c r="G455" s="551"/>
      <c r="H455" s="551"/>
      <c r="I455" s="551"/>
      <c r="J455" s="551"/>
      <c r="K455" s="551"/>
      <c r="L455" s="551"/>
      <c r="M455" s="551"/>
      <c r="N455" s="551"/>
      <c r="O455" s="551"/>
      <c r="P455" s="551"/>
      <c r="Q455" s="79"/>
      <c r="R455" s="79"/>
      <c r="S455" s="79"/>
      <c r="T455" s="79"/>
      <c r="U455" s="79"/>
      <c r="V455" s="79"/>
      <c r="W455" s="79"/>
      <c r="X455" s="79"/>
      <c r="Y455" s="79"/>
      <c r="Z455" s="79"/>
      <c r="AA455" s="79"/>
      <c r="AB455" s="79"/>
      <c r="AC455" s="79"/>
      <c r="AD455" s="79"/>
      <c r="AE455" s="79"/>
      <c r="AF455" s="79"/>
    </row>
    <row r="456" spans="1:32" s="2" customFormat="1">
      <c r="A456" s="551"/>
      <c r="B456" s="551"/>
      <c r="C456" s="551"/>
      <c r="D456" s="551"/>
      <c r="E456" s="551"/>
      <c r="F456" s="551"/>
      <c r="G456" s="551"/>
      <c r="H456" s="551"/>
      <c r="I456" s="551"/>
      <c r="J456" s="551"/>
      <c r="K456" s="551"/>
      <c r="L456" s="551"/>
      <c r="M456" s="551"/>
      <c r="N456" s="551"/>
      <c r="O456" s="551"/>
      <c r="P456" s="551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  <c r="AD456" s="79"/>
      <c r="AE456" s="79"/>
      <c r="AF456" s="79"/>
    </row>
    <row r="457" spans="1:32" s="2" customFormat="1">
      <c r="A457" s="551"/>
      <c r="B457" s="551"/>
      <c r="C457" s="551"/>
      <c r="D457" s="551"/>
      <c r="E457" s="551"/>
      <c r="F457" s="551"/>
      <c r="G457" s="551"/>
      <c r="H457" s="551"/>
      <c r="I457" s="551"/>
      <c r="J457" s="551"/>
      <c r="K457" s="551"/>
      <c r="L457" s="551"/>
      <c r="M457" s="551"/>
      <c r="N457" s="551"/>
      <c r="O457" s="551"/>
      <c r="P457" s="551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  <c r="AD457" s="79"/>
      <c r="AE457" s="79"/>
      <c r="AF457" s="79"/>
    </row>
    <row r="458" spans="1:32" s="2" customFormat="1">
      <c r="A458" s="551"/>
      <c r="B458" s="551"/>
      <c r="C458" s="551"/>
      <c r="D458" s="551"/>
      <c r="E458" s="551"/>
      <c r="F458" s="551"/>
      <c r="G458" s="551"/>
      <c r="H458" s="551"/>
      <c r="I458" s="551"/>
      <c r="J458" s="551"/>
      <c r="K458" s="551"/>
      <c r="L458" s="551"/>
      <c r="M458" s="551"/>
      <c r="N458" s="551"/>
      <c r="O458" s="551"/>
      <c r="P458" s="551"/>
      <c r="Q458" s="79"/>
      <c r="R458" s="79"/>
      <c r="S458" s="79"/>
      <c r="T458" s="79"/>
      <c r="U458" s="79"/>
      <c r="V458" s="79"/>
      <c r="W458" s="79"/>
      <c r="X458" s="79"/>
      <c r="Y458" s="79"/>
      <c r="Z458" s="79"/>
      <c r="AA458" s="79"/>
      <c r="AB458" s="79"/>
      <c r="AC458" s="79"/>
      <c r="AD458" s="79"/>
      <c r="AE458" s="79"/>
      <c r="AF458" s="79"/>
    </row>
    <row r="459" spans="1:32" s="2" customFormat="1">
      <c r="A459" s="551"/>
      <c r="B459" s="551"/>
      <c r="C459" s="551"/>
      <c r="D459" s="551"/>
      <c r="E459" s="551"/>
      <c r="F459" s="551"/>
      <c r="G459" s="551"/>
      <c r="H459" s="551"/>
      <c r="I459" s="551"/>
      <c r="J459" s="551"/>
      <c r="K459" s="551"/>
      <c r="L459" s="551"/>
      <c r="M459" s="551"/>
      <c r="N459" s="551"/>
      <c r="O459" s="551"/>
      <c r="P459" s="551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79"/>
      <c r="AD459" s="79"/>
      <c r="AE459" s="79"/>
      <c r="AF459" s="79"/>
    </row>
    <row r="460" spans="1:32" s="2" customFormat="1">
      <c r="A460" s="551"/>
      <c r="B460" s="551"/>
      <c r="C460" s="551"/>
      <c r="D460" s="551"/>
      <c r="E460" s="551"/>
      <c r="F460" s="551"/>
      <c r="G460" s="551"/>
      <c r="H460" s="551"/>
      <c r="I460" s="551"/>
      <c r="J460" s="551"/>
      <c r="K460" s="551"/>
      <c r="L460" s="551"/>
      <c r="M460" s="551"/>
      <c r="N460" s="551"/>
      <c r="O460" s="551"/>
      <c r="P460" s="551"/>
      <c r="Q460" s="79"/>
      <c r="R460" s="79"/>
      <c r="S460" s="79"/>
      <c r="T460" s="79"/>
      <c r="U460" s="79"/>
      <c r="V460" s="79"/>
      <c r="W460" s="79"/>
      <c r="X460" s="79"/>
      <c r="Y460" s="79"/>
      <c r="Z460" s="79"/>
      <c r="AA460" s="79"/>
      <c r="AB460" s="79"/>
      <c r="AC460" s="79"/>
      <c r="AD460" s="79"/>
      <c r="AE460" s="79"/>
      <c r="AF460" s="79"/>
    </row>
    <row r="461" spans="1:32" s="2" customFormat="1">
      <c r="A461" s="551"/>
      <c r="B461" s="551"/>
      <c r="C461" s="551"/>
      <c r="D461" s="551"/>
      <c r="E461" s="551"/>
      <c r="F461" s="551"/>
      <c r="G461" s="551"/>
      <c r="H461" s="551"/>
      <c r="I461" s="551"/>
      <c r="J461" s="551"/>
      <c r="K461" s="551"/>
      <c r="L461" s="551"/>
      <c r="M461" s="551"/>
      <c r="N461" s="551"/>
      <c r="O461" s="551"/>
      <c r="P461" s="551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/>
      <c r="AC461" s="79"/>
      <c r="AD461" s="79"/>
      <c r="AE461" s="79"/>
      <c r="AF461" s="79"/>
    </row>
    <row r="462" spans="1:32" s="2" customFormat="1">
      <c r="A462" s="551"/>
      <c r="B462" s="551"/>
      <c r="C462" s="551"/>
      <c r="D462" s="551"/>
      <c r="E462" s="551"/>
      <c r="F462" s="551"/>
      <c r="G462" s="551"/>
      <c r="H462" s="551"/>
      <c r="I462" s="551"/>
      <c r="J462" s="551"/>
      <c r="K462" s="551"/>
      <c r="L462" s="551"/>
      <c r="M462" s="551"/>
      <c r="N462" s="551"/>
      <c r="O462" s="551"/>
      <c r="P462" s="551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79"/>
      <c r="AD462" s="79"/>
      <c r="AE462" s="79"/>
      <c r="AF462" s="79"/>
    </row>
    <row r="463" spans="1:32" s="2" customFormat="1">
      <c r="A463" s="551"/>
      <c r="B463" s="551"/>
      <c r="C463" s="551"/>
      <c r="D463" s="551"/>
      <c r="E463" s="551"/>
      <c r="F463" s="551"/>
      <c r="G463" s="551"/>
      <c r="H463" s="551"/>
      <c r="I463" s="551"/>
      <c r="J463" s="551"/>
      <c r="K463" s="551"/>
      <c r="L463" s="551"/>
      <c r="M463" s="551"/>
      <c r="N463" s="551"/>
      <c r="O463" s="551"/>
      <c r="P463" s="551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  <c r="AD463" s="79"/>
      <c r="AE463" s="79"/>
      <c r="AF463" s="79"/>
    </row>
    <row r="464" spans="1:32" s="2" customFormat="1">
      <c r="A464" s="551"/>
      <c r="B464" s="551"/>
      <c r="C464" s="551"/>
      <c r="D464" s="551"/>
      <c r="E464" s="551"/>
      <c r="F464" s="551"/>
      <c r="G464" s="551"/>
      <c r="H464" s="551"/>
      <c r="I464" s="551"/>
      <c r="J464" s="551"/>
      <c r="K464" s="551"/>
      <c r="L464" s="551"/>
      <c r="M464" s="551"/>
      <c r="N464" s="551"/>
      <c r="O464" s="551"/>
      <c r="P464" s="551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  <c r="AD464" s="79"/>
      <c r="AE464" s="79"/>
      <c r="AF464" s="79"/>
    </row>
    <row r="465" spans="1:32" s="2" customFormat="1">
      <c r="A465" s="551"/>
      <c r="B465" s="551"/>
      <c r="C465" s="551"/>
      <c r="D465" s="551"/>
      <c r="E465" s="551"/>
      <c r="F465" s="551"/>
      <c r="G465" s="551"/>
      <c r="H465" s="551"/>
      <c r="I465" s="551"/>
      <c r="J465" s="551"/>
      <c r="K465" s="551"/>
      <c r="L465" s="551"/>
      <c r="M465" s="551"/>
      <c r="N465" s="551"/>
      <c r="O465" s="551"/>
      <c r="P465" s="551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  <c r="AD465" s="79"/>
      <c r="AE465" s="79"/>
      <c r="AF465" s="79"/>
    </row>
    <row r="466" spans="1:32" s="2" customFormat="1">
      <c r="A466" s="551"/>
      <c r="B466" s="551"/>
      <c r="C466" s="551"/>
      <c r="D466" s="551"/>
      <c r="E466" s="551"/>
      <c r="F466" s="551"/>
      <c r="G466" s="551"/>
      <c r="H466" s="551"/>
      <c r="I466" s="551"/>
      <c r="J466" s="551"/>
      <c r="K466" s="551"/>
      <c r="L466" s="551"/>
      <c r="M466" s="551"/>
      <c r="N466" s="551"/>
      <c r="O466" s="551"/>
      <c r="P466" s="551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  <c r="AD466" s="79"/>
      <c r="AE466" s="79"/>
      <c r="AF466" s="79"/>
    </row>
    <row r="467" spans="1:32" s="2" customFormat="1">
      <c r="A467" s="551"/>
      <c r="B467" s="551"/>
      <c r="C467" s="551"/>
      <c r="D467" s="551"/>
      <c r="E467" s="551"/>
      <c r="F467" s="551"/>
      <c r="G467" s="551"/>
      <c r="H467" s="551"/>
      <c r="I467" s="551"/>
      <c r="J467" s="551"/>
      <c r="K467" s="551"/>
      <c r="L467" s="551"/>
      <c r="M467" s="551"/>
      <c r="N467" s="551"/>
      <c r="O467" s="551"/>
      <c r="P467" s="551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  <c r="AD467" s="79"/>
      <c r="AE467" s="79"/>
      <c r="AF467" s="79"/>
    </row>
    <row r="468" spans="1:32" s="2" customFormat="1">
      <c r="A468" s="551"/>
      <c r="B468" s="551"/>
      <c r="C468" s="551"/>
      <c r="D468" s="551"/>
      <c r="E468" s="551"/>
      <c r="F468" s="551"/>
      <c r="G468" s="551"/>
      <c r="H468" s="551"/>
      <c r="I468" s="551"/>
      <c r="J468" s="551"/>
      <c r="K468" s="551"/>
      <c r="L468" s="551"/>
      <c r="M468" s="551"/>
      <c r="N468" s="551"/>
      <c r="O468" s="551"/>
      <c r="P468" s="551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  <c r="AD468" s="79"/>
      <c r="AE468" s="79"/>
      <c r="AF468" s="79"/>
    </row>
    <row r="469" spans="1:32" s="2" customFormat="1">
      <c r="A469" s="551"/>
      <c r="B469" s="551"/>
      <c r="C469" s="551"/>
      <c r="D469" s="551"/>
      <c r="E469" s="551"/>
      <c r="F469" s="551"/>
      <c r="G469" s="551"/>
      <c r="H469" s="551"/>
      <c r="I469" s="551"/>
      <c r="J469" s="551"/>
      <c r="K469" s="551"/>
      <c r="L469" s="551"/>
      <c r="M469" s="551"/>
      <c r="N469" s="551"/>
      <c r="O469" s="551"/>
      <c r="P469" s="551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  <c r="AD469" s="79"/>
      <c r="AE469" s="79"/>
      <c r="AF469" s="79"/>
    </row>
    <row r="470" spans="1:32" s="2" customFormat="1">
      <c r="A470" s="551"/>
      <c r="B470" s="551"/>
      <c r="C470" s="551"/>
      <c r="D470" s="551"/>
      <c r="E470" s="551"/>
      <c r="F470" s="551"/>
      <c r="G470" s="551"/>
      <c r="H470" s="551"/>
      <c r="I470" s="551"/>
      <c r="J470" s="551"/>
      <c r="K470" s="551"/>
      <c r="L470" s="551"/>
      <c r="M470" s="551"/>
      <c r="N470" s="551"/>
      <c r="O470" s="551"/>
      <c r="P470" s="551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  <c r="AD470" s="79"/>
      <c r="AE470" s="79"/>
      <c r="AF470" s="79"/>
    </row>
    <row r="471" spans="1:32" s="2" customFormat="1">
      <c r="A471" s="551"/>
      <c r="B471" s="551"/>
      <c r="C471" s="551"/>
      <c r="D471" s="551"/>
      <c r="E471" s="551"/>
      <c r="F471" s="551"/>
      <c r="G471" s="551"/>
      <c r="H471" s="551"/>
      <c r="I471" s="551"/>
      <c r="J471" s="551"/>
      <c r="K471" s="551"/>
      <c r="L471" s="551"/>
      <c r="M471" s="551"/>
      <c r="N471" s="551"/>
      <c r="O471" s="551"/>
      <c r="P471" s="551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  <c r="AD471" s="79"/>
      <c r="AE471" s="79"/>
      <c r="AF471" s="79"/>
    </row>
    <row r="472" spans="1:32" s="2" customFormat="1">
      <c r="A472" s="551"/>
      <c r="B472" s="551"/>
      <c r="C472" s="551"/>
      <c r="D472" s="551"/>
      <c r="E472" s="551"/>
      <c r="F472" s="551"/>
      <c r="G472" s="551"/>
      <c r="H472" s="551"/>
      <c r="I472" s="551"/>
      <c r="J472" s="551"/>
      <c r="K472" s="551"/>
      <c r="L472" s="551"/>
      <c r="M472" s="551"/>
      <c r="N472" s="551"/>
      <c r="O472" s="551"/>
      <c r="P472" s="551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  <c r="AD472" s="79"/>
      <c r="AE472" s="79"/>
      <c r="AF472" s="79"/>
    </row>
    <row r="473" spans="1:32" s="2" customFormat="1">
      <c r="A473" s="551"/>
      <c r="B473" s="551"/>
      <c r="C473" s="551"/>
      <c r="D473" s="551"/>
      <c r="E473" s="551"/>
      <c r="F473" s="551"/>
      <c r="G473" s="551"/>
      <c r="H473" s="551"/>
      <c r="I473" s="551"/>
      <c r="J473" s="551"/>
      <c r="K473" s="551"/>
      <c r="L473" s="551"/>
      <c r="M473" s="551"/>
      <c r="N473" s="551"/>
      <c r="O473" s="551"/>
      <c r="P473" s="551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  <c r="AD473" s="79"/>
      <c r="AE473" s="79"/>
      <c r="AF473" s="79"/>
    </row>
    <row r="474" spans="1:32" s="2" customFormat="1">
      <c r="A474" s="551"/>
      <c r="B474" s="551"/>
      <c r="C474" s="551"/>
      <c r="D474" s="551"/>
      <c r="E474" s="551"/>
      <c r="F474" s="551"/>
      <c r="G474" s="551"/>
      <c r="H474" s="551"/>
      <c r="I474" s="551"/>
      <c r="J474" s="551"/>
      <c r="K474" s="551"/>
      <c r="L474" s="551"/>
      <c r="M474" s="551"/>
      <c r="N474" s="551"/>
      <c r="O474" s="551"/>
      <c r="P474" s="551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  <c r="AD474" s="79"/>
      <c r="AE474" s="79"/>
      <c r="AF474" s="79"/>
    </row>
    <row r="475" spans="1:32" s="2" customFormat="1">
      <c r="A475" s="551"/>
      <c r="B475" s="551"/>
      <c r="C475" s="551"/>
      <c r="D475" s="551"/>
      <c r="E475" s="551"/>
      <c r="F475" s="551"/>
      <c r="G475" s="551"/>
      <c r="H475" s="551"/>
      <c r="I475" s="551"/>
      <c r="J475" s="551"/>
      <c r="K475" s="551"/>
      <c r="L475" s="551"/>
      <c r="M475" s="551"/>
      <c r="N475" s="551"/>
      <c r="O475" s="551"/>
      <c r="P475" s="551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  <c r="AD475" s="79"/>
      <c r="AE475" s="79"/>
      <c r="AF475" s="79"/>
    </row>
    <row r="476" spans="1:32" s="2" customFormat="1">
      <c r="A476" s="551"/>
      <c r="B476" s="551"/>
      <c r="C476" s="551"/>
      <c r="D476" s="551"/>
      <c r="E476" s="551"/>
      <c r="F476" s="551"/>
      <c r="G476" s="551"/>
      <c r="H476" s="551"/>
      <c r="I476" s="551"/>
      <c r="J476" s="551"/>
      <c r="K476" s="551"/>
      <c r="L476" s="551"/>
      <c r="M476" s="551"/>
      <c r="N476" s="551"/>
      <c r="O476" s="551"/>
      <c r="P476" s="551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  <c r="AD476" s="79"/>
      <c r="AE476" s="79"/>
      <c r="AF476" s="79"/>
    </row>
    <row r="477" spans="1:32" s="2" customFormat="1">
      <c r="A477" s="551"/>
      <c r="B477" s="551"/>
      <c r="C477" s="551"/>
      <c r="D477" s="551"/>
      <c r="E477" s="551"/>
      <c r="F477" s="551"/>
      <c r="G477" s="551"/>
      <c r="H477" s="551"/>
      <c r="I477" s="551"/>
      <c r="J477" s="551"/>
      <c r="K477" s="551"/>
      <c r="L477" s="551"/>
      <c r="M477" s="551"/>
      <c r="N477" s="551"/>
      <c r="O477" s="551"/>
      <c r="P477" s="551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  <c r="AD477" s="79"/>
      <c r="AE477" s="79"/>
      <c r="AF477" s="79"/>
    </row>
    <row r="478" spans="1:32" s="2" customFormat="1">
      <c r="A478" s="551"/>
      <c r="B478" s="551"/>
      <c r="C478" s="551"/>
      <c r="D478" s="551"/>
      <c r="E478" s="551"/>
      <c r="F478" s="551"/>
      <c r="G478" s="551"/>
      <c r="H478" s="551"/>
      <c r="I478" s="551"/>
      <c r="J478" s="551"/>
      <c r="K478" s="551"/>
      <c r="L478" s="551"/>
      <c r="M478" s="551"/>
      <c r="N478" s="551"/>
      <c r="O478" s="551"/>
      <c r="P478" s="551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  <c r="AD478" s="79"/>
      <c r="AE478" s="79"/>
      <c r="AF478" s="79"/>
    </row>
    <row r="479" spans="1:32" s="2" customFormat="1">
      <c r="A479" s="551"/>
      <c r="B479" s="551"/>
      <c r="C479" s="551"/>
      <c r="D479" s="551"/>
      <c r="E479" s="551"/>
      <c r="F479" s="551"/>
      <c r="G479" s="551"/>
      <c r="H479" s="551"/>
      <c r="I479" s="551"/>
      <c r="J479" s="551"/>
      <c r="K479" s="551"/>
      <c r="L479" s="551"/>
      <c r="M479" s="551"/>
      <c r="N479" s="551"/>
      <c r="O479" s="551"/>
      <c r="P479" s="551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  <c r="AD479" s="79"/>
      <c r="AE479" s="79"/>
      <c r="AF479" s="79"/>
    </row>
    <row r="480" spans="1:32" s="2" customFormat="1">
      <c r="A480" s="551"/>
      <c r="B480" s="551"/>
      <c r="C480" s="551"/>
      <c r="D480" s="551"/>
      <c r="E480" s="551"/>
      <c r="F480" s="551"/>
      <c r="G480" s="551"/>
      <c r="H480" s="551"/>
      <c r="I480" s="551"/>
      <c r="J480" s="551"/>
      <c r="K480" s="551"/>
      <c r="L480" s="551"/>
      <c r="M480" s="551"/>
      <c r="N480" s="551"/>
      <c r="O480" s="551"/>
      <c r="P480" s="551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  <c r="AD480" s="79"/>
      <c r="AE480" s="79"/>
      <c r="AF480" s="79"/>
    </row>
    <row r="481" spans="1:32" s="2" customFormat="1">
      <c r="A481" s="551"/>
      <c r="B481" s="551"/>
      <c r="C481" s="551"/>
      <c r="D481" s="551"/>
      <c r="E481" s="551"/>
      <c r="F481" s="551"/>
      <c r="G481" s="551"/>
      <c r="H481" s="551"/>
      <c r="I481" s="551"/>
      <c r="J481" s="551"/>
      <c r="K481" s="551"/>
      <c r="L481" s="551"/>
      <c r="M481" s="551"/>
      <c r="N481" s="551"/>
      <c r="O481" s="551"/>
      <c r="P481" s="551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  <c r="AD481" s="79"/>
      <c r="AE481" s="79"/>
      <c r="AF481" s="79"/>
    </row>
    <row r="482" spans="1:32" s="2" customFormat="1">
      <c r="A482" s="551"/>
      <c r="B482" s="551"/>
      <c r="C482" s="551"/>
      <c r="D482" s="551"/>
      <c r="E482" s="551"/>
      <c r="F482" s="551"/>
      <c r="G482" s="551"/>
      <c r="H482" s="551"/>
      <c r="I482" s="551"/>
      <c r="J482" s="551"/>
      <c r="K482" s="551"/>
      <c r="L482" s="551"/>
      <c r="M482" s="551"/>
      <c r="N482" s="551"/>
      <c r="O482" s="551"/>
      <c r="P482" s="551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  <c r="AD482" s="79"/>
      <c r="AE482" s="79"/>
      <c r="AF482" s="79"/>
    </row>
    <row r="483" spans="1:32" s="2" customFormat="1">
      <c r="A483" s="551"/>
      <c r="B483" s="551"/>
      <c r="C483" s="551"/>
      <c r="D483" s="551"/>
      <c r="E483" s="551"/>
      <c r="F483" s="551"/>
      <c r="G483" s="551"/>
      <c r="H483" s="551"/>
      <c r="I483" s="551"/>
      <c r="J483" s="551"/>
      <c r="K483" s="551"/>
      <c r="L483" s="551"/>
      <c r="M483" s="551"/>
      <c r="N483" s="551"/>
      <c r="O483" s="551"/>
      <c r="P483" s="551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  <c r="AD483" s="79"/>
      <c r="AE483" s="79"/>
      <c r="AF483" s="79"/>
    </row>
    <row r="484" spans="1:32" s="2" customFormat="1">
      <c r="A484" s="551"/>
      <c r="B484" s="551"/>
      <c r="C484" s="551"/>
      <c r="D484" s="551"/>
      <c r="E484" s="551"/>
      <c r="F484" s="551"/>
      <c r="G484" s="551"/>
      <c r="H484" s="551"/>
      <c r="I484" s="551"/>
      <c r="J484" s="551"/>
      <c r="K484" s="551"/>
      <c r="L484" s="551"/>
      <c r="M484" s="551"/>
      <c r="N484" s="551"/>
      <c r="O484" s="551"/>
      <c r="P484" s="551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  <c r="AD484" s="79"/>
      <c r="AE484" s="79"/>
      <c r="AF484" s="79"/>
    </row>
    <row r="485" spans="1:32" s="2" customFormat="1">
      <c r="A485" s="551"/>
      <c r="B485" s="551"/>
      <c r="C485" s="551"/>
      <c r="D485" s="551"/>
      <c r="E485" s="551"/>
      <c r="F485" s="551"/>
      <c r="G485" s="551"/>
      <c r="H485" s="551"/>
      <c r="I485" s="551"/>
      <c r="J485" s="551"/>
      <c r="K485" s="551"/>
      <c r="L485" s="551"/>
      <c r="M485" s="551"/>
      <c r="N485" s="551"/>
      <c r="O485" s="551"/>
      <c r="P485" s="551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  <c r="AD485" s="79"/>
      <c r="AE485" s="79"/>
      <c r="AF485" s="79"/>
    </row>
    <row r="486" spans="1:32" s="2" customFormat="1">
      <c r="A486" s="551"/>
      <c r="B486" s="551"/>
      <c r="C486" s="551"/>
      <c r="D486" s="551"/>
      <c r="E486" s="551"/>
      <c r="F486" s="551"/>
      <c r="G486" s="551"/>
      <c r="H486" s="551"/>
      <c r="I486" s="551"/>
      <c r="J486" s="551"/>
      <c r="K486" s="551"/>
      <c r="L486" s="551"/>
      <c r="M486" s="551"/>
      <c r="N486" s="551"/>
      <c r="O486" s="551"/>
      <c r="P486" s="551"/>
      <c r="Q486" s="79"/>
      <c r="R486" s="79"/>
      <c r="S486" s="79"/>
      <c r="T486" s="79"/>
      <c r="U486" s="79"/>
      <c r="V486" s="79"/>
      <c r="W486" s="79"/>
      <c r="X486" s="79"/>
      <c r="Y486" s="79"/>
      <c r="Z486" s="79"/>
      <c r="AA486" s="79"/>
      <c r="AB486" s="79"/>
      <c r="AC486" s="79"/>
      <c r="AD486" s="79"/>
      <c r="AE486" s="79"/>
      <c r="AF486" s="79"/>
    </row>
    <row r="487" spans="1:32" s="2" customFormat="1">
      <c r="A487" s="551"/>
      <c r="B487" s="551"/>
      <c r="C487" s="551"/>
      <c r="D487" s="551"/>
      <c r="E487" s="551"/>
      <c r="F487" s="551"/>
      <c r="G487" s="551"/>
      <c r="H487" s="551"/>
      <c r="I487" s="551"/>
      <c r="J487" s="551"/>
      <c r="K487" s="551"/>
      <c r="L487" s="551"/>
      <c r="M487" s="551"/>
      <c r="N487" s="551"/>
      <c r="O487" s="551"/>
      <c r="P487" s="551"/>
      <c r="Q487" s="79"/>
      <c r="R487" s="79"/>
      <c r="S487" s="79"/>
      <c r="T487" s="79"/>
      <c r="U487" s="79"/>
      <c r="V487" s="79"/>
      <c r="W487" s="79"/>
      <c r="X487" s="79"/>
      <c r="Y487" s="79"/>
      <c r="Z487" s="79"/>
      <c r="AA487" s="79"/>
      <c r="AB487" s="79"/>
      <c r="AC487" s="79"/>
      <c r="AD487" s="79"/>
      <c r="AE487" s="79"/>
      <c r="AF487" s="79"/>
    </row>
    <row r="488" spans="1:32" s="2" customFormat="1">
      <c r="A488" s="551"/>
      <c r="B488" s="551"/>
      <c r="C488" s="551"/>
      <c r="D488" s="551"/>
      <c r="E488" s="551"/>
      <c r="F488" s="551"/>
      <c r="G488" s="551"/>
      <c r="H488" s="551"/>
      <c r="I488" s="551"/>
      <c r="J488" s="551"/>
      <c r="K488" s="551"/>
      <c r="L488" s="551"/>
      <c r="M488" s="551"/>
      <c r="N488" s="551"/>
      <c r="O488" s="551"/>
      <c r="P488" s="551"/>
      <c r="Q488" s="79"/>
      <c r="R488" s="79"/>
      <c r="S488" s="79"/>
      <c r="T488" s="79"/>
      <c r="U488" s="79"/>
      <c r="V488" s="79"/>
      <c r="W488" s="79"/>
      <c r="X488" s="79"/>
      <c r="Y488" s="79"/>
      <c r="Z488" s="79"/>
      <c r="AA488" s="79"/>
      <c r="AB488" s="79"/>
      <c r="AC488" s="79"/>
      <c r="AD488" s="79"/>
      <c r="AE488" s="79"/>
      <c r="AF488" s="79"/>
    </row>
    <row r="489" spans="1:32" s="2" customFormat="1">
      <c r="A489" s="551"/>
      <c r="B489" s="551"/>
      <c r="C489" s="551"/>
      <c r="D489" s="551"/>
      <c r="E489" s="551"/>
      <c r="F489" s="551"/>
      <c r="G489" s="551"/>
      <c r="H489" s="551"/>
      <c r="I489" s="551"/>
      <c r="J489" s="551"/>
      <c r="K489" s="551"/>
      <c r="L489" s="551"/>
      <c r="M489" s="551"/>
      <c r="N489" s="551"/>
      <c r="O489" s="551"/>
      <c r="P489" s="551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/>
      <c r="AC489" s="79"/>
      <c r="AD489" s="79"/>
      <c r="AE489" s="79"/>
      <c r="AF489" s="79"/>
    </row>
    <row r="490" spans="1:32" s="2" customFormat="1">
      <c r="A490" s="551"/>
      <c r="B490" s="551"/>
      <c r="C490" s="551"/>
      <c r="D490" s="551"/>
      <c r="E490" s="551"/>
      <c r="F490" s="551"/>
      <c r="G490" s="551"/>
      <c r="H490" s="551"/>
      <c r="I490" s="551"/>
      <c r="J490" s="551"/>
      <c r="K490" s="551"/>
      <c r="L490" s="551"/>
      <c r="M490" s="551"/>
      <c r="N490" s="551"/>
      <c r="O490" s="551"/>
      <c r="P490" s="551"/>
      <c r="Q490" s="79"/>
      <c r="R490" s="79"/>
      <c r="S490" s="79"/>
      <c r="T490" s="79"/>
      <c r="U490" s="79"/>
      <c r="V490" s="79"/>
      <c r="W490" s="79"/>
      <c r="X490" s="79"/>
      <c r="Y490" s="79"/>
      <c r="Z490" s="79"/>
      <c r="AA490" s="79"/>
      <c r="AB490" s="79"/>
      <c r="AC490" s="79"/>
      <c r="AD490" s="79"/>
      <c r="AE490" s="79"/>
      <c r="AF490" s="79"/>
    </row>
    <row r="491" spans="1:32" s="2" customFormat="1">
      <c r="A491" s="551"/>
      <c r="B491" s="551"/>
      <c r="C491" s="551"/>
      <c r="D491" s="551"/>
      <c r="E491" s="551"/>
      <c r="F491" s="551"/>
      <c r="G491" s="551"/>
      <c r="H491" s="551"/>
      <c r="I491" s="551"/>
      <c r="J491" s="551"/>
      <c r="K491" s="551"/>
      <c r="L491" s="551"/>
      <c r="M491" s="551"/>
      <c r="N491" s="551"/>
      <c r="O491" s="551"/>
      <c r="P491" s="551"/>
      <c r="Q491" s="79"/>
      <c r="R491" s="79"/>
      <c r="S491" s="79"/>
      <c r="T491" s="79"/>
      <c r="U491" s="79"/>
      <c r="V491" s="79"/>
      <c r="W491" s="79"/>
      <c r="X491" s="79"/>
      <c r="Y491" s="79"/>
      <c r="Z491" s="79"/>
      <c r="AA491" s="79"/>
      <c r="AB491" s="79"/>
      <c r="AC491" s="79"/>
      <c r="AD491" s="79"/>
      <c r="AE491" s="79"/>
      <c r="AF491" s="79"/>
    </row>
    <row r="492" spans="1:32" s="2" customFormat="1">
      <c r="A492" s="551"/>
      <c r="B492" s="551"/>
      <c r="C492" s="551"/>
      <c r="D492" s="551"/>
      <c r="E492" s="551"/>
      <c r="F492" s="551"/>
      <c r="G492" s="551"/>
      <c r="H492" s="551"/>
      <c r="I492" s="551"/>
      <c r="J492" s="551"/>
      <c r="K492" s="551"/>
      <c r="L492" s="551"/>
      <c r="M492" s="551"/>
      <c r="N492" s="551"/>
      <c r="O492" s="551"/>
      <c r="P492" s="551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79"/>
      <c r="AD492" s="79"/>
      <c r="AE492" s="79"/>
      <c r="AF492" s="79"/>
    </row>
    <row r="493" spans="1:32" s="2" customFormat="1">
      <c r="A493" s="551"/>
      <c r="B493" s="551"/>
      <c r="C493" s="551"/>
      <c r="D493" s="551"/>
      <c r="E493" s="551"/>
      <c r="F493" s="551"/>
      <c r="G493" s="551"/>
      <c r="H493" s="551"/>
      <c r="I493" s="551"/>
      <c r="J493" s="551"/>
      <c r="K493" s="551"/>
      <c r="L493" s="551"/>
      <c r="M493" s="551"/>
      <c r="N493" s="551"/>
      <c r="O493" s="551"/>
      <c r="P493" s="551"/>
      <c r="Q493" s="79"/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79"/>
      <c r="AD493" s="79"/>
      <c r="AE493" s="79"/>
      <c r="AF493" s="79"/>
    </row>
    <row r="494" spans="1:32" s="2" customFormat="1">
      <c r="A494" s="551"/>
      <c r="B494" s="551"/>
      <c r="C494" s="551"/>
      <c r="D494" s="551"/>
      <c r="E494" s="551"/>
      <c r="F494" s="551"/>
      <c r="G494" s="551"/>
      <c r="H494" s="551"/>
      <c r="I494" s="551"/>
      <c r="J494" s="551"/>
      <c r="K494" s="551"/>
      <c r="L494" s="551"/>
      <c r="M494" s="551"/>
      <c r="N494" s="551"/>
      <c r="O494" s="551"/>
      <c r="P494" s="551"/>
      <c r="Q494" s="79"/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79"/>
      <c r="AD494" s="79"/>
      <c r="AE494" s="79"/>
      <c r="AF494" s="79"/>
    </row>
    <row r="495" spans="1:32" s="2" customFormat="1">
      <c r="A495" s="551"/>
      <c r="B495" s="551"/>
      <c r="C495" s="551"/>
      <c r="D495" s="551"/>
      <c r="E495" s="551"/>
      <c r="F495" s="551"/>
      <c r="G495" s="551"/>
      <c r="H495" s="551"/>
      <c r="I495" s="551"/>
      <c r="J495" s="551"/>
      <c r="K495" s="551"/>
      <c r="L495" s="551"/>
      <c r="M495" s="551"/>
      <c r="N495" s="551"/>
      <c r="O495" s="551"/>
      <c r="P495" s="551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79"/>
      <c r="AD495" s="79"/>
      <c r="AE495" s="79"/>
      <c r="AF495" s="79"/>
    </row>
    <row r="496" spans="1:32" s="2" customFormat="1">
      <c r="A496" s="551"/>
      <c r="B496" s="551"/>
      <c r="C496" s="551"/>
      <c r="D496" s="551"/>
      <c r="E496" s="551"/>
      <c r="F496" s="551"/>
      <c r="G496" s="551"/>
      <c r="H496" s="551"/>
      <c r="I496" s="551"/>
      <c r="J496" s="551"/>
      <c r="K496" s="551"/>
      <c r="L496" s="551"/>
      <c r="M496" s="551"/>
      <c r="N496" s="551"/>
      <c r="O496" s="551"/>
      <c r="P496" s="551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79"/>
      <c r="AD496" s="79"/>
      <c r="AE496" s="79"/>
      <c r="AF496" s="79"/>
    </row>
    <row r="497" spans="1:32" s="2" customFormat="1">
      <c r="A497" s="551"/>
      <c r="B497" s="551"/>
      <c r="C497" s="551"/>
      <c r="D497" s="551"/>
      <c r="E497" s="551"/>
      <c r="F497" s="551"/>
      <c r="G497" s="551"/>
      <c r="H497" s="551"/>
      <c r="I497" s="551"/>
      <c r="J497" s="551"/>
      <c r="K497" s="551"/>
      <c r="L497" s="551"/>
      <c r="M497" s="551"/>
      <c r="N497" s="551"/>
      <c r="O497" s="551"/>
      <c r="P497" s="551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/>
      <c r="AC497" s="79"/>
      <c r="AD497" s="79"/>
      <c r="AE497" s="79"/>
      <c r="AF497" s="79"/>
    </row>
    <row r="498" spans="1:32" s="2" customFormat="1">
      <c r="A498" s="551"/>
      <c r="B498" s="551"/>
      <c r="C498" s="551"/>
      <c r="D498" s="551"/>
      <c r="E498" s="551"/>
      <c r="F498" s="551"/>
      <c r="G498" s="551"/>
      <c r="H498" s="551"/>
      <c r="I498" s="551"/>
      <c r="J498" s="551"/>
      <c r="K498" s="551"/>
      <c r="L498" s="551"/>
      <c r="M498" s="551"/>
      <c r="N498" s="551"/>
      <c r="O498" s="551"/>
      <c r="P498" s="551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  <c r="AD498" s="79"/>
      <c r="AE498" s="79"/>
      <c r="AF498" s="79"/>
    </row>
    <row r="499" spans="1:32" s="2" customFormat="1">
      <c r="A499" s="551"/>
      <c r="B499" s="551"/>
      <c r="C499" s="551"/>
      <c r="D499" s="551"/>
      <c r="E499" s="551"/>
      <c r="F499" s="551"/>
      <c r="G499" s="551"/>
      <c r="H499" s="551"/>
      <c r="I499" s="551"/>
      <c r="J499" s="551"/>
      <c r="K499" s="551"/>
      <c r="L499" s="551"/>
      <c r="M499" s="551"/>
      <c r="N499" s="551"/>
      <c r="O499" s="551"/>
      <c r="P499" s="551"/>
      <c r="Q499" s="79"/>
      <c r="R499" s="79"/>
      <c r="S499" s="79"/>
      <c r="T499" s="79"/>
      <c r="U499" s="79"/>
      <c r="V499" s="79"/>
      <c r="W499" s="79"/>
      <c r="X499" s="79"/>
      <c r="Y499" s="79"/>
      <c r="Z499" s="79"/>
      <c r="AA499" s="79"/>
      <c r="AB499" s="79"/>
      <c r="AC499" s="79"/>
      <c r="AD499" s="79"/>
      <c r="AE499" s="79"/>
      <c r="AF499" s="79"/>
    </row>
    <row r="500" spans="1:32" s="2" customFormat="1">
      <c r="A500" s="551"/>
      <c r="B500" s="551"/>
      <c r="C500" s="551"/>
      <c r="D500" s="551"/>
      <c r="E500" s="551"/>
      <c r="F500" s="551"/>
      <c r="G500" s="551"/>
      <c r="H500" s="551"/>
      <c r="I500" s="551"/>
      <c r="J500" s="551"/>
      <c r="K500" s="551"/>
      <c r="L500" s="551"/>
      <c r="M500" s="551"/>
      <c r="N500" s="551"/>
      <c r="O500" s="551"/>
      <c r="P500" s="551"/>
      <c r="Q500" s="79"/>
      <c r="R500" s="79"/>
      <c r="S500" s="79"/>
      <c r="T500" s="79"/>
      <c r="U500" s="79"/>
      <c r="V500" s="79"/>
      <c r="W500" s="79"/>
      <c r="X500" s="79"/>
      <c r="Y500" s="79"/>
      <c r="Z500" s="79"/>
      <c r="AA500" s="79"/>
      <c r="AB500" s="79"/>
      <c r="AC500" s="79"/>
      <c r="AD500" s="79"/>
      <c r="AE500" s="79"/>
      <c r="AF500" s="79"/>
    </row>
    <row r="501" spans="1:32" s="2" customFormat="1">
      <c r="A501" s="551"/>
      <c r="B501" s="551"/>
      <c r="C501" s="551"/>
      <c r="D501" s="551"/>
      <c r="E501" s="551"/>
      <c r="F501" s="551"/>
      <c r="G501" s="551"/>
      <c r="H501" s="551"/>
      <c r="I501" s="551"/>
      <c r="J501" s="551"/>
      <c r="K501" s="551"/>
      <c r="L501" s="551"/>
      <c r="M501" s="551"/>
      <c r="N501" s="551"/>
      <c r="O501" s="551"/>
      <c r="P501" s="551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/>
      <c r="AC501" s="79"/>
      <c r="AD501" s="79"/>
      <c r="AE501" s="79"/>
      <c r="AF501" s="79"/>
    </row>
    <row r="502" spans="1:32" s="2" customFormat="1">
      <c r="A502" s="551"/>
      <c r="B502" s="551"/>
      <c r="C502" s="551"/>
      <c r="D502" s="551"/>
      <c r="E502" s="551"/>
      <c r="F502" s="551"/>
      <c r="G502" s="551"/>
      <c r="H502" s="551"/>
      <c r="I502" s="551"/>
      <c r="J502" s="551"/>
      <c r="K502" s="551"/>
      <c r="L502" s="551"/>
      <c r="M502" s="551"/>
      <c r="N502" s="551"/>
      <c r="O502" s="551"/>
      <c r="P502" s="551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79"/>
      <c r="AD502" s="79"/>
      <c r="AE502" s="79"/>
      <c r="AF502" s="79"/>
    </row>
    <row r="503" spans="1:32" s="2" customFormat="1">
      <c r="A503" s="551"/>
      <c r="B503" s="551"/>
      <c r="C503" s="551"/>
      <c r="D503" s="551"/>
      <c r="E503" s="551"/>
      <c r="F503" s="551"/>
      <c r="G503" s="551"/>
      <c r="H503" s="551"/>
      <c r="I503" s="551"/>
      <c r="J503" s="551"/>
      <c r="K503" s="551"/>
      <c r="L503" s="551"/>
      <c r="M503" s="551"/>
      <c r="N503" s="551"/>
      <c r="O503" s="551"/>
      <c r="P503" s="551"/>
      <c r="Q503" s="79"/>
      <c r="R503" s="79"/>
      <c r="S503" s="79"/>
      <c r="T503" s="79"/>
      <c r="U503" s="79"/>
      <c r="V503" s="79"/>
      <c r="W503" s="79"/>
      <c r="X503" s="79"/>
      <c r="Y503" s="79"/>
      <c r="Z503" s="79"/>
      <c r="AA503" s="79"/>
      <c r="AB503" s="79"/>
      <c r="AC503" s="79"/>
      <c r="AD503" s="79"/>
      <c r="AE503" s="79"/>
      <c r="AF503" s="79"/>
    </row>
    <row r="504" spans="1:32" s="2" customFormat="1">
      <c r="A504" s="551"/>
      <c r="B504" s="551"/>
      <c r="C504" s="551"/>
      <c r="D504" s="551"/>
      <c r="E504" s="551"/>
      <c r="F504" s="551"/>
      <c r="G504" s="551"/>
      <c r="H504" s="551"/>
      <c r="I504" s="551"/>
      <c r="J504" s="551"/>
      <c r="K504" s="551"/>
      <c r="L504" s="551"/>
      <c r="M504" s="551"/>
      <c r="N504" s="551"/>
      <c r="O504" s="551"/>
      <c r="P504" s="551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</row>
    <row r="505" spans="1:32" s="2" customFormat="1">
      <c r="A505" s="551"/>
      <c r="B505" s="551"/>
      <c r="C505" s="551"/>
      <c r="D505" s="551"/>
      <c r="E505" s="551"/>
      <c r="F505" s="551"/>
      <c r="G505" s="551"/>
      <c r="H505" s="551"/>
      <c r="I505" s="551"/>
      <c r="J505" s="551"/>
      <c r="K505" s="551"/>
      <c r="L505" s="551"/>
      <c r="M505" s="551"/>
      <c r="N505" s="551"/>
      <c r="O505" s="551"/>
      <c r="P505" s="551"/>
      <c r="Q505" s="79"/>
      <c r="R505" s="79"/>
      <c r="S505" s="79"/>
      <c r="T505" s="79"/>
      <c r="U505" s="79"/>
      <c r="V505" s="79"/>
      <c r="W505" s="79"/>
      <c r="X505" s="79"/>
      <c r="Y505" s="79"/>
      <c r="Z505" s="79"/>
      <c r="AA505" s="79"/>
      <c r="AB505" s="79"/>
      <c r="AC505" s="79"/>
      <c r="AD505" s="79"/>
      <c r="AE505" s="79"/>
      <c r="AF505" s="79"/>
    </row>
    <row r="506" spans="1:32" s="2" customFormat="1">
      <c r="A506" s="551"/>
      <c r="B506" s="551"/>
      <c r="C506" s="551"/>
      <c r="D506" s="551"/>
      <c r="E506" s="551"/>
      <c r="F506" s="551"/>
      <c r="G506" s="551"/>
      <c r="H506" s="551"/>
      <c r="I506" s="551"/>
      <c r="J506" s="551"/>
      <c r="K506" s="551"/>
      <c r="L506" s="551"/>
      <c r="M506" s="551"/>
      <c r="N506" s="551"/>
      <c r="O506" s="551"/>
      <c r="P506" s="551"/>
      <c r="Q506" s="79"/>
      <c r="R506" s="79"/>
      <c r="S506" s="79"/>
      <c r="T506" s="79"/>
      <c r="U506" s="79"/>
      <c r="V506" s="79"/>
      <c r="W506" s="79"/>
      <c r="X506" s="79"/>
      <c r="Y506" s="79"/>
      <c r="Z506" s="79"/>
      <c r="AA506" s="79"/>
      <c r="AB506" s="79"/>
      <c r="AC506" s="79"/>
      <c r="AD506" s="79"/>
      <c r="AE506" s="79"/>
      <c r="AF506" s="79"/>
    </row>
    <row r="507" spans="1:32" s="2" customFormat="1">
      <c r="A507" s="551"/>
      <c r="B507" s="551"/>
      <c r="C507" s="551"/>
      <c r="D507" s="551"/>
      <c r="E507" s="551"/>
      <c r="F507" s="551"/>
      <c r="G507" s="551"/>
      <c r="H507" s="551"/>
      <c r="I507" s="551"/>
      <c r="J507" s="551"/>
      <c r="K507" s="551"/>
      <c r="L507" s="551"/>
      <c r="M507" s="551"/>
      <c r="N507" s="551"/>
      <c r="O507" s="551"/>
      <c r="P507" s="551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79"/>
      <c r="AD507" s="79"/>
      <c r="AE507" s="79"/>
      <c r="AF507" s="79"/>
    </row>
    <row r="508" spans="1:32" s="2" customFormat="1">
      <c r="A508" s="551"/>
      <c r="B508" s="551"/>
      <c r="C508" s="551"/>
      <c r="D508" s="551"/>
      <c r="E508" s="551"/>
      <c r="F508" s="551"/>
      <c r="G508" s="551"/>
      <c r="H508" s="551"/>
      <c r="I508" s="551"/>
      <c r="J508" s="551"/>
      <c r="K508" s="551"/>
      <c r="L508" s="551"/>
      <c r="M508" s="551"/>
      <c r="N508" s="551"/>
      <c r="O508" s="551"/>
      <c r="P508" s="551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79"/>
      <c r="AD508" s="79"/>
      <c r="AE508" s="79"/>
      <c r="AF508" s="79"/>
    </row>
    <row r="509" spans="1:32" s="2" customFormat="1">
      <c r="A509" s="551"/>
      <c r="B509" s="551"/>
      <c r="C509" s="551"/>
      <c r="D509" s="551"/>
      <c r="E509" s="551"/>
      <c r="F509" s="551"/>
      <c r="G509" s="551"/>
      <c r="H509" s="551"/>
      <c r="I509" s="551"/>
      <c r="J509" s="551"/>
      <c r="K509" s="551"/>
      <c r="L509" s="551"/>
      <c r="M509" s="551"/>
      <c r="N509" s="551"/>
      <c r="O509" s="551"/>
      <c r="P509" s="551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  <c r="AD509" s="79"/>
      <c r="AE509" s="79"/>
      <c r="AF509" s="79"/>
    </row>
    <row r="510" spans="1:32" s="2" customFormat="1">
      <c r="A510" s="551"/>
      <c r="B510" s="551"/>
      <c r="C510" s="551"/>
      <c r="D510" s="551"/>
      <c r="E510" s="551"/>
      <c r="F510" s="551"/>
      <c r="G510" s="551"/>
      <c r="H510" s="551"/>
      <c r="I510" s="551"/>
      <c r="J510" s="551"/>
      <c r="K510" s="551"/>
      <c r="L510" s="551"/>
      <c r="M510" s="551"/>
      <c r="N510" s="551"/>
      <c r="O510" s="551"/>
      <c r="P510" s="551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  <c r="AD510" s="79"/>
      <c r="AE510" s="79"/>
      <c r="AF510" s="79"/>
    </row>
    <row r="511" spans="1:32" s="2" customFormat="1">
      <c r="A511" s="551"/>
      <c r="B511" s="551"/>
      <c r="C511" s="551"/>
      <c r="D511" s="551"/>
      <c r="E511" s="551"/>
      <c r="F511" s="551"/>
      <c r="G511" s="551"/>
      <c r="H511" s="551"/>
      <c r="I511" s="551"/>
      <c r="J511" s="551"/>
      <c r="K511" s="551"/>
      <c r="L511" s="551"/>
      <c r="M511" s="551"/>
      <c r="N511" s="551"/>
      <c r="O511" s="551"/>
      <c r="P511" s="551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  <c r="AD511" s="79"/>
      <c r="AE511" s="79"/>
      <c r="AF511" s="79"/>
    </row>
    <row r="512" spans="1:32" s="2" customFormat="1">
      <c r="A512" s="551"/>
      <c r="B512" s="551"/>
      <c r="C512" s="551"/>
      <c r="D512" s="551"/>
      <c r="E512" s="551"/>
      <c r="F512" s="551"/>
      <c r="G512" s="551"/>
      <c r="H512" s="551"/>
      <c r="I512" s="551"/>
      <c r="J512" s="551"/>
      <c r="K512" s="551"/>
      <c r="L512" s="551"/>
      <c r="M512" s="551"/>
      <c r="N512" s="551"/>
      <c r="O512" s="551"/>
      <c r="P512" s="551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  <c r="AD512" s="79"/>
      <c r="AE512" s="79"/>
      <c r="AF512" s="79"/>
    </row>
    <row r="513" spans="1:32" s="2" customFormat="1">
      <c r="A513" s="551"/>
      <c r="B513" s="551"/>
      <c r="C513" s="551"/>
      <c r="D513" s="551"/>
      <c r="E513" s="551"/>
      <c r="F513" s="551"/>
      <c r="G513" s="551"/>
      <c r="H513" s="551"/>
      <c r="I513" s="551"/>
      <c r="J513" s="551"/>
      <c r="K513" s="551"/>
      <c r="L513" s="551"/>
      <c r="M513" s="551"/>
      <c r="N513" s="551"/>
      <c r="O513" s="551"/>
      <c r="P513" s="551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  <c r="AD513" s="79"/>
      <c r="AE513" s="79"/>
      <c r="AF513" s="79"/>
    </row>
    <row r="514" spans="1:32" s="2" customFormat="1">
      <c r="A514" s="551"/>
      <c r="B514" s="551"/>
      <c r="C514" s="551"/>
      <c r="D514" s="551"/>
      <c r="E514" s="551"/>
      <c r="F514" s="551"/>
      <c r="G514" s="551"/>
      <c r="H514" s="551"/>
      <c r="I514" s="551"/>
      <c r="J514" s="551"/>
      <c r="K514" s="551"/>
      <c r="L514" s="551"/>
      <c r="M514" s="551"/>
      <c r="N514" s="551"/>
      <c r="O514" s="551"/>
      <c r="P514" s="551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  <c r="AD514" s="79"/>
      <c r="AE514" s="79"/>
      <c r="AF514" s="79"/>
    </row>
    <row r="515" spans="1:32" s="2" customFormat="1">
      <c r="A515" s="551"/>
      <c r="B515" s="551"/>
      <c r="C515" s="551"/>
      <c r="D515" s="551"/>
      <c r="E515" s="551"/>
      <c r="F515" s="551"/>
      <c r="G515" s="551"/>
      <c r="H515" s="551"/>
      <c r="I515" s="551"/>
      <c r="J515" s="551"/>
      <c r="K515" s="551"/>
      <c r="L515" s="551"/>
      <c r="M515" s="551"/>
      <c r="N515" s="551"/>
      <c r="O515" s="551"/>
      <c r="P515" s="551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  <c r="AD515" s="79"/>
      <c r="AE515" s="79"/>
      <c r="AF515" s="79"/>
    </row>
    <row r="516" spans="1:32" s="2" customFormat="1">
      <c r="A516" s="551"/>
      <c r="B516" s="551"/>
      <c r="C516" s="551"/>
      <c r="D516" s="551"/>
      <c r="E516" s="551"/>
      <c r="F516" s="551"/>
      <c r="G516" s="551"/>
      <c r="H516" s="551"/>
      <c r="I516" s="551"/>
      <c r="J516" s="551"/>
      <c r="K516" s="551"/>
      <c r="L516" s="551"/>
      <c r="M516" s="551"/>
      <c r="N516" s="551"/>
      <c r="O516" s="551"/>
      <c r="P516" s="551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  <c r="AD516" s="79"/>
      <c r="AE516" s="79"/>
      <c r="AF516" s="79"/>
    </row>
    <row r="517" spans="1:32" s="2" customFormat="1">
      <c r="A517" s="551"/>
      <c r="B517" s="551"/>
      <c r="C517" s="551"/>
      <c r="D517" s="551"/>
      <c r="E517" s="551"/>
      <c r="F517" s="551"/>
      <c r="G517" s="551"/>
      <c r="H517" s="551"/>
      <c r="I517" s="551"/>
      <c r="J517" s="551"/>
      <c r="K517" s="551"/>
      <c r="L517" s="551"/>
      <c r="M517" s="551"/>
      <c r="N517" s="551"/>
      <c r="O517" s="551"/>
      <c r="P517" s="551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  <c r="AD517" s="79"/>
      <c r="AE517" s="79"/>
      <c r="AF517" s="79"/>
    </row>
    <row r="518" spans="1:32" s="2" customFormat="1">
      <c r="A518" s="551"/>
      <c r="B518" s="551"/>
      <c r="C518" s="551"/>
      <c r="D518" s="551"/>
      <c r="E518" s="551"/>
      <c r="F518" s="551"/>
      <c r="G518" s="551"/>
      <c r="H518" s="551"/>
      <c r="I518" s="551"/>
      <c r="J518" s="551"/>
      <c r="K518" s="551"/>
      <c r="L518" s="551"/>
      <c r="M518" s="551"/>
      <c r="N518" s="551"/>
      <c r="O518" s="551"/>
      <c r="P518" s="551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  <c r="AD518" s="79"/>
      <c r="AE518" s="79"/>
      <c r="AF518" s="79"/>
    </row>
    <row r="519" spans="1:32" s="2" customFormat="1">
      <c r="A519" s="551"/>
      <c r="B519" s="551"/>
      <c r="C519" s="551"/>
      <c r="D519" s="551"/>
      <c r="E519" s="551"/>
      <c r="F519" s="551"/>
      <c r="G519" s="551"/>
      <c r="H519" s="551"/>
      <c r="I519" s="551"/>
      <c r="J519" s="551"/>
      <c r="K519" s="551"/>
      <c r="L519" s="551"/>
      <c r="M519" s="551"/>
      <c r="N519" s="551"/>
      <c r="O519" s="551"/>
      <c r="P519" s="551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  <c r="AD519" s="79"/>
      <c r="AE519" s="79"/>
      <c r="AF519" s="79"/>
    </row>
    <row r="520" spans="1:32" s="2" customFormat="1">
      <c r="A520" s="551"/>
      <c r="B520" s="551"/>
      <c r="C520" s="551"/>
      <c r="D520" s="551"/>
      <c r="E520" s="551"/>
      <c r="F520" s="551"/>
      <c r="G520" s="551"/>
      <c r="H520" s="551"/>
      <c r="I520" s="551"/>
      <c r="J520" s="551"/>
      <c r="K520" s="551"/>
      <c r="L520" s="551"/>
      <c r="M520" s="551"/>
      <c r="N520" s="551"/>
      <c r="O520" s="551"/>
      <c r="P520" s="551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  <c r="AD520" s="79"/>
      <c r="AE520" s="79"/>
      <c r="AF520" s="79"/>
    </row>
    <row r="521" spans="1:32" s="2" customFormat="1">
      <c r="A521" s="551"/>
      <c r="B521" s="551"/>
      <c r="C521" s="551"/>
      <c r="D521" s="551"/>
      <c r="E521" s="551"/>
      <c r="F521" s="551"/>
      <c r="G521" s="551"/>
      <c r="H521" s="551"/>
      <c r="I521" s="551"/>
      <c r="J521" s="551"/>
      <c r="K521" s="551"/>
      <c r="L521" s="551"/>
      <c r="M521" s="551"/>
      <c r="N521" s="551"/>
      <c r="O521" s="551"/>
      <c r="P521" s="551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  <c r="AD521" s="79"/>
      <c r="AE521" s="79"/>
      <c r="AF521" s="79"/>
    </row>
    <row r="522" spans="1:32" s="2" customFormat="1">
      <c r="A522" s="551"/>
      <c r="B522" s="551"/>
      <c r="C522" s="551"/>
      <c r="D522" s="551"/>
      <c r="E522" s="551"/>
      <c r="F522" s="551"/>
      <c r="G522" s="551"/>
      <c r="H522" s="551"/>
      <c r="I522" s="551"/>
      <c r="J522" s="551"/>
      <c r="K522" s="551"/>
      <c r="L522" s="551"/>
      <c r="M522" s="551"/>
      <c r="N522" s="551"/>
      <c r="O522" s="551"/>
      <c r="P522" s="551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  <c r="AD522" s="79"/>
      <c r="AE522" s="79"/>
      <c r="AF522" s="79"/>
    </row>
    <row r="523" spans="1:32" s="2" customFormat="1">
      <c r="A523" s="551"/>
      <c r="B523" s="551"/>
      <c r="C523" s="551"/>
      <c r="D523" s="551"/>
      <c r="E523" s="551"/>
      <c r="F523" s="551"/>
      <c r="G523" s="551"/>
      <c r="H523" s="551"/>
      <c r="I523" s="551"/>
      <c r="J523" s="551"/>
      <c r="K523" s="551"/>
      <c r="L523" s="551"/>
      <c r="M523" s="551"/>
      <c r="N523" s="551"/>
      <c r="O523" s="551"/>
      <c r="P523" s="551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  <c r="AD523" s="79"/>
      <c r="AE523" s="79"/>
      <c r="AF523" s="79"/>
    </row>
    <row r="524" spans="1:32" s="2" customFormat="1">
      <c r="A524" s="551"/>
      <c r="B524" s="551"/>
      <c r="C524" s="551"/>
      <c r="D524" s="551"/>
      <c r="E524" s="551"/>
      <c r="F524" s="551"/>
      <c r="G524" s="551"/>
      <c r="H524" s="551"/>
      <c r="I524" s="551"/>
      <c r="J524" s="551"/>
      <c r="K524" s="551"/>
      <c r="L524" s="551"/>
      <c r="M524" s="551"/>
      <c r="N524" s="551"/>
      <c r="O524" s="551"/>
      <c r="P524" s="551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  <c r="AD524" s="79"/>
      <c r="AE524" s="79"/>
      <c r="AF524" s="79"/>
    </row>
    <row r="525" spans="1:32" s="2" customFormat="1">
      <c r="A525" s="551"/>
      <c r="B525" s="551"/>
      <c r="C525" s="551"/>
      <c r="D525" s="551"/>
      <c r="E525" s="551"/>
      <c r="F525" s="551"/>
      <c r="G525" s="551"/>
      <c r="H525" s="551"/>
      <c r="I525" s="551"/>
      <c r="J525" s="551"/>
      <c r="K525" s="551"/>
      <c r="L525" s="551"/>
      <c r="M525" s="551"/>
      <c r="N525" s="551"/>
      <c r="O525" s="551"/>
      <c r="P525" s="551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  <c r="AD525" s="79"/>
      <c r="AE525" s="79"/>
      <c r="AF525" s="79"/>
    </row>
    <row r="526" spans="1:32" s="2" customFormat="1">
      <c r="A526" s="551"/>
      <c r="B526" s="551"/>
      <c r="C526" s="551"/>
      <c r="D526" s="551"/>
      <c r="E526" s="551"/>
      <c r="F526" s="551"/>
      <c r="G526" s="551"/>
      <c r="H526" s="551"/>
      <c r="I526" s="551"/>
      <c r="J526" s="551"/>
      <c r="K526" s="551"/>
      <c r="L526" s="551"/>
      <c r="M526" s="551"/>
      <c r="N526" s="551"/>
      <c r="O526" s="551"/>
      <c r="P526" s="551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  <c r="AD526" s="79"/>
      <c r="AE526" s="79"/>
      <c r="AF526" s="79"/>
    </row>
    <row r="527" spans="1:32" s="2" customFormat="1">
      <c r="A527" s="551"/>
      <c r="B527" s="551"/>
      <c r="C527" s="551"/>
      <c r="D527" s="551"/>
      <c r="E527" s="551"/>
      <c r="F527" s="551"/>
      <c r="G527" s="551"/>
      <c r="H527" s="551"/>
      <c r="I527" s="551"/>
      <c r="J527" s="551"/>
      <c r="K527" s="551"/>
      <c r="L527" s="551"/>
      <c r="M527" s="551"/>
      <c r="N527" s="551"/>
      <c r="O527" s="551"/>
      <c r="P527" s="551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  <c r="AD527" s="79"/>
      <c r="AE527" s="79"/>
      <c r="AF527" s="79"/>
    </row>
    <row r="528" spans="1:32" s="2" customFormat="1">
      <c r="A528" s="551"/>
      <c r="B528" s="551"/>
      <c r="C528" s="551"/>
      <c r="D528" s="551"/>
      <c r="E528" s="551"/>
      <c r="F528" s="551"/>
      <c r="G528" s="551"/>
      <c r="H528" s="551"/>
      <c r="I528" s="551"/>
      <c r="J528" s="551"/>
      <c r="K528" s="551"/>
      <c r="L528" s="551"/>
      <c r="M528" s="551"/>
      <c r="N528" s="551"/>
      <c r="O528" s="551"/>
      <c r="P528" s="551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  <c r="AD528" s="79"/>
      <c r="AE528" s="79"/>
      <c r="AF528" s="79"/>
    </row>
    <row r="529" spans="1:32" s="2" customFormat="1">
      <c r="A529" s="551"/>
      <c r="B529" s="551"/>
      <c r="C529" s="551"/>
      <c r="D529" s="551"/>
      <c r="E529" s="551"/>
      <c r="F529" s="551"/>
      <c r="G529" s="551"/>
      <c r="H529" s="551"/>
      <c r="I529" s="551"/>
      <c r="J529" s="551"/>
      <c r="K529" s="551"/>
      <c r="L529" s="551"/>
      <c r="M529" s="551"/>
      <c r="N529" s="551"/>
      <c r="O529" s="551"/>
      <c r="P529" s="551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  <c r="AD529" s="79"/>
      <c r="AE529" s="79"/>
      <c r="AF529" s="79"/>
    </row>
    <row r="530" spans="1:32" s="2" customFormat="1">
      <c r="A530" s="551"/>
      <c r="B530" s="551"/>
      <c r="C530" s="551"/>
      <c r="D530" s="551"/>
      <c r="E530" s="551"/>
      <c r="F530" s="551"/>
      <c r="G530" s="551"/>
      <c r="H530" s="551"/>
      <c r="I530" s="551"/>
      <c r="J530" s="551"/>
      <c r="K530" s="551"/>
      <c r="L530" s="551"/>
      <c r="M530" s="551"/>
      <c r="N530" s="551"/>
      <c r="O530" s="551"/>
      <c r="P530" s="551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  <c r="AD530" s="79"/>
      <c r="AE530" s="79"/>
      <c r="AF530" s="79"/>
    </row>
    <row r="531" spans="1:32" s="2" customFormat="1">
      <c r="A531" s="551"/>
      <c r="B531" s="551"/>
      <c r="C531" s="551"/>
      <c r="D531" s="551"/>
      <c r="E531" s="551"/>
      <c r="F531" s="551"/>
      <c r="G531" s="551"/>
      <c r="H531" s="551"/>
      <c r="I531" s="551"/>
      <c r="J531" s="551"/>
      <c r="K531" s="551"/>
      <c r="L531" s="551"/>
      <c r="M531" s="551"/>
      <c r="N531" s="551"/>
      <c r="O531" s="551"/>
      <c r="P531" s="551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  <c r="AD531" s="79"/>
      <c r="AE531" s="79"/>
      <c r="AF531" s="79"/>
    </row>
    <row r="532" spans="1:32" s="2" customFormat="1">
      <c r="A532" s="551"/>
      <c r="B532" s="551"/>
      <c r="C532" s="551"/>
      <c r="D532" s="551"/>
      <c r="E532" s="551"/>
      <c r="F532" s="551"/>
      <c r="G532" s="551"/>
      <c r="H532" s="551"/>
      <c r="I532" s="551"/>
      <c r="J532" s="551"/>
      <c r="K532" s="551"/>
      <c r="L532" s="551"/>
      <c r="M532" s="551"/>
      <c r="N532" s="551"/>
      <c r="O532" s="551"/>
      <c r="P532" s="551"/>
      <c r="Q532" s="79"/>
      <c r="R532" s="79"/>
      <c r="S532" s="79"/>
      <c r="T532" s="79"/>
      <c r="U532" s="79"/>
      <c r="V532" s="79"/>
      <c r="W532" s="79"/>
      <c r="X532" s="79"/>
      <c r="Y532" s="79"/>
      <c r="Z532" s="79"/>
      <c r="AA532" s="79"/>
      <c r="AB532" s="79"/>
      <c r="AC532" s="79"/>
      <c r="AD532" s="79"/>
      <c r="AE532" s="79"/>
      <c r="AF532" s="79"/>
    </row>
    <row r="533" spans="1:32" s="2" customFormat="1">
      <c r="A533" s="551"/>
      <c r="B533" s="551"/>
      <c r="C533" s="551"/>
      <c r="D533" s="551"/>
      <c r="E533" s="551"/>
      <c r="F533" s="551"/>
      <c r="G533" s="551"/>
      <c r="H533" s="551"/>
      <c r="I533" s="551"/>
      <c r="J533" s="551"/>
      <c r="K533" s="551"/>
      <c r="L533" s="551"/>
      <c r="M533" s="551"/>
      <c r="N533" s="551"/>
      <c r="O533" s="551"/>
      <c r="P533" s="551"/>
      <c r="Q533" s="79"/>
      <c r="R533" s="79"/>
      <c r="S533" s="79"/>
      <c r="T533" s="79"/>
      <c r="U533" s="79"/>
      <c r="V533" s="79"/>
      <c r="W533" s="79"/>
      <c r="X533" s="79"/>
      <c r="Y533" s="79"/>
      <c r="Z533" s="79"/>
      <c r="AA533" s="79"/>
      <c r="AB533" s="79"/>
      <c r="AC533" s="79"/>
      <c r="AD533" s="79"/>
      <c r="AE533" s="79"/>
      <c r="AF533" s="79"/>
    </row>
    <row r="534" spans="1:32" s="2" customFormat="1">
      <c r="A534" s="551"/>
      <c r="B534" s="551"/>
      <c r="C534" s="551"/>
      <c r="D534" s="551"/>
      <c r="E534" s="551"/>
      <c r="F534" s="551"/>
      <c r="G534" s="551"/>
      <c r="H534" s="551"/>
      <c r="I534" s="551"/>
      <c r="J534" s="551"/>
      <c r="K534" s="551"/>
      <c r="L534" s="551"/>
      <c r="M534" s="551"/>
      <c r="N534" s="551"/>
      <c r="O534" s="551"/>
      <c r="P534" s="551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79"/>
      <c r="AD534" s="79"/>
      <c r="AE534" s="79"/>
      <c r="AF534" s="79"/>
    </row>
    <row r="535" spans="1:32" s="2" customFormat="1">
      <c r="A535" s="551"/>
      <c r="B535" s="551"/>
      <c r="C535" s="551"/>
      <c r="D535" s="551"/>
      <c r="E535" s="551"/>
      <c r="F535" s="551"/>
      <c r="G535" s="551"/>
      <c r="H535" s="551"/>
      <c r="I535" s="551"/>
      <c r="J535" s="551"/>
      <c r="K535" s="551"/>
      <c r="L535" s="551"/>
      <c r="M535" s="551"/>
      <c r="N535" s="551"/>
      <c r="O535" s="551"/>
      <c r="P535" s="551"/>
      <c r="Q535" s="79"/>
      <c r="R535" s="79"/>
      <c r="S535" s="79"/>
      <c r="T535" s="79"/>
      <c r="U535" s="79"/>
      <c r="V535" s="79"/>
      <c r="W535" s="79"/>
      <c r="X535" s="79"/>
      <c r="Y535" s="79"/>
      <c r="Z535" s="79"/>
      <c r="AA535" s="79"/>
      <c r="AB535" s="79"/>
      <c r="AC535" s="79"/>
      <c r="AD535" s="79"/>
      <c r="AE535" s="79"/>
      <c r="AF535" s="79"/>
    </row>
    <row r="536" spans="1:32" s="2" customFormat="1">
      <c r="A536" s="551"/>
      <c r="B536" s="551"/>
      <c r="C536" s="551"/>
      <c r="D536" s="551"/>
      <c r="E536" s="551"/>
      <c r="F536" s="551"/>
      <c r="G536" s="551"/>
      <c r="H536" s="551"/>
      <c r="I536" s="551"/>
      <c r="J536" s="551"/>
      <c r="K536" s="551"/>
      <c r="L536" s="551"/>
      <c r="M536" s="551"/>
      <c r="N536" s="551"/>
      <c r="O536" s="551"/>
      <c r="P536" s="551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/>
      <c r="AC536" s="79"/>
      <c r="AD536" s="79"/>
      <c r="AE536" s="79"/>
      <c r="AF536" s="79"/>
    </row>
    <row r="537" spans="1:32" s="2" customFormat="1">
      <c r="A537" s="551"/>
      <c r="B537" s="551"/>
      <c r="C537" s="551"/>
      <c r="D537" s="551"/>
      <c r="E537" s="551"/>
      <c r="F537" s="551"/>
      <c r="G537" s="551"/>
      <c r="H537" s="551"/>
      <c r="I537" s="551"/>
      <c r="J537" s="551"/>
      <c r="K537" s="551"/>
      <c r="L537" s="551"/>
      <c r="M537" s="551"/>
      <c r="N537" s="551"/>
      <c r="O537" s="551"/>
      <c r="P537" s="551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/>
      <c r="AC537" s="79"/>
      <c r="AD537" s="79"/>
      <c r="AE537" s="79"/>
      <c r="AF537" s="79"/>
    </row>
    <row r="538" spans="1:32" s="2" customFormat="1">
      <c r="A538" s="551"/>
      <c r="B538" s="551"/>
      <c r="C538" s="551"/>
      <c r="D538" s="551"/>
      <c r="E538" s="551"/>
      <c r="F538" s="551"/>
      <c r="G538" s="551"/>
      <c r="H538" s="551"/>
      <c r="I538" s="551"/>
      <c r="J538" s="551"/>
      <c r="K538" s="551"/>
      <c r="L538" s="551"/>
      <c r="M538" s="551"/>
      <c r="N538" s="551"/>
      <c r="O538" s="551"/>
      <c r="P538" s="551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79"/>
      <c r="AD538" s="79"/>
      <c r="AE538" s="79"/>
      <c r="AF538" s="79"/>
    </row>
    <row r="539" spans="1:32" s="2" customFormat="1">
      <c r="A539" s="551"/>
      <c r="B539" s="551"/>
      <c r="C539" s="551"/>
      <c r="D539" s="551"/>
      <c r="E539" s="551"/>
      <c r="F539" s="551"/>
      <c r="G539" s="551"/>
      <c r="H539" s="551"/>
      <c r="I539" s="551"/>
      <c r="J539" s="551"/>
      <c r="K539" s="551"/>
      <c r="L539" s="551"/>
      <c r="M539" s="551"/>
      <c r="N539" s="551"/>
      <c r="O539" s="551"/>
      <c r="P539" s="551"/>
      <c r="Q539" s="79"/>
      <c r="R539" s="79"/>
      <c r="S539" s="79"/>
      <c r="T539" s="79"/>
      <c r="U539" s="79"/>
      <c r="V539" s="79"/>
      <c r="W539" s="79"/>
      <c r="X539" s="79"/>
      <c r="Y539" s="79"/>
      <c r="Z539" s="79"/>
      <c r="AA539" s="79"/>
      <c r="AB539" s="79"/>
      <c r="AC539" s="79"/>
      <c r="AD539" s="79"/>
      <c r="AE539" s="79"/>
      <c r="AF539" s="79"/>
    </row>
    <row r="540" spans="1:32" s="2" customFormat="1">
      <c r="A540" s="551"/>
      <c r="B540" s="551"/>
      <c r="C540" s="551"/>
      <c r="D540" s="551"/>
      <c r="E540" s="551"/>
      <c r="F540" s="551"/>
      <c r="G540" s="551"/>
      <c r="H540" s="551"/>
      <c r="I540" s="551"/>
      <c r="J540" s="551"/>
      <c r="K540" s="551"/>
      <c r="L540" s="551"/>
      <c r="M540" s="551"/>
      <c r="N540" s="551"/>
      <c r="O540" s="551"/>
      <c r="P540" s="551"/>
      <c r="Q540" s="79"/>
      <c r="R540" s="79"/>
      <c r="S540" s="79"/>
      <c r="T540" s="79"/>
      <c r="U540" s="79"/>
      <c r="V540" s="79"/>
      <c r="W540" s="79"/>
      <c r="X540" s="79"/>
      <c r="Y540" s="79"/>
      <c r="Z540" s="79"/>
      <c r="AA540" s="79"/>
      <c r="AB540" s="79"/>
      <c r="AC540" s="79"/>
      <c r="AD540" s="79"/>
      <c r="AE540" s="79"/>
      <c r="AF540" s="79"/>
    </row>
    <row r="541" spans="1:32" s="2" customFormat="1">
      <c r="A541" s="551"/>
      <c r="B541" s="551"/>
      <c r="C541" s="551"/>
      <c r="D541" s="551"/>
      <c r="E541" s="551"/>
      <c r="F541" s="551"/>
      <c r="G541" s="551"/>
      <c r="H541" s="551"/>
      <c r="I541" s="551"/>
      <c r="J541" s="551"/>
      <c r="K541" s="551"/>
      <c r="L541" s="551"/>
      <c r="M541" s="551"/>
      <c r="N541" s="551"/>
      <c r="O541" s="551"/>
      <c r="P541" s="551"/>
      <c r="Q541" s="79"/>
      <c r="R541" s="79"/>
      <c r="S541" s="79"/>
      <c r="T541" s="79"/>
      <c r="U541" s="79"/>
      <c r="V541" s="79"/>
      <c r="W541" s="79"/>
      <c r="X541" s="79"/>
      <c r="Y541" s="79"/>
      <c r="Z541" s="79"/>
      <c r="AA541" s="79"/>
      <c r="AB541" s="79"/>
      <c r="AC541" s="79"/>
      <c r="AD541" s="79"/>
      <c r="AE541" s="79"/>
      <c r="AF541" s="79"/>
    </row>
    <row r="542" spans="1:32" s="2" customFormat="1">
      <c r="A542" s="551"/>
      <c r="B542" s="551"/>
      <c r="C542" s="551"/>
      <c r="D542" s="551"/>
      <c r="E542" s="551"/>
      <c r="F542" s="551"/>
      <c r="G542" s="551"/>
      <c r="H542" s="551"/>
      <c r="I542" s="551"/>
      <c r="J542" s="551"/>
      <c r="K542" s="551"/>
      <c r="L542" s="551"/>
      <c r="M542" s="551"/>
      <c r="N542" s="551"/>
      <c r="O542" s="551"/>
      <c r="P542" s="551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/>
      <c r="AC542" s="79"/>
      <c r="AD542" s="79"/>
      <c r="AE542" s="79"/>
      <c r="AF542" s="79"/>
    </row>
    <row r="543" spans="1:32" s="2" customFormat="1">
      <c r="A543" s="551"/>
      <c r="B543" s="551"/>
      <c r="C543" s="551"/>
      <c r="D543" s="551"/>
      <c r="E543" s="551"/>
      <c r="F543" s="551"/>
      <c r="G543" s="551"/>
      <c r="H543" s="551"/>
      <c r="I543" s="551"/>
      <c r="J543" s="551"/>
      <c r="K543" s="551"/>
      <c r="L543" s="551"/>
      <c r="M543" s="551"/>
      <c r="N543" s="551"/>
      <c r="O543" s="551"/>
      <c r="P543" s="551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79"/>
      <c r="AD543" s="79"/>
      <c r="AE543" s="79"/>
      <c r="AF543" s="79"/>
    </row>
    <row r="544" spans="1:32" s="2" customFormat="1">
      <c r="A544" s="551"/>
      <c r="B544" s="551"/>
      <c r="C544" s="551"/>
      <c r="D544" s="551"/>
      <c r="E544" s="551"/>
      <c r="F544" s="551"/>
      <c r="G544" s="551"/>
      <c r="H544" s="551"/>
      <c r="I544" s="551"/>
      <c r="J544" s="551"/>
      <c r="K544" s="551"/>
      <c r="L544" s="551"/>
      <c r="M544" s="551"/>
      <c r="N544" s="551"/>
      <c r="O544" s="551"/>
      <c r="P544" s="551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/>
      <c r="AC544" s="79"/>
      <c r="AD544" s="79"/>
      <c r="AE544" s="79"/>
      <c r="AF544" s="79"/>
    </row>
    <row r="545" spans="1:32" s="2" customFormat="1">
      <c r="A545" s="551"/>
      <c r="B545" s="551"/>
      <c r="C545" s="551"/>
      <c r="D545" s="551"/>
      <c r="E545" s="551"/>
      <c r="F545" s="551"/>
      <c r="G545" s="551"/>
      <c r="H545" s="551"/>
      <c r="I545" s="551"/>
      <c r="J545" s="551"/>
      <c r="K545" s="551"/>
      <c r="L545" s="551"/>
      <c r="M545" s="551"/>
      <c r="N545" s="551"/>
      <c r="O545" s="551"/>
      <c r="P545" s="551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79"/>
      <c r="AD545" s="79"/>
      <c r="AE545" s="79"/>
      <c r="AF545" s="79"/>
    </row>
    <row r="546" spans="1:32" s="2" customFormat="1">
      <c r="A546" s="551"/>
      <c r="B546" s="551"/>
      <c r="C546" s="551"/>
      <c r="D546" s="551"/>
      <c r="E546" s="551"/>
      <c r="F546" s="551"/>
      <c r="G546" s="551"/>
      <c r="H546" s="551"/>
      <c r="I546" s="551"/>
      <c r="J546" s="551"/>
      <c r="K546" s="551"/>
      <c r="L546" s="551"/>
      <c r="M546" s="551"/>
      <c r="N546" s="551"/>
      <c r="O546" s="551"/>
      <c r="P546" s="551"/>
      <c r="Q546" s="79"/>
      <c r="R546" s="79"/>
      <c r="S546" s="79"/>
      <c r="T546" s="79"/>
      <c r="U546" s="79"/>
      <c r="V546" s="79"/>
      <c r="W546" s="79"/>
      <c r="X546" s="79"/>
      <c r="Y546" s="79"/>
      <c r="Z546" s="79"/>
      <c r="AA546" s="79"/>
      <c r="AB546" s="79"/>
      <c r="AC546" s="79"/>
      <c r="AD546" s="79"/>
      <c r="AE546" s="79"/>
      <c r="AF546" s="79"/>
    </row>
    <row r="547" spans="1:32" s="2" customFormat="1">
      <c r="A547" s="551"/>
      <c r="B547" s="551"/>
      <c r="C547" s="551"/>
      <c r="D547" s="551"/>
      <c r="E547" s="551"/>
      <c r="F547" s="551"/>
      <c r="G547" s="551"/>
      <c r="H547" s="551"/>
      <c r="I547" s="551"/>
      <c r="J547" s="551"/>
      <c r="K547" s="551"/>
      <c r="L547" s="551"/>
      <c r="M547" s="551"/>
      <c r="N547" s="551"/>
      <c r="O547" s="551"/>
      <c r="P547" s="551"/>
      <c r="Q547" s="79"/>
      <c r="R547" s="79"/>
      <c r="S547" s="79"/>
      <c r="T547" s="79"/>
      <c r="U547" s="79"/>
      <c r="V547" s="79"/>
      <c r="W547" s="79"/>
      <c r="X547" s="79"/>
      <c r="Y547" s="79"/>
      <c r="Z547" s="79"/>
      <c r="AA547" s="79"/>
      <c r="AB547" s="79"/>
      <c r="AC547" s="79"/>
      <c r="AD547" s="79"/>
      <c r="AE547" s="79"/>
      <c r="AF547" s="79"/>
    </row>
    <row r="548" spans="1:32" s="2" customFormat="1">
      <c r="A548" s="551"/>
      <c r="B548" s="551"/>
      <c r="C548" s="551"/>
      <c r="D548" s="551"/>
      <c r="E548" s="551"/>
      <c r="F548" s="551"/>
      <c r="G548" s="551"/>
      <c r="H548" s="551"/>
      <c r="I548" s="551"/>
      <c r="J548" s="551"/>
      <c r="K548" s="551"/>
      <c r="L548" s="551"/>
      <c r="M548" s="551"/>
      <c r="N548" s="551"/>
      <c r="O548" s="551"/>
      <c r="P548" s="551"/>
      <c r="Q548" s="79"/>
      <c r="R548" s="79"/>
      <c r="S548" s="79"/>
      <c r="T548" s="79"/>
      <c r="U548" s="79"/>
      <c r="V548" s="79"/>
      <c r="W548" s="79"/>
      <c r="X548" s="79"/>
      <c r="Y548" s="79"/>
      <c r="Z548" s="79"/>
      <c r="AA548" s="79"/>
      <c r="AB548" s="79"/>
      <c r="AC548" s="79"/>
      <c r="AD548" s="79"/>
      <c r="AE548" s="79"/>
      <c r="AF548" s="79"/>
    </row>
    <row r="549" spans="1:32" s="2" customFormat="1">
      <c r="A549" s="551"/>
      <c r="B549" s="551"/>
      <c r="C549" s="551"/>
      <c r="D549" s="551"/>
      <c r="E549" s="551"/>
      <c r="F549" s="551"/>
      <c r="G549" s="551"/>
      <c r="H549" s="551"/>
      <c r="I549" s="551"/>
      <c r="J549" s="551"/>
      <c r="K549" s="551"/>
      <c r="L549" s="551"/>
      <c r="M549" s="551"/>
      <c r="N549" s="551"/>
      <c r="O549" s="551"/>
      <c r="P549" s="551"/>
      <c r="Q549" s="79"/>
      <c r="R549" s="79"/>
      <c r="S549" s="79"/>
      <c r="T549" s="79"/>
      <c r="U549" s="79"/>
      <c r="V549" s="79"/>
      <c r="W549" s="79"/>
      <c r="X549" s="79"/>
      <c r="Y549" s="79"/>
      <c r="Z549" s="79"/>
      <c r="AA549" s="79"/>
      <c r="AB549" s="79"/>
      <c r="AC549" s="79"/>
      <c r="AD549" s="79"/>
      <c r="AE549" s="79"/>
      <c r="AF549" s="79"/>
    </row>
    <row r="550" spans="1:32" s="2" customFormat="1">
      <c r="A550" s="551"/>
      <c r="B550" s="551"/>
      <c r="C550" s="551"/>
      <c r="D550" s="551"/>
      <c r="E550" s="551"/>
      <c r="F550" s="551"/>
      <c r="G550" s="551"/>
      <c r="H550" s="551"/>
      <c r="I550" s="551"/>
      <c r="J550" s="551"/>
      <c r="K550" s="551"/>
      <c r="L550" s="551"/>
      <c r="M550" s="551"/>
      <c r="N550" s="551"/>
      <c r="O550" s="551"/>
      <c r="P550" s="551"/>
      <c r="Q550" s="79"/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79"/>
      <c r="AD550" s="79"/>
      <c r="AE550" s="79"/>
      <c r="AF550" s="79"/>
    </row>
    <row r="551" spans="1:32" s="2" customFormat="1">
      <c r="A551" s="551"/>
      <c r="B551" s="551"/>
      <c r="C551" s="551"/>
      <c r="D551" s="551"/>
      <c r="E551" s="551"/>
      <c r="F551" s="551"/>
      <c r="G551" s="551"/>
      <c r="H551" s="551"/>
      <c r="I551" s="551"/>
      <c r="J551" s="551"/>
      <c r="K551" s="551"/>
      <c r="L551" s="551"/>
      <c r="M551" s="551"/>
      <c r="N551" s="551"/>
      <c r="O551" s="551"/>
      <c r="P551" s="551"/>
      <c r="Q551" s="79"/>
      <c r="R551" s="79"/>
      <c r="S551" s="79"/>
      <c r="T551" s="79"/>
      <c r="U551" s="79"/>
      <c r="V551" s="79"/>
      <c r="W551" s="79"/>
      <c r="X551" s="79"/>
      <c r="Y551" s="79"/>
      <c r="Z551" s="79"/>
      <c r="AA551" s="79"/>
      <c r="AB551" s="79"/>
      <c r="AC551" s="79"/>
      <c r="AD551" s="79"/>
      <c r="AE551" s="79"/>
      <c r="AF551" s="79"/>
    </row>
    <row r="552" spans="1:32" s="2" customFormat="1">
      <c r="A552" s="551"/>
      <c r="B552" s="551"/>
      <c r="C552" s="551"/>
      <c r="D552" s="551"/>
      <c r="E552" s="551"/>
      <c r="F552" s="551"/>
      <c r="G552" s="551"/>
      <c r="H552" s="551"/>
      <c r="I552" s="551"/>
      <c r="J552" s="551"/>
      <c r="K552" s="551"/>
      <c r="L552" s="551"/>
      <c r="M552" s="551"/>
      <c r="N552" s="551"/>
      <c r="O552" s="551"/>
      <c r="P552" s="551"/>
      <c r="Q552" s="79"/>
      <c r="R552" s="79"/>
      <c r="S552" s="79"/>
      <c r="T552" s="79"/>
      <c r="U552" s="79"/>
      <c r="V552" s="79"/>
      <c r="W552" s="79"/>
      <c r="X552" s="79"/>
      <c r="Y552" s="79"/>
      <c r="Z552" s="79"/>
      <c r="AA552" s="79"/>
      <c r="AB552" s="79"/>
      <c r="AC552" s="79"/>
      <c r="AD552" s="79"/>
      <c r="AE552" s="79"/>
      <c r="AF552" s="79"/>
    </row>
    <row r="553" spans="1:32" s="2" customFormat="1">
      <c r="A553" s="551"/>
      <c r="B553" s="551"/>
      <c r="C553" s="551"/>
      <c r="D553" s="551"/>
      <c r="E553" s="551"/>
      <c r="F553" s="551"/>
      <c r="G553" s="551"/>
      <c r="H553" s="551"/>
      <c r="I553" s="551"/>
      <c r="J553" s="551"/>
      <c r="K553" s="551"/>
      <c r="L553" s="551"/>
      <c r="M553" s="551"/>
      <c r="N553" s="551"/>
      <c r="O553" s="551"/>
      <c r="P553" s="551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79"/>
      <c r="AD553" s="79"/>
      <c r="AE553" s="79"/>
      <c r="AF553" s="79"/>
    </row>
    <row r="554" spans="1:32" s="2" customFormat="1">
      <c r="A554" s="551"/>
      <c r="B554" s="551"/>
      <c r="C554" s="551"/>
      <c r="D554" s="551"/>
      <c r="E554" s="551"/>
      <c r="F554" s="551"/>
      <c r="G554" s="551"/>
      <c r="H554" s="551"/>
      <c r="I554" s="551"/>
      <c r="J554" s="551"/>
      <c r="K554" s="551"/>
      <c r="L554" s="551"/>
      <c r="M554" s="551"/>
      <c r="N554" s="551"/>
      <c r="O554" s="551"/>
      <c r="P554" s="551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79"/>
      <c r="AD554" s="79"/>
      <c r="AE554" s="79"/>
      <c r="AF554" s="79"/>
    </row>
    <row r="555" spans="1:32" s="2" customFormat="1">
      <c r="A555" s="551"/>
      <c r="B555" s="551"/>
      <c r="C555" s="551"/>
      <c r="D555" s="551"/>
      <c r="E555" s="551"/>
      <c r="F555" s="551"/>
      <c r="G555" s="551"/>
      <c r="H555" s="551"/>
      <c r="I555" s="551"/>
      <c r="J555" s="551"/>
      <c r="K555" s="551"/>
      <c r="L555" s="551"/>
      <c r="M555" s="551"/>
      <c r="N555" s="551"/>
      <c r="O555" s="551"/>
      <c r="P555" s="551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  <c r="AD555" s="79"/>
      <c r="AE555" s="79"/>
      <c r="AF555" s="79"/>
    </row>
    <row r="556" spans="1:32" s="2" customFormat="1">
      <c r="A556" s="551"/>
      <c r="B556" s="551"/>
      <c r="C556" s="551"/>
      <c r="D556" s="551"/>
      <c r="E556" s="551"/>
      <c r="F556" s="551"/>
      <c r="G556" s="551"/>
      <c r="H556" s="551"/>
      <c r="I556" s="551"/>
      <c r="J556" s="551"/>
      <c r="K556" s="551"/>
      <c r="L556" s="551"/>
      <c r="M556" s="551"/>
      <c r="N556" s="551"/>
      <c r="O556" s="551"/>
      <c r="P556" s="551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  <c r="AD556" s="79"/>
      <c r="AE556" s="79"/>
      <c r="AF556" s="79"/>
    </row>
    <row r="557" spans="1:32" s="2" customFormat="1">
      <c r="A557" s="551"/>
      <c r="B557" s="551"/>
      <c r="C557" s="551"/>
      <c r="D557" s="551"/>
      <c r="E557" s="551"/>
      <c r="F557" s="551"/>
      <c r="G557" s="551"/>
      <c r="H557" s="551"/>
      <c r="I557" s="551"/>
      <c r="J557" s="551"/>
      <c r="K557" s="551"/>
      <c r="L557" s="551"/>
      <c r="M557" s="551"/>
      <c r="N557" s="551"/>
      <c r="O557" s="551"/>
      <c r="P557" s="551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  <c r="AD557" s="79"/>
      <c r="AE557" s="79"/>
      <c r="AF557" s="79"/>
    </row>
    <row r="558" spans="1:32" s="2" customFormat="1">
      <c r="A558" s="551"/>
      <c r="B558" s="551"/>
      <c r="C558" s="551"/>
      <c r="D558" s="551"/>
      <c r="E558" s="551"/>
      <c r="F558" s="551"/>
      <c r="G558" s="551"/>
      <c r="H558" s="551"/>
      <c r="I558" s="551"/>
      <c r="J558" s="551"/>
      <c r="K558" s="551"/>
      <c r="L558" s="551"/>
      <c r="M558" s="551"/>
      <c r="N558" s="551"/>
      <c r="O558" s="551"/>
      <c r="P558" s="551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  <c r="AD558" s="79"/>
      <c r="AE558" s="79"/>
      <c r="AF558" s="79"/>
    </row>
    <row r="559" spans="1:32" s="2" customFormat="1">
      <c r="A559" s="551"/>
      <c r="B559" s="551"/>
      <c r="C559" s="551"/>
      <c r="D559" s="551"/>
      <c r="E559" s="551"/>
      <c r="F559" s="551"/>
      <c r="G559" s="551"/>
      <c r="H559" s="551"/>
      <c r="I559" s="551"/>
      <c r="J559" s="551"/>
      <c r="K559" s="551"/>
      <c r="L559" s="551"/>
      <c r="M559" s="551"/>
      <c r="N559" s="551"/>
      <c r="O559" s="551"/>
      <c r="P559" s="551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  <c r="AD559" s="79"/>
      <c r="AE559" s="79"/>
      <c r="AF559" s="79"/>
    </row>
    <row r="560" spans="1:32" s="2" customFormat="1">
      <c r="A560" s="551"/>
      <c r="B560" s="551"/>
      <c r="C560" s="551"/>
      <c r="D560" s="551"/>
      <c r="E560" s="551"/>
      <c r="F560" s="551"/>
      <c r="G560" s="551"/>
      <c r="H560" s="551"/>
      <c r="I560" s="551"/>
      <c r="J560" s="551"/>
      <c r="K560" s="551"/>
      <c r="L560" s="551"/>
      <c r="M560" s="551"/>
      <c r="N560" s="551"/>
      <c r="O560" s="551"/>
      <c r="P560" s="551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  <c r="AD560" s="79"/>
      <c r="AE560" s="79"/>
      <c r="AF560" s="79"/>
    </row>
    <row r="561" spans="1:32" s="2" customFormat="1">
      <c r="A561" s="551"/>
      <c r="B561" s="551"/>
      <c r="C561" s="551"/>
      <c r="D561" s="551"/>
      <c r="E561" s="551"/>
      <c r="F561" s="551"/>
      <c r="G561" s="551"/>
      <c r="H561" s="551"/>
      <c r="I561" s="551"/>
      <c r="J561" s="551"/>
      <c r="K561" s="551"/>
      <c r="L561" s="551"/>
      <c r="M561" s="551"/>
      <c r="N561" s="551"/>
      <c r="O561" s="551"/>
      <c r="P561" s="551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  <c r="AD561" s="79"/>
      <c r="AE561" s="79"/>
      <c r="AF561" s="79"/>
    </row>
    <row r="562" spans="1:32" s="2" customFormat="1">
      <c r="A562" s="551"/>
      <c r="B562" s="551"/>
      <c r="C562" s="551"/>
      <c r="D562" s="551"/>
      <c r="E562" s="551"/>
      <c r="F562" s="551"/>
      <c r="G562" s="551"/>
      <c r="H562" s="551"/>
      <c r="I562" s="551"/>
      <c r="J562" s="551"/>
      <c r="K562" s="551"/>
      <c r="L562" s="551"/>
      <c r="M562" s="551"/>
      <c r="N562" s="551"/>
      <c r="O562" s="551"/>
      <c r="P562" s="551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  <c r="AD562" s="79"/>
      <c r="AE562" s="79"/>
      <c r="AF562" s="79"/>
    </row>
    <row r="563" spans="1:32" s="2" customFormat="1">
      <c r="A563" s="551"/>
      <c r="B563" s="551"/>
      <c r="C563" s="551"/>
      <c r="D563" s="551"/>
      <c r="E563" s="551"/>
      <c r="F563" s="551"/>
      <c r="G563" s="551"/>
      <c r="H563" s="551"/>
      <c r="I563" s="551"/>
      <c r="J563" s="551"/>
      <c r="K563" s="551"/>
      <c r="L563" s="551"/>
      <c r="M563" s="551"/>
      <c r="N563" s="551"/>
      <c r="O563" s="551"/>
      <c r="P563" s="551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  <c r="AD563" s="79"/>
      <c r="AE563" s="79"/>
      <c r="AF563" s="79"/>
    </row>
    <row r="564" spans="1:32" s="2" customFormat="1">
      <c r="A564" s="551"/>
      <c r="B564" s="551"/>
      <c r="C564" s="551"/>
      <c r="D564" s="551"/>
      <c r="E564" s="551"/>
      <c r="F564" s="551"/>
      <c r="G564" s="551"/>
      <c r="H564" s="551"/>
      <c r="I564" s="551"/>
      <c r="J564" s="551"/>
      <c r="K564" s="551"/>
      <c r="L564" s="551"/>
      <c r="M564" s="551"/>
      <c r="N564" s="551"/>
      <c r="O564" s="551"/>
      <c r="P564" s="551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  <c r="AD564" s="79"/>
      <c r="AE564" s="79"/>
      <c r="AF564" s="79"/>
    </row>
    <row r="565" spans="1:32" s="2" customFormat="1">
      <c r="A565" s="551"/>
      <c r="B565" s="551"/>
      <c r="C565" s="551"/>
      <c r="D565" s="551"/>
      <c r="E565" s="551"/>
      <c r="F565" s="551"/>
      <c r="G565" s="551"/>
      <c r="H565" s="551"/>
      <c r="I565" s="551"/>
      <c r="J565" s="551"/>
      <c r="K565" s="551"/>
      <c r="L565" s="551"/>
      <c r="M565" s="551"/>
      <c r="N565" s="551"/>
      <c r="O565" s="551"/>
      <c r="P565" s="551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  <c r="AD565" s="79"/>
      <c r="AE565" s="79"/>
      <c r="AF565" s="79"/>
    </row>
    <row r="566" spans="1:32" s="2" customFormat="1">
      <c r="A566" s="551"/>
      <c r="B566" s="551"/>
      <c r="C566" s="551"/>
      <c r="D566" s="551"/>
      <c r="E566" s="551"/>
      <c r="F566" s="551"/>
      <c r="G566" s="551"/>
      <c r="H566" s="551"/>
      <c r="I566" s="551"/>
      <c r="J566" s="551"/>
      <c r="K566" s="551"/>
      <c r="L566" s="551"/>
      <c r="M566" s="551"/>
      <c r="N566" s="551"/>
      <c r="O566" s="551"/>
      <c r="P566" s="551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  <c r="AD566" s="79"/>
      <c r="AE566" s="79"/>
      <c r="AF566" s="79"/>
    </row>
    <row r="567" spans="1:32" s="2" customFormat="1">
      <c r="A567" s="551"/>
      <c r="B567" s="551"/>
      <c r="C567" s="551"/>
      <c r="D567" s="551"/>
      <c r="E567" s="551"/>
      <c r="F567" s="551"/>
      <c r="G567" s="551"/>
      <c r="H567" s="551"/>
      <c r="I567" s="551"/>
      <c r="J567" s="551"/>
      <c r="K567" s="551"/>
      <c r="L567" s="551"/>
      <c r="M567" s="551"/>
      <c r="N567" s="551"/>
      <c r="O567" s="551"/>
      <c r="P567" s="551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  <c r="AD567" s="79"/>
      <c r="AE567" s="79"/>
      <c r="AF567" s="79"/>
    </row>
    <row r="568" spans="1:32" s="2" customFormat="1">
      <c r="A568" s="551"/>
      <c r="B568" s="551"/>
      <c r="C568" s="551"/>
      <c r="D568" s="551"/>
      <c r="E568" s="551"/>
      <c r="F568" s="551"/>
      <c r="G568" s="551"/>
      <c r="H568" s="551"/>
      <c r="I568" s="551"/>
      <c r="J568" s="551"/>
      <c r="K568" s="551"/>
      <c r="L568" s="551"/>
      <c r="M568" s="551"/>
      <c r="N568" s="551"/>
      <c r="O568" s="551"/>
      <c r="P568" s="551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  <c r="AD568" s="79"/>
      <c r="AE568" s="79"/>
      <c r="AF568" s="79"/>
    </row>
    <row r="569" spans="1:32" s="2" customFormat="1">
      <c r="A569" s="551"/>
      <c r="B569" s="551"/>
      <c r="C569" s="551"/>
      <c r="D569" s="551"/>
      <c r="E569" s="551"/>
      <c r="F569" s="551"/>
      <c r="G569" s="551"/>
      <c r="H569" s="551"/>
      <c r="I569" s="551"/>
      <c r="J569" s="551"/>
      <c r="K569" s="551"/>
      <c r="L569" s="551"/>
      <c r="M569" s="551"/>
      <c r="N569" s="551"/>
      <c r="O569" s="551"/>
      <c r="P569" s="551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  <c r="AD569" s="79"/>
      <c r="AE569" s="79"/>
      <c r="AF569" s="79"/>
    </row>
    <row r="570" spans="1:32" s="2" customFormat="1">
      <c r="A570" s="551"/>
      <c r="B570" s="551"/>
      <c r="C570" s="551"/>
      <c r="D570" s="551"/>
      <c r="E570" s="551"/>
      <c r="F570" s="551"/>
      <c r="G570" s="551"/>
      <c r="H570" s="551"/>
      <c r="I570" s="551"/>
      <c r="J570" s="551"/>
      <c r="K570" s="551"/>
      <c r="L570" s="551"/>
      <c r="M570" s="551"/>
      <c r="N570" s="551"/>
      <c r="O570" s="551"/>
      <c r="P570" s="551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  <c r="AD570" s="79"/>
      <c r="AE570" s="79"/>
      <c r="AF570" s="79"/>
    </row>
    <row r="571" spans="1:32" s="2" customFormat="1">
      <c r="A571" s="551"/>
      <c r="B571" s="551"/>
      <c r="C571" s="551"/>
      <c r="D571" s="551"/>
      <c r="E571" s="551"/>
      <c r="F571" s="551"/>
      <c r="G571" s="551"/>
      <c r="H571" s="551"/>
      <c r="I571" s="551"/>
      <c r="J571" s="551"/>
      <c r="K571" s="551"/>
      <c r="L571" s="551"/>
      <c r="M571" s="551"/>
      <c r="N571" s="551"/>
      <c r="O571" s="551"/>
      <c r="P571" s="551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  <c r="AD571" s="79"/>
      <c r="AE571" s="79"/>
      <c r="AF571" s="79"/>
    </row>
    <row r="572" spans="1:32" s="2" customFormat="1">
      <c r="A572" s="551"/>
      <c r="B572" s="551"/>
      <c r="C572" s="551"/>
      <c r="D572" s="551"/>
      <c r="E572" s="551"/>
      <c r="F572" s="551"/>
      <c r="G572" s="551"/>
      <c r="H572" s="551"/>
      <c r="I572" s="551"/>
      <c r="J572" s="551"/>
      <c r="K572" s="551"/>
      <c r="L572" s="551"/>
      <c r="M572" s="551"/>
      <c r="N572" s="551"/>
      <c r="O572" s="551"/>
      <c r="P572" s="551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  <c r="AD572" s="79"/>
      <c r="AE572" s="79"/>
      <c r="AF572" s="79"/>
    </row>
    <row r="573" spans="1:32" s="2" customFormat="1">
      <c r="A573" s="551"/>
      <c r="B573" s="551"/>
      <c r="C573" s="551"/>
      <c r="D573" s="551"/>
      <c r="E573" s="551"/>
      <c r="F573" s="551"/>
      <c r="G573" s="551"/>
      <c r="H573" s="551"/>
      <c r="I573" s="551"/>
      <c r="J573" s="551"/>
      <c r="K573" s="551"/>
      <c r="L573" s="551"/>
      <c r="M573" s="551"/>
      <c r="N573" s="551"/>
      <c r="O573" s="551"/>
      <c r="P573" s="551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  <c r="AD573" s="79"/>
      <c r="AE573" s="79"/>
      <c r="AF573" s="79"/>
    </row>
    <row r="574" spans="1:32" s="2" customFormat="1">
      <c r="A574" s="551"/>
      <c r="B574" s="551"/>
      <c r="C574" s="551"/>
      <c r="D574" s="551"/>
      <c r="E574" s="551"/>
      <c r="F574" s="551"/>
      <c r="G574" s="551"/>
      <c r="H574" s="551"/>
      <c r="I574" s="551"/>
      <c r="J574" s="551"/>
      <c r="K574" s="551"/>
      <c r="L574" s="551"/>
      <c r="M574" s="551"/>
      <c r="N574" s="551"/>
      <c r="O574" s="551"/>
      <c r="P574" s="551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  <c r="AD574" s="79"/>
      <c r="AE574" s="79"/>
      <c r="AF574" s="79"/>
    </row>
    <row r="575" spans="1:32" s="2" customFormat="1">
      <c r="A575" s="551"/>
      <c r="B575" s="551"/>
      <c r="C575" s="551"/>
      <c r="D575" s="551"/>
      <c r="E575" s="551"/>
      <c r="F575" s="551"/>
      <c r="G575" s="551"/>
      <c r="H575" s="551"/>
      <c r="I575" s="551"/>
      <c r="J575" s="551"/>
      <c r="K575" s="551"/>
      <c r="L575" s="551"/>
      <c r="M575" s="551"/>
      <c r="N575" s="551"/>
      <c r="O575" s="551"/>
      <c r="P575" s="551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  <c r="AD575" s="79"/>
      <c r="AE575" s="79"/>
      <c r="AF575" s="79"/>
    </row>
    <row r="576" spans="1:32" s="2" customFormat="1">
      <c r="A576" s="551"/>
      <c r="B576" s="551"/>
      <c r="C576" s="551"/>
      <c r="D576" s="551"/>
      <c r="E576" s="551"/>
      <c r="F576" s="551"/>
      <c r="G576" s="551"/>
      <c r="H576" s="551"/>
      <c r="I576" s="551"/>
      <c r="J576" s="551"/>
      <c r="K576" s="551"/>
      <c r="L576" s="551"/>
      <c r="M576" s="551"/>
      <c r="N576" s="551"/>
      <c r="O576" s="551"/>
      <c r="P576" s="551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  <c r="AD576" s="79"/>
      <c r="AE576" s="79"/>
      <c r="AF576" s="79"/>
    </row>
    <row r="577" spans="1:32" s="2" customFormat="1">
      <c r="A577" s="551"/>
      <c r="B577" s="551"/>
      <c r="C577" s="551"/>
      <c r="D577" s="551"/>
      <c r="E577" s="551"/>
      <c r="F577" s="551"/>
      <c r="G577" s="551"/>
      <c r="H577" s="551"/>
      <c r="I577" s="551"/>
      <c r="J577" s="551"/>
      <c r="K577" s="551"/>
      <c r="L577" s="551"/>
      <c r="M577" s="551"/>
      <c r="N577" s="551"/>
      <c r="O577" s="551"/>
      <c r="P577" s="551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  <c r="AD577" s="79"/>
      <c r="AE577" s="79"/>
      <c r="AF577" s="79"/>
    </row>
    <row r="578" spans="1:32" s="2" customFormat="1">
      <c r="A578" s="551"/>
      <c r="B578" s="551"/>
      <c r="C578" s="551"/>
      <c r="D578" s="551"/>
      <c r="E578" s="551"/>
      <c r="F578" s="551"/>
      <c r="G578" s="551"/>
      <c r="H578" s="551"/>
      <c r="I578" s="551"/>
      <c r="J578" s="551"/>
      <c r="K578" s="551"/>
      <c r="L578" s="551"/>
      <c r="M578" s="551"/>
      <c r="N578" s="551"/>
      <c r="O578" s="551"/>
      <c r="P578" s="551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79"/>
      <c r="AD578" s="79"/>
      <c r="AE578" s="79"/>
      <c r="AF578" s="79"/>
    </row>
    <row r="579" spans="1:32" s="2" customFormat="1">
      <c r="A579" s="551"/>
      <c r="B579" s="551"/>
      <c r="C579" s="551"/>
      <c r="D579" s="551"/>
      <c r="E579" s="551"/>
      <c r="F579" s="551"/>
      <c r="G579" s="551"/>
      <c r="H579" s="551"/>
      <c r="I579" s="551"/>
      <c r="J579" s="551"/>
      <c r="K579" s="551"/>
      <c r="L579" s="551"/>
      <c r="M579" s="551"/>
      <c r="N579" s="551"/>
      <c r="O579" s="551"/>
      <c r="P579" s="551"/>
      <c r="Q579" s="79"/>
      <c r="R579" s="79"/>
      <c r="S579" s="79"/>
      <c r="T579" s="79"/>
      <c r="U579" s="79"/>
      <c r="V579" s="79"/>
      <c r="W579" s="79"/>
      <c r="X579" s="79"/>
      <c r="Y579" s="79"/>
      <c r="Z579" s="79"/>
      <c r="AA579" s="79"/>
      <c r="AB579" s="79"/>
      <c r="AC579" s="79"/>
      <c r="AD579" s="79"/>
      <c r="AE579" s="79"/>
      <c r="AF579" s="79"/>
    </row>
    <row r="580" spans="1:32" s="2" customFormat="1">
      <c r="A580" s="551"/>
      <c r="B580" s="551"/>
      <c r="C580" s="551"/>
      <c r="D580" s="551"/>
      <c r="E580" s="551"/>
      <c r="F580" s="551"/>
      <c r="G580" s="551"/>
      <c r="H580" s="551"/>
      <c r="I580" s="551"/>
      <c r="J580" s="551"/>
      <c r="K580" s="551"/>
      <c r="L580" s="551"/>
      <c r="M580" s="551"/>
      <c r="N580" s="551"/>
      <c r="O580" s="551"/>
      <c r="P580" s="551"/>
      <c r="Q580" s="79"/>
      <c r="R580" s="79"/>
      <c r="S580" s="79"/>
      <c r="T580" s="79"/>
      <c r="U580" s="79"/>
      <c r="V580" s="79"/>
      <c r="W580" s="79"/>
      <c r="X580" s="79"/>
      <c r="Y580" s="79"/>
      <c r="Z580" s="79"/>
      <c r="AA580" s="79"/>
      <c r="AB580" s="79"/>
      <c r="AC580" s="79"/>
      <c r="AD580" s="79"/>
      <c r="AE580" s="79"/>
      <c r="AF580" s="79"/>
    </row>
    <row r="581" spans="1:32" s="2" customFormat="1">
      <c r="A581" s="551"/>
      <c r="B581" s="551"/>
      <c r="C581" s="551"/>
      <c r="D581" s="551"/>
      <c r="E581" s="551"/>
      <c r="F581" s="551"/>
      <c r="G581" s="551"/>
      <c r="H581" s="551"/>
      <c r="I581" s="551"/>
      <c r="J581" s="551"/>
      <c r="K581" s="551"/>
      <c r="L581" s="551"/>
      <c r="M581" s="551"/>
      <c r="N581" s="551"/>
      <c r="O581" s="551"/>
      <c r="P581" s="551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/>
      <c r="AC581" s="79"/>
      <c r="AD581" s="79"/>
      <c r="AE581" s="79"/>
      <c r="AF581" s="79"/>
    </row>
    <row r="582" spans="1:32" s="2" customFormat="1">
      <c r="A582" s="551"/>
      <c r="B582" s="551"/>
      <c r="C582" s="551"/>
      <c r="D582" s="551"/>
      <c r="E582" s="551"/>
      <c r="F582" s="551"/>
      <c r="G582" s="551"/>
      <c r="H582" s="551"/>
      <c r="I582" s="551"/>
      <c r="J582" s="551"/>
      <c r="K582" s="551"/>
      <c r="L582" s="551"/>
      <c r="M582" s="551"/>
      <c r="N582" s="551"/>
      <c r="O582" s="551"/>
      <c r="P582" s="551"/>
      <c r="Q582" s="79"/>
      <c r="R582" s="79"/>
      <c r="S582" s="79"/>
      <c r="T582" s="79"/>
      <c r="U582" s="79"/>
      <c r="V582" s="79"/>
      <c r="W582" s="79"/>
      <c r="X582" s="79"/>
      <c r="Y582" s="79"/>
      <c r="Z582" s="79"/>
      <c r="AA582" s="79"/>
      <c r="AB582" s="79"/>
      <c r="AC582" s="79"/>
      <c r="AD582" s="79"/>
      <c r="AE582" s="79"/>
      <c r="AF582" s="79"/>
    </row>
    <row r="583" spans="1:32" s="2" customFormat="1">
      <c r="A583" s="551"/>
      <c r="B583" s="551"/>
      <c r="C583" s="551"/>
      <c r="D583" s="551"/>
      <c r="E583" s="551"/>
      <c r="F583" s="551"/>
      <c r="G583" s="551"/>
      <c r="H583" s="551"/>
      <c r="I583" s="551"/>
      <c r="J583" s="551"/>
      <c r="K583" s="551"/>
      <c r="L583" s="551"/>
      <c r="M583" s="551"/>
      <c r="N583" s="551"/>
      <c r="O583" s="551"/>
      <c r="P583" s="551"/>
      <c r="Q583" s="79"/>
      <c r="R583" s="79"/>
      <c r="S583" s="79"/>
      <c r="T583" s="79"/>
      <c r="U583" s="79"/>
      <c r="V583" s="79"/>
      <c r="W583" s="79"/>
      <c r="X583" s="79"/>
      <c r="Y583" s="79"/>
      <c r="Z583" s="79"/>
      <c r="AA583" s="79"/>
      <c r="AB583" s="79"/>
      <c r="AC583" s="79"/>
      <c r="AD583" s="79"/>
      <c r="AE583" s="79"/>
      <c r="AF583" s="79"/>
    </row>
    <row r="584" spans="1:32" s="2" customFormat="1">
      <c r="A584" s="551"/>
      <c r="B584" s="551"/>
      <c r="C584" s="551"/>
      <c r="D584" s="551"/>
      <c r="E584" s="551"/>
      <c r="F584" s="551"/>
      <c r="G584" s="551"/>
      <c r="H584" s="551"/>
      <c r="I584" s="551"/>
      <c r="J584" s="551"/>
      <c r="K584" s="551"/>
      <c r="L584" s="551"/>
      <c r="M584" s="551"/>
      <c r="N584" s="551"/>
      <c r="O584" s="551"/>
      <c r="P584" s="551"/>
      <c r="Q584" s="79"/>
      <c r="R584" s="79"/>
      <c r="S584" s="79"/>
      <c r="T584" s="79"/>
      <c r="U584" s="79"/>
      <c r="V584" s="79"/>
      <c r="W584" s="79"/>
      <c r="X584" s="79"/>
      <c r="Y584" s="79"/>
      <c r="Z584" s="79"/>
      <c r="AA584" s="79"/>
      <c r="AB584" s="79"/>
      <c r="AC584" s="79"/>
      <c r="AD584" s="79"/>
      <c r="AE584" s="79"/>
      <c r="AF584" s="79"/>
    </row>
    <row r="585" spans="1:32" s="2" customFormat="1">
      <c r="A585" s="551"/>
      <c r="B585" s="551"/>
      <c r="C585" s="551"/>
      <c r="D585" s="551"/>
      <c r="E585" s="551"/>
      <c r="F585" s="551"/>
      <c r="G585" s="551"/>
      <c r="H585" s="551"/>
      <c r="I585" s="551"/>
      <c r="J585" s="551"/>
      <c r="K585" s="551"/>
      <c r="L585" s="551"/>
      <c r="M585" s="551"/>
      <c r="N585" s="551"/>
      <c r="O585" s="551"/>
      <c r="P585" s="551"/>
      <c r="Q585" s="79"/>
      <c r="R585" s="79"/>
      <c r="S585" s="79"/>
      <c r="T585" s="79"/>
      <c r="U585" s="79"/>
      <c r="V585" s="79"/>
      <c r="W585" s="79"/>
      <c r="X585" s="79"/>
      <c r="Y585" s="79"/>
      <c r="Z585" s="79"/>
      <c r="AA585" s="79"/>
      <c r="AB585" s="79"/>
      <c r="AC585" s="79"/>
      <c r="AD585" s="79"/>
      <c r="AE585" s="79"/>
      <c r="AF585" s="79"/>
    </row>
    <row r="586" spans="1:32" s="2" customFormat="1">
      <c r="A586" s="551"/>
      <c r="B586" s="551"/>
      <c r="C586" s="551"/>
      <c r="D586" s="551"/>
      <c r="E586" s="551"/>
      <c r="F586" s="551"/>
      <c r="G586" s="551"/>
      <c r="H586" s="551"/>
      <c r="I586" s="551"/>
      <c r="J586" s="551"/>
      <c r="K586" s="551"/>
      <c r="L586" s="551"/>
      <c r="M586" s="551"/>
      <c r="N586" s="551"/>
      <c r="O586" s="551"/>
      <c r="P586" s="551"/>
      <c r="Q586" s="79"/>
      <c r="R586" s="79"/>
      <c r="S586" s="79"/>
      <c r="T586" s="79"/>
      <c r="U586" s="79"/>
      <c r="V586" s="79"/>
      <c r="W586" s="79"/>
      <c r="X586" s="79"/>
      <c r="Y586" s="79"/>
      <c r="Z586" s="79"/>
      <c r="AA586" s="79"/>
      <c r="AB586" s="79"/>
      <c r="AC586" s="79"/>
      <c r="AD586" s="79"/>
      <c r="AE586" s="79"/>
      <c r="AF586" s="79"/>
    </row>
    <row r="587" spans="1:32" s="2" customFormat="1">
      <c r="A587" s="551"/>
      <c r="B587" s="551"/>
      <c r="C587" s="551"/>
      <c r="D587" s="551"/>
      <c r="E587" s="551"/>
      <c r="F587" s="551"/>
      <c r="G587" s="551"/>
      <c r="H587" s="551"/>
      <c r="I587" s="551"/>
      <c r="J587" s="551"/>
      <c r="K587" s="551"/>
      <c r="L587" s="551"/>
      <c r="M587" s="551"/>
      <c r="N587" s="551"/>
      <c r="O587" s="551"/>
      <c r="P587" s="551"/>
      <c r="Q587" s="79"/>
      <c r="R587" s="79"/>
      <c r="S587" s="79"/>
      <c r="T587" s="79"/>
      <c r="U587" s="79"/>
      <c r="V587" s="79"/>
      <c r="W587" s="79"/>
      <c r="X587" s="79"/>
      <c r="Y587" s="79"/>
      <c r="Z587" s="79"/>
      <c r="AA587" s="79"/>
      <c r="AB587" s="79"/>
      <c r="AC587" s="79"/>
      <c r="AD587" s="79"/>
      <c r="AE587" s="79"/>
      <c r="AF587" s="79"/>
    </row>
    <row r="588" spans="1:32" s="2" customFormat="1">
      <c r="A588" s="551"/>
      <c r="B588" s="551"/>
      <c r="C588" s="551"/>
      <c r="D588" s="551"/>
      <c r="E588" s="551"/>
      <c r="F588" s="551"/>
      <c r="G588" s="551"/>
      <c r="H588" s="551"/>
      <c r="I588" s="551"/>
      <c r="J588" s="551"/>
      <c r="K588" s="551"/>
      <c r="L588" s="551"/>
      <c r="M588" s="551"/>
      <c r="N588" s="551"/>
      <c r="O588" s="551"/>
      <c r="P588" s="551"/>
      <c r="Q588" s="79"/>
      <c r="R588" s="79"/>
      <c r="S588" s="79"/>
      <c r="T588" s="79"/>
      <c r="U588" s="79"/>
      <c r="V588" s="79"/>
      <c r="W588" s="79"/>
      <c r="X588" s="79"/>
      <c r="Y588" s="79"/>
      <c r="Z588" s="79"/>
      <c r="AA588" s="79"/>
      <c r="AB588" s="79"/>
      <c r="AC588" s="79"/>
      <c r="AD588" s="79"/>
      <c r="AE588" s="79"/>
      <c r="AF588" s="79"/>
    </row>
    <row r="589" spans="1:32" s="2" customFormat="1">
      <c r="A589" s="551"/>
      <c r="B589" s="551"/>
      <c r="C589" s="551"/>
      <c r="D589" s="551"/>
      <c r="E589" s="551"/>
      <c r="F589" s="551"/>
      <c r="G589" s="551"/>
      <c r="H589" s="551"/>
      <c r="I589" s="551"/>
      <c r="J589" s="551"/>
      <c r="K589" s="551"/>
      <c r="L589" s="551"/>
      <c r="M589" s="551"/>
      <c r="N589" s="551"/>
      <c r="O589" s="551"/>
      <c r="P589" s="551"/>
      <c r="Q589" s="79"/>
      <c r="R589" s="79"/>
      <c r="S589" s="79"/>
      <c r="T589" s="79"/>
      <c r="U589" s="79"/>
      <c r="V589" s="79"/>
      <c r="W589" s="79"/>
      <c r="X589" s="79"/>
      <c r="Y589" s="79"/>
      <c r="Z589" s="79"/>
      <c r="AA589" s="79"/>
      <c r="AB589" s="79"/>
      <c r="AC589" s="79"/>
      <c r="AD589" s="79"/>
      <c r="AE589" s="79"/>
      <c r="AF589" s="79"/>
    </row>
    <row r="590" spans="1:32" s="2" customFormat="1">
      <c r="A590" s="551"/>
      <c r="B590" s="551"/>
      <c r="C590" s="551"/>
      <c r="D590" s="551"/>
      <c r="E590" s="551"/>
      <c r="F590" s="551"/>
      <c r="G590" s="551"/>
      <c r="H590" s="551"/>
      <c r="I590" s="551"/>
      <c r="J590" s="551"/>
      <c r="K590" s="551"/>
      <c r="L590" s="551"/>
      <c r="M590" s="551"/>
      <c r="N590" s="551"/>
      <c r="O590" s="551"/>
      <c r="P590" s="551"/>
      <c r="Q590" s="79"/>
      <c r="R590" s="79"/>
      <c r="S590" s="79"/>
      <c r="T590" s="79"/>
      <c r="U590" s="79"/>
      <c r="V590" s="79"/>
      <c r="W590" s="79"/>
      <c r="X590" s="79"/>
      <c r="Y590" s="79"/>
      <c r="Z590" s="79"/>
      <c r="AA590" s="79"/>
      <c r="AB590" s="79"/>
      <c r="AC590" s="79"/>
      <c r="AD590" s="79"/>
      <c r="AE590" s="79"/>
      <c r="AF590" s="79"/>
    </row>
    <row r="591" spans="1:32" s="2" customFormat="1">
      <c r="A591" s="551"/>
      <c r="B591" s="551"/>
      <c r="C591" s="551"/>
      <c r="D591" s="551"/>
      <c r="E591" s="551"/>
      <c r="F591" s="551"/>
      <c r="G591" s="551"/>
      <c r="H591" s="551"/>
      <c r="I591" s="551"/>
      <c r="J591" s="551"/>
      <c r="K591" s="551"/>
      <c r="L591" s="551"/>
      <c r="M591" s="551"/>
      <c r="N591" s="551"/>
      <c r="O591" s="551"/>
      <c r="P591" s="551"/>
      <c r="Q591" s="79"/>
      <c r="R591" s="79"/>
      <c r="S591" s="79"/>
      <c r="T591" s="79"/>
      <c r="U591" s="79"/>
      <c r="V591" s="79"/>
      <c r="W591" s="79"/>
      <c r="X591" s="79"/>
      <c r="Y591" s="79"/>
      <c r="Z591" s="79"/>
      <c r="AA591" s="79"/>
      <c r="AB591" s="79"/>
      <c r="AC591" s="79"/>
      <c r="AD591" s="79"/>
      <c r="AE591" s="79"/>
      <c r="AF591" s="79"/>
    </row>
    <row r="592" spans="1:32" s="2" customFormat="1">
      <c r="A592" s="551"/>
      <c r="B592" s="551"/>
      <c r="C592" s="551"/>
      <c r="D592" s="551"/>
      <c r="E592" s="551"/>
      <c r="F592" s="551"/>
      <c r="G592" s="551"/>
      <c r="H592" s="551"/>
      <c r="I592" s="551"/>
      <c r="J592" s="551"/>
      <c r="K592" s="551"/>
      <c r="L592" s="551"/>
      <c r="M592" s="551"/>
      <c r="N592" s="551"/>
      <c r="O592" s="551"/>
      <c r="P592" s="551"/>
      <c r="Q592" s="79"/>
      <c r="R592" s="79"/>
      <c r="S592" s="79"/>
      <c r="T592" s="79"/>
      <c r="U592" s="79"/>
      <c r="V592" s="79"/>
      <c r="W592" s="79"/>
      <c r="X592" s="79"/>
      <c r="Y592" s="79"/>
      <c r="Z592" s="79"/>
      <c r="AA592" s="79"/>
      <c r="AB592" s="79"/>
      <c r="AC592" s="79"/>
      <c r="AD592" s="79"/>
      <c r="AE592" s="79"/>
      <c r="AF592" s="79"/>
    </row>
    <row r="593" spans="1:32" s="2" customFormat="1">
      <c r="A593" s="551"/>
      <c r="B593" s="551"/>
      <c r="C593" s="551"/>
      <c r="D593" s="551"/>
      <c r="E593" s="551"/>
      <c r="F593" s="551"/>
      <c r="G593" s="551"/>
      <c r="H593" s="551"/>
      <c r="I593" s="551"/>
      <c r="J593" s="551"/>
      <c r="K593" s="551"/>
      <c r="L593" s="551"/>
      <c r="M593" s="551"/>
      <c r="N593" s="551"/>
      <c r="O593" s="551"/>
      <c r="P593" s="551"/>
      <c r="Q593" s="79"/>
      <c r="R593" s="79"/>
      <c r="S593" s="79"/>
      <c r="T593" s="79"/>
      <c r="U593" s="79"/>
      <c r="V593" s="79"/>
      <c r="W593" s="79"/>
      <c r="X593" s="79"/>
      <c r="Y593" s="79"/>
      <c r="Z593" s="79"/>
      <c r="AA593" s="79"/>
      <c r="AB593" s="79"/>
      <c r="AC593" s="79"/>
      <c r="AD593" s="79"/>
      <c r="AE593" s="79"/>
      <c r="AF593" s="79"/>
    </row>
    <row r="594" spans="1:32" s="2" customFormat="1">
      <c r="A594" s="551"/>
      <c r="B594" s="551"/>
      <c r="C594" s="551"/>
      <c r="D594" s="551"/>
      <c r="E594" s="551"/>
      <c r="F594" s="551"/>
      <c r="G594" s="551"/>
      <c r="H594" s="551"/>
      <c r="I594" s="551"/>
      <c r="J594" s="551"/>
      <c r="K594" s="551"/>
      <c r="L594" s="551"/>
      <c r="M594" s="551"/>
      <c r="N594" s="551"/>
      <c r="O594" s="551"/>
      <c r="P594" s="551"/>
      <c r="Q594" s="79"/>
      <c r="R594" s="79"/>
      <c r="S594" s="79"/>
      <c r="T594" s="79"/>
      <c r="U594" s="79"/>
      <c r="V594" s="79"/>
      <c r="W594" s="79"/>
      <c r="X594" s="79"/>
      <c r="Y594" s="79"/>
      <c r="Z594" s="79"/>
      <c r="AA594" s="79"/>
      <c r="AB594" s="79"/>
      <c r="AC594" s="79"/>
      <c r="AD594" s="79"/>
      <c r="AE594" s="79"/>
      <c r="AF594" s="79"/>
    </row>
    <row r="595" spans="1:32" s="2" customFormat="1">
      <c r="A595" s="551"/>
      <c r="B595" s="551"/>
      <c r="C595" s="551"/>
      <c r="D595" s="551"/>
      <c r="E595" s="551"/>
      <c r="F595" s="551"/>
      <c r="G595" s="551"/>
      <c r="H595" s="551"/>
      <c r="I595" s="551"/>
      <c r="J595" s="551"/>
      <c r="K595" s="551"/>
      <c r="L595" s="551"/>
      <c r="M595" s="551"/>
      <c r="N595" s="551"/>
      <c r="O595" s="551"/>
      <c r="P595" s="551"/>
      <c r="Q595" s="79"/>
      <c r="R595" s="79"/>
      <c r="S595" s="79"/>
      <c r="T595" s="79"/>
      <c r="U595" s="79"/>
      <c r="V595" s="79"/>
      <c r="W595" s="79"/>
      <c r="X595" s="79"/>
      <c r="Y595" s="79"/>
      <c r="Z595" s="79"/>
      <c r="AA595" s="79"/>
      <c r="AB595" s="79"/>
      <c r="AC595" s="79"/>
      <c r="AD595" s="79"/>
      <c r="AE595" s="79"/>
      <c r="AF595" s="79"/>
    </row>
    <row r="596" spans="1:32" s="2" customFormat="1">
      <c r="A596" s="551"/>
      <c r="B596" s="551"/>
      <c r="C596" s="551"/>
      <c r="D596" s="551"/>
      <c r="E596" s="551"/>
      <c r="F596" s="551"/>
      <c r="G596" s="551"/>
      <c r="H596" s="551"/>
      <c r="I596" s="551"/>
      <c r="J596" s="551"/>
      <c r="K596" s="551"/>
      <c r="L596" s="551"/>
      <c r="M596" s="551"/>
      <c r="N596" s="551"/>
      <c r="O596" s="551"/>
      <c r="P596" s="551"/>
      <c r="Q596" s="79"/>
      <c r="R596" s="79"/>
      <c r="S596" s="79"/>
      <c r="T596" s="79"/>
      <c r="U596" s="79"/>
      <c r="V596" s="79"/>
      <c r="W596" s="79"/>
      <c r="X596" s="79"/>
      <c r="Y596" s="79"/>
      <c r="Z596" s="79"/>
      <c r="AA596" s="79"/>
      <c r="AB596" s="79"/>
      <c r="AC596" s="79"/>
      <c r="AD596" s="79"/>
      <c r="AE596" s="79"/>
      <c r="AF596" s="79"/>
    </row>
    <row r="597" spans="1:32" s="2" customFormat="1">
      <c r="A597" s="551"/>
      <c r="B597" s="551"/>
      <c r="C597" s="551"/>
      <c r="D597" s="551"/>
      <c r="E597" s="551"/>
      <c r="F597" s="551"/>
      <c r="G597" s="551"/>
      <c r="H597" s="551"/>
      <c r="I597" s="551"/>
      <c r="J597" s="551"/>
      <c r="K597" s="551"/>
      <c r="L597" s="551"/>
      <c r="M597" s="551"/>
      <c r="N597" s="551"/>
      <c r="O597" s="551"/>
      <c r="P597" s="551"/>
      <c r="Q597" s="79"/>
      <c r="R597" s="79"/>
      <c r="S597" s="79"/>
      <c r="T597" s="79"/>
      <c r="U597" s="79"/>
      <c r="V597" s="79"/>
      <c r="W597" s="79"/>
      <c r="X597" s="79"/>
      <c r="Y597" s="79"/>
      <c r="Z597" s="79"/>
      <c r="AA597" s="79"/>
      <c r="AB597" s="79"/>
      <c r="AC597" s="79"/>
      <c r="AD597" s="79"/>
      <c r="AE597" s="79"/>
      <c r="AF597" s="79"/>
    </row>
    <row r="598" spans="1:32" s="2" customFormat="1">
      <c r="A598" s="551"/>
      <c r="B598" s="551"/>
      <c r="C598" s="551"/>
      <c r="D598" s="551"/>
      <c r="E598" s="551"/>
      <c r="F598" s="551"/>
      <c r="G598" s="551"/>
      <c r="H598" s="551"/>
      <c r="I598" s="551"/>
      <c r="J598" s="551"/>
      <c r="K598" s="551"/>
      <c r="L598" s="551"/>
      <c r="M598" s="551"/>
      <c r="N598" s="551"/>
      <c r="O598" s="551"/>
      <c r="P598" s="551"/>
      <c r="Q598" s="79"/>
      <c r="R598" s="79"/>
      <c r="S598" s="79"/>
      <c r="T598" s="79"/>
      <c r="U598" s="79"/>
      <c r="V598" s="79"/>
      <c r="W598" s="79"/>
      <c r="X598" s="79"/>
      <c r="Y598" s="79"/>
      <c r="Z598" s="79"/>
      <c r="AA598" s="79"/>
      <c r="AB598" s="79"/>
      <c r="AC598" s="79"/>
      <c r="AD598" s="79"/>
      <c r="AE598" s="79"/>
      <c r="AF598" s="79"/>
    </row>
    <row r="599" spans="1:32" s="2" customFormat="1">
      <c r="A599" s="551"/>
      <c r="B599" s="551"/>
      <c r="C599" s="551"/>
      <c r="D599" s="551"/>
      <c r="E599" s="551"/>
      <c r="F599" s="551"/>
      <c r="G599" s="551"/>
      <c r="H599" s="551"/>
      <c r="I599" s="551"/>
      <c r="J599" s="551"/>
      <c r="K599" s="551"/>
      <c r="L599" s="551"/>
      <c r="M599" s="551"/>
      <c r="N599" s="551"/>
      <c r="O599" s="551"/>
      <c r="P599" s="551"/>
      <c r="Q599" s="79"/>
      <c r="R599" s="79"/>
      <c r="S599" s="79"/>
      <c r="T599" s="79"/>
      <c r="U599" s="79"/>
      <c r="V599" s="79"/>
      <c r="W599" s="79"/>
      <c r="X599" s="79"/>
      <c r="Y599" s="79"/>
      <c r="Z599" s="79"/>
      <c r="AA599" s="79"/>
      <c r="AB599" s="79"/>
      <c r="AC599" s="79"/>
      <c r="AD599" s="79"/>
      <c r="AE599" s="79"/>
      <c r="AF599" s="79"/>
    </row>
    <row r="600" spans="1:32" s="2" customFormat="1">
      <c r="A600" s="551"/>
      <c r="B600" s="551"/>
      <c r="C600" s="551"/>
      <c r="D600" s="551"/>
      <c r="E600" s="551"/>
      <c r="F600" s="551"/>
      <c r="G600" s="551"/>
      <c r="H600" s="551"/>
      <c r="I600" s="551"/>
      <c r="J600" s="551"/>
      <c r="K600" s="551"/>
      <c r="L600" s="551"/>
      <c r="M600" s="551"/>
      <c r="N600" s="551"/>
      <c r="O600" s="551"/>
      <c r="P600" s="551"/>
      <c r="Q600" s="79"/>
      <c r="R600" s="79"/>
      <c r="S600" s="79"/>
      <c r="T600" s="79"/>
      <c r="U600" s="79"/>
      <c r="V600" s="79"/>
      <c r="W600" s="79"/>
      <c r="X600" s="79"/>
      <c r="Y600" s="79"/>
      <c r="Z600" s="79"/>
      <c r="AA600" s="79"/>
      <c r="AB600" s="79"/>
      <c r="AC600" s="79"/>
      <c r="AD600" s="79"/>
      <c r="AE600" s="79"/>
      <c r="AF600" s="79"/>
    </row>
    <row r="601" spans="1:32" s="2" customFormat="1">
      <c r="A601" s="551"/>
      <c r="B601" s="551"/>
      <c r="C601" s="551"/>
      <c r="D601" s="551"/>
      <c r="E601" s="551"/>
      <c r="F601" s="551"/>
      <c r="G601" s="551"/>
      <c r="H601" s="551"/>
      <c r="I601" s="551"/>
      <c r="J601" s="551"/>
      <c r="K601" s="551"/>
      <c r="L601" s="551"/>
      <c r="M601" s="551"/>
      <c r="N601" s="551"/>
      <c r="O601" s="551"/>
      <c r="P601" s="551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  <c r="AD601" s="79"/>
      <c r="AE601" s="79"/>
      <c r="AF601" s="79"/>
    </row>
    <row r="602" spans="1:32" s="2" customFormat="1">
      <c r="A602" s="551"/>
      <c r="B602" s="551"/>
      <c r="C602" s="551"/>
      <c r="D602" s="551"/>
      <c r="E602" s="551"/>
      <c r="F602" s="551"/>
      <c r="G602" s="551"/>
      <c r="H602" s="551"/>
      <c r="I602" s="551"/>
      <c r="J602" s="551"/>
      <c r="K602" s="551"/>
      <c r="L602" s="551"/>
      <c r="M602" s="551"/>
      <c r="N602" s="551"/>
      <c r="O602" s="551"/>
      <c r="P602" s="551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  <c r="AD602" s="79"/>
      <c r="AE602" s="79"/>
      <c r="AF602" s="79"/>
    </row>
    <row r="603" spans="1:32" s="2" customFormat="1">
      <c r="A603" s="551"/>
      <c r="B603" s="551"/>
      <c r="C603" s="551"/>
      <c r="D603" s="551"/>
      <c r="E603" s="551"/>
      <c r="F603" s="551"/>
      <c r="G603" s="551"/>
      <c r="H603" s="551"/>
      <c r="I603" s="551"/>
      <c r="J603" s="551"/>
      <c r="K603" s="551"/>
      <c r="L603" s="551"/>
      <c r="M603" s="551"/>
      <c r="N603" s="551"/>
      <c r="O603" s="551"/>
      <c r="P603" s="551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  <c r="AD603" s="79"/>
      <c r="AE603" s="79"/>
      <c r="AF603" s="79"/>
    </row>
    <row r="604" spans="1:32" s="2" customFormat="1">
      <c r="A604" s="551"/>
      <c r="B604" s="551"/>
      <c r="C604" s="551"/>
      <c r="D604" s="551"/>
      <c r="E604" s="551"/>
      <c r="F604" s="551"/>
      <c r="G604" s="551"/>
      <c r="H604" s="551"/>
      <c r="I604" s="551"/>
      <c r="J604" s="551"/>
      <c r="K604" s="551"/>
      <c r="L604" s="551"/>
      <c r="M604" s="551"/>
      <c r="N604" s="551"/>
      <c r="O604" s="551"/>
      <c r="P604" s="551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  <c r="AD604" s="79"/>
      <c r="AE604" s="79"/>
      <c r="AF604" s="79"/>
    </row>
    <row r="605" spans="1:32" s="2" customFormat="1">
      <c r="A605" s="551"/>
      <c r="B605" s="551"/>
      <c r="C605" s="551"/>
      <c r="D605" s="551"/>
      <c r="E605" s="551"/>
      <c r="F605" s="551"/>
      <c r="G605" s="551"/>
      <c r="H605" s="551"/>
      <c r="I605" s="551"/>
      <c r="J605" s="551"/>
      <c r="K605" s="551"/>
      <c r="L605" s="551"/>
      <c r="M605" s="551"/>
      <c r="N605" s="551"/>
      <c r="O605" s="551"/>
      <c r="P605" s="551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  <c r="AD605" s="79"/>
      <c r="AE605" s="79"/>
      <c r="AF605" s="79"/>
    </row>
    <row r="606" spans="1:32" s="2" customFormat="1">
      <c r="A606" s="551"/>
      <c r="B606" s="551"/>
      <c r="C606" s="551"/>
      <c r="D606" s="551"/>
      <c r="E606" s="551"/>
      <c r="F606" s="551"/>
      <c r="G606" s="551"/>
      <c r="H606" s="551"/>
      <c r="I606" s="551"/>
      <c r="J606" s="551"/>
      <c r="K606" s="551"/>
      <c r="L606" s="551"/>
      <c r="M606" s="551"/>
      <c r="N606" s="551"/>
      <c r="O606" s="551"/>
      <c r="P606" s="551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  <c r="AD606" s="79"/>
      <c r="AE606" s="79"/>
      <c r="AF606" s="79"/>
    </row>
    <row r="607" spans="1:32" s="2" customFormat="1">
      <c r="A607" s="551"/>
      <c r="B607" s="551"/>
      <c r="C607" s="551"/>
      <c r="D607" s="551"/>
      <c r="E607" s="551"/>
      <c r="F607" s="551"/>
      <c r="G607" s="551"/>
      <c r="H607" s="551"/>
      <c r="I607" s="551"/>
      <c r="J607" s="551"/>
      <c r="K607" s="551"/>
      <c r="L607" s="551"/>
      <c r="M607" s="551"/>
      <c r="N607" s="551"/>
      <c r="O607" s="551"/>
      <c r="P607" s="551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  <c r="AD607" s="79"/>
      <c r="AE607" s="79"/>
      <c r="AF607" s="79"/>
    </row>
    <row r="608" spans="1:32" s="2" customFormat="1">
      <c r="A608" s="551"/>
      <c r="B608" s="551"/>
      <c r="C608" s="551"/>
      <c r="D608" s="551"/>
      <c r="E608" s="551"/>
      <c r="F608" s="551"/>
      <c r="G608" s="551"/>
      <c r="H608" s="551"/>
      <c r="I608" s="551"/>
      <c r="J608" s="551"/>
      <c r="K608" s="551"/>
      <c r="L608" s="551"/>
      <c r="M608" s="551"/>
      <c r="N608" s="551"/>
      <c r="O608" s="551"/>
      <c r="P608" s="551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  <c r="AD608" s="79"/>
      <c r="AE608" s="79"/>
      <c r="AF608" s="79"/>
    </row>
    <row r="609" spans="1:32" s="2" customFormat="1">
      <c r="A609" s="551"/>
      <c r="B609" s="551"/>
      <c r="C609" s="551"/>
      <c r="D609" s="551"/>
      <c r="E609" s="551"/>
      <c r="F609" s="551"/>
      <c r="G609" s="551"/>
      <c r="H609" s="551"/>
      <c r="I609" s="551"/>
      <c r="J609" s="551"/>
      <c r="K609" s="551"/>
      <c r="L609" s="551"/>
      <c r="M609" s="551"/>
      <c r="N609" s="551"/>
      <c r="O609" s="551"/>
      <c r="P609" s="551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  <c r="AD609" s="79"/>
      <c r="AE609" s="79"/>
      <c r="AF609" s="79"/>
    </row>
    <row r="610" spans="1:32" s="2" customFormat="1">
      <c r="A610" s="551"/>
      <c r="B610" s="551"/>
      <c r="C610" s="551"/>
      <c r="D610" s="551"/>
      <c r="E610" s="551"/>
      <c r="F610" s="551"/>
      <c r="G610" s="551"/>
      <c r="H610" s="551"/>
      <c r="I610" s="551"/>
      <c r="J610" s="551"/>
      <c r="K610" s="551"/>
      <c r="L610" s="551"/>
      <c r="M610" s="551"/>
      <c r="N610" s="551"/>
      <c r="O610" s="551"/>
      <c r="P610" s="551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  <c r="AD610" s="79"/>
      <c r="AE610" s="79"/>
      <c r="AF610" s="79"/>
    </row>
    <row r="611" spans="1:32" s="2" customFormat="1">
      <c r="A611" s="551"/>
      <c r="B611" s="551"/>
      <c r="C611" s="551"/>
      <c r="D611" s="551"/>
      <c r="E611" s="551"/>
      <c r="F611" s="551"/>
      <c r="G611" s="551"/>
      <c r="H611" s="551"/>
      <c r="I611" s="551"/>
      <c r="J611" s="551"/>
      <c r="K611" s="551"/>
      <c r="L611" s="551"/>
      <c r="M611" s="551"/>
      <c r="N611" s="551"/>
      <c r="O611" s="551"/>
      <c r="P611" s="551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  <c r="AD611" s="79"/>
      <c r="AE611" s="79"/>
      <c r="AF611" s="79"/>
    </row>
    <row r="612" spans="1:32" s="2" customFormat="1">
      <c r="A612" s="551"/>
      <c r="B612" s="551"/>
      <c r="C612" s="551"/>
      <c r="D612" s="551"/>
      <c r="E612" s="551"/>
      <c r="F612" s="551"/>
      <c r="G612" s="551"/>
      <c r="H612" s="551"/>
      <c r="I612" s="551"/>
      <c r="J612" s="551"/>
      <c r="K612" s="551"/>
      <c r="L612" s="551"/>
      <c r="M612" s="551"/>
      <c r="N612" s="551"/>
      <c r="O612" s="551"/>
      <c r="P612" s="551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  <c r="AD612" s="79"/>
      <c r="AE612" s="79"/>
      <c r="AF612" s="79"/>
    </row>
    <row r="613" spans="1:32" s="2" customFormat="1">
      <c r="A613" s="551"/>
      <c r="B613" s="551"/>
      <c r="C613" s="551"/>
      <c r="D613" s="551"/>
      <c r="E613" s="551"/>
      <c r="F613" s="551"/>
      <c r="G613" s="551"/>
      <c r="H613" s="551"/>
      <c r="I613" s="551"/>
      <c r="J613" s="551"/>
      <c r="K613" s="551"/>
      <c r="L613" s="551"/>
      <c r="M613" s="551"/>
      <c r="N613" s="551"/>
      <c r="O613" s="551"/>
      <c r="P613" s="551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  <c r="AD613" s="79"/>
      <c r="AE613" s="79"/>
      <c r="AF613" s="79"/>
    </row>
    <row r="614" spans="1:32" s="2" customFormat="1">
      <c r="A614" s="551"/>
      <c r="B614" s="551"/>
      <c r="C614" s="551"/>
      <c r="D614" s="551"/>
      <c r="E614" s="551"/>
      <c r="F614" s="551"/>
      <c r="G614" s="551"/>
      <c r="H614" s="551"/>
      <c r="I614" s="551"/>
      <c r="J614" s="551"/>
      <c r="K614" s="551"/>
      <c r="L614" s="551"/>
      <c r="M614" s="551"/>
      <c r="N614" s="551"/>
      <c r="O614" s="551"/>
      <c r="P614" s="551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  <c r="AD614" s="79"/>
      <c r="AE614" s="79"/>
      <c r="AF614" s="79"/>
    </row>
    <row r="615" spans="1:32" s="2" customFormat="1">
      <c r="A615" s="551"/>
      <c r="B615" s="551"/>
      <c r="C615" s="551"/>
      <c r="D615" s="551"/>
      <c r="E615" s="551"/>
      <c r="F615" s="551"/>
      <c r="G615" s="551"/>
      <c r="H615" s="551"/>
      <c r="I615" s="551"/>
      <c r="J615" s="551"/>
      <c r="K615" s="551"/>
      <c r="L615" s="551"/>
      <c r="M615" s="551"/>
      <c r="N615" s="551"/>
      <c r="O615" s="551"/>
      <c r="P615" s="551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  <c r="AD615" s="79"/>
      <c r="AE615" s="79"/>
      <c r="AF615" s="79"/>
    </row>
    <row r="616" spans="1:32" s="2" customFormat="1">
      <c r="A616" s="551"/>
      <c r="B616" s="551"/>
      <c r="C616" s="551"/>
      <c r="D616" s="551"/>
      <c r="E616" s="551"/>
      <c r="F616" s="551"/>
      <c r="G616" s="551"/>
      <c r="H616" s="551"/>
      <c r="I616" s="551"/>
      <c r="J616" s="551"/>
      <c r="K616" s="551"/>
      <c r="L616" s="551"/>
      <c r="M616" s="551"/>
      <c r="N616" s="551"/>
      <c r="O616" s="551"/>
      <c r="P616" s="551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  <c r="AD616" s="79"/>
      <c r="AE616" s="79"/>
      <c r="AF616" s="79"/>
    </row>
    <row r="617" spans="1:32" s="2" customFormat="1">
      <c r="A617" s="551"/>
      <c r="B617" s="551"/>
      <c r="C617" s="551"/>
      <c r="D617" s="551"/>
      <c r="E617" s="551"/>
      <c r="F617" s="551"/>
      <c r="G617" s="551"/>
      <c r="H617" s="551"/>
      <c r="I617" s="551"/>
      <c r="J617" s="551"/>
      <c r="K617" s="551"/>
      <c r="L617" s="551"/>
      <c r="M617" s="551"/>
      <c r="N617" s="551"/>
      <c r="O617" s="551"/>
      <c r="P617" s="551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  <c r="AD617" s="79"/>
      <c r="AE617" s="79"/>
      <c r="AF617" s="79"/>
    </row>
    <row r="618" spans="1:32" s="2" customFormat="1">
      <c r="A618" s="551"/>
      <c r="B618" s="551"/>
      <c r="C618" s="551"/>
      <c r="D618" s="551"/>
      <c r="E618" s="551"/>
      <c r="F618" s="551"/>
      <c r="G618" s="551"/>
      <c r="H618" s="551"/>
      <c r="I618" s="551"/>
      <c r="J618" s="551"/>
      <c r="K618" s="551"/>
      <c r="L618" s="551"/>
      <c r="M618" s="551"/>
      <c r="N618" s="551"/>
      <c r="O618" s="551"/>
      <c r="P618" s="551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  <c r="AD618" s="79"/>
      <c r="AE618" s="79"/>
      <c r="AF618" s="79"/>
    </row>
    <row r="619" spans="1:32" s="2" customFormat="1">
      <c r="A619" s="551"/>
      <c r="B619" s="551"/>
      <c r="C619" s="551"/>
      <c r="D619" s="551"/>
      <c r="E619" s="551"/>
      <c r="F619" s="551"/>
      <c r="G619" s="551"/>
      <c r="H619" s="551"/>
      <c r="I619" s="551"/>
      <c r="J619" s="551"/>
      <c r="K619" s="551"/>
      <c r="L619" s="551"/>
      <c r="M619" s="551"/>
      <c r="N619" s="551"/>
      <c r="O619" s="551"/>
      <c r="P619" s="551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  <c r="AD619" s="79"/>
      <c r="AE619" s="79"/>
      <c r="AF619" s="79"/>
    </row>
    <row r="620" spans="1:32" s="2" customFormat="1">
      <c r="A620" s="551"/>
      <c r="B620" s="551"/>
      <c r="C620" s="551"/>
      <c r="D620" s="551"/>
      <c r="E620" s="551"/>
      <c r="F620" s="551"/>
      <c r="G620" s="551"/>
      <c r="H620" s="551"/>
      <c r="I620" s="551"/>
      <c r="J620" s="551"/>
      <c r="K620" s="551"/>
      <c r="L620" s="551"/>
      <c r="M620" s="551"/>
      <c r="N620" s="551"/>
      <c r="O620" s="551"/>
      <c r="P620" s="551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  <c r="AD620" s="79"/>
      <c r="AE620" s="79"/>
      <c r="AF620" s="79"/>
    </row>
    <row r="621" spans="1:32" s="2" customFormat="1">
      <c r="A621" s="551"/>
      <c r="B621" s="551"/>
      <c r="C621" s="551"/>
      <c r="D621" s="551"/>
      <c r="E621" s="551"/>
      <c r="F621" s="551"/>
      <c r="G621" s="551"/>
      <c r="H621" s="551"/>
      <c r="I621" s="551"/>
      <c r="J621" s="551"/>
      <c r="K621" s="551"/>
      <c r="L621" s="551"/>
      <c r="M621" s="551"/>
      <c r="N621" s="551"/>
      <c r="O621" s="551"/>
      <c r="P621" s="551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  <c r="AD621" s="79"/>
      <c r="AE621" s="79"/>
      <c r="AF621" s="79"/>
    </row>
    <row r="622" spans="1:32" s="2" customFormat="1">
      <c r="A622" s="551"/>
      <c r="B622" s="551"/>
      <c r="C622" s="551"/>
      <c r="D622" s="551"/>
      <c r="E622" s="551"/>
      <c r="F622" s="551"/>
      <c r="G622" s="551"/>
      <c r="H622" s="551"/>
      <c r="I622" s="551"/>
      <c r="J622" s="551"/>
      <c r="K622" s="551"/>
      <c r="L622" s="551"/>
      <c r="M622" s="551"/>
      <c r="N622" s="551"/>
      <c r="O622" s="551"/>
      <c r="P622" s="551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  <c r="AD622" s="79"/>
      <c r="AE622" s="79"/>
      <c r="AF622" s="79"/>
    </row>
    <row r="623" spans="1:32" s="2" customFormat="1">
      <c r="A623" s="551"/>
      <c r="B623" s="551"/>
      <c r="C623" s="551"/>
      <c r="D623" s="551"/>
      <c r="E623" s="551"/>
      <c r="F623" s="551"/>
      <c r="G623" s="551"/>
      <c r="H623" s="551"/>
      <c r="I623" s="551"/>
      <c r="J623" s="551"/>
      <c r="K623" s="551"/>
      <c r="L623" s="551"/>
      <c r="M623" s="551"/>
      <c r="N623" s="551"/>
      <c r="O623" s="551"/>
      <c r="P623" s="551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  <c r="AD623" s="79"/>
      <c r="AE623" s="79"/>
      <c r="AF623" s="79"/>
    </row>
    <row r="624" spans="1:32" s="2" customFormat="1">
      <c r="A624" s="551"/>
      <c r="B624" s="551"/>
      <c r="C624" s="551"/>
      <c r="D624" s="551"/>
      <c r="E624" s="551"/>
      <c r="F624" s="551"/>
      <c r="G624" s="551"/>
      <c r="H624" s="551"/>
      <c r="I624" s="551"/>
      <c r="J624" s="551"/>
      <c r="K624" s="551"/>
      <c r="L624" s="551"/>
      <c r="M624" s="551"/>
      <c r="N624" s="551"/>
      <c r="O624" s="551"/>
      <c r="P624" s="551"/>
      <c r="Q624" s="79"/>
      <c r="R624" s="79"/>
      <c r="S624" s="79"/>
      <c r="T624" s="79"/>
      <c r="U624" s="79"/>
      <c r="V624" s="79"/>
      <c r="W624" s="79"/>
      <c r="X624" s="79"/>
      <c r="Y624" s="79"/>
      <c r="Z624" s="79"/>
      <c r="AA624" s="79"/>
      <c r="AB624" s="79"/>
      <c r="AC624" s="79"/>
      <c r="AD624" s="79"/>
      <c r="AE624" s="79"/>
      <c r="AF624" s="79"/>
    </row>
    <row r="625" spans="1:32" s="2" customFormat="1">
      <c r="A625" s="551"/>
      <c r="B625" s="551"/>
      <c r="C625" s="551"/>
      <c r="D625" s="551"/>
      <c r="E625" s="551"/>
      <c r="F625" s="551"/>
      <c r="G625" s="551"/>
      <c r="H625" s="551"/>
      <c r="I625" s="551"/>
      <c r="J625" s="551"/>
      <c r="K625" s="551"/>
      <c r="L625" s="551"/>
      <c r="M625" s="551"/>
      <c r="N625" s="551"/>
      <c r="O625" s="551"/>
      <c r="P625" s="551"/>
      <c r="Q625" s="79"/>
      <c r="R625" s="79"/>
      <c r="S625" s="79"/>
      <c r="T625" s="79"/>
      <c r="U625" s="79"/>
      <c r="V625" s="79"/>
      <c r="W625" s="79"/>
      <c r="X625" s="79"/>
      <c r="Y625" s="79"/>
      <c r="Z625" s="79"/>
      <c r="AA625" s="79"/>
      <c r="AB625" s="79"/>
      <c r="AC625" s="79"/>
      <c r="AD625" s="79"/>
      <c r="AE625" s="79"/>
      <c r="AF625" s="79"/>
    </row>
    <row r="626" spans="1:32" s="2" customFormat="1">
      <c r="A626" s="551"/>
      <c r="B626" s="551"/>
      <c r="C626" s="551"/>
      <c r="D626" s="551"/>
      <c r="E626" s="551"/>
      <c r="F626" s="551"/>
      <c r="G626" s="551"/>
      <c r="H626" s="551"/>
      <c r="I626" s="551"/>
      <c r="J626" s="551"/>
      <c r="K626" s="551"/>
      <c r="L626" s="551"/>
      <c r="M626" s="551"/>
      <c r="N626" s="551"/>
      <c r="O626" s="551"/>
      <c r="P626" s="551"/>
      <c r="Q626" s="79"/>
      <c r="R626" s="79"/>
      <c r="S626" s="79"/>
      <c r="T626" s="79"/>
      <c r="U626" s="79"/>
      <c r="V626" s="79"/>
      <c r="W626" s="79"/>
      <c r="X626" s="79"/>
      <c r="Y626" s="79"/>
      <c r="Z626" s="79"/>
      <c r="AA626" s="79"/>
      <c r="AB626" s="79"/>
      <c r="AC626" s="79"/>
      <c r="AD626" s="79"/>
      <c r="AE626" s="79"/>
      <c r="AF626" s="79"/>
    </row>
    <row r="627" spans="1:32" s="2" customFormat="1">
      <c r="A627" s="551"/>
      <c r="B627" s="551"/>
      <c r="C627" s="551"/>
      <c r="D627" s="551"/>
      <c r="E627" s="551"/>
      <c r="F627" s="551"/>
      <c r="G627" s="551"/>
      <c r="H627" s="551"/>
      <c r="I627" s="551"/>
      <c r="J627" s="551"/>
      <c r="K627" s="551"/>
      <c r="L627" s="551"/>
      <c r="M627" s="551"/>
      <c r="N627" s="551"/>
      <c r="O627" s="551"/>
      <c r="P627" s="551"/>
      <c r="Q627" s="79"/>
      <c r="R627" s="79"/>
      <c r="S627" s="79"/>
      <c r="T627" s="79"/>
      <c r="U627" s="79"/>
      <c r="V627" s="79"/>
      <c r="W627" s="79"/>
      <c r="X627" s="79"/>
      <c r="Y627" s="79"/>
      <c r="Z627" s="79"/>
      <c r="AA627" s="79"/>
      <c r="AB627" s="79"/>
      <c r="AC627" s="79"/>
      <c r="AD627" s="79"/>
      <c r="AE627" s="79"/>
      <c r="AF627" s="79"/>
    </row>
    <row r="628" spans="1:32" s="2" customFormat="1">
      <c r="A628" s="551"/>
      <c r="B628" s="551"/>
      <c r="C628" s="551"/>
      <c r="D628" s="551"/>
      <c r="E628" s="551"/>
      <c r="F628" s="551"/>
      <c r="G628" s="551"/>
      <c r="H628" s="551"/>
      <c r="I628" s="551"/>
      <c r="J628" s="551"/>
      <c r="K628" s="551"/>
      <c r="L628" s="551"/>
      <c r="M628" s="551"/>
      <c r="N628" s="551"/>
      <c r="O628" s="551"/>
      <c r="P628" s="551"/>
      <c r="Q628" s="79"/>
      <c r="R628" s="79"/>
      <c r="S628" s="79"/>
      <c r="T628" s="79"/>
      <c r="U628" s="79"/>
      <c r="V628" s="79"/>
      <c r="W628" s="79"/>
      <c r="X628" s="79"/>
      <c r="Y628" s="79"/>
      <c r="Z628" s="79"/>
      <c r="AA628" s="79"/>
      <c r="AB628" s="79"/>
      <c r="AC628" s="79"/>
      <c r="AD628" s="79"/>
      <c r="AE628" s="79"/>
      <c r="AF628" s="79"/>
    </row>
    <row r="629" spans="1:32" s="2" customFormat="1">
      <c r="A629" s="551"/>
      <c r="B629" s="551"/>
      <c r="C629" s="551"/>
      <c r="D629" s="551"/>
      <c r="E629" s="551"/>
      <c r="F629" s="551"/>
      <c r="G629" s="551"/>
      <c r="H629" s="551"/>
      <c r="I629" s="551"/>
      <c r="J629" s="551"/>
      <c r="K629" s="551"/>
      <c r="L629" s="551"/>
      <c r="M629" s="551"/>
      <c r="N629" s="551"/>
      <c r="O629" s="551"/>
      <c r="P629" s="551"/>
      <c r="Q629" s="79"/>
      <c r="R629" s="79"/>
      <c r="S629" s="79"/>
      <c r="T629" s="79"/>
      <c r="U629" s="79"/>
      <c r="V629" s="79"/>
      <c r="W629" s="79"/>
      <c r="X629" s="79"/>
      <c r="Y629" s="79"/>
      <c r="Z629" s="79"/>
      <c r="AA629" s="79"/>
      <c r="AB629" s="79"/>
      <c r="AC629" s="79"/>
      <c r="AD629" s="79"/>
      <c r="AE629" s="79"/>
      <c r="AF629" s="79"/>
    </row>
    <row r="630" spans="1:32" s="2" customFormat="1">
      <c r="A630" s="551"/>
      <c r="B630" s="551"/>
      <c r="C630" s="551"/>
      <c r="D630" s="551"/>
      <c r="E630" s="551"/>
      <c r="F630" s="551"/>
      <c r="G630" s="551"/>
      <c r="H630" s="551"/>
      <c r="I630" s="551"/>
      <c r="J630" s="551"/>
      <c r="K630" s="551"/>
      <c r="L630" s="551"/>
      <c r="M630" s="551"/>
      <c r="N630" s="551"/>
      <c r="O630" s="551"/>
      <c r="P630" s="551"/>
      <c r="Q630" s="79"/>
      <c r="R630" s="79"/>
      <c r="S630" s="79"/>
      <c r="T630" s="79"/>
      <c r="U630" s="79"/>
      <c r="V630" s="79"/>
      <c r="W630" s="79"/>
      <c r="X630" s="79"/>
      <c r="Y630" s="79"/>
      <c r="Z630" s="79"/>
      <c r="AA630" s="79"/>
      <c r="AB630" s="79"/>
      <c r="AC630" s="79"/>
      <c r="AD630" s="79"/>
      <c r="AE630" s="79"/>
      <c r="AF630" s="79"/>
    </row>
    <row r="631" spans="1:32" s="2" customFormat="1">
      <c r="A631" s="551"/>
      <c r="B631" s="551"/>
      <c r="C631" s="551"/>
      <c r="D631" s="551"/>
      <c r="E631" s="551"/>
      <c r="F631" s="551"/>
      <c r="G631" s="551"/>
      <c r="H631" s="551"/>
      <c r="I631" s="551"/>
      <c r="J631" s="551"/>
      <c r="K631" s="551"/>
      <c r="L631" s="551"/>
      <c r="M631" s="551"/>
      <c r="N631" s="551"/>
      <c r="O631" s="551"/>
      <c r="P631" s="551"/>
      <c r="Q631" s="79"/>
      <c r="R631" s="79"/>
      <c r="S631" s="79"/>
      <c r="T631" s="79"/>
      <c r="U631" s="79"/>
      <c r="V631" s="79"/>
      <c r="W631" s="79"/>
      <c r="X631" s="79"/>
      <c r="Y631" s="79"/>
      <c r="Z631" s="79"/>
      <c r="AA631" s="79"/>
      <c r="AB631" s="79"/>
      <c r="AC631" s="79"/>
      <c r="AD631" s="79"/>
      <c r="AE631" s="79"/>
      <c r="AF631" s="79"/>
    </row>
    <row r="632" spans="1:32" s="2" customFormat="1">
      <c r="A632" s="551"/>
      <c r="B632" s="551"/>
      <c r="C632" s="551"/>
      <c r="D632" s="551"/>
      <c r="E632" s="551"/>
      <c r="F632" s="551"/>
      <c r="G632" s="551"/>
      <c r="H632" s="551"/>
      <c r="I632" s="551"/>
      <c r="J632" s="551"/>
      <c r="K632" s="551"/>
      <c r="L632" s="551"/>
      <c r="M632" s="551"/>
      <c r="N632" s="551"/>
      <c r="O632" s="551"/>
      <c r="P632" s="551"/>
      <c r="Q632" s="79"/>
      <c r="R632" s="79"/>
      <c r="S632" s="79"/>
      <c r="T632" s="79"/>
      <c r="U632" s="79"/>
      <c r="V632" s="79"/>
      <c r="W632" s="79"/>
      <c r="X632" s="79"/>
      <c r="Y632" s="79"/>
      <c r="Z632" s="79"/>
      <c r="AA632" s="79"/>
      <c r="AB632" s="79"/>
      <c r="AC632" s="79"/>
      <c r="AD632" s="79"/>
      <c r="AE632" s="79"/>
      <c r="AF632" s="79"/>
    </row>
    <row r="633" spans="1:32" s="2" customFormat="1">
      <c r="A633" s="551"/>
      <c r="B633" s="551"/>
      <c r="C633" s="551"/>
      <c r="D633" s="551"/>
      <c r="E633" s="551"/>
      <c r="F633" s="551"/>
      <c r="G633" s="551"/>
      <c r="H633" s="551"/>
      <c r="I633" s="551"/>
      <c r="J633" s="551"/>
      <c r="K633" s="551"/>
      <c r="L633" s="551"/>
      <c r="M633" s="551"/>
      <c r="N633" s="551"/>
      <c r="O633" s="551"/>
      <c r="P633" s="551"/>
      <c r="Q633" s="79"/>
      <c r="R633" s="79"/>
      <c r="S633" s="79"/>
      <c r="T633" s="79"/>
      <c r="U633" s="79"/>
      <c r="V633" s="79"/>
      <c r="W633" s="79"/>
      <c r="X633" s="79"/>
      <c r="Y633" s="79"/>
      <c r="Z633" s="79"/>
      <c r="AA633" s="79"/>
      <c r="AB633" s="79"/>
      <c r="AC633" s="79"/>
      <c r="AD633" s="79"/>
      <c r="AE633" s="79"/>
      <c r="AF633" s="79"/>
    </row>
    <row r="634" spans="1:32" s="2" customFormat="1">
      <c r="A634" s="551"/>
      <c r="B634" s="551"/>
      <c r="C634" s="551"/>
      <c r="D634" s="551"/>
      <c r="E634" s="551"/>
      <c r="F634" s="551"/>
      <c r="G634" s="551"/>
      <c r="H634" s="551"/>
      <c r="I634" s="551"/>
      <c r="J634" s="551"/>
      <c r="K634" s="551"/>
      <c r="L634" s="551"/>
      <c r="M634" s="551"/>
      <c r="N634" s="551"/>
      <c r="O634" s="551"/>
      <c r="P634" s="551"/>
      <c r="Q634" s="79"/>
      <c r="R634" s="79"/>
      <c r="S634" s="79"/>
      <c r="T634" s="79"/>
      <c r="U634" s="79"/>
      <c r="V634" s="79"/>
      <c r="W634" s="79"/>
      <c r="X634" s="79"/>
      <c r="Y634" s="79"/>
      <c r="Z634" s="79"/>
      <c r="AA634" s="79"/>
      <c r="AB634" s="79"/>
      <c r="AC634" s="79"/>
      <c r="AD634" s="79"/>
      <c r="AE634" s="79"/>
      <c r="AF634" s="79"/>
    </row>
    <row r="635" spans="1:32" s="2" customFormat="1">
      <c r="A635" s="551"/>
      <c r="B635" s="551"/>
      <c r="C635" s="551"/>
      <c r="D635" s="551"/>
      <c r="E635" s="551"/>
      <c r="F635" s="551"/>
      <c r="G635" s="551"/>
      <c r="H635" s="551"/>
      <c r="I635" s="551"/>
      <c r="J635" s="551"/>
      <c r="K635" s="551"/>
      <c r="L635" s="551"/>
      <c r="M635" s="551"/>
      <c r="N635" s="551"/>
      <c r="O635" s="551"/>
      <c r="P635" s="551"/>
      <c r="Q635" s="79"/>
      <c r="R635" s="79"/>
      <c r="S635" s="79"/>
      <c r="T635" s="79"/>
      <c r="U635" s="79"/>
      <c r="V635" s="79"/>
      <c r="W635" s="79"/>
      <c r="X635" s="79"/>
      <c r="Y635" s="79"/>
      <c r="Z635" s="79"/>
      <c r="AA635" s="79"/>
      <c r="AB635" s="79"/>
      <c r="AC635" s="79"/>
      <c r="AD635" s="79"/>
      <c r="AE635" s="79"/>
      <c r="AF635" s="79"/>
    </row>
    <row r="636" spans="1:32" s="2" customFormat="1">
      <c r="A636" s="551"/>
      <c r="B636" s="551"/>
      <c r="C636" s="551"/>
      <c r="D636" s="551"/>
      <c r="E636" s="551"/>
      <c r="F636" s="551"/>
      <c r="G636" s="551"/>
      <c r="H636" s="551"/>
      <c r="I636" s="551"/>
      <c r="J636" s="551"/>
      <c r="K636" s="551"/>
      <c r="L636" s="551"/>
      <c r="M636" s="551"/>
      <c r="N636" s="551"/>
      <c r="O636" s="551"/>
      <c r="P636" s="551"/>
      <c r="Q636" s="79"/>
      <c r="R636" s="79"/>
      <c r="S636" s="79"/>
      <c r="T636" s="79"/>
      <c r="U636" s="79"/>
      <c r="V636" s="79"/>
      <c r="W636" s="79"/>
      <c r="X636" s="79"/>
      <c r="Y636" s="79"/>
      <c r="Z636" s="79"/>
      <c r="AA636" s="79"/>
      <c r="AB636" s="79"/>
      <c r="AC636" s="79"/>
      <c r="AD636" s="79"/>
      <c r="AE636" s="79"/>
      <c r="AF636" s="79"/>
    </row>
    <row r="637" spans="1:32" s="2" customFormat="1">
      <c r="A637" s="551"/>
      <c r="B637" s="551"/>
      <c r="C637" s="551"/>
      <c r="D637" s="551"/>
      <c r="E637" s="551"/>
      <c r="F637" s="551"/>
      <c r="G637" s="551"/>
      <c r="H637" s="551"/>
      <c r="I637" s="551"/>
      <c r="J637" s="551"/>
      <c r="K637" s="551"/>
      <c r="L637" s="551"/>
      <c r="M637" s="551"/>
      <c r="N637" s="551"/>
      <c r="O637" s="551"/>
      <c r="P637" s="551"/>
      <c r="Q637" s="79"/>
      <c r="R637" s="79"/>
      <c r="S637" s="79"/>
      <c r="T637" s="79"/>
      <c r="U637" s="79"/>
      <c r="V637" s="79"/>
      <c r="W637" s="79"/>
      <c r="X637" s="79"/>
      <c r="Y637" s="79"/>
      <c r="Z637" s="79"/>
      <c r="AA637" s="79"/>
      <c r="AB637" s="79"/>
      <c r="AC637" s="79"/>
      <c r="AD637" s="79"/>
      <c r="AE637" s="79"/>
      <c r="AF637" s="79"/>
    </row>
    <row r="638" spans="1:32" s="2" customFormat="1">
      <c r="A638" s="551"/>
      <c r="B638" s="551"/>
      <c r="C638" s="551"/>
      <c r="D638" s="551"/>
      <c r="E638" s="551"/>
      <c r="F638" s="551"/>
      <c r="G638" s="551"/>
      <c r="H638" s="551"/>
      <c r="I638" s="551"/>
      <c r="J638" s="551"/>
      <c r="K638" s="551"/>
      <c r="L638" s="551"/>
      <c r="M638" s="551"/>
      <c r="N638" s="551"/>
      <c r="O638" s="551"/>
      <c r="P638" s="551"/>
      <c r="Q638" s="79"/>
      <c r="R638" s="79"/>
      <c r="S638" s="79"/>
      <c r="T638" s="79"/>
      <c r="U638" s="79"/>
      <c r="V638" s="79"/>
      <c r="W638" s="79"/>
      <c r="X638" s="79"/>
      <c r="Y638" s="79"/>
      <c r="Z638" s="79"/>
      <c r="AA638" s="79"/>
      <c r="AB638" s="79"/>
      <c r="AC638" s="79"/>
      <c r="AD638" s="79"/>
      <c r="AE638" s="79"/>
      <c r="AF638" s="79"/>
    </row>
    <row r="639" spans="1:32" s="2" customFormat="1">
      <c r="A639" s="551"/>
      <c r="B639" s="551"/>
      <c r="C639" s="551"/>
      <c r="D639" s="551"/>
      <c r="E639" s="551"/>
      <c r="F639" s="551"/>
      <c r="G639" s="551"/>
      <c r="H639" s="551"/>
      <c r="I639" s="551"/>
      <c r="J639" s="551"/>
      <c r="K639" s="551"/>
      <c r="L639" s="551"/>
      <c r="M639" s="551"/>
      <c r="N639" s="551"/>
      <c r="O639" s="551"/>
      <c r="P639" s="551"/>
      <c r="Q639" s="79"/>
      <c r="R639" s="79"/>
      <c r="S639" s="79"/>
      <c r="T639" s="79"/>
      <c r="U639" s="79"/>
      <c r="V639" s="79"/>
      <c r="W639" s="79"/>
      <c r="X639" s="79"/>
      <c r="Y639" s="79"/>
      <c r="Z639" s="79"/>
      <c r="AA639" s="79"/>
      <c r="AB639" s="79"/>
      <c r="AC639" s="79"/>
      <c r="AD639" s="79"/>
      <c r="AE639" s="79"/>
      <c r="AF639" s="79"/>
    </row>
    <row r="640" spans="1:32" s="2" customFormat="1">
      <c r="A640" s="551"/>
      <c r="B640" s="551"/>
      <c r="C640" s="551"/>
      <c r="D640" s="551"/>
      <c r="E640" s="551"/>
      <c r="F640" s="551"/>
      <c r="G640" s="551"/>
      <c r="H640" s="551"/>
      <c r="I640" s="551"/>
      <c r="J640" s="551"/>
      <c r="K640" s="551"/>
      <c r="L640" s="551"/>
      <c r="M640" s="551"/>
      <c r="N640" s="551"/>
      <c r="O640" s="551"/>
      <c r="P640" s="551"/>
      <c r="Q640" s="79"/>
      <c r="R640" s="79"/>
      <c r="S640" s="79"/>
      <c r="T640" s="79"/>
      <c r="U640" s="79"/>
      <c r="V640" s="79"/>
      <c r="W640" s="79"/>
      <c r="X640" s="79"/>
      <c r="Y640" s="79"/>
      <c r="Z640" s="79"/>
      <c r="AA640" s="79"/>
      <c r="AB640" s="79"/>
      <c r="AC640" s="79"/>
      <c r="AD640" s="79"/>
      <c r="AE640" s="79"/>
      <c r="AF640" s="79"/>
    </row>
    <row r="641" spans="1:32" s="2" customFormat="1">
      <c r="A641" s="551"/>
      <c r="B641" s="551"/>
      <c r="C641" s="551"/>
      <c r="D641" s="551"/>
      <c r="E641" s="551"/>
      <c r="F641" s="551"/>
      <c r="G641" s="551"/>
      <c r="H641" s="551"/>
      <c r="I641" s="551"/>
      <c r="J641" s="551"/>
      <c r="K641" s="551"/>
      <c r="L641" s="551"/>
      <c r="M641" s="551"/>
      <c r="N641" s="551"/>
      <c r="O641" s="551"/>
      <c r="P641" s="551"/>
      <c r="Q641" s="79"/>
      <c r="R641" s="79"/>
      <c r="S641" s="79"/>
      <c r="T641" s="79"/>
      <c r="U641" s="79"/>
      <c r="V641" s="79"/>
      <c r="W641" s="79"/>
      <c r="X641" s="79"/>
      <c r="Y641" s="79"/>
      <c r="Z641" s="79"/>
      <c r="AA641" s="79"/>
      <c r="AB641" s="79"/>
      <c r="AC641" s="79"/>
      <c r="AD641" s="79"/>
      <c r="AE641" s="79"/>
      <c r="AF641" s="79"/>
    </row>
    <row r="642" spans="1:32" s="2" customFormat="1">
      <c r="A642" s="551"/>
      <c r="B642" s="551"/>
      <c r="C642" s="551"/>
      <c r="D642" s="551"/>
      <c r="E642" s="551"/>
      <c r="F642" s="551"/>
      <c r="G642" s="551"/>
      <c r="H642" s="551"/>
      <c r="I642" s="551"/>
      <c r="J642" s="551"/>
      <c r="K642" s="551"/>
      <c r="L642" s="551"/>
      <c r="M642" s="551"/>
      <c r="N642" s="551"/>
      <c r="O642" s="551"/>
      <c r="P642" s="551"/>
      <c r="Q642" s="79"/>
      <c r="R642" s="79"/>
      <c r="S642" s="79"/>
      <c r="T642" s="79"/>
      <c r="U642" s="79"/>
      <c r="V642" s="79"/>
      <c r="W642" s="79"/>
      <c r="X642" s="79"/>
      <c r="Y642" s="79"/>
      <c r="Z642" s="79"/>
      <c r="AA642" s="79"/>
      <c r="AB642" s="79"/>
      <c r="AC642" s="79"/>
      <c r="AD642" s="79"/>
      <c r="AE642" s="79"/>
      <c r="AF642" s="79"/>
    </row>
    <row r="643" spans="1:32" s="2" customFormat="1">
      <c r="A643" s="551"/>
      <c r="B643" s="551"/>
      <c r="C643" s="551"/>
      <c r="D643" s="551"/>
      <c r="E643" s="551"/>
      <c r="F643" s="551"/>
      <c r="G643" s="551"/>
      <c r="H643" s="551"/>
      <c r="I643" s="551"/>
      <c r="J643" s="551"/>
      <c r="K643" s="551"/>
      <c r="L643" s="551"/>
      <c r="M643" s="551"/>
      <c r="N643" s="551"/>
      <c r="O643" s="551"/>
      <c r="P643" s="551"/>
      <c r="Q643" s="79"/>
      <c r="R643" s="79"/>
      <c r="S643" s="79"/>
      <c r="T643" s="79"/>
      <c r="U643" s="79"/>
      <c r="V643" s="79"/>
      <c r="W643" s="79"/>
      <c r="X643" s="79"/>
      <c r="Y643" s="79"/>
      <c r="Z643" s="79"/>
      <c r="AA643" s="79"/>
      <c r="AB643" s="79"/>
      <c r="AC643" s="79"/>
      <c r="AD643" s="79"/>
      <c r="AE643" s="79"/>
      <c r="AF643" s="79"/>
    </row>
    <row r="644" spans="1:32" s="2" customFormat="1">
      <c r="A644" s="551"/>
      <c r="B644" s="551"/>
      <c r="C644" s="551"/>
      <c r="D644" s="551"/>
      <c r="E644" s="551"/>
      <c r="F644" s="551"/>
      <c r="G644" s="551"/>
      <c r="H644" s="551"/>
      <c r="I644" s="551"/>
      <c r="J644" s="551"/>
      <c r="K644" s="551"/>
      <c r="L644" s="551"/>
      <c r="M644" s="551"/>
      <c r="N644" s="551"/>
      <c r="O644" s="551"/>
      <c r="P644" s="551"/>
      <c r="Q644" s="79"/>
      <c r="R644" s="79"/>
      <c r="S644" s="79"/>
      <c r="T644" s="79"/>
      <c r="U644" s="79"/>
      <c r="V644" s="79"/>
      <c r="W644" s="79"/>
      <c r="X644" s="79"/>
      <c r="Y644" s="79"/>
      <c r="Z644" s="79"/>
      <c r="AA644" s="79"/>
      <c r="AB644" s="79"/>
      <c r="AC644" s="79"/>
      <c r="AD644" s="79"/>
      <c r="AE644" s="79"/>
      <c r="AF644" s="79"/>
    </row>
    <row r="645" spans="1:32" s="2" customFormat="1">
      <c r="A645" s="551"/>
      <c r="B645" s="551"/>
      <c r="C645" s="551"/>
      <c r="D645" s="551"/>
      <c r="E645" s="551"/>
      <c r="F645" s="551"/>
      <c r="G645" s="551"/>
      <c r="H645" s="551"/>
      <c r="I645" s="551"/>
      <c r="J645" s="551"/>
      <c r="K645" s="551"/>
      <c r="L645" s="551"/>
      <c r="M645" s="551"/>
      <c r="N645" s="551"/>
      <c r="O645" s="551"/>
      <c r="P645" s="551"/>
      <c r="Q645" s="79"/>
      <c r="R645" s="79"/>
      <c r="S645" s="79"/>
      <c r="T645" s="79"/>
      <c r="U645" s="79"/>
      <c r="V645" s="79"/>
      <c r="W645" s="79"/>
      <c r="X645" s="79"/>
      <c r="Y645" s="79"/>
      <c r="Z645" s="79"/>
      <c r="AA645" s="79"/>
      <c r="AB645" s="79"/>
      <c r="AC645" s="79"/>
      <c r="AD645" s="79"/>
      <c r="AE645" s="79"/>
      <c r="AF645" s="79"/>
    </row>
    <row r="646" spans="1:32" s="2" customFormat="1">
      <c r="A646" s="551"/>
      <c r="B646" s="551"/>
      <c r="C646" s="551"/>
      <c r="D646" s="551"/>
      <c r="E646" s="551"/>
      <c r="F646" s="551"/>
      <c r="G646" s="551"/>
      <c r="H646" s="551"/>
      <c r="I646" s="551"/>
      <c r="J646" s="551"/>
      <c r="K646" s="551"/>
      <c r="L646" s="551"/>
      <c r="M646" s="551"/>
      <c r="N646" s="551"/>
      <c r="O646" s="551"/>
      <c r="P646" s="551"/>
      <c r="Q646" s="79"/>
      <c r="R646" s="79"/>
      <c r="S646" s="79"/>
      <c r="T646" s="79"/>
      <c r="U646" s="79"/>
      <c r="V646" s="79"/>
      <c r="W646" s="79"/>
      <c r="X646" s="79"/>
      <c r="Y646" s="79"/>
      <c r="Z646" s="79"/>
      <c r="AA646" s="79"/>
      <c r="AB646" s="79"/>
      <c r="AC646" s="79"/>
      <c r="AD646" s="79"/>
      <c r="AE646" s="79"/>
      <c r="AF646" s="79"/>
    </row>
    <row r="647" spans="1:32" s="2" customFormat="1">
      <c r="A647" s="551"/>
      <c r="B647" s="551"/>
      <c r="C647" s="551"/>
      <c r="D647" s="551"/>
      <c r="E647" s="551"/>
      <c r="F647" s="551"/>
      <c r="G647" s="551"/>
      <c r="H647" s="551"/>
      <c r="I647" s="551"/>
      <c r="J647" s="551"/>
      <c r="K647" s="551"/>
      <c r="L647" s="551"/>
      <c r="M647" s="551"/>
      <c r="N647" s="551"/>
      <c r="O647" s="551"/>
      <c r="P647" s="551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  <c r="AD647" s="79"/>
      <c r="AE647" s="79"/>
      <c r="AF647" s="79"/>
    </row>
    <row r="648" spans="1:32" s="2" customFormat="1">
      <c r="A648" s="551"/>
      <c r="B648" s="551"/>
      <c r="C648" s="551"/>
      <c r="D648" s="551"/>
      <c r="E648" s="551"/>
      <c r="F648" s="551"/>
      <c r="G648" s="551"/>
      <c r="H648" s="551"/>
      <c r="I648" s="551"/>
      <c r="J648" s="551"/>
      <c r="K648" s="551"/>
      <c r="L648" s="551"/>
      <c r="M648" s="551"/>
      <c r="N648" s="551"/>
      <c r="O648" s="551"/>
      <c r="P648" s="551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  <c r="AD648" s="79"/>
      <c r="AE648" s="79"/>
      <c r="AF648" s="79"/>
    </row>
    <row r="649" spans="1:32" s="2" customFormat="1">
      <c r="A649" s="551"/>
      <c r="B649" s="551"/>
      <c r="C649" s="551"/>
      <c r="D649" s="551"/>
      <c r="E649" s="551"/>
      <c r="F649" s="551"/>
      <c r="G649" s="551"/>
      <c r="H649" s="551"/>
      <c r="I649" s="551"/>
      <c r="J649" s="551"/>
      <c r="K649" s="551"/>
      <c r="L649" s="551"/>
      <c r="M649" s="551"/>
      <c r="N649" s="551"/>
      <c r="O649" s="551"/>
      <c r="P649" s="551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  <c r="AD649" s="79"/>
      <c r="AE649" s="79"/>
      <c r="AF649" s="79"/>
    </row>
    <row r="650" spans="1:32" s="2" customFormat="1">
      <c r="A650" s="551"/>
      <c r="B650" s="551"/>
      <c r="C650" s="551"/>
      <c r="D650" s="551"/>
      <c r="E650" s="551"/>
      <c r="F650" s="551"/>
      <c r="G650" s="551"/>
      <c r="H650" s="551"/>
      <c r="I650" s="551"/>
      <c r="J650" s="551"/>
      <c r="K650" s="551"/>
      <c r="L650" s="551"/>
      <c r="M650" s="551"/>
      <c r="N650" s="551"/>
      <c r="O650" s="551"/>
      <c r="P650" s="551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  <c r="AD650" s="79"/>
      <c r="AE650" s="79"/>
      <c r="AF650" s="79"/>
    </row>
    <row r="651" spans="1:32" s="2" customFormat="1">
      <c r="A651" s="551"/>
      <c r="B651" s="551"/>
      <c r="C651" s="551"/>
      <c r="D651" s="551"/>
      <c r="E651" s="551"/>
      <c r="F651" s="551"/>
      <c r="G651" s="551"/>
      <c r="H651" s="551"/>
      <c r="I651" s="551"/>
      <c r="J651" s="551"/>
      <c r="K651" s="551"/>
      <c r="L651" s="551"/>
      <c r="M651" s="551"/>
      <c r="N651" s="551"/>
      <c r="O651" s="551"/>
      <c r="P651" s="551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  <c r="AD651" s="79"/>
      <c r="AE651" s="79"/>
      <c r="AF651" s="79"/>
    </row>
    <row r="652" spans="1:32" s="2" customFormat="1">
      <c r="A652" s="551"/>
      <c r="B652" s="551"/>
      <c r="C652" s="551"/>
      <c r="D652" s="551"/>
      <c r="E652" s="551"/>
      <c r="F652" s="551"/>
      <c r="G652" s="551"/>
      <c r="H652" s="551"/>
      <c r="I652" s="551"/>
      <c r="J652" s="551"/>
      <c r="K652" s="551"/>
      <c r="L652" s="551"/>
      <c r="M652" s="551"/>
      <c r="N652" s="551"/>
      <c r="O652" s="551"/>
      <c r="P652" s="551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  <c r="AD652" s="79"/>
      <c r="AE652" s="79"/>
      <c r="AF652" s="79"/>
    </row>
    <row r="653" spans="1:32" s="2" customFormat="1">
      <c r="A653" s="551"/>
      <c r="B653" s="551"/>
      <c r="C653" s="551"/>
      <c r="D653" s="551"/>
      <c r="E653" s="551"/>
      <c r="F653" s="551"/>
      <c r="G653" s="551"/>
      <c r="H653" s="551"/>
      <c r="I653" s="551"/>
      <c r="J653" s="551"/>
      <c r="K653" s="551"/>
      <c r="L653" s="551"/>
      <c r="M653" s="551"/>
      <c r="N653" s="551"/>
      <c r="O653" s="551"/>
      <c r="P653" s="551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  <c r="AD653" s="79"/>
      <c r="AE653" s="79"/>
      <c r="AF653" s="79"/>
    </row>
    <row r="654" spans="1:32" s="2" customFormat="1">
      <c r="A654" s="551"/>
      <c r="B654" s="551"/>
      <c r="C654" s="551"/>
      <c r="D654" s="551"/>
      <c r="E654" s="551"/>
      <c r="F654" s="551"/>
      <c r="G654" s="551"/>
      <c r="H654" s="551"/>
      <c r="I654" s="551"/>
      <c r="J654" s="551"/>
      <c r="K654" s="551"/>
      <c r="L654" s="551"/>
      <c r="M654" s="551"/>
      <c r="N654" s="551"/>
      <c r="O654" s="551"/>
      <c r="P654" s="551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  <c r="AD654" s="79"/>
      <c r="AE654" s="79"/>
      <c r="AF654" s="79"/>
    </row>
    <row r="655" spans="1:32" s="2" customFormat="1">
      <c r="A655" s="551"/>
      <c r="B655" s="551"/>
      <c r="C655" s="551"/>
      <c r="D655" s="551"/>
      <c r="E655" s="551"/>
      <c r="F655" s="551"/>
      <c r="G655" s="551"/>
      <c r="H655" s="551"/>
      <c r="I655" s="551"/>
      <c r="J655" s="551"/>
      <c r="K655" s="551"/>
      <c r="L655" s="551"/>
      <c r="M655" s="551"/>
      <c r="N655" s="551"/>
      <c r="O655" s="551"/>
      <c r="P655" s="551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  <c r="AD655" s="79"/>
      <c r="AE655" s="79"/>
      <c r="AF655" s="79"/>
    </row>
    <row r="656" spans="1:32" s="2" customFormat="1">
      <c r="A656" s="551"/>
      <c r="B656" s="551"/>
      <c r="C656" s="551"/>
      <c r="D656" s="551"/>
      <c r="E656" s="551"/>
      <c r="F656" s="551"/>
      <c r="G656" s="551"/>
      <c r="H656" s="551"/>
      <c r="I656" s="551"/>
      <c r="J656" s="551"/>
      <c r="K656" s="551"/>
      <c r="L656" s="551"/>
      <c r="M656" s="551"/>
      <c r="N656" s="551"/>
      <c r="O656" s="551"/>
      <c r="P656" s="551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  <c r="AD656" s="79"/>
      <c r="AE656" s="79"/>
      <c r="AF656" s="79"/>
    </row>
    <row r="657" spans="1:32" s="2" customFormat="1">
      <c r="A657" s="551"/>
      <c r="B657" s="551"/>
      <c r="C657" s="551"/>
      <c r="D657" s="551"/>
      <c r="E657" s="551"/>
      <c r="F657" s="551"/>
      <c r="G657" s="551"/>
      <c r="H657" s="551"/>
      <c r="I657" s="551"/>
      <c r="J657" s="551"/>
      <c r="K657" s="551"/>
      <c r="L657" s="551"/>
      <c r="M657" s="551"/>
      <c r="N657" s="551"/>
      <c r="O657" s="551"/>
      <c r="P657" s="551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  <c r="AD657" s="79"/>
      <c r="AE657" s="79"/>
      <c r="AF657" s="79"/>
    </row>
    <row r="658" spans="1:32" s="2" customFormat="1">
      <c r="A658" s="551"/>
      <c r="B658" s="551"/>
      <c r="C658" s="551"/>
      <c r="D658" s="551"/>
      <c r="E658" s="551"/>
      <c r="F658" s="551"/>
      <c r="G658" s="551"/>
      <c r="H658" s="551"/>
      <c r="I658" s="551"/>
      <c r="J658" s="551"/>
      <c r="K658" s="551"/>
      <c r="L658" s="551"/>
      <c r="M658" s="551"/>
      <c r="N658" s="551"/>
      <c r="O658" s="551"/>
      <c r="P658" s="551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  <c r="AD658" s="79"/>
      <c r="AE658" s="79"/>
      <c r="AF658" s="79"/>
    </row>
    <row r="659" spans="1:32" s="2" customFormat="1">
      <c r="A659" s="551"/>
      <c r="B659" s="551"/>
      <c r="C659" s="551"/>
      <c r="D659" s="551"/>
      <c r="E659" s="551"/>
      <c r="F659" s="551"/>
      <c r="G659" s="551"/>
      <c r="H659" s="551"/>
      <c r="I659" s="551"/>
      <c r="J659" s="551"/>
      <c r="K659" s="551"/>
      <c r="L659" s="551"/>
      <c r="M659" s="551"/>
      <c r="N659" s="551"/>
      <c r="O659" s="551"/>
      <c r="P659" s="551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  <c r="AD659" s="79"/>
      <c r="AE659" s="79"/>
      <c r="AF659" s="79"/>
    </row>
    <row r="660" spans="1:32" s="2" customFormat="1">
      <c r="A660" s="551"/>
      <c r="B660" s="551"/>
      <c r="C660" s="551"/>
      <c r="D660" s="551"/>
      <c r="E660" s="551"/>
      <c r="F660" s="551"/>
      <c r="G660" s="551"/>
      <c r="H660" s="551"/>
      <c r="I660" s="551"/>
      <c r="J660" s="551"/>
      <c r="K660" s="551"/>
      <c r="L660" s="551"/>
      <c r="M660" s="551"/>
      <c r="N660" s="551"/>
      <c r="O660" s="551"/>
      <c r="P660" s="551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  <c r="AD660" s="79"/>
      <c r="AE660" s="79"/>
      <c r="AF660" s="79"/>
    </row>
    <row r="661" spans="1:32" s="2" customFormat="1">
      <c r="A661" s="551"/>
      <c r="B661" s="551"/>
      <c r="C661" s="551"/>
      <c r="D661" s="551"/>
      <c r="E661" s="551"/>
      <c r="F661" s="551"/>
      <c r="G661" s="551"/>
      <c r="H661" s="551"/>
      <c r="I661" s="551"/>
      <c r="J661" s="551"/>
      <c r="K661" s="551"/>
      <c r="L661" s="551"/>
      <c r="M661" s="551"/>
      <c r="N661" s="551"/>
      <c r="O661" s="551"/>
      <c r="P661" s="551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  <c r="AD661" s="79"/>
      <c r="AE661" s="79"/>
      <c r="AF661" s="79"/>
    </row>
    <row r="662" spans="1:32" s="2" customFormat="1">
      <c r="A662" s="551"/>
      <c r="B662" s="551"/>
      <c r="C662" s="551"/>
      <c r="D662" s="551"/>
      <c r="E662" s="551"/>
      <c r="F662" s="551"/>
      <c r="G662" s="551"/>
      <c r="H662" s="551"/>
      <c r="I662" s="551"/>
      <c r="J662" s="551"/>
      <c r="K662" s="551"/>
      <c r="L662" s="551"/>
      <c r="M662" s="551"/>
      <c r="N662" s="551"/>
      <c r="O662" s="551"/>
      <c r="P662" s="551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  <c r="AD662" s="79"/>
      <c r="AE662" s="79"/>
      <c r="AF662" s="79"/>
    </row>
    <row r="663" spans="1:32" s="2" customFormat="1">
      <c r="A663" s="551"/>
      <c r="B663" s="551"/>
      <c r="C663" s="551"/>
      <c r="D663" s="551"/>
      <c r="E663" s="551"/>
      <c r="F663" s="551"/>
      <c r="G663" s="551"/>
      <c r="H663" s="551"/>
      <c r="I663" s="551"/>
      <c r="J663" s="551"/>
      <c r="K663" s="551"/>
      <c r="L663" s="551"/>
      <c r="M663" s="551"/>
      <c r="N663" s="551"/>
      <c r="O663" s="551"/>
      <c r="P663" s="551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  <c r="AD663" s="79"/>
      <c r="AE663" s="79"/>
      <c r="AF663" s="79"/>
    </row>
    <row r="664" spans="1:32" s="2" customFormat="1">
      <c r="A664" s="551"/>
      <c r="B664" s="551"/>
      <c r="C664" s="551"/>
      <c r="D664" s="551"/>
      <c r="E664" s="551"/>
      <c r="F664" s="551"/>
      <c r="G664" s="551"/>
      <c r="H664" s="551"/>
      <c r="I664" s="551"/>
      <c r="J664" s="551"/>
      <c r="K664" s="551"/>
      <c r="L664" s="551"/>
      <c r="M664" s="551"/>
      <c r="N664" s="551"/>
      <c r="O664" s="551"/>
      <c r="P664" s="551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  <c r="AD664" s="79"/>
      <c r="AE664" s="79"/>
      <c r="AF664" s="79"/>
    </row>
    <row r="665" spans="1:32" s="2" customFormat="1">
      <c r="A665" s="551"/>
      <c r="B665" s="551"/>
      <c r="C665" s="551"/>
      <c r="D665" s="551"/>
      <c r="E665" s="551"/>
      <c r="F665" s="551"/>
      <c r="G665" s="551"/>
      <c r="H665" s="551"/>
      <c r="I665" s="551"/>
      <c r="J665" s="551"/>
      <c r="K665" s="551"/>
      <c r="L665" s="551"/>
      <c r="M665" s="551"/>
      <c r="N665" s="551"/>
      <c r="O665" s="551"/>
      <c r="P665" s="551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  <c r="AD665" s="79"/>
      <c r="AE665" s="79"/>
      <c r="AF665" s="79"/>
    </row>
    <row r="666" spans="1:32" s="2" customFormat="1">
      <c r="A666" s="551"/>
      <c r="B666" s="551"/>
      <c r="C666" s="551"/>
      <c r="D666" s="551"/>
      <c r="E666" s="551"/>
      <c r="F666" s="551"/>
      <c r="G666" s="551"/>
      <c r="H666" s="551"/>
      <c r="I666" s="551"/>
      <c r="J666" s="551"/>
      <c r="K666" s="551"/>
      <c r="L666" s="551"/>
      <c r="M666" s="551"/>
      <c r="N666" s="551"/>
      <c r="O666" s="551"/>
      <c r="P666" s="551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  <c r="AD666" s="79"/>
      <c r="AE666" s="79"/>
      <c r="AF666" s="79"/>
    </row>
    <row r="667" spans="1:32" s="2" customFormat="1">
      <c r="A667" s="551"/>
      <c r="B667" s="551"/>
      <c r="C667" s="551"/>
      <c r="D667" s="551"/>
      <c r="E667" s="551"/>
      <c r="F667" s="551"/>
      <c r="G667" s="551"/>
      <c r="H667" s="551"/>
      <c r="I667" s="551"/>
      <c r="J667" s="551"/>
      <c r="K667" s="551"/>
      <c r="L667" s="551"/>
      <c r="M667" s="551"/>
      <c r="N667" s="551"/>
      <c r="O667" s="551"/>
      <c r="P667" s="551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  <c r="AD667" s="79"/>
      <c r="AE667" s="79"/>
      <c r="AF667" s="79"/>
    </row>
    <row r="668" spans="1:32" s="2" customFormat="1">
      <c r="A668" s="551"/>
      <c r="B668" s="551"/>
      <c r="C668" s="551"/>
      <c r="D668" s="551"/>
      <c r="E668" s="551"/>
      <c r="F668" s="551"/>
      <c r="G668" s="551"/>
      <c r="H668" s="551"/>
      <c r="I668" s="551"/>
      <c r="J668" s="551"/>
      <c r="K668" s="551"/>
      <c r="L668" s="551"/>
      <c r="M668" s="551"/>
      <c r="N668" s="551"/>
      <c r="O668" s="551"/>
      <c r="P668" s="551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  <c r="AD668" s="79"/>
      <c r="AE668" s="79"/>
      <c r="AF668" s="79"/>
    </row>
    <row r="669" spans="1:32" s="2" customFormat="1">
      <c r="A669" s="551"/>
      <c r="B669" s="551"/>
      <c r="C669" s="551"/>
      <c r="D669" s="551"/>
      <c r="E669" s="551"/>
      <c r="F669" s="551"/>
      <c r="G669" s="551"/>
      <c r="H669" s="551"/>
      <c r="I669" s="551"/>
      <c r="J669" s="551"/>
      <c r="K669" s="551"/>
      <c r="L669" s="551"/>
      <c r="M669" s="551"/>
      <c r="N669" s="551"/>
      <c r="O669" s="551"/>
      <c r="P669" s="551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  <c r="AD669" s="79"/>
      <c r="AE669" s="79"/>
      <c r="AF669" s="79"/>
    </row>
    <row r="670" spans="1:32" s="2" customFormat="1">
      <c r="A670" s="551"/>
      <c r="B670" s="551"/>
      <c r="C670" s="551"/>
      <c r="D670" s="551"/>
      <c r="E670" s="551"/>
      <c r="F670" s="551"/>
      <c r="G670" s="551"/>
      <c r="H670" s="551"/>
      <c r="I670" s="551"/>
      <c r="J670" s="551"/>
      <c r="K670" s="551"/>
      <c r="L670" s="551"/>
      <c r="M670" s="551"/>
      <c r="N670" s="551"/>
      <c r="O670" s="551"/>
      <c r="P670" s="551"/>
      <c r="Q670" s="79"/>
      <c r="R670" s="79"/>
      <c r="S670" s="79"/>
      <c r="T670" s="79"/>
      <c r="U670" s="79"/>
      <c r="V670" s="79"/>
      <c r="W670" s="79"/>
      <c r="X670" s="79"/>
      <c r="Y670" s="79"/>
      <c r="Z670" s="79"/>
      <c r="AA670" s="79"/>
      <c r="AB670" s="79"/>
      <c r="AC670" s="79"/>
      <c r="AD670" s="79"/>
      <c r="AE670" s="79"/>
      <c r="AF670" s="79"/>
    </row>
    <row r="671" spans="1:32" s="2" customFormat="1">
      <c r="A671" s="551"/>
      <c r="B671" s="551"/>
      <c r="C671" s="551"/>
      <c r="D671" s="551"/>
      <c r="E671" s="551"/>
      <c r="F671" s="551"/>
      <c r="G671" s="551"/>
      <c r="H671" s="551"/>
      <c r="I671" s="551"/>
      <c r="J671" s="551"/>
      <c r="K671" s="551"/>
      <c r="L671" s="551"/>
      <c r="M671" s="551"/>
      <c r="N671" s="551"/>
      <c r="O671" s="551"/>
      <c r="P671" s="551"/>
      <c r="Q671" s="79"/>
      <c r="R671" s="79"/>
      <c r="S671" s="79"/>
      <c r="T671" s="79"/>
      <c r="U671" s="79"/>
      <c r="V671" s="79"/>
      <c r="W671" s="79"/>
      <c r="X671" s="79"/>
      <c r="Y671" s="79"/>
      <c r="Z671" s="79"/>
      <c r="AA671" s="79"/>
      <c r="AB671" s="79"/>
      <c r="AC671" s="79"/>
      <c r="AD671" s="79"/>
      <c r="AE671" s="79"/>
      <c r="AF671" s="79"/>
    </row>
    <row r="672" spans="1:32" s="2" customFormat="1">
      <c r="A672" s="551"/>
      <c r="B672" s="551"/>
      <c r="C672" s="551"/>
      <c r="D672" s="551"/>
      <c r="E672" s="551"/>
      <c r="F672" s="551"/>
      <c r="G672" s="551"/>
      <c r="H672" s="551"/>
      <c r="I672" s="551"/>
      <c r="J672" s="551"/>
      <c r="K672" s="551"/>
      <c r="L672" s="551"/>
      <c r="M672" s="551"/>
      <c r="N672" s="551"/>
      <c r="O672" s="551"/>
      <c r="P672" s="551"/>
      <c r="Q672" s="79"/>
      <c r="R672" s="79"/>
      <c r="S672" s="79"/>
      <c r="T672" s="79"/>
      <c r="U672" s="79"/>
      <c r="V672" s="79"/>
      <c r="W672" s="79"/>
      <c r="X672" s="79"/>
      <c r="Y672" s="79"/>
      <c r="Z672" s="79"/>
      <c r="AA672" s="79"/>
      <c r="AB672" s="79"/>
      <c r="AC672" s="79"/>
      <c r="AD672" s="79"/>
      <c r="AE672" s="79"/>
      <c r="AF672" s="79"/>
    </row>
    <row r="673" spans="1:32" s="2" customFormat="1">
      <c r="A673" s="551"/>
      <c r="B673" s="551"/>
      <c r="C673" s="551"/>
      <c r="D673" s="551"/>
      <c r="E673" s="551"/>
      <c r="F673" s="551"/>
      <c r="G673" s="551"/>
      <c r="H673" s="551"/>
      <c r="I673" s="551"/>
      <c r="J673" s="551"/>
      <c r="K673" s="551"/>
      <c r="L673" s="551"/>
      <c r="M673" s="551"/>
      <c r="N673" s="551"/>
      <c r="O673" s="551"/>
      <c r="P673" s="551"/>
      <c r="Q673" s="79"/>
      <c r="R673" s="79"/>
      <c r="S673" s="79"/>
      <c r="T673" s="79"/>
      <c r="U673" s="79"/>
      <c r="V673" s="79"/>
      <c r="W673" s="79"/>
      <c r="X673" s="79"/>
      <c r="Y673" s="79"/>
      <c r="Z673" s="79"/>
      <c r="AA673" s="79"/>
      <c r="AB673" s="79"/>
      <c r="AC673" s="79"/>
      <c r="AD673" s="79"/>
      <c r="AE673" s="79"/>
      <c r="AF673" s="79"/>
    </row>
    <row r="674" spans="1:32" s="2" customFormat="1">
      <c r="A674" s="551"/>
      <c r="B674" s="551"/>
      <c r="C674" s="551"/>
      <c r="D674" s="551"/>
      <c r="E674" s="551"/>
      <c r="F674" s="551"/>
      <c r="G674" s="551"/>
      <c r="H674" s="551"/>
      <c r="I674" s="551"/>
      <c r="J674" s="551"/>
      <c r="K674" s="551"/>
      <c r="L674" s="551"/>
      <c r="M674" s="551"/>
      <c r="N674" s="551"/>
      <c r="O674" s="551"/>
      <c r="P674" s="551"/>
      <c r="Q674" s="79"/>
      <c r="R674" s="79"/>
      <c r="S674" s="79"/>
      <c r="T674" s="79"/>
      <c r="U674" s="79"/>
      <c r="V674" s="79"/>
      <c r="W674" s="79"/>
      <c r="X674" s="79"/>
      <c r="Y674" s="79"/>
      <c r="Z674" s="79"/>
      <c r="AA674" s="79"/>
      <c r="AB674" s="79"/>
      <c r="AC674" s="79"/>
      <c r="AD674" s="79"/>
      <c r="AE674" s="79"/>
      <c r="AF674" s="79"/>
    </row>
    <row r="675" spans="1:32" s="2" customFormat="1">
      <c r="A675" s="551"/>
      <c r="B675" s="551"/>
      <c r="C675" s="551"/>
      <c r="D675" s="551"/>
      <c r="E675" s="551"/>
      <c r="F675" s="551"/>
      <c r="G675" s="551"/>
      <c r="H675" s="551"/>
      <c r="I675" s="551"/>
      <c r="J675" s="551"/>
      <c r="K675" s="551"/>
      <c r="L675" s="551"/>
      <c r="M675" s="551"/>
      <c r="N675" s="551"/>
      <c r="O675" s="551"/>
      <c r="P675" s="551"/>
      <c r="Q675" s="79"/>
      <c r="R675" s="79"/>
      <c r="S675" s="79"/>
      <c r="T675" s="79"/>
      <c r="U675" s="79"/>
      <c r="V675" s="79"/>
      <c r="W675" s="79"/>
      <c r="X675" s="79"/>
      <c r="Y675" s="79"/>
      <c r="Z675" s="79"/>
      <c r="AA675" s="79"/>
      <c r="AB675" s="79"/>
      <c r="AC675" s="79"/>
      <c r="AD675" s="79"/>
      <c r="AE675" s="79"/>
      <c r="AF675" s="79"/>
    </row>
    <row r="676" spans="1:32" s="2" customFormat="1">
      <c r="A676" s="551"/>
      <c r="B676" s="551"/>
      <c r="C676" s="551"/>
      <c r="D676" s="551"/>
      <c r="E676" s="551"/>
      <c r="F676" s="551"/>
      <c r="G676" s="551"/>
      <c r="H676" s="551"/>
      <c r="I676" s="551"/>
      <c r="J676" s="551"/>
      <c r="K676" s="551"/>
      <c r="L676" s="551"/>
      <c r="M676" s="551"/>
      <c r="N676" s="551"/>
      <c r="O676" s="551"/>
      <c r="P676" s="551"/>
      <c r="Q676" s="79"/>
      <c r="R676" s="79"/>
      <c r="S676" s="79"/>
      <c r="T676" s="79"/>
      <c r="U676" s="79"/>
      <c r="V676" s="79"/>
      <c r="W676" s="79"/>
      <c r="X676" s="79"/>
      <c r="Y676" s="79"/>
      <c r="Z676" s="79"/>
      <c r="AA676" s="79"/>
      <c r="AB676" s="79"/>
      <c r="AC676" s="79"/>
      <c r="AD676" s="79"/>
      <c r="AE676" s="79"/>
      <c r="AF676" s="79"/>
    </row>
    <row r="677" spans="1:32" s="2" customFormat="1">
      <c r="A677" s="551"/>
      <c r="B677" s="551"/>
      <c r="C677" s="551"/>
      <c r="D677" s="551"/>
      <c r="E677" s="551"/>
      <c r="F677" s="551"/>
      <c r="G677" s="551"/>
      <c r="H677" s="551"/>
      <c r="I677" s="551"/>
      <c r="J677" s="551"/>
      <c r="K677" s="551"/>
      <c r="L677" s="551"/>
      <c r="M677" s="551"/>
      <c r="N677" s="551"/>
      <c r="O677" s="551"/>
      <c r="P677" s="551"/>
      <c r="Q677" s="79"/>
      <c r="R677" s="79"/>
      <c r="S677" s="79"/>
      <c r="T677" s="79"/>
      <c r="U677" s="79"/>
      <c r="V677" s="79"/>
      <c r="W677" s="79"/>
      <c r="X677" s="79"/>
      <c r="Y677" s="79"/>
      <c r="Z677" s="79"/>
      <c r="AA677" s="79"/>
      <c r="AB677" s="79"/>
      <c r="AC677" s="79"/>
      <c r="AD677" s="79"/>
      <c r="AE677" s="79"/>
      <c r="AF677" s="79"/>
    </row>
    <row r="678" spans="1:32" s="2" customFormat="1">
      <c r="A678" s="551"/>
      <c r="B678" s="551"/>
      <c r="C678" s="551"/>
      <c r="D678" s="551"/>
      <c r="E678" s="551"/>
      <c r="F678" s="551"/>
      <c r="G678" s="551"/>
      <c r="H678" s="551"/>
      <c r="I678" s="551"/>
      <c r="J678" s="551"/>
      <c r="K678" s="551"/>
      <c r="L678" s="551"/>
      <c r="M678" s="551"/>
      <c r="N678" s="551"/>
      <c r="O678" s="551"/>
      <c r="P678" s="551"/>
      <c r="Q678" s="79"/>
      <c r="R678" s="79"/>
      <c r="S678" s="79"/>
      <c r="T678" s="79"/>
      <c r="U678" s="79"/>
      <c r="V678" s="79"/>
      <c r="W678" s="79"/>
      <c r="X678" s="79"/>
      <c r="Y678" s="79"/>
      <c r="Z678" s="79"/>
      <c r="AA678" s="79"/>
      <c r="AB678" s="79"/>
      <c r="AC678" s="79"/>
      <c r="AD678" s="79"/>
      <c r="AE678" s="79"/>
      <c r="AF678" s="79"/>
    </row>
    <row r="679" spans="1:32" s="2" customFormat="1">
      <c r="A679" s="551"/>
      <c r="B679" s="551"/>
      <c r="C679" s="551"/>
      <c r="D679" s="551"/>
      <c r="E679" s="551"/>
      <c r="F679" s="551"/>
      <c r="G679" s="551"/>
      <c r="H679" s="551"/>
      <c r="I679" s="551"/>
      <c r="J679" s="551"/>
      <c r="K679" s="551"/>
      <c r="L679" s="551"/>
      <c r="M679" s="551"/>
      <c r="N679" s="551"/>
      <c r="O679" s="551"/>
      <c r="P679" s="551"/>
      <c r="Q679" s="79"/>
      <c r="R679" s="79"/>
      <c r="S679" s="79"/>
      <c r="T679" s="79"/>
      <c r="U679" s="79"/>
      <c r="V679" s="79"/>
      <c r="W679" s="79"/>
      <c r="X679" s="79"/>
      <c r="Y679" s="79"/>
      <c r="Z679" s="79"/>
      <c r="AA679" s="79"/>
      <c r="AB679" s="79"/>
      <c r="AC679" s="79"/>
      <c r="AD679" s="79"/>
      <c r="AE679" s="79"/>
      <c r="AF679" s="79"/>
    </row>
    <row r="680" spans="1:32" s="2" customFormat="1">
      <c r="A680" s="551"/>
      <c r="B680" s="551"/>
      <c r="C680" s="551"/>
      <c r="D680" s="551"/>
      <c r="E680" s="551"/>
      <c r="F680" s="551"/>
      <c r="G680" s="551"/>
      <c r="H680" s="551"/>
      <c r="I680" s="551"/>
      <c r="J680" s="551"/>
      <c r="K680" s="551"/>
      <c r="L680" s="551"/>
      <c r="M680" s="551"/>
      <c r="N680" s="551"/>
      <c r="O680" s="551"/>
      <c r="P680" s="551"/>
      <c r="Q680" s="79"/>
      <c r="R680" s="79"/>
      <c r="S680" s="79"/>
      <c r="T680" s="79"/>
      <c r="U680" s="79"/>
      <c r="V680" s="79"/>
      <c r="W680" s="79"/>
      <c r="X680" s="79"/>
      <c r="Y680" s="79"/>
      <c r="Z680" s="79"/>
      <c r="AA680" s="79"/>
      <c r="AB680" s="79"/>
      <c r="AC680" s="79"/>
      <c r="AD680" s="79"/>
      <c r="AE680" s="79"/>
      <c r="AF680" s="79"/>
    </row>
    <row r="681" spans="1:32" s="2" customFormat="1">
      <c r="A681" s="551"/>
      <c r="B681" s="551"/>
      <c r="C681" s="551"/>
      <c r="D681" s="551"/>
      <c r="E681" s="551"/>
      <c r="F681" s="551"/>
      <c r="G681" s="551"/>
      <c r="H681" s="551"/>
      <c r="I681" s="551"/>
      <c r="J681" s="551"/>
      <c r="K681" s="551"/>
      <c r="L681" s="551"/>
      <c r="M681" s="551"/>
      <c r="N681" s="551"/>
      <c r="O681" s="551"/>
      <c r="P681" s="551"/>
      <c r="Q681" s="79"/>
      <c r="R681" s="79"/>
      <c r="S681" s="79"/>
      <c r="T681" s="79"/>
      <c r="U681" s="79"/>
      <c r="V681" s="79"/>
      <c r="W681" s="79"/>
      <c r="X681" s="79"/>
      <c r="Y681" s="79"/>
      <c r="Z681" s="79"/>
      <c r="AA681" s="79"/>
      <c r="AB681" s="79"/>
      <c r="AC681" s="79"/>
      <c r="AD681" s="79"/>
      <c r="AE681" s="79"/>
      <c r="AF681" s="79"/>
    </row>
    <row r="682" spans="1:32" s="2" customFormat="1">
      <c r="A682" s="551"/>
      <c r="B682" s="551"/>
      <c r="C682" s="551"/>
      <c r="D682" s="551"/>
      <c r="E682" s="551"/>
      <c r="F682" s="551"/>
      <c r="G682" s="551"/>
      <c r="H682" s="551"/>
      <c r="I682" s="551"/>
      <c r="J682" s="551"/>
      <c r="K682" s="551"/>
      <c r="L682" s="551"/>
      <c r="M682" s="551"/>
      <c r="N682" s="551"/>
      <c r="O682" s="551"/>
      <c r="P682" s="551"/>
      <c r="Q682" s="79"/>
      <c r="R682" s="79"/>
      <c r="S682" s="79"/>
      <c r="T682" s="79"/>
      <c r="U682" s="79"/>
      <c r="V682" s="79"/>
      <c r="W682" s="79"/>
      <c r="X682" s="79"/>
      <c r="Y682" s="79"/>
      <c r="Z682" s="79"/>
      <c r="AA682" s="79"/>
      <c r="AB682" s="79"/>
      <c r="AC682" s="79"/>
      <c r="AD682" s="79"/>
      <c r="AE682" s="79"/>
      <c r="AF682" s="79"/>
    </row>
    <row r="683" spans="1:32" s="2" customFormat="1">
      <c r="A683" s="551"/>
      <c r="B683" s="551"/>
      <c r="C683" s="551"/>
      <c r="D683" s="551"/>
      <c r="E683" s="551"/>
      <c r="F683" s="551"/>
      <c r="G683" s="551"/>
      <c r="H683" s="551"/>
      <c r="I683" s="551"/>
      <c r="J683" s="551"/>
      <c r="K683" s="551"/>
      <c r="L683" s="551"/>
      <c r="M683" s="551"/>
      <c r="N683" s="551"/>
      <c r="O683" s="551"/>
      <c r="P683" s="551"/>
      <c r="Q683" s="79"/>
      <c r="R683" s="79"/>
      <c r="S683" s="79"/>
      <c r="T683" s="79"/>
      <c r="U683" s="79"/>
      <c r="V683" s="79"/>
      <c r="W683" s="79"/>
      <c r="X683" s="79"/>
      <c r="Y683" s="79"/>
      <c r="Z683" s="79"/>
      <c r="AA683" s="79"/>
      <c r="AB683" s="79"/>
      <c r="AC683" s="79"/>
      <c r="AD683" s="79"/>
      <c r="AE683" s="79"/>
      <c r="AF683" s="79"/>
    </row>
    <row r="684" spans="1:32" s="2" customFormat="1">
      <c r="A684" s="551"/>
      <c r="B684" s="551"/>
      <c r="C684" s="551"/>
      <c r="D684" s="551"/>
      <c r="E684" s="551"/>
      <c r="F684" s="551"/>
      <c r="G684" s="551"/>
      <c r="H684" s="551"/>
      <c r="I684" s="551"/>
      <c r="J684" s="551"/>
      <c r="K684" s="551"/>
      <c r="L684" s="551"/>
      <c r="M684" s="551"/>
      <c r="N684" s="551"/>
      <c r="O684" s="551"/>
      <c r="P684" s="551"/>
      <c r="Q684" s="79"/>
      <c r="R684" s="79"/>
      <c r="S684" s="79"/>
      <c r="T684" s="79"/>
      <c r="U684" s="79"/>
      <c r="V684" s="79"/>
      <c r="W684" s="79"/>
      <c r="X684" s="79"/>
      <c r="Y684" s="79"/>
      <c r="Z684" s="79"/>
      <c r="AA684" s="79"/>
      <c r="AB684" s="79"/>
      <c r="AC684" s="79"/>
      <c r="AD684" s="79"/>
      <c r="AE684" s="79"/>
      <c r="AF684" s="79"/>
    </row>
    <row r="685" spans="1:32" s="2" customFormat="1">
      <c r="A685" s="551"/>
      <c r="B685" s="551"/>
      <c r="C685" s="551"/>
      <c r="D685" s="551"/>
      <c r="E685" s="551"/>
      <c r="F685" s="551"/>
      <c r="G685" s="551"/>
      <c r="H685" s="551"/>
      <c r="I685" s="551"/>
      <c r="J685" s="551"/>
      <c r="K685" s="551"/>
      <c r="L685" s="551"/>
      <c r="M685" s="551"/>
      <c r="N685" s="551"/>
      <c r="O685" s="551"/>
      <c r="P685" s="551"/>
      <c r="Q685" s="79"/>
      <c r="R685" s="79"/>
      <c r="S685" s="79"/>
      <c r="T685" s="79"/>
      <c r="U685" s="79"/>
      <c r="V685" s="79"/>
      <c r="W685" s="79"/>
      <c r="X685" s="79"/>
      <c r="Y685" s="79"/>
      <c r="Z685" s="79"/>
      <c r="AA685" s="79"/>
      <c r="AB685" s="79"/>
      <c r="AC685" s="79"/>
      <c r="AD685" s="79"/>
      <c r="AE685" s="79"/>
      <c r="AF685" s="79"/>
    </row>
    <row r="686" spans="1:32" s="2" customFormat="1">
      <c r="A686" s="551"/>
      <c r="B686" s="551"/>
      <c r="C686" s="551"/>
      <c r="D686" s="551"/>
      <c r="E686" s="551"/>
      <c r="F686" s="551"/>
      <c r="G686" s="551"/>
      <c r="H686" s="551"/>
      <c r="I686" s="551"/>
      <c r="J686" s="551"/>
      <c r="K686" s="551"/>
      <c r="L686" s="551"/>
      <c r="M686" s="551"/>
      <c r="N686" s="551"/>
      <c r="O686" s="551"/>
      <c r="P686" s="551"/>
      <c r="Q686" s="79"/>
      <c r="R686" s="79"/>
      <c r="S686" s="79"/>
      <c r="T686" s="79"/>
      <c r="U686" s="79"/>
      <c r="V686" s="79"/>
      <c r="W686" s="79"/>
      <c r="X686" s="79"/>
      <c r="Y686" s="79"/>
      <c r="Z686" s="79"/>
      <c r="AA686" s="79"/>
      <c r="AB686" s="79"/>
      <c r="AC686" s="79"/>
      <c r="AD686" s="79"/>
      <c r="AE686" s="79"/>
      <c r="AF686" s="79"/>
    </row>
    <row r="687" spans="1:32" s="2" customFormat="1">
      <c r="A687" s="551"/>
      <c r="B687" s="551"/>
      <c r="C687" s="551"/>
      <c r="D687" s="551"/>
      <c r="E687" s="551"/>
      <c r="F687" s="551"/>
      <c r="G687" s="551"/>
      <c r="H687" s="551"/>
      <c r="I687" s="551"/>
      <c r="J687" s="551"/>
      <c r="K687" s="551"/>
      <c r="L687" s="551"/>
      <c r="M687" s="551"/>
      <c r="N687" s="551"/>
      <c r="O687" s="551"/>
      <c r="P687" s="551"/>
      <c r="Q687" s="79"/>
      <c r="R687" s="79"/>
      <c r="S687" s="79"/>
      <c r="T687" s="79"/>
      <c r="U687" s="79"/>
      <c r="V687" s="79"/>
      <c r="W687" s="79"/>
      <c r="X687" s="79"/>
      <c r="Y687" s="79"/>
      <c r="Z687" s="79"/>
      <c r="AA687" s="79"/>
      <c r="AB687" s="79"/>
      <c r="AC687" s="79"/>
      <c r="AD687" s="79"/>
      <c r="AE687" s="79"/>
      <c r="AF687" s="79"/>
    </row>
    <row r="688" spans="1:32" s="2" customFormat="1">
      <c r="A688" s="551"/>
      <c r="B688" s="551"/>
      <c r="C688" s="551"/>
      <c r="D688" s="551"/>
      <c r="E688" s="551"/>
      <c r="F688" s="551"/>
      <c r="G688" s="551"/>
      <c r="H688" s="551"/>
      <c r="I688" s="551"/>
      <c r="J688" s="551"/>
      <c r="K688" s="551"/>
      <c r="L688" s="551"/>
      <c r="M688" s="551"/>
      <c r="N688" s="551"/>
      <c r="O688" s="551"/>
      <c r="P688" s="551"/>
      <c r="Q688" s="79"/>
      <c r="R688" s="79"/>
      <c r="S688" s="79"/>
      <c r="T688" s="79"/>
      <c r="U688" s="79"/>
      <c r="V688" s="79"/>
      <c r="W688" s="79"/>
      <c r="X688" s="79"/>
      <c r="Y688" s="79"/>
      <c r="Z688" s="79"/>
      <c r="AA688" s="79"/>
      <c r="AB688" s="79"/>
      <c r="AC688" s="79"/>
      <c r="AD688" s="79"/>
      <c r="AE688" s="79"/>
      <c r="AF688" s="79"/>
    </row>
    <row r="689" spans="1:32" s="2" customFormat="1">
      <c r="A689" s="551"/>
      <c r="B689" s="551"/>
      <c r="C689" s="551"/>
      <c r="D689" s="551"/>
      <c r="E689" s="551"/>
      <c r="F689" s="551"/>
      <c r="G689" s="551"/>
      <c r="H689" s="551"/>
      <c r="I689" s="551"/>
      <c r="J689" s="551"/>
      <c r="K689" s="551"/>
      <c r="L689" s="551"/>
      <c r="M689" s="551"/>
      <c r="N689" s="551"/>
      <c r="O689" s="551"/>
      <c r="P689" s="551"/>
      <c r="Q689" s="79"/>
      <c r="R689" s="79"/>
      <c r="S689" s="79"/>
      <c r="T689" s="79"/>
      <c r="U689" s="79"/>
      <c r="V689" s="79"/>
      <c r="W689" s="79"/>
      <c r="X689" s="79"/>
      <c r="Y689" s="79"/>
      <c r="Z689" s="79"/>
      <c r="AA689" s="79"/>
      <c r="AB689" s="79"/>
      <c r="AC689" s="79"/>
      <c r="AD689" s="79"/>
      <c r="AE689" s="79"/>
      <c r="AF689" s="79"/>
    </row>
    <row r="690" spans="1:32" s="2" customFormat="1">
      <c r="A690" s="551"/>
      <c r="B690" s="551"/>
      <c r="C690" s="551"/>
      <c r="D690" s="551"/>
      <c r="E690" s="551"/>
      <c r="F690" s="551"/>
      <c r="G690" s="551"/>
      <c r="H690" s="551"/>
      <c r="I690" s="551"/>
      <c r="J690" s="551"/>
      <c r="K690" s="551"/>
      <c r="L690" s="551"/>
      <c r="M690" s="551"/>
      <c r="N690" s="551"/>
      <c r="O690" s="551"/>
      <c r="P690" s="551"/>
      <c r="Q690" s="79"/>
      <c r="R690" s="79"/>
      <c r="S690" s="79"/>
      <c r="T690" s="79"/>
      <c r="U690" s="79"/>
      <c r="V690" s="79"/>
      <c r="W690" s="79"/>
      <c r="X690" s="79"/>
      <c r="Y690" s="79"/>
      <c r="Z690" s="79"/>
      <c r="AA690" s="79"/>
      <c r="AB690" s="79"/>
      <c r="AC690" s="79"/>
      <c r="AD690" s="79"/>
      <c r="AE690" s="79"/>
      <c r="AF690" s="79"/>
    </row>
    <row r="691" spans="1:32" s="2" customFormat="1">
      <c r="A691" s="551"/>
      <c r="B691" s="551"/>
      <c r="C691" s="551"/>
      <c r="D691" s="551"/>
      <c r="E691" s="551"/>
      <c r="F691" s="551"/>
      <c r="G691" s="551"/>
      <c r="H691" s="551"/>
      <c r="I691" s="551"/>
      <c r="J691" s="551"/>
      <c r="K691" s="551"/>
      <c r="L691" s="551"/>
      <c r="M691" s="551"/>
      <c r="N691" s="551"/>
      <c r="O691" s="551"/>
      <c r="P691" s="551"/>
      <c r="Q691" s="79"/>
      <c r="R691" s="79"/>
      <c r="S691" s="79"/>
      <c r="T691" s="79"/>
      <c r="U691" s="79"/>
      <c r="V691" s="79"/>
      <c r="W691" s="79"/>
      <c r="X691" s="79"/>
      <c r="Y691" s="79"/>
      <c r="Z691" s="79"/>
      <c r="AA691" s="79"/>
      <c r="AB691" s="79"/>
      <c r="AC691" s="79"/>
      <c r="AD691" s="79"/>
      <c r="AE691" s="79"/>
      <c r="AF691" s="79"/>
    </row>
    <row r="692" spans="1:32" s="2" customFormat="1">
      <c r="A692" s="551"/>
      <c r="B692" s="551"/>
      <c r="C692" s="551"/>
      <c r="D692" s="551"/>
      <c r="E692" s="551"/>
      <c r="F692" s="551"/>
      <c r="G692" s="551"/>
      <c r="H692" s="551"/>
      <c r="I692" s="551"/>
      <c r="J692" s="551"/>
      <c r="K692" s="551"/>
      <c r="L692" s="551"/>
      <c r="M692" s="551"/>
      <c r="N692" s="551"/>
      <c r="O692" s="551"/>
      <c r="P692" s="551"/>
      <c r="Q692" s="79"/>
      <c r="R692" s="79"/>
      <c r="S692" s="79"/>
      <c r="T692" s="79"/>
      <c r="U692" s="79"/>
      <c r="V692" s="79"/>
      <c r="W692" s="79"/>
      <c r="X692" s="79"/>
      <c r="Y692" s="79"/>
      <c r="Z692" s="79"/>
      <c r="AA692" s="79"/>
      <c r="AB692" s="79"/>
      <c r="AC692" s="79"/>
      <c r="AD692" s="79"/>
      <c r="AE692" s="79"/>
      <c r="AF692" s="79"/>
    </row>
    <row r="693" spans="1:32" s="2" customFormat="1">
      <c r="A693" s="551"/>
      <c r="B693" s="551"/>
      <c r="C693" s="551"/>
      <c r="D693" s="551"/>
      <c r="E693" s="551"/>
      <c r="F693" s="551"/>
      <c r="G693" s="551"/>
      <c r="H693" s="551"/>
      <c r="I693" s="551"/>
      <c r="J693" s="551"/>
      <c r="K693" s="551"/>
      <c r="L693" s="551"/>
      <c r="M693" s="551"/>
      <c r="N693" s="551"/>
      <c r="O693" s="551"/>
      <c r="P693" s="551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  <c r="AD693" s="79"/>
      <c r="AE693" s="79"/>
      <c r="AF693" s="79"/>
    </row>
    <row r="694" spans="1:32" s="2" customFormat="1">
      <c r="A694" s="551"/>
      <c r="B694" s="551"/>
      <c r="C694" s="551"/>
      <c r="D694" s="551"/>
      <c r="E694" s="551"/>
      <c r="F694" s="551"/>
      <c r="G694" s="551"/>
      <c r="H694" s="551"/>
      <c r="I694" s="551"/>
      <c r="J694" s="551"/>
      <c r="K694" s="551"/>
      <c r="L694" s="551"/>
      <c r="M694" s="551"/>
      <c r="N694" s="551"/>
      <c r="O694" s="551"/>
      <c r="P694" s="551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  <c r="AD694" s="79"/>
      <c r="AE694" s="79"/>
      <c r="AF694" s="79"/>
    </row>
    <row r="695" spans="1:32" s="2" customFormat="1">
      <c r="A695" s="551"/>
      <c r="B695" s="551"/>
      <c r="C695" s="551"/>
      <c r="D695" s="551"/>
      <c r="E695" s="551"/>
      <c r="F695" s="551"/>
      <c r="G695" s="551"/>
      <c r="H695" s="551"/>
      <c r="I695" s="551"/>
      <c r="J695" s="551"/>
      <c r="K695" s="551"/>
      <c r="L695" s="551"/>
      <c r="M695" s="551"/>
      <c r="N695" s="551"/>
      <c r="O695" s="551"/>
      <c r="P695" s="551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  <c r="AD695" s="79"/>
      <c r="AE695" s="79"/>
      <c r="AF695" s="79"/>
    </row>
    <row r="696" spans="1:32" s="2" customFormat="1">
      <c r="A696" s="551"/>
      <c r="B696" s="551"/>
      <c r="C696" s="551"/>
      <c r="D696" s="551"/>
      <c r="E696" s="551"/>
      <c r="F696" s="551"/>
      <c r="G696" s="551"/>
      <c r="H696" s="551"/>
      <c r="I696" s="551"/>
      <c r="J696" s="551"/>
      <c r="K696" s="551"/>
      <c r="L696" s="551"/>
      <c r="M696" s="551"/>
      <c r="N696" s="551"/>
      <c r="O696" s="551"/>
      <c r="P696" s="551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  <c r="AD696" s="79"/>
      <c r="AE696" s="79"/>
      <c r="AF696" s="79"/>
    </row>
    <row r="697" spans="1:32" s="2" customFormat="1">
      <c r="A697" s="551"/>
      <c r="B697" s="551"/>
      <c r="C697" s="551"/>
      <c r="D697" s="551"/>
      <c r="E697" s="551"/>
      <c r="F697" s="551"/>
      <c r="G697" s="551"/>
      <c r="H697" s="551"/>
      <c r="I697" s="551"/>
      <c r="J697" s="551"/>
      <c r="K697" s="551"/>
      <c r="L697" s="551"/>
      <c r="M697" s="551"/>
      <c r="N697" s="551"/>
      <c r="O697" s="551"/>
      <c r="P697" s="551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  <c r="AD697" s="79"/>
      <c r="AE697" s="79"/>
      <c r="AF697" s="79"/>
    </row>
    <row r="698" spans="1:32" s="2" customFormat="1">
      <c r="A698" s="551"/>
      <c r="B698" s="551"/>
      <c r="C698" s="551"/>
      <c r="D698" s="551"/>
      <c r="E698" s="551"/>
      <c r="F698" s="551"/>
      <c r="G698" s="551"/>
      <c r="H698" s="551"/>
      <c r="I698" s="551"/>
      <c r="J698" s="551"/>
      <c r="K698" s="551"/>
      <c r="L698" s="551"/>
      <c r="M698" s="551"/>
      <c r="N698" s="551"/>
      <c r="O698" s="551"/>
      <c r="P698" s="551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  <c r="AD698" s="79"/>
      <c r="AE698" s="79"/>
      <c r="AF698" s="79"/>
    </row>
    <row r="699" spans="1:32" s="2" customFormat="1">
      <c r="A699" s="551"/>
      <c r="B699" s="551"/>
      <c r="C699" s="551"/>
      <c r="D699" s="551"/>
      <c r="E699" s="551"/>
      <c r="F699" s="551"/>
      <c r="G699" s="551"/>
      <c r="H699" s="551"/>
      <c r="I699" s="551"/>
      <c r="J699" s="551"/>
      <c r="K699" s="551"/>
      <c r="L699" s="551"/>
      <c r="M699" s="551"/>
      <c r="N699" s="551"/>
      <c r="O699" s="551"/>
      <c r="P699" s="551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  <c r="AD699" s="79"/>
      <c r="AE699" s="79"/>
      <c r="AF699" s="79"/>
    </row>
    <row r="700" spans="1:32" s="2" customFormat="1">
      <c r="A700" s="551"/>
      <c r="B700" s="551"/>
      <c r="C700" s="551"/>
      <c r="D700" s="551"/>
      <c r="E700" s="551"/>
      <c r="F700" s="551"/>
      <c r="G700" s="551"/>
      <c r="H700" s="551"/>
      <c r="I700" s="551"/>
      <c r="J700" s="551"/>
      <c r="K700" s="551"/>
      <c r="L700" s="551"/>
      <c r="M700" s="551"/>
      <c r="N700" s="551"/>
      <c r="O700" s="551"/>
      <c r="P700" s="551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  <c r="AD700" s="79"/>
      <c r="AE700" s="79"/>
      <c r="AF700" s="79"/>
    </row>
    <row r="701" spans="1:32" s="2" customFormat="1">
      <c r="A701" s="551"/>
      <c r="B701" s="551"/>
      <c r="C701" s="551"/>
      <c r="D701" s="551"/>
      <c r="E701" s="551"/>
      <c r="F701" s="551"/>
      <c r="G701" s="551"/>
      <c r="H701" s="551"/>
      <c r="I701" s="551"/>
      <c r="J701" s="551"/>
      <c r="K701" s="551"/>
      <c r="L701" s="551"/>
      <c r="M701" s="551"/>
      <c r="N701" s="551"/>
      <c r="O701" s="551"/>
      <c r="P701" s="551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  <c r="AD701" s="79"/>
      <c r="AE701" s="79"/>
      <c r="AF701" s="79"/>
    </row>
    <row r="702" spans="1:32" s="2" customFormat="1">
      <c r="A702" s="551"/>
      <c r="B702" s="551"/>
      <c r="C702" s="551"/>
      <c r="D702" s="551"/>
      <c r="E702" s="551"/>
      <c r="F702" s="551"/>
      <c r="G702" s="551"/>
      <c r="H702" s="551"/>
      <c r="I702" s="551"/>
      <c r="J702" s="551"/>
      <c r="K702" s="551"/>
      <c r="L702" s="551"/>
      <c r="M702" s="551"/>
      <c r="N702" s="551"/>
      <c r="O702" s="551"/>
      <c r="P702" s="551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  <c r="AD702" s="79"/>
      <c r="AE702" s="79"/>
      <c r="AF702" s="79"/>
    </row>
    <row r="703" spans="1:32" s="2" customFormat="1">
      <c r="A703" s="551"/>
      <c r="B703" s="551"/>
      <c r="C703" s="551"/>
      <c r="D703" s="551"/>
      <c r="E703" s="551"/>
      <c r="F703" s="551"/>
      <c r="G703" s="551"/>
      <c r="H703" s="551"/>
      <c r="I703" s="551"/>
      <c r="J703" s="551"/>
      <c r="K703" s="551"/>
      <c r="L703" s="551"/>
      <c r="M703" s="551"/>
      <c r="N703" s="551"/>
      <c r="O703" s="551"/>
      <c r="P703" s="551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  <c r="AD703" s="79"/>
      <c r="AE703" s="79"/>
      <c r="AF703" s="79"/>
    </row>
    <row r="704" spans="1:32" s="2" customFormat="1">
      <c r="A704" s="551"/>
      <c r="B704" s="551"/>
      <c r="C704" s="551"/>
      <c r="D704" s="551"/>
      <c r="E704" s="551"/>
      <c r="F704" s="551"/>
      <c r="G704" s="551"/>
      <c r="H704" s="551"/>
      <c r="I704" s="551"/>
      <c r="J704" s="551"/>
      <c r="K704" s="551"/>
      <c r="L704" s="551"/>
      <c r="M704" s="551"/>
      <c r="N704" s="551"/>
      <c r="O704" s="551"/>
      <c r="P704" s="551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  <c r="AD704" s="79"/>
      <c r="AE704" s="79"/>
      <c r="AF704" s="79"/>
    </row>
    <row r="705" spans="1:32" s="2" customFormat="1">
      <c r="A705" s="551"/>
      <c r="B705" s="551"/>
      <c r="C705" s="551"/>
      <c r="D705" s="551"/>
      <c r="E705" s="551"/>
      <c r="F705" s="551"/>
      <c r="G705" s="551"/>
      <c r="H705" s="551"/>
      <c r="I705" s="551"/>
      <c r="J705" s="551"/>
      <c r="K705" s="551"/>
      <c r="L705" s="551"/>
      <c r="M705" s="551"/>
      <c r="N705" s="551"/>
      <c r="O705" s="551"/>
      <c r="P705" s="551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  <c r="AD705" s="79"/>
      <c r="AE705" s="79"/>
      <c r="AF705" s="79"/>
    </row>
    <row r="706" spans="1:32" s="2" customFormat="1">
      <c r="A706" s="551"/>
      <c r="B706" s="551"/>
      <c r="C706" s="551"/>
      <c r="D706" s="551"/>
      <c r="E706" s="551"/>
      <c r="F706" s="551"/>
      <c r="G706" s="551"/>
      <c r="H706" s="551"/>
      <c r="I706" s="551"/>
      <c r="J706" s="551"/>
      <c r="K706" s="551"/>
      <c r="L706" s="551"/>
      <c r="M706" s="551"/>
      <c r="N706" s="551"/>
      <c r="O706" s="551"/>
      <c r="P706" s="551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  <c r="AD706" s="79"/>
      <c r="AE706" s="79"/>
      <c r="AF706" s="79"/>
    </row>
    <row r="707" spans="1:32" s="2" customFormat="1">
      <c r="A707" s="551"/>
      <c r="B707" s="551"/>
      <c r="C707" s="551"/>
      <c r="D707" s="551"/>
      <c r="E707" s="551"/>
      <c r="F707" s="551"/>
      <c r="G707" s="551"/>
      <c r="H707" s="551"/>
      <c r="I707" s="551"/>
      <c r="J707" s="551"/>
      <c r="K707" s="551"/>
      <c r="L707" s="551"/>
      <c r="M707" s="551"/>
      <c r="N707" s="551"/>
      <c r="O707" s="551"/>
      <c r="P707" s="551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  <c r="AD707" s="79"/>
      <c r="AE707" s="79"/>
      <c r="AF707" s="79"/>
    </row>
    <row r="708" spans="1:32" s="2" customFormat="1">
      <c r="A708" s="551"/>
      <c r="B708" s="551"/>
      <c r="C708" s="551"/>
      <c r="D708" s="551"/>
      <c r="E708" s="551"/>
      <c r="F708" s="551"/>
      <c r="G708" s="551"/>
      <c r="H708" s="551"/>
      <c r="I708" s="551"/>
      <c r="J708" s="551"/>
      <c r="K708" s="551"/>
      <c r="L708" s="551"/>
      <c r="M708" s="551"/>
      <c r="N708" s="551"/>
      <c r="O708" s="551"/>
      <c r="P708" s="551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  <c r="AD708" s="79"/>
      <c r="AE708" s="79"/>
      <c r="AF708" s="79"/>
    </row>
    <row r="709" spans="1:32" s="2" customFormat="1">
      <c r="A709" s="551"/>
      <c r="B709" s="551"/>
      <c r="C709" s="551"/>
      <c r="D709" s="551"/>
      <c r="E709" s="551"/>
      <c r="F709" s="551"/>
      <c r="G709" s="551"/>
      <c r="H709" s="551"/>
      <c r="I709" s="551"/>
      <c r="J709" s="551"/>
      <c r="K709" s="551"/>
      <c r="L709" s="551"/>
      <c r="M709" s="551"/>
      <c r="N709" s="551"/>
      <c r="O709" s="551"/>
      <c r="P709" s="551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  <c r="AD709" s="79"/>
      <c r="AE709" s="79"/>
      <c r="AF709" s="79"/>
    </row>
    <row r="710" spans="1:32" s="2" customFormat="1">
      <c r="A710" s="551"/>
      <c r="B710" s="551"/>
      <c r="C710" s="551"/>
      <c r="D710" s="551"/>
      <c r="E710" s="551"/>
      <c r="F710" s="551"/>
      <c r="G710" s="551"/>
      <c r="H710" s="551"/>
      <c r="I710" s="551"/>
      <c r="J710" s="551"/>
      <c r="K710" s="551"/>
      <c r="L710" s="551"/>
      <c r="M710" s="551"/>
      <c r="N710" s="551"/>
      <c r="O710" s="551"/>
      <c r="P710" s="551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  <c r="AD710" s="79"/>
      <c r="AE710" s="79"/>
      <c r="AF710" s="79"/>
    </row>
    <row r="711" spans="1:32" s="2" customFormat="1">
      <c r="A711" s="551"/>
      <c r="B711" s="551"/>
      <c r="C711" s="551"/>
      <c r="D711" s="551"/>
      <c r="E711" s="551"/>
      <c r="F711" s="551"/>
      <c r="G711" s="551"/>
      <c r="H711" s="551"/>
      <c r="I711" s="551"/>
      <c r="J711" s="551"/>
      <c r="K711" s="551"/>
      <c r="L711" s="551"/>
      <c r="M711" s="551"/>
      <c r="N711" s="551"/>
      <c r="O711" s="551"/>
      <c r="P711" s="551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  <c r="AD711" s="79"/>
      <c r="AE711" s="79"/>
      <c r="AF711" s="79"/>
    </row>
    <row r="712" spans="1:32" s="2" customFormat="1">
      <c r="A712" s="551"/>
      <c r="B712" s="551"/>
      <c r="C712" s="551"/>
      <c r="D712" s="551"/>
      <c r="E712" s="551"/>
      <c r="F712" s="551"/>
      <c r="G712" s="551"/>
      <c r="H712" s="551"/>
      <c r="I712" s="551"/>
      <c r="J712" s="551"/>
      <c r="K712" s="551"/>
      <c r="L712" s="551"/>
      <c r="M712" s="551"/>
      <c r="N712" s="551"/>
      <c r="O712" s="551"/>
      <c r="P712" s="551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  <c r="AD712" s="79"/>
      <c r="AE712" s="79"/>
      <c r="AF712" s="79"/>
    </row>
    <row r="713" spans="1:32" s="2" customFormat="1">
      <c r="A713" s="551"/>
      <c r="B713" s="551"/>
      <c r="C713" s="551"/>
      <c r="D713" s="551"/>
      <c r="E713" s="551"/>
      <c r="F713" s="551"/>
      <c r="G713" s="551"/>
      <c r="H713" s="551"/>
      <c r="I713" s="551"/>
      <c r="J713" s="551"/>
      <c r="K713" s="551"/>
      <c r="L713" s="551"/>
      <c r="M713" s="551"/>
      <c r="N713" s="551"/>
      <c r="O713" s="551"/>
      <c r="P713" s="551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  <c r="AD713" s="79"/>
      <c r="AE713" s="79"/>
      <c r="AF713" s="79"/>
    </row>
    <row r="714" spans="1:32" s="2" customFormat="1">
      <c r="A714" s="551"/>
      <c r="B714" s="551"/>
      <c r="C714" s="551"/>
      <c r="D714" s="551"/>
      <c r="E714" s="551"/>
      <c r="F714" s="551"/>
      <c r="G714" s="551"/>
      <c r="H714" s="551"/>
      <c r="I714" s="551"/>
      <c r="J714" s="551"/>
      <c r="K714" s="551"/>
      <c r="L714" s="551"/>
      <c r="M714" s="551"/>
      <c r="N714" s="551"/>
      <c r="O714" s="551"/>
      <c r="P714" s="551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  <c r="AD714" s="79"/>
      <c r="AE714" s="79"/>
      <c r="AF714" s="79"/>
    </row>
    <row r="715" spans="1:32" s="2" customFormat="1">
      <c r="A715" s="551"/>
      <c r="B715" s="551"/>
      <c r="C715" s="551"/>
      <c r="D715" s="551"/>
      <c r="E715" s="551"/>
      <c r="F715" s="551"/>
      <c r="G715" s="551"/>
      <c r="H715" s="551"/>
      <c r="I715" s="551"/>
      <c r="J715" s="551"/>
      <c r="K715" s="551"/>
      <c r="L715" s="551"/>
      <c r="M715" s="551"/>
      <c r="N715" s="551"/>
      <c r="O715" s="551"/>
      <c r="P715" s="551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  <c r="AD715" s="79"/>
      <c r="AE715" s="79"/>
      <c r="AF715" s="79"/>
    </row>
    <row r="716" spans="1:32" s="2" customFormat="1">
      <c r="A716" s="551"/>
      <c r="B716" s="551"/>
      <c r="C716" s="551"/>
      <c r="D716" s="551"/>
      <c r="E716" s="551"/>
      <c r="F716" s="551"/>
      <c r="G716" s="551"/>
      <c r="H716" s="551"/>
      <c r="I716" s="551"/>
      <c r="J716" s="551"/>
      <c r="K716" s="551"/>
      <c r="L716" s="551"/>
      <c r="M716" s="551"/>
      <c r="N716" s="551"/>
      <c r="O716" s="551"/>
      <c r="P716" s="551"/>
      <c r="Q716" s="79"/>
      <c r="R716" s="79"/>
      <c r="S716" s="79"/>
      <c r="T716" s="79"/>
      <c r="U716" s="79"/>
      <c r="V716" s="79"/>
      <c r="W716" s="79"/>
      <c r="X716" s="79"/>
      <c r="Y716" s="79"/>
      <c r="Z716" s="79"/>
      <c r="AA716" s="79"/>
      <c r="AB716" s="79"/>
      <c r="AC716" s="79"/>
      <c r="AD716" s="79"/>
      <c r="AE716" s="79"/>
      <c r="AF716" s="79"/>
    </row>
    <row r="717" spans="1:32" s="2" customFormat="1">
      <c r="A717" s="551"/>
      <c r="B717" s="551"/>
      <c r="C717" s="551"/>
      <c r="D717" s="551"/>
      <c r="E717" s="551"/>
      <c r="F717" s="551"/>
      <c r="G717" s="551"/>
      <c r="H717" s="551"/>
      <c r="I717" s="551"/>
      <c r="J717" s="551"/>
      <c r="K717" s="551"/>
      <c r="L717" s="551"/>
      <c r="M717" s="551"/>
      <c r="N717" s="551"/>
      <c r="O717" s="551"/>
      <c r="P717" s="551"/>
      <c r="Q717" s="79"/>
      <c r="R717" s="79"/>
      <c r="S717" s="79"/>
      <c r="T717" s="79"/>
      <c r="U717" s="79"/>
      <c r="V717" s="79"/>
      <c r="W717" s="79"/>
      <c r="X717" s="79"/>
      <c r="Y717" s="79"/>
      <c r="Z717" s="79"/>
      <c r="AA717" s="79"/>
      <c r="AB717" s="79"/>
      <c r="AC717" s="79"/>
      <c r="AD717" s="79"/>
      <c r="AE717" s="79"/>
      <c r="AF717" s="79"/>
    </row>
    <row r="718" spans="1:32" s="2" customFormat="1">
      <c r="A718" s="551"/>
      <c r="B718" s="551"/>
      <c r="C718" s="551"/>
      <c r="D718" s="551"/>
      <c r="E718" s="551"/>
      <c r="F718" s="551"/>
      <c r="G718" s="551"/>
      <c r="H718" s="551"/>
      <c r="I718" s="551"/>
      <c r="J718" s="551"/>
      <c r="K718" s="551"/>
      <c r="L718" s="551"/>
      <c r="M718" s="551"/>
      <c r="N718" s="551"/>
      <c r="O718" s="551"/>
      <c r="P718" s="551"/>
      <c r="Q718" s="79"/>
      <c r="R718" s="79"/>
      <c r="S718" s="79"/>
      <c r="T718" s="79"/>
      <c r="U718" s="79"/>
      <c r="V718" s="79"/>
      <c r="W718" s="79"/>
      <c r="X718" s="79"/>
      <c r="Y718" s="79"/>
      <c r="Z718" s="79"/>
      <c r="AA718" s="79"/>
      <c r="AB718" s="79"/>
      <c r="AC718" s="79"/>
      <c r="AD718" s="79"/>
      <c r="AE718" s="79"/>
      <c r="AF718" s="79"/>
    </row>
    <row r="719" spans="1:32" s="2" customFormat="1">
      <c r="A719" s="551"/>
      <c r="B719" s="551"/>
      <c r="C719" s="551"/>
      <c r="D719" s="551"/>
      <c r="E719" s="551"/>
      <c r="F719" s="551"/>
      <c r="G719" s="551"/>
      <c r="H719" s="551"/>
      <c r="I719" s="551"/>
      <c r="J719" s="551"/>
      <c r="K719" s="551"/>
      <c r="L719" s="551"/>
      <c r="M719" s="551"/>
      <c r="N719" s="551"/>
      <c r="O719" s="551"/>
      <c r="P719" s="551"/>
      <c r="Q719" s="79"/>
      <c r="R719" s="79"/>
      <c r="S719" s="79"/>
      <c r="T719" s="79"/>
      <c r="U719" s="79"/>
      <c r="V719" s="79"/>
      <c r="W719" s="79"/>
      <c r="X719" s="79"/>
      <c r="Y719" s="79"/>
      <c r="Z719" s="79"/>
      <c r="AA719" s="79"/>
      <c r="AB719" s="79"/>
      <c r="AC719" s="79"/>
      <c r="AD719" s="79"/>
      <c r="AE719" s="79"/>
      <c r="AF719" s="79"/>
    </row>
    <row r="720" spans="1:32" s="2" customFormat="1">
      <c r="A720" s="551"/>
      <c r="B720" s="551"/>
      <c r="C720" s="551"/>
      <c r="D720" s="551"/>
      <c r="E720" s="551"/>
      <c r="F720" s="551"/>
      <c r="G720" s="551"/>
      <c r="H720" s="551"/>
      <c r="I720" s="551"/>
      <c r="J720" s="551"/>
      <c r="K720" s="551"/>
      <c r="L720" s="551"/>
      <c r="M720" s="551"/>
      <c r="N720" s="551"/>
      <c r="O720" s="551"/>
      <c r="P720" s="551"/>
      <c r="Q720" s="79"/>
      <c r="R720" s="79"/>
      <c r="S720" s="79"/>
      <c r="T720" s="79"/>
      <c r="U720" s="79"/>
      <c r="V720" s="79"/>
      <c r="W720" s="79"/>
      <c r="X720" s="79"/>
      <c r="Y720" s="79"/>
      <c r="Z720" s="79"/>
      <c r="AA720" s="79"/>
      <c r="AB720" s="79"/>
      <c r="AC720" s="79"/>
      <c r="AD720" s="79"/>
      <c r="AE720" s="79"/>
      <c r="AF720" s="79"/>
    </row>
    <row r="721" spans="1:32" s="2" customFormat="1">
      <c r="A721" s="551"/>
      <c r="B721" s="551"/>
      <c r="C721" s="551"/>
      <c r="D721" s="551"/>
      <c r="E721" s="551"/>
      <c r="F721" s="551"/>
      <c r="G721" s="551"/>
      <c r="H721" s="551"/>
      <c r="I721" s="551"/>
      <c r="J721" s="551"/>
      <c r="K721" s="551"/>
      <c r="L721" s="551"/>
      <c r="M721" s="551"/>
      <c r="N721" s="551"/>
      <c r="O721" s="551"/>
      <c r="P721" s="551"/>
      <c r="Q721" s="79"/>
      <c r="R721" s="79"/>
      <c r="S721" s="79"/>
      <c r="T721" s="79"/>
      <c r="U721" s="79"/>
      <c r="V721" s="79"/>
      <c r="W721" s="79"/>
      <c r="X721" s="79"/>
      <c r="Y721" s="79"/>
      <c r="Z721" s="79"/>
      <c r="AA721" s="79"/>
      <c r="AB721" s="79"/>
      <c r="AC721" s="79"/>
      <c r="AD721" s="79"/>
      <c r="AE721" s="79"/>
      <c r="AF721" s="79"/>
    </row>
    <row r="722" spans="1:32" s="2" customFormat="1">
      <c r="A722" s="551"/>
      <c r="B722" s="551"/>
      <c r="C722" s="551"/>
      <c r="D722" s="551"/>
      <c r="E722" s="551"/>
      <c r="F722" s="551"/>
      <c r="G722" s="551"/>
      <c r="H722" s="551"/>
      <c r="I722" s="551"/>
      <c r="J722" s="551"/>
      <c r="K722" s="551"/>
      <c r="L722" s="551"/>
      <c r="M722" s="551"/>
      <c r="N722" s="551"/>
      <c r="O722" s="551"/>
      <c r="P722" s="551"/>
      <c r="Q722" s="79"/>
      <c r="R722" s="79"/>
      <c r="S722" s="79"/>
      <c r="T722" s="79"/>
      <c r="U722" s="79"/>
      <c r="V722" s="79"/>
      <c r="W722" s="79"/>
      <c r="X722" s="79"/>
      <c r="Y722" s="79"/>
      <c r="Z722" s="79"/>
      <c r="AA722" s="79"/>
      <c r="AB722" s="79"/>
      <c r="AC722" s="79"/>
      <c r="AD722" s="79"/>
      <c r="AE722" s="79"/>
      <c r="AF722" s="79"/>
    </row>
    <row r="723" spans="1:32" s="2" customFormat="1">
      <c r="A723" s="551"/>
      <c r="B723" s="551"/>
      <c r="C723" s="551"/>
      <c r="D723" s="551"/>
      <c r="E723" s="551"/>
      <c r="F723" s="551"/>
      <c r="G723" s="551"/>
      <c r="H723" s="551"/>
      <c r="I723" s="551"/>
      <c r="J723" s="551"/>
      <c r="K723" s="551"/>
      <c r="L723" s="551"/>
      <c r="M723" s="551"/>
      <c r="N723" s="551"/>
      <c r="O723" s="551"/>
      <c r="P723" s="551"/>
      <c r="Q723" s="79"/>
      <c r="R723" s="79"/>
      <c r="S723" s="79"/>
      <c r="T723" s="79"/>
      <c r="U723" s="79"/>
      <c r="V723" s="79"/>
      <c r="W723" s="79"/>
      <c r="X723" s="79"/>
      <c r="Y723" s="79"/>
      <c r="Z723" s="79"/>
      <c r="AA723" s="79"/>
      <c r="AB723" s="79"/>
      <c r="AC723" s="79"/>
      <c r="AD723" s="79"/>
      <c r="AE723" s="79"/>
      <c r="AF723" s="79"/>
    </row>
    <row r="724" spans="1:32" s="2" customFormat="1">
      <c r="A724" s="551"/>
      <c r="B724" s="551"/>
      <c r="C724" s="551"/>
      <c r="D724" s="551"/>
      <c r="E724" s="551"/>
      <c r="F724" s="551"/>
      <c r="G724" s="551"/>
      <c r="H724" s="551"/>
      <c r="I724" s="551"/>
      <c r="J724" s="551"/>
      <c r="K724" s="551"/>
      <c r="L724" s="551"/>
      <c r="M724" s="551"/>
      <c r="N724" s="551"/>
      <c r="O724" s="551"/>
      <c r="P724" s="551"/>
      <c r="Q724" s="79"/>
      <c r="R724" s="79"/>
      <c r="S724" s="79"/>
      <c r="T724" s="79"/>
      <c r="U724" s="79"/>
      <c r="V724" s="79"/>
      <c r="W724" s="79"/>
      <c r="X724" s="79"/>
      <c r="Y724" s="79"/>
      <c r="Z724" s="79"/>
      <c r="AA724" s="79"/>
      <c r="AB724" s="79"/>
      <c r="AC724" s="79"/>
      <c r="AD724" s="79"/>
      <c r="AE724" s="79"/>
      <c r="AF724" s="79"/>
    </row>
    <row r="725" spans="1:32" s="2" customFormat="1">
      <c r="A725" s="551"/>
      <c r="B725" s="551"/>
      <c r="C725" s="551"/>
      <c r="D725" s="551"/>
      <c r="E725" s="551"/>
      <c r="F725" s="551"/>
      <c r="G725" s="551"/>
      <c r="H725" s="551"/>
      <c r="I725" s="551"/>
      <c r="J725" s="551"/>
      <c r="K725" s="551"/>
      <c r="L725" s="551"/>
      <c r="M725" s="551"/>
      <c r="N725" s="551"/>
      <c r="O725" s="551"/>
      <c r="P725" s="551"/>
      <c r="Q725" s="79"/>
      <c r="R725" s="79"/>
      <c r="S725" s="79"/>
      <c r="T725" s="79"/>
      <c r="U725" s="79"/>
      <c r="V725" s="79"/>
      <c r="W725" s="79"/>
      <c r="X725" s="79"/>
      <c r="Y725" s="79"/>
      <c r="Z725" s="79"/>
      <c r="AA725" s="79"/>
      <c r="AB725" s="79"/>
      <c r="AC725" s="79"/>
      <c r="AD725" s="79"/>
      <c r="AE725" s="79"/>
      <c r="AF725" s="79"/>
    </row>
    <row r="726" spans="1:32" s="2" customFormat="1">
      <c r="A726" s="551"/>
      <c r="B726" s="551"/>
      <c r="C726" s="551"/>
      <c r="D726" s="551"/>
      <c r="E726" s="551"/>
      <c r="F726" s="551"/>
      <c r="G726" s="551"/>
      <c r="H726" s="551"/>
      <c r="I726" s="551"/>
      <c r="J726" s="551"/>
      <c r="K726" s="551"/>
      <c r="L726" s="551"/>
      <c r="M726" s="551"/>
      <c r="N726" s="551"/>
      <c r="O726" s="551"/>
      <c r="P726" s="551"/>
      <c r="Q726" s="79"/>
      <c r="R726" s="79"/>
      <c r="S726" s="79"/>
      <c r="T726" s="79"/>
      <c r="U726" s="79"/>
      <c r="V726" s="79"/>
      <c r="W726" s="79"/>
      <c r="X726" s="79"/>
      <c r="Y726" s="79"/>
      <c r="Z726" s="79"/>
      <c r="AA726" s="79"/>
      <c r="AB726" s="79"/>
      <c r="AC726" s="79"/>
      <c r="AD726" s="79"/>
      <c r="AE726" s="79"/>
      <c r="AF726" s="79"/>
    </row>
    <row r="727" spans="1:32" s="2" customFormat="1">
      <c r="A727" s="551"/>
      <c r="B727" s="551"/>
      <c r="C727" s="551"/>
      <c r="D727" s="551"/>
      <c r="E727" s="551"/>
      <c r="F727" s="551"/>
      <c r="G727" s="551"/>
      <c r="H727" s="551"/>
      <c r="I727" s="551"/>
      <c r="J727" s="551"/>
      <c r="K727" s="551"/>
      <c r="L727" s="551"/>
      <c r="M727" s="551"/>
      <c r="N727" s="551"/>
      <c r="O727" s="551"/>
      <c r="P727" s="551"/>
      <c r="Q727" s="79"/>
      <c r="R727" s="79"/>
      <c r="S727" s="79"/>
      <c r="T727" s="79"/>
      <c r="U727" s="79"/>
      <c r="V727" s="79"/>
      <c r="W727" s="79"/>
      <c r="X727" s="79"/>
      <c r="Y727" s="79"/>
      <c r="Z727" s="79"/>
      <c r="AA727" s="79"/>
      <c r="AB727" s="79"/>
      <c r="AC727" s="79"/>
      <c r="AD727" s="79"/>
      <c r="AE727" s="79"/>
      <c r="AF727" s="79"/>
    </row>
    <row r="728" spans="1:32" s="2" customFormat="1">
      <c r="A728" s="551"/>
      <c r="B728" s="551"/>
      <c r="C728" s="551"/>
      <c r="D728" s="551"/>
      <c r="E728" s="551"/>
      <c r="F728" s="551"/>
      <c r="G728" s="551"/>
      <c r="H728" s="551"/>
      <c r="I728" s="551"/>
      <c r="J728" s="551"/>
      <c r="K728" s="551"/>
      <c r="L728" s="551"/>
      <c r="M728" s="551"/>
      <c r="N728" s="551"/>
      <c r="O728" s="551"/>
      <c r="P728" s="551"/>
      <c r="Q728" s="79"/>
      <c r="R728" s="79"/>
      <c r="S728" s="79"/>
      <c r="T728" s="79"/>
      <c r="U728" s="79"/>
      <c r="V728" s="79"/>
      <c r="W728" s="79"/>
      <c r="X728" s="79"/>
      <c r="Y728" s="79"/>
      <c r="Z728" s="79"/>
      <c r="AA728" s="79"/>
      <c r="AB728" s="79"/>
      <c r="AC728" s="79"/>
      <c r="AD728" s="79"/>
      <c r="AE728" s="79"/>
      <c r="AF728" s="79"/>
    </row>
    <row r="729" spans="1:32" s="2" customFormat="1">
      <c r="A729" s="551"/>
      <c r="B729" s="551"/>
      <c r="C729" s="551"/>
      <c r="D729" s="551"/>
      <c r="E729" s="551"/>
      <c r="F729" s="551"/>
      <c r="G729" s="551"/>
      <c r="H729" s="551"/>
      <c r="I729" s="551"/>
      <c r="J729" s="551"/>
      <c r="K729" s="551"/>
      <c r="L729" s="551"/>
      <c r="M729" s="551"/>
      <c r="N729" s="551"/>
      <c r="O729" s="551"/>
      <c r="P729" s="551"/>
      <c r="Q729" s="79"/>
      <c r="R729" s="79"/>
      <c r="S729" s="79"/>
      <c r="T729" s="79"/>
      <c r="U729" s="79"/>
      <c r="V729" s="79"/>
      <c r="W729" s="79"/>
      <c r="X729" s="79"/>
      <c r="Y729" s="79"/>
      <c r="Z729" s="79"/>
      <c r="AA729" s="79"/>
      <c r="AB729" s="79"/>
      <c r="AC729" s="79"/>
      <c r="AD729" s="79"/>
      <c r="AE729" s="79"/>
      <c r="AF729" s="79"/>
    </row>
    <row r="730" spans="1:32" s="2" customFormat="1">
      <c r="A730" s="551"/>
      <c r="B730" s="551"/>
      <c r="C730" s="551"/>
      <c r="D730" s="551"/>
      <c r="E730" s="551"/>
      <c r="F730" s="551"/>
      <c r="G730" s="551"/>
      <c r="H730" s="551"/>
      <c r="I730" s="551"/>
      <c r="J730" s="551"/>
      <c r="K730" s="551"/>
      <c r="L730" s="551"/>
      <c r="M730" s="551"/>
      <c r="N730" s="551"/>
      <c r="O730" s="551"/>
      <c r="P730" s="551"/>
      <c r="Q730" s="79"/>
      <c r="R730" s="79"/>
      <c r="S730" s="79"/>
      <c r="T730" s="79"/>
      <c r="U730" s="79"/>
      <c r="V730" s="79"/>
      <c r="W730" s="79"/>
      <c r="X730" s="79"/>
      <c r="Y730" s="79"/>
      <c r="Z730" s="79"/>
      <c r="AA730" s="79"/>
      <c r="AB730" s="79"/>
      <c r="AC730" s="79"/>
      <c r="AD730" s="79"/>
      <c r="AE730" s="79"/>
      <c r="AF730" s="79"/>
    </row>
    <row r="731" spans="1:32" s="2" customFormat="1">
      <c r="A731" s="551"/>
      <c r="B731" s="551"/>
      <c r="C731" s="551"/>
      <c r="D731" s="551"/>
      <c r="E731" s="551"/>
      <c r="F731" s="551"/>
      <c r="G731" s="551"/>
      <c r="H731" s="551"/>
      <c r="I731" s="551"/>
      <c r="J731" s="551"/>
      <c r="K731" s="551"/>
      <c r="L731" s="551"/>
      <c r="M731" s="551"/>
      <c r="N731" s="551"/>
      <c r="O731" s="551"/>
      <c r="P731" s="551"/>
      <c r="Q731" s="79"/>
      <c r="R731" s="79"/>
      <c r="S731" s="79"/>
      <c r="T731" s="79"/>
      <c r="U731" s="79"/>
      <c r="V731" s="79"/>
      <c r="W731" s="79"/>
      <c r="X731" s="79"/>
      <c r="Y731" s="79"/>
      <c r="Z731" s="79"/>
      <c r="AA731" s="79"/>
      <c r="AB731" s="79"/>
      <c r="AC731" s="79"/>
      <c r="AD731" s="79"/>
      <c r="AE731" s="79"/>
      <c r="AF731" s="79"/>
    </row>
    <row r="732" spans="1:32" s="2" customFormat="1">
      <c r="A732" s="551"/>
      <c r="B732" s="551"/>
      <c r="C732" s="551"/>
      <c r="D732" s="551"/>
      <c r="E732" s="551"/>
      <c r="F732" s="551"/>
      <c r="G732" s="551"/>
      <c r="H732" s="551"/>
      <c r="I732" s="551"/>
      <c r="J732" s="551"/>
      <c r="K732" s="551"/>
      <c r="L732" s="551"/>
      <c r="M732" s="551"/>
      <c r="N732" s="551"/>
      <c r="O732" s="551"/>
      <c r="P732" s="551"/>
      <c r="Q732" s="79"/>
      <c r="R732" s="79"/>
      <c r="S732" s="79"/>
      <c r="T732" s="79"/>
      <c r="U732" s="79"/>
      <c r="V732" s="79"/>
      <c r="W732" s="79"/>
      <c r="X732" s="79"/>
      <c r="Y732" s="79"/>
      <c r="Z732" s="79"/>
      <c r="AA732" s="79"/>
      <c r="AB732" s="79"/>
      <c r="AC732" s="79"/>
      <c r="AD732" s="79"/>
      <c r="AE732" s="79"/>
      <c r="AF732" s="79"/>
    </row>
    <row r="733" spans="1:32" s="2" customFormat="1">
      <c r="A733" s="551"/>
      <c r="B733" s="551"/>
      <c r="C733" s="551"/>
      <c r="D733" s="551"/>
      <c r="E733" s="551"/>
      <c r="F733" s="551"/>
      <c r="G733" s="551"/>
      <c r="H733" s="551"/>
      <c r="I733" s="551"/>
      <c r="J733" s="551"/>
      <c r="K733" s="551"/>
      <c r="L733" s="551"/>
      <c r="M733" s="551"/>
      <c r="N733" s="551"/>
      <c r="O733" s="551"/>
      <c r="P733" s="551"/>
      <c r="Q733" s="79"/>
      <c r="R733" s="79"/>
      <c r="S733" s="79"/>
      <c r="T733" s="79"/>
      <c r="U733" s="79"/>
      <c r="V733" s="79"/>
      <c r="W733" s="79"/>
      <c r="X733" s="79"/>
      <c r="Y733" s="79"/>
      <c r="Z733" s="79"/>
      <c r="AA733" s="79"/>
      <c r="AB733" s="79"/>
      <c r="AC733" s="79"/>
      <c r="AD733" s="79"/>
      <c r="AE733" s="79"/>
      <c r="AF733" s="79"/>
    </row>
    <row r="734" spans="1:32" s="2" customFormat="1">
      <c r="A734" s="551"/>
      <c r="B734" s="551"/>
      <c r="C734" s="551"/>
      <c r="D734" s="551"/>
      <c r="E734" s="551"/>
      <c r="F734" s="551"/>
      <c r="G734" s="551"/>
      <c r="H734" s="551"/>
      <c r="I734" s="551"/>
      <c r="J734" s="551"/>
      <c r="K734" s="551"/>
      <c r="L734" s="551"/>
      <c r="M734" s="551"/>
      <c r="N734" s="551"/>
      <c r="O734" s="551"/>
      <c r="P734" s="551"/>
      <c r="Q734" s="79"/>
      <c r="R734" s="79"/>
      <c r="S734" s="79"/>
      <c r="T734" s="79"/>
      <c r="U734" s="79"/>
      <c r="V734" s="79"/>
      <c r="W734" s="79"/>
      <c r="X734" s="79"/>
      <c r="Y734" s="79"/>
      <c r="Z734" s="79"/>
      <c r="AA734" s="79"/>
      <c r="AB734" s="79"/>
      <c r="AC734" s="79"/>
      <c r="AD734" s="79"/>
      <c r="AE734" s="79"/>
      <c r="AF734" s="79"/>
    </row>
    <row r="735" spans="1:32" s="2" customFormat="1">
      <c r="A735" s="551"/>
      <c r="B735" s="551"/>
      <c r="C735" s="551"/>
      <c r="D735" s="551"/>
      <c r="E735" s="551"/>
      <c r="F735" s="551"/>
      <c r="G735" s="551"/>
      <c r="H735" s="551"/>
      <c r="I735" s="551"/>
      <c r="J735" s="551"/>
      <c r="K735" s="551"/>
      <c r="L735" s="551"/>
      <c r="M735" s="551"/>
      <c r="N735" s="551"/>
      <c r="O735" s="551"/>
      <c r="P735" s="551"/>
      <c r="Q735" s="79"/>
      <c r="R735" s="79"/>
      <c r="S735" s="79"/>
      <c r="T735" s="79"/>
      <c r="U735" s="79"/>
      <c r="V735" s="79"/>
      <c r="W735" s="79"/>
      <c r="X735" s="79"/>
      <c r="Y735" s="79"/>
      <c r="Z735" s="79"/>
      <c r="AA735" s="79"/>
      <c r="AB735" s="79"/>
      <c r="AC735" s="79"/>
      <c r="AD735" s="79"/>
      <c r="AE735" s="79"/>
      <c r="AF735" s="79"/>
    </row>
    <row r="736" spans="1:32" s="2" customFormat="1">
      <c r="A736" s="551"/>
      <c r="B736" s="551"/>
      <c r="C736" s="551"/>
      <c r="D736" s="551"/>
      <c r="E736" s="551"/>
      <c r="F736" s="551"/>
      <c r="G736" s="551"/>
      <c r="H736" s="551"/>
      <c r="I736" s="551"/>
      <c r="J736" s="551"/>
      <c r="K736" s="551"/>
      <c r="L736" s="551"/>
      <c r="M736" s="551"/>
      <c r="N736" s="551"/>
      <c r="O736" s="551"/>
      <c r="P736" s="551"/>
      <c r="Q736" s="79"/>
      <c r="R736" s="79"/>
      <c r="S736" s="79"/>
      <c r="T736" s="79"/>
      <c r="U736" s="79"/>
      <c r="V736" s="79"/>
      <c r="W736" s="79"/>
      <c r="X736" s="79"/>
      <c r="Y736" s="79"/>
      <c r="Z736" s="79"/>
      <c r="AA736" s="79"/>
      <c r="AB736" s="79"/>
      <c r="AC736" s="79"/>
      <c r="AD736" s="79"/>
      <c r="AE736" s="79"/>
      <c r="AF736" s="79"/>
    </row>
    <row r="737" spans="1:32" s="2" customFormat="1">
      <c r="A737" s="551"/>
      <c r="B737" s="551"/>
      <c r="C737" s="551"/>
      <c r="D737" s="551"/>
      <c r="E737" s="551"/>
      <c r="F737" s="551"/>
      <c r="G737" s="551"/>
      <c r="H737" s="551"/>
      <c r="I737" s="551"/>
      <c r="J737" s="551"/>
      <c r="K737" s="551"/>
      <c r="L737" s="551"/>
      <c r="M737" s="551"/>
      <c r="N737" s="551"/>
      <c r="O737" s="551"/>
      <c r="P737" s="551"/>
      <c r="Q737" s="79"/>
      <c r="R737" s="79"/>
      <c r="S737" s="79"/>
      <c r="T737" s="79"/>
      <c r="U737" s="79"/>
      <c r="V737" s="79"/>
      <c r="W737" s="79"/>
      <c r="X737" s="79"/>
      <c r="Y737" s="79"/>
      <c r="Z737" s="79"/>
      <c r="AA737" s="79"/>
      <c r="AB737" s="79"/>
      <c r="AC737" s="79"/>
      <c r="AD737" s="79"/>
      <c r="AE737" s="79"/>
      <c r="AF737" s="79"/>
    </row>
    <row r="738" spans="1:32" s="2" customFormat="1">
      <c r="A738" s="551"/>
      <c r="B738" s="551"/>
      <c r="C738" s="551"/>
      <c r="D738" s="551"/>
      <c r="E738" s="551"/>
      <c r="F738" s="551"/>
      <c r="G738" s="551"/>
      <c r="H738" s="551"/>
      <c r="I738" s="551"/>
      <c r="J738" s="551"/>
      <c r="K738" s="551"/>
      <c r="L738" s="551"/>
      <c r="M738" s="551"/>
      <c r="N738" s="551"/>
      <c r="O738" s="551"/>
      <c r="P738" s="551"/>
      <c r="Q738" s="79"/>
      <c r="R738" s="79"/>
      <c r="S738" s="79"/>
      <c r="T738" s="79"/>
      <c r="U738" s="79"/>
      <c r="V738" s="79"/>
      <c r="W738" s="79"/>
      <c r="X738" s="79"/>
      <c r="Y738" s="79"/>
      <c r="Z738" s="79"/>
      <c r="AA738" s="79"/>
      <c r="AB738" s="79"/>
      <c r="AC738" s="79"/>
      <c r="AD738" s="79"/>
      <c r="AE738" s="79"/>
      <c r="AF738" s="79"/>
    </row>
    <row r="739" spans="1:32" s="2" customFormat="1">
      <c r="A739" s="551"/>
      <c r="B739" s="551"/>
      <c r="C739" s="551"/>
      <c r="D739" s="551"/>
      <c r="E739" s="551"/>
      <c r="F739" s="551"/>
      <c r="G739" s="551"/>
      <c r="H739" s="551"/>
      <c r="I739" s="551"/>
      <c r="J739" s="551"/>
      <c r="K739" s="551"/>
      <c r="L739" s="551"/>
      <c r="M739" s="551"/>
      <c r="N739" s="551"/>
      <c r="O739" s="551"/>
      <c r="P739" s="551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  <c r="AD739" s="79"/>
      <c r="AE739" s="79"/>
      <c r="AF739" s="79"/>
    </row>
    <row r="740" spans="1:32" s="2" customFormat="1">
      <c r="A740" s="551"/>
      <c r="B740" s="551"/>
      <c r="C740" s="551"/>
      <c r="D740" s="551"/>
      <c r="E740" s="551"/>
      <c r="F740" s="551"/>
      <c r="G740" s="551"/>
      <c r="H740" s="551"/>
      <c r="I740" s="551"/>
      <c r="J740" s="551"/>
      <c r="K740" s="551"/>
      <c r="L740" s="551"/>
      <c r="M740" s="551"/>
      <c r="N740" s="551"/>
      <c r="O740" s="551"/>
      <c r="P740" s="551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  <c r="AD740" s="79"/>
      <c r="AE740" s="79"/>
      <c r="AF740" s="79"/>
    </row>
    <row r="741" spans="1:32" s="2" customFormat="1">
      <c r="A741" s="551"/>
      <c r="B741" s="551"/>
      <c r="C741" s="551"/>
      <c r="D741" s="551"/>
      <c r="E741" s="551"/>
      <c r="F741" s="551"/>
      <c r="G741" s="551"/>
      <c r="H741" s="551"/>
      <c r="I741" s="551"/>
      <c r="J741" s="551"/>
      <c r="K741" s="551"/>
      <c r="L741" s="551"/>
      <c r="M741" s="551"/>
      <c r="N741" s="551"/>
      <c r="O741" s="551"/>
      <c r="P741" s="551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  <c r="AD741" s="79"/>
      <c r="AE741" s="79"/>
      <c r="AF741" s="79"/>
    </row>
    <row r="742" spans="1:32" s="2" customFormat="1">
      <c r="A742" s="551"/>
      <c r="B742" s="551"/>
      <c r="C742" s="551"/>
      <c r="D742" s="551"/>
      <c r="E742" s="551"/>
      <c r="F742" s="551"/>
      <c r="G742" s="551"/>
      <c r="H742" s="551"/>
      <c r="I742" s="551"/>
      <c r="J742" s="551"/>
      <c r="K742" s="551"/>
      <c r="L742" s="551"/>
      <c r="M742" s="551"/>
      <c r="N742" s="551"/>
      <c r="O742" s="551"/>
      <c r="P742" s="551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  <c r="AD742" s="79"/>
      <c r="AE742" s="79"/>
      <c r="AF742" s="79"/>
    </row>
    <row r="743" spans="1:32" s="2" customFormat="1">
      <c r="A743" s="551"/>
      <c r="B743" s="551"/>
      <c r="C743" s="551"/>
      <c r="D743" s="551"/>
      <c r="E743" s="551"/>
      <c r="F743" s="551"/>
      <c r="G743" s="551"/>
      <c r="H743" s="551"/>
      <c r="I743" s="551"/>
      <c r="J743" s="551"/>
      <c r="K743" s="551"/>
      <c r="L743" s="551"/>
      <c r="M743" s="551"/>
      <c r="N743" s="551"/>
      <c r="O743" s="551"/>
      <c r="P743" s="551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  <c r="AD743" s="79"/>
      <c r="AE743" s="79"/>
      <c r="AF743" s="79"/>
    </row>
    <row r="744" spans="1:32" s="2" customFormat="1">
      <c r="A744" s="551"/>
      <c r="B744" s="551"/>
      <c r="C744" s="551"/>
      <c r="D744" s="551"/>
      <c r="E744" s="551"/>
      <c r="F744" s="551"/>
      <c r="G744" s="551"/>
      <c r="H744" s="551"/>
      <c r="I744" s="551"/>
      <c r="J744" s="551"/>
      <c r="K744" s="551"/>
      <c r="L744" s="551"/>
      <c r="M744" s="551"/>
      <c r="N744" s="551"/>
      <c r="O744" s="551"/>
      <c r="P744" s="551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  <c r="AD744" s="79"/>
      <c r="AE744" s="79"/>
      <c r="AF744" s="79"/>
    </row>
    <row r="745" spans="1:32" s="2" customFormat="1">
      <c r="A745" s="551"/>
      <c r="B745" s="551"/>
      <c r="C745" s="551"/>
      <c r="D745" s="551"/>
      <c r="E745" s="551"/>
      <c r="F745" s="551"/>
      <c r="G745" s="551"/>
      <c r="H745" s="551"/>
      <c r="I745" s="551"/>
      <c r="J745" s="551"/>
      <c r="K745" s="551"/>
      <c r="L745" s="551"/>
      <c r="M745" s="551"/>
      <c r="N745" s="551"/>
      <c r="O745" s="551"/>
      <c r="P745" s="551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  <c r="AD745" s="79"/>
      <c r="AE745" s="79"/>
      <c r="AF745" s="79"/>
    </row>
    <row r="746" spans="1:32" s="2" customFormat="1">
      <c r="A746" s="551"/>
      <c r="B746" s="551"/>
      <c r="C746" s="551"/>
      <c r="D746" s="551"/>
      <c r="E746" s="551"/>
      <c r="F746" s="551"/>
      <c r="G746" s="551"/>
      <c r="H746" s="551"/>
      <c r="I746" s="551"/>
      <c r="J746" s="551"/>
      <c r="K746" s="551"/>
      <c r="L746" s="551"/>
      <c r="M746" s="551"/>
      <c r="N746" s="551"/>
      <c r="O746" s="551"/>
      <c r="P746" s="551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  <c r="AD746" s="79"/>
      <c r="AE746" s="79"/>
      <c r="AF746" s="79"/>
    </row>
    <row r="747" spans="1:32" s="2" customFormat="1">
      <c r="A747" s="551"/>
      <c r="B747" s="551"/>
      <c r="C747" s="551"/>
      <c r="D747" s="551"/>
      <c r="E747" s="551"/>
      <c r="F747" s="551"/>
      <c r="G747" s="551"/>
      <c r="H747" s="551"/>
      <c r="I747" s="551"/>
      <c r="J747" s="551"/>
      <c r="K747" s="551"/>
      <c r="L747" s="551"/>
      <c r="M747" s="551"/>
      <c r="N747" s="551"/>
      <c r="O747" s="551"/>
      <c r="P747" s="551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  <c r="AD747" s="79"/>
      <c r="AE747" s="79"/>
      <c r="AF747" s="79"/>
    </row>
    <row r="748" spans="1:32" s="2" customFormat="1">
      <c r="A748" s="551"/>
      <c r="B748" s="551"/>
      <c r="C748" s="551"/>
      <c r="D748" s="551"/>
      <c r="E748" s="551"/>
      <c r="F748" s="551"/>
      <c r="G748" s="551"/>
      <c r="H748" s="551"/>
      <c r="I748" s="551"/>
      <c r="J748" s="551"/>
      <c r="K748" s="551"/>
      <c r="L748" s="551"/>
      <c r="M748" s="551"/>
      <c r="N748" s="551"/>
      <c r="O748" s="551"/>
      <c r="P748" s="551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  <c r="AD748" s="79"/>
      <c r="AE748" s="79"/>
      <c r="AF748" s="79"/>
    </row>
    <row r="749" spans="1:32" s="2" customFormat="1">
      <c r="A749" s="551"/>
      <c r="B749" s="551"/>
      <c r="C749" s="551"/>
      <c r="D749" s="551"/>
      <c r="E749" s="551"/>
      <c r="F749" s="551"/>
      <c r="G749" s="551"/>
      <c r="H749" s="551"/>
      <c r="I749" s="551"/>
      <c r="J749" s="551"/>
      <c r="K749" s="551"/>
      <c r="L749" s="551"/>
      <c r="M749" s="551"/>
      <c r="N749" s="551"/>
      <c r="O749" s="551"/>
      <c r="P749" s="551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  <c r="AD749" s="79"/>
      <c r="AE749" s="79"/>
      <c r="AF749" s="79"/>
    </row>
    <row r="750" spans="1:32" s="2" customFormat="1">
      <c r="A750" s="551"/>
      <c r="B750" s="551"/>
      <c r="C750" s="551"/>
      <c r="D750" s="551"/>
      <c r="E750" s="551"/>
      <c r="F750" s="551"/>
      <c r="G750" s="551"/>
      <c r="H750" s="551"/>
      <c r="I750" s="551"/>
      <c r="J750" s="551"/>
      <c r="K750" s="551"/>
      <c r="L750" s="551"/>
      <c r="M750" s="551"/>
      <c r="N750" s="551"/>
      <c r="O750" s="551"/>
      <c r="P750" s="551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  <c r="AD750" s="79"/>
      <c r="AE750" s="79"/>
      <c r="AF750" s="79"/>
    </row>
    <row r="751" spans="1:32" s="2" customFormat="1">
      <c r="A751" s="551"/>
      <c r="B751" s="551"/>
      <c r="C751" s="551"/>
      <c r="D751" s="551"/>
      <c r="E751" s="551"/>
      <c r="F751" s="551"/>
      <c r="G751" s="551"/>
      <c r="H751" s="551"/>
      <c r="I751" s="551"/>
      <c r="J751" s="551"/>
      <c r="K751" s="551"/>
      <c r="L751" s="551"/>
      <c r="M751" s="551"/>
      <c r="N751" s="551"/>
      <c r="O751" s="551"/>
      <c r="P751" s="551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  <c r="AD751" s="79"/>
      <c r="AE751" s="79"/>
      <c r="AF751" s="79"/>
    </row>
    <row r="752" spans="1:32" s="2" customFormat="1">
      <c r="A752" s="551"/>
      <c r="B752" s="551"/>
      <c r="C752" s="551"/>
      <c r="D752" s="551"/>
      <c r="E752" s="551"/>
      <c r="F752" s="551"/>
      <c r="G752" s="551"/>
      <c r="H752" s="551"/>
      <c r="I752" s="551"/>
      <c r="J752" s="551"/>
      <c r="K752" s="551"/>
      <c r="L752" s="551"/>
      <c r="M752" s="551"/>
      <c r="N752" s="551"/>
      <c r="O752" s="551"/>
      <c r="P752" s="551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  <c r="AD752" s="79"/>
      <c r="AE752" s="79"/>
      <c r="AF752" s="79"/>
    </row>
    <row r="753" spans="1:32" s="2" customFormat="1">
      <c r="A753" s="551"/>
      <c r="B753" s="551"/>
      <c r="C753" s="551"/>
      <c r="D753" s="551"/>
      <c r="E753" s="551"/>
      <c r="F753" s="551"/>
      <c r="G753" s="551"/>
      <c r="H753" s="551"/>
      <c r="I753" s="551"/>
      <c r="J753" s="551"/>
      <c r="K753" s="551"/>
      <c r="L753" s="551"/>
      <c r="M753" s="551"/>
      <c r="N753" s="551"/>
      <c r="O753" s="551"/>
      <c r="P753" s="551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  <c r="AD753" s="79"/>
      <c r="AE753" s="79"/>
      <c r="AF753" s="79"/>
    </row>
    <row r="754" spans="1:32" s="2" customFormat="1">
      <c r="A754" s="551"/>
      <c r="B754" s="551"/>
      <c r="C754" s="551"/>
      <c r="D754" s="551"/>
      <c r="E754" s="551"/>
      <c r="F754" s="551"/>
      <c r="G754" s="551"/>
      <c r="H754" s="551"/>
      <c r="I754" s="551"/>
      <c r="J754" s="551"/>
      <c r="K754" s="551"/>
      <c r="L754" s="551"/>
      <c r="M754" s="551"/>
      <c r="N754" s="551"/>
      <c r="O754" s="551"/>
      <c r="P754" s="551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  <c r="AD754" s="79"/>
      <c r="AE754" s="79"/>
      <c r="AF754" s="79"/>
    </row>
    <row r="755" spans="1:32" s="2" customFormat="1">
      <c r="A755" s="551"/>
      <c r="B755" s="551"/>
      <c r="C755" s="551"/>
      <c r="D755" s="551"/>
      <c r="E755" s="551"/>
      <c r="F755" s="551"/>
      <c r="G755" s="551"/>
      <c r="H755" s="551"/>
      <c r="I755" s="551"/>
      <c r="J755" s="551"/>
      <c r="K755" s="551"/>
      <c r="L755" s="551"/>
      <c r="M755" s="551"/>
      <c r="N755" s="551"/>
      <c r="O755" s="551"/>
      <c r="P755" s="551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  <c r="AD755" s="79"/>
      <c r="AE755" s="79"/>
      <c r="AF755" s="79"/>
    </row>
    <row r="756" spans="1:32" s="2" customFormat="1">
      <c r="A756" s="551"/>
      <c r="B756" s="551"/>
      <c r="C756" s="551"/>
      <c r="D756" s="551"/>
      <c r="E756" s="551"/>
      <c r="F756" s="551"/>
      <c r="G756" s="551"/>
      <c r="H756" s="551"/>
      <c r="I756" s="551"/>
      <c r="J756" s="551"/>
      <c r="K756" s="551"/>
      <c r="L756" s="551"/>
      <c r="M756" s="551"/>
      <c r="N756" s="551"/>
      <c r="O756" s="551"/>
      <c r="P756" s="551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  <c r="AD756" s="79"/>
      <c r="AE756" s="79"/>
      <c r="AF756" s="79"/>
    </row>
    <row r="757" spans="1:32" s="2" customFormat="1">
      <c r="A757" s="551"/>
      <c r="B757" s="551"/>
      <c r="C757" s="551"/>
      <c r="D757" s="551"/>
      <c r="E757" s="551"/>
      <c r="F757" s="551"/>
      <c r="G757" s="551"/>
      <c r="H757" s="551"/>
      <c r="I757" s="551"/>
      <c r="J757" s="551"/>
      <c r="K757" s="551"/>
      <c r="L757" s="551"/>
      <c r="M757" s="551"/>
      <c r="N757" s="551"/>
      <c r="O757" s="551"/>
      <c r="P757" s="551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  <c r="AD757" s="79"/>
      <c r="AE757" s="79"/>
      <c r="AF757" s="79"/>
    </row>
    <row r="758" spans="1:32" s="2" customFormat="1">
      <c r="A758" s="551"/>
      <c r="B758" s="551"/>
      <c r="C758" s="551"/>
      <c r="D758" s="551"/>
      <c r="E758" s="551"/>
      <c r="F758" s="551"/>
      <c r="G758" s="551"/>
      <c r="H758" s="551"/>
      <c r="I758" s="551"/>
      <c r="J758" s="551"/>
      <c r="K758" s="551"/>
      <c r="L758" s="551"/>
      <c r="M758" s="551"/>
      <c r="N758" s="551"/>
      <c r="O758" s="551"/>
      <c r="P758" s="551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  <c r="AD758" s="79"/>
      <c r="AE758" s="79"/>
      <c r="AF758" s="79"/>
    </row>
    <row r="759" spans="1:32" s="2" customFormat="1">
      <c r="A759" s="551"/>
      <c r="B759" s="551"/>
      <c r="C759" s="551"/>
      <c r="D759" s="551"/>
      <c r="E759" s="551"/>
      <c r="F759" s="551"/>
      <c r="G759" s="551"/>
      <c r="H759" s="551"/>
      <c r="I759" s="551"/>
      <c r="J759" s="551"/>
      <c r="K759" s="551"/>
      <c r="L759" s="551"/>
      <c r="M759" s="551"/>
      <c r="N759" s="551"/>
      <c r="O759" s="551"/>
      <c r="P759" s="551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  <c r="AD759" s="79"/>
      <c r="AE759" s="79"/>
      <c r="AF759" s="79"/>
    </row>
    <row r="760" spans="1:32" s="2" customFormat="1">
      <c r="A760" s="551"/>
      <c r="B760" s="551"/>
      <c r="C760" s="551"/>
      <c r="D760" s="551"/>
      <c r="E760" s="551"/>
      <c r="F760" s="551"/>
      <c r="G760" s="551"/>
      <c r="H760" s="551"/>
      <c r="I760" s="551"/>
      <c r="J760" s="551"/>
      <c r="K760" s="551"/>
      <c r="L760" s="551"/>
      <c r="M760" s="551"/>
      <c r="N760" s="551"/>
      <c r="O760" s="551"/>
      <c r="P760" s="551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  <c r="AD760" s="79"/>
      <c r="AE760" s="79"/>
      <c r="AF760" s="79"/>
    </row>
    <row r="761" spans="1:32" s="2" customFormat="1">
      <c r="A761" s="551"/>
      <c r="B761" s="551"/>
      <c r="C761" s="551"/>
      <c r="D761" s="551"/>
      <c r="E761" s="551"/>
      <c r="F761" s="551"/>
      <c r="G761" s="551"/>
      <c r="H761" s="551"/>
      <c r="I761" s="551"/>
      <c r="J761" s="551"/>
      <c r="K761" s="551"/>
      <c r="L761" s="551"/>
      <c r="M761" s="551"/>
      <c r="N761" s="551"/>
      <c r="O761" s="551"/>
      <c r="P761" s="551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  <c r="AD761" s="79"/>
      <c r="AE761" s="79"/>
      <c r="AF761" s="79"/>
    </row>
    <row r="762" spans="1:32" s="2" customFormat="1">
      <c r="A762" s="551"/>
      <c r="B762" s="551"/>
      <c r="C762" s="551"/>
      <c r="D762" s="551"/>
      <c r="E762" s="551"/>
      <c r="F762" s="551"/>
      <c r="G762" s="551"/>
      <c r="H762" s="551"/>
      <c r="I762" s="551"/>
      <c r="J762" s="551"/>
      <c r="K762" s="551"/>
      <c r="L762" s="551"/>
      <c r="M762" s="551"/>
      <c r="N762" s="551"/>
      <c r="O762" s="551"/>
      <c r="P762" s="551"/>
      <c r="Q762" s="79"/>
      <c r="R762" s="79"/>
      <c r="S762" s="79"/>
      <c r="T762" s="79"/>
      <c r="U762" s="79"/>
      <c r="V762" s="79"/>
      <c r="W762" s="79"/>
      <c r="X762" s="79"/>
      <c r="Y762" s="79"/>
      <c r="Z762" s="79"/>
      <c r="AA762" s="79"/>
      <c r="AB762" s="79"/>
      <c r="AC762" s="79"/>
      <c r="AD762" s="79"/>
      <c r="AE762" s="79"/>
      <c r="AF762" s="79"/>
    </row>
    <row r="763" spans="1:32" s="2" customFormat="1">
      <c r="A763" s="551"/>
      <c r="B763" s="551"/>
      <c r="C763" s="551"/>
      <c r="D763" s="551"/>
      <c r="E763" s="551"/>
      <c r="F763" s="551"/>
      <c r="G763" s="551"/>
      <c r="H763" s="551"/>
      <c r="I763" s="551"/>
      <c r="J763" s="551"/>
      <c r="K763" s="551"/>
      <c r="L763" s="551"/>
      <c r="M763" s="551"/>
      <c r="N763" s="551"/>
      <c r="O763" s="551"/>
      <c r="P763" s="551"/>
      <c r="Q763" s="79"/>
      <c r="R763" s="79"/>
      <c r="S763" s="79"/>
      <c r="T763" s="79"/>
      <c r="U763" s="79"/>
      <c r="V763" s="79"/>
      <c r="W763" s="79"/>
      <c r="X763" s="79"/>
      <c r="Y763" s="79"/>
      <c r="Z763" s="79"/>
      <c r="AA763" s="79"/>
      <c r="AB763" s="79"/>
      <c r="AC763" s="79"/>
      <c r="AD763" s="79"/>
      <c r="AE763" s="79"/>
      <c r="AF763" s="79"/>
    </row>
    <row r="764" spans="1:32" s="2" customFormat="1">
      <c r="A764" s="551"/>
      <c r="B764" s="551"/>
      <c r="C764" s="551"/>
      <c r="D764" s="551"/>
      <c r="E764" s="551"/>
      <c r="F764" s="551"/>
      <c r="G764" s="551"/>
      <c r="H764" s="551"/>
      <c r="I764" s="551"/>
      <c r="J764" s="551"/>
      <c r="K764" s="551"/>
      <c r="L764" s="551"/>
      <c r="M764" s="551"/>
      <c r="N764" s="551"/>
      <c r="O764" s="551"/>
      <c r="P764" s="551"/>
      <c r="Q764" s="79"/>
      <c r="R764" s="79"/>
      <c r="S764" s="79"/>
      <c r="T764" s="79"/>
      <c r="U764" s="79"/>
      <c r="V764" s="79"/>
      <c r="W764" s="79"/>
      <c r="X764" s="79"/>
      <c r="Y764" s="79"/>
      <c r="Z764" s="79"/>
      <c r="AA764" s="79"/>
      <c r="AB764" s="79"/>
      <c r="AC764" s="79"/>
      <c r="AD764" s="79"/>
      <c r="AE764" s="79"/>
      <c r="AF764" s="79"/>
    </row>
    <row r="765" spans="1:32" s="2" customFormat="1">
      <c r="A765" s="551"/>
      <c r="B765" s="551"/>
      <c r="C765" s="551"/>
      <c r="D765" s="551"/>
      <c r="E765" s="551"/>
      <c r="F765" s="551"/>
      <c r="G765" s="551"/>
      <c r="H765" s="551"/>
      <c r="I765" s="551"/>
      <c r="J765" s="551"/>
      <c r="K765" s="551"/>
      <c r="L765" s="551"/>
      <c r="M765" s="551"/>
      <c r="N765" s="551"/>
      <c r="O765" s="551"/>
      <c r="P765" s="551"/>
      <c r="Q765" s="79"/>
      <c r="R765" s="79"/>
      <c r="S765" s="79"/>
      <c r="T765" s="79"/>
      <c r="U765" s="79"/>
      <c r="V765" s="79"/>
      <c r="W765" s="79"/>
      <c r="X765" s="79"/>
      <c r="Y765" s="79"/>
      <c r="Z765" s="79"/>
      <c r="AA765" s="79"/>
      <c r="AB765" s="79"/>
      <c r="AC765" s="79"/>
      <c r="AD765" s="79"/>
      <c r="AE765" s="79"/>
      <c r="AF765" s="79"/>
    </row>
    <row r="766" spans="1:32" s="2" customFormat="1">
      <c r="A766" s="551"/>
      <c r="B766" s="551"/>
      <c r="C766" s="551"/>
      <c r="D766" s="551"/>
      <c r="E766" s="551"/>
      <c r="F766" s="551"/>
      <c r="G766" s="551"/>
      <c r="H766" s="551"/>
      <c r="I766" s="551"/>
      <c r="J766" s="551"/>
      <c r="K766" s="551"/>
      <c r="L766" s="551"/>
      <c r="M766" s="551"/>
      <c r="N766" s="551"/>
      <c r="O766" s="551"/>
      <c r="P766" s="551"/>
      <c r="Q766" s="79"/>
      <c r="R766" s="79"/>
      <c r="S766" s="79"/>
      <c r="T766" s="79"/>
      <c r="U766" s="79"/>
      <c r="V766" s="79"/>
      <c r="W766" s="79"/>
      <c r="X766" s="79"/>
      <c r="Y766" s="79"/>
      <c r="Z766" s="79"/>
      <c r="AA766" s="79"/>
      <c r="AB766" s="79"/>
      <c r="AC766" s="79"/>
      <c r="AD766" s="79"/>
      <c r="AE766" s="79"/>
      <c r="AF766" s="79"/>
    </row>
    <row r="767" spans="1:32" s="2" customFormat="1">
      <c r="A767" s="551"/>
      <c r="B767" s="551"/>
      <c r="C767" s="551"/>
      <c r="D767" s="551"/>
      <c r="E767" s="551"/>
      <c r="F767" s="551"/>
      <c r="G767" s="551"/>
      <c r="H767" s="551"/>
      <c r="I767" s="551"/>
      <c r="J767" s="551"/>
      <c r="K767" s="551"/>
      <c r="L767" s="551"/>
      <c r="M767" s="551"/>
      <c r="N767" s="551"/>
      <c r="O767" s="551"/>
      <c r="P767" s="551"/>
      <c r="Q767" s="79"/>
      <c r="R767" s="79"/>
      <c r="S767" s="79"/>
      <c r="T767" s="79"/>
      <c r="U767" s="79"/>
      <c r="V767" s="79"/>
      <c r="W767" s="79"/>
      <c r="X767" s="79"/>
      <c r="Y767" s="79"/>
      <c r="Z767" s="79"/>
      <c r="AA767" s="79"/>
      <c r="AB767" s="79"/>
      <c r="AC767" s="79"/>
      <c r="AD767" s="79"/>
      <c r="AE767" s="79"/>
      <c r="AF767" s="79"/>
    </row>
    <row r="768" spans="1:32" s="2" customFormat="1">
      <c r="A768" s="551"/>
      <c r="B768" s="551"/>
      <c r="C768" s="551"/>
      <c r="D768" s="551"/>
      <c r="E768" s="551"/>
      <c r="F768" s="551"/>
      <c r="G768" s="551"/>
      <c r="H768" s="551"/>
      <c r="I768" s="551"/>
      <c r="J768" s="551"/>
      <c r="K768" s="551"/>
      <c r="L768" s="551"/>
      <c r="M768" s="551"/>
      <c r="N768" s="551"/>
      <c r="O768" s="551"/>
      <c r="P768" s="551"/>
      <c r="Q768" s="79"/>
      <c r="R768" s="79"/>
      <c r="S768" s="79"/>
      <c r="T768" s="79"/>
      <c r="U768" s="79"/>
      <c r="V768" s="79"/>
      <c r="W768" s="79"/>
      <c r="X768" s="79"/>
      <c r="Y768" s="79"/>
      <c r="Z768" s="79"/>
      <c r="AA768" s="79"/>
      <c r="AB768" s="79"/>
      <c r="AC768" s="79"/>
      <c r="AD768" s="79"/>
      <c r="AE768" s="79"/>
      <c r="AF768" s="79"/>
    </row>
    <row r="769" spans="1:32" s="2" customFormat="1">
      <c r="A769" s="551"/>
      <c r="B769" s="551"/>
      <c r="C769" s="551"/>
      <c r="D769" s="551"/>
      <c r="E769" s="551"/>
      <c r="F769" s="551"/>
      <c r="G769" s="551"/>
      <c r="H769" s="551"/>
      <c r="I769" s="551"/>
      <c r="J769" s="551"/>
      <c r="K769" s="551"/>
      <c r="L769" s="551"/>
      <c r="M769" s="551"/>
      <c r="N769" s="551"/>
      <c r="O769" s="551"/>
      <c r="P769" s="551"/>
      <c r="Q769" s="79"/>
      <c r="R769" s="79"/>
      <c r="S769" s="79"/>
      <c r="T769" s="79"/>
      <c r="U769" s="79"/>
      <c r="V769" s="79"/>
      <c r="W769" s="79"/>
      <c r="X769" s="79"/>
      <c r="Y769" s="79"/>
      <c r="Z769" s="79"/>
      <c r="AA769" s="79"/>
      <c r="AB769" s="79"/>
      <c r="AC769" s="79"/>
      <c r="AD769" s="79"/>
      <c r="AE769" s="79"/>
      <c r="AF769" s="79"/>
    </row>
    <row r="770" spans="1:32" s="2" customFormat="1">
      <c r="A770" s="551"/>
      <c r="B770" s="551"/>
      <c r="C770" s="551"/>
      <c r="D770" s="551"/>
      <c r="E770" s="551"/>
      <c r="F770" s="551"/>
      <c r="G770" s="551"/>
      <c r="H770" s="551"/>
      <c r="I770" s="551"/>
      <c r="J770" s="551"/>
      <c r="K770" s="551"/>
      <c r="L770" s="551"/>
      <c r="M770" s="551"/>
      <c r="N770" s="551"/>
      <c r="O770" s="551"/>
      <c r="P770" s="551"/>
      <c r="Q770" s="79"/>
      <c r="R770" s="79"/>
      <c r="S770" s="79"/>
      <c r="T770" s="79"/>
      <c r="U770" s="79"/>
      <c r="V770" s="79"/>
      <c r="W770" s="79"/>
      <c r="X770" s="79"/>
      <c r="Y770" s="79"/>
      <c r="Z770" s="79"/>
      <c r="AA770" s="79"/>
      <c r="AB770" s="79"/>
      <c r="AC770" s="79"/>
      <c r="AD770" s="79"/>
      <c r="AE770" s="79"/>
      <c r="AF770" s="79"/>
    </row>
    <row r="771" spans="1:32" s="2" customFormat="1">
      <c r="A771" s="551"/>
      <c r="B771" s="551"/>
      <c r="C771" s="551"/>
      <c r="D771" s="551"/>
      <c r="E771" s="551"/>
      <c r="F771" s="551"/>
      <c r="G771" s="551"/>
      <c r="H771" s="551"/>
      <c r="I771" s="551"/>
      <c r="J771" s="551"/>
      <c r="K771" s="551"/>
      <c r="L771" s="551"/>
      <c r="M771" s="551"/>
      <c r="N771" s="551"/>
      <c r="O771" s="551"/>
      <c r="P771" s="551"/>
      <c r="Q771" s="79"/>
      <c r="R771" s="79"/>
      <c r="S771" s="79"/>
      <c r="T771" s="79"/>
      <c r="U771" s="79"/>
      <c r="V771" s="79"/>
      <c r="W771" s="79"/>
      <c r="X771" s="79"/>
      <c r="Y771" s="79"/>
      <c r="Z771" s="79"/>
      <c r="AA771" s="79"/>
      <c r="AB771" s="79"/>
      <c r="AC771" s="79"/>
      <c r="AD771" s="79"/>
      <c r="AE771" s="79"/>
      <c r="AF771" s="79"/>
    </row>
    <row r="772" spans="1:32" s="2" customFormat="1">
      <c r="A772" s="551"/>
      <c r="B772" s="551"/>
      <c r="C772" s="551"/>
      <c r="D772" s="551"/>
      <c r="E772" s="551"/>
      <c r="F772" s="551"/>
      <c r="G772" s="551"/>
      <c r="H772" s="551"/>
      <c r="I772" s="551"/>
      <c r="J772" s="551"/>
      <c r="K772" s="551"/>
      <c r="L772" s="551"/>
      <c r="M772" s="551"/>
      <c r="N772" s="551"/>
      <c r="O772" s="551"/>
      <c r="P772" s="551"/>
      <c r="Q772" s="79"/>
      <c r="R772" s="79"/>
      <c r="S772" s="79"/>
      <c r="T772" s="79"/>
      <c r="U772" s="79"/>
      <c r="V772" s="79"/>
      <c r="W772" s="79"/>
      <c r="X772" s="79"/>
      <c r="Y772" s="79"/>
      <c r="Z772" s="79"/>
      <c r="AA772" s="79"/>
      <c r="AB772" s="79"/>
      <c r="AC772" s="79"/>
      <c r="AD772" s="79"/>
      <c r="AE772" s="79"/>
      <c r="AF772" s="79"/>
    </row>
    <row r="773" spans="1:32" s="2" customFormat="1">
      <c r="A773" s="551"/>
      <c r="B773" s="551"/>
      <c r="C773" s="551"/>
      <c r="D773" s="551"/>
      <c r="E773" s="551"/>
      <c r="F773" s="551"/>
      <c r="G773" s="551"/>
      <c r="H773" s="551"/>
      <c r="I773" s="551"/>
      <c r="J773" s="551"/>
      <c r="K773" s="551"/>
      <c r="L773" s="551"/>
      <c r="M773" s="551"/>
      <c r="N773" s="551"/>
      <c r="O773" s="551"/>
      <c r="P773" s="551"/>
      <c r="Q773" s="79"/>
      <c r="R773" s="79"/>
      <c r="S773" s="79"/>
      <c r="T773" s="79"/>
      <c r="U773" s="79"/>
      <c r="V773" s="79"/>
      <c r="W773" s="79"/>
      <c r="X773" s="79"/>
      <c r="Y773" s="79"/>
      <c r="Z773" s="79"/>
      <c r="AA773" s="79"/>
      <c r="AB773" s="79"/>
      <c r="AC773" s="79"/>
      <c r="AD773" s="79"/>
      <c r="AE773" s="79"/>
      <c r="AF773" s="79"/>
    </row>
    <row r="774" spans="1:32" s="2" customFormat="1">
      <c r="A774" s="551"/>
      <c r="B774" s="551"/>
      <c r="C774" s="551"/>
      <c r="D774" s="551"/>
      <c r="E774" s="551"/>
      <c r="F774" s="551"/>
      <c r="G774" s="551"/>
      <c r="H774" s="551"/>
      <c r="I774" s="551"/>
      <c r="J774" s="551"/>
      <c r="K774" s="551"/>
      <c r="L774" s="551"/>
      <c r="M774" s="551"/>
      <c r="N774" s="551"/>
      <c r="O774" s="551"/>
      <c r="P774" s="551"/>
      <c r="Q774" s="79"/>
      <c r="R774" s="79"/>
      <c r="S774" s="79"/>
      <c r="T774" s="79"/>
      <c r="U774" s="79"/>
      <c r="V774" s="79"/>
      <c r="W774" s="79"/>
      <c r="X774" s="79"/>
      <c r="Y774" s="79"/>
      <c r="Z774" s="79"/>
      <c r="AA774" s="79"/>
      <c r="AB774" s="79"/>
      <c r="AC774" s="79"/>
      <c r="AD774" s="79"/>
      <c r="AE774" s="79"/>
      <c r="AF774" s="79"/>
    </row>
    <row r="775" spans="1:32" s="2" customFormat="1">
      <c r="A775" s="551"/>
      <c r="B775" s="551"/>
      <c r="C775" s="551"/>
      <c r="D775" s="551"/>
      <c r="E775" s="551"/>
      <c r="F775" s="551"/>
      <c r="G775" s="551"/>
      <c r="H775" s="551"/>
      <c r="I775" s="551"/>
      <c r="J775" s="551"/>
      <c r="K775" s="551"/>
      <c r="L775" s="551"/>
      <c r="M775" s="551"/>
      <c r="N775" s="551"/>
      <c r="O775" s="551"/>
      <c r="P775" s="551"/>
      <c r="Q775" s="79"/>
      <c r="R775" s="79"/>
      <c r="S775" s="79"/>
      <c r="T775" s="79"/>
      <c r="U775" s="79"/>
      <c r="V775" s="79"/>
      <c r="W775" s="79"/>
      <c r="X775" s="79"/>
      <c r="Y775" s="79"/>
      <c r="Z775" s="79"/>
      <c r="AA775" s="79"/>
      <c r="AB775" s="79"/>
      <c r="AC775" s="79"/>
      <c r="AD775" s="79"/>
      <c r="AE775" s="79"/>
      <c r="AF775" s="79"/>
    </row>
    <row r="776" spans="1:32" s="2" customFormat="1">
      <c r="A776" s="551"/>
      <c r="B776" s="551"/>
      <c r="C776" s="551"/>
      <c r="D776" s="551"/>
      <c r="E776" s="551"/>
      <c r="F776" s="551"/>
      <c r="G776" s="551"/>
      <c r="H776" s="551"/>
      <c r="I776" s="551"/>
      <c r="J776" s="551"/>
      <c r="K776" s="551"/>
      <c r="L776" s="551"/>
      <c r="M776" s="551"/>
      <c r="N776" s="551"/>
      <c r="O776" s="551"/>
      <c r="P776" s="551"/>
      <c r="Q776" s="79"/>
      <c r="R776" s="79"/>
      <c r="S776" s="79"/>
      <c r="T776" s="79"/>
      <c r="U776" s="79"/>
      <c r="V776" s="79"/>
      <c r="W776" s="79"/>
      <c r="X776" s="79"/>
      <c r="Y776" s="79"/>
      <c r="Z776" s="79"/>
      <c r="AA776" s="79"/>
      <c r="AB776" s="79"/>
      <c r="AC776" s="79"/>
      <c r="AD776" s="79"/>
      <c r="AE776" s="79"/>
      <c r="AF776" s="79"/>
    </row>
    <row r="777" spans="1:32" s="2" customFormat="1">
      <c r="A777" s="551"/>
      <c r="B777" s="551"/>
      <c r="C777" s="551"/>
      <c r="D777" s="551"/>
      <c r="E777" s="551"/>
      <c r="F777" s="551"/>
      <c r="G777" s="551"/>
      <c r="H777" s="551"/>
      <c r="I777" s="551"/>
      <c r="J777" s="551"/>
      <c r="K777" s="551"/>
      <c r="L777" s="551"/>
      <c r="M777" s="551"/>
      <c r="N777" s="551"/>
      <c r="O777" s="551"/>
      <c r="P777" s="551"/>
      <c r="Q777" s="79"/>
      <c r="R777" s="79"/>
      <c r="S777" s="79"/>
      <c r="T777" s="79"/>
      <c r="U777" s="79"/>
      <c r="V777" s="79"/>
      <c r="W777" s="79"/>
      <c r="X777" s="79"/>
      <c r="Y777" s="79"/>
      <c r="Z777" s="79"/>
      <c r="AA777" s="79"/>
      <c r="AB777" s="79"/>
      <c r="AC777" s="79"/>
      <c r="AD777" s="79"/>
      <c r="AE777" s="79"/>
      <c r="AF777" s="79"/>
    </row>
    <row r="778" spans="1:32" s="2" customFormat="1">
      <c r="A778" s="551"/>
      <c r="B778" s="551"/>
      <c r="C778" s="551"/>
      <c r="D778" s="551"/>
      <c r="E778" s="551"/>
      <c r="F778" s="551"/>
      <c r="G778" s="551"/>
      <c r="H778" s="551"/>
      <c r="I778" s="551"/>
      <c r="J778" s="551"/>
      <c r="K778" s="551"/>
      <c r="L778" s="551"/>
      <c r="M778" s="551"/>
      <c r="N778" s="551"/>
      <c r="O778" s="551"/>
      <c r="P778" s="551"/>
      <c r="Q778" s="79"/>
      <c r="R778" s="79"/>
      <c r="S778" s="79"/>
      <c r="T778" s="79"/>
      <c r="U778" s="79"/>
      <c r="V778" s="79"/>
      <c r="W778" s="79"/>
      <c r="X778" s="79"/>
      <c r="Y778" s="79"/>
      <c r="Z778" s="79"/>
      <c r="AA778" s="79"/>
      <c r="AB778" s="79"/>
      <c r="AC778" s="79"/>
      <c r="AD778" s="79"/>
      <c r="AE778" s="79"/>
      <c r="AF778" s="79"/>
    </row>
    <row r="779" spans="1:32" s="2" customFormat="1">
      <c r="A779" s="551"/>
      <c r="B779" s="551"/>
      <c r="C779" s="551"/>
      <c r="D779" s="551"/>
      <c r="E779" s="551"/>
      <c r="F779" s="551"/>
      <c r="G779" s="551"/>
      <c r="H779" s="551"/>
      <c r="I779" s="551"/>
      <c r="J779" s="551"/>
      <c r="K779" s="551"/>
      <c r="L779" s="551"/>
      <c r="M779" s="551"/>
      <c r="N779" s="551"/>
      <c r="O779" s="551"/>
      <c r="P779" s="551"/>
      <c r="Q779" s="79"/>
      <c r="R779" s="79"/>
      <c r="S779" s="79"/>
      <c r="T779" s="79"/>
      <c r="U779" s="79"/>
      <c r="V779" s="79"/>
      <c r="W779" s="79"/>
      <c r="X779" s="79"/>
      <c r="Y779" s="79"/>
      <c r="Z779" s="79"/>
      <c r="AA779" s="79"/>
      <c r="AB779" s="79"/>
      <c r="AC779" s="79"/>
      <c r="AD779" s="79"/>
      <c r="AE779" s="79"/>
      <c r="AF779" s="79"/>
    </row>
    <row r="780" spans="1:32" s="2" customFormat="1">
      <c r="A780" s="551"/>
      <c r="B780" s="551"/>
      <c r="C780" s="551"/>
      <c r="D780" s="551"/>
      <c r="E780" s="551"/>
      <c r="F780" s="551"/>
      <c r="G780" s="551"/>
      <c r="H780" s="551"/>
      <c r="I780" s="551"/>
      <c r="J780" s="551"/>
      <c r="K780" s="551"/>
      <c r="L780" s="551"/>
      <c r="M780" s="551"/>
      <c r="N780" s="551"/>
      <c r="O780" s="551"/>
      <c r="P780" s="551"/>
      <c r="Q780" s="79"/>
      <c r="R780" s="79"/>
      <c r="S780" s="79"/>
      <c r="T780" s="79"/>
      <c r="U780" s="79"/>
      <c r="V780" s="79"/>
      <c r="W780" s="79"/>
      <c r="X780" s="79"/>
      <c r="Y780" s="79"/>
      <c r="Z780" s="79"/>
      <c r="AA780" s="79"/>
      <c r="AB780" s="79"/>
      <c r="AC780" s="79"/>
      <c r="AD780" s="79"/>
      <c r="AE780" s="79"/>
      <c r="AF780" s="79"/>
    </row>
    <row r="781" spans="1:32" s="2" customFormat="1">
      <c r="A781" s="551"/>
      <c r="B781" s="551"/>
      <c r="C781" s="551"/>
      <c r="D781" s="551"/>
      <c r="E781" s="551"/>
      <c r="F781" s="551"/>
      <c r="G781" s="551"/>
      <c r="H781" s="551"/>
      <c r="I781" s="551"/>
      <c r="J781" s="551"/>
      <c r="K781" s="551"/>
      <c r="L781" s="551"/>
      <c r="M781" s="551"/>
      <c r="N781" s="551"/>
      <c r="O781" s="551"/>
      <c r="P781" s="551"/>
      <c r="Q781" s="79"/>
      <c r="R781" s="79"/>
      <c r="S781" s="79"/>
      <c r="T781" s="79"/>
      <c r="U781" s="79"/>
      <c r="V781" s="79"/>
      <c r="W781" s="79"/>
      <c r="X781" s="79"/>
      <c r="Y781" s="79"/>
      <c r="Z781" s="79"/>
      <c r="AA781" s="79"/>
      <c r="AB781" s="79"/>
      <c r="AC781" s="79"/>
      <c r="AD781" s="79"/>
      <c r="AE781" s="79"/>
      <c r="AF781" s="79"/>
    </row>
    <row r="782" spans="1:32" s="2" customFormat="1">
      <c r="A782" s="551"/>
      <c r="B782" s="551"/>
      <c r="C782" s="551"/>
      <c r="D782" s="551"/>
      <c r="E782" s="551"/>
      <c r="F782" s="551"/>
      <c r="G782" s="551"/>
      <c r="H782" s="551"/>
      <c r="I782" s="551"/>
      <c r="J782" s="551"/>
      <c r="K782" s="551"/>
      <c r="L782" s="551"/>
      <c r="M782" s="551"/>
      <c r="N782" s="551"/>
      <c r="O782" s="551"/>
      <c r="P782" s="551"/>
      <c r="Q782" s="79"/>
      <c r="R782" s="79"/>
      <c r="S782" s="79"/>
      <c r="T782" s="79"/>
      <c r="U782" s="79"/>
      <c r="V782" s="79"/>
      <c r="W782" s="79"/>
      <c r="X782" s="79"/>
      <c r="Y782" s="79"/>
      <c r="Z782" s="79"/>
      <c r="AA782" s="79"/>
      <c r="AB782" s="79"/>
      <c r="AC782" s="79"/>
      <c r="AD782" s="79"/>
      <c r="AE782" s="79"/>
      <c r="AF782" s="79"/>
    </row>
    <row r="783" spans="1:32" s="2" customFormat="1">
      <c r="A783" s="551"/>
      <c r="B783" s="551"/>
      <c r="C783" s="551"/>
      <c r="D783" s="551"/>
      <c r="E783" s="551"/>
      <c r="F783" s="551"/>
      <c r="G783" s="551"/>
      <c r="H783" s="551"/>
      <c r="I783" s="551"/>
      <c r="J783" s="551"/>
      <c r="K783" s="551"/>
      <c r="L783" s="551"/>
      <c r="M783" s="551"/>
      <c r="N783" s="551"/>
      <c r="O783" s="551"/>
      <c r="P783" s="551"/>
      <c r="Q783" s="79"/>
      <c r="R783" s="79"/>
      <c r="S783" s="79"/>
      <c r="T783" s="79"/>
      <c r="U783" s="79"/>
      <c r="V783" s="79"/>
      <c r="W783" s="79"/>
      <c r="X783" s="79"/>
      <c r="Y783" s="79"/>
      <c r="Z783" s="79"/>
      <c r="AA783" s="79"/>
      <c r="AB783" s="79"/>
      <c r="AC783" s="79"/>
      <c r="AD783" s="79"/>
      <c r="AE783" s="79"/>
      <c r="AF783" s="79"/>
    </row>
    <row r="784" spans="1:32" s="2" customFormat="1">
      <c r="A784" s="551"/>
      <c r="B784" s="551"/>
      <c r="C784" s="551"/>
      <c r="D784" s="551"/>
      <c r="E784" s="551"/>
      <c r="F784" s="551"/>
      <c r="G784" s="551"/>
      <c r="H784" s="551"/>
      <c r="I784" s="551"/>
      <c r="J784" s="551"/>
      <c r="K784" s="551"/>
      <c r="L784" s="551"/>
      <c r="M784" s="551"/>
      <c r="N784" s="551"/>
      <c r="O784" s="551"/>
      <c r="P784" s="551"/>
      <c r="Q784" s="79"/>
      <c r="R784" s="79"/>
      <c r="S784" s="79"/>
      <c r="T784" s="79"/>
      <c r="U784" s="79"/>
      <c r="V784" s="79"/>
      <c r="W784" s="79"/>
      <c r="X784" s="79"/>
      <c r="Y784" s="79"/>
      <c r="Z784" s="79"/>
      <c r="AA784" s="79"/>
      <c r="AB784" s="79"/>
      <c r="AC784" s="79"/>
      <c r="AD784" s="79"/>
      <c r="AE784" s="79"/>
      <c r="AF784" s="79"/>
    </row>
    <row r="785" spans="1:32" s="2" customFormat="1">
      <c r="A785" s="551"/>
      <c r="B785" s="551"/>
      <c r="C785" s="551"/>
      <c r="D785" s="551"/>
      <c r="E785" s="551"/>
      <c r="F785" s="551"/>
      <c r="G785" s="551"/>
      <c r="H785" s="551"/>
      <c r="I785" s="551"/>
      <c r="J785" s="551"/>
      <c r="K785" s="551"/>
      <c r="L785" s="551"/>
      <c r="M785" s="551"/>
      <c r="N785" s="551"/>
      <c r="O785" s="551"/>
      <c r="P785" s="551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  <c r="AD785" s="79"/>
      <c r="AE785" s="79"/>
      <c r="AF785" s="79"/>
    </row>
    <row r="786" spans="1:32" s="2" customFormat="1">
      <c r="A786" s="551"/>
      <c r="B786" s="551"/>
      <c r="C786" s="551"/>
      <c r="D786" s="551"/>
      <c r="E786" s="551"/>
      <c r="F786" s="551"/>
      <c r="G786" s="551"/>
      <c r="H786" s="551"/>
      <c r="I786" s="551"/>
      <c r="J786" s="551"/>
      <c r="K786" s="551"/>
      <c r="L786" s="551"/>
      <c r="M786" s="551"/>
      <c r="N786" s="551"/>
      <c r="O786" s="551"/>
      <c r="P786" s="551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  <c r="AD786" s="79"/>
      <c r="AE786" s="79"/>
      <c r="AF786" s="79"/>
    </row>
    <row r="787" spans="1:32" s="2" customFormat="1">
      <c r="A787" s="551"/>
      <c r="B787" s="551"/>
      <c r="C787" s="551"/>
      <c r="D787" s="551"/>
      <c r="E787" s="551"/>
      <c r="F787" s="551"/>
      <c r="G787" s="551"/>
      <c r="H787" s="551"/>
      <c r="I787" s="551"/>
      <c r="J787" s="551"/>
      <c r="K787" s="551"/>
      <c r="L787" s="551"/>
      <c r="M787" s="551"/>
      <c r="N787" s="551"/>
      <c r="O787" s="551"/>
      <c r="P787" s="551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  <c r="AD787" s="79"/>
      <c r="AE787" s="79"/>
      <c r="AF787" s="79"/>
    </row>
    <row r="788" spans="1:32" s="2" customFormat="1">
      <c r="A788" s="551"/>
      <c r="B788" s="551"/>
      <c r="C788" s="551"/>
      <c r="D788" s="551"/>
      <c r="E788" s="551"/>
      <c r="F788" s="551"/>
      <c r="G788" s="551"/>
      <c r="H788" s="551"/>
      <c r="I788" s="551"/>
      <c r="J788" s="551"/>
      <c r="K788" s="551"/>
      <c r="L788" s="551"/>
      <c r="M788" s="551"/>
      <c r="N788" s="551"/>
      <c r="O788" s="551"/>
      <c r="P788" s="551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  <c r="AD788" s="79"/>
      <c r="AE788" s="79"/>
      <c r="AF788" s="79"/>
    </row>
    <row r="789" spans="1:32" s="2" customFormat="1">
      <c r="A789" s="551"/>
      <c r="B789" s="551"/>
      <c r="C789" s="551"/>
      <c r="D789" s="551"/>
      <c r="E789" s="551"/>
      <c r="F789" s="551"/>
      <c r="G789" s="551"/>
      <c r="H789" s="551"/>
      <c r="I789" s="551"/>
      <c r="J789" s="551"/>
      <c r="K789" s="551"/>
      <c r="L789" s="551"/>
      <c r="M789" s="551"/>
      <c r="N789" s="551"/>
      <c r="O789" s="551"/>
      <c r="P789" s="551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  <c r="AD789" s="79"/>
      <c r="AE789" s="79"/>
      <c r="AF789" s="79"/>
    </row>
    <row r="790" spans="1:32" s="2" customFormat="1">
      <c r="A790" s="551"/>
      <c r="B790" s="551"/>
      <c r="C790" s="551"/>
      <c r="D790" s="551"/>
      <c r="E790" s="551"/>
      <c r="F790" s="551"/>
      <c r="G790" s="551"/>
      <c r="H790" s="551"/>
      <c r="I790" s="551"/>
      <c r="J790" s="551"/>
      <c r="K790" s="551"/>
      <c r="L790" s="551"/>
      <c r="M790" s="551"/>
      <c r="N790" s="551"/>
      <c r="O790" s="551"/>
      <c r="P790" s="551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  <c r="AD790" s="79"/>
      <c r="AE790" s="79"/>
      <c r="AF790" s="79"/>
    </row>
    <row r="791" spans="1:32" s="2" customFormat="1">
      <c r="A791" s="551"/>
      <c r="B791" s="551"/>
      <c r="C791" s="551"/>
      <c r="D791" s="551"/>
      <c r="E791" s="551"/>
      <c r="F791" s="551"/>
      <c r="G791" s="551"/>
      <c r="H791" s="551"/>
      <c r="I791" s="551"/>
      <c r="J791" s="551"/>
      <c r="K791" s="551"/>
      <c r="L791" s="551"/>
      <c r="M791" s="551"/>
      <c r="N791" s="551"/>
      <c r="O791" s="551"/>
      <c r="P791" s="551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  <c r="AD791" s="79"/>
      <c r="AE791" s="79"/>
      <c r="AF791" s="79"/>
    </row>
    <row r="792" spans="1:32" s="2" customFormat="1">
      <c r="A792" s="551"/>
      <c r="B792" s="551"/>
      <c r="C792" s="551"/>
      <c r="D792" s="551"/>
      <c r="E792" s="551"/>
      <c r="F792" s="551"/>
      <c r="G792" s="551"/>
      <c r="H792" s="551"/>
      <c r="I792" s="551"/>
      <c r="J792" s="551"/>
      <c r="K792" s="551"/>
      <c r="L792" s="551"/>
      <c r="M792" s="551"/>
      <c r="N792" s="551"/>
      <c r="O792" s="551"/>
      <c r="P792" s="551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  <c r="AD792" s="79"/>
      <c r="AE792" s="79"/>
      <c r="AF792" s="79"/>
    </row>
    <row r="793" spans="1:32" s="2" customFormat="1">
      <c r="A793" s="551"/>
      <c r="B793" s="551"/>
      <c r="C793" s="551"/>
      <c r="D793" s="551"/>
      <c r="E793" s="551"/>
      <c r="F793" s="551"/>
      <c r="G793" s="551"/>
      <c r="H793" s="551"/>
      <c r="I793" s="551"/>
      <c r="J793" s="551"/>
      <c r="K793" s="551"/>
      <c r="L793" s="551"/>
      <c r="M793" s="551"/>
      <c r="N793" s="551"/>
      <c r="O793" s="551"/>
      <c r="P793" s="551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  <c r="AD793" s="79"/>
      <c r="AE793" s="79"/>
      <c r="AF793" s="79"/>
    </row>
    <row r="794" spans="1:32" s="2" customFormat="1">
      <c r="A794" s="551"/>
      <c r="B794" s="551"/>
      <c r="C794" s="551"/>
      <c r="D794" s="551"/>
      <c r="E794" s="551"/>
      <c r="F794" s="551"/>
      <c r="G794" s="551"/>
      <c r="H794" s="551"/>
      <c r="I794" s="551"/>
      <c r="J794" s="551"/>
      <c r="K794" s="551"/>
      <c r="L794" s="551"/>
      <c r="M794" s="551"/>
      <c r="N794" s="551"/>
      <c r="O794" s="551"/>
      <c r="P794" s="551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</row>
    <row r="795" spans="1:32" s="2" customFormat="1">
      <c r="A795" s="551"/>
      <c r="B795" s="551"/>
      <c r="C795" s="551"/>
      <c r="D795" s="551"/>
      <c r="E795" s="551"/>
      <c r="F795" s="551"/>
      <c r="G795" s="551"/>
      <c r="H795" s="551"/>
      <c r="I795" s="551"/>
      <c r="J795" s="551"/>
      <c r="K795" s="551"/>
      <c r="L795" s="551"/>
      <c r="M795" s="551"/>
      <c r="N795" s="551"/>
      <c r="O795" s="551"/>
      <c r="P795" s="551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  <c r="AD795" s="79"/>
      <c r="AE795" s="79"/>
      <c r="AF795" s="79"/>
    </row>
    <row r="796" spans="1:32" s="2" customFormat="1">
      <c r="A796" s="551"/>
      <c r="B796" s="551"/>
      <c r="C796" s="551"/>
      <c r="D796" s="551"/>
      <c r="E796" s="551"/>
      <c r="F796" s="551"/>
      <c r="G796" s="551"/>
      <c r="H796" s="551"/>
      <c r="I796" s="551"/>
      <c r="J796" s="551"/>
      <c r="K796" s="551"/>
      <c r="L796" s="551"/>
      <c r="M796" s="551"/>
      <c r="N796" s="551"/>
      <c r="O796" s="551"/>
      <c r="P796" s="551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  <c r="AD796" s="79"/>
      <c r="AE796" s="79"/>
      <c r="AF796" s="79"/>
    </row>
    <row r="797" spans="1:32" s="2" customFormat="1">
      <c r="A797" s="551"/>
      <c r="B797" s="551"/>
      <c r="C797" s="551"/>
      <c r="D797" s="551"/>
      <c r="E797" s="551"/>
      <c r="F797" s="551"/>
      <c r="G797" s="551"/>
      <c r="H797" s="551"/>
      <c r="I797" s="551"/>
      <c r="J797" s="551"/>
      <c r="K797" s="551"/>
      <c r="L797" s="551"/>
      <c r="M797" s="551"/>
      <c r="N797" s="551"/>
      <c r="O797" s="551"/>
      <c r="P797" s="551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  <c r="AD797" s="79"/>
      <c r="AE797" s="79"/>
      <c r="AF797" s="79"/>
    </row>
    <row r="798" spans="1:32" s="2" customFormat="1">
      <c r="A798" s="551"/>
      <c r="B798" s="551"/>
      <c r="C798" s="551"/>
      <c r="D798" s="551"/>
      <c r="E798" s="551"/>
      <c r="F798" s="551"/>
      <c r="G798" s="551"/>
      <c r="H798" s="551"/>
      <c r="I798" s="551"/>
      <c r="J798" s="551"/>
      <c r="K798" s="551"/>
      <c r="L798" s="551"/>
      <c r="M798" s="551"/>
      <c r="N798" s="551"/>
      <c r="O798" s="551"/>
      <c r="P798" s="551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</row>
    <row r="799" spans="1:32" s="2" customFormat="1">
      <c r="A799" s="551"/>
      <c r="B799" s="551"/>
      <c r="C799" s="551"/>
      <c r="D799" s="551"/>
      <c r="E799" s="551"/>
      <c r="F799" s="551"/>
      <c r="G799" s="551"/>
      <c r="H799" s="551"/>
      <c r="I799" s="551"/>
      <c r="J799" s="551"/>
      <c r="K799" s="551"/>
      <c r="L799" s="551"/>
      <c r="M799" s="551"/>
      <c r="N799" s="551"/>
      <c r="O799" s="551"/>
      <c r="P799" s="551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  <c r="AD799" s="79"/>
      <c r="AE799" s="79"/>
      <c r="AF799" s="79"/>
    </row>
    <row r="800" spans="1:32" s="2" customFormat="1">
      <c r="A800" s="551"/>
      <c r="B800" s="551"/>
      <c r="C800" s="551"/>
      <c r="D800" s="551"/>
      <c r="E800" s="551"/>
      <c r="F800" s="551"/>
      <c r="G800" s="551"/>
      <c r="H800" s="551"/>
      <c r="I800" s="551"/>
      <c r="J800" s="551"/>
      <c r="K800" s="551"/>
      <c r="L800" s="551"/>
      <c r="M800" s="551"/>
      <c r="N800" s="551"/>
      <c r="O800" s="551"/>
      <c r="P800" s="551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  <c r="AD800" s="79"/>
      <c r="AE800" s="79"/>
      <c r="AF800" s="79"/>
    </row>
    <row r="801" spans="1:32" s="2" customFormat="1">
      <c r="A801" s="551"/>
      <c r="B801" s="551"/>
      <c r="C801" s="551"/>
      <c r="D801" s="551"/>
      <c r="E801" s="551"/>
      <c r="F801" s="551"/>
      <c r="G801" s="551"/>
      <c r="H801" s="551"/>
      <c r="I801" s="551"/>
      <c r="J801" s="551"/>
      <c r="K801" s="551"/>
      <c r="L801" s="551"/>
      <c r="M801" s="551"/>
      <c r="N801" s="551"/>
      <c r="O801" s="551"/>
      <c r="P801" s="551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  <c r="AD801" s="79"/>
      <c r="AE801" s="79"/>
      <c r="AF801" s="79"/>
    </row>
    <row r="802" spans="1:32" s="2" customFormat="1">
      <c r="A802" s="551"/>
      <c r="B802" s="551"/>
      <c r="C802" s="551"/>
      <c r="D802" s="551"/>
      <c r="E802" s="551"/>
      <c r="F802" s="551"/>
      <c r="G802" s="551"/>
      <c r="H802" s="551"/>
      <c r="I802" s="551"/>
      <c r="J802" s="551"/>
      <c r="K802" s="551"/>
      <c r="L802" s="551"/>
      <c r="M802" s="551"/>
      <c r="N802" s="551"/>
      <c r="O802" s="551"/>
      <c r="P802" s="551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  <c r="AD802" s="79"/>
      <c r="AE802" s="79"/>
      <c r="AF802" s="79"/>
    </row>
    <row r="803" spans="1:32" s="2" customFormat="1">
      <c r="A803" s="551"/>
      <c r="B803" s="551"/>
      <c r="C803" s="551"/>
      <c r="D803" s="551"/>
      <c r="E803" s="551"/>
      <c r="F803" s="551"/>
      <c r="G803" s="551"/>
      <c r="H803" s="551"/>
      <c r="I803" s="551"/>
      <c r="J803" s="551"/>
      <c r="K803" s="551"/>
      <c r="L803" s="551"/>
      <c r="M803" s="551"/>
      <c r="N803" s="551"/>
      <c r="O803" s="551"/>
      <c r="P803" s="551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  <c r="AD803" s="79"/>
      <c r="AE803" s="79"/>
      <c r="AF803" s="79"/>
    </row>
    <row r="804" spans="1:32" s="2" customFormat="1">
      <c r="A804" s="551"/>
      <c r="B804" s="551"/>
      <c r="C804" s="551"/>
      <c r="D804" s="551"/>
      <c r="E804" s="551"/>
      <c r="F804" s="551"/>
      <c r="G804" s="551"/>
      <c r="H804" s="551"/>
      <c r="I804" s="551"/>
      <c r="J804" s="551"/>
      <c r="K804" s="551"/>
      <c r="L804" s="551"/>
      <c r="M804" s="551"/>
      <c r="N804" s="551"/>
      <c r="O804" s="551"/>
      <c r="P804" s="551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  <c r="AD804" s="79"/>
      <c r="AE804" s="79"/>
      <c r="AF804" s="79"/>
    </row>
    <row r="805" spans="1:32" s="2" customFormat="1">
      <c r="A805" s="551"/>
      <c r="B805" s="551"/>
      <c r="C805" s="551"/>
      <c r="D805" s="551"/>
      <c r="E805" s="551"/>
      <c r="F805" s="551"/>
      <c r="G805" s="551"/>
      <c r="H805" s="551"/>
      <c r="I805" s="551"/>
      <c r="J805" s="551"/>
      <c r="K805" s="551"/>
      <c r="L805" s="551"/>
      <c r="M805" s="551"/>
      <c r="N805" s="551"/>
      <c r="O805" s="551"/>
      <c r="P805" s="551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  <c r="AD805" s="79"/>
      <c r="AE805" s="79"/>
      <c r="AF805" s="79"/>
    </row>
    <row r="806" spans="1:32" s="2" customFormat="1">
      <c r="A806" s="551"/>
      <c r="B806" s="551"/>
      <c r="C806" s="551"/>
      <c r="D806" s="551"/>
      <c r="E806" s="551"/>
      <c r="F806" s="551"/>
      <c r="G806" s="551"/>
      <c r="H806" s="551"/>
      <c r="I806" s="551"/>
      <c r="J806" s="551"/>
      <c r="K806" s="551"/>
      <c r="L806" s="551"/>
      <c r="M806" s="551"/>
      <c r="N806" s="551"/>
      <c r="O806" s="551"/>
      <c r="P806" s="551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  <c r="AD806" s="79"/>
      <c r="AE806" s="79"/>
      <c r="AF806" s="79"/>
    </row>
    <row r="807" spans="1:32" s="2" customFormat="1">
      <c r="A807" s="551"/>
      <c r="B807" s="551"/>
      <c r="C807" s="551"/>
      <c r="D807" s="551"/>
      <c r="E807" s="551"/>
      <c r="F807" s="551"/>
      <c r="G807" s="551"/>
      <c r="H807" s="551"/>
      <c r="I807" s="551"/>
      <c r="J807" s="551"/>
      <c r="K807" s="551"/>
      <c r="L807" s="551"/>
      <c r="M807" s="551"/>
      <c r="N807" s="551"/>
      <c r="O807" s="551"/>
      <c r="P807" s="551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  <c r="AD807" s="79"/>
      <c r="AE807" s="79"/>
      <c r="AF807" s="79"/>
    </row>
    <row r="808" spans="1:32" s="2" customFormat="1">
      <c r="A808" s="551"/>
      <c r="B808" s="551"/>
      <c r="C808" s="551"/>
      <c r="D808" s="551"/>
      <c r="E808" s="551"/>
      <c r="F808" s="551"/>
      <c r="G808" s="551"/>
      <c r="H808" s="551"/>
      <c r="I808" s="551"/>
      <c r="J808" s="551"/>
      <c r="K808" s="551"/>
      <c r="L808" s="551"/>
      <c r="M808" s="551"/>
      <c r="N808" s="551"/>
      <c r="O808" s="551"/>
      <c r="P808" s="551"/>
      <c r="Q808" s="79"/>
      <c r="R808" s="79"/>
      <c r="S808" s="79"/>
      <c r="T808" s="79"/>
      <c r="U808" s="79"/>
      <c r="V808" s="79"/>
      <c r="W808" s="79"/>
      <c r="X808" s="79"/>
      <c r="Y808" s="79"/>
      <c r="Z808" s="79"/>
      <c r="AA808" s="79"/>
      <c r="AB808" s="79"/>
      <c r="AC808" s="79"/>
      <c r="AD808" s="79"/>
      <c r="AE808" s="79"/>
      <c r="AF808" s="79"/>
    </row>
    <row r="809" spans="1:32" s="2" customFormat="1">
      <c r="A809" s="551"/>
      <c r="B809" s="551"/>
      <c r="C809" s="551"/>
      <c r="D809" s="551"/>
      <c r="E809" s="551"/>
      <c r="F809" s="551"/>
      <c r="G809" s="551"/>
      <c r="H809" s="551"/>
      <c r="I809" s="551"/>
      <c r="J809" s="551"/>
      <c r="K809" s="551"/>
      <c r="L809" s="551"/>
      <c r="M809" s="551"/>
      <c r="N809" s="551"/>
      <c r="O809" s="551"/>
      <c r="P809" s="551"/>
      <c r="Q809" s="79"/>
      <c r="R809" s="79"/>
      <c r="S809" s="79"/>
      <c r="T809" s="79"/>
      <c r="U809" s="79"/>
      <c r="V809" s="79"/>
      <c r="W809" s="79"/>
      <c r="X809" s="79"/>
      <c r="Y809" s="79"/>
      <c r="Z809" s="79"/>
      <c r="AA809" s="79"/>
      <c r="AB809" s="79"/>
      <c r="AC809" s="79"/>
      <c r="AD809" s="79"/>
      <c r="AE809" s="79"/>
      <c r="AF809" s="79"/>
    </row>
    <row r="810" spans="1:32" s="2" customFormat="1">
      <c r="A810" s="551"/>
      <c r="B810" s="551"/>
      <c r="C810" s="551"/>
      <c r="D810" s="551"/>
      <c r="E810" s="551"/>
      <c r="F810" s="551"/>
      <c r="G810" s="551"/>
      <c r="H810" s="551"/>
      <c r="I810" s="551"/>
      <c r="J810" s="551"/>
      <c r="K810" s="551"/>
      <c r="L810" s="551"/>
      <c r="M810" s="551"/>
      <c r="N810" s="551"/>
      <c r="O810" s="551"/>
      <c r="P810" s="551"/>
      <c r="Q810" s="79"/>
      <c r="R810" s="79"/>
      <c r="S810" s="79"/>
      <c r="T810" s="79"/>
      <c r="U810" s="79"/>
      <c r="V810" s="79"/>
      <c r="W810" s="79"/>
      <c r="X810" s="79"/>
      <c r="Y810" s="79"/>
      <c r="Z810" s="79"/>
      <c r="AA810" s="79"/>
      <c r="AB810" s="79"/>
      <c r="AC810" s="79"/>
      <c r="AD810" s="79"/>
      <c r="AE810" s="79"/>
      <c r="AF810" s="79"/>
    </row>
    <row r="811" spans="1:32" s="2" customFormat="1">
      <c r="A811" s="551"/>
      <c r="B811" s="551"/>
      <c r="C811" s="551"/>
      <c r="D811" s="551"/>
      <c r="E811" s="551"/>
      <c r="F811" s="551"/>
      <c r="G811" s="551"/>
      <c r="H811" s="551"/>
      <c r="I811" s="551"/>
      <c r="J811" s="551"/>
      <c r="K811" s="551"/>
      <c r="L811" s="551"/>
      <c r="M811" s="551"/>
      <c r="N811" s="551"/>
      <c r="O811" s="551"/>
      <c r="P811" s="551"/>
      <c r="Q811" s="79"/>
      <c r="R811" s="79"/>
      <c r="S811" s="79"/>
      <c r="T811" s="79"/>
      <c r="U811" s="79"/>
      <c r="V811" s="79"/>
      <c r="W811" s="79"/>
      <c r="X811" s="79"/>
      <c r="Y811" s="79"/>
      <c r="Z811" s="79"/>
      <c r="AA811" s="79"/>
      <c r="AB811" s="79"/>
      <c r="AC811" s="79"/>
      <c r="AD811" s="79"/>
      <c r="AE811" s="79"/>
      <c r="AF811" s="79"/>
    </row>
    <row r="812" spans="1:32" s="2" customFormat="1">
      <c r="A812" s="551"/>
      <c r="B812" s="551"/>
      <c r="C812" s="551"/>
      <c r="D812" s="551"/>
      <c r="E812" s="551"/>
      <c r="F812" s="551"/>
      <c r="G812" s="551"/>
      <c r="H812" s="551"/>
      <c r="I812" s="551"/>
      <c r="J812" s="551"/>
      <c r="K812" s="551"/>
      <c r="L812" s="551"/>
      <c r="M812" s="551"/>
      <c r="N812" s="551"/>
      <c r="O812" s="551"/>
      <c r="P812" s="551"/>
      <c r="Q812" s="79"/>
      <c r="R812" s="79"/>
      <c r="S812" s="79"/>
      <c r="T812" s="79"/>
      <c r="U812" s="79"/>
      <c r="V812" s="79"/>
      <c r="W812" s="79"/>
      <c r="X812" s="79"/>
      <c r="Y812" s="79"/>
      <c r="Z812" s="79"/>
      <c r="AA812" s="79"/>
      <c r="AB812" s="79"/>
      <c r="AC812" s="79"/>
      <c r="AD812" s="79"/>
      <c r="AE812" s="79"/>
      <c r="AF812" s="79"/>
    </row>
    <row r="813" spans="1:32" s="2" customFormat="1">
      <c r="A813" s="551"/>
      <c r="B813" s="551"/>
      <c r="C813" s="551"/>
      <c r="D813" s="551"/>
      <c r="E813" s="551"/>
      <c r="F813" s="551"/>
      <c r="G813" s="551"/>
      <c r="H813" s="551"/>
      <c r="I813" s="551"/>
      <c r="J813" s="551"/>
      <c r="K813" s="551"/>
      <c r="L813" s="551"/>
      <c r="M813" s="551"/>
      <c r="N813" s="551"/>
      <c r="O813" s="551"/>
      <c r="P813" s="551"/>
      <c r="Q813" s="79"/>
      <c r="R813" s="79"/>
      <c r="S813" s="79"/>
      <c r="T813" s="79"/>
      <c r="U813" s="79"/>
      <c r="V813" s="79"/>
      <c r="W813" s="79"/>
      <c r="X813" s="79"/>
      <c r="Y813" s="79"/>
      <c r="Z813" s="79"/>
      <c r="AA813" s="79"/>
      <c r="AB813" s="79"/>
      <c r="AC813" s="79"/>
      <c r="AD813" s="79"/>
      <c r="AE813" s="79"/>
      <c r="AF813" s="79"/>
    </row>
    <row r="814" spans="1:32" s="2" customFormat="1">
      <c r="A814" s="551"/>
      <c r="B814" s="551"/>
      <c r="C814" s="551"/>
      <c r="D814" s="551"/>
      <c r="E814" s="551"/>
      <c r="F814" s="551"/>
      <c r="G814" s="551"/>
      <c r="H814" s="551"/>
      <c r="I814" s="551"/>
      <c r="J814" s="551"/>
      <c r="K814" s="551"/>
      <c r="L814" s="551"/>
      <c r="M814" s="551"/>
      <c r="N814" s="551"/>
      <c r="O814" s="551"/>
      <c r="P814" s="551"/>
      <c r="Q814" s="79"/>
      <c r="R814" s="79"/>
      <c r="S814" s="79"/>
      <c r="T814" s="79"/>
      <c r="U814" s="79"/>
      <c r="V814" s="79"/>
      <c r="W814" s="79"/>
      <c r="X814" s="79"/>
      <c r="Y814" s="79"/>
      <c r="Z814" s="79"/>
      <c r="AA814" s="79"/>
      <c r="AB814" s="79"/>
      <c r="AC814" s="79"/>
      <c r="AD814" s="79"/>
      <c r="AE814" s="79"/>
      <c r="AF814" s="79"/>
    </row>
    <row r="815" spans="1:32" s="2" customFormat="1">
      <c r="A815" s="551"/>
      <c r="B815" s="551"/>
      <c r="C815" s="551"/>
      <c r="D815" s="551"/>
      <c r="E815" s="551"/>
      <c r="F815" s="551"/>
      <c r="G815" s="551"/>
      <c r="H815" s="551"/>
      <c r="I815" s="551"/>
      <c r="J815" s="551"/>
      <c r="K815" s="551"/>
      <c r="L815" s="551"/>
      <c r="M815" s="551"/>
      <c r="N815" s="551"/>
      <c r="O815" s="551"/>
      <c r="P815" s="551"/>
      <c r="Q815" s="79"/>
      <c r="R815" s="79"/>
      <c r="S815" s="79"/>
      <c r="T815" s="79"/>
      <c r="U815" s="79"/>
      <c r="V815" s="79"/>
      <c r="W815" s="79"/>
      <c r="X815" s="79"/>
      <c r="Y815" s="79"/>
      <c r="Z815" s="79"/>
      <c r="AA815" s="79"/>
      <c r="AB815" s="79"/>
      <c r="AC815" s="79"/>
      <c r="AD815" s="79"/>
      <c r="AE815" s="79"/>
      <c r="AF815" s="79"/>
    </row>
    <row r="816" spans="1:32" s="2" customFormat="1">
      <c r="A816" s="551"/>
      <c r="B816" s="551"/>
      <c r="C816" s="551"/>
      <c r="D816" s="551"/>
      <c r="E816" s="551"/>
      <c r="F816" s="551"/>
      <c r="G816" s="551"/>
      <c r="H816" s="551"/>
      <c r="I816" s="551"/>
      <c r="J816" s="551"/>
      <c r="K816" s="551"/>
      <c r="L816" s="551"/>
      <c r="M816" s="551"/>
      <c r="N816" s="551"/>
      <c r="O816" s="551"/>
      <c r="P816" s="551"/>
      <c r="Q816" s="79"/>
      <c r="R816" s="79"/>
      <c r="S816" s="79"/>
      <c r="T816" s="79"/>
      <c r="U816" s="79"/>
      <c r="V816" s="79"/>
      <c r="W816" s="79"/>
      <c r="X816" s="79"/>
      <c r="Y816" s="79"/>
      <c r="Z816" s="79"/>
      <c r="AA816" s="79"/>
      <c r="AB816" s="79"/>
      <c r="AC816" s="79"/>
      <c r="AD816" s="79"/>
      <c r="AE816" s="79"/>
      <c r="AF816" s="79"/>
    </row>
    <row r="817" spans="1:32" s="2" customFormat="1">
      <c r="A817" s="551"/>
      <c r="B817" s="551"/>
      <c r="C817" s="551"/>
      <c r="D817" s="551"/>
      <c r="E817" s="551"/>
      <c r="F817" s="551"/>
      <c r="G817" s="551"/>
      <c r="H817" s="551"/>
      <c r="I817" s="551"/>
      <c r="J817" s="551"/>
      <c r="K817" s="551"/>
      <c r="L817" s="551"/>
      <c r="M817" s="551"/>
      <c r="N817" s="551"/>
      <c r="O817" s="551"/>
      <c r="P817" s="551"/>
      <c r="Q817" s="79"/>
      <c r="R817" s="79"/>
      <c r="S817" s="79"/>
      <c r="T817" s="79"/>
      <c r="U817" s="79"/>
      <c r="V817" s="79"/>
      <c r="W817" s="79"/>
      <c r="X817" s="79"/>
      <c r="Y817" s="79"/>
      <c r="Z817" s="79"/>
      <c r="AA817" s="79"/>
      <c r="AB817" s="79"/>
      <c r="AC817" s="79"/>
      <c r="AD817" s="79"/>
      <c r="AE817" s="79"/>
      <c r="AF817" s="79"/>
    </row>
    <row r="818" spans="1:32" s="2" customFormat="1">
      <c r="A818" s="551"/>
      <c r="B818" s="551"/>
      <c r="C818" s="551"/>
      <c r="D818" s="551"/>
      <c r="E818" s="551"/>
      <c r="F818" s="551"/>
      <c r="G818" s="551"/>
      <c r="H818" s="551"/>
      <c r="I818" s="551"/>
      <c r="J818" s="551"/>
      <c r="K818" s="551"/>
      <c r="L818" s="551"/>
      <c r="M818" s="551"/>
      <c r="N818" s="551"/>
      <c r="O818" s="551"/>
      <c r="P818" s="551"/>
      <c r="Q818" s="79"/>
      <c r="R818" s="79"/>
      <c r="S818" s="79"/>
      <c r="T818" s="79"/>
      <c r="U818" s="79"/>
      <c r="V818" s="79"/>
      <c r="W818" s="79"/>
      <c r="X818" s="79"/>
      <c r="Y818" s="79"/>
      <c r="Z818" s="79"/>
      <c r="AA818" s="79"/>
      <c r="AB818" s="79"/>
      <c r="AC818" s="79"/>
      <c r="AD818" s="79"/>
      <c r="AE818" s="79"/>
      <c r="AF818" s="79"/>
    </row>
    <row r="819" spans="1:32" s="2" customFormat="1">
      <c r="A819" s="551"/>
      <c r="B819" s="551"/>
      <c r="C819" s="551"/>
      <c r="D819" s="551"/>
      <c r="E819" s="551"/>
      <c r="F819" s="551"/>
      <c r="G819" s="551"/>
      <c r="H819" s="551"/>
      <c r="I819" s="551"/>
      <c r="J819" s="551"/>
      <c r="K819" s="551"/>
      <c r="L819" s="551"/>
      <c r="M819" s="551"/>
      <c r="N819" s="551"/>
      <c r="O819" s="551"/>
      <c r="P819" s="551"/>
      <c r="Q819" s="79"/>
      <c r="R819" s="79"/>
      <c r="S819" s="79"/>
      <c r="T819" s="79"/>
      <c r="U819" s="79"/>
      <c r="V819" s="79"/>
      <c r="W819" s="79"/>
      <c r="X819" s="79"/>
      <c r="Y819" s="79"/>
      <c r="Z819" s="79"/>
      <c r="AA819" s="79"/>
      <c r="AB819" s="79"/>
      <c r="AC819" s="79"/>
      <c r="AD819" s="79"/>
      <c r="AE819" s="79"/>
      <c r="AF819" s="79"/>
    </row>
    <row r="820" spans="1:32" s="2" customFormat="1">
      <c r="A820" s="551"/>
      <c r="B820" s="551"/>
      <c r="C820" s="551"/>
      <c r="D820" s="551"/>
      <c r="E820" s="551"/>
      <c r="F820" s="551"/>
      <c r="G820" s="551"/>
      <c r="H820" s="551"/>
      <c r="I820" s="551"/>
      <c r="J820" s="551"/>
      <c r="K820" s="551"/>
      <c r="L820" s="551"/>
      <c r="M820" s="551"/>
      <c r="N820" s="551"/>
      <c r="O820" s="551"/>
      <c r="P820" s="551"/>
      <c r="Q820" s="79"/>
      <c r="R820" s="79"/>
      <c r="S820" s="79"/>
      <c r="T820" s="79"/>
      <c r="U820" s="79"/>
      <c r="V820" s="79"/>
      <c r="W820" s="79"/>
      <c r="X820" s="79"/>
      <c r="Y820" s="79"/>
      <c r="Z820" s="79"/>
      <c r="AA820" s="79"/>
      <c r="AB820" s="79"/>
      <c r="AC820" s="79"/>
      <c r="AD820" s="79"/>
      <c r="AE820" s="79"/>
      <c r="AF820" s="79"/>
    </row>
    <row r="821" spans="1:32" s="2" customFormat="1">
      <c r="A821" s="551"/>
      <c r="B821" s="551"/>
      <c r="C821" s="551"/>
      <c r="D821" s="551"/>
      <c r="E821" s="551"/>
      <c r="F821" s="551"/>
      <c r="G821" s="551"/>
      <c r="H821" s="551"/>
      <c r="I821" s="551"/>
      <c r="J821" s="551"/>
      <c r="K821" s="551"/>
      <c r="L821" s="551"/>
      <c r="M821" s="551"/>
      <c r="N821" s="551"/>
      <c r="O821" s="551"/>
      <c r="P821" s="551"/>
      <c r="Q821" s="79"/>
      <c r="R821" s="79"/>
      <c r="S821" s="79"/>
      <c r="T821" s="79"/>
      <c r="U821" s="79"/>
      <c r="V821" s="79"/>
      <c r="W821" s="79"/>
      <c r="X821" s="79"/>
      <c r="Y821" s="79"/>
      <c r="Z821" s="79"/>
      <c r="AA821" s="79"/>
      <c r="AB821" s="79"/>
      <c r="AC821" s="79"/>
      <c r="AD821" s="79"/>
      <c r="AE821" s="79"/>
      <c r="AF821" s="79"/>
    </row>
    <row r="822" spans="1:32" s="2" customFormat="1">
      <c r="A822" s="551"/>
      <c r="B822" s="551"/>
      <c r="C822" s="551"/>
      <c r="D822" s="551"/>
      <c r="E822" s="551"/>
      <c r="F822" s="551"/>
      <c r="G822" s="551"/>
      <c r="H822" s="551"/>
      <c r="I822" s="551"/>
      <c r="J822" s="551"/>
      <c r="K822" s="551"/>
      <c r="L822" s="551"/>
      <c r="M822" s="551"/>
      <c r="N822" s="551"/>
      <c r="O822" s="551"/>
      <c r="P822" s="551"/>
      <c r="Q822" s="79"/>
      <c r="R822" s="79"/>
      <c r="S822" s="79"/>
      <c r="T822" s="79"/>
      <c r="U822" s="79"/>
      <c r="V822" s="79"/>
      <c r="W822" s="79"/>
      <c r="X822" s="79"/>
      <c r="Y822" s="79"/>
      <c r="Z822" s="79"/>
      <c r="AA822" s="79"/>
      <c r="AB822" s="79"/>
      <c r="AC822" s="79"/>
      <c r="AD822" s="79"/>
      <c r="AE822" s="79"/>
      <c r="AF822" s="79"/>
    </row>
    <row r="823" spans="1:32" s="2" customFormat="1">
      <c r="A823" s="551"/>
      <c r="B823" s="551"/>
      <c r="C823" s="551"/>
      <c r="D823" s="551"/>
      <c r="E823" s="551"/>
      <c r="F823" s="551"/>
      <c r="G823" s="551"/>
      <c r="H823" s="551"/>
      <c r="I823" s="551"/>
      <c r="J823" s="551"/>
      <c r="K823" s="551"/>
      <c r="L823" s="551"/>
      <c r="M823" s="551"/>
      <c r="N823" s="551"/>
      <c r="O823" s="551"/>
      <c r="P823" s="551"/>
      <c r="Q823" s="79"/>
      <c r="R823" s="79"/>
      <c r="S823" s="79"/>
      <c r="T823" s="79"/>
      <c r="U823" s="79"/>
      <c r="V823" s="79"/>
      <c r="W823" s="79"/>
      <c r="X823" s="79"/>
      <c r="Y823" s="79"/>
      <c r="Z823" s="79"/>
      <c r="AA823" s="79"/>
      <c r="AB823" s="79"/>
      <c r="AC823" s="79"/>
      <c r="AD823" s="79"/>
      <c r="AE823" s="79"/>
      <c r="AF823" s="79"/>
    </row>
    <row r="824" spans="1:32" s="2" customFormat="1">
      <c r="A824" s="551"/>
      <c r="B824" s="551"/>
      <c r="C824" s="551"/>
      <c r="D824" s="551"/>
      <c r="E824" s="551"/>
      <c r="F824" s="551"/>
      <c r="G824" s="551"/>
      <c r="H824" s="551"/>
      <c r="I824" s="551"/>
      <c r="J824" s="551"/>
      <c r="K824" s="551"/>
      <c r="L824" s="551"/>
      <c r="M824" s="551"/>
      <c r="N824" s="551"/>
      <c r="O824" s="551"/>
      <c r="P824" s="551"/>
      <c r="Q824" s="79"/>
      <c r="R824" s="79"/>
      <c r="S824" s="79"/>
      <c r="T824" s="79"/>
      <c r="U824" s="79"/>
      <c r="V824" s="79"/>
      <c r="W824" s="79"/>
      <c r="X824" s="79"/>
      <c r="Y824" s="79"/>
      <c r="Z824" s="79"/>
      <c r="AA824" s="79"/>
      <c r="AB824" s="79"/>
      <c r="AC824" s="79"/>
      <c r="AD824" s="79"/>
      <c r="AE824" s="79"/>
      <c r="AF824" s="79"/>
    </row>
    <row r="825" spans="1:32" s="2" customFormat="1">
      <c r="A825" s="551"/>
      <c r="B825" s="551"/>
      <c r="C825" s="551"/>
      <c r="D825" s="551"/>
      <c r="E825" s="551"/>
      <c r="F825" s="551"/>
      <c r="G825" s="551"/>
      <c r="H825" s="551"/>
      <c r="I825" s="551"/>
      <c r="J825" s="551"/>
      <c r="K825" s="551"/>
      <c r="L825" s="551"/>
      <c r="M825" s="551"/>
      <c r="N825" s="551"/>
      <c r="O825" s="551"/>
      <c r="P825" s="551"/>
      <c r="Q825" s="79"/>
      <c r="R825" s="79"/>
      <c r="S825" s="79"/>
      <c r="T825" s="79"/>
      <c r="U825" s="79"/>
      <c r="V825" s="79"/>
      <c r="W825" s="79"/>
      <c r="X825" s="79"/>
      <c r="Y825" s="79"/>
      <c r="Z825" s="79"/>
      <c r="AA825" s="79"/>
      <c r="AB825" s="79"/>
      <c r="AC825" s="79"/>
      <c r="AD825" s="79"/>
      <c r="AE825" s="79"/>
      <c r="AF825" s="79"/>
    </row>
    <row r="826" spans="1:32" s="2" customFormat="1">
      <c r="A826" s="551"/>
      <c r="B826" s="551"/>
      <c r="C826" s="551"/>
      <c r="D826" s="551"/>
      <c r="E826" s="551"/>
      <c r="F826" s="551"/>
      <c r="G826" s="551"/>
      <c r="H826" s="551"/>
      <c r="I826" s="551"/>
      <c r="J826" s="551"/>
      <c r="K826" s="551"/>
      <c r="L826" s="551"/>
      <c r="M826" s="551"/>
      <c r="N826" s="551"/>
      <c r="O826" s="551"/>
      <c r="P826" s="551"/>
      <c r="Q826" s="79"/>
      <c r="R826" s="79"/>
      <c r="S826" s="79"/>
      <c r="T826" s="79"/>
      <c r="U826" s="79"/>
      <c r="V826" s="79"/>
      <c r="W826" s="79"/>
      <c r="X826" s="79"/>
      <c r="Y826" s="79"/>
      <c r="Z826" s="79"/>
      <c r="AA826" s="79"/>
      <c r="AB826" s="79"/>
      <c r="AC826" s="79"/>
      <c r="AD826" s="79"/>
      <c r="AE826" s="79"/>
      <c r="AF826" s="79"/>
    </row>
    <row r="827" spans="1:32" s="2" customFormat="1">
      <c r="A827" s="551"/>
      <c r="B827" s="551"/>
      <c r="C827" s="551"/>
      <c r="D827" s="551"/>
      <c r="E827" s="551"/>
      <c r="F827" s="551"/>
      <c r="G827" s="551"/>
      <c r="H827" s="551"/>
      <c r="I827" s="551"/>
      <c r="J827" s="551"/>
      <c r="K827" s="551"/>
      <c r="L827" s="551"/>
      <c r="M827" s="551"/>
      <c r="N827" s="551"/>
      <c r="O827" s="551"/>
      <c r="P827" s="551"/>
      <c r="Q827" s="79"/>
      <c r="R827" s="79"/>
      <c r="S827" s="79"/>
      <c r="T827" s="79"/>
      <c r="U827" s="79"/>
      <c r="V827" s="79"/>
      <c r="W827" s="79"/>
      <c r="X827" s="79"/>
      <c r="Y827" s="79"/>
      <c r="Z827" s="79"/>
      <c r="AA827" s="79"/>
      <c r="AB827" s="79"/>
      <c r="AC827" s="79"/>
      <c r="AD827" s="79"/>
      <c r="AE827" s="79"/>
      <c r="AF827" s="79"/>
    </row>
    <row r="828" spans="1:32" s="2" customFormat="1">
      <c r="A828" s="551"/>
      <c r="B828" s="551"/>
      <c r="C828" s="551"/>
      <c r="D828" s="551"/>
      <c r="E828" s="551"/>
      <c r="F828" s="551"/>
      <c r="G828" s="551"/>
      <c r="H828" s="551"/>
      <c r="I828" s="551"/>
      <c r="J828" s="551"/>
      <c r="K828" s="551"/>
      <c r="L828" s="551"/>
      <c r="M828" s="551"/>
      <c r="N828" s="551"/>
      <c r="O828" s="551"/>
      <c r="P828" s="551"/>
      <c r="Q828" s="79"/>
      <c r="R828" s="79"/>
      <c r="S828" s="79"/>
      <c r="T828" s="79"/>
      <c r="U828" s="79"/>
      <c r="V828" s="79"/>
      <c r="W828" s="79"/>
      <c r="X828" s="79"/>
      <c r="Y828" s="79"/>
      <c r="Z828" s="79"/>
      <c r="AA828" s="79"/>
      <c r="AB828" s="79"/>
      <c r="AC828" s="79"/>
      <c r="AD828" s="79"/>
      <c r="AE828" s="79"/>
      <c r="AF828" s="79"/>
    </row>
    <row r="829" spans="1:32" s="2" customFormat="1">
      <c r="A829" s="551"/>
      <c r="B829" s="551"/>
      <c r="C829" s="551"/>
      <c r="D829" s="551"/>
      <c r="E829" s="551"/>
      <c r="F829" s="551"/>
      <c r="G829" s="551"/>
      <c r="H829" s="551"/>
      <c r="I829" s="551"/>
      <c r="J829" s="551"/>
      <c r="K829" s="551"/>
      <c r="L829" s="551"/>
      <c r="M829" s="551"/>
      <c r="N829" s="551"/>
      <c r="O829" s="551"/>
      <c r="P829" s="551"/>
      <c r="Q829" s="79"/>
      <c r="R829" s="79"/>
      <c r="S829" s="79"/>
      <c r="T829" s="79"/>
      <c r="U829" s="79"/>
      <c r="V829" s="79"/>
      <c r="W829" s="79"/>
      <c r="X829" s="79"/>
      <c r="Y829" s="79"/>
      <c r="Z829" s="79"/>
      <c r="AA829" s="79"/>
      <c r="AB829" s="79"/>
      <c r="AC829" s="79"/>
      <c r="AD829" s="79"/>
      <c r="AE829" s="79"/>
      <c r="AF829" s="79"/>
    </row>
    <row r="830" spans="1:32" s="2" customFormat="1">
      <c r="A830" s="551"/>
      <c r="B830" s="551"/>
      <c r="C830" s="551"/>
      <c r="D830" s="551"/>
      <c r="E830" s="551"/>
      <c r="F830" s="551"/>
      <c r="G830" s="551"/>
      <c r="H830" s="551"/>
      <c r="I830" s="551"/>
      <c r="J830" s="551"/>
      <c r="K830" s="551"/>
      <c r="L830" s="551"/>
      <c r="M830" s="551"/>
      <c r="N830" s="551"/>
      <c r="O830" s="551"/>
      <c r="P830" s="551"/>
      <c r="Q830" s="79"/>
      <c r="R830" s="79"/>
      <c r="S830" s="79"/>
      <c r="T830" s="79"/>
      <c r="U830" s="79"/>
      <c r="V830" s="79"/>
      <c r="W830" s="79"/>
      <c r="X830" s="79"/>
      <c r="Y830" s="79"/>
      <c r="Z830" s="79"/>
      <c r="AA830" s="79"/>
      <c r="AB830" s="79"/>
      <c r="AC830" s="79"/>
      <c r="AD830" s="79"/>
      <c r="AE830" s="79"/>
      <c r="AF830" s="79"/>
    </row>
    <row r="831" spans="1:32" s="2" customFormat="1">
      <c r="A831" s="551"/>
      <c r="B831" s="551"/>
      <c r="C831" s="551"/>
      <c r="D831" s="551"/>
      <c r="E831" s="551"/>
      <c r="F831" s="551"/>
      <c r="G831" s="551"/>
      <c r="H831" s="551"/>
      <c r="I831" s="551"/>
      <c r="J831" s="551"/>
      <c r="K831" s="551"/>
      <c r="L831" s="551"/>
      <c r="M831" s="551"/>
      <c r="N831" s="551"/>
      <c r="O831" s="551"/>
      <c r="P831" s="551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  <c r="AD831" s="79"/>
      <c r="AE831" s="79"/>
      <c r="AF831" s="79"/>
    </row>
    <row r="832" spans="1:32" s="2" customFormat="1">
      <c r="A832" s="551"/>
      <c r="B832" s="551"/>
      <c r="C832" s="551"/>
      <c r="D832" s="551"/>
      <c r="E832" s="551"/>
      <c r="F832" s="551"/>
      <c r="G832" s="551"/>
      <c r="H832" s="551"/>
      <c r="I832" s="551"/>
      <c r="J832" s="551"/>
      <c r="K832" s="551"/>
      <c r="L832" s="551"/>
      <c r="M832" s="551"/>
      <c r="N832" s="551"/>
      <c r="O832" s="551"/>
      <c r="P832" s="551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  <c r="AD832" s="79"/>
      <c r="AE832" s="79"/>
      <c r="AF832" s="79"/>
    </row>
    <row r="833" spans="1:32" s="2" customFormat="1">
      <c r="A833" s="551"/>
      <c r="B833" s="551"/>
      <c r="C833" s="551"/>
      <c r="D833" s="551"/>
      <c r="E833" s="551"/>
      <c r="F833" s="551"/>
      <c r="G833" s="551"/>
      <c r="H833" s="551"/>
      <c r="I833" s="551"/>
      <c r="J833" s="551"/>
      <c r="K833" s="551"/>
      <c r="L833" s="551"/>
      <c r="M833" s="551"/>
      <c r="N833" s="551"/>
      <c r="O833" s="551"/>
      <c r="P833" s="551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  <c r="AD833" s="79"/>
      <c r="AE833" s="79"/>
      <c r="AF833" s="79"/>
    </row>
    <row r="834" spans="1:32" s="2" customFormat="1">
      <c r="A834" s="551"/>
      <c r="B834" s="551"/>
      <c r="C834" s="551"/>
      <c r="D834" s="551"/>
      <c r="E834" s="551"/>
      <c r="F834" s="551"/>
      <c r="G834" s="551"/>
      <c r="H834" s="551"/>
      <c r="I834" s="551"/>
      <c r="J834" s="551"/>
      <c r="K834" s="551"/>
      <c r="L834" s="551"/>
      <c r="M834" s="551"/>
      <c r="N834" s="551"/>
      <c r="O834" s="551"/>
      <c r="P834" s="551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  <c r="AD834" s="79"/>
      <c r="AE834" s="79"/>
      <c r="AF834" s="79"/>
    </row>
    <row r="835" spans="1:32" s="2" customFormat="1">
      <c r="A835" s="551"/>
      <c r="B835" s="551"/>
      <c r="C835" s="551"/>
      <c r="D835" s="551"/>
      <c r="E835" s="551"/>
      <c r="F835" s="551"/>
      <c r="G835" s="551"/>
      <c r="H835" s="551"/>
      <c r="I835" s="551"/>
      <c r="J835" s="551"/>
      <c r="K835" s="551"/>
      <c r="L835" s="551"/>
      <c r="M835" s="551"/>
      <c r="N835" s="551"/>
      <c r="O835" s="551"/>
      <c r="P835" s="551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  <c r="AD835" s="79"/>
      <c r="AE835" s="79"/>
      <c r="AF835" s="79"/>
    </row>
    <row r="836" spans="1:32" s="2" customFormat="1">
      <c r="A836" s="551"/>
      <c r="B836" s="551"/>
      <c r="C836" s="551"/>
      <c r="D836" s="551"/>
      <c r="E836" s="551"/>
      <c r="F836" s="551"/>
      <c r="G836" s="551"/>
      <c r="H836" s="551"/>
      <c r="I836" s="551"/>
      <c r="J836" s="551"/>
      <c r="K836" s="551"/>
      <c r="L836" s="551"/>
      <c r="M836" s="551"/>
      <c r="N836" s="551"/>
      <c r="O836" s="551"/>
      <c r="P836" s="551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  <c r="AD836" s="79"/>
      <c r="AE836" s="79"/>
      <c r="AF836" s="79"/>
    </row>
    <row r="837" spans="1:32" s="2" customFormat="1">
      <c r="A837" s="551"/>
      <c r="B837" s="551"/>
      <c r="C837" s="551"/>
      <c r="D837" s="551"/>
      <c r="E837" s="551"/>
      <c r="F837" s="551"/>
      <c r="G837" s="551"/>
      <c r="H837" s="551"/>
      <c r="I837" s="551"/>
      <c r="J837" s="551"/>
      <c r="K837" s="551"/>
      <c r="L837" s="551"/>
      <c r="M837" s="551"/>
      <c r="N837" s="551"/>
      <c r="O837" s="551"/>
      <c r="P837" s="551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  <c r="AD837" s="79"/>
      <c r="AE837" s="79"/>
      <c r="AF837" s="79"/>
    </row>
    <row r="838" spans="1:32" s="2" customFormat="1">
      <c r="A838" s="551"/>
      <c r="B838" s="551"/>
      <c r="C838" s="551"/>
      <c r="D838" s="551"/>
      <c r="E838" s="551"/>
      <c r="F838" s="551"/>
      <c r="G838" s="551"/>
      <c r="H838" s="551"/>
      <c r="I838" s="551"/>
      <c r="J838" s="551"/>
      <c r="K838" s="551"/>
      <c r="L838" s="551"/>
      <c r="M838" s="551"/>
      <c r="N838" s="551"/>
      <c r="O838" s="551"/>
      <c r="P838" s="551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  <c r="AD838" s="79"/>
      <c r="AE838" s="79"/>
      <c r="AF838" s="79"/>
    </row>
    <row r="839" spans="1:32" s="2" customFormat="1">
      <c r="A839" s="551"/>
      <c r="B839" s="551"/>
      <c r="C839" s="551"/>
      <c r="D839" s="551"/>
      <c r="E839" s="551"/>
      <c r="F839" s="551"/>
      <c r="G839" s="551"/>
      <c r="H839" s="551"/>
      <c r="I839" s="551"/>
      <c r="J839" s="551"/>
      <c r="K839" s="551"/>
      <c r="L839" s="551"/>
      <c r="M839" s="551"/>
      <c r="N839" s="551"/>
      <c r="O839" s="551"/>
      <c r="P839" s="551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  <c r="AD839" s="79"/>
      <c r="AE839" s="79"/>
      <c r="AF839" s="79"/>
    </row>
    <row r="840" spans="1:32" s="2" customFormat="1">
      <c r="A840" s="551"/>
      <c r="B840" s="551"/>
      <c r="C840" s="551"/>
      <c r="D840" s="551"/>
      <c r="E840" s="551"/>
      <c r="F840" s="551"/>
      <c r="G840" s="551"/>
      <c r="H840" s="551"/>
      <c r="I840" s="551"/>
      <c r="J840" s="551"/>
      <c r="K840" s="551"/>
      <c r="L840" s="551"/>
      <c r="M840" s="551"/>
      <c r="N840" s="551"/>
      <c r="O840" s="551"/>
      <c r="P840" s="551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  <c r="AD840" s="79"/>
      <c r="AE840" s="79"/>
      <c r="AF840" s="79"/>
    </row>
    <row r="841" spans="1:32" s="2" customFormat="1">
      <c r="A841" s="551"/>
      <c r="B841" s="551"/>
      <c r="C841" s="551"/>
      <c r="D841" s="551"/>
      <c r="E841" s="551"/>
      <c r="F841" s="551"/>
      <c r="G841" s="551"/>
      <c r="H841" s="551"/>
      <c r="I841" s="551"/>
      <c r="J841" s="551"/>
      <c r="K841" s="551"/>
      <c r="L841" s="551"/>
      <c r="M841" s="551"/>
      <c r="N841" s="551"/>
      <c r="O841" s="551"/>
      <c r="P841" s="551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  <c r="AD841" s="79"/>
      <c r="AE841" s="79"/>
      <c r="AF841" s="79"/>
    </row>
    <row r="842" spans="1:32" s="2" customFormat="1">
      <c r="A842" s="551"/>
      <c r="B842" s="551"/>
      <c r="C842" s="551"/>
      <c r="D842" s="551"/>
      <c r="E842" s="551"/>
      <c r="F842" s="551"/>
      <c r="G842" s="551"/>
      <c r="H842" s="551"/>
      <c r="I842" s="551"/>
      <c r="J842" s="551"/>
      <c r="K842" s="551"/>
      <c r="L842" s="551"/>
      <c r="M842" s="551"/>
      <c r="N842" s="551"/>
      <c r="O842" s="551"/>
      <c r="P842" s="551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  <c r="AD842" s="79"/>
      <c r="AE842" s="79"/>
      <c r="AF842" s="79"/>
    </row>
    <row r="843" spans="1:32" s="2" customFormat="1">
      <c r="A843" s="551"/>
      <c r="B843" s="551"/>
      <c r="C843" s="551"/>
      <c r="D843" s="551"/>
      <c r="E843" s="551"/>
      <c r="F843" s="551"/>
      <c r="G843" s="551"/>
      <c r="H843" s="551"/>
      <c r="I843" s="551"/>
      <c r="J843" s="551"/>
      <c r="K843" s="551"/>
      <c r="L843" s="551"/>
      <c r="M843" s="551"/>
      <c r="N843" s="551"/>
      <c r="O843" s="551"/>
      <c r="P843" s="551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  <c r="AD843" s="79"/>
      <c r="AE843" s="79"/>
      <c r="AF843" s="79"/>
    </row>
    <row r="844" spans="1:32" s="2" customFormat="1">
      <c r="A844" s="551"/>
      <c r="B844" s="551"/>
      <c r="C844" s="551"/>
      <c r="D844" s="551"/>
      <c r="E844" s="551"/>
      <c r="F844" s="551"/>
      <c r="G844" s="551"/>
      <c r="H844" s="551"/>
      <c r="I844" s="551"/>
      <c r="J844" s="551"/>
      <c r="K844" s="551"/>
      <c r="L844" s="551"/>
      <c r="M844" s="551"/>
      <c r="N844" s="551"/>
      <c r="O844" s="551"/>
      <c r="P844" s="551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  <c r="AD844" s="79"/>
      <c r="AE844" s="79"/>
      <c r="AF844" s="79"/>
    </row>
    <row r="845" spans="1:32" s="2" customFormat="1">
      <c r="A845" s="551"/>
      <c r="B845" s="551"/>
      <c r="C845" s="551"/>
      <c r="D845" s="551"/>
      <c r="E845" s="551"/>
      <c r="F845" s="551"/>
      <c r="G845" s="551"/>
      <c r="H845" s="551"/>
      <c r="I845" s="551"/>
      <c r="J845" s="551"/>
      <c r="K845" s="551"/>
      <c r="L845" s="551"/>
      <c r="M845" s="551"/>
      <c r="N845" s="551"/>
      <c r="O845" s="551"/>
      <c r="P845" s="551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  <c r="AD845" s="79"/>
      <c r="AE845" s="79"/>
      <c r="AF845" s="79"/>
    </row>
    <row r="846" spans="1:32" s="2" customFormat="1">
      <c r="A846" s="551"/>
      <c r="B846" s="551"/>
      <c r="C846" s="551"/>
      <c r="D846" s="551"/>
      <c r="E846" s="551"/>
      <c r="F846" s="551"/>
      <c r="G846" s="551"/>
      <c r="H846" s="551"/>
      <c r="I846" s="551"/>
      <c r="J846" s="551"/>
      <c r="K846" s="551"/>
      <c r="L846" s="551"/>
      <c r="M846" s="551"/>
      <c r="N846" s="551"/>
      <c r="O846" s="551"/>
      <c r="P846" s="551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  <c r="AD846" s="79"/>
      <c r="AE846" s="79"/>
      <c r="AF846" s="79"/>
    </row>
    <row r="847" spans="1:32" s="2" customFormat="1">
      <c r="A847" s="551"/>
      <c r="B847" s="551"/>
      <c r="C847" s="551"/>
      <c r="D847" s="551"/>
      <c r="E847" s="551"/>
      <c r="F847" s="551"/>
      <c r="G847" s="551"/>
      <c r="H847" s="551"/>
      <c r="I847" s="551"/>
      <c r="J847" s="551"/>
      <c r="K847" s="551"/>
      <c r="L847" s="551"/>
      <c r="M847" s="551"/>
      <c r="N847" s="551"/>
      <c r="O847" s="551"/>
      <c r="P847" s="551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  <c r="AD847" s="79"/>
      <c r="AE847" s="79"/>
      <c r="AF847" s="79"/>
    </row>
    <row r="848" spans="1:32" s="2" customFormat="1">
      <c r="A848" s="551"/>
      <c r="B848" s="551"/>
      <c r="C848" s="551"/>
      <c r="D848" s="551"/>
      <c r="E848" s="551"/>
      <c r="F848" s="551"/>
      <c r="G848" s="551"/>
      <c r="H848" s="551"/>
      <c r="I848" s="551"/>
      <c r="J848" s="551"/>
      <c r="K848" s="551"/>
      <c r="L848" s="551"/>
      <c r="M848" s="551"/>
      <c r="N848" s="551"/>
      <c r="O848" s="551"/>
      <c r="P848" s="551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  <c r="AD848" s="79"/>
      <c r="AE848" s="79"/>
      <c r="AF848" s="79"/>
    </row>
    <row r="849" spans="1:32" s="2" customFormat="1">
      <c r="A849" s="551"/>
      <c r="B849" s="551"/>
      <c r="C849" s="551"/>
      <c r="D849" s="551"/>
      <c r="E849" s="551"/>
      <c r="F849" s="551"/>
      <c r="G849" s="551"/>
      <c r="H849" s="551"/>
      <c r="I849" s="551"/>
      <c r="J849" s="551"/>
      <c r="K849" s="551"/>
      <c r="L849" s="551"/>
      <c r="M849" s="551"/>
      <c r="N849" s="551"/>
      <c r="O849" s="551"/>
      <c r="P849" s="551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  <c r="AD849" s="79"/>
      <c r="AE849" s="79"/>
      <c r="AF849" s="79"/>
    </row>
    <row r="850" spans="1:32" s="2" customFormat="1">
      <c r="A850" s="551"/>
      <c r="B850" s="551"/>
      <c r="C850" s="551"/>
      <c r="D850" s="551"/>
      <c r="E850" s="551"/>
      <c r="F850" s="551"/>
      <c r="G850" s="551"/>
      <c r="H850" s="551"/>
      <c r="I850" s="551"/>
      <c r="J850" s="551"/>
      <c r="K850" s="551"/>
      <c r="L850" s="551"/>
      <c r="M850" s="551"/>
      <c r="N850" s="551"/>
      <c r="O850" s="551"/>
      <c r="P850" s="551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  <c r="AD850" s="79"/>
      <c r="AE850" s="79"/>
      <c r="AF850" s="79"/>
    </row>
    <row r="851" spans="1:32" s="2" customFormat="1">
      <c r="A851" s="551"/>
      <c r="B851" s="551"/>
      <c r="C851" s="551"/>
      <c r="D851" s="551"/>
      <c r="E851" s="551"/>
      <c r="F851" s="551"/>
      <c r="G851" s="551"/>
      <c r="H851" s="551"/>
      <c r="I851" s="551"/>
      <c r="J851" s="551"/>
      <c r="K851" s="551"/>
      <c r="L851" s="551"/>
      <c r="M851" s="551"/>
      <c r="N851" s="551"/>
      <c r="O851" s="551"/>
      <c r="P851" s="551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  <c r="AD851" s="79"/>
      <c r="AE851" s="79"/>
      <c r="AF851" s="79"/>
    </row>
    <row r="852" spans="1:32" s="2" customFormat="1">
      <c r="A852" s="551"/>
      <c r="B852" s="551"/>
      <c r="C852" s="551"/>
      <c r="D852" s="551"/>
      <c r="E852" s="551"/>
      <c r="F852" s="551"/>
      <c r="G852" s="551"/>
      <c r="H852" s="551"/>
      <c r="I852" s="551"/>
      <c r="J852" s="551"/>
      <c r="K852" s="551"/>
      <c r="L852" s="551"/>
      <c r="M852" s="551"/>
      <c r="N852" s="551"/>
      <c r="O852" s="551"/>
      <c r="P852" s="551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  <c r="AD852" s="79"/>
      <c r="AE852" s="79"/>
      <c r="AF852" s="79"/>
    </row>
    <row r="853" spans="1:32" s="2" customFormat="1">
      <c r="A853" s="551"/>
      <c r="B853" s="551"/>
      <c r="C853" s="551"/>
      <c r="D853" s="551"/>
      <c r="E853" s="551"/>
      <c r="F853" s="551"/>
      <c r="G853" s="551"/>
      <c r="H853" s="551"/>
      <c r="I853" s="551"/>
      <c r="J853" s="551"/>
      <c r="K853" s="551"/>
      <c r="L853" s="551"/>
      <c r="M853" s="551"/>
      <c r="N853" s="551"/>
      <c r="O853" s="551"/>
      <c r="P853" s="551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  <c r="AD853" s="79"/>
      <c r="AE853" s="79"/>
      <c r="AF853" s="79"/>
    </row>
    <row r="854" spans="1:32" s="2" customFormat="1">
      <c r="A854" s="551"/>
      <c r="B854" s="551"/>
      <c r="C854" s="551"/>
      <c r="D854" s="551"/>
      <c r="E854" s="551"/>
      <c r="F854" s="551"/>
      <c r="G854" s="551"/>
      <c r="H854" s="551"/>
      <c r="I854" s="551"/>
      <c r="J854" s="551"/>
      <c r="K854" s="551"/>
      <c r="L854" s="551"/>
      <c r="M854" s="551"/>
      <c r="N854" s="551"/>
      <c r="O854" s="551"/>
      <c r="P854" s="551"/>
      <c r="Q854" s="79"/>
      <c r="R854" s="79"/>
      <c r="S854" s="79"/>
      <c r="T854" s="79"/>
      <c r="U854" s="79"/>
      <c r="V854" s="79"/>
      <c r="W854" s="79"/>
      <c r="X854" s="79"/>
      <c r="Y854" s="79"/>
      <c r="Z854" s="79"/>
      <c r="AA854" s="79"/>
      <c r="AB854" s="79"/>
      <c r="AC854" s="79"/>
      <c r="AD854" s="79"/>
      <c r="AE854" s="79"/>
      <c r="AF854" s="79"/>
    </row>
    <row r="855" spans="1:32" s="2" customFormat="1">
      <c r="A855" s="551"/>
      <c r="B855" s="551"/>
      <c r="C855" s="551"/>
      <c r="D855" s="551"/>
      <c r="E855" s="551"/>
      <c r="F855" s="551"/>
      <c r="G855" s="551"/>
      <c r="H855" s="551"/>
      <c r="I855" s="551"/>
      <c r="J855" s="551"/>
      <c r="K855" s="551"/>
      <c r="L855" s="551"/>
      <c r="M855" s="551"/>
      <c r="N855" s="551"/>
      <c r="O855" s="551"/>
      <c r="P855" s="551"/>
      <c r="Q855" s="79"/>
      <c r="R855" s="79"/>
      <c r="S855" s="79"/>
      <c r="T855" s="79"/>
      <c r="U855" s="79"/>
      <c r="V855" s="79"/>
      <c r="W855" s="79"/>
      <c r="X855" s="79"/>
      <c r="Y855" s="79"/>
      <c r="Z855" s="79"/>
      <c r="AA855" s="79"/>
      <c r="AB855" s="79"/>
      <c r="AC855" s="79"/>
      <c r="AD855" s="79"/>
      <c r="AE855" s="79"/>
      <c r="AF855" s="79"/>
    </row>
    <row r="856" spans="1:32" s="2" customFormat="1">
      <c r="A856" s="551"/>
      <c r="B856" s="551"/>
      <c r="C856" s="551"/>
      <c r="D856" s="551"/>
      <c r="E856" s="551"/>
      <c r="F856" s="551"/>
      <c r="G856" s="551"/>
      <c r="H856" s="551"/>
      <c r="I856" s="551"/>
      <c r="J856" s="551"/>
      <c r="K856" s="551"/>
      <c r="L856" s="551"/>
      <c r="M856" s="551"/>
      <c r="N856" s="551"/>
      <c r="O856" s="551"/>
      <c r="P856" s="551"/>
      <c r="Q856" s="79"/>
      <c r="R856" s="79"/>
      <c r="S856" s="79"/>
      <c r="T856" s="79"/>
      <c r="U856" s="79"/>
      <c r="V856" s="79"/>
      <c r="W856" s="79"/>
      <c r="X856" s="79"/>
      <c r="Y856" s="79"/>
      <c r="Z856" s="79"/>
      <c r="AA856" s="79"/>
      <c r="AB856" s="79"/>
      <c r="AC856" s="79"/>
      <c r="AD856" s="79"/>
      <c r="AE856" s="79"/>
      <c r="AF856" s="79"/>
    </row>
    <row r="857" spans="1:32" s="2" customFormat="1">
      <c r="A857" s="551"/>
      <c r="B857" s="551"/>
      <c r="C857" s="551"/>
      <c r="D857" s="551"/>
      <c r="E857" s="551"/>
      <c r="F857" s="551"/>
      <c r="G857" s="551"/>
      <c r="H857" s="551"/>
      <c r="I857" s="551"/>
      <c r="J857" s="551"/>
      <c r="K857" s="551"/>
      <c r="L857" s="551"/>
      <c r="M857" s="551"/>
      <c r="N857" s="551"/>
      <c r="O857" s="551"/>
      <c r="P857" s="551"/>
      <c r="Q857" s="79"/>
      <c r="R857" s="79"/>
      <c r="S857" s="79"/>
      <c r="T857" s="79"/>
      <c r="U857" s="79"/>
      <c r="V857" s="79"/>
      <c r="W857" s="79"/>
      <c r="X857" s="79"/>
      <c r="Y857" s="79"/>
      <c r="Z857" s="79"/>
      <c r="AA857" s="79"/>
      <c r="AB857" s="79"/>
      <c r="AC857" s="79"/>
      <c r="AD857" s="79"/>
      <c r="AE857" s="79"/>
      <c r="AF857" s="79"/>
    </row>
    <row r="858" spans="1:32" s="2" customFormat="1">
      <c r="A858" s="551"/>
      <c r="B858" s="551"/>
      <c r="C858" s="551"/>
      <c r="D858" s="551"/>
      <c r="E858" s="551"/>
      <c r="F858" s="551"/>
      <c r="G858" s="551"/>
      <c r="H858" s="551"/>
      <c r="I858" s="551"/>
      <c r="J858" s="551"/>
      <c r="K858" s="551"/>
      <c r="L858" s="551"/>
      <c r="M858" s="551"/>
      <c r="N858" s="551"/>
      <c r="O858" s="551"/>
      <c r="P858" s="551"/>
      <c r="Q858" s="79"/>
      <c r="R858" s="79"/>
      <c r="S858" s="79"/>
      <c r="T858" s="79"/>
      <c r="U858" s="79"/>
      <c r="V858" s="79"/>
      <c r="W858" s="79"/>
      <c r="X858" s="79"/>
      <c r="Y858" s="79"/>
      <c r="Z858" s="79"/>
      <c r="AA858" s="79"/>
      <c r="AB858" s="79"/>
      <c r="AC858" s="79"/>
      <c r="AD858" s="79"/>
      <c r="AE858" s="79"/>
      <c r="AF858" s="79"/>
    </row>
    <row r="859" spans="1:32" s="2" customFormat="1">
      <c r="A859" s="551"/>
      <c r="B859" s="551"/>
      <c r="C859" s="551"/>
      <c r="D859" s="551"/>
      <c r="E859" s="551"/>
      <c r="F859" s="551"/>
      <c r="G859" s="551"/>
      <c r="H859" s="551"/>
      <c r="I859" s="551"/>
      <c r="J859" s="551"/>
      <c r="K859" s="551"/>
      <c r="L859" s="551"/>
      <c r="M859" s="551"/>
      <c r="N859" s="551"/>
      <c r="O859" s="551"/>
      <c r="P859" s="551"/>
      <c r="Q859" s="79"/>
      <c r="R859" s="79"/>
      <c r="S859" s="79"/>
      <c r="T859" s="79"/>
      <c r="U859" s="79"/>
      <c r="V859" s="79"/>
      <c r="W859" s="79"/>
      <c r="X859" s="79"/>
      <c r="Y859" s="79"/>
      <c r="Z859" s="79"/>
      <c r="AA859" s="79"/>
      <c r="AB859" s="79"/>
      <c r="AC859" s="79"/>
      <c r="AD859" s="79"/>
      <c r="AE859" s="79"/>
      <c r="AF859" s="79"/>
    </row>
    <row r="860" spans="1:32" s="2" customFormat="1">
      <c r="A860" s="551"/>
      <c r="B860" s="551"/>
      <c r="C860" s="551"/>
      <c r="D860" s="551"/>
      <c r="E860" s="551"/>
      <c r="F860" s="551"/>
      <c r="G860" s="551"/>
      <c r="H860" s="551"/>
      <c r="I860" s="551"/>
      <c r="J860" s="551"/>
      <c r="K860" s="551"/>
      <c r="L860" s="551"/>
      <c r="M860" s="551"/>
      <c r="N860" s="551"/>
      <c r="O860" s="551"/>
      <c r="P860" s="551"/>
      <c r="Q860" s="79"/>
      <c r="R860" s="79"/>
      <c r="S860" s="79"/>
      <c r="T860" s="79"/>
      <c r="U860" s="79"/>
      <c r="V860" s="79"/>
      <c r="W860" s="79"/>
      <c r="X860" s="79"/>
      <c r="Y860" s="79"/>
      <c r="Z860" s="79"/>
      <c r="AA860" s="79"/>
      <c r="AB860" s="79"/>
      <c r="AC860" s="79"/>
      <c r="AD860" s="79"/>
      <c r="AE860" s="79"/>
      <c r="AF860" s="79"/>
    </row>
    <row r="861" spans="1:32" s="2" customFormat="1">
      <c r="A861" s="551"/>
      <c r="B861" s="551"/>
      <c r="C861" s="551"/>
      <c r="D861" s="551"/>
      <c r="E861" s="551"/>
      <c r="F861" s="551"/>
      <c r="G861" s="551"/>
      <c r="H861" s="551"/>
      <c r="I861" s="551"/>
      <c r="J861" s="551"/>
      <c r="K861" s="551"/>
      <c r="L861" s="551"/>
      <c r="M861" s="551"/>
      <c r="N861" s="551"/>
      <c r="O861" s="551"/>
      <c r="P861" s="551"/>
      <c r="Q861" s="79"/>
      <c r="R861" s="79"/>
      <c r="S861" s="79"/>
      <c r="T861" s="79"/>
      <c r="U861" s="79"/>
      <c r="V861" s="79"/>
      <c r="W861" s="79"/>
      <c r="X861" s="79"/>
      <c r="Y861" s="79"/>
      <c r="Z861" s="79"/>
      <c r="AA861" s="79"/>
      <c r="AB861" s="79"/>
      <c r="AC861" s="79"/>
      <c r="AD861" s="79"/>
      <c r="AE861" s="79"/>
      <c r="AF861" s="79"/>
    </row>
    <row r="862" spans="1:32" s="2" customFormat="1">
      <c r="A862" s="551"/>
      <c r="B862" s="551"/>
      <c r="C862" s="551"/>
      <c r="D862" s="551"/>
      <c r="E862" s="551"/>
      <c r="F862" s="551"/>
      <c r="G862" s="551"/>
      <c r="H862" s="551"/>
      <c r="I862" s="551"/>
      <c r="J862" s="551"/>
      <c r="K862" s="551"/>
      <c r="L862" s="551"/>
      <c r="M862" s="551"/>
      <c r="N862" s="551"/>
      <c r="O862" s="551"/>
      <c r="P862" s="551"/>
      <c r="Q862" s="79"/>
      <c r="R862" s="79"/>
      <c r="S862" s="79"/>
      <c r="T862" s="79"/>
      <c r="U862" s="79"/>
      <c r="V862" s="79"/>
      <c r="W862" s="79"/>
      <c r="X862" s="79"/>
      <c r="Y862" s="79"/>
      <c r="Z862" s="79"/>
      <c r="AA862" s="79"/>
      <c r="AB862" s="79"/>
      <c r="AC862" s="79"/>
      <c r="AD862" s="79"/>
      <c r="AE862" s="79"/>
      <c r="AF862" s="79"/>
    </row>
    <row r="863" spans="1:32" s="2" customFormat="1">
      <c r="A863" s="551"/>
      <c r="B863" s="551"/>
      <c r="C863" s="551"/>
      <c r="D863" s="551"/>
      <c r="E863" s="551"/>
      <c r="F863" s="551"/>
      <c r="G863" s="551"/>
      <c r="H863" s="551"/>
      <c r="I863" s="551"/>
      <c r="J863" s="551"/>
      <c r="K863" s="551"/>
      <c r="L863" s="551"/>
      <c r="M863" s="551"/>
      <c r="N863" s="551"/>
      <c r="O863" s="551"/>
      <c r="P863" s="551"/>
      <c r="Q863" s="79"/>
      <c r="R863" s="79"/>
      <c r="S863" s="79"/>
      <c r="T863" s="79"/>
      <c r="U863" s="79"/>
      <c r="V863" s="79"/>
      <c r="W863" s="79"/>
      <c r="X863" s="79"/>
      <c r="Y863" s="79"/>
      <c r="Z863" s="79"/>
      <c r="AA863" s="79"/>
      <c r="AB863" s="79"/>
      <c r="AC863" s="79"/>
      <c r="AD863" s="79"/>
      <c r="AE863" s="79"/>
      <c r="AF863" s="79"/>
    </row>
    <row r="864" spans="1:32" s="2" customFormat="1">
      <c r="A864" s="551"/>
      <c r="B864" s="551"/>
      <c r="C864" s="551"/>
      <c r="D864" s="551"/>
      <c r="E864" s="551"/>
      <c r="F864" s="551"/>
      <c r="G864" s="551"/>
      <c r="H864" s="551"/>
      <c r="I864" s="551"/>
      <c r="J864" s="551"/>
      <c r="K864" s="551"/>
      <c r="L864" s="551"/>
      <c r="M864" s="551"/>
      <c r="N864" s="551"/>
      <c r="O864" s="551"/>
      <c r="P864" s="551"/>
      <c r="Q864" s="79"/>
      <c r="R864" s="79"/>
      <c r="S864" s="79"/>
      <c r="T864" s="79"/>
      <c r="U864" s="79"/>
      <c r="V864" s="79"/>
      <c r="W864" s="79"/>
      <c r="X864" s="79"/>
      <c r="Y864" s="79"/>
      <c r="Z864" s="79"/>
      <c r="AA864" s="79"/>
      <c r="AB864" s="79"/>
      <c r="AC864" s="79"/>
      <c r="AD864" s="79"/>
      <c r="AE864" s="79"/>
      <c r="AF864" s="79"/>
    </row>
    <row r="865" spans="1:32" s="2" customFormat="1">
      <c r="A865" s="551"/>
      <c r="B865" s="551"/>
      <c r="C865" s="551"/>
      <c r="D865" s="551"/>
      <c r="E865" s="551"/>
      <c r="F865" s="551"/>
      <c r="G865" s="551"/>
      <c r="H865" s="551"/>
      <c r="I865" s="551"/>
      <c r="J865" s="551"/>
      <c r="K865" s="551"/>
      <c r="L865" s="551"/>
      <c r="M865" s="551"/>
      <c r="N865" s="551"/>
      <c r="O865" s="551"/>
      <c r="P865" s="551"/>
      <c r="Q865" s="79"/>
      <c r="R865" s="79"/>
      <c r="S865" s="79"/>
      <c r="T865" s="79"/>
      <c r="U865" s="79"/>
      <c r="V865" s="79"/>
      <c r="W865" s="79"/>
      <c r="X865" s="79"/>
      <c r="Y865" s="79"/>
      <c r="Z865" s="79"/>
      <c r="AA865" s="79"/>
      <c r="AB865" s="79"/>
      <c r="AC865" s="79"/>
      <c r="AD865" s="79"/>
      <c r="AE865" s="79"/>
      <c r="AF865" s="79"/>
    </row>
    <row r="866" spans="1:32" s="2" customFormat="1">
      <c r="A866" s="551"/>
      <c r="B866" s="551"/>
      <c r="C866" s="551"/>
      <c r="D866" s="551"/>
      <c r="E866" s="551"/>
      <c r="F866" s="551"/>
      <c r="G866" s="551"/>
      <c r="H866" s="551"/>
      <c r="I866" s="551"/>
      <c r="J866" s="551"/>
      <c r="K866" s="551"/>
      <c r="L866" s="551"/>
      <c r="M866" s="551"/>
      <c r="N866" s="551"/>
      <c r="O866" s="551"/>
      <c r="P866" s="551"/>
      <c r="Q866" s="79"/>
      <c r="R866" s="79"/>
      <c r="S866" s="79"/>
      <c r="T866" s="79"/>
      <c r="U866" s="79"/>
      <c r="V866" s="79"/>
      <c r="W866" s="79"/>
      <c r="X866" s="79"/>
      <c r="Y866" s="79"/>
      <c r="Z866" s="79"/>
      <c r="AA866" s="79"/>
      <c r="AB866" s="79"/>
      <c r="AC866" s="79"/>
      <c r="AD866" s="79"/>
      <c r="AE866" s="79"/>
      <c r="AF866" s="79"/>
    </row>
    <row r="867" spans="1:32" s="2" customFormat="1">
      <c r="A867" s="551"/>
      <c r="B867" s="551"/>
      <c r="C867" s="551"/>
      <c r="D867" s="551"/>
      <c r="E867" s="551"/>
      <c r="F867" s="551"/>
      <c r="G867" s="551"/>
      <c r="H867" s="551"/>
      <c r="I867" s="551"/>
      <c r="J867" s="551"/>
      <c r="K867" s="551"/>
      <c r="L867" s="551"/>
      <c r="M867" s="551"/>
      <c r="N867" s="551"/>
      <c r="O867" s="551"/>
      <c r="P867" s="551"/>
      <c r="Q867" s="79"/>
      <c r="R867" s="79"/>
      <c r="S867" s="79"/>
      <c r="T867" s="79"/>
      <c r="U867" s="79"/>
      <c r="V867" s="79"/>
      <c r="W867" s="79"/>
      <c r="X867" s="79"/>
      <c r="Y867" s="79"/>
      <c r="Z867" s="79"/>
      <c r="AA867" s="79"/>
      <c r="AB867" s="79"/>
      <c r="AC867" s="79"/>
      <c r="AD867" s="79"/>
      <c r="AE867" s="79"/>
      <c r="AF867" s="79"/>
    </row>
    <row r="868" spans="1:32" s="2" customFormat="1">
      <c r="A868" s="551"/>
      <c r="B868" s="551"/>
      <c r="C868" s="551"/>
      <c r="D868" s="551"/>
      <c r="E868" s="551"/>
      <c r="F868" s="551"/>
      <c r="G868" s="551"/>
      <c r="H868" s="551"/>
      <c r="I868" s="551"/>
      <c r="J868" s="551"/>
      <c r="K868" s="551"/>
      <c r="L868" s="551"/>
      <c r="M868" s="551"/>
      <c r="N868" s="551"/>
      <c r="O868" s="551"/>
      <c r="P868" s="551"/>
      <c r="Q868" s="79"/>
      <c r="R868" s="79"/>
      <c r="S868" s="79"/>
      <c r="T868" s="79"/>
      <c r="U868" s="79"/>
      <c r="V868" s="79"/>
      <c r="W868" s="79"/>
      <c r="X868" s="79"/>
      <c r="Y868" s="79"/>
      <c r="Z868" s="79"/>
      <c r="AA868" s="79"/>
      <c r="AB868" s="79"/>
      <c r="AC868" s="79"/>
      <c r="AD868" s="79"/>
      <c r="AE868" s="79"/>
      <c r="AF868" s="79"/>
    </row>
    <row r="869" spans="1:32" s="2" customFormat="1">
      <c r="A869" s="551"/>
      <c r="B869" s="551"/>
      <c r="C869" s="551"/>
      <c r="D869" s="551"/>
      <c r="E869" s="551"/>
      <c r="F869" s="551"/>
      <c r="G869" s="551"/>
      <c r="H869" s="551"/>
      <c r="I869" s="551"/>
      <c r="J869" s="551"/>
      <c r="K869" s="551"/>
      <c r="L869" s="551"/>
      <c r="M869" s="551"/>
      <c r="N869" s="551"/>
      <c r="O869" s="551"/>
      <c r="P869" s="551"/>
      <c r="Q869" s="79"/>
      <c r="R869" s="79"/>
      <c r="S869" s="79"/>
      <c r="T869" s="79"/>
      <c r="U869" s="79"/>
      <c r="V869" s="79"/>
      <c r="W869" s="79"/>
      <c r="X869" s="79"/>
      <c r="Y869" s="79"/>
      <c r="Z869" s="79"/>
      <c r="AA869" s="79"/>
      <c r="AB869" s="79"/>
      <c r="AC869" s="79"/>
      <c r="AD869" s="79"/>
      <c r="AE869" s="79"/>
      <c r="AF869" s="79"/>
    </row>
    <row r="870" spans="1:32" s="2" customFormat="1">
      <c r="A870" s="551"/>
      <c r="B870" s="551"/>
      <c r="C870" s="551"/>
      <c r="D870" s="551"/>
      <c r="E870" s="551"/>
      <c r="F870" s="551"/>
      <c r="G870" s="551"/>
      <c r="H870" s="551"/>
      <c r="I870" s="551"/>
      <c r="J870" s="551"/>
      <c r="K870" s="551"/>
      <c r="L870" s="551"/>
      <c r="M870" s="551"/>
      <c r="N870" s="551"/>
      <c r="O870" s="551"/>
      <c r="P870" s="551"/>
      <c r="Q870" s="79"/>
      <c r="R870" s="79"/>
      <c r="S870" s="79"/>
      <c r="T870" s="79"/>
      <c r="U870" s="79"/>
      <c r="V870" s="79"/>
      <c r="W870" s="79"/>
      <c r="X870" s="79"/>
      <c r="Y870" s="79"/>
      <c r="Z870" s="79"/>
      <c r="AA870" s="79"/>
      <c r="AB870" s="79"/>
      <c r="AC870" s="79"/>
      <c r="AD870" s="79"/>
      <c r="AE870" s="79"/>
      <c r="AF870" s="79"/>
    </row>
    <row r="871" spans="1:32" s="2" customFormat="1">
      <c r="A871" s="551"/>
      <c r="B871" s="551"/>
      <c r="C871" s="551"/>
      <c r="D871" s="551"/>
      <c r="E871" s="551"/>
      <c r="F871" s="551"/>
      <c r="G871" s="551"/>
      <c r="H871" s="551"/>
      <c r="I871" s="551"/>
      <c r="J871" s="551"/>
      <c r="K871" s="551"/>
      <c r="L871" s="551"/>
      <c r="M871" s="551"/>
      <c r="N871" s="551"/>
      <c r="O871" s="551"/>
      <c r="P871" s="551"/>
      <c r="Q871" s="79"/>
      <c r="R871" s="79"/>
      <c r="S871" s="79"/>
      <c r="T871" s="79"/>
      <c r="U871" s="79"/>
      <c r="V871" s="79"/>
      <c r="W871" s="79"/>
      <c r="X871" s="79"/>
      <c r="Y871" s="79"/>
      <c r="Z871" s="79"/>
      <c r="AA871" s="79"/>
      <c r="AB871" s="79"/>
      <c r="AC871" s="79"/>
      <c r="AD871" s="79"/>
      <c r="AE871" s="79"/>
      <c r="AF871" s="79"/>
    </row>
    <row r="872" spans="1:32" s="2" customFormat="1">
      <c r="A872" s="551"/>
      <c r="B872" s="551"/>
      <c r="C872" s="551"/>
      <c r="D872" s="551"/>
      <c r="E872" s="551"/>
      <c r="F872" s="551"/>
      <c r="G872" s="551"/>
      <c r="H872" s="551"/>
      <c r="I872" s="551"/>
      <c r="J872" s="551"/>
      <c r="K872" s="551"/>
      <c r="L872" s="551"/>
      <c r="M872" s="551"/>
      <c r="N872" s="551"/>
      <c r="O872" s="551"/>
      <c r="P872" s="551"/>
      <c r="Q872" s="79"/>
      <c r="R872" s="79"/>
      <c r="S872" s="79"/>
      <c r="T872" s="79"/>
      <c r="U872" s="79"/>
      <c r="V872" s="79"/>
      <c r="W872" s="79"/>
      <c r="X872" s="79"/>
      <c r="Y872" s="79"/>
      <c r="Z872" s="79"/>
      <c r="AA872" s="79"/>
      <c r="AB872" s="79"/>
      <c r="AC872" s="79"/>
      <c r="AD872" s="79"/>
      <c r="AE872" s="79"/>
      <c r="AF872" s="79"/>
    </row>
    <row r="873" spans="1:32" s="2" customFormat="1">
      <c r="A873" s="551"/>
      <c r="B873" s="551"/>
      <c r="C873" s="551"/>
      <c r="D873" s="551"/>
      <c r="E873" s="551"/>
      <c r="F873" s="551"/>
      <c r="G873" s="551"/>
      <c r="H873" s="551"/>
      <c r="I873" s="551"/>
      <c r="J873" s="551"/>
      <c r="K873" s="551"/>
      <c r="L873" s="551"/>
      <c r="M873" s="551"/>
      <c r="N873" s="551"/>
      <c r="O873" s="551"/>
      <c r="P873" s="551"/>
      <c r="Q873" s="79"/>
      <c r="R873" s="79"/>
      <c r="S873" s="79"/>
      <c r="T873" s="79"/>
      <c r="U873" s="79"/>
      <c r="V873" s="79"/>
      <c r="W873" s="79"/>
      <c r="X873" s="79"/>
      <c r="Y873" s="79"/>
      <c r="Z873" s="79"/>
      <c r="AA873" s="79"/>
      <c r="AB873" s="79"/>
      <c r="AC873" s="79"/>
      <c r="AD873" s="79"/>
      <c r="AE873" s="79"/>
      <c r="AF873" s="79"/>
    </row>
    <row r="874" spans="1:32" s="2" customFormat="1">
      <c r="A874" s="551"/>
      <c r="B874" s="551"/>
      <c r="C874" s="551"/>
      <c r="D874" s="551"/>
      <c r="E874" s="551"/>
      <c r="F874" s="551"/>
      <c r="G874" s="551"/>
      <c r="H874" s="551"/>
      <c r="I874" s="551"/>
      <c r="J874" s="551"/>
      <c r="K874" s="551"/>
      <c r="L874" s="551"/>
      <c r="M874" s="551"/>
      <c r="N874" s="551"/>
      <c r="O874" s="551"/>
      <c r="P874" s="551"/>
      <c r="Q874" s="79"/>
      <c r="R874" s="79"/>
      <c r="S874" s="79"/>
      <c r="T874" s="79"/>
      <c r="U874" s="79"/>
      <c r="V874" s="79"/>
      <c r="W874" s="79"/>
      <c r="X874" s="79"/>
      <c r="Y874" s="79"/>
      <c r="Z874" s="79"/>
      <c r="AA874" s="79"/>
      <c r="AB874" s="79"/>
      <c r="AC874" s="79"/>
      <c r="AD874" s="79"/>
      <c r="AE874" s="79"/>
      <c r="AF874" s="79"/>
    </row>
    <row r="875" spans="1:32" s="2" customFormat="1">
      <c r="A875" s="551"/>
      <c r="B875" s="551"/>
      <c r="C875" s="551"/>
      <c r="D875" s="551"/>
      <c r="E875" s="551"/>
      <c r="F875" s="551"/>
      <c r="G875" s="551"/>
      <c r="H875" s="551"/>
      <c r="I875" s="551"/>
      <c r="J875" s="551"/>
      <c r="K875" s="551"/>
      <c r="L875" s="551"/>
      <c r="M875" s="551"/>
      <c r="N875" s="551"/>
      <c r="O875" s="551"/>
      <c r="P875" s="551"/>
      <c r="Q875" s="79"/>
      <c r="R875" s="79"/>
      <c r="S875" s="79"/>
      <c r="T875" s="79"/>
      <c r="U875" s="79"/>
      <c r="V875" s="79"/>
      <c r="W875" s="79"/>
      <c r="X875" s="79"/>
      <c r="Y875" s="79"/>
      <c r="Z875" s="79"/>
      <c r="AA875" s="79"/>
      <c r="AB875" s="79"/>
      <c r="AC875" s="79"/>
      <c r="AD875" s="79"/>
      <c r="AE875" s="79"/>
      <c r="AF875" s="79"/>
    </row>
    <row r="876" spans="1:32" s="2" customFormat="1">
      <c r="A876" s="551"/>
      <c r="B876" s="551"/>
      <c r="C876" s="551"/>
      <c r="D876" s="551"/>
      <c r="E876" s="551"/>
      <c r="F876" s="551"/>
      <c r="G876" s="551"/>
      <c r="H876" s="551"/>
      <c r="I876" s="551"/>
      <c r="J876" s="551"/>
      <c r="K876" s="551"/>
      <c r="L876" s="551"/>
      <c r="M876" s="551"/>
      <c r="N876" s="551"/>
      <c r="O876" s="551"/>
      <c r="P876" s="551"/>
      <c r="Q876" s="79"/>
      <c r="R876" s="79"/>
      <c r="S876" s="79"/>
      <c r="T876" s="79"/>
      <c r="U876" s="79"/>
      <c r="V876" s="79"/>
      <c r="W876" s="79"/>
      <c r="X876" s="79"/>
      <c r="Y876" s="79"/>
      <c r="Z876" s="79"/>
      <c r="AA876" s="79"/>
      <c r="AB876" s="79"/>
      <c r="AC876" s="79"/>
      <c r="AD876" s="79"/>
      <c r="AE876" s="79"/>
      <c r="AF876" s="79"/>
    </row>
    <row r="877" spans="1:32" s="2" customFormat="1">
      <c r="A877" s="551"/>
      <c r="B877" s="551"/>
      <c r="C877" s="551"/>
      <c r="D877" s="551"/>
      <c r="E877" s="551"/>
      <c r="F877" s="551"/>
      <c r="G877" s="551"/>
      <c r="H877" s="551"/>
      <c r="I877" s="551"/>
      <c r="J877" s="551"/>
      <c r="K877" s="551"/>
      <c r="L877" s="551"/>
      <c r="M877" s="551"/>
      <c r="N877" s="551"/>
      <c r="O877" s="551"/>
      <c r="P877" s="551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  <c r="AD877" s="79"/>
      <c r="AE877" s="79"/>
      <c r="AF877" s="79"/>
    </row>
    <row r="878" spans="1:32" s="2" customFormat="1">
      <c r="A878" s="551"/>
      <c r="B878" s="551"/>
      <c r="C878" s="551"/>
      <c r="D878" s="551"/>
      <c r="E878" s="551"/>
      <c r="F878" s="551"/>
      <c r="G878" s="551"/>
      <c r="H878" s="551"/>
      <c r="I878" s="551"/>
      <c r="J878" s="551"/>
      <c r="K878" s="551"/>
      <c r="L878" s="551"/>
      <c r="M878" s="551"/>
      <c r="N878" s="551"/>
      <c r="O878" s="551"/>
      <c r="P878" s="551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  <c r="AD878" s="79"/>
      <c r="AE878" s="79"/>
      <c r="AF878" s="79"/>
    </row>
    <row r="879" spans="1:32" s="2" customFormat="1">
      <c r="A879" s="551"/>
      <c r="B879" s="551"/>
      <c r="C879" s="551"/>
      <c r="D879" s="551"/>
      <c r="E879" s="551"/>
      <c r="F879" s="551"/>
      <c r="G879" s="551"/>
      <c r="H879" s="551"/>
      <c r="I879" s="551"/>
      <c r="J879" s="551"/>
      <c r="K879" s="551"/>
      <c r="L879" s="551"/>
      <c r="M879" s="551"/>
      <c r="N879" s="551"/>
      <c r="O879" s="551"/>
      <c r="P879" s="551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  <c r="AD879" s="79"/>
      <c r="AE879" s="79"/>
      <c r="AF879" s="79"/>
    </row>
    <row r="880" spans="1:32" s="2" customFormat="1">
      <c r="A880" s="551"/>
      <c r="B880" s="551"/>
      <c r="C880" s="551"/>
      <c r="D880" s="551"/>
      <c r="E880" s="551"/>
      <c r="F880" s="551"/>
      <c r="G880" s="551"/>
      <c r="H880" s="551"/>
      <c r="I880" s="551"/>
      <c r="J880" s="551"/>
      <c r="K880" s="551"/>
      <c r="L880" s="551"/>
      <c r="M880" s="551"/>
      <c r="N880" s="551"/>
      <c r="O880" s="551"/>
      <c r="P880" s="551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  <c r="AD880" s="79"/>
      <c r="AE880" s="79"/>
      <c r="AF880" s="79"/>
    </row>
    <row r="881" spans="1:32" s="2" customFormat="1">
      <c r="A881" s="551"/>
      <c r="B881" s="551"/>
      <c r="C881" s="551"/>
      <c r="D881" s="551"/>
      <c r="E881" s="551"/>
      <c r="F881" s="551"/>
      <c r="G881" s="551"/>
      <c r="H881" s="551"/>
      <c r="I881" s="551"/>
      <c r="J881" s="551"/>
      <c r="K881" s="551"/>
      <c r="L881" s="551"/>
      <c r="M881" s="551"/>
      <c r="N881" s="551"/>
      <c r="O881" s="551"/>
      <c r="P881" s="551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  <c r="AD881" s="79"/>
      <c r="AE881" s="79"/>
      <c r="AF881" s="79"/>
    </row>
    <row r="882" spans="1:32" s="2" customFormat="1">
      <c r="A882" s="551"/>
      <c r="B882" s="551"/>
      <c r="C882" s="551"/>
      <c r="D882" s="551"/>
      <c r="E882" s="551"/>
      <c r="F882" s="551"/>
      <c r="G882" s="551"/>
      <c r="H882" s="551"/>
      <c r="I882" s="551"/>
      <c r="J882" s="551"/>
      <c r="K882" s="551"/>
      <c r="L882" s="551"/>
      <c r="M882" s="551"/>
      <c r="N882" s="551"/>
      <c r="O882" s="551"/>
      <c r="P882" s="551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  <c r="AD882" s="79"/>
      <c r="AE882" s="79"/>
      <c r="AF882" s="79"/>
    </row>
    <row r="883" spans="1:32" s="2" customFormat="1">
      <c r="A883" s="551"/>
      <c r="B883" s="551"/>
      <c r="C883" s="551"/>
      <c r="D883" s="551"/>
      <c r="E883" s="551"/>
      <c r="F883" s="551"/>
      <c r="G883" s="551"/>
      <c r="H883" s="551"/>
      <c r="I883" s="551"/>
      <c r="J883" s="551"/>
      <c r="K883" s="551"/>
      <c r="L883" s="551"/>
      <c r="M883" s="551"/>
      <c r="N883" s="551"/>
      <c r="O883" s="551"/>
      <c r="P883" s="551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  <c r="AD883" s="79"/>
      <c r="AE883" s="79"/>
      <c r="AF883" s="79"/>
    </row>
    <row r="884" spans="1:32" s="2" customFormat="1">
      <c r="A884" s="551"/>
      <c r="B884" s="551"/>
      <c r="C884" s="551"/>
      <c r="D884" s="551"/>
      <c r="E884" s="551"/>
      <c r="F884" s="551"/>
      <c r="G884" s="551"/>
      <c r="H884" s="551"/>
      <c r="I884" s="551"/>
      <c r="J884" s="551"/>
      <c r="K884" s="551"/>
      <c r="L884" s="551"/>
      <c r="M884" s="551"/>
      <c r="N884" s="551"/>
      <c r="O884" s="551"/>
      <c r="P884" s="551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  <c r="AD884" s="79"/>
      <c r="AE884" s="79"/>
      <c r="AF884" s="79"/>
    </row>
    <row r="885" spans="1:32" s="2" customFormat="1">
      <c r="A885" s="551"/>
      <c r="B885" s="551"/>
      <c r="C885" s="551"/>
      <c r="D885" s="551"/>
      <c r="E885" s="551"/>
      <c r="F885" s="551"/>
      <c r="G885" s="551"/>
      <c r="H885" s="551"/>
      <c r="I885" s="551"/>
      <c r="J885" s="551"/>
      <c r="K885" s="551"/>
      <c r="L885" s="551"/>
      <c r="M885" s="551"/>
      <c r="N885" s="551"/>
      <c r="O885" s="551"/>
      <c r="P885" s="551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  <c r="AD885" s="79"/>
      <c r="AE885" s="79"/>
      <c r="AF885" s="79"/>
    </row>
    <row r="886" spans="1:32" s="2" customFormat="1">
      <c r="A886" s="551"/>
      <c r="B886" s="551"/>
      <c r="C886" s="551"/>
      <c r="D886" s="551"/>
      <c r="E886" s="551"/>
      <c r="F886" s="551"/>
      <c r="G886" s="551"/>
      <c r="H886" s="551"/>
      <c r="I886" s="551"/>
      <c r="J886" s="551"/>
      <c r="K886" s="551"/>
      <c r="L886" s="551"/>
      <c r="M886" s="551"/>
      <c r="N886" s="551"/>
      <c r="O886" s="551"/>
      <c r="P886" s="551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  <c r="AD886" s="79"/>
      <c r="AE886" s="79"/>
      <c r="AF886" s="79"/>
    </row>
    <row r="887" spans="1:32" s="2" customFormat="1">
      <c r="A887" s="551"/>
      <c r="B887" s="551"/>
      <c r="C887" s="551"/>
      <c r="D887" s="551"/>
      <c r="E887" s="551"/>
      <c r="F887" s="551"/>
      <c r="G887" s="551"/>
      <c r="H887" s="551"/>
      <c r="I887" s="551"/>
      <c r="J887" s="551"/>
      <c r="K887" s="551"/>
      <c r="L887" s="551"/>
      <c r="M887" s="551"/>
      <c r="N887" s="551"/>
      <c r="O887" s="551"/>
      <c r="P887" s="551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  <c r="AD887" s="79"/>
      <c r="AE887" s="79"/>
      <c r="AF887" s="79"/>
    </row>
    <row r="888" spans="1:32" s="2" customFormat="1">
      <c r="A888" s="551"/>
      <c r="B888" s="551"/>
      <c r="C888" s="551"/>
      <c r="D888" s="551"/>
      <c r="E888" s="551"/>
      <c r="F888" s="551"/>
      <c r="G888" s="551"/>
      <c r="H888" s="551"/>
      <c r="I888" s="551"/>
      <c r="J888" s="551"/>
      <c r="K888" s="551"/>
      <c r="L888" s="551"/>
      <c r="M888" s="551"/>
      <c r="N888" s="551"/>
      <c r="O888" s="551"/>
      <c r="P888" s="551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  <c r="AD888" s="79"/>
      <c r="AE888" s="79"/>
      <c r="AF888" s="79"/>
    </row>
    <row r="889" spans="1:32" s="2" customFormat="1">
      <c r="A889" s="551"/>
      <c r="B889" s="551"/>
      <c r="C889" s="551"/>
      <c r="D889" s="551"/>
      <c r="E889" s="551"/>
      <c r="F889" s="551"/>
      <c r="G889" s="551"/>
      <c r="H889" s="551"/>
      <c r="I889" s="551"/>
      <c r="J889" s="551"/>
      <c r="K889" s="551"/>
      <c r="L889" s="551"/>
      <c r="M889" s="551"/>
      <c r="N889" s="551"/>
      <c r="O889" s="551"/>
      <c r="P889" s="551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  <c r="AD889" s="79"/>
      <c r="AE889" s="79"/>
      <c r="AF889" s="79"/>
    </row>
    <row r="890" spans="1:32" s="2" customFormat="1">
      <c r="A890" s="551"/>
      <c r="B890" s="551"/>
      <c r="C890" s="551"/>
      <c r="D890" s="551"/>
      <c r="E890" s="551"/>
      <c r="F890" s="551"/>
      <c r="G890" s="551"/>
      <c r="H890" s="551"/>
      <c r="I890" s="551"/>
      <c r="J890" s="551"/>
      <c r="K890" s="551"/>
      <c r="L890" s="551"/>
      <c r="M890" s="551"/>
      <c r="N890" s="551"/>
      <c r="O890" s="551"/>
      <c r="P890" s="551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  <c r="AD890" s="79"/>
      <c r="AE890" s="79"/>
      <c r="AF890" s="79"/>
    </row>
    <row r="891" spans="1:32" s="2" customFormat="1">
      <c r="A891" s="551"/>
      <c r="B891" s="551"/>
      <c r="C891" s="551"/>
      <c r="D891" s="551"/>
      <c r="E891" s="551"/>
      <c r="F891" s="551"/>
      <c r="G891" s="551"/>
      <c r="H891" s="551"/>
      <c r="I891" s="551"/>
      <c r="J891" s="551"/>
      <c r="K891" s="551"/>
      <c r="L891" s="551"/>
      <c r="M891" s="551"/>
      <c r="N891" s="551"/>
      <c r="O891" s="551"/>
      <c r="P891" s="551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  <c r="AD891" s="79"/>
      <c r="AE891" s="79"/>
      <c r="AF891" s="79"/>
    </row>
    <row r="892" spans="1:32" s="2" customFormat="1">
      <c r="A892" s="551"/>
      <c r="B892" s="551"/>
      <c r="C892" s="551"/>
      <c r="D892" s="551"/>
      <c r="E892" s="551"/>
      <c r="F892" s="551"/>
      <c r="G892" s="551"/>
      <c r="H892" s="551"/>
      <c r="I892" s="551"/>
      <c r="J892" s="551"/>
      <c r="K892" s="551"/>
      <c r="L892" s="551"/>
      <c r="M892" s="551"/>
      <c r="N892" s="551"/>
      <c r="O892" s="551"/>
      <c r="P892" s="551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  <c r="AD892" s="79"/>
      <c r="AE892" s="79"/>
      <c r="AF892" s="79"/>
    </row>
    <row r="893" spans="1:32" s="2" customFormat="1">
      <c r="A893" s="551"/>
      <c r="B893" s="551"/>
      <c r="C893" s="551"/>
      <c r="D893" s="551"/>
      <c r="E893" s="551"/>
      <c r="F893" s="551"/>
      <c r="G893" s="551"/>
      <c r="H893" s="551"/>
      <c r="I893" s="551"/>
      <c r="J893" s="551"/>
      <c r="K893" s="551"/>
      <c r="L893" s="551"/>
      <c r="M893" s="551"/>
      <c r="N893" s="551"/>
      <c r="O893" s="551"/>
      <c r="P893" s="551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  <c r="AD893" s="79"/>
      <c r="AE893" s="79"/>
      <c r="AF893" s="79"/>
    </row>
    <row r="894" spans="1:32" s="2" customFormat="1">
      <c r="A894" s="551"/>
      <c r="B894" s="551"/>
      <c r="C894" s="551"/>
      <c r="D894" s="551"/>
      <c r="E894" s="551"/>
      <c r="F894" s="551"/>
      <c r="G894" s="551"/>
      <c r="H894" s="551"/>
      <c r="I894" s="551"/>
      <c r="J894" s="551"/>
      <c r="K894" s="551"/>
      <c r="L894" s="551"/>
      <c r="M894" s="551"/>
      <c r="N894" s="551"/>
      <c r="O894" s="551"/>
      <c r="P894" s="551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  <c r="AD894" s="79"/>
      <c r="AE894" s="79"/>
      <c r="AF894" s="79"/>
    </row>
    <row r="895" spans="1:32" s="2" customFormat="1">
      <c r="A895" s="551"/>
      <c r="B895" s="551"/>
      <c r="C895" s="551"/>
      <c r="D895" s="551"/>
      <c r="E895" s="551"/>
      <c r="F895" s="551"/>
      <c r="G895" s="551"/>
      <c r="H895" s="551"/>
      <c r="I895" s="551"/>
      <c r="J895" s="551"/>
      <c r="K895" s="551"/>
      <c r="L895" s="551"/>
      <c r="M895" s="551"/>
      <c r="N895" s="551"/>
      <c r="O895" s="551"/>
      <c r="P895" s="551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  <c r="AD895" s="79"/>
      <c r="AE895" s="79"/>
      <c r="AF895" s="79"/>
    </row>
    <row r="896" spans="1:32" s="2" customFormat="1">
      <c r="A896" s="551"/>
      <c r="B896" s="551"/>
      <c r="C896" s="551"/>
      <c r="D896" s="551"/>
      <c r="E896" s="551"/>
      <c r="F896" s="551"/>
      <c r="G896" s="551"/>
      <c r="H896" s="551"/>
      <c r="I896" s="551"/>
      <c r="J896" s="551"/>
      <c r="K896" s="551"/>
      <c r="L896" s="551"/>
      <c r="M896" s="551"/>
      <c r="N896" s="551"/>
      <c r="O896" s="551"/>
      <c r="P896" s="551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  <c r="AD896" s="79"/>
      <c r="AE896" s="79"/>
      <c r="AF896" s="79"/>
    </row>
    <row r="897" spans="1:32" s="2" customFormat="1">
      <c r="A897" s="551"/>
      <c r="B897" s="551"/>
      <c r="C897" s="551"/>
      <c r="D897" s="551"/>
      <c r="E897" s="551"/>
      <c r="F897" s="551"/>
      <c r="G897" s="551"/>
      <c r="H897" s="551"/>
      <c r="I897" s="551"/>
      <c r="J897" s="551"/>
      <c r="K897" s="551"/>
      <c r="L897" s="551"/>
      <c r="M897" s="551"/>
      <c r="N897" s="551"/>
      <c r="O897" s="551"/>
      <c r="P897" s="551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  <c r="AD897" s="79"/>
      <c r="AE897" s="79"/>
      <c r="AF897" s="79"/>
    </row>
    <row r="898" spans="1:32" s="2" customFormat="1">
      <c r="A898" s="551"/>
      <c r="B898" s="551"/>
      <c r="C898" s="551"/>
      <c r="D898" s="551"/>
      <c r="E898" s="551"/>
      <c r="F898" s="551"/>
      <c r="G898" s="551"/>
      <c r="H898" s="551"/>
      <c r="I898" s="551"/>
      <c r="J898" s="551"/>
      <c r="K898" s="551"/>
      <c r="L898" s="551"/>
      <c r="M898" s="551"/>
      <c r="N898" s="551"/>
      <c r="O898" s="551"/>
      <c r="P898" s="551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  <c r="AD898" s="79"/>
      <c r="AE898" s="79"/>
      <c r="AF898" s="79"/>
    </row>
    <row r="899" spans="1:32" s="2" customFormat="1">
      <c r="A899" s="551"/>
      <c r="B899" s="551"/>
      <c r="C899" s="551"/>
      <c r="D899" s="551"/>
      <c r="E899" s="551"/>
      <c r="F899" s="551"/>
      <c r="G899" s="551"/>
      <c r="H899" s="551"/>
      <c r="I899" s="551"/>
      <c r="J899" s="551"/>
      <c r="K899" s="551"/>
      <c r="L899" s="551"/>
      <c r="M899" s="551"/>
      <c r="N899" s="551"/>
      <c r="O899" s="551"/>
      <c r="P899" s="551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  <c r="AD899" s="79"/>
      <c r="AE899" s="79"/>
      <c r="AF899" s="79"/>
    </row>
    <row r="900" spans="1:32" s="2" customFormat="1">
      <c r="A900" s="551"/>
      <c r="B900" s="551"/>
      <c r="C900" s="551"/>
      <c r="D900" s="551"/>
      <c r="E900" s="551"/>
      <c r="F900" s="551"/>
      <c r="G900" s="551"/>
      <c r="H900" s="551"/>
      <c r="I900" s="551"/>
      <c r="J900" s="551"/>
      <c r="K900" s="551"/>
      <c r="L900" s="551"/>
      <c r="M900" s="551"/>
      <c r="N900" s="551"/>
      <c r="O900" s="551"/>
      <c r="P900" s="551"/>
      <c r="Q900" s="79"/>
      <c r="R900" s="79"/>
      <c r="S900" s="79"/>
      <c r="T900" s="79"/>
      <c r="U900" s="79"/>
      <c r="V900" s="79"/>
      <c r="W900" s="79"/>
      <c r="X900" s="79"/>
      <c r="Y900" s="79"/>
      <c r="Z900" s="79"/>
      <c r="AA900" s="79"/>
      <c r="AB900" s="79"/>
      <c r="AC900" s="79"/>
      <c r="AD900" s="79"/>
      <c r="AE900" s="79"/>
      <c r="AF900" s="79"/>
    </row>
    <row r="901" spans="1:32" s="2" customFormat="1">
      <c r="A901" s="551"/>
      <c r="B901" s="551"/>
      <c r="C901" s="551"/>
      <c r="D901" s="551"/>
      <c r="E901" s="551"/>
      <c r="F901" s="551"/>
      <c r="G901" s="551"/>
      <c r="H901" s="551"/>
      <c r="I901" s="551"/>
      <c r="J901" s="551"/>
      <c r="K901" s="551"/>
      <c r="L901" s="551"/>
      <c r="M901" s="551"/>
      <c r="N901" s="551"/>
      <c r="O901" s="551"/>
      <c r="P901" s="551"/>
      <c r="Q901" s="79"/>
      <c r="R901" s="79"/>
      <c r="S901" s="79"/>
      <c r="T901" s="79"/>
      <c r="U901" s="79"/>
      <c r="V901" s="79"/>
      <c r="W901" s="79"/>
      <c r="X901" s="79"/>
      <c r="Y901" s="79"/>
      <c r="Z901" s="79"/>
      <c r="AA901" s="79"/>
      <c r="AB901" s="79"/>
      <c r="AC901" s="79"/>
      <c r="AD901" s="79"/>
      <c r="AE901" s="79"/>
      <c r="AF901" s="79"/>
    </row>
    <row r="902" spans="1:32" s="2" customFormat="1">
      <c r="A902" s="551"/>
      <c r="B902" s="551"/>
      <c r="C902" s="551"/>
      <c r="D902" s="551"/>
      <c r="E902" s="551"/>
      <c r="F902" s="551"/>
      <c r="G902" s="551"/>
      <c r="H902" s="551"/>
      <c r="I902" s="551"/>
      <c r="J902" s="551"/>
      <c r="K902" s="551"/>
      <c r="L902" s="551"/>
      <c r="M902" s="551"/>
      <c r="N902" s="551"/>
      <c r="O902" s="551"/>
      <c r="P902" s="551"/>
      <c r="Q902" s="79"/>
      <c r="R902" s="79"/>
      <c r="S902" s="79"/>
      <c r="T902" s="79"/>
      <c r="U902" s="79"/>
      <c r="V902" s="79"/>
      <c r="W902" s="79"/>
      <c r="X902" s="79"/>
      <c r="Y902" s="79"/>
      <c r="Z902" s="79"/>
      <c r="AA902" s="79"/>
      <c r="AB902" s="79"/>
      <c r="AC902" s="79"/>
      <c r="AD902" s="79"/>
      <c r="AE902" s="79"/>
      <c r="AF902" s="79"/>
    </row>
    <row r="903" spans="1:32" s="2" customFormat="1">
      <c r="A903" s="551"/>
      <c r="B903" s="551"/>
      <c r="C903" s="551"/>
      <c r="D903" s="551"/>
      <c r="E903" s="551"/>
      <c r="F903" s="551"/>
      <c r="G903" s="551"/>
      <c r="H903" s="551"/>
      <c r="I903" s="551"/>
      <c r="J903" s="551"/>
      <c r="K903" s="551"/>
      <c r="L903" s="551"/>
      <c r="M903" s="551"/>
      <c r="N903" s="551"/>
      <c r="O903" s="551"/>
      <c r="P903" s="551"/>
      <c r="Q903" s="79"/>
      <c r="R903" s="79"/>
      <c r="S903" s="79"/>
      <c r="T903" s="79"/>
      <c r="U903" s="79"/>
      <c r="V903" s="79"/>
      <c r="W903" s="79"/>
      <c r="X903" s="79"/>
      <c r="Y903" s="79"/>
      <c r="Z903" s="79"/>
      <c r="AA903" s="79"/>
      <c r="AB903" s="79"/>
      <c r="AC903" s="79"/>
      <c r="AD903" s="79"/>
      <c r="AE903" s="79"/>
      <c r="AF903" s="79"/>
    </row>
    <row r="904" spans="1:32" s="2" customFormat="1">
      <c r="A904" s="551"/>
      <c r="B904" s="551"/>
      <c r="C904" s="551"/>
      <c r="D904" s="551"/>
      <c r="E904" s="551"/>
      <c r="F904" s="551"/>
      <c r="G904" s="551"/>
      <c r="H904" s="551"/>
      <c r="I904" s="551"/>
      <c r="J904" s="551"/>
      <c r="K904" s="551"/>
      <c r="L904" s="551"/>
      <c r="M904" s="551"/>
      <c r="N904" s="551"/>
      <c r="O904" s="551"/>
      <c r="P904" s="551"/>
      <c r="Q904" s="79"/>
      <c r="R904" s="79"/>
      <c r="S904" s="79"/>
      <c r="T904" s="79"/>
      <c r="U904" s="79"/>
      <c r="V904" s="79"/>
      <c r="W904" s="79"/>
      <c r="X904" s="79"/>
      <c r="Y904" s="79"/>
      <c r="Z904" s="79"/>
      <c r="AA904" s="79"/>
      <c r="AB904" s="79"/>
      <c r="AC904" s="79"/>
      <c r="AD904" s="79"/>
      <c r="AE904" s="79"/>
      <c r="AF904" s="79"/>
    </row>
    <row r="905" spans="1:32" s="2" customFormat="1">
      <c r="A905" s="551"/>
      <c r="B905" s="551"/>
      <c r="C905" s="551"/>
      <c r="D905" s="551"/>
      <c r="E905" s="551"/>
      <c r="F905" s="551"/>
      <c r="G905" s="551"/>
      <c r="H905" s="551"/>
      <c r="I905" s="551"/>
      <c r="J905" s="551"/>
      <c r="K905" s="551"/>
      <c r="L905" s="551"/>
      <c r="M905" s="551"/>
      <c r="N905" s="551"/>
      <c r="O905" s="551"/>
      <c r="P905" s="551"/>
      <c r="Q905" s="79"/>
      <c r="R905" s="79"/>
      <c r="S905" s="79"/>
      <c r="T905" s="79"/>
      <c r="U905" s="79"/>
      <c r="V905" s="79"/>
      <c r="W905" s="79"/>
      <c r="X905" s="79"/>
      <c r="Y905" s="79"/>
      <c r="Z905" s="79"/>
      <c r="AA905" s="79"/>
      <c r="AB905" s="79"/>
      <c r="AC905" s="79"/>
      <c r="AD905" s="79"/>
      <c r="AE905" s="79"/>
      <c r="AF905" s="79"/>
    </row>
    <row r="906" spans="1:32" s="2" customFormat="1">
      <c r="A906" s="551"/>
      <c r="B906" s="551"/>
      <c r="C906" s="551"/>
      <c r="D906" s="551"/>
      <c r="E906" s="551"/>
      <c r="F906" s="551"/>
      <c r="G906" s="551"/>
      <c r="H906" s="551"/>
      <c r="I906" s="551"/>
      <c r="J906" s="551"/>
      <c r="K906" s="551"/>
      <c r="L906" s="551"/>
      <c r="M906" s="551"/>
      <c r="N906" s="551"/>
      <c r="O906" s="551"/>
      <c r="P906" s="551"/>
      <c r="Q906" s="79"/>
      <c r="R906" s="79"/>
      <c r="S906" s="79"/>
      <c r="T906" s="79"/>
      <c r="U906" s="79"/>
      <c r="V906" s="79"/>
      <c r="W906" s="79"/>
      <c r="X906" s="79"/>
      <c r="Y906" s="79"/>
      <c r="Z906" s="79"/>
      <c r="AA906" s="79"/>
      <c r="AB906" s="79"/>
      <c r="AC906" s="79"/>
      <c r="AD906" s="79"/>
      <c r="AE906" s="79"/>
      <c r="AF906" s="79"/>
    </row>
    <row r="907" spans="1:32" s="2" customFormat="1">
      <c r="A907" s="551"/>
      <c r="B907" s="551"/>
      <c r="C907" s="551"/>
      <c r="D907" s="551"/>
      <c r="E907" s="551"/>
      <c r="F907" s="551"/>
      <c r="G907" s="551"/>
      <c r="H907" s="551"/>
      <c r="I907" s="551"/>
      <c r="J907" s="551"/>
      <c r="K907" s="551"/>
      <c r="L907" s="551"/>
      <c r="M907" s="551"/>
      <c r="N907" s="551"/>
      <c r="O907" s="551"/>
      <c r="P907" s="551"/>
      <c r="Q907" s="79"/>
      <c r="R907" s="79"/>
      <c r="S907" s="79"/>
      <c r="T907" s="79"/>
      <c r="U907" s="79"/>
      <c r="V907" s="79"/>
      <c r="W907" s="79"/>
      <c r="X907" s="79"/>
      <c r="Y907" s="79"/>
      <c r="Z907" s="79"/>
      <c r="AA907" s="79"/>
      <c r="AB907" s="79"/>
      <c r="AC907" s="79"/>
      <c r="AD907" s="79"/>
      <c r="AE907" s="79"/>
      <c r="AF907" s="79"/>
    </row>
    <row r="908" spans="1:32" s="2" customFormat="1">
      <c r="A908" s="551"/>
      <c r="B908" s="551"/>
      <c r="C908" s="551"/>
      <c r="D908" s="551"/>
      <c r="E908" s="551"/>
      <c r="F908" s="551"/>
      <c r="G908" s="551"/>
      <c r="H908" s="551"/>
      <c r="I908" s="551"/>
      <c r="J908" s="551"/>
      <c r="K908" s="551"/>
      <c r="L908" s="551"/>
      <c r="M908" s="551"/>
      <c r="N908" s="551"/>
      <c r="O908" s="551"/>
      <c r="P908" s="551"/>
      <c r="Q908" s="79"/>
      <c r="R908" s="79"/>
      <c r="S908" s="79"/>
      <c r="T908" s="79"/>
      <c r="U908" s="79"/>
      <c r="V908" s="79"/>
      <c r="W908" s="79"/>
      <c r="X908" s="79"/>
      <c r="Y908" s="79"/>
      <c r="Z908" s="79"/>
      <c r="AA908" s="79"/>
      <c r="AB908" s="79"/>
      <c r="AC908" s="79"/>
      <c r="AD908" s="79"/>
      <c r="AE908" s="79"/>
      <c r="AF908" s="79"/>
    </row>
    <row r="909" spans="1:32" s="2" customFormat="1">
      <c r="A909" s="551"/>
      <c r="B909" s="551"/>
      <c r="C909" s="551"/>
      <c r="D909" s="551"/>
      <c r="E909" s="551"/>
      <c r="F909" s="551"/>
      <c r="G909" s="551"/>
      <c r="H909" s="551"/>
      <c r="I909" s="551"/>
      <c r="J909" s="551"/>
      <c r="K909" s="551"/>
      <c r="L909" s="551"/>
      <c r="M909" s="551"/>
      <c r="N909" s="551"/>
      <c r="O909" s="551"/>
      <c r="P909" s="551"/>
      <c r="Q909" s="79"/>
      <c r="R909" s="79"/>
      <c r="S909" s="79"/>
      <c r="T909" s="79"/>
      <c r="U909" s="79"/>
      <c r="V909" s="79"/>
      <c r="W909" s="79"/>
      <c r="X909" s="79"/>
      <c r="Y909" s="79"/>
      <c r="Z909" s="79"/>
      <c r="AA909" s="79"/>
      <c r="AB909" s="79"/>
      <c r="AC909" s="79"/>
      <c r="AD909" s="79"/>
      <c r="AE909" s="79"/>
      <c r="AF909" s="79"/>
    </row>
    <row r="910" spans="1:32" s="2" customFormat="1">
      <c r="A910" s="551"/>
      <c r="B910" s="551"/>
      <c r="C910" s="551"/>
      <c r="D910" s="551"/>
      <c r="E910" s="551"/>
      <c r="F910" s="551"/>
      <c r="G910" s="551"/>
      <c r="H910" s="551"/>
      <c r="I910" s="551"/>
      <c r="J910" s="551"/>
      <c r="K910" s="551"/>
      <c r="L910" s="551"/>
      <c r="M910" s="551"/>
      <c r="N910" s="551"/>
      <c r="O910" s="551"/>
      <c r="P910" s="551"/>
      <c r="Q910" s="79"/>
      <c r="R910" s="79"/>
      <c r="S910" s="79"/>
      <c r="T910" s="79"/>
      <c r="U910" s="79"/>
      <c r="V910" s="79"/>
      <c r="W910" s="79"/>
      <c r="X910" s="79"/>
      <c r="Y910" s="79"/>
      <c r="Z910" s="79"/>
      <c r="AA910" s="79"/>
      <c r="AB910" s="79"/>
      <c r="AC910" s="79"/>
      <c r="AD910" s="79"/>
      <c r="AE910" s="79"/>
      <c r="AF910" s="79"/>
    </row>
    <row r="911" spans="1:32" s="2" customFormat="1">
      <c r="A911" s="551"/>
      <c r="B911" s="551"/>
      <c r="C911" s="551"/>
      <c r="D911" s="551"/>
      <c r="E911" s="551"/>
      <c r="F911" s="551"/>
      <c r="G911" s="551"/>
      <c r="H911" s="551"/>
      <c r="I911" s="551"/>
      <c r="J911" s="551"/>
      <c r="K911" s="551"/>
      <c r="L911" s="551"/>
      <c r="M911" s="551"/>
      <c r="N911" s="551"/>
      <c r="O911" s="551"/>
      <c r="P911" s="551"/>
      <c r="Q911" s="79"/>
      <c r="R911" s="79"/>
      <c r="S911" s="79"/>
      <c r="T911" s="79"/>
      <c r="U911" s="79"/>
      <c r="V911" s="79"/>
      <c r="W911" s="79"/>
      <c r="X911" s="79"/>
      <c r="Y911" s="79"/>
      <c r="Z911" s="79"/>
      <c r="AA911" s="79"/>
      <c r="AB911" s="79"/>
      <c r="AC911" s="79"/>
      <c r="AD911" s="79"/>
      <c r="AE911" s="79"/>
      <c r="AF911" s="79"/>
    </row>
    <row r="912" spans="1:32" s="2" customFormat="1">
      <c r="A912" s="551"/>
      <c r="B912" s="551"/>
      <c r="C912" s="551"/>
      <c r="D912" s="551"/>
      <c r="E912" s="551"/>
      <c r="F912" s="551"/>
      <c r="G912" s="551"/>
      <c r="H912" s="551"/>
      <c r="I912" s="551"/>
      <c r="J912" s="551"/>
      <c r="K912" s="551"/>
      <c r="L912" s="551"/>
      <c r="M912" s="551"/>
      <c r="N912" s="551"/>
      <c r="O912" s="551"/>
      <c r="P912" s="551"/>
      <c r="Q912" s="79"/>
      <c r="R912" s="79"/>
      <c r="S912" s="79"/>
      <c r="T912" s="79"/>
      <c r="U912" s="79"/>
      <c r="V912" s="79"/>
      <c r="W912" s="79"/>
      <c r="X912" s="79"/>
      <c r="Y912" s="79"/>
      <c r="Z912" s="79"/>
      <c r="AA912" s="79"/>
      <c r="AB912" s="79"/>
      <c r="AC912" s="79"/>
      <c r="AD912" s="79"/>
      <c r="AE912" s="79"/>
      <c r="AF912" s="79"/>
    </row>
    <row r="913" spans="1:32" s="2" customFormat="1">
      <c r="A913" s="551"/>
      <c r="B913" s="551"/>
      <c r="C913" s="551"/>
      <c r="D913" s="551"/>
      <c r="E913" s="551"/>
      <c r="F913" s="551"/>
      <c r="G913" s="551"/>
      <c r="H913" s="551"/>
      <c r="I913" s="551"/>
      <c r="J913" s="551"/>
      <c r="K913" s="551"/>
      <c r="L913" s="551"/>
      <c r="M913" s="551"/>
      <c r="N913" s="551"/>
      <c r="O913" s="551"/>
      <c r="P913" s="551"/>
      <c r="Q913" s="79"/>
      <c r="R913" s="79"/>
      <c r="S913" s="79"/>
      <c r="T913" s="79"/>
      <c r="U913" s="79"/>
      <c r="V913" s="79"/>
      <c r="W913" s="79"/>
      <c r="X913" s="79"/>
      <c r="Y913" s="79"/>
      <c r="Z913" s="79"/>
      <c r="AA913" s="79"/>
      <c r="AB913" s="79"/>
      <c r="AC913" s="79"/>
      <c r="AD913" s="79"/>
      <c r="AE913" s="79"/>
      <c r="AF913" s="79"/>
    </row>
    <row r="914" spans="1:32" s="2" customFormat="1">
      <c r="A914" s="551"/>
      <c r="B914" s="551"/>
      <c r="C914" s="551"/>
      <c r="D914" s="551"/>
      <c r="E914" s="551"/>
      <c r="F914" s="551"/>
      <c r="G914" s="551"/>
      <c r="H914" s="551"/>
      <c r="I914" s="551"/>
      <c r="J914" s="551"/>
      <c r="K914" s="551"/>
      <c r="L914" s="551"/>
      <c r="M914" s="551"/>
      <c r="N914" s="551"/>
      <c r="O914" s="551"/>
      <c r="P914" s="551"/>
      <c r="Q914" s="79"/>
      <c r="R914" s="79"/>
      <c r="S914" s="79"/>
      <c r="T914" s="79"/>
      <c r="U914" s="79"/>
      <c r="V914" s="79"/>
      <c r="W914" s="79"/>
      <c r="X914" s="79"/>
      <c r="Y914" s="79"/>
      <c r="Z914" s="79"/>
      <c r="AA914" s="79"/>
      <c r="AB914" s="79"/>
      <c r="AC914" s="79"/>
      <c r="AD914" s="79"/>
      <c r="AE914" s="79"/>
      <c r="AF914" s="79"/>
    </row>
    <row r="915" spans="1:32" s="2" customFormat="1">
      <c r="A915" s="551"/>
      <c r="B915" s="551"/>
      <c r="C915" s="551"/>
      <c r="D915" s="551"/>
      <c r="E915" s="551"/>
      <c r="F915" s="551"/>
      <c r="G915" s="551"/>
      <c r="H915" s="551"/>
      <c r="I915" s="551"/>
      <c r="J915" s="551"/>
      <c r="K915" s="551"/>
      <c r="L915" s="551"/>
      <c r="M915" s="551"/>
      <c r="N915" s="551"/>
      <c r="O915" s="551"/>
      <c r="P915" s="551"/>
      <c r="Q915" s="79"/>
      <c r="R915" s="79"/>
      <c r="S915" s="79"/>
      <c r="T915" s="79"/>
      <c r="U915" s="79"/>
      <c r="V915" s="79"/>
      <c r="W915" s="79"/>
      <c r="X915" s="79"/>
      <c r="Y915" s="79"/>
      <c r="Z915" s="79"/>
      <c r="AA915" s="79"/>
      <c r="AB915" s="79"/>
      <c r="AC915" s="79"/>
      <c r="AD915" s="79"/>
      <c r="AE915" s="79"/>
      <c r="AF915" s="79"/>
    </row>
    <row r="916" spans="1:32" s="2" customFormat="1">
      <c r="A916" s="551"/>
      <c r="B916" s="551"/>
      <c r="C916" s="551"/>
      <c r="D916" s="551"/>
      <c r="E916" s="551"/>
      <c r="F916" s="551"/>
      <c r="G916" s="551"/>
      <c r="H916" s="551"/>
      <c r="I916" s="551"/>
      <c r="J916" s="551"/>
      <c r="K916" s="551"/>
      <c r="L916" s="551"/>
      <c r="M916" s="551"/>
      <c r="N916" s="551"/>
      <c r="O916" s="551"/>
      <c r="P916" s="551"/>
      <c r="Q916" s="79"/>
      <c r="R916" s="79"/>
      <c r="S916" s="79"/>
      <c r="T916" s="79"/>
      <c r="U916" s="79"/>
      <c r="V916" s="79"/>
      <c r="W916" s="79"/>
      <c r="X916" s="79"/>
      <c r="Y916" s="79"/>
      <c r="Z916" s="79"/>
      <c r="AA916" s="79"/>
      <c r="AB916" s="79"/>
      <c r="AC916" s="79"/>
      <c r="AD916" s="79"/>
      <c r="AE916" s="79"/>
      <c r="AF916" s="79"/>
    </row>
    <row r="917" spans="1:32" s="2" customFormat="1">
      <c r="A917" s="551"/>
      <c r="B917" s="551"/>
      <c r="C917" s="551"/>
      <c r="D917" s="551"/>
      <c r="E917" s="551"/>
      <c r="F917" s="551"/>
      <c r="G917" s="551"/>
      <c r="H917" s="551"/>
      <c r="I917" s="551"/>
      <c r="J917" s="551"/>
      <c r="K917" s="551"/>
      <c r="L917" s="551"/>
      <c r="M917" s="551"/>
      <c r="N917" s="551"/>
      <c r="O917" s="551"/>
      <c r="P917" s="551"/>
      <c r="Q917" s="79"/>
      <c r="R917" s="79"/>
      <c r="S917" s="79"/>
      <c r="T917" s="79"/>
      <c r="U917" s="79"/>
      <c r="V917" s="79"/>
      <c r="W917" s="79"/>
      <c r="X917" s="79"/>
      <c r="Y917" s="79"/>
      <c r="Z917" s="79"/>
      <c r="AA917" s="79"/>
      <c r="AB917" s="79"/>
      <c r="AC917" s="79"/>
      <c r="AD917" s="79"/>
      <c r="AE917" s="79"/>
      <c r="AF917" s="79"/>
    </row>
    <row r="918" spans="1:32" s="2" customFormat="1">
      <c r="A918" s="551"/>
      <c r="B918" s="551"/>
      <c r="C918" s="551"/>
      <c r="D918" s="551"/>
      <c r="E918" s="551"/>
      <c r="F918" s="551"/>
      <c r="G918" s="551"/>
      <c r="H918" s="551"/>
      <c r="I918" s="551"/>
      <c r="J918" s="551"/>
      <c r="K918" s="551"/>
      <c r="L918" s="551"/>
      <c r="M918" s="551"/>
      <c r="N918" s="551"/>
      <c r="O918" s="551"/>
      <c r="P918" s="551"/>
      <c r="Q918" s="79"/>
      <c r="R918" s="79"/>
      <c r="S918" s="79"/>
      <c r="T918" s="79"/>
      <c r="U918" s="79"/>
      <c r="V918" s="79"/>
      <c r="W918" s="79"/>
      <c r="X918" s="79"/>
      <c r="Y918" s="79"/>
      <c r="Z918" s="79"/>
      <c r="AA918" s="79"/>
      <c r="AB918" s="79"/>
      <c r="AC918" s="79"/>
      <c r="AD918" s="79"/>
      <c r="AE918" s="79"/>
      <c r="AF918" s="79"/>
    </row>
    <row r="919" spans="1:32" s="2" customFormat="1">
      <c r="A919" s="551"/>
      <c r="B919" s="551"/>
      <c r="C919" s="551"/>
      <c r="D919" s="551"/>
      <c r="E919" s="551"/>
      <c r="F919" s="551"/>
      <c r="G919" s="551"/>
      <c r="H919" s="551"/>
      <c r="I919" s="551"/>
      <c r="J919" s="551"/>
      <c r="K919" s="551"/>
      <c r="L919" s="551"/>
      <c r="M919" s="551"/>
      <c r="N919" s="551"/>
      <c r="O919" s="551"/>
      <c r="P919" s="551"/>
      <c r="Q919" s="79"/>
      <c r="R919" s="79"/>
      <c r="S919" s="79"/>
      <c r="T919" s="79"/>
      <c r="U919" s="79"/>
      <c r="V919" s="79"/>
      <c r="W919" s="79"/>
      <c r="X919" s="79"/>
      <c r="Y919" s="79"/>
      <c r="Z919" s="79"/>
      <c r="AA919" s="79"/>
      <c r="AB919" s="79"/>
      <c r="AC919" s="79"/>
      <c r="AD919" s="79"/>
      <c r="AE919" s="79"/>
      <c r="AF919" s="79"/>
    </row>
    <row r="920" spans="1:32" s="2" customFormat="1">
      <c r="A920" s="551"/>
      <c r="B920" s="551"/>
      <c r="C920" s="551"/>
      <c r="D920" s="551"/>
      <c r="E920" s="551"/>
      <c r="F920" s="551"/>
      <c r="G920" s="551"/>
      <c r="H920" s="551"/>
      <c r="I920" s="551"/>
      <c r="J920" s="551"/>
      <c r="K920" s="551"/>
      <c r="L920" s="551"/>
      <c r="M920" s="551"/>
      <c r="N920" s="551"/>
      <c r="O920" s="551"/>
      <c r="P920" s="551"/>
      <c r="Q920" s="79"/>
      <c r="R920" s="79"/>
      <c r="S920" s="79"/>
      <c r="T920" s="79"/>
      <c r="U920" s="79"/>
      <c r="V920" s="79"/>
      <c r="W920" s="79"/>
      <c r="X920" s="79"/>
      <c r="Y920" s="79"/>
      <c r="Z920" s="79"/>
      <c r="AA920" s="79"/>
      <c r="AB920" s="79"/>
      <c r="AC920" s="79"/>
      <c r="AD920" s="79"/>
      <c r="AE920" s="79"/>
      <c r="AF920" s="79"/>
    </row>
    <row r="921" spans="1:32" s="2" customFormat="1">
      <c r="A921" s="551"/>
      <c r="B921" s="551"/>
      <c r="C921" s="551"/>
      <c r="D921" s="551"/>
      <c r="E921" s="551"/>
      <c r="F921" s="551"/>
      <c r="G921" s="551"/>
      <c r="H921" s="551"/>
      <c r="I921" s="551"/>
      <c r="J921" s="551"/>
      <c r="K921" s="551"/>
      <c r="L921" s="551"/>
      <c r="M921" s="551"/>
      <c r="N921" s="551"/>
      <c r="O921" s="551"/>
      <c r="P921" s="551"/>
      <c r="Q921" s="79"/>
      <c r="R921" s="79"/>
      <c r="S921" s="79"/>
      <c r="T921" s="79"/>
      <c r="U921" s="79"/>
      <c r="V921" s="79"/>
      <c r="W921" s="79"/>
      <c r="X921" s="79"/>
      <c r="Y921" s="79"/>
      <c r="Z921" s="79"/>
      <c r="AA921" s="79"/>
      <c r="AB921" s="79"/>
      <c r="AC921" s="79"/>
      <c r="AD921" s="79"/>
      <c r="AE921" s="79"/>
      <c r="AF921" s="79"/>
    </row>
    <row r="922" spans="1:32" s="2" customFormat="1">
      <c r="A922" s="551"/>
      <c r="B922" s="551"/>
      <c r="C922" s="551"/>
      <c r="D922" s="551"/>
      <c r="E922" s="551"/>
      <c r="F922" s="551"/>
      <c r="G922" s="551"/>
      <c r="H922" s="551"/>
      <c r="I922" s="551"/>
      <c r="J922" s="551"/>
      <c r="K922" s="551"/>
      <c r="L922" s="551"/>
      <c r="M922" s="551"/>
      <c r="N922" s="551"/>
      <c r="O922" s="551"/>
      <c r="P922" s="551"/>
      <c r="Q922" s="79"/>
      <c r="R922" s="79"/>
      <c r="S922" s="79"/>
      <c r="T922" s="79"/>
      <c r="U922" s="79"/>
      <c r="V922" s="79"/>
      <c r="W922" s="79"/>
      <c r="X922" s="79"/>
      <c r="Y922" s="79"/>
      <c r="Z922" s="79"/>
      <c r="AA922" s="79"/>
      <c r="AB922" s="79"/>
      <c r="AC922" s="79"/>
      <c r="AD922" s="79"/>
      <c r="AE922" s="79"/>
      <c r="AF922" s="79"/>
    </row>
    <row r="923" spans="1:32" s="2" customFormat="1">
      <c r="A923" s="551"/>
      <c r="B923" s="551"/>
      <c r="C923" s="551"/>
      <c r="D923" s="551"/>
      <c r="E923" s="551"/>
      <c r="F923" s="551"/>
      <c r="G923" s="551"/>
      <c r="H923" s="551"/>
      <c r="I923" s="551"/>
      <c r="J923" s="551"/>
      <c r="K923" s="551"/>
      <c r="L923" s="551"/>
      <c r="M923" s="551"/>
      <c r="N923" s="551"/>
      <c r="O923" s="551"/>
      <c r="P923" s="551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  <c r="AD923" s="79"/>
      <c r="AE923" s="79"/>
      <c r="AF923" s="79"/>
    </row>
    <row r="924" spans="1:32" s="2" customFormat="1">
      <c r="A924" s="551"/>
      <c r="B924" s="551"/>
      <c r="C924" s="551"/>
      <c r="D924" s="551"/>
      <c r="E924" s="551"/>
      <c r="F924" s="551"/>
      <c r="G924" s="551"/>
      <c r="H924" s="551"/>
      <c r="I924" s="551"/>
      <c r="J924" s="551"/>
      <c r="K924" s="551"/>
      <c r="L924" s="551"/>
      <c r="M924" s="551"/>
      <c r="N924" s="551"/>
      <c r="O924" s="551"/>
      <c r="P924" s="551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  <c r="AD924" s="79"/>
      <c r="AE924" s="79"/>
      <c r="AF924" s="79"/>
    </row>
    <row r="925" spans="1:32" s="2" customFormat="1">
      <c r="A925" s="551"/>
      <c r="B925" s="551"/>
      <c r="C925" s="551"/>
      <c r="D925" s="551"/>
      <c r="E925" s="551"/>
      <c r="F925" s="551"/>
      <c r="G925" s="551"/>
      <c r="H925" s="551"/>
      <c r="I925" s="551"/>
      <c r="J925" s="551"/>
      <c r="K925" s="551"/>
      <c r="L925" s="551"/>
      <c r="M925" s="551"/>
      <c r="N925" s="551"/>
      <c r="O925" s="551"/>
      <c r="P925" s="551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  <c r="AD925" s="79"/>
      <c r="AE925" s="79"/>
      <c r="AF925" s="79"/>
    </row>
    <row r="926" spans="1:32" s="2" customFormat="1">
      <c r="A926" s="551"/>
      <c r="B926" s="551"/>
      <c r="C926" s="551"/>
      <c r="D926" s="551"/>
      <c r="E926" s="551"/>
      <c r="F926" s="551"/>
      <c r="G926" s="551"/>
      <c r="H926" s="551"/>
      <c r="I926" s="551"/>
      <c r="J926" s="551"/>
      <c r="K926" s="551"/>
      <c r="L926" s="551"/>
      <c r="M926" s="551"/>
      <c r="N926" s="551"/>
      <c r="O926" s="551"/>
      <c r="P926" s="551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  <c r="AD926" s="79"/>
      <c r="AE926" s="79"/>
      <c r="AF926" s="79"/>
    </row>
    <row r="927" spans="1:32" s="2" customFormat="1">
      <c r="A927" s="551"/>
      <c r="B927" s="551"/>
      <c r="C927" s="551"/>
      <c r="D927" s="551"/>
      <c r="E927" s="551"/>
      <c r="F927" s="551"/>
      <c r="G927" s="551"/>
      <c r="H927" s="551"/>
      <c r="I927" s="551"/>
      <c r="J927" s="551"/>
      <c r="K927" s="551"/>
      <c r="L927" s="551"/>
      <c r="M927" s="551"/>
      <c r="N927" s="551"/>
      <c r="O927" s="551"/>
      <c r="P927" s="551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  <c r="AD927" s="79"/>
      <c r="AE927" s="79"/>
      <c r="AF927" s="79"/>
    </row>
    <row r="928" spans="1:32" s="2" customFormat="1">
      <c r="A928" s="551"/>
      <c r="B928" s="551"/>
      <c r="C928" s="551"/>
      <c r="D928" s="551"/>
      <c r="E928" s="551"/>
      <c r="F928" s="551"/>
      <c r="G928" s="551"/>
      <c r="H928" s="551"/>
      <c r="I928" s="551"/>
      <c r="J928" s="551"/>
      <c r="K928" s="551"/>
      <c r="L928" s="551"/>
      <c r="M928" s="551"/>
      <c r="N928" s="551"/>
      <c r="O928" s="551"/>
      <c r="P928" s="551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  <c r="AD928" s="79"/>
      <c r="AE928" s="79"/>
      <c r="AF928" s="79"/>
    </row>
    <row r="929" spans="1:32" s="2" customFormat="1">
      <c r="A929" s="551"/>
      <c r="B929" s="551"/>
      <c r="C929" s="551"/>
      <c r="D929" s="551"/>
      <c r="E929" s="551"/>
      <c r="F929" s="551"/>
      <c r="G929" s="551"/>
      <c r="H929" s="551"/>
      <c r="I929" s="551"/>
      <c r="J929" s="551"/>
      <c r="K929" s="551"/>
      <c r="L929" s="551"/>
      <c r="M929" s="551"/>
      <c r="N929" s="551"/>
      <c r="O929" s="551"/>
      <c r="P929" s="551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  <c r="AD929" s="79"/>
      <c r="AE929" s="79"/>
      <c r="AF929" s="79"/>
    </row>
    <row r="930" spans="1:32" s="2" customFormat="1">
      <c r="A930" s="551"/>
      <c r="B930" s="551"/>
      <c r="C930" s="551"/>
      <c r="D930" s="551"/>
      <c r="E930" s="551"/>
      <c r="F930" s="551"/>
      <c r="G930" s="551"/>
      <c r="H930" s="551"/>
      <c r="I930" s="551"/>
      <c r="J930" s="551"/>
      <c r="K930" s="551"/>
      <c r="L930" s="551"/>
      <c r="M930" s="551"/>
      <c r="N930" s="551"/>
      <c r="O930" s="551"/>
      <c r="P930" s="551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  <c r="AD930" s="79"/>
      <c r="AE930" s="79"/>
      <c r="AF930" s="79"/>
    </row>
    <row r="931" spans="1:32" s="2" customFormat="1">
      <c r="A931" s="551"/>
      <c r="B931" s="551"/>
      <c r="C931" s="551"/>
      <c r="D931" s="551"/>
      <c r="E931" s="551"/>
      <c r="F931" s="551"/>
      <c r="G931" s="551"/>
      <c r="H931" s="551"/>
      <c r="I931" s="551"/>
      <c r="J931" s="551"/>
      <c r="K931" s="551"/>
      <c r="L931" s="551"/>
      <c r="M931" s="551"/>
      <c r="N931" s="551"/>
      <c r="O931" s="551"/>
      <c r="P931" s="551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  <c r="AD931" s="79"/>
      <c r="AE931" s="79"/>
      <c r="AF931" s="79"/>
    </row>
    <row r="932" spans="1:32" s="2" customFormat="1">
      <c r="A932" s="551"/>
      <c r="B932" s="551"/>
      <c r="C932" s="551"/>
      <c r="D932" s="551"/>
      <c r="E932" s="551"/>
      <c r="F932" s="551"/>
      <c r="G932" s="551"/>
      <c r="H932" s="551"/>
      <c r="I932" s="551"/>
      <c r="J932" s="551"/>
      <c r="K932" s="551"/>
      <c r="L932" s="551"/>
      <c r="M932" s="551"/>
      <c r="N932" s="551"/>
      <c r="O932" s="551"/>
      <c r="P932" s="551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  <c r="AD932" s="79"/>
      <c r="AE932" s="79"/>
      <c r="AF932" s="79"/>
    </row>
    <row r="933" spans="1:32" s="2" customFormat="1">
      <c r="A933" s="551"/>
      <c r="B933" s="551"/>
      <c r="C933" s="551"/>
      <c r="D933" s="551"/>
      <c r="E933" s="551"/>
      <c r="F933" s="551"/>
      <c r="G933" s="551"/>
      <c r="H933" s="551"/>
      <c r="I933" s="551"/>
      <c r="J933" s="551"/>
      <c r="K933" s="551"/>
      <c r="L933" s="551"/>
      <c r="M933" s="551"/>
      <c r="N933" s="551"/>
      <c r="O933" s="551"/>
      <c r="P933" s="551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  <c r="AD933" s="79"/>
      <c r="AE933" s="79"/>
      <c r="AF933" s="79"/>
    </row>
    <row r="934" spans="1:32" s="2" customFormat="1">
      <c r="A934" s="551"/>
      <c r="B934" s="551"/>
      <c r="C934" s="551"/>
      <c r="D934" s="551"/>
      <c r="E934" s="551"/>
      <c r="F934" s="551"/>
      <c r="G934" s="551"/>
      <c r="H934" s="551"/>
      <c r="I934" s="551"/>
      <c r="J934" s="551"/>
      <c r="K934" s="551"/>
      <c r="L934" s="551"/>
      <c r="M934" s="551"/>
      <c r="N934" s="551"/>
      <c r="O934" s="551"/>
      <c r="P934" s="551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  <c r="AD934" s="79"/>
      <c r="AE934" s="79"/>
      <c r="AF934" s="79"/>
    </row>
    <row r="935" spans="1:32" s="2" customFormat="1">
      <c r="A935" s="551"/>
      <c r="B935" s="551"/>
      <c r="C935" s="551"/>
      <c r="D935" s="551"/>
      <c r="E935" s="551"/>
      <c r="F935" s="551"/>
      <c r="G935" s="551"/>
      <c r="H935" s="551"/>
      <c r="I935" s="551"/>
      <c r="J935" s="551"/>
      <c r="K935" s="551"/>
      <c r="L935" s="551"/>
      <c r="M935" s="551"/>
      <c r="N935" s="551"/>
      <c r="O935" s="551"/>
      <c r="P935" s="551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  <c r="AD935" s="79"/>
      <c r="AE935" s="79"/>
      <c r="AF935" s="79"/>
    </row>
    <row r="936" spans="1:32" s="2" customFormat="1">
      <c r="A936" s="551"/>
      <c r="B936" s="551"/>
      <c r="C936" s="551"/>
      <c r="D936" s="551"/>
      <c r="E936" s="551"/>
      <c r="F936" s="551"/>
      <c r="G936" s="551"/>
      <c r="H936" s="551"/>
      <c r="I936" s="551"/>
      <c r="J936" s="551"/>
      <c r="K936" s="551"/>
      <c r="L936" s="551"/>
      <c r="M936" s="551"/>
      <c r="N936" s="551"/>
      <c r="O936" s="551"/>
      <c r="P936" s="551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  <c r="AD936" s="79"/>
      <c r="AE936" s="79"/>
      <c r="AF936" s="79"/>
    </row>
    <row r="937" spans="1:32" s="2" customFormat="1">
      <c r="A937" s="551"/>
      <c r="B937" s="551"/>
      <c r="C937" s="551"/>
      <c r="D937" s="551"/>
      <c r="E937" s="551"/>
      <c r="F937" s="551"/>
      <c r="G937" s="551"/>
      <c r="H937" s="551"/>
      <c r="I937" s="551"/>
      <c r="J937" s="551"/>
      <c r="K937" s="551"/>
      <c r="L937" s="551"/>
      <c r="M937" s="551"/>
      <c r="N937" s="551"/>
      <c r="O937" s="551"/>
      <c r="P937" s="551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  <c r="AD937" s="79"/>
      <c r="AE937" s="79"/>
      <c r="AF937" s="79"/>
    </row>
    <row r="938" spans="1:32" s="2" customFormat="1">
      <c r="A938" s="551"/>
      <c r="B938" s="551"/>
      <c r="C938" s="551"/>
      <c r="D938" s="551"/>
      <c r="E938" s="551"/>
      <c r="F938" s="551"/>
      <c r="G938" s="551"/>
      <c r="H938" s="551"/>
      <c r="I938" s="551"/>
      <c r="J938" s="551"/>
      <c r="K938" s="551"/>
      <c r="L938" s="551"/>
      <c r="M938" s="551"/>
      <c r="N938" s="551"/>
      <c r="O938" s="551"/>
      <c r="P938" s="551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  <c r="AD938" s="79"/>
      <c r="AE938" s="79"/>
      <c r="AF938" s="79"/>
    </row>
    <row r="939" spans="1:32" s="2" customFormat="1">
      <c r="A939" s="551"/>
      <c r="B939" s="551"/>
      <c r="C939" s="551"/>
      <c r="D939" s="551"/>
      <c r="E939" s="551"/>
      <c r="F939" s="551"/>
      <c r="G939" s="551"/>
      <c r="H939" s="551"/>
      <c r="I939" s="551"/>
      <c r="J939" s="551"/>
      <c r="K939" s="551"/>
      <c r="L939" s="551"/>
      <c r="M939" s="551"/>
      <c r="N939" s="551"/>
      <c r="O939" s="551"/>
      <c r="P939" s="551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  <c r="AD939" s="79"/>
      <c r="AE939" s="79"/>
      <c r="AF939" s="79"/>
    </row>
    <row r="940" spans="1:32" s="2" customFormat="1">
      <c r="A940" s="551"/>
      <c r="B940" s="551"/>
      <c r="C940" s="551"/>
      <c r="D940" s="551"/>
      <c r="E940" s="551"/>
      <c r="F940" s="551"/>
      <c r="G940" s="551"/>
      <c r="H940" s="551"/>
      <c r="I940" s="551"/>
      <c r="J940" s="551"/>
      <c r="K940" s="551"/>
      <c r="L940" s="551"/>
      <c r="M940" s="551"/>
      <c r="N940" s="551"/>
      <c r="O940" s="551"/>
      <c r="P940" s="551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  <c r="AD940" s="79"/>
      <c r="AE940" s="79"/>
      <c r="AF940" s="79"/>
    </row>
    <row r="941" spans="1:32" s="2" customFormat="1">
      <c r="A941" s="551"/>
      <c r="B941" s="551"/>
      <c r="C941" s="551"/>
      <c r="D941" s="551"/>
      <c r="E941" s="551"/>
      <c r="F941" s="551"/>
      <c r="G941" s="551"/>
      <c r="H941" s="551"/>
      <c r="I941" s="551"/>
      <c r="J941" s="551"/>
      <c r="K941" s="551"/>
      <c r="L941" s="551"/>
      <c r="M941" s="551"/>
      <c r="N941" s="551"/>
      <c r="O941" s="551"/>
      <c r="P941" s="551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  <c r="AD941" s="79"/>
      <c r="AE941" s="79"/>
      <c r="AF941" s="79"/>
    </row>
    <row r="942" spans="1:32" s="2" customFormat="1">
      <c r="A942" s="551"/>
      <c r="B942" s="551"/>
      <c r="C942" s="551"/>
      <c r="D942" s="551"/>
      <c r="E942" s="551"/>
      <c r="F942" s="551"/>
      <c r="G942" s="551"/>
      <c r="H942" s="551"/>
      <c r="I942" s="551"/>
      <c r="J942" s="551"/>
      <c r="K942" s="551"/>
      <c r="L942" s="551"/>
      <c r="M942" s="551"/>
      <c r="N942" s="551"/>
      <c r="O942" s="551"/>
      <c r="P942" s="551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  <c r="AD942" s="79"/>
      <c r="AE942" s="79"/>
      <c r="AF942" s="79"/>
    </row>
    <row r="943" spans="1:32" s="2" customFormat="1">
      <c r="A943" s="551"/>
      <c r="B943" s="551"/>
      <c r="C943" s="551"/>
      <c r="D943" s="551"/>
      <c r="E943" s="551"/>
      <c r="F943" s="551"/>
      <c r="G943" s="551"/>
      <c r="H943" s="551"/>
      <c r="I943" s="551"/>
      <c r="J943" s="551"/>
      <c r="K943" s="551"/>
      <c r="L943" s="551"/>
      <c r="M943" s="551"/>
      <c r="N943" s="551"/>
      <c r="O943" s="551"/>
      <c r="P943" s="551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  <c r="AD943" s="79"/>
      <c r="AE943" s="79"/>
      <c r="AF943" s="79"/>
    </row>
    <row r="944" spans="1:32" s="2" customFormat="1">
      <c r="A944" s="551"/>
      <c r="B944" s="551"/>
      <c r="C944" s="551"/>
      <c r="D944" s="551"/>
      <c r="E944" s="551"/>
      <c r="F944" s="551"/>
      <c r="G944" s="551"/>
      <c r="H944" s="551"/>
      <c r="I944" s="551"/>
      <c r="J944" s="551"/>
      <c r="K944" s="551"/>
      <c r="L944" s="551"/>
      <c r="M944" s="551"/>
      <c r="N944" s="551"/>
      <c r="O944" s="551"/>
      <c r="P944" s="551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  <c r="AD944" s="79"/>
      <c r="AE944" s="79"/>
      <c r="AF944" s="79"/>
    </row>
    <row r="945" spans="1:32" s="2" customFormat="1">
      <c r="A945" s="551"/>
      <c r="B945" s="551"/>
      <c r="C945" s="551"/>
      <c r="D945" s="551"/>
      <c r="E945" s="551"/>
      <c r="F945" s="551"/>
      <c r="G945" s="551"/>
      <c r="H945" s="551"/>
      <c r="I945" s="551"/>
      <c r="J945" s="551"/>
      <c r="K945" s="551"/>
      <c r="L945" s="551"/>
      <c r="M945" s="551"/>
      <c r="N945" s="551"/>
      <c r="O945" s="551"/>
      <c r="P945" s="551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  <c r="AD945" s="79"/>
      <c r="AE945" s="79"/>
      <c r="AF945" s="79"/>
    </row>
    <row r="946" spans="1:32" s="2" customFormat="1">
      <c r="A946" s="551"/>
      <c r="B946" s="551"/>
      <c r="C946" s="551"/>
      <c r="D946" s="551"/>
      <c r="E946" s="551"/>
      <c r="F946" s="551"/>
      <c r="G946" s="551"/>
      <c r="H946" s="551"/>
      <c r="I946" s="551"/>
      <c r="J946" s="551"/>
      <c r="K946" s="551"/>
      <c r="L946" s="551"/>
      <c r="M946" s="551"/>
      <c r="N946" s="551"/>
      <c r="O946" s="551"/>
      <c r="P946" s="551"/>
      <c r="Q946" s="79"/>
      <c r="R946" s="79"/>
      <c r="S946" s="79"/>
      <c r="T946" s="79"/>
      <c r="U946" s="79"/>
      <c r="V946" s="79"/>
      <c r="W946" s="79"/>
      <c r="X946" s="79"/>
      <c r="Y946" s="79"/>
      <c r="Z946" s="79"/>
      <c r="AA946" s="79"/>
      <c r="AB946" s="79"/>
      <c r="AC946" s="79"/>
      <c r="AD946" s="79"/>
      <c r="AE946" s="79"/>
      <c r="AF946" s="79"/>
    </row>
    <row r="947" spans="1:32" s="2" customFormat="1">
      <c r="A947" s="551"/>
      <c r="B947" s="551"/>
      <c r="C947" s="551"/>
      <c r="D947" s="551"/>
      <c r="E947" s="551"/>
      <c r="F947" s="551"/>
      <c r="G947" s="551"/>
      <c r="H947" s="551"/>
      <c r="I947" s="551"/>
      <c r="J947" s="551"/>
      <c r="K947" s="551"/>
      <c r="L947" s="551"/>
      <c r="M947" s="551"/>
      <c r="N947" s="551"/>
      <c r="O947" s="551"/>
      <c r="P947" s="551"/>
      <c r="Q947" s="79"/>
      <c r="R947" s="79"/>
      <c r="S947" s="79"/>
      <c r="T947" s="79"/>
      <c r="U947" s="79"/>
      <c r="V947" s="79"/>
      <c r="W947" s="79"/>
      <c r="X947" s="79"/>
      <c r="Y947" s="79"/>
      <c r="Z947" s="79"/>
      <c r="AA947" s="79"/>
      <c r="AB947" s="79"/>
      <c r="AC947" s="79"/>
      <c r="AD947" s="79"/>
      <c r="AE947" s="79"/>
      <c r="AF947" s="79"/>
    </row>
    <row r="948" spans="1:32" s="2" customFormat="1">
      <c r="A948" s="551"/>
      <c r="B948" s="551"/>
      <c r="C948" s="551"/>
      <c r="D948" s="551"/>
      <c r="E948" s="551"/>
      <c r="F948" s="551"/>
      <c r="G948" s="551"/>
      <c r="H948" s="551"/>
      <c r="I948" s="551"/>
      <c r="J948" s="551"/>
      <c r="K948" s="551"/>
      <c r="L948" s="551"/>
      <c r="M948" s="551"/>
      <c r="N948" s="551"/>
      <c r="O948" s="551"/>
      <c r="P948" s="551"/>
      <c r="Q948" s="79"/>
      <c r="R948" s="79"/>
      <c r="S948" s="79"/>
      <c r="T948" s="79"/>
      <c r="U948" s="79"/>
      <c r="V948" s="79"/>
      <c r="W948" s="79"/>
      <c r="X948" s="79"/>
      <c r="Y948" s="79"/>
      <c r="Z948" s="79"/>
      <c r="AA948" s="79"/>
      <c r="AB948" s="79"/>
      <c r="AC948" s="79"/>
      <c r="AD948" s="79"/>
      <c r="AE948" s="79"/>
      <c r="AF948" s="79"/>
    </row>
    <row r="949" spans="1:32" s="2" customFormat="1">
      <c r="A949" s="551"/>
      <c r="B949" s="551"/>
      <c r="C949" s="551"/>
      <c r="D949" s="551"/>
      <c r="E949" s="551"/>
      <c r="F949" s="551"/>
      <c r="G949" s="551"/>
      <c r="H949" s="551"/>
      <c r="I949" s="551"/>
      <c r="J949" s="551"/>
      <c r="K949" s="551"/>
      <c r="L949" s="551"/>
      <c r="M949" s="551"/>
      <c r="N949" s="551"/>
      <c r="O949" s="551"/>
      <c r="P949" s="551"/>
      <c r="Q949" s="79"/>
      <c r="R949" s="79"/>
      <c r="S949" s="79"/>
      <c r="T949" s="79"/>
      <c r="U949" s="79"/>
      <c r="V949" s="79"/>
      <c r="W949" s="79"/>
      <c r="X949" s="79"/>
      <c r="Y949" s="79"/>
      <c r="Z949" s="79"/>
      <c r="AA949" s="79"/>
      <c r="AB949" s="79"/>
      <c r="AC949" s="79"/>
      <c r="AD949" s="79"/>
      <c r="AE949" s="79"/>
      <c r="AF949" s="79"/>
    </row>
    <row r="950" spans="1:32" s="2" customFormat="1">
      <c r="A950" s="551"/>
      <c r="B950" s="551"/>
      <c r="C950" s="551"/>
      <c r="D950" s="551"/>
      <c r="E950" s="551"/>
      <c r="F950" s="551"/>
      <c r="G950" s="551"/>
      <c r="H950" s="551"/>
      <c r="I950" s="551"/>
      <c r="J950" s="551"/>
      <c r="K950" s="551"/>
      <c r="L950" s="551"/>
      <c r="M950" s="551"/>
      <c r="N950" s="551"/>
      <c r="O950" s="551"/>
      <c r="P950" s="551"/>
      <c r="Q950" s="79"/>
      <c r="R950" s="79"/>
      <c r="S950" s="79"/>
      <c r="T950" s="79"/>
      <c r="U950" s="79"/>
      <c r="V950" s="79"/>
      <c r="W950" s="79"/>
      <c r="X950" s="79"/>
      <c r="Y950" s="79"/>
      <c r="Z950" s="79"/>
      <c r="AA950" s="79"/>
      <c r="AB950" s="79"/>
      <c r="AC950" s="79"/>
      <c r="AD950" s="79"/>
      <c r="AE950" s="79"/>
      <c r="AF950" s="79"/>
    </row>
    <row r="951" spans="1:32" s="2" customFormat="1">
      <c r="A951" s="551"/>
      <c r="B951" s="551"/>
      <c r="C951" s="551"/>
      <c r="D951" s="551"/>
      <c r="E951" s="551"/>
      <c r="F951" s="551"/>
      <c r="G951" s="551"/>
      <c r="H951" s="551"/>
      <c r="I951" s="551"/>
      <c r="J951" s="551"/>
      <c r="K951" s="551"/>
      <c r="L951" s="551"/>
      <c r="M951" s="551"/>
      <c r="N951" s="551"/>
      <c r="O951" s="551"/>
      <c r="P951" s="551"/>
      <c r="Q951" s="79"/>
      <c r="R951" s="79"/>
      <c r="S951" s="79"/>
      <c r="T951" s="79"/>
      <c r="U951" s="79"/>
      <c r="V951" s="79"/>
      <c r="W951" s="79"/>
      <c r="X951" s="79"/>
      <c r="Y951" s="79"/>
      <c r="Z951" s="79"/>
      <c r="AA951" s="79"/>
      <c r="AB951" s="79"/>
      <c r="AC951" s="79"/>
      <c r="AD951" s="79"/>
      <c r="AE951" s="79"/>
      <c r="AF951" s="79"/>
    </row>
    <row r="952" spans="1:32" s="2" customFormat="1">
      <c r="A952" s="551"/>
      <c r="B952" s="551"/>
      <c r="C952" s="551"/>
      <c r="D952" s="551"/>
      <c r="E952" s="551"/>
      <c r="F952" s="551"/>
      <c r="G952" s="551"/>
      <c r="H952" s="551"/>
      <c r="I952" s="551"/>
      <c r="J952" s="551"/>
      <c r="K952" s="551"/>
      <c r="L952" s="551"/>
      <c r="M952" s="551"/>
      <c r="N952" s="551"/>
      <c r="O952" s="551"/>
      <c r="P952" s="551"/>
      <c r="Q952" s="79"/>
      <c r="R952" s="79"/>
      <c r="S952" s="79"/>
      <c r="T952" s="79"/>
      <c r="U952" s="79"/>
      <c r="V952" s="79"/>
      <c r="W952" s="79"/>
      <c r="X952" s="79"/>
      <c r="Y952" s="79"/>
      <c r="Z952" s="79"/>
      <c r="AA952" s="79"/>
      <c r="AB952" s="79"/>
      <c r="AC952" s="79"/>
      <c r="AD952" s="79"/>
      <c r="AE952" s="79"/>
      <c r="AF952" s="79"/>
    </row>
    <row r="953" spans="1:32" s="2" customFormat="1">
      <c r="A953" s="551"/>
      <c r="B953" s="551"/>
      <c r="C953" s="551"/>
      <c r="D953" s="551"/>
      <c r="E953" s="551"/>
      <c r="F953" s="551"/>
      <c r="G953" s="551"/>
      <c r="H953" s="551"/>
      <c r="I953" s="551"/>
      <c r="J953" s="551"/>
      <c r="K953" s="551"/>
      <c r="L953" s="551"/>
      <c r="M953" s="551"/>
      <c r="N953" s="551"/>
      <c r="O953" s="551"/>
      <c r="P953" s="551"/>
      <c r="Q953" s="79"/>
      <c r="R953" s="79"/>
      <c r="S953" s="79"/>
      <c r="T953" s="79"/>
      <c r="U953" s="79"/>
      <c r="V953" s="79"/>
      <c r="W953" s="79"/>
      <c r="X953" s="79"/>
      <c r="Y953" s="79"/>
      <c r="Z953" s="79"/>
      <c r="AA953" s="79"/>
      <c r="AB953" s="79"/>
      <c r="AC953" s="79"/>
      <c r="AD953" s="79"/>
      <c r="AE953" s="79"/>
      <c r="AF953" s="79"/>
    </row>
    <row r="954" spans="1:32" s="2" customFormat="1">
      <c r="A954" s="551"/>
      <c r="B954" s="551"/>
      <c r="C954" s="551"/>
      <c r="D954" s="551"/>
      <c r="E954" s="551"/>
      <c r="F954" s="551"/>
      <c r="G954" s="551"/>
      <c r="H954" s="551"/>
      <c r="I954" s="551"/>
      <c r="J954" s="551"/>
      <c r="K954" s="551"/>
      <c r="L954" s="551"/>
      <c r="M954" s="551"/>
      <c r="N954" s="551"/>
      <c r="O954" s="551"/>
      <c r="P954" s="551"/>
      <c r="Q954" s="79"/>
      <c r="R954" s="79"/>
      <c r="S954" s="79"/>
      <c r="T954" s="79"/>
      <c r="U954" s="79"/>
      <c r="V954" s="79"/>
      <c r="W954" s="79"/>
      <c r="X954" s="79"/>
      <c r="Y954" s="79"/>
      <c r="Z954" s="79"/>
      <c r="AA954" s="79"/>
      <c r="AB954" s="79"/>
      <c r="AC954" s="79"/>
      <c r="AD954" s="79"/>
      <c r="AE954" s="79"/>
      <c r="AF954" s="79"/>
    </row>
    <row r="955" spans="1:32" s="2" customFormat="1">
      <c r="A955" s="551"/>
      <c r="B955" s="551"/>
      <c r="C955" s="551"/>
      <c r="D955" s="551"/>
      <c r="E955" s="551"/>
      <c r="F955" s="551"/>
      <c r="G955" s="551"/>
      <c r="H955" s="551"/>
      <c r="I955" s="551"/>
      <c r="J955" s="551"/>
      <c r="K955" s="551"/>
      <c r="L955" s="551"/>
      <c r="M955" s="551"/>
      <c r="N955" s="551"/>
      <c r="O955" s="551"/>
      <c r="P955" s="551"/>
      <c r="Q955" s="79"/>
      <c r="R955" s="79"/>
      <c r="S955" s="79"/>
      <c r="T955" s="79"/>
      <c r="U955" s="79"/>
      <c r="V955" s="79"/>
      <c r="W955" s="79"/>
      <c r="X955" s="79"/>
      <c r="Y955" s="79"/>
      <c r="Z955" s="79"/>
      <c r="AA955" s="79"/>
      <c r="AB955" s="79"/>
      <c r="AC955" s="79"/>
      <c r="AD955" s="79"/>
      <c r="AE955" s="79"/>
      <c r="AF955" s="79"/>
    </row>
    <row r="956" spans="1:32" s="2" customFormat="1">
      <c r="A956" s="551"/>
      <c r="B956" s="551"/>
      <c r="C956" s="551"/>
      <c r="D956" s="551"/>
      <c r="E956" s="551"/>
      <c r="F956" s="551"/>
      <c r="G956" s="551"/>
      <c r="H956" s="551"/>
      <c r="I956" s="551"/>
      <c r="J956" s="551"/>
      <c r="K956" s="551"/>
      <c r="L956" s="551"/>
      <c r="M956" s="551"/>
      <c r="N956" s="551"/>
      <c r="O956" s="551"/>
      <c r="P956" s="551"/>
      <c r="Q956" s="79"/>
      <c r="R956" s="79"/>
      <c r="S956" s="79"/>
      <c r="T956" s="79"/>
      <c r="U956" s="79"/>
      <c r="V956" s="79"/>
      <c r="W956" s="79"/>
      <c r="X956" s="79"/>
      <c r="Y956" s="79"/>
      <c r="Z956" s="79"/>
      <c r="AA956" s="79"/>
      <c r="AB956" s="79"/>
      <c r="AC956" s="79"/>
      <c r="AD956" s="79"/>
      <c r="AE956" s="79"/>
      <c r="AF956" s="79"/>
    </row>
    <row r="957" spans="1:32" s="2" customFormat="1">
      <c r="A957" s="551"/>
      <c r="B957" s="551"/>
      <c r="C957" s="551"/>
      <c r="D957" s="551"/>
      <c r="E957" s="551"/>
      <c r="F957" s="551"/>
      <c r="G957" s="551"/>
      <c r="H957" s="551"/>
      <c r="I957" s="551"/>
      <c r="J957" s="551"/>
      <c r="K957" s="551"/>
      <c r="L957" s="551"/>
      <c r="M957" s="551"/>
      <c r="N957" s="551"/>
      <c r="O957" s="551"/>
      <c r="P957" s="551"/>
      <c r="Q957" s="79"/>
      <c r="R957" s="79"/>
      <c r="S957" s="79"/>
      <c r="T957" s="79"/>
      <c r="U957" s="79"/>
      <c r="V957" s="79"/>
      <c r="W957" s="79"/>
      <c r="X957" s="79"/>
      <c r="Y957" s="79"/>
      <c r="Z957" s="79"/>
      <c r="AA957" s="79"/>
      <c r="AB957" s="79"/>
      <c r="AC957" s="79"/>
      <c r="AD957" s="79"/>
      <c r="AE957" s="79"/>
      <c r="AF957" s="79"/>
    </row>
    <row r="958" spans="1:32" s="2" customFormat="1">
      <c r="A958" s="551"/>
      <c r="B958" s="551"/>
      <c r="C958" s="551"/>
      <c r="D958" s="551"/>
      <c r="E958" s="551"/>
      <c r="F958" s="551"/>
      <c r="G958" s="551"/>
      <c r="H958" s="551"/>
      <c r="I958" s="551"/>
      <c r="J958" s="551"/>
      <c r="K958" s="551"/>
      <c r="L958" s="551"/>
      <c r="M958" s="551"/>
      <c r="N958" s="551"/>
      <c r="O958" s="551"/>
      <c r="P958" s="551"/>
      <c r="Q958" s="79"/>
      <c r="R958" s="79"/>
      <c r="S958" s="79"/>
      <c r="T958" s="79"/>
      <c r="U958" s="79"/>
      <c r="V958" s="79"/>
      <c r="W958" s="79"/>
      <c r="X958" s="79"/>
      <c r="Y958" s="79"/>
      <c r="Z958" s="79"/>
      <c r="AA958" s="79"/>
      <c r="AB958" s="79"/>
      <c r="AC958" s="79"/>
      <c r="AD958" s="79"/>
      <c r="AE958" s="79"/>
      <c r="AF958" s="79"/>
    </row>
    <row r="959" spans="1:32" s="2" customFormat="1">
      <c r="A959" s="551"/>
      <c r="B959" s="551"/>
      <c r="C959" s="551"/>
      <c r="D959" s="551"/>
      <c r="E959" s="551"/>
      <c r="F959" s="551"/>
      <c r="G959" s="551"/>
      <c r="H959" s="551"/>
      <c r="I959" s="551"/>
      <c r="J959" s="551"/>
      <c r="K959" s="551"/>
      <c r="L959" s="551"/>
      <c r="M959" s="551"/>
      <c r="N959" s="551"/>
      <c r="O959" s="551"/>
      <c r="P959" s="551"/>
      <c r="Q959" s="79"/>
      <c r="R959" s="79"/>
      <c r="S959" s="79"/>
      <c r="T959" s="79"/>
      <c r="U959" s="79"/>
      <c r="V959" s="79"/>
      <c r="W959" s="79"/>
      <c r="X959" s="79"/>
      <c r="Y959" s="79"/>
      <c r="Z959" s="79"/>
      <c r="AA959" s="79"/>
      <c r="AB959" s="79"/>
      <c r="AC959" s="79"/>
      <c r="AD959" s="79"/>
      <c r="AE959" s="79"/>
      <c r="AF959" s="79"/>
    </row>
    <row r="960" spans="1:32" s="2" customFormat="1">
      <c r="A960" s="551"/>
      <c r="B960" s="551"/>
      <c r="C960" s="551"/>
      <c r="D960" s="551"/>
      <c r="E960" s="551"/>
      <c r="F960" s="551"/>
      <c r="G960" s="551"/>
      <c r="H960" s="551"/>
      <c r="I960" s="551"/>
      <c r="J960" s="551"/>
      <c r="K960" s="551"/>
      <c r="L960" s="551"/>
      <c r="M960" s="551"/>
      <c r="N960" s="551"/>
      <c r="O960" s="551"/>
      <c r="P960" s="551"/>
      <c r="Q960" s="79"/>
      <c r="R960" s="79"/>
      <c r="S960" s="79"/>
      <c r="T960" s="79"/>
      <c r="U960" s="79"/>
      <c r="V960" s="79"/>
      <c r="W960" s="79"/>
      <c r="X960" s="79"/>
      <c r="Y960" s="79"/>
      <c r="Z960" s="79"/>
      <c r="AA960" s="79"/>
      <c r="AB960" s="79"/>
      <c r="AC960" s="79"/>
      <c r="AD960" s="79"/>
      <c r="AE960" s="79"/>
      <c r="AF960" s="79"/>
    </row>
    <row r="961" spans="1:32" s="2" customFormat="1">
      <c r="A961" s="551"/>
      <c r="B961" s="551"/>
      <c r="C961" s="551"/>
      <c r="D961" s="551"/>
      <c r="E961" s="551"/>
      <c r="F961" s="551"/>
      <c r="G961" s="551"/>
      <c r="H961" s="551"/>
      <c r="I961" s="551"/>
      <c r="J961" s="551"/>
      <c r="K961" s="551"/>
      <c r="L961" s="551"/>
      <c r="M961" s="551"/>
      <c r="N961" s="551"/>
      <c r="O961" s="551"/>
      <c r="P961" s="551"/>
      <c r="Q961" s="79"/>
      <c r="R961" s="79"/>
      <c r="S961" s="79"/>
      <c r="T961" s="79"/>
      <c r="U961" s="79"/>
      <c r="V961" s="79"/>
      <c r="W961" s="79"/>
      <c r="X961" s="79"/>
      <c r="Y961" s="79"/>
      <c r="Z961" s="79"/>
      <c r="AA961" s="79"/>
      <c r="AB961" s="79"/>
      <c r="AC961" s="79"/>
      <c r="AD961" s="79"/>
      <c r="AE961" s="79"/>
      <c r="AF961" s="79"/>
    </row>
    <row r="962" spans="1:32" s="2" customFormat="1">
      <c r="A962" s="551"/>
      <c r="B962" s="551"/>
      <c r="C962" s="551"/>
      <c r="D962" s="551"/>
      <c r="E962" s="551"/>
      <c r="F962" s="551"/>
      <c r="G962" s="551"/>
      <c r="H962" s="551"/>
      <c r="I962" s="551"/>
      <c r="J962" s="551"/>
      <c r="K962" s="551"/>
      <c r="L962" s="551"/>
      <c r="M962" s="551"/>
      <c r="N962" s="551"/>
      <c r="O962" s="551"/>
      <c r="P962" s="551"/>
      <c r="Q962" s="79"/>
      <c r="R962" s="79"/>
      <c r="S962" s="79"/>
      <c r="T962" s="79"/>
      <c r="U962" s="79"/>
      <c r="V962" s="79"/>
      <c r="W962" s="79"/>
      <c r="X962" s="79"/>
      <c r="Y962" s="79"/>
      <c r="Z962" s="79"/>
      <c r="AA962" s="79"/>
      <c r="AB962" s="79"/>
      <c r="AC962" s="79"/>
      <c r="AD962" s="79"/>
      <c r="AE962" s="79"/>
      <c r="AF962" s="79"/>
    </row>
    <row r="963" spans="1:32" s="2" customFormat="1">
      <c r="A963" s="551"/>
      <c r="B963" s="551"/>
      <c r="C963" s="551"/>
      <c r="D963" s="551"/>
      <c r="E963" s="551"/>
      <c r="F963" s="551"/>
      <c r="G963" s="551"/>
      <c r="H963" s="551"/>
      <c r="I963" s="551"/>
      <c r="J963" s="551"/>
      <c r="K963" s="551"/>
      <c r="L963" s="551"/>
      <c r="M963" s="551"/>
      <c r="N963" s="551"/>
      <c r="O963" s="551"/>
      <c r="P963" s="551"/>
      <c r="Q963" s="79"/>
      <c r="R963" s="79"/>
      <c r="S963" s="79"/>
      <c r="T963" s="79"/>
      <c r="U963" s="79"/>
      <c r="V963" s="79"/>
      <c r="W963" s="79"/>
      <c r="X963" s="79"/>
      <c r="Y963" s="79"/>
      <c r="Z963" s="79"/>
      <c r="AA963" s="79"/>
      <c r="AB963" s="79"/>
      <c r="AC963" s="79"/>
      <c r="AD963" s="79"/>
      <c r="AE963" s="79"/>
      <c r="AF963" s="79"/>
    </row>
    <row r="964" spans="1:32" s="2" customFormat="1">
      <c r="A964" s="551"/>
      <c r="B964" s="551"/>
      <c r="C964" s="551"/>
      <c r="D964" s="551"/>
      <c r="E964" s="551"/>
      <c r="F964" s="551"/>
      <c r="G964" s="551"/>
      <c r="H964" s="551"/>
      <c r="I964" s="551"/>
      <c r="J964" s="551"/>
      <c r="K964" s="551"/>
      <c r="L964" s="551"/>
      <c r="M964" s="551"/>
      <c r="N964" s="551"/>
      <c r="O964" s="551"/>
      <c r="P964" s="551"/>
      <c r="Q964" s="79"/>
      <c r="R964" s="79"/>
      <c r="S964" s="79"/>
      <c r="T964" s="79"/>
      <c r="U964" s="79"/>
      <c r="V964" s="79"/>
      <c r="W964" s="79"/>
      <c r="X964" s="79"/>
      <c r="Y964" s="79"/>
      <c r="Z964" s="79"/>
      <c r="AA964" s="79"/>
      <c r="AB964" s="79"/>
      <c r="AC964" s="79"/>
      <c r="AD964" s="79"/>
      <c r="AE964" s="79"/>
      <c r="AF964" s="79"/>
    </row>
    <row r="965" spans="1:32" s="2" customFormat="1">
      <c r="A965" s="551"/>
      <c r="B965" s="551"/>
      <c r="C965" s="551"/>
      <c r="D965" s="551"/>
      <c r="E965" s="551"/>
      <c r="F965" s="551"/>
      <c r="G965" s="551"/>
      <c r="H965" s="551"/>
      <c r="I965" s="551"/>
      <c r="J965" s="551"/>
      <c r="K965" s="551"/>
      <c r="L965" s="551"/>
      <c r="M965" s="551"/>
      <c r="N965" s="551"/>
      <c r="O965" s="551"/>
      <c r="P965" s="551"/>
      <c r="Q965" s="79"/>
      <c r="R965" s="79"/>
      <c r="S965" s="79"/>
      <c r="T965" s="79"/>
      <c r="U965" s="79"/>
      <c r="V965" s="79"/>
      <c r="W965" s="79"/>
      <c r="X965" s="79"/>
      <c r="Y965" s="79"/>
      <c r="Z965" s="79"/>
      <c r="AA965" s="79"/>
      <c r="AB965" s="79"/>
      <c r="AC965" s="79"/>
      <c r="AD965" s="79"/>
      <c r="AE965" s="79"/>
      <c r="AF965" s="79"/>
    </row>
    <row r="966" spans="1:32" s="2" customFormat="1">
      <c r="A966" s="551"/>
      <c r="B966" s="551"/>
      <c r="C966" s="551"/>
      <c r="D966" s="551"/>
      <c r="E966" s="551"/>
      <c r="F966" s="551"/>
      <c r="G966" s="551"/>
      <c r="H966" s="551"/>
      <c r="I966" s="551"/>
      <c r="J966" s="551"/>
      <c r="K966" s="551"/>
      <c r="L966" s="551"/>
      <c r="M966" s="551"/>
      <c r="N966" s="551"/>
      <c r="O966" s="551"/>
      <c r="P966" s="551"/>
      <c r="Q966" s="79"/>
      <c r="R966" s="79"/>
      <c r="S966" s="79"/>
      <c r="T966" s="79"/>
      <c r="U966" s="79"/>
      <c r="V966" s="79"/>
      <c r="W966" s="79"/>
      <c r="X966" s="79"/>
      <c r="Y966" s="79"/>
      <c r="Z966" s="79"/>
      <c r="AA966" s="79"/>
      <c r="AB966" s="79"/>
      <c r="AC966" s="79"/>
      <c r="AD966" s="79"/>
      <c r="AE966" s="79"/>
      <c r="AF966" s="79"/>
    </row>
    <row r="967" spans="1:32" s="2" customFormat="1">
      <c r="A967" s="551"/>
      <c r="B967" s="551"/>
      <c r="C967" s="551"/>
      <c r="D967" s="551"/>
      <c r="E967" s="551"/>
      <c r="F967" s="551"/>
      <c r="G967" s="551"/>
      <c r="H967" s="551"/>
      <c r="I967" s="551"/>
      <c r="J967" s="551"/>
      <c r="K967" s="551"/>
      <c r="L967" s="551"/>
      <c r="M967" s="551"/>
      <c r="N967" s="551"/>
      <c r="O967" s="551"/>
      <c r="P967" s="551"/>
      <c r="Q967" s="79"/>
      <c r="R967" s="79"/>
      <c r="S967" s="79"/>
      <c r="T967" s="79"/>
      <c r="U967" s="79"/>
      <c r="V967" s="79"/>
      <c r="W967" s="79"/>
      <c r="X967" s="79"/>
      <c r="Y967" s="79"/>
      <c r="Z967" s="79"/>
      <c r="AA967" s="79"/>
      <c r="AB967" s="79"/>
      <c r="AC967" s="79"/>
      <c r="AD967" s="79"/>
      <c r="AE967" s="79"/>
      <c r="AF967" s="79"/>
    </row>
    <row r="968" spans="1:32" s="2" customFormat="1">
      <c r="A968" s="551"/>
      <c r="B968" s="551"/>
      <c r="C968" s="551"/>
      <c r="D968" s="551"/>
      <c r="E968" s="551"/>
      <c r="F968" s="551"/>
      <c r="G968" s="551"/>
      <c r="H968" s="551"/>
      <c r="I968" s="551"/>
      <c r="J968" s="551"/>
      <c r="K968" s="551"/>
      <c r="L968" s="551"/>
      <c r="M968" s="551"/>
      <c r="N968" s="551"/>
      <c r="O968" s="551"/>
      <c r="P968" s="551"/>
      <c r="Q968" s="79"/>
      <c r="R968" s="79"/>
      <c r="S968" s="79"/>
      <c r="T968" s="79"/>
      <c r="U968" s="79"/>
      <c r="V968" s="79"/>
      <c r="W968" s="79"/>
      <c r="X968" s="79"/>
      <c r="Y968" s="79"/>
      <c r="Z968" s="79"/>
      <c r="AA968" s="79"/>
      <c r="AB968" s="79"/>
      <c r="AC968" s="79"/>
      <c r="AD968" s="79"/>
      <c r="AE968" s="79"/>
      <c r="AF968" s="79"/>
    </row>
    <row r="969" spans="1:32" s="2" customFormat="1">
      <c r="A969" s="551"/>
      <c r="B969" s="551"/>
      <c r="C969" s="551"/>
      <c r="D969" s="551"/>
      <c r="E969" s="551"/>
      <c r="F969" s="551"/>
      <c r="G969" s="551"/>
      <c r="H969" s="551"/>
      <c r="I969" s="551"/>
      <c r="J969" s="551"/>
      <c r="K969" s="551"/>
      <c r="L969" s="551"/>
      <c r="M969" s="551"/>
      <c r="N969" s="551"/>
      <c r="O969" s="551"/>
      <c r="P969" s="551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  <c r="AD969" s="79"/>
      <c r="AE969" s="79"/>
      <c r="AF969" s="79"/>
    </row>
    <row r="970" spans="1:32" s="2" customFormat="1">
      <c r="A970" s="551"/>
      <c r="B970" s="551"/>
      <c r="C970" s="551"/>
      <c r="D970" s="551"/>
      <c r="E970" s="551"/>
      <c r="F970" s="551"/>
      <c r="G970" s="551"/>
      <c r="H970" s="551"/>
      <c r="I970" s="551"/>
      <c r="J970" s="551"/>
      <c r="K970" s="551"/>
      <c r="L970" s="551"/>
      <c r="M970" s="551"/>
      <c r="N970" s="551"/>
      <c r="O970" s="551"/>
      <c r="P970" s="551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  <c r="AD970" s="79"/>
      <c r="AE970" s="79"/>
      <c r="AF970" s="79"/>
    </row>
    <row r="971" spans="1:32" s="2" customFormat="1">
      <c r="A971" s="551"/>
      <c r="B971" s="551"/>
      <c r="C971" s="551"/>
      <c r="D971" s="551"/>
      <c r="E971" s="551"/>
      <c r="F971" s="551"/>
      <c r="G971" s="551"/>
      <c r="H971" s="551"/>
      <c r="I971" s="551"/>
      <c r="J971" s="551"/>
      <c r="K971" s="551"/>
      <c r="L971" s="551"/>
      <c r="M971" s="551"/>
      <c r="N971" s="551"/>
      <c r="O971" s="551"/>
      <c r="P971" s="551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  <c r="AD971" s="79"/>
      <c r="AE971" s="79"/>
      <c r="AF971" s="79"/>
    </row>
    <row r="972" spans="1:32" s="2" customFormat="1">
      <c r="A972" s="551"/>
      <c r="B972" s="551"/>
      <c r="C972" s="551"/>
      <c r="D972" s="551"/>
      <c r="E972" s="551"/>
      <c r="F972" s="551"/>
      <c r="G972" s="551"/>
      <c r="H972" s="551"/>
      <c r="I972" s="551"/>
      <c r="J972" s="551"/>
      <c r="K972" s="551"/>
      <c r="L972" s="551"/>
      <c r="M972" s="551"/>
      <c r="N972" s="551"/>
      <c r="O972" s="551"/>
      <c r="P972" s="551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  <c r="AD972" s="79"/>
      <c r="AE972" s="79"/>
      <c r="AF972" s="79"/>
    </row>
    <row r="973" spans="1:32" s="2" customFormat="1">
      <c r="A973" s="551"/>
      <c r="B973" s="551"/>
      <c r="C973" s="551"/>
      <c r="D973" s="551"/>
      <c r="E973" s="551"/>
      <c r="F973" s="551"/>
      <c r="G973" s="551"/>
      <c r="H973" s="551"/>
      <c r="I973" s="551"/>
      <c r="J973" s="551"/>
      <c r="K973" s="551"/>
      <c r="L973" s="551"/>
      <c r="M973" s="551"/>
      <c r="N973" s="551"/>
      <c r="O973" s="551"/>
      <c r="P973" s="551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  <c r="AD973" s="79"/>
      <c r="AE973" s="79"/>
      <c r="AF973" s="79"/>
    </row>
    <row r="974" spans="1:32" s="2" customFormat="1">
      <c r="A974" s="551"/>
      <c r="B974" s="551"/>
      <c r="C974" s="551"/>
      <c r="D974" s="551"/>
      <c r="E974" s="551"/>
      <c r="F974" s="551"/>
      <c r="G974" s="551"/>
      <c r="H974" s="551"/>
      <c r="I974" s="551"/>
      <c r="J974" s="551"/>
      <c r="K974" s="551"/>
      <c r="L974" s="551"/>
      <c r="M974" s="551"/>
      <c r="N974" s="551"/>
      <c r="O974" s="551"/>
      <c r="P974" s="551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  <c r="AD974" s="79"/>
      <c r="AE974" s="79"/>
      <c r="AF974" s="79"/>
    </row>
    <row r="975" spans="1:32" s="2" customFormat="1">
      <c r="A975" s="551"/>
      <c r="B975" s="551"/>
      <c r="C975" s="551"/>
      <c r="D975" s="551"/>
      <c r="E975" s="551"/>
      <c r="F975" s="551"/>
      <c r="G975" s="551"/>
      <c r="H975" s="551"/>
      <c r="I975" s="551"/>
      <c r="J975" s="551"/>
      <c r="K975" s="551"/>
      <c r="L975" s="551"/>
      <c r="M975" s="551"/>
      <c r="N975" s="551"/>
      <c r="O975" s="551"/>
      <c r="P975" s="551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  <c r="AD975" s="79"/>
      <c r="AE975" s="79"/>
      <c r="AF975" s="79"/>
    </row>
    <row r="976" spans="1:32" s="2" customFormat="1">
      <c r="A976" s="551"/>
      <c r="B976" s="551"/>
      <c r="C976" s="551"/>
      <c r="D976" s="551"/>
      <c r="E976" s="551"/>
      <c r="F976" s="551"/>
      <c r="G976" s="551"/>
      <c r="H976" s="551"/>
      <c r="I976" s="551"/>
      <c r="J976" s="551"/>
      <c r="K976" s="551"/>
      <c r="L976" s="551"/>
      <c r="M976" s="551"/>
      <c r="N976" s="551"/>
      <c r="O976" s="551"/>
      <c r="P976" s="551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  <c r="AD976" s="79"/>
      <c r="AE976" s="79"/>
      <c r="AF976" s="79"/>
    </row>
    <row r="977" spans="1:32" s="2" customFormat="1">
      <c r="A977" s="551"/>
      <c r="B977" s="551"/>
      <c r="C977" s="551"/>
      <c r="D977" s="551"/>
      <c r="E977" s="551"/>
      <c r="F977" s="551"/>
      <c r="G977" s="551"/>
      <c r="H977" s="551"/>
      <c r="I977" s="551"/>
      <c r="J977" s="551"/>
      <c r="K977" s="551"/>
      <c r="L977" s="551"/>
      <c r="M977" s="551"/>
      <c r="N977" s="551"/>
      <c r="O977" s="551"/>
      <c r="P977" s="551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  <c r="AD977" s="79"/>
      <c r="AE977" s="79"/>
      <c r="AF977" s="79"/>
    </row>
    <row r="978" spans="1:32" s="2" customFormat="1">
      <c r="A978" s="551"/>
      <c r="B978" s="551"/>
      <c r="C978" s="551"/>
      <c r="D978" s="551"/>
      <c r="E978" s="551"/>
      <c r="F978" s="551"/>
      <c r="G978" s="551"/>
      <c r="H978" s="551"/>
      <c r="I978" s="551"/>
      <c r="J978" s="551"/>
      <c r="K978" s="551"/>
      <c r="L978" s="551"/>
      <c r="M978" s="551"/>
      <c r="N978" s="551"/>
      <c r="O978" s="551"/>
      <c r="P978" s="551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  <c r="AD978" s="79"/>
      <c r="AE978" s="79"/>
      <c r="AF978" s="79"/>
    </row>
    <row r="979" spans="1:32" s="2" customFormat="1">
      <c r="A979" s="551"/>
      <c r="B979" s="551"/>
      <c r="C979" s="551"/>
      <c r="D979" s="551"/>
      <c r="E979" s="551"/>
      <c r="F979" s="551"/>
      <c r="G979" s="551"/>
      <c r="H979" s="551"/>
      <c r="I979" s="551"/>
      <c r="J979" s="551"/>
      <c r="K979" s="551"/>
      <c r="L979" s="551"/>
      <c r="M979" s="551"/>
      <c r="N979" s="551"/>
      <c r="O979" s="551"/>
      <c r="P979" s="551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  <c r="AD979" s="79"/>
      <c r="AE979" s="79"/>
      <c r="AF979" s="79"/>
    </row>
    <row r="980" spans="1:32" s="2" customFormat="1">
      <c r="A980" s="551"/>
      <c r="B980" s="551"/>
      <c r="C980" s="551"/>
      <c r="D980" s="551"/>
      <c r="E980" s="551"/>
      <c r="F980" s="551"/>
      <c r="G980" s="551"/>
      <c r="H980" s="551"/>
      <c r="I980" s="551"/>
      <c r="J980" s="551"/>
      <c r="K980" s="551"/>
      <c r="L980" s="551"/>
      <c r="M980" s="551"/>
      <c r="N980" s="551"/>
      <c r="O980" s="551"/>
      <c r="P980" s="551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  <c r="AD980" s="79"/>
      <c r="AE980" s="79"/>
      <c r="AF980" s="79"/>
    </row>
    <row r="981" spans="1:32" s="2" customFormat="1">
      <c r="A981" s="551"/>
      <c r="B981" s="551"/>
      <c r="C981" s="551"/>
      <c r="D981" s="551"/>
      <c r="E981" s="551"/>
      <c r="F981" s="551"/>
      <c r="G981" s="551"/>
      <c r="H981" s="551"/>
      <c r="I981" s="551"/>
      <c r="J981" s="551"/>
      <c r="K981" s="551"/>
      <c r="L981" s="551"/>
      <c r="M981" s="551"/>
      <c r="N981" s="551"/>
      <c r="O981" s="551"/>
      <c r="P981" s="551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  <c r="AD981" s="79"/>
      <c r="AE981" s="79"/>
      <c r="AF981" s="79"/>
    </row>
    <row r="982" spans="1:32" s="2" customFormat="1">
      <c r="A982" s="551"/>
      <c r="B982" s="551"/>
      <c r="C982" s="551"/>
      <c r="D982" s="551"/>
      <c r="E982" s="551"/>
      <c r="F982" s="551"/>
      <c r="G982" s="551"/>
      <c r="H982" s="551"/>
      <c r="I982" s="551"/>
      <c r="J982" s="551"/>
      <c r="K982" s="551"/>
      <c r="L982" s="551"/>
      <c r="M982" s="551"/>
      <c r="N982" s="551"/>
      <c r="O982" s="551"/>
      <c r="P982" s="551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  <c r="AD982" s="79"/>
      <c r="AE982" s="79"/>
      <c r="AF982" s="79"/>
    </row>
    <row r="983" spans="1:32" s="2" customFormat="1">
      <c r="A983" s="551"/>
      <c r="B983" s="551"/>
      <c r="C983" s="551"/>
      <c r="D983" s="551"/>
      <c r="E983" s="551"/>
      <c r="F983" s="551"/>
      <c r="G983" s="551"/>
      <c r="H983" s="551"/>
      <c r="I983" s="551"/>
      <c r="J983" s="551"/>
      <c r="K983" s="551"/>
      <c r="L983" s="551"/>
      <c r="M983" s="551"/>
      <c r="N983" s="551"/>
      <c r="O983" s="551"/>
      <c r="P983" s="551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  <c r="AD983" s="79"/>
      <c r="AE983" s="79"/>
      <c r="AF983" s="79"/>
    </row>
    <row r="984" spans="1:32" s="2" customFormat="1">
      <c r="A984" s="551"/>
      <c r="B984" s="551"/>
      <c r="C984" s="551"/>
      <c r="D984" s="551"/>
      <c r="E984" s="551"/>
      <c r="F984" s="551"/>
      <c r="G984" s="551"/>
      <c r="H984" s="551"/>
      <c r="I984" s="551"/>
      <c r="J984" s="551"/>
      <c r="K984" s="551"/>
      <c r="L984" s="551"/>
      <c r="M984" s="551"/>
      <c r="N984" s="551"/>
      <c r="O984" s="551"/>
      <c r="P984" s="551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  <c r="AD984" s="79"/>
      <c r="AE984" s="79"/>
      <c r="AF984" s="79"/>
    </row>
    <row r="985" spans="1:32" s="2" customFormat="1">
      <c r="A985" s="551"/>
      <c r="B985" s="551"/>
      <c r="C985" s="551"/>
      <c r="D985" s="551"/>
      <c r="E985" s="551"/>
      <c r="F985" s="551"/>
      <c r="G985" s="551"/>
      <c r="H985" s="551"/>
      <c r="I985" s="551"/>
      <c r="J985" s="551"/>
      <c r="K985" s="551"/>
      <c r="L985" s="551"/>
      <c r="M985" s="551"/>
      <c r="N985" s="551"/>
      <c r="O985" s="551"/>
      <c r="P985" s="551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</row>
    <row r="986" spans="1:32" s="2" customFormat="1">
      <c r="A986" s="551"/>
      <c r="B986" s="551"/>
      <c r="C986" s="551"/>
      <c r="D986" s="551"/>
      <c r="E986" s="551"/>
      <c r="F986" s="551"/>
      <c r="G986" s="551"/>
      <c r="H986" s="551"/>
      <c r="I986" s="551"/>
      <c r="J986" s="551"/>
      <c r="K986" s="551"/>
      <c r="L986" s="551"/>
      <c r="M986" s="551"/>
      <c r="N986" s="551"/>
      <c r="O986" s="551"/>
      <c r="P986" s="551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  <c r="AD986" s="79"/>
      <c r="AE986" s="79"/>
      <c r="AF986" s="79"/>
    </row>
    <row r="987" spans="1:32" s="2" customFormat="1">
      <c r="A987" s="551"/>
      <c r="B987" s="551"/>
      <c r="C987" s="551"/>
      <c r="D987" s="551"/>
      <c r="E987" s="551"/>
      <c r="F987" s="551"/>
      <c r="G987" s="551"/>
      <c r="H987" s="551"/>
      <c r="I987" s="551"/>
      <c r="J987" s="551"/>
      <c r="K987" s="551"/>
      <c r="L987" s="551"/>
      <c r="M987" s="551"/>
      <c r="N987" s="551"/>
      <c r="O987" s="551"/>
      <c r="P987" s="551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  <c r="AD987" s="79"/>
      <c r="AE987" s="79"/>
      <c r="AF987" s="79"/>
    </row>
    <row r="988" spans="1:32" s="2" customFormat="1">
      <c r="A988" s="551"/>
      <c r="B988" s="551"/>
      <c r="C988" s="551"/>
      <c r="D988" s="551"/>
      <c r="E988" s="551"/>
      <c r="F988" s="551"/>
      <c r="G988" s="551"/>
      <c r="H988" s="551"/>
      <c r="I988" s="551"/>
      <c r="J988" s="551"/>
      <c r="K988" s="551"/>
      <c r="L988" s="551"/>
      <c r="M988" s="551"/>
      <c r="N988" s="551"/>
      <c r="O988" s="551"/>
      <c r="P988" s="551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  <c r="AD988" s="79"/>
      <c r="AE988" s="79"/>
      <c r="AF988" s="79"/>
    </row>
    <row r="989" spans="1:32" s="2" customFormat="1">
      <c r="A989" s="551"/>
      <c r="B989" s="551"/>
      <c r="C989" s="551"/>
      <c r="D989" s="551"/>
      <c r="E989" s="551"/>
      <c r="F989" s="551"/>
      <c r="G989" s="551"/>
      <c r="H989" s="551"/>
      <c r="I989" s="551"/>
      <c r="J989" s="551"/>
      <c r="K989" s="551"/>
      <c r="L989" s="551"/>
      <c r="M989" s="551"/>
      <c r="N989" s="551"/>
      <c r="O989" s="551"/>
      <c r="P989" s="551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  <c r="AD989" s="79"/>
      <c r="AE989" s="79"/>
      <c r="AF989" s="79"/>
    </row>
    <row r="990" spans="1:32" s="2" customFormat="1">
      <c r="A990" s="551"/>
      <c r="B990" s="551"/>
      <c r="C990" s="551"/>
      <c r="D990" s="551"/>
      <c r="E990" s="551"/>
      <c r="F990" s="551"/>
      <c r="G990" s="551"/>
      <c r="H990" s="551"/>
      <c r="I990" s="551"/>
      <c r="J990" s="551"/>
      <c r="K990" s="551"/>
      <c r="L990" s="551"/>
      <c r="M990" s="551"/>
      <c r="N990" s="551"/>
      <c r="O990" s="551"/>
      <c r="P990" s="551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  <c r="AD990" s="79"/>
      <c r="AE990" s="79"/>
      <c r="AF990" s="79"/>
    </row>
    <row r="991" spans="1:32" s="2" customFormat="1">
      <c r="A991" s="551"/>
      <c r="B991" s="551"/>
      <c r="C991" s="551"/>
      <c r="D991" s="551"/>
      <c r="E991" s="551"/>
      <c r="F991" s="551"/>
      <c r="G991" s="551"/>
      <c r="H991" s="551"/>
      <c r="I991" s="551"/>
      <c r="J991" s="551"/>
      <c r="K991" s="551"/>
      <c r="L991" s="551"/>
      <c r="M991" s="551"/>
      <c r="N991" s="551"/>
      <c r="O991" s="551"/>
      <c r="P991" s="551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  <c r="AD991" s="79"/>
      <c r="AE991" s="79"/>
      <c r="AF991" s="79"/>
    </row>
    <row r="992" spans="1:32" s="2" customFormat="1">
      <c r="A992" s="551"/>
      <c r="B992" s="551"/>
      <c r="C992" s="551"/>
      <c r="D992" s="551"/>
      <c r="E992" s="551"/>
      <c r="F992" s="551"/>
      <c r="G992" s="551"/>
      <c r="H992" s="551"/>
      <c r="I992" s="551"/>
      <c r="J992" s="551"/>
      <c r="K992" s="551"/>
      <c r="L992" s="551"/>
      <c r="M992" s="551"/>
      <c r="N992" s="551"/>
      <c r="O992" s="551"/>
      <c r="P992" s="551"/>
      <c r="Q992" s="79"/>
      <c r="R992" s="79"/>
      <c r="S992" s="79"/>
      <c r="T992" s="79"/>
      <c r="U992" s="79"/>
      <c r="V992" s="79"/>
      <c r="W992" s="79"/>
      <c r="X992" s="79"/>
      <c r="Y992" s="79"/>
      <c r="Z992" s="79"/>
      <c r="AA992" s="79"/>
      <c r="AB992" s="79"/>
      <c r="AC992" s="79"/>
      <c r="AD992" s="79"/>
      <c r="AE992" s="79"/>
      <c r="AF992" s="79"/>
    </row>
    <row r="993" spans="1:32" s="2" customFormat="1">
      <c r="A993" s="551"/>
      <c r="B993" s="551"/>
      <c r="C993" s="551"/>
      <c r="D993" s="551"/>
      <c r="E993" s="551"/>
      <c r="F993" s="551"/>
      <c r="G993" s="551"/>
      <c r="H993" s="551"/>
      <c r="I993" s="551"/>
      <c r="J993" s="551"/>
      <c r="K993" s="551"/>
      <c r="L993" s="551"/>
      <c r="M993" s="551"/>
      <c r="N993" s="551"/>
      <c r="O993" s="551"/>
      <c r="P993" s="551"/>
      <c r="Q993" s="79"/>
      <c r="R993" s="79"/>
      <c r="S993" s="79"/>
      <c r="T993" s="79"/>
      <c r="U993" s="79"/>
      <c r="V993" s="79"/>
      <c r="W993" s="79"/>
      <c r="X993" s="79"/>
      <c r="Y993" s="79"/>
      <c r="Z993" s="79"/>
      <c r="AA993" s="79"/>
      <c r="AB993" s="79"/>
      <c r="AC993" s="79"/>
      <c r="AD993" s="79"/>
      <c r="AE993" s="79"/>
      <c r="AF993" s="79"/>
    </row>
    <row r="994" spans="1:32" s="2" customFormat="1">
      <c r="A994" s="551"/>
      <c r="B994" s="551"/>
      <c r="C994" s="551"/>
      <c r="D994" s="551"/>
      <c r="E994" s="551"/>
      <c r="F994" s="551"/>
      <c r="G994" s="551"/>
      <c r="H994" s="551"/>
      <c r="I994" s="551"/>
      <c r="J994" s="551"/>
      <c r="K994" s="551"/>
      <c r="L994" s="551"/>
      <c r="M994" s="551"/>
      <c r="N994" s="551"/>
      <c r="O994" s="551"/>
      <c r="P994" s="551"/>
      <c r="Q994" s="79"/>
      <c r="R994" s="79"/>
      <c r="S994" s="79"/>
      <c r="T994" s="79"/>
      <c r="U994" s="79"/>
      <c r="V994" s="79"/>
      <c r="W994" s="79"/>
      <c r="X994" s="79"/>
      <c r="Y994" s="79"/>
      <c r="Z994" s="79"/>
      <c r="AA994" s="79"/>
      <c r="AB994" s="79"/>
      <c r="AC994" s="79"/>
      <c r="AD994" s="79"/>
      <c r="AE994" s="79"/>
      <c r="AF994" s="79"/>
    </row>
    <row r="995" spans="1:32" s="2" customFormat="1">
      <c r="A995" s="551"/>
      <c r="B995" s="551"/>
      <c r="C995" s="551"/>
      <c r="D995" s="551"/>
      <c r="E995" s="551"/>
      <c r="F995" s="551"/>
      <c r="G995" s="551"/>
      <c r="H995" s="551"/>
      <c r="I995" s="551"/>
      <c r="J995" s="551"/>
      <c r="K995" s="551"/>
      <c r="L995" s="551"/>
      <c r="M995" s="551"/>
      <c r="N995" s="551"/>
      <c r="O995" s="551"/>
      <c r="P995" s="551"/>
      <c r="Q995" s="79"/>
      <c r="R995" s="79"/>
      <c r="S995" s="79"/>
      <c r="T995" s="79"/>
      <c r="U995" s="79"/>
      <c r="V995" s="79"/>
      <c r="W995" s="79"/>
      <c r="X995" s="79"/>
      <c r="Y995" s="79"/>
      <c r="Z995" s="79"/>
      <c r="AA995" s="79"/>
      <c r="AB995" s="79"/>
      <c r="AC995" s="79"/>
      <c r="AD995" s="79"/>
      <c r="AE995" s="79"/>
      <c r="AF995" s="79"/>
    </row>
    <row r="996" spans="1:32" s="2" customFormat="1">
      <c r="A996" s="551"/>
      <c r="B996" s="551"/>
      <c r="C996" s="551"/>
      <c r="D996" s="551"/>
      <c r="E996" s="551"/>
      <c r="F996" s="551"/>
      <c r="G996" s="551"/>
      <c r="H996" s="551"/>
      <c r="I996" s="551"/>
      <c r="J996" s="551"/>
      <c r="K996" s="551"/>
      <c r="L996" s="551"/>
      <c r="M996" s="551"/>
      <c r="N996" s="551"/>
      <c r="O996" s="551"/>
      <c r="P996" s="551"/>
      <c r="Q996" s="79"/>
      <c r="R996" s="79"/>
      <c r="S996" s="79"/>
      <c r="T996" s="79"/>
      <c r="U996" s="79"/>
      <c r="V996" s="79"/>
      <c r="W996" s="79"/>
      <c r="X996" s="79"/>
      <c r="Y996" s="79"/>
      <c r="Z996" s="79"/>
      <c r="AA996" s="79"/>
      <c r="AB996" s="79"/>
      <c r="AC996" s="79"/>
      <c r="AD996" s="79"/>
      <c r="AE996" s="79"/>
      <c r="AF996" s="79"/>
    </row>
    <row r="997" spans="1:32" s="2" customFormat="1">
      <c r="A997" s="551"/>
      <c r="B997" s="551"/>
      <c r="C997" s="551"/>
      <c r="D997" s="551"/>
      <c r="E997" s="551"/>
      <c r="F997" s="551"/>
      <c r="G997" s="551"/>
      <c r="H997" s="551"/>
      <c r="I997" s="551"/>
      <c r="J997" s="551"/>
      <c r="K997" s="551"/>
      <c r="L997" s="551"/>
      <c r="M997" s="551"/>
      <c r="N997" s="551"/>
      <c r="O997" s="551"/>
      <c r="P997" s="551"/>
      <c r="Q997" s="79"/>
      <c r="R997" s="79"/>
      <c r="S997" s="79"/>
      <c r="T997" s="79"/>
      <c r="U997" s="79"/>
      <c r="V997" s="79"/>
      <c r="W997" s="79"/>
      <c r="X997" s="79"/>
      <c r="Y997" s="79"/>
      <c r="Z997" s="79"/>
      <c r="AA997" s="79"/>
      <c r="AB997" s="79"/>
      <c r="AC997" s="79"/>
      <c r="AD997" s="79"/>
      <c r="AE997" s="79"/>
      <c r="AF997" s="79"/>
    </row>
    <row r="998" spans="1:32" s="2" customFormat="1">
      <c r="A998" s="551"/>
      <c r="B998" s="551"/>
      <c r="C998" s="551"/>
      <c r="D998" s="551"/>
      <c r="E998" s="551"/>
      <c r="F998" s="551"/>
      <c r="G998" s="551"/>
      <c r="H998" s="551"/>
      <c r="I998" s="551"/>
      <c r="J998" s="551"/>
      <c r="K998" s="551"/>
      <c r="L998" s="551"/>
      <c r="M998" s="551"/>
      <c r="N998" s="551"/>
      <c r="O998" s="551"/>
      <c r="P998" s="551"/>
      <c r="Q998" s="79"/>
      <c r="R998" s="79"/>
      <c r="S998" s="79"/>
      <c r="T998" s="79"/>
      <c r="U998" s="79"/>
      <c r="V998" s="79"/>
      <c r="W998" s="79"/>
      <c r="X998" s="79"/>
      <c r="Y998" s="79"/>
      <c r="Z998" s="79"/>
      <c r="AA998" s="79"/>
      <c r="AB998" s="79"/>
      <c r="AC998" s="79"/>
      <c r="AD998" s="79"/>
      <c r="AE998" s="79"/>
      <c r="AF998" s="79"/>
    </row>
    <row r="999" spans="1:32" s="2" customFormat="1">
      <c r="A999" s="551"/>
      <c r="B999" s="551"/>
      <c r="C999" s="551"/>
      <c r="D999" s="551"/>
      <c r="E999" s="551"/>
      <c r="F999" s="551"/>
      <c r="G999" s="551"/>
      <c r="H999" s="551"/>
      <c r="I999" s="551"/>
      <c r="J999" s="551"/>
      <c r="K999" s="551"/>
      <c r="L999" s="551"/>
      <c r="M999" s="551"/>
      <c r="N999" s="551"/>
      <c r="O999" s="551"/>
      <c r="P999" s="551"/>
      <c r="Q999" s="79"/>
      <c r="R999" s="79"/>
      <c r="S999" s="79"/>
      <c r="T999" s="79"/>
      <c r="U999" s="79"/>
      <c r="V999" s="79"/>
      <c r="W999" s="79"/>
      <c r="X999" s="79"/>
      <c r="Y999" s="79"/>
      <c r="Z999" s="79"/>
      <c r="AA999" s="79"/>
      <c r="AB999" s="79"/>
      <c r="AC999" s="79"/>
      <c r="AD999" s="79"/>
      <c r="AE999" s="79"/>
      <c r="AF999" s="79"/>
    </row>
    <row r="1000" spans="1:32" s="2" customFormat="1">
      <c r="A1000" s="551"/>
      <c r="B1000" s="551"/>
      <c r="C1000" s="551"/>
      <c r="D1000" s="551"/>
      <c r="E1000" s="551"/>
      <c r="F1000" s="551"/>
      <c r="G1000" s="551"/>
      <c r="H1000" s="551"/>
      <c r="I1000" s="551"/>
      <c r="J1000" s="551"/>
      <c r="K1000" s="551"/>
      <c r="L1000" s="551"/>
      <c r="M1000" s="551"/>
      <c r="N1000" s="551"/>
      <c r="O1000" s="551"/>
      <c r="P1000" s="551"/>
      <c r="Q1000" s="79"/>
      <c r="R1000" s="79"/>
      <c r="S1000" s="79"/>
      <c r="T1000" s="79"/>
      <c r="U1000" s="79"/>
      <c r="V1000" s="79"/>
      <c r="W1000" s="79"/>
      <c r="X1000" s="79"/>
      <c r="Y1000" s="79"/>
      <c r="Z1000" s="79"/>
      <c r="AA1000" s="79"/>
      <c r="AB1000" s="79"/>
      <c r="AC1000" s="79"/>
      <c r="AD1000" s="79"/>
      <c r="AE1000" s="79"/>
      <c r="AF1000" s="79"/>
    </row>
    <row r="1001" spans="1:32" s="2" customFormat="1">
      <c r="A1001" s="551"/>
      <c r="B1001" s="551"/>
      <c r="C1001" s="551"/>
      <c r="D1001" s="551"/>
      <c r="E1001" s="551"/>
      <c r="F1001" s="551"/>
      <c r="G1001" s="551"/>
      <c r="H1001" s="551"/>
      <c r="I1001" s="551"/>
      <c r="J1001" s="551"/>
      <c r="K1001" s="551"/>
      <c r="L1001" s="551"/>
      <c r="M1001" s="551"/>
      <c r="N1001" s="551"/>
      <c r="O1001" s="551"/>
      <c r="P1001" s="551"/>
      <c r="Q1001" s="79"/>
      <c r="R1001" s="79"/>
      <c r="S1001" s="79"/>
      <c r="T1001" s="79"/>
      <c r="U1001" s="79"/>
      <c r="V1001" s="79"/>
      <c r="W1001" s="79"/>
      <c r="X1001" s="79"/>
      <c r="Y1001" s="79"/>
      <c r="Z1001" s="79"/>
      <c r="AA1001" s="79"/>
      <c r="AB1001" s="79"/>
      <c r="AC1001" s="79"/>
      <c r="AD1001" s="79"/>
      <c r="AE1001" s="79"/>
      <c r="AF1001" s="79"/>
    </row>
    <row r="1002" spans="1:32" s="2" customFormat="1">
      <c r="A1002" s="551"/>
      <c r="B1002" s="551"/>
      <c r="C1002" s="551"/>
      <c r="D1002" s="551"/>
      <c r="E1002" s="551"/>
      <c r="F1002" s="551"/>
      <c r="G1002" s="551"/>
      <c r="H1002" s="551"/>
      <c r="I1002" s="551"/>
      <c r="J1002" s="551"/>
      <c r="K1002" s="551"/>
      <c r="L1002" s="551"/>
      <c r="M1002" s="551"/>
      <c r="N1002" s="551"/>
      <c r="O1002" s="551"/>
      <c r="P1002" s="551"/>
      <c r="Q1002" s="79"/>
      <c r="R1002" s="79"/>
      <c r="S1002" s="79"/>
      <c r="T1002" s="79"/>
      <c r="U1002" s="79"/>
      <c r="V1002" s="79"/>
      <c r="W1002" s="79"/>
      <c r="X1002" s="79"/>
      <c r="Y1002" s="79"/>
      <c r="Z1002" s="79"/>
      <c r="AA1002" s="79"/>
      <c r="AB1002" s="79"/>
      <c r="AC1002" s="79"/>
      <c r="AD1002" s="79"/>
      <c r="AE1002" s="79"/>
      <c r="AF1002" s="79"/>
    </row>
    <row r="1003" spans="1:32" s="2" customFormat="1">
      <c r="A1003" s="551"/>
      <c r="B1003" s="551"/>
      <c r="C1003" s="551"/>
      <c r="D1003" s="551"/>
      <c r="E1003" s="551"/>
      <c r="F1003" s="551"/>
      <c r="G1003" s="551"/>
      <c r="H1003" s="551"/>
      <c r="I1003" s="551"/>
      <c r="J1003" s="551"/>
      <c r="K1003" s="551"/>
      <c r="L1003" s="551"/>
      <c r="M1003" s="551"/>
      <c r="N1003" s="551"/>
      <c r="O1003" s="551"/>
      <c r="P1003" s="551"/>
      <c r="Q1003" s="79"/>
      <c r="R1003" s="79"/>
      <c r="S1003" s="79"/>
      <c r="T1003" s="79"/>
      <c r="U1003" s="79"/>
      <c r="V1003" s="79"/>
      <c r="W1003" s="79"/>
      <c r="X1003" s="79"/>
      <c r="Y1003" s="79"/>
      <c r="Z1003" s="79"/>
      <c r="AA1003" s="79"/>
      <c r="AB1003" s="79"/>
      <c r="AC1003" s="79"/>
      <c r="AD1003" s="79"/>
      <c r="AE1003" s="79"/>
      <c r="AF1003" s="79"/>
    </row>
    <row r="1004" spans="1:32" s="2" customFormat="1">
      <c r="A1004" s="551"/>
      <c r="B1004" s="551"/>
      <c r="C1004" s="551"/>
      <c r="D1004" s="551"/>
      <c r="E1004" s="551"/>
      <c r="F1004" s="551"/>
      <c r="G1004" s="551"/>
      <c r="H1004" s="551"/>
      <c r="I1004" s="551"/>
      <c r="J1004" s="551"/>
      <c r="K1004" s="551"/>
      <c r="L1004" s="551"/>
      <c r="M1004" s="551"/>
      <c r="N1004" s="551"/>
      <c r="O1004" s="551"/>
      <c r="P1004" s="551"/>
      <c r="Q1004" s="79"/>
      <c r="R1004" s="79"/>
      <c r="S1004" s="79"/>
      <c r="T1004" s="79"/>
      <c r="U1004" s="79"/>
      <c r="V1004" s="79"/>
      <c r="W1004" s="79"/>
      <c r="X1004" s="79"/>
      <c r="Y1004" s="79"/>
      <c r="Z1004" s="79"/>
      <c r="AA1004" s="79"/>
      <c r="AB1004" s="79"/>
      <c r="AC1004" s="79"/>
      <c r="AD1004" s="79"/>
      <c r="AE1004" s="79"/>
      <c r="AF1004" s="79"/>
    </row>
    <row r="1005" spans="1:32" s="2" customFormat="1">
      <c r="A1005" s="551"/>
      <c r="B1005" s="551"/>
      <c r="C1005" s="551"/>
      <c r="D1005" s="551"/>
      <c r="E1005" s="551"/>
      <c r="F1005" s="551"/>
      <c r="G1005" s="551"/>
      <c r="H1005" s="551"/>
      <c r="I1005" s="551"/>
      <c r="J1005" s="551"/>
      <c r="K1005" s="551"/>
      <c r="L1005" s="551"/>
      <c r="M1005" s="551"/>
      <c r="N1005" s="551"/>
      <c r="O1005" s="551"/>
      <c r="P1005" s="551"/>
      <c r="Q1005" s="79"/>
      <c r="R1005" s="79"/>
      <c r="S1005" s="79"/>
      <c r="T1005" s="79"/>
      <c r="U1005" s="79"/>
      <c r="V1005" s="79"/>
      <c r="W1005" s="79"/>
      <c r="X1005" s="79"/>
      <c r="Y1005" s="79"/>
      <c r="Z1005" s="79"/>
      <c r="AA1005" s="79"/>
      <c r="AB1005" s="79"/>
      <c r="AC1005" s="79"/>
      <c r="AD1005" s="79"/>
      <c r="AE1005" s="79"/>
      <c r="AF1005" s="79"/>
    </row>
    <row r="1006" spans="1:32" s="2" customFormat="1">
      <c r="A1006" s="551"/>
      <c r="B1006" s="551"/>
      <c r="C1006" s="551"/>
      <c r="D1006" s="551"/>
      <c r="E1006" s="551"/>
      <c r="F1006" s="551"/>
      <c r="G1006" s="551"/>
      <c r="H1006" s="551"/>
      <c r="I1006" s="551"/>
      <c r="J1006" s="551"/>
      <c r="K1006" s="551"/>
      <c r="L1006" s="551"/>
      <c r="M1006" s="551"/>
      <c r="N1006" s="551"/>
      <c r="O1006" s="551"/>
      <c r="P1006" s="551"/>
      <c r="Q1006" s="79"/>
      <c r="R1006" s="79"/>
      <c r="S1006" s="79"/>
      <c r="T1006" s="79"/>
      <c r="U1006" s="79"/>
      <c r="V1006" s="79"/>
      <c r="W1006" s="79"/>
      <c r="X1006" s="79"/>
      <c r="Y1006" s="79"/>
      <c r="Z1006" s="79"/>
      <c r="AA1006" s="79"/>
      <c r="AB1006" s="79"/>
      <c r="AC1006" s="79"/>
      <c r="AD1006" s="79"/>
      <c r="AE1006" s="79"/>
      <c r="AF1006" s="79"/>
    </row>
    <row r="1007" spans="1:32" s="2" customFormat="1">
      <c r="A1007" s="551"/>
      <c r="B1007" s="551"/>
      <c r="C1007" s="551"/>
      <c r="D1007" s="551"/>
      <c r="E1007" s="551"/>
      <c r="F1007" s="551"/>
      <c r="G1007" s="551"/>
      <c r="H1007" s="551"/>
      <c r="I1007" s="551"/>
      <c r="J1007" s="551"/>
      <c r="K1007" s="551"/>
      <c r="L1007" s="551"/>
      <c r="M1007" s="551"/>
      <c r="N1007" s="551"/>
      <c r="O1007" s="551"/>
      <c r="P1007" s="551"/>
      <c r="Q1007" s="79"/>
      <c r="R1007" s="79"/>
      <c r="S1007" s="79"/>
      <c r="T1007" s="79"/>
      <c r="U1007" s="79"/>
      <c r="V1007" s="79"/>
      <c r="W1007" s="79"/>
      <c r="X1007" s="79"/>
      <c r="Y1007" s="79"/>
      <c r="Z1007" s="79"/>
      <c r="AA1007" s="79"/>
      <c r="AB1007" s="79"/>
      <c r="AC1007" s="79"/>
      <c r="AD1007" s="79"/>
      <c r="AE1007" s="79"/>
      <c r="AF1007" s="79"/>
    </row>
    <row r="1008" spans="1:32" s="2" customFormat="1">
      <c r="A1008" s="551"/>
      <c r="B1008" s="551"/>
      <c r="C1008" s="551"/>
      <c r="D1008" s="551"/>
      <c r="E1008" s="551"/>
      <c r="F1008" s="551"/>
      <c r="G1008" s="551"/>
      <c r="H1008" s="551"/>
      <c r="I1008" s="551"/>
      <c r="J1008" s="551"/>
      <c r="K1008" s="551"/>
      <c r="L1008" s="551"/>
      <c r="M1008" s="551"/>
      <c r="N1008" s="551"/>
      <c r="O1008" s="551"/>
      <c r="P1008" s="551"/>
      <c r="Q1008" s="79"/>
      <c r="R1008" s="79"/>
      <c r="S1008" s="79"/>
      <c r="T1008" s="79"/>
      <c r="U1008" s="79"/>
      <c r="V1008" s="79"/>
      <c r="W1008" s="79"/>
      <c r="X1008" s="79"/>
      <c r="Y1008" s="79"/>
      <c r="Z1008" s="79"/>
      <c r="AA1008" s="79"/>
      <c r="AB1008" s="79"/>
      <c r="AC1008" s="79"/>
      <c r="AD1008" s="79"/>
      <c r="AE1008" s="79"/>
      <c r="AF1008" s="79"/>
    </row>
    <row r="1009" spans="1:32" s="2" customFormat="1">
      <c r="A1009" s="551"/>
      <c r="B1009" s="551"/>
      <c r="C1009" s="551"/>
      <c r="D1009" s="551"/>
      <c r="E1009" s="551"/>
      <c r="F1009" s="551"/>
      <c r="G1009" s="551"/>
      <c r="H1009" s="551"/>
      <c r="I1009" s="551"/>
      <c r="J1009" s="551"/>
      <c r="K1009" s="551"/>
      <c r="L1009" s="551"/>
      <c r="M1009" s="551"/>
      <c r="N1009" s="551"/>
      <c r="O1009" s="551"/>
      <c r="P1009" s="551"/>
      <c r="Q1009" s="79"/>
      <c r="R1009" s="79"/>
      <c r="S1009" s="79"/>
      <c r="T1009" s="79"/>
      <c r="U1009" s="79"/>
      <c r="V1009" s="79"/>
      <c r="W1009" s="79"/>
      <c r="X1009" s="79"/>
      <c r="Y1009" s="79"/>
      <c r="Z1009" s="79"/>
      <c r="AA1009" s="79"/>
      <c r="AB1009" s="79"/>
      <c r="AC1009" s="79"/>
      <c r="AD1009" s="79"/>
      <c r="AE1009" s="79"/>
      <c r="AF1009" s="79"/>
    </row>
    <row r="1010" spans="1:32" s="2" customFormat="1">
      <c r="A1010" s="551"/>
      <c r="B1010" s="551"/>
      <c r="C1010" s="551"/>
      <c r="D1010" s="551"/>
      <c r="E1010" s="551"/>
      <c r="F1010" s="551"/>
      <c r="G1010" s="551"/>
      <c r="H1010" s="551"/>
      <c r="I1010" s="551"/>
      <c r="J1010" s="551"/>
      <c r="K1010" s="551"/>
      <c r="L1010" s="551"/>
      <c r="M1010" s="551"/>
      <c r="N1010" s="551"/>
      <c r="O1010" s="551"/>
      <c r="P1010" s="551"/>
      <c r="Q1010" s="79"/>
      <c r="R1010" s="79"/>
      <c r="S1010" s="79"/>
      <c r="T1010" s="79"/>
      <c r="U1010" s="79"/>
      <c r="V1010" s="79"/>
      <c r="W1010" s="79"/>
      <c r="X1010" s="79"/>
      <c r="Y1010" s="79"/>
      <c r="Z1010" s="79"/>
      <c r="AA1010" s="79"/>
      <c r="AB1010" s="79"/>
      <c r="AC1010" s="79"/>
      <c r="AD1010" s="79"/>
      <c r="AE1010" s="79"/>
      <c r="AF1010" s="79"/>
    </row>
    <row r="1011" spans="1:32" s="2" customFormat="1">
      <c r="A1011" s="551"/>
      <c r="B1011" s="551"/>
      <c r="C1011" s="551"/>
      <c r="D1011" s="551"/>
      <c r="E1011" s="551"/>
      <c r="F1011" s="551"/>
      <c r="G1011" s="551"/>
      <c r="H1011" s="551"/>
      <c r="I1011" s="551"/>
      <c r="J1011" s="551"/>
      <c r="K1011" s="551"/>
      <c r="L1011" s="551"/>
      <c r="M1011" s="551"/>
      <c r="N1011" s="551"/>
      <c r="O1011" s="551"/>
      <c r="P1011" s="551"/>
      <c r="Q1011" s="79"/>
      <c r="R1011" s="79"/>
      <c r="S1011" s="79"/>
      <c r="T1011" s="79"/>
      <c r="U1011" s="79"/>
      <c r="V1011" s="79"/>
      <c r="W1011" s="79"/>
      <c r="X1011" s="79"/>
      <c r="Y1011" s="79"/>
      <c r="Z1011" s="79"/>
      <c r="AA1011" s="79"/>
      <c r="AB1011" s="79"/>
      <c r="AC1011" s="79"/>
      <c r="AD1011" s="79"/>
      <c r="AE1011" s="79"/>
      <c r="AF1011" s="79"/>
    </row>
    <row r="1012" spans="1:32" s="2" customFormat="1">
      <c r="A1012" s="551"/>
      <c r="B1012" s="551"/>
      <c r="C1012" s="551"/>
      <c r="D1012" s="551"/>
      <c r="E1012" s="551"/>
      <c r="F1012" s="551"/>
      <c r="G1012" s="551"/>
      <c r="H1012" s="551"/>
      <c r="I1012" s="551"/>
      <c r="J1012" s="551"/>
      <c r="K1012" s="551"/>
      <c r="L1012" s="551"/>
      <c r="M1012" s="551"/>
      <c r="N1012" s="551"/>
      <c r="O1012" s="551"/>
      <c r="P1012" s="551"/>
      <c r="Q1012" s="79"/>
      <c r="R1012" s="79"/>
      <c r="S1012" s="79"/>
      <c r="T1012" s="79"/>
      <c r="U1012" s="79"/>
      <c r="V1012" s="79"/>
      <c r="W1012" s="79"/>
      <c r="X1012" s="79"/>
      <c r="Y1012" s="79"/>
      <c r="Z1012" s="79"/>
      <c r="AA1012" s="79"/>
      <c r="AB1012" s="79"/>
      <c r="AC1012" s="79"/>
      <c r="AD1012" s="79"/>
      <c r="AE1012" s="79"/>
      <c r="AF1012" s="79"/>
    </row>
    <row r="1013" spans="1:32" s="2" customFormat="1">
      <c r="A1013" s="551"/>
      <c r="B1013" s="551"/>
      <c r="C1013" s="551"/>
      <c r="D1013" s="551"/>
      <c r="E1013" s="551"/>
      <c r="F1013" s="551"/>
      <c r="G1013" s="551"/>
      <c r="H1013" s="551"/>
      <c r="I1013" s="551"/>
      <c r="J1013" s="551"/>
      <c r="K1013" s="551"/>
      <c r="L1013" s="551"/>
      <c r="M1013" s="551"/>
      <c r="N1013" s="551"/>
      <c r="O1013" s="551"/>
      <c r="P1013" s="551"/>
      <c r="Q1013" s="79"/>
      <c r="R1013" s="79"/>
      <c r="S1013" s="79"/>
      <c r="T1013" s="79"/>
      <c r="U1013" s="79"/>
      <c r="V1013" s="79"/>
      <c r="W1013" s="79"/>
      <c r="X1013" s="79"/>
      <c r="Y1013" s="79"/>
      <c r="Z1013" s="79"/>
      <c r="AA1013" s="79"/>
      <c r="AB1013" s="79"/>
      <c r="AC1013" s="79"/>
      <c r="AD1013" s="79"/>
      <c r="AE1013" s="79"/>
      <c r="AF1013" s="79"/>
    </row>
    <row r="1014" spans="1:32" s="2" customFormat="1">
      <c r="A1014" s="551"/>
      <c r="B1014" s="551"/>
      <c r="C1014" s="551"/>
      <c r="D1014" s="551"/>
      <c r="E1014" s="551"/>
      <c r="F1014" s="551"/>
      <c r="G1014" s="551"/>
      <c r="H1014" s="551"/>
      <c r="I1014" s="551"/>
      <c r="J1014" s="551"/>
      <c r="K1014" s="551"/>
      <c r="L1014" s="551"/>
      <c r="M1014" s="551"/>
      <c r="N1014" s="551"/>
      <c r="O1014" s="551"/>
      <c r="P1014" s="551"/>
      <c r="Q1014" s="79"/>
      <c r="R1014" s="79"/>
      <c r="S1014" s="79"/>
      <c r="T1014" s="79"/>
      <c r="U1014" s="79"/>
      <c r="V1014" s="79"/>
      <c r="W1014" s="79"/>
      <c r="X1014" s="79"/>
      <c r="Y1014" s="79"/>
      <c r="Z1014" s="79"/>
      <c r="AA1014" s="79"/>
      <c r="AB1014" s="79"/>
      <c r="AC1014" s="79"/>
      <c r="AD1014" s="79"/>
      <c r="AE1014" s="79"/>
      <c r="AF1014" s="79"/>
    </row>
    <row r="1015" spans="1:32" s="2" customFormat="1">
      <c r="A1015" s="551"/>
      <c r="B1015" s="551"/>
      <c r="C1015" s="551"/>
      <c r="D1015" s="551"/>
      <c r="E1015" s="551"/>
      <c r="F1015" s="551"/>
      <c r="G1015" s="551"/>
      <c r="H1015" s="551"/>
      <c r="I1015" s="551"/>
      <c r="J1015" s="551"/>
      <c r="K1015" s="551"/>
      <c r="L1015" s="551"/>
      <c r="M1015" s="551"/>
      <c r="N1015" s="551"/>
      <c r="O1015" s="551"/>
      <c r="P1015" s="551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  <c r="AD1015" s="79"/>
      <c r="AE1015" s="79"/>
      <c r="AF1015" s="79"/>
    </row>
    <row r="1016" spans="1:32" s="2" customFormat="1">
      <c r="A1016" s="551"/>
      <c r="B1016" s="551"/>
      <c r="C1016" s="551"/>
      <c r="D1016" s="551"/>
      <c r="E1016" s="551"/>
      <c r="F1016" s="551"/>
      <c r="G1016" s="551"/>
      <c r="H1016" s="551"/>
      <c r="I1016" s="551"/>
      <c r="J1016" s="551"/>
      <c r="K1016" s="551"/>
      <c r="L1016" s="551"/>
      <c r="M1016" s="551"/>
      <c r="N1016" s="551"/>
      <c r="O1016" s="551"/>
      <c r="P1016" s="551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  <c r="AD1016" s="79"/>
      <c r="AE1016" s="79"/>
      <c r="AF1016" s="79"/>
    </row>
    <row r="1017" spans="1:32" s="2" customFormat="1">
      <c r="A1017" s="551"/>
      <c r="B1017" s="551"/>
      <c r="C1017" s="551"/>
      <c r="D1017" s="551"/>
      <c r="E1017" s="551"/>
      <c r="F1017" s="551"/>
      <c r="G1017" s="551"/>
      <c r="H1017" s="551"/>
      <c r="I1017" s="551"/>
      <c r="J1017" s="551"/>
      <c r="K1017" s="551"/>
      <c r="L1017" s="551"/>
      <c r="M1017" s="551"/>
      <c r="N1017" s="551"/>
      <c r="O1017" s="551"/>
      <c r="P1017" s="551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  <c r="AD1017" s="79"/>
      <c r="AE1017" s="79"/>
      <c r="AF1017" s="79"/>
    </row>
    <row r="1018" spans="1:32" s="2" customFormat="1">
      <c r="A1018" s="551"/>
      <c r="B1018" s="551"/>
      <c r="C1018" s="551"/>
      <c r="D1018" s="551"/>
      <c r="E1018" s="551"/>
      <c r="F1018" s="551"/>
      <c r="G1018" s="551"/>
      <c r="H1018" s="551"/>
      <c r="I1018" s="551"/>
      <c r="J1018" s="551"/>
      <c r="K1018" s="551"/>
      <c r="L1018" s="551"/>
      <c r="M1018" s="551"/>
      <c r="N1018" s="551"/>
      <c r="O1018" s="551"/>
      <c r="P1018" s="551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  <c r="AD1018" s="79"/>
      <c r="AE1018" s="79"/>
      <c r="AF1018" s="79"/>
    </row>
    <row r="1019" spans="1:32" s="2" customFormat="1">
      <c r="A1019" s="551"/>
      <c r="B1019" s="551"/>
      <c r="C1019" s="551"/>
      <c r="D1019" s="551"/>
      <c r="E1019" s="551"/>
      <c r="F1019" s="551"/>
      <c r="G1019" s="551"/>
      <c r="H1019" s="551"/>
      <c r="I1019" s="551"/>
      <c r="J1019" s="551"/>
      <c r="K1019" s="551"/>
      <c r="L1019" s="551"/>
      <c r="M1019" s="551"/>
      <c r="N1019" s="551"/>
      <c r="O1019" s="551"/>
      <c r="P1019" s="551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  <c r="AD1019" s="79"/>
      <c r="AE1019" s="79"/>
      <c r="AF1019" s="79"/>
    </row>
    <row r="1020" spans="1:32" s="2" customFormat="1">
      <c r="A1020" s="551"/>
      <c r="B1020" s="551"/>
      <c r="C1020" s="551"/>
      <c r="D1020" s="551"/>
      <c r="E1020" s="551"/>
      <c r="F1020" s="551"/>
      <c r="G1020" s="551"/>
      <c r="H1020" s="551"/>
      <c r="I1020" s="551"/>
      <c r="J1020" s="551"/>
      <c r="K1020" s="551"/>
      <c r="L1020" s="551"/>
      <c r="M1020" s="551"/>
      <c r="N1020" s="551"/>
      <c r="O1020" s="551"/>
      <c r="P1020" s="551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  <c r="AD1020" s="79"/>
      <c r="AE1020" s="79"/>
      <c r="AF1020" s="79"/>
    </row>
    <row r="1021" spans="1:32" s="2" customFormat="1">
      <c r="A1021" s="551"/>
      <c r="B1021" s="551"/>
      <c r="C1021" s="551"/>
      <c r="D1021" s="551"/>
      <c r="E1021" s="551"/>
      <c r="F1021" s="551"/>
      <c r="G1021" s="551"/>
      <c r="H1021" s="551"/>
      <c r="I1021" s="551"/>
      <c r="J1021" s="551"/>
      <c r="K1021" s="551"/>
      <c r="L1021" s="551"/>
      <c r="M1021" s="551"/>
      <c r="N1021" s="551"/>
      <c r="O1021" s="551"/>
      <c r="P1021" s="551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  <c r="AD1021" s="79"/>
      <c r="AE1021" s="79"/>
      <c r="AF1021" s="79"/>
    </row>
    <row r="1022" spans="1:32" s="2" customFormat="1">
      <c r="A1022" s="551"/>
      <c r="B1022" s="551"/>
      <c r="C1022" s="551"/>
      <c r="D1022" s="551"/>
      <c r="E1022" s="551"/>
      <c r="F1022" s="551"/>
      <c r="G1022" s="551"/>
      <c r="H1022" s="551"/>
      <c r="I1022" s="551"/>
      <c r="J1022" s="551"/>
      <c r="K1022" s="551"/>
      <c r="L1022" s="551"/>
      <c r="M1022" s="551"/>
      <c r="N1022" s="551"/>
      <c r="O1022" s="551"/>
      <c r="P1022" s="551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  <c r="AD1022" s="79"/>
      <c r="AE1022" s="79"/>
      <c r="AF1022" s="79"/>
    </row>
    <row r="1023" spans="1:32" s="2" customFormat="1">
      <c r="A1023" s="551"/>
      <c r="B1023" s="551"/>
      <c r="C1023" s="551"/>
      <c r="D1023" s="551"/>
      <c r="E1023" s="551"/>
      <c r="F1023" s="551"/>
      <c r="G1023" s="551"/>
      <c r="H1023" s="551"/>
      <c r="I1023" s="551"/>
      <c r="J1023" s="551"/>
      <c r="K1023" s="551"/>
      <c r="L1023" s="551"/>
      <c r="M1023" s="551"/>
      <c r="N1023" s="551"/>
      <c r="O1023" s="551"/>
      <c r="P1023" s="551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  <c r="AD1023" s="79"/>
      <c r="AE1023" s="79"/>
      <c r="AF1023" s="79"/>
    </row>
    <row r="1024" spans="1:32" s="2" customFormat="1">
      <c r="A1024" s="551"/>
      <c r="B1024" s="551"/>
      <c r="C1024" s="551"/>
      <c r="D1024" s="551"/>
      <c r="E1024" s="551"/>
      <c r="F1024" s="551"/>
      <c r="G1024" s="551"/>
      <c r="H1024" s="551"/>
      <c r="I1024" s="551"/>
      <c r="J1024" s="551"/>
      <c r="K1024" s="551"/>
      <c r="L1024" s="551"/>
      <c r="M1024" s="551"/>
      <c r="N1024" s="551"/>
      <c r="O1024" s="551"/>
      <c r="P1024" s="551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  <c r="AD1024" s="79"/>
      <c r="AE1024" s="79"/>
      <c r="AF1024" s="79"/>
    </row>
    <row r="1025" spans="1:32" s="2" customFormat="1">
      <c r="A1025" s="551"/>
      <c r="B1025" s="551"/>
      <c r="C1025" s="551"/>
      <c r="D1025" s="551"/>
      <c r="E1025" s="551"/>
      <c r="F1025" s="551"/>
      <c r="G1025" s="551"/>
      <c r="H1025" s="551"/>
      <c r="I1025" s="551"/>
      <c r="J1025" s="551"/>
      <c r="K1025" s="551"/>
      <c r="L1025" s="551"/>
      <c r="M1025" s="551"/>
      <c r="N1025" s="551"/>
      <c r="O1025" s="551"/>
      <c r="P1025" s="551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  <c r="AD1025" s="79"/>
      <c r="AE1025" s="79"/>
      <c r="AF1025" s="79"/>
    </row>
    <row r="1026" spans="1:32" s="2" customFormat="1">
      <c r="A1026" s="551"/>
      <c r="B1026" s="551"/>
      <c r="C1026" s="551"/>
      <c r="D1026" s="551"/>
      <c r="E1026" s="551"/>
      <c r="F1026" s="551"/>
      <c r="G1026" s="551"/>
      <c r="H1026" s="551"/>
      <c r="I1026" s="551"/>
      <c r="J1026" s="551"/>
      <c r="K1026" s="551"/>
      <c r="L1026" s="551"/>
      <c r="M1026" s="551"/>
      <c r="N1026" s="551"/>
      <c r="O1026" s="551"/>
      <c r="P1026" s="551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  <c r="AD1026" s="79"/>
      <c r="AE1026" s="79"/>
      <c r="AF1026" s="79"/>
    </row>
    <row r="1027" spans="1:32" s="2" customFormat="1">
      <c r="A1027" s="551"/>
      <c r="B1027" s="551"/>
      <c r="C1027" s="551"/>
      <c r="D1027" s="551"/>
      <c r="E1027" s="551"/>
      <c r="F1027" s="551"/>
      <c r="G1027" s="551"/>
      <c r="H1027" s="551"/>
      <c r="I1027" s="551"/>
      <c r="J1027" s="551"/>
      <c r="K1027" s="551"/>
      <c r="L1027" s="551"/>
      <c r="M1027" s="551"/>
      <c r="N1027" s="551"/>
      <c r="O1027" s="551"/>
      <c r="P1027" s="551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  <c r="AD1027" s="79"/>
      <c r="AE1027" s="79"/>
      <c r="AF1027" s="79"/>
    </row>
    <row r="1028" spans="1:32" s="2" customFormat="1">
      <c r="A1028" s="551"/>
      <c r="B1028" s="551"/>
      <c r="C1028" s="551"/>
      <c r="D1028" s="551"/>
      <c r="E1028" s="551"/>
      <c r="F1028" s="551"/>
      <c r="G1028" s="551"/>
      <c r="H1028" s="551"/>
      <c r="I1028" s="551"/>
      <c r="J1028" s="551"/>
      <c r="K1028" s="551"/>
      <c r="L1028" s="551"/>
      <c r="M1028" s="551"/>
      <c r="N1028" s="551"/>
      <c r="O1028" s="551"/>
      <c r="P1028" s="551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  <c r="AD1028" s="79"/>
      <c r="AE1028" s="79"/>
      <c r="AF1028" s="79"/>
    </row>
    <row r="1029" spans="1:32" s="2" customFormat="1">
      <c r="A1029" s="551"/>
      <c r="B1029" s="551"/>
      <c r="C1029" s="551"/>
      <c r="D1029" s="551"/>
      <c r="E1029" s="551"/>
      <c r="F1029" s="551"/>
      <c r="G1029" s="551"/>
      <c r="H1029" s="551"/>
      <c r="I1029" s="551"/>
      <c r="J1029" s="551"/>
      <c r="K1029" s="551"/>
      <c r="L1029" s="551"/>
      <c r="M1029" s="551"/>
      <c r="N1029" s="551"/>
      <c r="O1029" s="551"/>
      <c r="P1029" s="551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  <c r="AD1029" s="79"/>
      <c r="AE1029" s="79"/>
      <c r="AF1029" s="79"/>
    </row>
    <row r="1030" spans="1:32" s="2" customFormat="1">
      <c r="A1030" s="551"/>
      <c r="B1030" s="551"/>
      <c r="C1030" s="551"/>
      <c r="D1030" s="551"/>
      <c r="E1030" s="551"/>
      <c r="F1030" s="551"/>
      <c r="G1030" s="551"/>
      <c r="H1030" s="551"/>
      <c r="I1030" s="551"/>
      <c r="J1030" s="551"/>
      <c r="K1030" s="551"/>
      <c r="L1030" s="551"/>
      <c r="M1030" s="551"/>
      <c r="N1030" s="551"/>
      <c r="O1030" s="551"/>
      <c r="P1030" s="551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  <c r="AD1030" s="79"/>
      <c r="AE1030" s="79"/>
      <c r="AF1030" s="79"/>
    </row>
    <row r="1031" spans="1:32" s="2" customFormat="1">
      <c r="A1031" s="551"/>
      <c r="B1031" s="551"/>
      <c r="C1031" s="551"/>
      <c r="D1031" s="551"/>
      <c r="E1031" s="551"/>
      <c r="F1031" s="551"/>
      <c r="G1031" s="551"/>
      <c r="H1031" s="551"/>
      <c r="I1031" s="551"/>
      <c r="J1031" s="551"/>
      <c r="K1031" s="551"/>
      <c r="L1031" s="551"/>
      <c r="M1031" s="551"/>
      <c r="N1031" s="551"/>
      <c r="O1031" s="551"/>
      <c r="P1031" s="551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  <c r="AD1031" s="79"/>
      <c r="AE1031" s="79"/>
      <c r="AF1031" s="79"/>
    </row>
    <row r="1032" spans="1:32" s="2" customFormat="1">
      <c r="A1032" s="551"/>
      <c r="B1032" s="551"/>
      <c r="C1032" s="551"/>
      <c r="D1032" s="551"/>
      <c r="E1032" s="551"/>
      <c r="F1032" s="551"/>
      <c r="G1032" s="551"/>
      <c r="H1032" s="551"/>
      <c r="I1032" s="551"/>
      <c r="J1032" s="551"/>
      <c r="K1032" s="551"/>
      <c r="L1032" s="551"/>
      <c r="M1032" s="551"/>
      <c r="N1032" s="551"/>
      <c r="O1032" s="551"/>
      <c r="P1032" s="551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  <c r="AD1032" s="79"/>
      <c r="AE1032" s="79"/>
      <c r="AF1032" s="79"/>
    </row>
    <row r="1033" spans="1:32" s="2" customFormat="1">
      <c r="A1033" s="551"/>
      <c r="B1033" s="551"/>
      <c r="C1033" s="551"/>
      <c r="D1033" s="551"/>
      <c r="E1033" s="551"/>
      <c r="F1033" s="551"/>
      <c r="G1033" s="551"/>
      <c r="H1033" s="551"/>
      <c r="I1033" s="551"/>
      <c r="J1033" s="551"/>
      <c r="K1033" s="551"/>
      <c r="L1033" s="551"/>
      <c r="M1033" s="551"/>
      <c r="N1033" s="551"/>
      <c r="O1033" s="551"/>
      <c r="P1033" s="551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  <c r="AD1033" s="79"/>
      <c r="AE1033" s="79"/>
      <c r="AF1033" s="79"/>
    </row>
    <row r="1034" spans="1:32" s="2" customFormat="1">
      <c r="A1034" s="551"/>
      <c r="B1034" s="551"/>
      <c r="C1034" s="551"/>
      <c r="D1034" s="551"/>
      <c r="E1034" s="551"/>
      <c r="F1034" s="551"/>
      <c r="G1034" s="551"/>
      <c r="H1034" s="551"/>
      <c r="I1034" s="551"/>
      <c r="J1034" s="551"/>
      <c r="K1034" s="551"/>
      <c r="L1034" s="551"/>
      <c r="M1034" s="551"/>
      <c r="N1034" s="551"/>
      <c r="O1034" s="551"/>
      <c r="P1034" s="551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  <c r="AD1034" s="79"/>
      <c r="AE1034" s="79"/>
      <c r="AF1034" s="79"/>
    </row>
    <row r="1035" spans="1:32" s="2" customFormat="1">
      <c r="A1035" s="551"/>
      <c r="B1035" s="551"/>
      <c r="C1035" s="551"/>
      <c r="D1035" s="551"/>
      <c r="E1035" s="551"/>
      <c r="F1035" s="551"/>
      <c r="G1035" s="551"/>
      <c r="H1035" s="551"/>
      <c r="I1035" s="551"/>
      <c r="J1035" s="551"/>
      <c r="K1035" s="551"/>
      <c r="L1035" s="551"/>
      <c r="M1035" s="551"/>
      <c r="N1035" s="551"/>
      <c r="O1035" s="551"/>
      <c r="P1035" s="551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  <c r="AD1035" s="79"/>
      <c r="AE1035" s="79"/>
      <c r="AF1035" s="79"/>
    </row>
    <row r="1036" spans="1:32" s="2" customFormat="1">
      <c r="A1036" s="551"/>
      <c r="B1036" s="551"/>
      <c r="C1036" s="551"/>
      <c r="D1036" s="551"/>
      <c r="E1036" s="551"/>
      <c r="F1036" s="551"/>
      <c r="G1036" s="551"/>
      <c r="H1036" s="551"/>
      <c r="I1036" s="551"/>
      <c r="J1036" s="551"/>
      <c r="K1036" s="551"/>
      <c r="L1036" s="551"/>
      <c r="M1036" s="551"/>
      <c r="N1036" s="551"/>
      <c r="O1036" s="551"/>
      <c r="P1036" s="551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  <c r="AD1036" s="79"/>
      <c r="AE1036" s="79"/>
      <c r="AF1036" s="79"/>
    </row>
    <row r="1037" spans="1:32" s="2" customFormat="1">
      <c r="A1037" s="551"/>
      <c r="B1037" s="551"/>
      <c r="C1037" s="551"/>
      <c r="D1037" s="551"/>
      <c r="E1037" s="551"/>
      <c r="F1037" s="551"/>
      <c r="G1037" s="551"/>
      <c r="H1037" s="551"/>
      <c r="I1037" s="551"/>
      <c r="J1037" s="551"/>
      <c r="K1037" s="551"/>
      <c r="L1037" s="551"/>
      <c r="M1037" s="551"/>
      <c r="N1037" s="551"/>
      <c r="O1037" s="551"/>
      <c r="P1037" s="551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  <c r="AD1037" s="79"/>
      <c r="AE1037" s="79"/>
      <c r="AF1037" s="79"/>
    </row>
    <row r="1038" spans="1:32" s="2" customFormat="1">
      <c r="A1038" s="551"/>
      <c r="B1038" s="551"/>
      <c r="C1038" s="551"/>
      <c r="D1038" s="551"/>
      <c r="E1038" s="551"/>
      <c r="F1038" s="551"/>
      <c r="G1038" s="551"/>
      <c r="H1038" s="551"/>
      <c r="I1038" s="551"/>
      <c r="J1038" s="551"/>
      <c r="K1038" s="551"/>
      <c r="L1038" s="551"/>
      <c r="M1038" s="551"/>
      <c r="N1038" s="551"/>
      <c r="O1038" s="551"/>
      <c r="P1038" s="551"/>
      <c r="Q1038" s="79"/>
      <c r="R1038" s="79"/>
      <c r="S1038" s="79"/>
      <c r="T1038" s="79"/>
      <c r="U1038" s="79"/>
      <c r="V1038" s="79"/>
      <c r="W1038" s="79"/>
      <c r="X1038" s="79"/>
      <c r="Y1038" s="79"/>
      <c r="Z1038" s="79"/>
      <c r="AA1038" s="79"/>
      <c r="AB1038" s="79"/>
      <c r="AC1038" s="79"/>
      <c r="AD1038" s="79"/>
      <c r="AE1038" s="79"/>
      <c r="AF1038" s="79"/>
    </row>
    <row r="1039" spans="1:32" s="2" customFormat="1">
      <c r="A1039" s="551"/>
      <c r="B1039" s="551"/>
      <c r="C1039" s="551"/>
      <c r="D1039" s="551"/>
      <c r="E1039" s="551"/>
      <c r="F1039" s="551"/>
      <c r="G1039" s="551"/>
      <c r="H1039" s="551"/>
      <c r="I1039" s="551"/>
      <c r="J1039" s="551"/>
      <c r="K1039" s="551"/>
      <c r="L1039" s="551"/>
      <c r="M1039" s="551"/>
      <c r="N1039" s="551"/>
      <c r="O1039" s="551"/>
      <c r="P1039" s="551"/>
      <c r="Q1039" s="79"/>
      <c r="R1039" s="79"/>
      <c r="S1039" s="79"/>
      <c r="T1039" s="79"/>
      <c r="U1039" s="79"/>
      <c r="V1039" s="79"/>
      <c r="W1039" s="79"/>
      <c r="X1039" s="79"/>
      <c r="Y1039" s="79"/>
      <c r="Z1039" s="79"/>
      <c r="AA1039" s="79"/>
      <c r="AB1039" s="79"/>
      <c r="AC1039" s="79"/>
      <c r="AD1039" s="79"/>
      <c r="AE1039" s="79"/>
      <c r="AF1039" s="79"/>
    </row>
    <row r="1040" spans="1:32" s="2" customFormat="1">
      <c r="A1040" s="551"/>
      <c r="B1040" s="551"/>
      <c r="C1040" s="551"/>
      <c r="D1040" s="551"/>
      <c r="E1040" s="551"/>
      <c r="F1040" s="551"/>
      <c r="G1040" s="551"/>
      <c r="H1040" s="551"/>
      <c r="I1040" s="551"/>
      <c r="J1040" s="551"/>
      <c r="K1040" s="551"/>
      <c r="L1040" s="551"/>
      <c r="M1040" s="551"/>
      <c r="N1040" s="551"/>
      <c r="O1040" s="551"/>
      <c r="P1040" s="551"/>
      <c r="Q1040" s="79"/>
      <c r="R1040" s="79"/>
      <c r="S1040" s="79"/>
      <c r="T1040" s="79"/>
      <c r="U1040" s="79"/>
      <c r="V1040" s="79"/>
      <c r="W1040" s="79"/>
      <c r="X1040" s="79"/>
      <c r="Y1040" s="79"/>
      <c r="Z1040" s="79"/>
      <c r="AA1040" s="79"/>
      <c r="AB1040" s="79"/>
      <c r="AC1040" s="79"/>
      <c r="AD1040" s="79"/>
      <c r="AE1040" s="79"/>
      <c r="AF1040" s="79"/>
    </row>
    <row r="1041" spans="1:32" s="2" customFormat="1">
      <c r="A1041" s="551"/>
      <c r="B1041" s="551"/>
      <c r="C1041" s="551"/>
      <c r="D1041" s="551"/>
      <c r="E1041" s="551"/>
      <c r="F1041" s="551"/>
      <c r="G1041" s="551"/>
      <c r="H1041" s="551"/>
      <c r="I1041" s="551"/>
      <c r="J1041" s="551"/>
      <c r="K1041" s="551"/>
      <c r="L1041" s="551"/>
      <c r="M1041" s="551"/>
      <c r="N1041" s="551"/>
      <c r="O1041" s="551"/>
      <c r="P1041" s="551"/>
      <c r="Q1041" s="79"/>
      <c r="R1041" s="79"/>
      <c r="S1041" s="79"/>
      <c r="T1041" s="79"/>
      <c r="U1041" s="79"/>
      <c r="V1041" s="79"/>
      <c r="W1041" s="79"/>
      <c r="X1041" s="79"/>
      <c r="Y1041" s="79"/>
      <c r="Z1041" s="79"/>
      <c r="AA1041" s="79"/>
      <c r="AB1041" s="79"/>
      <c r="AC1041" s="79"/>
      <c r="AD1041" s="79"/>
      <c r="AE1041" s="79"/>
      <c r="AF1041" s="79"/>
    </row>
    <row r="1042" spans="1:32" s="2" customFormat="1">
      <c r="A1042" s="551"/>
      <c r="B1042" s="551"/>
      <c r="C1042" s="551"/>
      <c r="D1042" s="551"/>
      <c r="E1042" s="551"/>
      <c r="F1042" s="551"/>
      <c r="G1042" s="551"/>
      <c r="H1042" s="551"/>
      <c r="I1042" s="551"/>
      <c r="J1042" s="551"/>
      <c r="K1042" s="551"/>
      <c r="L1042" s="551"/>
      <c r="M1042" s="551"/>
      <c r="N1042" s="551"/>
      <c r="O1042" s="551"/>
      <c r="P1042" s="551"/>
      <c r="Q1042" s="79"/>
      <c r="R1042" s="79"/>
      <c r="S1042" s="79"/>
      <c r="T1042" s="79"/>
      <c r="U1042" s="79"/>
      <c r="V1042" s="79"/>
      <c r="W1042" s="79"/>
      <c r="X1042" s="79"/>
      <c r="Y1042" s="79"/>
      <c r="Z1042" s="79"/>
      <c r="AA1042" s="79"/>
      <c r="AB1042" s="79"/>
      <c r="AC1042" s="79"/>
      <c r="AD1042" s="79"/>
      <c r="AE1042" s="79"/>
      <c r="AF1042" s="79"/>
    </row>
    <row r="1043" spans="1:32" s="2" customFormat="1">
      <c r="A1043" s="551"/>
      <c r="B1043" s="551"/>
      <c r="C1043" s="551"/>
      <c r="D1043" s="551"/>
      <c r="E1043" s="551"/>
      <c r="F1043" s="551"/>
      <c r="G1043" s="551"/>
      <c r="H1043" s="551"/>
      <c r="I1043" s="551"/>
      <c r="J1043" s="551"/>
      <c r="K1043" s="551"/>
      <c r="L1043" s="551"/>
      <c r="M1043" s="551"/>
      <c r="N1043" s="551"/>
      <c r="O1043" s="551"/>
      <c r="P1043" s="551"/>
      <c r="Q1043" s="79"/>
      <c r="R1043" s="79"/>
      <c r="S1043" s="79"/>
      <c r="T1043" s="79"/>
      <c r="U1043" s="79"/>
      <c r="V1043" s="79"/>
      <c r="W1043" s="79"/>
      <c r="X1043" s="79"/>
      <c r="Y1043" s="79"/>
      <c r="Z1043" s="79"/>
      <c r="AA1043" s="79"/>
      <c r="AB1043" s="79"/>
      <c r="AC1043" s="79"/>
      <c r="AD1043" s="79"/>
      <c r="AE1043" s="79"/>
      <c r="AF1043" s="79"/>
    </row>
    <row r="1044" spans="1:32" s="2" customFormat="1">
      <c r="A1044" s="551"/>
      <c r="B1044" s="551"/>
      <c r="C1044" s="551"/>
      <c r="D1044" s="551"/>
      <c r="E1044" s="551"/>
      <c r="F1044" s="551"/>
      <c r="G1044" s="551"/>
      <c r="H1044" s="551"/>
      <c r="I1044" s="551"/>
      <c r="J1044" s="551"/>
      <c r="K1044" s="551"/>
      <c r="L1044" s="551"/>
      <c r="M1044" s="551"/>
      <c r="N1044" s="551"/>
      <c r="O1044" s="551"/>
      <c r="P1044" s="551"/>
      <c r="Q1044" s="79"/>
      <c r="R1044" s="79"/>
      <c r="S1044" s="79"/>
      <c r="T1044" s="79"/>
      <c r="U1044" s="79"/>
      <c r="V1044" s="79"/>
      <c r="W1044" s="79"/>
      <c r="X1044" s="79"/>
      <c r="Y1044" s="79"/>
      <c r="Z1044" s="79"/>
      <c r="AA1044" s="79"/>
      <c r="AB1044" s="79"/>
      <c r="AC1044" s="79"/>
      <c r="AD1044" s="79"/>
      <c r="AE1044" s="79"/>
      <c r="AF1044" s="79"/>
    </row>
    <row r="1045" spans="1:32" s="2" customFormat="1">
      <c r="A1045" s="551"/>
      <c r="B1045" s="551"/>
      <c r="C1045" s="551"/>
      <c r="D1045" s="551"/>
      <c r="E1045" s="551"/>
      <c r="F1045" s="551"/>
      <c r="G1045" s="551"/>
      <c r="H1045" s="551"/>
      <c r="I1045" s="551"/>
      <c r="J1045" s="551"/>
      <c r="K1045" s="551"/>
      <c r="L1045" s="551"/>
      <c r="M1045" s="551"/>
      <c r="N1045" s="551"/>
      <c r="O1045" s="551"/>
      <c r="P1045" s="551"/>
      <c r="Q1045" s="79"/>
      <c r="R1045" s="79"/>
      <c r="S1045" s="79"/>
      <c r="T1045" s="79"/>
      <c r="U1045" s="79"/>
      <c r="V1045" s="79"/>
      <c r="W1045" s="79"/>
      <c r="X1045" s="79"/>
      <c r="Y1045" s="79"/>
      <c r="Z1045" s="79"/>
      <c r="AA1045" s="79"/>
      <c r="AB1045" s="79"/>
      <c r="AC1045" s="79"/>
      <c r="AD1045" s="79"/>
      <c r="AE1045" s="79"/>
      <c r="AF1045" s="79"/>
    </row>
    <row r="1046" spans="1:32" s="2" customFormat="1">
      <c r="A1046" s="551"/>
      <c r="B1046" s="551"/>
      <c r="C1046" s="551"/>
      <c r="D1046" s="551"/>
      <c r="E1046" s="551"/>
      <c r="F1046" s="551"/>
      <c r="G1046" s="551"/>
      <c r="H1046" s="551"/>
      <c r="I1046" s="551"/>
      <c r="J1046" s="551"/>
      <c r="K1046" s="551"/>
      <c r="L1046" s="551"/>
      <c r="M1046" s="551"/>
      <c r="N1046" s="551"/>
      <c r="O1046" s="551"/>
      <c r="P1046" s="551"/>
      <c r="Q1046" s="79"/>
      <c r="R1046" s="79"/>
      <c r="S1046" s="79"/>
      <c r="T1046" s="79"/>
      <c r="U1046" s="79"/>
      <c r="V1046" s="79"/>
      <c r="W1046" s="79"/>
      <c r="X1046" s="79"/>
      <c r="Y1046" s="79"/>
      <c r="Z1046" s="79"/>
      <c r="AA1046" s="79"/>
      <c r="AB1046" s="79"/>
      <c r="AC1046" s="79"/>
      <c r="AD1046" s="79"/>
      <c r="AE1046" s="79"/>
      <c r="AF1046" s="79"/>
    </row>
    <row r="1047" spans="1:32" s="2" customFormat="1">
      <c r="A1047" s="551"/>
      <c r="B1047" s="551"/>
      <c r="C1047" s="551"/>
      <c r="D1047" s="551"/>
      <c r="E1047" s="551"/>
      <c r="F1047" s="551"/>
      <c r="G1047" s="551"/>
      <c r="H1047" s="551"/>
      <c r="I1047" s="551"/>
      <c r="J1047" s="551"/>
      <c r="K1047" s="551"/>
      <c r="L1047" s="551"/>
      <c r="M1047" s="551"/>
      <c r="N1047" s="551"/>
      <c r="O1047" s="551"/>
      <c r="P1047" s="551"/>
      <c r="Q1047" s="79"/>
      <c r="R1047" s="79"/>
      <c r="S1047" s="79"/>
      <c r="T1047" s="79"/>
      <c r="U1047" s="79"/>
      <c r="V1047" s="79"/>
      <c r="W1047" s="79"/>
      <c r="X1047" s="79"/>
      <c r="Y1047" s="79"/>
      <c r="Z1047" s="79"/>
      <c r="AA1047" s="79"/>
      <c r="AB1047" s="79"/>
      <c r="AC1047" s="79"/>
      <c r="AD1047" s="79"/>
      <c r="AE1047" s="79"/>
      <c r="AF1047" s="79"/>
    </row>
    <row r="1048" spans="1:32" s="2" customFormat="1">
      <c r="A1048" s="551"/>
      <c r="B1048" s="551"/>
      <c r="C1048" s="551"/>
      <c r="D1048" s="551"/>
      <c r="E1048" s="551"/>
      <c r="F1048" s="551"/>
      <c r="G1048" s="551"/>
      <c r="H1048" s="551"/>
      <c r="I1048" s="551"/>
      <c r="J1048" s="551"/>
      <c r="K1048" s="551"/>
      <c r="L1048" s="551"/>
      <c r="M1048" s="551"/>
      <c r="N1048" s="551"/>
      <c r="O1048" s="551"/>
      <c r="P1048" s="551"/>
      <c r="Q1048" s="79"/>
      <c r="R1048" s="79"/>
      <c r="S1048" s="79"/>
      <c r="T1048" s="79"/>
      <c r="U1048" s="79"/>
      <c r="V1048" s="79"/>
      <c r="W1048" s="79"/>
      <c r="X1048" s="79"/>
      <c r="Y1048" s="79"/>
      <c r="Z1048" s="79"/>
      <c r="AA1048" s="79"/>
      <c r="AB1048" s="79"/>
      <c r="AC1048" s="79"/>
      <c r="AD1048" s="79"/>
      <c r="AE1048" s="79"/>
      <c r="AF1048" s="79"/>
    </row>
    <row r="1049" spans="1:32" s="2" customFormat="1">
      <c r="A1049" s="551"/>
      <c r="B1049" s="551"/>
      <c r="C1049" s="551"/>
      <c r="D1049" s="551"/>
      <c r="E1049" s="551"/>
      <c r="F1049" s="551"/>
      <c r="G1049" s="551"/>
      <c r="H1049" s="551"/>
      <c r="I1049" s="551"/>
      <c r="J1049" s="551"/>
      <c r="K1049" s="551"/>
      <c r="L1049" s="551"/>
      <c r="M1049" s="551"/>
      <c r="N1049" s="551"/>
      <c r="O1049" s="551"/>
      <c r="P1049" s="551"/>
      <c r="Q1049" s="79"/>
      <c r="R1049" s="79"/>
      <c r="S1049" s="79"/>
      <c r="T1049" s="79"/>
      <c r="U1049" s="79"/>
      <c r="V1049" s="79"/>
      <c r="W1049" s="79"/>
      <c r="X1049" s="79"/>
      <c r="Y1049" s="79"/>
      <c r="Z1049" s="79"/>
      <c r="AA1049" s="79"/>
      <c r="AB1049" s="79"/>
      <c r="AC1049" s="79"/>
      <c r="AD1049" s="79"/>
      <c r="AE1049" s="79"/>
      <c r="AF1049" s="79"/>
    </row>
    <row r="1050" spans="1:32" s="2" customFormat="1">
      <c r="A1050" s="551"/>
      <c r="B1050" s="551"/>
      <c r="C1050" s="551"/>
      <c r="D1050" s="551"/>
      <c r="E1050" s="551"/>
      <c r="F1050" s="551"/>
      <c r="G1050" s="551"/>
      <c r="H1050" s="551"/>
      <c r="I1050" s="551"/>
      <c r="J1050" s="551"/>
      <c r="K1050" s="551"/>
      <c r="L1050" s="551"/>
      <c r="M1050" s="551"/>
      <c r="N1050" s="551"/>
      <c r="O1050" s="551"/>
      <c r="P1050" s="551"/>
      <c r="Q1050" s="79"/>
      <c r="R1050" s="79"/>
      <c r="S1050" s="79"/>
      <c r="T1050" s="79"/>
      <c r="U1050" s="79"/>
      <c r="V1050" s="79"/>
      <c r="W1050" s="79"/>
      <c r="X1050" s="79"/>
      <c r="Y1050" s="79"/>
      <c r="Z1050" s="79"/>
      <c r="AA1050" s="79"/>
      <c r="AB1050" s="79"/>
      <c r="AC1050" s="79"/>
      <c r="AD1050" s="79"/>
      <c r="AE1050" s="79"/>
      <c r="AF1050" s="79"/>
    </row>
    <row r="1051" spans="1:32" s="2" customFormat="1">
      <c r="A1051" s="551"/>
      <c r="B1051" s="551"/>
      <c r="C1051" s="551"/>
      <c r="D1051" s="551"/>
      <c r="E1051" s="551"/>
      <c r="F1051" s="551"/>
      <c r="G1051" s="551"/>
      <c r="H1051" s="551"/>
      <c r="I1051" s="551"/>
      <c r="J1051" s="551"/>
      <c r="K1051" s="551"/>
      <c r="L1051" s="551"/>
      <c r="M1051" s="551"/>
      <c r="N1051" s="551"/>
      <c r="O1051" s="551"/>
      <c r="P1051" s="551"/>
      <c r="Q1051" s="79"/>
      <c r="R1051" s="79"/>
      <c r="S1051" s="79"/>
      <c r="T1051" s="79"/>
      <c r="U1051" s="79"/>
      <c r="V1051" s="79"/>
      <c r="W1051" s="79"/>
      <c r="X1051" s="79"/>
      <c r="Y1051" s="79"/>
      <c r="Z1051" s="79"/>
      <c r="AA1051" s="79"/>
      <c r="AB1051" s="79"/>
      <c r="AC1051" s="79"/>
      <c r="AD1051" s="79"/>
      <c r="AE1051" s="79"/>
      <c r="AF1051" s="79"/>
    </row>
    <row r="1052" spans="1:32" s="2" customFormat="1">
      <c r="A1052" s="551"/>
      <c r="B1052" s="551"/>
      <c r="C1052" s="551"/>
      <c r="D1052" s="551"/>
      <c r="E1052" s="551"/>
      <c r="F1052" s="551"/>
      <c r="G1052" s="551"/>
      <c r="H1052" s="551"/>
      <c r="I1052" s="551"/>
      <c r="J1052" s="551"/>
      <c r="K1052" s="551"/>
      <c r="L1052" s="551"/>
      <c r="M1052" s="551"/>
      <c r="N1052" s="551"/>
      <c r="O1052" s="551"/>
      <c r="P1052" s="551"/>
      <c r="Q1052" s="79"/>
      <c r="R1052" s="79"/>
      <c r="S1052" s="79"/>
      <c r="T1052" s="79"/>
      <c r="U1052" s="79"/>
      <c r="V1052" s="79"/>
      <c r="W1052" s="79"/>
      <c r="X1052" s="79"/>
      <c r="Y1052" s="79"/>
      <c r="Z1052" s="79"/>
      <c r="AA1052" s="79"/>
      <c r="AB1052" s="79"/>
      <c r="AC1052" s="79"/>
      <c r="AD1052" s="79"/>
      <c r="AE1052" s="79"/>
      <c r="AF1052" s="79"/>
    </row>
    <row r="1053" spans="1:32" s="2" customFormat="1">
      <c r="A1053" s="551"/>
      <c r="B1053" s="551"/>
      <c r="C1053" s="551"/>
      <c r="D1053" s="551"/>
      <c r="E1053" s="551"/>
      <c r="F1053" s="551"/>
      <c r="G1053" s="551"/>
      <c r="H1053" s="551"/>
      <c r="I1053" s="551"/>
      <c r="J1053" s="551"/>
      <c r="K1053" s="551"/>
      <c r="L1053" s="551"/>
      <c r="M1053" s="551"/>
      <c r="N1053" s="551"/>
      <c r="O1053" s="551"/>
      <c r="P1053" s="551"/>
      <c r="Q1053" s="79"/>
      <c r="R1053" s="79"/>
      <c r="S1053" s="79"/>
      <c r="T1053" s="79"/>
      <c r="U1053" s="79"/>
      <c r="V1053" s="79"/>
      <c r="W1053" s="79"/>
      <c r="X1053" s="79"/>
      <c r="Y1053" s="79"/>
      <c r="Z1053" s="79"/>
      <c r="AA1053" s="79"/>
      <c r="AB1053" s="79"/>
      <c r="AC1053" s="79"/>
      <c r="AD1053" s="79"/>
      <c r="AE1053" s="79"/>
      <c r="AF1053" s="79"/>
    </row>
    <row r="1054" spans="1:32" s="2" customFormat="1">
      <c r="A1054" s="551"/>
      <c r="B1054" s="551"/>
      <c r="C1054" s="551"/>
      <c r="D1054" s="551"/>
      <c r="E1054" s="551"/>
      <c r="F1054" s="551"/>
      <c r="G1054" s="551"/>
      <c r="H1054" s="551"/>
      <c r="I1054" s="551"/>
      <c r="J1054" s="551"/>
      <c r="K1054" s="551"/>
      <c r="L1054" s="551"/>
      <c r="M1054" s="551"/>
      <c r="N1054" s="551"/>
      <c r="O1054" s="551"/>
      <c r="P1054" s="551"/>
      <c r="Q1054" s="79"/>
      <c r="R1054" s="79"/>
      <c r="S1054" s="79"/>
      <c r="T1054" s="79"/>
      <c r="U1054" s="79"/>
      <c r="V1054" s="79"/>
      <c r="W1054" s="79"/>
      <c r="X1054" s="79"/>
      <c r="Y1054" s="79"/>
      <c r="Z1054" s="79"/>
      <c r="AA1054" s="79"/>
      <c r="AB1054" s="79"/>
      <c r="AC1054" s="79"/>
      <c r="AD1054" s="79"/>
      <c r="AE1054" s="79"/>
      <c r="AF1054" s="79"/>
    </row>
    <row r="1055" spans="1:32" s="2" customFormat="1">
      <c r="A1055" s="551"/>
      <c r="B1055" s="551"/>
      <c r="C1055" s="551"/>
      <c r="D1055" s="551"/>
      <c r="E1055" s="551"/>
      <c r="F1055" s="551"/>
      <c r="G1055" s="551"/>
      <c r="H1055" s="551"/>
      <c r="I1055" s="551"/>
      <c r="J1055" s="551"/>
      <c r="K1055" s="551"/>
      <c r="L1055" s="551"/>
      <c r="M1055" s="551"/>
      <c r="N1055" s="551"/>
      <c r="O1055" s="551"/>
      <c r="P1055" s="551"/>
      <c r="Q1055" s="79"/>
      <c r="R1055" s="79"/>
      <c r="S1055" s="79"/>
      <c r="T1055" s="79"/>
      <c r="U1055" s="79"/>
      <c r="V1055" s="79"/>
      <c r="W1055" s="79"/>
      <c r="X1055" s="79"/>
      <c r="Y1055" s="79"/>
      <c r="Z1055" s="79"/>
      <c r="AA1055" s="79"/>
      <c r="AB1055" s="79"/>
      <c r="AC1055" s="79"/>
      <c r="AD1055" s="79"/>
      <c r="AE1055" s="79"/>
      <c r="AF1055" s="79"/>
    </row>
    <row r="1056" spans="1:32" s="2" customFormat="1">
      <c r="A1056" s="551"/>
      <c r="B1056" s="551"/>
      <c r="C1056" s="551"/>
      <c r="D1056" s="551"/>
      <c r="E1056" s="551"/>
      <c r="F1056" s="551"/>
      <c r="G1056" s="551"/>
      <c r="H1056" s="551"/>
      <c r="I1056" s="551"/>
      <c r="J1056" s="551"/>
      <c r="K1056" s="551"/>
      <c r="L1056" s="551"/>
      <c r="M1056" s="551"/>
      <c r="N1056" s="551"/>
      <c r="O1056" s="551"/>
      <c r="P1056" s="551"/>
      <c r="Q1056" s="79"/>
      <c r="R1056" s="79"/>
      <c r="S1056" s="79"/>
      <c r="T1056" s="79"/>
      <c r="U1056" s="79"/>
      <c r="V1056" s="79"/>
      <c r="W1056" s="79"/>
      <c r="X1056" s="79"/>
      <c r="Y1056" s="79"/>
      <c r="Z1056" s="79"/>
      <c r="AA1056" s="79"/>
      <c r="AB1056" s="79"/>
      <c r="AC1056" s="79"/>
      <c r="AD1056" s="79"/>
      <c r="AE1056" s="79"/>
      <c r="AF1056" s="79"/>
    </row>
    <row r="1057" spans="1:32" s="2" customFormat="1">
      <c r="A1057" s="551"/>
      <c r="B1057" s="551"/>
      <c r="C1057" s="551"/>
      <c r="D1057" s="551"/>
      <c r="E1057" s="551"/>
      <c r="F1057" s="551"/>
      <c r="G1057" s="551"/>
      <c r="H1057" s="551"/>
      <c r="I1057" s="551"/>
      <c r="J1057" s="551"/>
      <c r="K1057" s="551"/>
      <c r="L1057" s="551"/>
      <c r="M1057" s="551"/>
      <c r="N1057" s="551"/>
      <c r="O1057" s="551"/>
      <c r="P1057" s="551"/>
      <c r="Q1057" s="79"/>
      <c r="R1057" s="79"/>
      <c r="S1057" s="79"/>
      <c r="T1057" s="79"/>
      <c r="U1057" s="79"/>
      <c r="V1057" s="79"/>
      <c r="W1057" s="79"/>
      <c r="X1057" s="79"/>
      <c r="Y1057" s="79"/>
      <c r="Z1057" s="79"/>
      <c r="AA1057" s="79"/>
      <c r="AB1057" s="79"/>
      <c r="AC1057" s="79"/>
      <c r="AD1057" s="79"/>
      <c r="AE1057" s="79"/>
      <c r="AF1057" s="79"/>
    </row>
    <row r="1058" spans="1:32" s="2" customFormat="1">
      <c r="A1058" s="551"/>
      <c r="B1058" s="551"/>
      <c r="C1058" s="551"/>
      <c r="D1058" s="551"/>
      <c r="E1058" s="551"/>
      <c r="F1058" s="551"/>
      <c r="G1058" s="551"/>
      <c r="H1058" s="551"/>
      <c r="I1058" s="551"/>
      <c r="J1058" s="551"/>
      <c r="K1058" s="551"/>
      <c r="L1058" s="551"/>
      <c r="M1058" s="551"/>
      <c r="N1058" s="551"/>
      <c r="O1058" s="551"/>
      <c r="P1058" s="551"/>
      <c r="Q1058" s="79"/>
      <c r="R1058" s="79"/>
      <c r="S1058" s="79"/>
      <c r="T1058" s="79"/>
      <c r="U1058" s="79"/>
      <c r="V1058" s="79"/>
      <c r="W1058" s="79"/>
      <c r="X1058" s="79"/>
      <c r="Y1058" s="79"/>
      <c r="Z1058" s="79"/>
      <c r="AA1058" s="79"/>
      <c r="AB1058" s="79"/>
      <c r="AC1058" s="79"/>
      <c r="AD1058" s="79"/>
      <c r="AE1058" s="79"/>
      <c r="AF1058" s="79"/>
    </row>
    <row r="1059" spans="1:32" s="2" customFormat="1">
      <c r="A1059" s="551"/>
      <c r="B1059" s="551"/>
      <c r="C1059" s="551"/>
      <c r="D1059" s="551"/>
      <c r="E1059" s="551"/>
      <c r="F1059" s="551"/>
      <c r="G1059" s="551"/>
      <c r="H1059" s="551"/>
      <c r="I1059" s="551"/>
      <c r="J1059" s="551"/>
      <c r="K1059" s="551"/>
      <c r="L1059" s="551"/>
      <c r="M1059" s="551"/>
      <c r="N1059" s="551"/>
      <c r="O1059" s="551"/>
      <c r="P1059" s="551"/>
      <c r="Q1059" s="79"/>
      <c r="R1059" s="79"/>
      <c r="S1059" s="79"/>
      <c r="T1059" s="79"/>
      <c r="U1059" s="79"/>
      <c r="V1059" s="79"/>
      <c r="W1059" s="79"/>
      <c r="X1059" s="79"/>
      <c r="Y1059" s="79"/>
      <c r="Z1059" s="79"/>
      <c r="AA1059" s="79"/>
      <c r="AB1059" s="79"/>
      <c r="AC1059" s="79"/>
      <c r="AD1059" s="79"/>
      <c r="AE1059" s="79"/>
      <c r="AF1059" s="79"/>
    </row>
    <row r="1060" spans="1:32" s="2" customFormat="1">
      <c r="A1060" s="551"/>
      <c r="B1060" s="551"/>
      <c r="C1060" s="551"/>
      <c r="D1060" s="551"/>
      <c r="E1060" s="551"/>
      <c r="F1060" s="551"/>
      <c r="G1060" s="551"/>
      <c r="H1060" s="551"/>
      <c r="I1060" s="551"/>
      <c r="J1060" s="551"/>
      <c r="K1060" s="551"/>
      <c r="L1060" s="551"/>
      <c r="M1060" s="551"/>
      <c r="N1060" s="551"/>
      <c r="O1060" s="551"/>
      <c r="P1060" s="551"/>
      <c r="Q1060" s="79"/>
      <c r="R1060" s="79"/>
      <c r="S1060" s="79"/>
      <c r="T1060" s="79"/>
      <c r="U1060" s="79"/>
      <c r="V1060" s="79"/>
      <c r="W1060" s="79"/>
      <c r="X1060" s="79"/>
      <c r="Y1060" s="79"/>
      <c r="Z1060" s="79"/>
      <c r="AA1060" s="79"/>
      <c r="AB1060" s="79"/>
      <c r="AC1060" s="79"/>
      <c r="AD1060" s="79"/>
      <c r="AE1060" s="79"/>
      <c r="AF1060" s="79"/>
    </row>
    <row r="1061" spans="1:32" s="2" customFormat="1">
      <c r="A1061" s="551"/>
      <c r="B1061" s="551"/>
      <c r="C1061" s="551"/>
      <c r="D1061" s="551"/>
      <c r="E1061" s="551"/>
      <c r="F1061" s="551"/>
      <c r="G1061" s="551"/>
      <c r="H1061" s="551"/>
      <c r="I1061" s="551"/>
      <c r="J1061" s="551"/>
      <c r="K1061" s="551"/>
      <c r="L1061" s="551"/>
      <c r="M1061" s="551"/>
      <c r="N1061" s="551"/>
      <c r="O1061" s="551"/>
      <c r="P1061" s="551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  <c r="AD1061" s="79"/>
      <c r="AE1061" s="79"/>
      <c r="AF1061" s="79"/>
    </row>
    <row r="1062" spans="1:32" s="2" customFormat="1">
      <c r="A1062" s="551"/>
      <c r="B1062" s="551"/>
      <c r="C1062" s="551"/>
      <c r="D1062" s="551"/>
      <c r="E1062" s="551"/>
      <c r="F1062" s="551"/>
      <c r="G1062" s="551"/>
      <c r="H1062" s="551"/>
      <c r="I1062" s="551"/>
      <c r="J1062" s="551"/>
      <c r="K1062" s="551"/>
      <c r="L1062" s="551"/>
      <c r="M1062" s="551"/>
      <c r="N1062" s="551"/>
      <c r="O1062" s="551"/>
      <c r="P1062" s="551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  <c r="AD1062" s="79"/>
      <c r="AE1062" s="79"/>
      <c r="AF1062" s="79"/>
    </row>
    <row r="1063" spans="1:32" s="2" customFormat="1">
      <c r="A1063" s="551"/>
      <c r="B1063" s="551"/>
      <c r="C1063" s="551"/>
      <c r="D1063" s="551"/>
      <c r="E1063" s="551"/>
      <c r="F1063" s="551"/>
      <c r="G1063" s="551"/>
      <c r="H1063" s="551"/>
      <c r="I1063" s="551"/>
      <c r="J1063" s="551"/>
      <c r="K1063" s="551"/>
      <c r="L1063" s="551"/>
      <c r="M1063" s="551"/>
      <c r="N1063" s="551"/>
      <c r="O1063" s="551"/>
      <c r="P1063" s="551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  <c r="AD1063" s="79"/>
      <c r="AE1063" s="79"/>
      <c r="AF1063" s="79"/>
    </row>
    <row r="1064" spans="1:32" s="2" customFormat="1">
      <c r="A1064" s="551"/>
      <c r="B1064" s="551"/>
      <c r="C1064" s="551"/>
      <c r="D1064" s="551"/>
      <c r="E1064" s="551"/>
      <c r="F1064" s="551"/>
      <c r="G1064" s="551"/>
      <c r="H1064" s="551"/>
      <c r="I1064" s="551"/>
      <c r="J1064" s="551"/>
      <c r="K1064" s="551"/>
      <c r="L1064" s="551"/>
      <c r="M1064" s="551"/>
      <c r="N1064" s="551"/>
      <c r="O1064" s="551"/>
      <c r="P1064" s="551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  <c r="AD1064" s="79"/>
      <c r="AE1064" s="79"/>
      <c r="AF1064" s="79"/>
    </row>
    <row r="1065" spans="1:32" s="2" customFormat="1">
      <c r="A1065" s="551"/>
      <c r="B1065" s="551"/>
      <c r="C1065" s="551"/>
      <c r="D1065" s="551"/>
      <c r="E1065" s="551"/>
      <c r="F1065" s="551"/>
      <c r="G1065" s="551"/>
      <c r="H1065" s="551"/>
      <c r="I1065" s="551"/>
      <c r="J1065" s="551"/>
      <c r="K1065" s="551"/>
      <c r="L1065" s="551"/>
      <c r="M1065" s="551"/>
      <c r="N1065" s="551"/>
      <c r="O1065" s="551"/>
      <c r="P1065" s="551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  <c r="AD1065" s="79"/>
      <c r="AE1065" s="79"/>
      <c r="AF1065" s="79"/>
    </row>
    <row r="1066" spans="1:32" s="2" customFormat="1">
      <c r="A1066" s="551"/>
      <c r="B1066" s="551"/>
      <c r="C1066" s="551"/>
      <c r="D1066" s="551"/>
      <c r="E1066" s="551"/>
      <c r="F1066" s="551"/>
      <c r="G1066" s="551"/>
      <c r="H1066" s="551"/>
      <c r="I1066" s="551"/>
      <c r="J1066" s="551"/>
      <c r="K1066" s="551"/>
      <c r="L1066" s="551"/>
      <c r="M1066" s="551"/>
      <c r="N1066" s="551"/>
      <c r="O1066" s="551"/>
      <c r="P1066" s="551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  <c r="AD1066" s="79"/>
      <c r="AE1066" s="79"/>
      <c r="AF1066" s="79"/>
    </row>
    <row r="1067" spans="1:32" s="2" customFormat="1">
      <c r="A1067" s="551"/>
      <c r="B1067" s="551"/>
      <c r="C1067" s="551"/>
      <c r="D1067" s="551"/>
      <c r="E1067" s="551"/>
      <c r="F1067" s="551"/>
      <c r="G1067" s="551"/>
      <c r="H1067" s="551"/>
      <c r="I1067" s="551"/>
      <c r="J1067" s="551"/>
      <c r="K1067" s="551"/>
      <c r="L1067" s="551"/>
      <c r="M1067" s="551"/>
      <c r="N1067" s="551"/>
      <c r="O1067" s="551"/>
      <c r="P1067" s="551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  <c r="AD1067" s="79"/>
      <c r="AE1067" s="79"/>
      <c r="AF1067" s="79"/>
    </row>
    <row r="1068" spans="1:32" s="2" customFormat="1">
      <c r="A1068" s="551"/>
      <c r="B1068" s="551"/>
      <c r="C1068" s="551"/>
      <c r="D1068" s="551"/>
      <c r="E1068" s="551"/>
      <c r="F1068" s="551"/>
      <c r="G1068" s="551"/>
      <c r="H1068" s="551"/>
      <c r="I1068" s="551"/>
      <c r="J1068" s="551"/>
      <c r="K1068" s="551"/>
      <c r="L1068" s="551"/>
      <c r="M1068" s="551"/>
      <c r="N1068" s="551"/>
      <c r="O1068" s="551"/>
      <c r="P1068" s="551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  <c r="AD1068" s="79"/>
      <c r="AE1068" s="79"/>
      <c r="AF1068" s="79"/>
    </row>
    <row r="1069" spans="1:32" s="2" customFormat="1">
      <c r="A1069" s="551"/>
      <c r="B1069" s="551"/>
      <c r="C1069" s="551"/>
      <c r="D1069" s="551"/>
      <c r="E1069" s="551"/>
      <c r="F1069" s="551"/>
      <c r="G1069" s="551"/>
      <c r="H1069" s="551"/>
      <c r="I1069" s="551"/>
      <c r="J1069" s="551"/>
      <c r="K1069" s="551"/>
      <c r="L1069" s="551"/>
      <c r="M1069" s="551"/>
      <c r="N1069" s="551"/>
      <c r="O1069" s="551"/>
      <c r="P1069" s="551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  <c r="AD1069" s="79"/>
      <c r="AE1069" s="79"/>
      <c r="AF1069" s="79"/>
    </row>
    <row r="1070" spans="1:32" s="2" customFormat="1">
      <c r="A1070" s="551"/>
      <c r="B1070" s="551"/>
      <c r="C1070" s="551"/>
      <c r="D1070" s="551"/>
      <c r="E1070" s="551"/>
      <c r="F1070" s="551"/>
      <c r="G1070" s="551"/>
      <c r="H1070" s="551"/>
      <c r="I1070" s="551"/>
      <c r="J1070" s="551"/>
      <c r="K1070" s="551"/>
      <c r="L1070" s="551"/>
      <c r="M1070" s="551"/>
      <c r="N1070" s="551"/>
      <c r="O1070" s="551"/>
      <c r="P1070" s="551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  <c r="AD1070" s="79"/>
      <c r="AE1070" s="79"/>
      <c r="AF1070" s="79"/>
    </row>
    <row r="1071" spans="1:32" s="2" customFormat="1">
      <c r="A1071" s="551"/>
      <c r="B1071" s="551"/>
      <c r="C1071" s="551"/>
      <c r="D1071" s="551"/>
      <c r="E1071" s="551"/>
      <c r="F1071" s="551"/>
      <c r="G1071" s="551"/>
      <c r="H1071" s="551"/>
      <c r="I1071" s="551"/>
      <c r="J1071" s="551"/>
      <c r="K1071" s="551"/>
      <c r="L1071" s="551"/>
      <c r="M1071" s="551"/>
      <c r="N1071" s="551"/>
      <c r="O1071" s="551"/>
      <c r="P1071" s="551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  <c r="AD1071" s="79"/>
      <c r="AE1071" s="79"/>
      <c r="AF1071" s="79"/>
    </row>
    <row r="1072" spans="1:32" s="2" customFormat="1">
      <c r="A1072" s="551"/>
      <c r="B1072" s="551"/>
      <c r="C1072" s="551"/>
      <c r="D1072" s="551"/>
      <c r="E1072" s="551"/>
      <c r="F1072" s="551"/>
      <c r="G1072" s="551"/>
      <c r="H1072" s="551"/>
      <c r="I1072" s="551"/>
      <c r="J1072" s="551"/>
      <c r="K1072" s="551"/>
      <c r="L1072" s="551"/>
      <c r="M1072" s="551"/>
      <c r="N1072" s="551"/>
      <c r="O1072" s="551"/>
      <c r="P1072" s="551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  <c r="AD1072" s="79"/>
      <c r="AE1072" s="79"/>
      <c r="AF1072" s="79"/>
    </row>
    <row r="1073" spans="1:32" s="2" customFormat="1">
      <c r="A1073" s="551"/>
      <c r="B1073" s="551"/>
      <c r="C1073" s="551"/>
      <c r="D1073" s="551"/>
      <c r="E1073" s="551"/>
      <c r="F1073" s="551"/>
      <c r="G1073" s="551"/>
      <c r="H1073" s="551"/>
      <c r="I1073" s="551"/>
      <c r="J1073" s="551"/>
      <c r="K1073" s="551"/>
      <c r="L1073" s="551"/>
      <c r="M1073" s="551"/>
      <c r="N1073" s="551"/>
      <c r="O1073" s="551"/>
      <c r="P1073" s="551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  <c r="AD1073" s="79"/>
      <c r="AE1073" s="79"/>
      <c r="AF1073" s="79"/>
    </row>
    <row r="1074" spans="1:32" s="2" customFormat="1">
      <c r="A1074" s="551"/>
      <c r="B1074" s="551"/>
      <c r="C1074" s="551"/>
      <c r="D1074" s="551"/>
      <c r="E1074" s="551"/>
      <c r="F1074" s="551"/>
      <c r="G1074" s="551"/>
      <c r="H1074" s="551"/>
      <c r="I1074" s="551"/>
      <c r="J1074" s="551"/>
      <c r="K1074" s="551"/>
      <c r="L1074" s="551"/>
      <c r="M1074" s="551"/>
      <c r="N1074" s="551"/>
      <c r="O1074" s="551"/>
      <c r="P1074" s="551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  <c r="AD1074" s="79"/>
      <c r="AE1074" s="79"/>
      <c r="AF1074" s="79"/>
    </row>
    <row r="1075" spans="1:32" s="2" customFormat="1">
      <c r="A1075" s="551"/>
      <c r="B1075" s="551"/>
      <c r="C1075" s="551"/>
      <c r="D1075" s="551"/>
      <c r="E1075" s="551"/>
      <c r="F1075" s="551"/>
      <c r="G1075" s="551"/>
      <c r="H1075" s="551"/>
      <c r="I1075" s="551"/>
      <c r="J1075" s="551"/>
      <c r="K1075" s="551"/>
      <c r="L1075" s="551"/>
      <c r="M1075" s="551"/>
      <c r="N1075" s="551"/>
      <c r="O1075" s="551"/>
      <c r="P1075" s="551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  <c r="AD1075" s="79"/>
      <c r="AE1075" s="79"/>
      <c r="AF1075" s="79"/>
    </row>
    <row r="1076" spans="1:32" s="2" customFormat="1">
      <c r="A1076" s="551"/>
      <c r="B1076" s="551"/>
      <c r="C1076" s="551"/>
      <c r="D1076" s="551"/>
      <c r="E1076" s="551"/>
      <c r="F1076" s="551"/>
      <c r="G1076" s="551"/>
      <c r="H1076" s="551"/>
      <c r="I1076" s="551"/>
      <c r="J1076" s="551"/>
      <c r="K1076" s="551"/>
      <c r="L1076" s="551"/>
      <c r="M1076" s="551"/>
      <c r="N1076" s="551"/>
      <c r="O1076" s="551"/>
      <c r="P1076" s="551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  <c r="AD1076" s="79"/>
      <c r="AE1076" s="79"/>
      <c r="AF1076" s="79"/>
    </row>
    <row r="1077" spans="1:32" s="2" customFormat="1">
      <c r="A1077" s="551"/>
      <c r="B1077" s="551"/>
      <c r="C1077" s="551"/>
      <c r="D1077" s="551"/>
      <c r="E1077" s="551"/>
      <c r="F1077" s="551"/>
      <c r="G1077" s="551"/>
      <c r="H1077" s="551"/>
      <c r="I1077" s="551"/>
      <c r="J1077" s="551"/>
      <c r="K1077" s="551"/>
      <c r="L1077" s="551"/>
      <c r="M1077" s="551"/>
      <c r="N1077" s="551"/>
      <c r="O1077" s="551"/>
      <c r="P1077" s="551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  <c r="AD1077" s="79"/>
      <c r="AE1077" s="79"/>
      <c r="AF1077" s="79"/>
    </row>
    <row r="1078" spans="1:32" s="2" customFormat="1">
      <c r="A1078" s="551"/>
      <c r="B1078" s="551"/>
      <c r="C1078" s="551"/>
      <c r="D1078" s="551"/>
      <c r="E1078" s="551"/>
      <c r="F1078" s="551"/>
      <c r="G1078" s="551"/>
      <c r="H1078" s="551"/>
      <c r="I1078" s="551"/>
      <c r="J1078" s="551"/>
      <c r="K1078" s="551"/>
      <c r="L1078" s="551"/>
      <c r="M1078" s="551"/>
      <c r="N1078" s="551"/>
      <c r="O1078" s="551"/>
      <c r="P1078" s="551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  <c r="AD1078" s="79"/>
      <c r="AE1078" s="79"/>
      <c r="AF1078" s="79"/>
    </row>
    <row r="1079" spans="1:32" s="2" customFormat="1">
      <c r="A1079" s="551"/>
      <c r="B1079" s="551"/>
      <c r="C1079" s="551"/>
      <c r="D1079" s="551"/>
      <c r="E1079" s="551"/>
      <c r="F1079" s="551"/>
      <c r="G1079" s="551"/>
      <c r="H1079" s="551"/>
      <c r="I1079" s="551"/>
      <c r="J1079" s="551"/>
      <c r="K1079" s="551"/>
      <c r="L1079" s="551"/>
      <c r="M1079" s="551"/>
      <c r="N1079" s="551"/>
      <c r="O1079" s="551"/>
      <c r="P1079" s="551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  <c r="AD1079" s="79"/>
      <c r="AE1079" s="79"/>
      <c r="AF1079" s="79"/>
    </row>
    <row r="1080" spans="1:32" s="2" customFormat="1">
      <c r="A1080" s="551"/>
      <c r="B1080" s="551"/>
      <c r="C1080" s="551"/>
      <c r="D1080" s="551"/>
      <c r="E1080" s="551"/>
      <c r="F1080" s="551"/>
      <c r="G1080" s="551"/>
      <c r="H1080" s="551"/>
      <c r="I1080" s="551"/>
      <c r="J1080" s="551"/>
      <c r="K1080" s="551"/>
      <c r="L1080" s="551"/>
      <c r="M1080" s="551"/>
      <c r="N1080" s="551"/>
      <c r="O1080" s="551"/>
      <c r="P1080" s="551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  <c r="AD1080" s="79"/>
      <c r="AE1080" s="79"/>
      <c r="AF1080" s="79"/>
    </row>
    <row r="1081" spans="1:32" s="2" customFormat="1">
      <c r="A1081" s="551"/>
      <c r="B1081" s="551"/>
      <c r="C1081" s="551"/>
      <c r="D1081" s="551"/>
      <c r="E1081" s="551"/>
      <c r="F1081" s="551"/>
      <c r="G1081" s="551"/>
      <c r="H1081" s="551"/>
      <c r="I1081" s="551"/>
      <c r="J1081" s="551"/>
      <c r="K1081" s="551"/>
      <c r="L1081" s="551"/>
      <c r="M1081" s="551"/>
      <c r="N1081" s="551"/>
      <c r="O1081" s="551"/>
      <c r="P1081" s="551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  <c r="AD1081" s="79"/>
      <c r="AE1081" s="79"/>
      <c r="AF1081" s="79"/>
    </row>
    <row r="1082" spans="1:32" s="2" customFormat="1">
      <c r="A1082" s="551"/>
      <c r="B1082" s="551"/>
      <c r="C1082" s="551"/>
      <c r="D1082" s="551"/>
      <c r="E1082" s="551"/>
      <c r="F1082" s="551"/>
      <c r="G1082" s="551"/>
      <c r="H1082" s="551"/>
      <c r="I1082" s="551"/>
      <c r="J1082" s="551"/>
      <c r="K1082" s="551"/>
      <c r="L1082" s="551"/>
      <c r="M1082" s="551"/>
      <c r="N1082" s="551"/>
      <c r="O1082" s="551"/>
      <c r="P1082" s="551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  <c r="AD1082" s="79"/>
      <c r="AE1082" s="79"/>
      <c r="AF1082" s="79"/>
    </row>
    <row r="1083" spans="1:32" s="2" customFormat="1">
      <c r="A1083" s="551"/>
      <c r="B1083" s="551"/>
      <c r="C1083" s="551"/>
      <c r="D1083" s="551"/>
      <c r="E1083" s="551"/>
      <c r="F1083" s="551"/>
      <c r="G1083" s="551"/>
      <c r="H1083" s="551"/>
      <c r="I1083" s="551"/>
      <c r="J1083" s="551"/>
      <c r="K1083" s="551"/>
      <c r="L1083" s="551"/>
      <c r="M1083" s="551"/>
      <c r="N1083" s="551"/>
      <c r="O1083" s="551"/>
      <c r="P1083" s="551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  <c r="AD1083" s="79"/>
      <c r="AE1083" s="79"/>
      <c r="AF1083" s="79"/>
    </row>
    <row r="1084" spans="1:32" s="2" customFormat="1">
      <c r="A1084" s="551"/>
      <c r="B1084" s="551"/>
      <c r="C1084" s="551"/>
      <c r="D1084" s="551"/>
      <c r="E1084" s="551"/>
      <c r="F1084" s="551"/>
      <c r="G1084" s="551"/>
      <c r="H1084" s="551"/>
      <c r="I1084" s="551"/>
      <c r="J1084" s="551"/>
      <c r="K1084" s="551"/>
      <c r="L1084" s="551"/>
      <c r="M1084" s="551"/>
      <c r="N1084" s="551"/>
      <c r="O1084" s="551"/>
      <c r="P1084" s="551"/>
      <c r="Q1084" s="79"/>
      <c r="R1084" s="79"/>
      <c r="S1084" s="79"/>
      <c r="T1084" s="79"/>
      <c r="U1084" s="79"/>
      <c r="V1084" s="79"/>
      <c r="W1084" s="79"/>
      <c r="X1084" s="79"/>
      <c r="Y1084" s="79"/>
      <c r="Z1084" s="79"/>
      <c r="AA1084" s="79"/>
      <c r="AB1084" s="79"/>
      <c r="AC1084" s="79"/>
      <c r="AD1084" s="79"/>
      <c r="AE1084" s="79"/>
      <c r="AF1084" s="79"/>
    </row>
    <row r="1085" spans="1:32" s="2" customFormat="1">
      <c r="A1085" s="551"/>
      <c r="B1085" s="551"/>
      <c r="C1085" s="551"/>
      <c r="D1085" s="551"/>
      <c r="E1085" s="551"/>
      <c r="F1085" s="551"/>
      <c r="G1085" s="551"/>
      <c r="H1085" s="551"/>
      <c r="I1085" s="551"/>
      <c r="J1085" s="551"/>
      <c r="K1085" s="551"/>
      <c r="L1085" s="551"/>
      <c r="M1085" s="551"/>
      <c r="N1085" s="551"/>
      <c r="O1085" s="551"/>
      <c r="P1085" s="551"/>
      <c r="Q1085" s="79"/>
      <c r="R1085" s="79"/>
      <c r="S1085" s="79"/>
      <c r="T1085" s="79"/>
      <c r="U1085" s="79"/>
      <c r="V1085" s="79"/>
      <c r="W1085" s="79"/>
      <c r="X1085" s="79"/>
      <c r="Y1085" s="79"/>
      <c r="Z1085" s="79"/>
      <c r="AA1085" s="79"/>
      <c r="AB1085" s="79"/>
      <c r="AC1085" s="79"/>
      <c r="AD1085" s="79"/>
      <c r="AE1085" s="79"/>
      <c r="AF1085" s="79"/>
    </row>
    <row r="1086" spans="1:32" s="2" customFormat="1">
      <c r="A1086" s="551"/>
      <c r="B1086" s="551"/>
      <c r="C1086" s="551"/>
      <c r="D1086" s="551"/>
      <c r="E1086" s="551"/>
      <c r="F1086" s="551"/>
      <c r="G1086" s="551"/>
      <c r="H1086" s="551"/>
      <c r="I1086" s="551"/>
      <c r="J1086" s="551"/>
      <c r="K1086" s="551"/>
      <c r="L1086" s="551"/>
      <c r="M1086" s="551"/>
      <c r="N1086" s="551"/>
      <c r="O1086" s="551"/>
      <c r="P1086" s="551"/>
      <c r="Q1086" s="79"/>
      <c r="R1086" s="79"/>
      <c r="S1086" s="79"/>
      <c r="T1086" s="79"/>
      <c r="U1086" s="79"/>
      <c r="V1086" s="79"/>
      <c r="W1086" s="79"/>
      <c r="X1086" s="79"/>
      <c r="Y1086" s="79"/>
      <c r="Z1086" s="79"/>
      <c r="AA1086" s="79"/>
      <c r="AB1086" s="79"/>
      <c r="AC1086" s="79"/>
      <c r="AD1086" s="79"/>
      <c r="AE1086" s="79"/>
      <c r="AF1086" s="79"/>
    </row>
    <row r="1087" spans="1:32" s="2" customFormat="1">
      <c r="A1087" s="551"/>
      <c r="B1087" s="551"/>
      <c r="C1087" s="551"/>
      <c r="D1087" s="551"/>
      <c r="E1087" s="551"/>
      <c r="F1087" s="551"/>
      <c r="G1087" s="551"/>
      <c r="H1087" s="551"/>
      <c r="I1087" s="551"/>
      <c r="J1087" s="551"/>
      <c r="K1087" s="551"/>
      <c r="L1087" s="551"/>
      <c r="M1087" s="551"/>
      <c r="N1087" s="551"/>
      <c r="O1087" s="551"/>
      <c r="P1087" s="551"/>
      <c r="Q1087" s="79"/>
      <c r="R1087" s="79"/>
      <c r="S1087" s="79"/>
      <c r="T1087" s="79"/>
      <c r="U1087" s="79"/>
      <c r="V1087" s="79"/>
      <c r="W1087" s="79"/>
      <c r="X1087" s="79"/>
      <c r="Y1087" s="79"/>
      <c r="Z1087" s="79"/>
      <c r="AA1087" s="79"/>
      <c r="AB1087" s="79"/>
      <c r="AC1087" s="79"/>
      <c r="AD1087" s="79"/>
      <c r="AE1087" s="79"/>
      <c r="AF1087" s="79"/>
    </row>
    <row r="1088" spans="1:32" s="2" customFormat="1">
      <c r="A1088" s="551"/>
      <c r="B1088" s="551"/>
      <c r="C1088" s="551"/>
      <c r="D1088" s="551"/>
      <c r="E1088" s="551"/>
      <c r="F1088" s="551"/>
      <c r="G1088" s="551"/>
      <c r="H1088" s="551"/>
      <c r="I1088" s="551"/>
      <c r="J1088" s="551"/>
      <c r="K1088" s="551"/>
      <c r="L1088" s="551"/>
      <c r="M1088" s="551"/>
      <c r="N1088" s="551"/>
      <c r="O1088" s="551"/>
      <c r="P1088" s="551"/>
      <c r="Q1088" s="79"/>
      <c r="R1088" s="79"/>
      <c r="S1088" s="79"/>
      <c r="T1088" s="79"/>
      <c r="U1088" s="79"/>
      <c r="V1088" s="79"/>
      <c r="W1088" s="79"/>
      <c r="X1088" s="79"/>
      <c r="Y1088" s="79"/>
      <c r="Z1088" s="79"/>
      <c r="AA1088" s="79"/>
      <c r="AB1088" s="79"/>
      <c r="AC1088" s="79"/>
      <c r="AD1088" s="79"/>
      <c r="AE1088" s="79"/>
      <c r="AF1088" s="79"/>
    </row>
    <row r="1089" spans="1:32" s="2" customFormat="1">
      <c r="A1089" s="551"/>
      <c r="B1089" s="551"/>
      <c r="C1089" s="551"/>
      <c r="D1089" s="551"/>
      <c r="E1089" s="551"/>
      <c r="F1089" s="551"/>
      <c r="G1089" s="551"/>
      <c r="H1089" s="551"/>
      <c r="I1089" s="551"/>
      <c r="J1089" s="551"/>
      <c r="K1089" s="551"/>
      <c r="L1089" s="551"/>
      <c r="M1089" s="551"/>
      <c r="N1089" s="551"/>
      <c r="O1089" s="551"/>
      <c r="P1089" s="551"/>
      <c r="Q1089" s="79"/>
      <c r="R1089" s="79"/>
      <c r="S1089" s="79"/>
      <c r="T1089" s="79"/>
      <c r="U1089" s="79"/>
      <c r="V1089" s="79"/>
      <c r="W1089" s="79"/>
      <c r="X1089" s="79"/>
      <c r="Y1089" s="79"/>
      <c r="Z1089" s="79"/>
      <c r="AA1089" s="79"/>
      <c r="AB1089" s="79"/>
      <c r="AC1089" s="79"/>
      <c r="AD1089" s="79"/>
      <c r="AE1089" s="79"/>
      <c r="AF1089" s="79"/>
    </row>
    <row r="1090" spans="1:32" s="2" customFormat="1">
      <c r="A1090" s="551"/>
      <c r="B1090" s="551"/>
      <c r="C1090" s="551"/>
      <c r="D1090" s="551"/>
      <c r="E1090" s="551"/>
      <c r="F1090" s="551"/>
      <c r="G1090" s="551"/>
      <c r="H1090" s="551"/>
      <c r="I1090" s="551"/>
      <c r="J1090" s="551"/>
      <c r="K1090" s="551"/>
      <c r="L1090" s="551"/>
      <c r="M1090" s="551"/>
      <c r="N1090" s="551"/>
      <c r="O1090" s="551"/>
      <c r="P1090" s="551"/>
      <c r="Q1090" s="79"/>
      <c r="R1090" s="79"/>
      <c r="S1090" s="79"/>
      <c r="T1090" s="79"/>
      <c r="U1090" s="79"/>
      <c r="V1090" s="79"/>
      <c r="W1090" s="79"/>
      <c r="X1090" s="79"/>
      <c r="Y1090" s="79"/>
      <c r="Z1090" s="79"/>
      <c r="AA1090" s="79"/>
      <c r="AB1090" s="79"/>
      <c r="AC1090" s="79"/>
      <c r="AD1090" s="79"/>
      <c r="AE1090" s="79"/>
      <c r="AF1090" s="79"/>
    </row>
    <row r="1091" spans="1:32" s="2" customFormat="1">
      <c r="A1091" s="551"/>
      <c r="B1091" s="551"/>
      <c r="C1091" s="551"/>
      <c r="D1091" s="551"/>
      <c r="E1091" s="551"/>
      <c r="F1091" s="551"/>
      <c r="G1091" s="551"/>
      <c r="H1091" s="551"/>
      <c r="I1091" s="551"/>
      <c r="J1091" s="551"/>
      <c r="K1091" s="551"/>
      <c r="L1091" s="551"/>
      <c r="M1091" s="551"/>
      <c r="N1091" s="551"/>
      <c r="O1091" s="551"/>
      <c r="P1091" s="551"/>
      <c r="Q1091" s="79"/>
      <c r="R1091" s="79"/>
      <c r="S1091" s="79"/>
      <c r="T1091" s="79"/>
      <c r="U1091" s="79"/>
      <c r="V1091" s="79"/>
      <c r="W1091" s="79"/>
      <c r="X1091" s="79"/>
      <c r="Y1091" s="79"/>
      <c r="Z1091" s="79"/>
      <c r="AA1091" s="79"/>
      <c r="AB1091" s="79"/>
      <c r="AC1091" s="79"/>
      <c r="AD1091" s="79"/>
      <c r="AE1091" s="79"/>
      <c r="AF1091" s="79"/>
    </row>
    <row r="1092" spans="1:32" s="2" customFormat="1">
      <c r="A1092" s="551"/>
      <c r="B1092" s="551"/>
      <c r="C1092" s="551"/>
      <c r="D1092" s="551"/>
      <c r="E1092" s="551"/>
      <c r="F1092" s="551"/>
      <c r="G1092" s="551"/>
      <c r="H1092" s="551"/>
      <c r="I1092" s="551"/>
      <c r="J1092" s="551"/>
      <c r="K1092" s="551"/>
      <c r="L1092" s="551"/>
      <c r="M1092" s="551"/>
      <c r="N1092" s="551"/>
      <c r="O1092" s="551"/>
      <c r="P1092" s="551"/>
      <c r="Q1092" s="79"/>
      <c r="R1092" s="79"/>
      <c r="S1092" s="79"/>
      <c r="T1092" s="79"/>
      <c r="U1092" s="79"/>
      <c r="V1092" s="79"/>
      <c r="W1092" s="79"/>
      <c r="X1092" s="79"/>
      <c r="Y1092" s="79"/>
      <c r="Z1092" s="79"/>
      <c r="AA1092" s="79"/>
      <c r="AB1092" s="79"/>
      <c r="AC1092" s="79"/>
      <c r="AD1092" s="79"/>
      <c r="AE1092" s="79"/>
      <c r="AF1092" s="79"/>
    </row>
    <row r="1093" spans="1:32" s="2" customFormat="1">
      <c r="A1093" s="551"/>
      <c r="B1093" s="551"/>
      <c r="C1093" s="551"/>
      <c r="D1093" s="551"/>
      <c r="E1093" s="551"/>
      <c r="F1093" s="551"/>
      <c r="G1093" s="551"/>
      <c r="H1093" s="551"/>
      <c r="I1093" s="551"/>
      <c r="J1093" s="551"/>
      <c r="K1093" s="551"/>
      <c r="L1093" s="551"/>
      <c r="M1093" s="551"/>
      <c r="N1093" s="551"/>
      <c r="O1093" s="551"/>
      <c r="P1093" s="551"/>
      <c r="Q1093" s="79"/>
      <c r="R1093" s="79"/>
      <c r="S1093" s="79"/>
      <c r="T1093" s="79"/>
      <c r="U1093" s="79"/>
      <c r="V1093" s="79"/>
      <c r="W1093" s="79"/>
      <c r="X1093" s="79"/>
      <c r="Y1093" s="79"/>
      <c r="Z1093" s="79"/>
      <c r="AA1093" s="79"/>
      <c r="AB1093" s="79"/>
      <c r="AC1093" s="79"/>
      <c r="AD1093" s="79"/>
      <c r="AE1093" s="79"/>
      <c r="AF1093" s="79"/>
    </row>
    <row r="1094" spans="1:32" s="2" customFormat="1">
      <c r="A1094" s="551"/>
      <c r="B1094" s="551"/>
      <c r="C1094" s="551"/>
      <c r="D1094" s="551"/>
      <c r="E1094" s="551"/>
      <c r="F1094" s="551"/>
      <c r="G1094" s="551"/>
      <c r="H1094" s="551"/>
      <c r="I1094" s="551"/>
      <c r="J1094" s="551"/>
      <c r="K1094" s="551"/>
      <c r="L1094" s="551"/>
      <c r="M1094" s="551"/>
      <c r="N1094" s="551"/>
      <c r="O1094" s="551"/>
      <c r="P1094" s="551"/>
      <c r="Q1094" s="79"/>
      <c r="R1094" s="79"/>
      <c r="S1094" s="79"/>
      <c r="T1094" s="79"/>
      <c r="U1094" s="79"/>
      <c r="V1094" s="79"/>
      <c r="W1094" s="79"/>
      <c r="X1094" s="79"/>
      <c r="Y1094" s="79"/>
      <c r="Z1094" s="79"/>
      <c r="AA1094" s="79"/>
      <c r="AB1094" s="79"/>
      <c r="AC1094" s="79"/>
      <c r="AD1094" s="79"/>
      <c r="AE1094" s="79"/>
      <c r="AF1094" s="79"/>
    </row>
    <row r="1095" spans="1:32" s="2" customFormat="1">
      <c r="A1095" s="551"/>
      <c r="B1095" s="551"/>
      <c r="C1095" s="551"/>
      <c r="D1095" s="551"/>
      <c r="E1095" s="551"/>
      <c r="F1095" s="551"/>
      <c r="G1095" s="551"/>
      <c r="H1095" s="551"/>
      <c r="I1095" s="551"/>
      <c r="J1095" s="551"/>
      <c r="K1095" s="551"/>
      <c r="L1095" s="551"/>
      <c r="M1095" s="551"/>
      <c r="N1095" s="551"/>
      <c r="O1095" s="551"/>
      <c r="P1095" s="551"/>
      <c r="Q1095" s="79"/>
      <c r="R1095" s="79"/>
      <c r="S1095" s="79"/>
      <c r="T1095" s="79"/>
      <c r="U1095" s="79"/>
      <c r="V1095" s="79"/>
      <c r="W1095" s="79"/>
      <c r="X1095" s="79"/>
      <c r="Y1095" s="79"/>
      <c r="Z1095" s="79"/>
      <c r="AA1095" s="79"/>
      <c r="AB1095" s="79"/>
      <c r="AC1095" s="79"/>
      <c r="AD1095" s="79"/>
      <c r="AE1095" s="79"/>
      <c r="AF1095" s="79"/>
    </row>
    <row r="1096" spans="1:32" s="2" customFormat="1">
      <c r="A1096" s="551"/>
      <c r="B1096" s="551"/>
      <c r="C1096" s="551"/>
      <c r="D1096" s="551"/>
      <c r="E1096" s="551"/>
      <c r="F1096" s="551"/>
      <c r="G1096" s="551"/>
      <c r="H1096" s="551"/>
      <c r="I1096" s="551"/>
      <c r="J1096" s="551"/>
      <c r="K1096" s="551"/>
      <c r="L1096" s="551"/>
      <c r="M1096" s="551"/>
      <c r="N1096" s="551"/>
      <c r="O1096" s="551"/>
      <c r="P1096" s="551"/>
      <c r="Q1096" s="79"/>
      <c r="R1096" s="79"/>
      <c r="S1096" s="79"/>
      <c r="T1096" s="79"/>
      <c r="U1096" s="79"/>
      <c r="V1096" s="79"/>
      <c r="W1096" s="79"/>
      <c r="X1096" s="79"/>
      <c r="Y1096" s="79"/>
      <c r="Z1096" s="79"/>
      <c r="AA1096" s="79"/>
      <c r="AB1096" s="79"/>
      <c r="AC1096" s="79"/>
      <c r="AD1096" s="79"/>
      <c r="AE1096" s="79"/>
      <c r="AF1096" s="79"/>
    </row>
    <row r="1097" spans="1:32" s="2" customFormat="1">
      <c r="A1097" s="551"/>
      <c r="B1097" s="551"/>
      <c r="C1097" s="551"/>
      <c r="D1097" s="551"/>
      <c r="E1097" s="551"/>
      <c r="F1097" s="551"/>
      <c r="G1097" s="551"/>
      <c r="H1097" s="551"/>
      <c r="I1097" s="551"/>
      <c r="J1097" s="551"/>
      <c r="K1097" s="551"/>
      <c r="L1097" s="551"/>
      <c r="M1097" s="551"/>
      <c r="N1097" s="551"/>
      <c r="O1097" s="551"/>
      <c r="P1097" s="551"/>
      <c r="Q1097" s="79"/>
      <c r="R1097" s="79"/>
      <c r="S1097" s="79"/>
      <c r="T1097" s="79"/>
      <c r="U1097" s="79"/>
      <c r="V1097" s="79"/>
      <c r="W1097" s="79"/>
      <c r="X1097" s="79"/>
      <c r="Y1097" s="79"/>
      <c r="Z1097" s="79"/>
      <c r="AA1097" s="79"/>
      <c r="AB1097" s="79"/>
      <c r="AC1097" s="79"/>
      <c r="AD1097" s="79"/>
      <c r="AE1097" s="79"/>
      <c r="AF1097" s="79"/>
    </row>
    <row r="1098" spans="1:32" s="2" customFormat="1">
      <c r="A1098" s="551"/>
      <c r="B1098" s="551"/>
      <c r="C1098" s="551"/>
      <c r="D1098" s="551"/>
      <c r="E1098" s="551"/>
      <c r="F1098" s="551"/>
      <c r="G1098" s="551"/>
      <c r="H1098" s="551"/>
      <c r="I1098" s="551"/>
      <c r="J1098" s="551"/>
      <c r="K1098" s="551"/>
      <c r="L1098" s="551"/>
      <c r="M1098" s="551"/>
      <c r="N1098" s="551"/>
      <c r="O1098" s="551"/>
      <c r="P1098" s="551"/>
      <c r="Q1098" s="79"/>
      <c r="R1098" s="79"/>
      <c r="S1098" s="79"/>
      <c r="T1098" s="79"/>
      <c r="U1098" s="79"/>
      <c r="V1098" s="79"/>
      <c r="W1098" s="79"/>
      <c r="X1098" s="79"/>
      <c r="Y1098" s="79"/>
      <c r="Z1098" s="79"/>
      <c r="AA1098" s="79"/>
      <c r="AB1098" s="79"/>
      <c r="AC1098" s="79"/>
      <c r="AD1098" s="79"/>
      <c r="AE1098" s="79"/>
      <c r="AF1098" s="79"/>
    </row>
    <row r="1099" spans="1:32" s="2" customFormat="1">
      <c r="A1099" s="551"/>
      <c r="B1099" s="551"/>
      <c r="C1099" s="551"/>
      <c r="D1099" s="551"/>
      <c r="E1099" s="551"/>
      <c r="F1099" s="551"/>
      <c r="G1099" s="551"/>
      <c r="H1099" s="551"/>
      <c r="I1099" s="551"/>
      <c r="J1099" s="551"/>
      <c r="K1099" s="551"/>
      <c r="L1099" s="551"/>
      <c r="M1099" s="551"/>
      <c r="N1099" s="551"/>
      <c r="O1099" s="551"/>
      <c r="P1099" s="551"/>
      <c r="Q1099" s="79"/>
      <c r="R1099" s="79"/>
      <c r="S1099" s="79"/>
      <c r="T1099" s="79"/>
      <c r="U1099" s="79"/>
      <c r="V1099" s="79"/>
      <c r="W1099" s="79"/>
      <c r="X1099" s="79"/>
      <c r="Y1099" s="79"/>
      <c r="Z1099" s="79"/>
      <c r="AA1099" s="79"/>
      <c r="AB1099" s="79"/>
      <c r="AC1099" s="79"/>
      <c r="AD1099" s="79"/>
      <c r="AE1099" s="79"/>
      <c r="AF1099" s="79"/>
    </row>
    <row r="1100" spans="1:32" s="2" customFormat="1">
      <c r="A1100" s="551"/>
      <c r="B1100" s="551"/>
      <c r="C1100" s="551"/>
      <c r="D1100" s="551"/>
      <c r="E1100" s="551"/>
      <c r="F1100" s="551"/>
      <c r="G1100" s="551"/>
      <c r="H1100" s="551"/>
      <c r="I1100" s="551"/>
      <c r="J1100" s="551"/>
      <c r="K1100" s="551"/>
      <c r="L1100" s="551"/>
      <c r="M1100" s="551"/>
      <c r="N1100" s="551"/>
      <c r="O1100" s="551"/>
      <c r="P1100" s="551"/>
      <c r="Q1100" s="79"/>
      <c r="R1100" s="79"/>
      <c r="S1100" s="79"/>
      <c r="T1100" s="79"/>
      <c r="U1100" s="79"/>
      <c r="V1100" s="79"/>
      <c r="W1100" s="79"/>
      <c r="X1100" s="79"/>
      <c r="Y1100" s="79"/>
      <c r="Z1100" s="79"/>
      <c r="AA1100" s="79"/>
      <c r="AB1100" s="79"/>
      <c r="AC1100" s="79"/>
      <c r="AD1100" s="79"/>
      <c r="AE1100" s="79"/>
      <c r="AF1100" s="79"/>
    </row>
    <row r="1101" spans="1:32" s="2" customFormat="1">
      <c r="A1101" s="551"/>
      <c r="B1101" s="551"/>
      <c r="C1101" s="551"/>
      <c r="D1101" s="551"/>
      <c r="E1101" s="551"/>
      <c r="F1101" s="551"/>
      <c r="G1101" s="551"/>
      <c r="H1101" s="551"/>
      <c r="I1101" s="551"/>
      <c r="J1101" s="551"/>
      <c r="K1101" s="551"/>
      <c r="L1101" s="551"/>
      <c r="M1101" s="551"/>
      <c r="N1101" s="551"/>
      <c r="O1101" s="551"/>
      <c r="P1101" s="551"/>
      <c r="Q1101" s="79"/>
      <c r="R1101" s="79"/>
      <c r="S1101" s="79"/>
      <c r="T1101" s="79"/>
      <c r="U1101" s="79"/>
      <c r="V1101" s="79"/>
      <c r="W1101" s="79"/>
      <c r="X1101" s="79"/>
      <c r="Y1101" s="79"/>
      <c r="Z1101" s="79"/>
      <c r="AA1101" s="79"/>
      <c r="AB1101" s="79"/>
      <c r="AC1101" s="79"/>
      <c r="AD1101" s="79"/>
      <c r="AE1101" s="79"/>
      <c r="AF1101" s="79"/>
    </row>
    <row r="1102" spans="1:32" s="2" customFormat="1">
      <c r="A1102" s="551"/>
      <c r="B1102" s="551"/>
      <c r="C1102" s="551"/>
      <c r="D1102" s="551"/>
      <c r="E1102" s="551"/>
      <c r="F1102" s="551"/>
      <c r="G1102" s="551"/>
      <c r="H1102" s="551"/>
      <c r="I1102" s="551"/>
      <c r="J1102" s="551"/>
      <c r="K1102" s="551"/>
      <c r="L1102" s="551"/>
      <c r="M1102" s="551"/>
      <c r="N1102" s="551"/>
      <c r="O1102" s="551"/>
      <c r="P1102" s="551"/>
      <c r="Q1102" s="79"/>
      <c r="R1102" s="79"/>
      <c r="S1102" s="79"/>
      <c r="T1102" s="79"/>
      <c r="U1102" s="79"/>
      <c r="V1102" s="79"/>
      <c r="W1102" s="79"/>
      <c r="X1102" s="79"/>
      <c r="Y1102" s="79"/>
      <c r="Z1102" s="79"/>
      <c r="AA1102" s="79"/>
      <c r="AB1102" s="79"/>
      <c r="AC1102" s="79"/>
      <c r="AD1102" s="79"/>
      <c r="AE1102" s="79"/>
      <c r="AF1102" s="79"/>
    </row>
    <row r="1103" spans="1:32" s="2" customFormat="1">
      <c r="A1103" s="551"/>
      <c r="B1103" s="551"/>
      <c r="C1103" s="551"/>
      <c r="D1103" s="551"/>
      <c r="E1103" s="551"/>
      <c r="F1103" s="551"/>
      <c r="G1103" s="551"/>
      <c r="H1103" s="551"/>
      <c r="I1103" s="551"/>
      <c r="J1103" s="551"/>
      <c r="K1103" s="551"/>
      <c r="L1103" s="551"/>
      <c r="M1103" s="551"/>
      <c r="N1103" s="551"/>
      <c r="O1103" s="551"/>
      <c r="P1103" s="551"/>
      <c r="Q1103" s="79"/>
      <c r="R1103" s="79"/>
      <c r="S1103" s="79"/>
      <c r="T1103" s="79"/>
      <c r="U1103" s="79"/>
      <c r="V1103" s="79"/>
      <c r="W1103" s="79"/>
      <c r="X1103" s="79"/>
      <c r="Y1103" s="79"/>
      <c r="Z1103" s="79"/>
      <c r="AA1103" s="79"/>
      <c r="AB1103" s="79"/>
      <c r="AC1103" s="79"/>
      <c r="AD1103" s="79"/>
      <c r="AE1103" s="79"/>
      <c r="AF1103" s="79"/>
    </row>
    <row r="1104" spans="1:32" s="2" customFormat="1">
      <c r="A1104" s="551"/>
      <c r="B1104" s="551"/>
      <c r="C1104" s="551"/>
      <c r="D1104" s="551"/>
      <c r="E1104" s="551"/>
      <c r="F1104" s="551"/>
      <c r="G1104" s="551"/>
      <c r="H1104" s="551"/>
      <c r="I1104" s="551"/>
      <c r="J1104" s="551"/>
      <c r="K1104" s="551"/>
      <c r="L1104" s="551"/>
      <c r="M1104" s="551"/>
      <c r="N1104" s="551"/>
      <c r="O1104" s="551"/>
      <c r="P1104" s="551"/>
      <c r="Q1104" s="79"/>
      <c r="R1104" s="79"/>
      <c r="S1104" s="79"/>
      <c r="T1104" s="79"/>
      <c r="U1104" s="79"/>
      <c r="V1104" s="79"/>
      <c r="W1104" s="79"/>
      <c r="X1104" s="79"/>
      <c r="Y1104" s="79"/>
      <c r="Z1104" s="79"/>
      <c r="AA1104" s="79"/>
      <c r="AB1104" s="79"/>
      <c r="AC1104" s="79"/>
      <c r="AD1104" s="79"/>
      <c r="AE1104" s="79"/>
      <c r="AF1104" s="79"/>
    </row>
    <row r="1105" spans="1:32" s="2" customFormat="1">
      <c r="A1105" s="551"/>
      <c r="B1105" s="551"/>
      <c r="C1105" s="551"/>
      <c r="D1105" s="551"/>
      <c r="E1105" s="551"/>
      <c r="F1105" s="551"/>
      <c r="G1105" s="551"/>
      <c r="H1105" s="551"/>
      <c r="I1105" s="551"/>
      <c r="J1105" s="551"/>
      <c r="K1105" s="551"/>
      <c r="L1105" s="551"/>
      <c r="M1105" s="551"/>
      <c r="N1105" s="551"/>
      <c r="O1105" s="551"/>
      <c r="P1105" s="551"/>
      <c r="Q1105" s="79"/>
      <c r="R1105" s="79"/>
      <c r="S1105" s="79"/>
      <c r="T1105" s="79"/>
      <c r="U1105" s="79"/>
      <c r="V1105" s="79"/>
      <c r="W1105" s="79"/>
      <c r="X1105" s="79"/>
      <c r="Y1105" s="79"/>
      <c r="Z1105" s="79"/>
      <c r="AA1105" s="79"/>
      <c r="AB1105" s="79"/>
      <c r="AC1105" s="79"/>
      <c r="AD1105" s="79"/>
      <c r="AE1105" s="79"/>
      <c r="AF1105" s="79"/>
    </row>
    <row r="1106" spans="1:32" s="2" customFormat="1">
      <c r="A1106" s="551"/>
      <c r="B1106" s="551"/>
      <c r="C1106" s="551"/>
      <c r="D1106" s="551"/>
      <c r="E1106" s="551"/>
      <c r="F1106" s="551"/>
      <c r="G1106" s="551"/>
      <c r="H1106" s="551"/>
      <c r="I1106" s="551"/>
      <c r="J1106" s="551"/>
      <c r="K1106" s="551"/>
      <c r="L1106" s="551"/>
      <c r="M1106" s="551"/>
      <c r="N1106" s="551"/>
      <c r="O1106" s="551"/>
      <c r="P1106" s="551"/>
      <c r="Q1106" s="79"/>
      <c r="R1106" s="79"/>
      <c r="S1106" s="79"/>
      <c r="T1106" s="79"/>
      <c r="U1106" s="79"/>
      <c r="V1106" s="79"/>
      <c r="W1106" s="79"/>
      <c r="X1106" s="79"/>
      <c r="Y1106" s="79"/>
      <c r="Z1106" s="79"/>
      <c r="AA1106" s="79"/>
      <c r="AB1106" s="79"/>
      <c r="AC1106" s="79"/>
      <c r="AD1106" s="79"/>
      <c r="AE1106" s="79"/>
      <c r="AF1106" s="79"/>
    </row>
    <row r="1107" spans="1:32" s="2" customFormat="1">
      <c r="A1107" s="551"/>
      <c r="B1107" s="551"/>
      <c r="C1107" s="551"/>
      <c r="D1107" s="551"/>
      <c r="E1107" s="551"/>
      <c r="F1107" s="551"/>
      <c r="G1107" s="551"/>
      <c r="H1107" s="551"/>
      <c r="I1107" s="551"/>
      <c r="J1107" s="551"/>
      <c r="K1107" s="551"/>
      <c r="L1107" s="551"/>
      <c r="M1107" s="551"/>
      <c r="N1107" s="551"/>
      <c r="O1107" s="551"/>
      <c r="P1107" s="551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  <c r="AD1107" s="79"/>
      <c r="AE1107" s="79"/>
      <c r="AF1107" s="79"/>
    </row>
    <row r="1108" spans="1:32" s="2" customFormat="1">
      <c r="A1108" s="551"/>
      <c r="B1108" s="551"/>
      <c r="C1108" s="551"/>
      <c r="D1108" s="551"/>
      <c r="E1108" s="551"/>
      <c r="F1108" s="551"/>
      <c r="G1108" s="551"/>
      <c r="H1108" s="551"/>
      <c r="I1108" s="551"/>
      <c r="J1108" s="551"/>
      <c r="K1108" s="551"/>
      <c r="L1108" s="551"/>
      <c r="M1108" s="551"/>
      <c r="N1108" s="551"/>
      <c r="O1108" s="551"/>
      <c r="P1108" s="551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  <c r="AD1108" s="79"/>
      <c r="AE1108" s="79"/>
      <c r="AF1108" s="79"/>
    </row>
    <row r="1109" spans="1:32" s="2" customFormat="1">
      <c r="A1109" s="551"/>
      <c r="B1109" s="551"/>
      <c r="C1109" s="551"/>
      <c r="D1109" s="551"/>
      <c r="E1109" s="551"/>
      <c r="F1109" s="551"/>
      <c r="G1109" s="551"/>
      <c r="H1109" s="551"/>
      <c r="I1109" s="551"/>
      <c r="J1109" s="551"/>
      <c r="K1109" s="551"/>
      <c r="L1109" s="551"/>
      <c r="M1109" s="551"/>
      <c r="N1109" s="551"/>
      <c r="O1109" s="551"/>
      <c r="P1109" s="551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  <c r="AD1109" s="79"/>
      <c r="AE1109" s="79"/>
      <c r="AF1109" s="79"/>
    </row>
    <row r="1110" spans="1:32" s="2" customFormat="1">
      <c r="A1110" s="551"/>
      <c r="B1110" s="551"/>
      <c r="C1110" s="551"/>
      <c r="D1110" s="551"/>
      <c r="E1110" s="551"/>
      <c r="F1110" s="551"/>
      <c r="G1110" s="551"/>
      <c r="H1110" s="551"/>
      <c r="I1110" s="551"/>
      <c r="J1110" s="551"/>
      <c r="K1110" s="551"/>
      <c r="L1110" s="551"/>
      <c r="M1110" s="551"/>
      <c r="N1110" s="551"/>
      <c r="O1110" s="551"/>
      <c r="P1110" s="551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  <c r="AD1110" s="79"/>
      <c r="AE1110" s="79"/>
      <c r="AF1110" s="79"/>
    </row>
    <row r="1111" spans="1:32" s="2" customFormat="1">
      <c r="A1111" s="551"/>
      <c r="B1111" s="551"/>
      <c r="C1111" s="551"/>
      <c r="D1111" s="551"/>
      <c r="E1111" s="551"/>
      <c r="F1111" s="551"/>
      <c r="G1111" s="551"/>
      <c r="H1111" s="551"/>
      <c r="I1111" s="551"/>
      <c r="J1111" s="551"/>
      <c r="K1111" s="551"/>
      <c r="L1111" s="551"/>
      <c r="M1111" s="551"/>
      <c r="N1111" s="551"/>
      <c r="O1111" s="551"/>
      <c r="P1111" s="551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  <c r="AD1111" s="79"/>
      <c r="AE1111" s="79"/>
      <c r="AF1111" s="79"/>
    </row>
    <row r="1112" spans="1:32" s="2" customFormat="1">
      <c r="A1112" s="551"/>
      <c r="B1112" s="551"/>
      <c r="C1112" s="551"/>
      <c r="D1112" s="551"/>
      <c r="E1112" s="551"/>
      <c r="F1112" s="551"/>
      <c r="G1112" s="551"/>
      <c r="H1112" s="551"/>
      <c r="I1112" s="551"/>
      <c r="J1112" s="551"/>
      <c r="K1112" s="551"/>
      <c r="L1112" s="551"/>
      <c r="M1112" s="551"/>
      <c r="N1112" s="551"/>
      <c r="O1112" s="551"/>
      <c r="P1112" s="551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  <c r="AD1112" s="79"/>
      <c r="AE1112" s="79"/>
      <c r="AF1112" s="79"/>
    </row>
    <row r="1113" spans="1:32" s="2" customFormat="1">
      <c r="A1113" s="551"/>
      <c r="B1113" s="551"/>
      <c r="C1113" s="551"/>
      <c r="D1113" s="551"/>
      <c r="E1113" s="551"/>
      <c r="F1113" s="551"/>
      <c r="G1113" s="551"/>
      <c r="H1113" s="551"/>
      <c r="I1113" s="551"/>
      <c r="J1113" s="551"/>
      <c r="K1113" s="551"/>
      <c r="L1113" s="551"/>
      <c r="M1113" s="551"/>
      <c r="N1113" s="551"/>
      <c r="O1113" s="551"/>
      <c r="P1113" s="551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  <c r="AD1113" s="79"/>
      <c r="AE1113" s="79"/>
      <c r="AF1113" s="79"/>
    </row>
    <row r="1114" spans="1:32" s="2" customFormat="1">
      <c r="A1114" s="551"/>
      <c r="B1114" s="551"/>
      <c r="C1114" s="551"/>
      <c r="D1114" s="551"/>
      <c r="E1114" s="551"/>
      <c r="F1114" s="551"/>
      <c r="G1114" s="551"/>
      <c r="H1114" s="551"/>
      <c r="I1114" s="551"/>
      <c r="J1114" s="551"/>
      <c r="K1114" s="551"/>
      <c r="L1114" s="551"/>
      <c r="M1114" s="551"/>
      <c r="N1114" s="551"/>
      <c r="O1114" s="551"/>
      <c r="P1114" s="551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  <c r="AD1114" s="79"/>
      <c r="AE1114" s="79"/>
      <c r="AF1114" s="79"/>
    </row>
    <row r="1115" spans="1:32" s="2" customFormat="1">
      <c r="A1115" s="551"/>
      <c r="B1115" s="551"/>
      <c r="C1115" s="551"/>
      <c r="D1115" s="551"/>
      <c r="E1115" s="551"/>
      <c r="F1115" s="551"/>
      <c r="G1115" s="551"/>
      <c r="H1115" s="551"/>
      <c r="I1115" s="551"/>
      <c r="J1115" s="551"/>
      <c r="K1115" s="551"/>
      <c r="L1115" s="551"/>
      <c r="M1115" s="551"/>
      <c r="N1115" s="551"/>
      <c r="O1115" s="551"/>
      <c r="P1115" s="551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  <c r="AD1115" s="79"/>
      <c r="AE1115" s="79"/>
      <c r="AF1115" s="79"/>
    </row>
    <row r="1116" spans="1:32" s="2" customFormat="1">
      <c r="A1116" s="551"/>
      <c r="B1116" s="551"/>
      <c r="C1116" s="551"/>
      <c r="D1116" s="551"/>
      <c r="E1116" s="551"/>
      <c r="F1116" s="551"/>
      <c r="G1116" s="551"/>
      <c r="H1116" s="551"/>
      <c r="I1116" s="551"/>
      <c r="J1116" s="551"/>
      <c r="K1116" s="551"/>
      <c r="L1116" s="551"/>
      <c r="M1116" s="551"/>
      <c r="N1116" s="551"/>
      <c r="O1116" s="551"/>
      <c r="P1116" s="551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  <c r="AD1116" s="79"/>
      <c r="AE1116" s="79"/>
      <c r="AF1116" s="79"/>
    </row>
    <row r="1117" spans="1:32" s="2" customFormat="1">
      <c r="A1117" s="551"/>
      <c r="B1117" s="551"/>
      <c r="C1117" s="551"/>
      <c r="D1117" s="551"/>
      <c r="E1117" s="551"/>
      <c r="F1117" s="551"/>
      <c r="G1117" s="551"/>
      <c r="H1117" s="551"/>
      <c r="I1117" s="551"/>
      <c r="J1117" s="551"/>
      <c r="K1117" s="551"/>
      <c r="L1117" s="551"/>
      <c r="M1117" s="551"/>
      <c r="N1117" s="551"/>
      <c r="O1117" s="551"/>
      <c r="P1117" s="551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  <c r="AD1117" s="79"/>
      <c r="AE1117" s="79"/>
      <c r="AF1117" s="79"/>
    </row>
    <row r="1118" spans="1:32" s="2" customFormat="1">
      <c r="A1118" s="551"/>
      <c r="B1118" s="551"/>
      <c r="C1118" s="551"/>
      <c r="D1118" s="551"/>
      <c r="E1118" s="551"/>
      <c r="F1118" s="551"/>
      <c r="G1118" s="551"/>
      <c r="H1118" s="551"/>
      <c r="I1118" s="551"/>
      <c r="J1118" s="551"/>
      <c r="K1118" s="551"/>
      <c r="L1118" s="551"/>
      <c r="M1118" s="551"/>
      <c r="N1118" s="551"/>
      <c r="O1118" s="551"/>
      <c r="P1118" s="551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  <c r="AD1118" s="79"/>
      <c r="AE1118" s="79"/>
      <c r="AF1118" s="79"/>
    </row>
    <row r="1119" spans="1:32" s="2" customFormat="1">
      <c r="A1119" s="551"/>
      <c r="B1119" s="551"/>
      <c r="C1119" s="551"/>
      <c r="D1119" s="551"/>
      <c r="E1119" s="551"/>
      <c r="F1119" s="551"/>
      <c r="G1119" s="551"/>
      <c r="H1119" s="551"/>
      <c r="I1119" s="551"/>
      <c r="J1119" s="551"/>
      <c r="K1119" s="551"/>
      <c r="L1119" s="551"/>
      <c r="M1119" s="551"/>
      <c r="N1119" s="551"/>
      <c r="O1119" s="551"/>
      <c r="P1119" s="551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  <c r="AD1119" s="79"/>
      <c r="AE1119" s="79"/>
      <c r="AF1119" s="79"/>
    </row>
    <row r="1120" spans="1:32" s="2" customFormat="1">
      <c r="A1120" s="551"/>
      <c r="B1120" s="551"/>
      <c r="C1120" s="551"/>
      <c r="D1120" s="551"/>
      <c r="E1120" s="551"/>
      <c r="F1120" s="551"/>
      <c r="G1120" s="551"/>
      <c r="H1120" s="551"/>
      <c r="I1120" s="551"/>
      <c r="J1120" s="551"/>
      <c r="K1120" s="551"/>
      <c r="L1120" s="551"/>
      <c r="M1120" s="551"/>
      <c r="N1120" s="551"/>
      <c r="O1120" s="551"/>
      <c r="P1120" s="551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  <c r="AD1120" s="79"/>
      <c r="AE1120" s="79"/>
      <c r="AF1120" s="79"/>
    </row>
    <row r="1121" spans="1:32" s="2" customFormat="1">
      <c r="A1121" s="551"/>
      <c r="B1121" s="551"/>
      <c r="C1121" s="551"/>
      <c r="D1121" s="551"/>
      <c r="E1121" s="551"/>
      <c r="F1121" s="551"/>
      <c r="G1121" s="551"/>
      <c r="H1121" s="551"/>
      <c r="I1121" s="551"/>
      <c r="J1121" s="551"/>
      <c r="K1121" s="551"/>
      <c r="L1121" s="551"/>
      <c r="M1121" s="551"/>
      <c r="N1121" s="551"/>
      <c r="O1121" s="551"/>
      <c r="P1121" s="551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  <c r="AD1121" s="79"/>
      <c r="AE1121" s="79"/>
      <c r="AF1121" s="79"/>
    </row>
    <row r="1122" spans="1:32" s="2" customFormat="1">
      <c r="A1122" s="551"/>
      <c r="B1122" s="551"/>
      <c r="C1122" s="551"/>
      <c r="D1122" s="551"/>
      <c r="E1122" s="551"/>
      <c r="F1122" s="551"/>
      <c r="G1122" s="551"/>
      <c r="H1122" s="551"/>
      <c r="I1122" s="551"/>
      <c r="J1122" s="551"/>
      <c r="K1122" s="551"/>
      <c r="L1122" s="551"/>
      <c r="M1122" s="551"/>
      <c r="N1122" s="551"/>
      <c r="O1122" s="551"/>
      <c r="P1122" s="551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  <c r="AD1122" s="79"/>
      <c r="AE1122" s="79"/>
      <c r="AF1122" s="79"/>
    </row>
    <row r="1123" spans="1:32" s="2" customFormat="1">
      <c r="A1123" s="551"/>
      <c r="B1123" s="551"/>
      <c r="C1123" s="551"/>
      <c r="D1123" s="551"/>
      <c r="E1123" s="551"/>
      <c r="F1123" s="551"/>
      <c r="G1123" s="551"/>
      <c r="H1123" s="551"/>
      <c r="I1123" s="551"/>
      <c r="J1123" s="551"/>
      <c r="K1123" s="551"/>
      <c r="L1123" s="551"/>
      <c r="M1123" s="551"/>
      <c r="N1123" s="551"/>
      <c r="O1123" s="551"/>
      <c r="P1123" s="551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  <c r="AD1123" s="79"/>
      <c r="AE1123" s="79"/>
      <c r="AF1123" s="79"/>
    </row>
    <row r="1124" spans="1:32" s="2" customFormat="1">
      <c r="A1124" s="551"/>
      <c r="B1124" s="551"/>
      <c r="C1124" s="551"/>
      <c r="D1124" s="551"/>
      <c r="E1124" s="551"/>
      <c r="F1124" s="551"/>
      <c r="G1124" s="551"/>
      <c r="H1124" s="551"/>
      <c r="I1124" s="551"/>
      <c r="J1124" s="551"/>
      <c r="K1124" s="551"/>
      <c r="L1124" s="551"/>
      <c r="M1124" s="551"/>
      <c r="N1124" s="551"/>
      <c r="O1124" s="551"/>
      <c r="P1124" s="551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  <c r="AD1124" s="79"/>
      <c r="AE1124" s="79"/>
      <c r="AF1124" s="79"/>
    </row>
    <row r="1125" spans="1:32" s="2" customFormat="1">
      <c r="A1125" s="551"/>
      <c r="B1125" s="551"/>
      <c r="C1125" s="551"/>
      <c r="D1125" s="551"/>
      <c r="E1125" s="551"/>
      <c r="F1125" s="551"/>
      <c r="G1125" s="551"/>
      <c r="H1125" s="551"/>
      <c r="I1125" s="551"/>
      <c r="J1125" s="551"/>
      <c r="K1125" s="551"/>
      <c r="L1125" s="551"/>
      <c r="M1125" s="551"/>
      <c r="N1125" s="551"/>
      <c r="O1125" s="551"/>
      <c r="P1125" s="551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  <c r="AD1125" s="79"/>
      <c r="AE1125" s="79"/>
      <c r="AF1125" s="79"/>
    </row>
    <row r="1126" spans="1:32" s="2" customFormat="1">
      <c r="A1126" s="551"/>
      <c r="B1126" s="551"/>
      <c r="C1126" s="551"/>
      <c r="D1126" s="551"/>
      <c r="E1126" s="551"/>
      <c r="F1126" s="551"/>
      <c r="G1126" s="551"/>
      <c r="H1126" s="551"/>
      <c r="I1126" s="551"/>
      <c r="J1126" s="551"/>
      <c r="K1126" s="551"/>
      <c r="L1126" s="551"/>
      <c r="M1126" s="551"/>
      <c r="N1126" s="551"/>
      <c r="O1126" s="551"/>
      <c r="P1126" s="551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  <c r="AD1126" s="79"/>
      <c r="AE1126" s="79"/>
      <c r="AF1126" s="79"/>
    </row>
    <row r="1127" spans="1:32" s="2" customFormat="1">
      <c r="A1127" s="551"/>
      <c r="B1127" s="551"/>
      <c r="C1127" s="551"/>
      <c r="D1127" s="551"/>
      <c r="E1127" s="551"/>
      <c r="F1127" s="551"/>
      <c r="G1127" s="551"/>
      <c r="H1127" s="551"/>
      <c r="I1127" s="551"/>
      <c r="J1127" s="551"/>
      <c r="K1127" s="551"/>
      <c r="L1127" s="551"/>
      <c r="M1127" s="551"/>
      <c r="N1127" s="551"/>
      <c r="O1127" s="551"/>
      <c r="P1127" s="551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  <c r="AD1127" s="79"/>
      <c r="AE1127" s="79"/>
      <c r="AF1127" s="79"/>
    </row>
    <row r="1128" spans="1:32" s="2" customFormat="1">
      <c r="A1128" s="551"/>
      <c r="B1128" s="551"/>
      <c r="C1128" s="551"/>
      <c r="D1128" s="551"/>
      <c r="E1128" s="551"/>
      <c r="F1128" s="551"/>
      <c r="G1128" s="551"/>
      <c r="H1128" s="551"/>
      <c r="I1128" s="551"/>
      <c r="J1128" s="551"/>
      <c r="K1128" s="551"/>
      <c r="L1128" s="551"/>
      <c r="M1128" s="551"/>
      <c r="N1128" s="551"/>
      <c r="O1128" s="551"/>
      <c r="P1128" s="551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  <c r="AD1128" s="79"/>
      <c r="AE1128" s="79"/>
      <c r="AF1128" s="79"/>
    </row>
    <row r="1129" spans="1:32" s="2" customFormat="1">
      <c r="A1129" s="551"/>
      <c r="B1129" s="551"/>
      <c r="C1129" s="551"/>
      <c r="D1129" s="551"/>
      <c r="E1129" s="551"/>
      <c r="F1129" s="551"/>
      <c r="G1129" s="551"/>
      <c r="H1129" s="551"/>
      <c r="I1129" s="551"/>
      <c r="J1129" s="551"/>
      <c r="K1129" s="551"/>
      <c r="L1129" s="551"/>
      <c r="M1129" s="551"/>
      <c r="N1129" s="551"/>
      <c r="O1129" s="551"/>
      <c r="P1129" s="551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  <c r="AD1129" s="79"/>
      <c r="AE1129" s="79"/>
      <c r="AF1129" s="79"/>
    </row>
    <row r="1130" spans="1:32" s="2" customFormat="1">
      <c r="A1130" s="551"/>
      <c r="B1130" s="551"/>
      <c r="C1130" s="551"/>
      <c r="D1130" s="551"/>
      <c r="E1130" s="551"/>
      <c r="F1130" s="551"/>
      <c r="G1130" s="551"/>
      <c r="H1130" s="551"/>
      <c r="I1130" s="551"/>
      <c r="J1130" s="551"/>
      <c r="K1130" s="551"/>
      <c r="L1130" s="551"/>
      <c r="M1130" s="551"/>
      <c r="N1130" s="551"/>
      <c r="O1130" s="551"/>
      <c r="P1130" s="551"/>
      <c r="Q1130" s="79"/>
      <c r="R1130" s="79"/>
      <c r="S1130" s="79"/>
      <c r="T1130" s="79"/>
      <c r="U1130" s="79"/>
      <c r="V1130" s="79"/>
      <c r="W1130" s="79"/>
      <c r="X1130" s="79"/>
      <c r="Y1130" s="79"/>
      <c r="Z1130" s="79"/>
      <c r="AA1130" s="79"/>
      <c r="AB1130" s="79"/>
      <c r="AC1130" s="79"/>
      <c r="AD1130" s="79"/>
      <c r="AE1130" s="79"/>
      <c r="AF1130" s="79"/>
    </row>
    <row r="1131" spans="1:32" s="2" customFormat="1">
      <c r="A1131" s="551"/>
      <c r="B1131" s="551"/>
      <c r="C1131" s="551"/>
      <c r="D1131" s="551"/>
      <c r="E1131" s="551"/>
      <c r="F1131" s="551"/>
      <c r="G1131" s="551"/>
      <c r="H1131" s="551"/>
      <c r="I1131" s="551"/>
      <c r="J1131" s="551"/>
      <c r="K1131" s="551"/>
      <c r="L1131" s="551"/>
      <c r="M1131" s="551"/>
      <c r="N1131" s="551"/>
      <c r="O1131" s="551"/>
      <c r="P1131" s="551"/>
      <c r="Q1131" s="79"/>
      <c r="R1131" s="79"/>
      <c r="S1131" s="79"/>
      <c r="T1131" s="79"/>
      <c r="U1131" s="79"/>
      <c r="V1131" s="79"/>
      <c r="W1131" s="79"/>
      <c r="X1131" s="79"/>
      <c r="Y1131" s="79"/>
      <c r="Z1131" s="79"/>
      <c r="AA1131" s="79"/>
      <c r="AB1131" s="79"/>
      <c r="AC1131" s="79"/>
      <c r="AD1131" s="79"/>
      <c r="AE1131" s="79"/>
      <c r="AF1131" s="79"/>
    </row>
    <row r="1132" spans="1:32" s="2" customFormat="1">
      <c r="A1132" s="551"/>
      <c r="B1132" s="551"/>
      <c r="C1132" s="551"/>
      <c r="D1132" s="551"/>
      <c r="E1132" s="551"/>
      <c r="F1132" s="551"/>
      <c r="G1132" s="551"/>
      <c r="H1132" s="551"/>
      <c r="I1132" s="551"/>
      <c r="J1132" s="551"/>
      <c r="K1132" s="551"/>
      <c r="L1132" s="551"/>
      <c r="M1132" s="551"/>
      <c r="N1132" s="551"/>
      <c r="O1132" s="551"/>
      <c r="P1132" s="551"/>
      <c r="Q1132" s="79"/>
      <c r="R1132" s="79"/>
      <c r="S1132" s="79"/>
      <c r="T1132" s="79"/>
      <c r="U1132" s="79"/>
      <c r="V1132" s="79"/>
      <c r="W1132" s="79"/>
      <c r="X1132" s="79"/>
      <c r="Y1132" s="79"/>
      <c r="Z1132" s="79"/>
      <c r="AA1132" s="79"/>
      <c r="AB1132" s="79"/>
      <c r="AC1132" s="79"/>
      <c r="AD1132" s="79"/>
      <c r="AE1132" s="79"/>
      <c r="AF1132" s="79"/>
    </row>
    <row r="1133" spans="1:32" s="2" customFormat="1">
      <c r="A1133" s="551"/>
      <c r="B1133" s="551"/>
      <c r="C1133" s="551"/>
      <c r="D1133" s="551"/>
      <c r="E1133" s="551"/>
      <c r="F1133" s="551"/>
      <c r="G1133" s="551"/>
      <c r="H1133" s="551"/>
      <c r="I1133" s="551"/>
      <c r="J1133" s="551"/>
      <c r="K1133" s="551"/>
      <c r="L1133" s="551"/>
      <c r="M1133" s="551"/>
      <c r="N1133" s="551"/>
      <c r="O1133" s="551"/>
      <c r="P1133" s="551"/>
      <c r="Q1133" s="79"/>
      <c r="R1133" s="79"/>
      <c r="S1133" s="79"/>
      <c r="T1133" s="79"/>
      <c r="U1133" s="79"/>
      <c r="V1133" s="79"/>
      <c r="W1133" s="79"/>
      <c r="X1133" s="79"/>
      <c r="Y1133" s="79"/>
      <c r="Z1133" s="79"/>
      <c r="AA1133" s="79"/>
      <c r="AB1133" s="79"/>
      <c r="AC1133" s="79"/>
      <c r="AD1133" s="79"/>
      <c r="AE1133" s="79"/>
      <c r="AF1133" s="79"/>
    </row>
    <row r="1134" spans="1:32" s="2" customFormat="1">
      <c r="A1134" s="551"/>
      <c r="B1134" s="551"/>
      <c r="C1134" s="551"/>
      <c r="D1134" s="551"/>
      <c r="E1134" s="551"/>
      <c r="F1134" s="551"/>
      <c r="G1134" s="551"/>
      <c r="H1134" s="551"/>
      <c r="I1134" s="551"/>
      <c r="J1134" s="551"/>
      <c r="K1134" s="551"/>
      <c r="L1134" s="551"/>
      <c r="M1134" s="551"/>
      <c r="N1134" s="551"/>
      <c r="O1134" s="551"/>
      <c r="P1134" s="551"/>
      <c r="Q1134" s="79"/>
      <c r="R1134" s="79"/>
      <c r="S1134" s="79"/>
      <c r="T1134" s="79"/>
      <c r="U1134" s="79"/>
      <c r="V1134" s="79"/>
      <c r="W1134" s="79"/>
      <c r="X1134" s="79"/>
      <c r="Y1134" s="79"/>
      <c r="Z1134" s="79"/>
      <c r="AA1134" s="79"/>
      <c r="AB1134" s="79"/>
      <c r="AC1134" s="79"/>
      <c r="AD1134" s="79"/>
      <c r="AE1134" s="79"/>
      <c r="AF1134" s="79"/>
    </row>
    <row r="1135" spans="1:32" s="2" customFormat="1">
      <c r="A1135" s="551"/>
      <c r="B1135" s="551"/>
      <c r="C1135" s="551"/>
      <c r="D1135" s="551"/>
      <c r="E1135" s="551"/>
      <c r="F1135" s="551"/>
      <c r="G1135" s="551"/>
      <c r="H1135" s="551"/>
      <c r="I1135" s="551"/>
      <c r="J1135" s="551"/>
      <c r="K1135" s="551"/>
      <c r="L1135" s="551"/>
      <c r="M1135" s="551"/>
      <c r="N1135" s="551"/>
      <c r="O1135" s="551"/>
      <c r="P1135" s="551"/>
      <c r="Q1135" s="79"/>
      <c r="R1135" s="79"/>
      <c r="S1135" s="79"/>
      <c r="T1135" s="79"/>
      <c r="U1135" s="79"/>
      <c r="V1135" s="79"/>
      <c r="W1135" s="79"/>
      <c r="X1135" s="79"/>
      <c r="Y1135" s="79"/>
      <c r="Z1135" s="79"/>
      <c r="AA1135" s="79"/>
      <c r="AB1135" s="79"/>
      <c r="AC1135" s="79"/>
      <c r="AD1135" s="79"/>
      <c r="AE1135" s="79"/>
      <c r="AF1135" s="79"/>
    </row>
    <row r="1136" spans="1:32" s="2" customFormat="1">
      <c r="A1136" s="551"/>
      <c r="B1136" s="551"/>
      <c r="C1136" s="551"/>
      <c r="D1136" s="551"/>
      <c r="E1136" s="551"/>
      <c r="F1136" s="551"/>
      <c r="G1136" s="551"/>
      <c r="H1136" s="551"/>
      <c r="I1136" s="551"/>
      <c r="J1136" s="551"/>
      <c r="K1136" s="551"/>
      <c r="L1136" s="551"/>
      <c r="M1136" s="551"/>
      <c r="N1136" s="551"/>
      <c r="O1136" s="551"/>
      <c r="P1136" s="551"/>
      <c r="Q1136" s="79"/>
      <c r="R1136" s="79"/>
      <c r="S1136" s="79"/>
      <c r="T1136" s="79"/>
      <c r="U1136" s="79"/>
      <c r="V1136" s="79"/>
      <c r="W1136" s="79"/>
      <c r="X1136" s="79"/>
      <c r="Y1136" s="79"/>
      <c r="Z1136" s="79"/>
      <c r="AA1136" s="79"/>
      <c r="AB1136" s="79"/>
      <c r="AC1136" s="79"/>
      <c r="AD1136" s="79"/>
      <c r="AE1136" s="79"/>
      <c r="AF1136" s="79"/>
    </row>
    <row r="1137" spans="1:32" s="2" customFormat="1">
      <c r="A1137" s="551"/>
      <c r="B1137" s="551"/>
      <c r="C1137" s="551"/>
      <c r="D1137" s="551"/>
      <c r="E1137" s="551"/>
      <c r="F1137" s="551"/>
      <c r="G1137" s="551"/>
      <c r="H1137" s="551"/>
      <c r="I1137" s="551"/>
      <c r="J1137" s="551"/>
      <c r="K1137" s="551"/>
      <c r="L1137" s="551"/>
      <c r="M1137" s="551"/>
      <c r="N1137" s="551"/>
      <c r="O1137" s="551"/>
      <c r="P1137" s="551"/>
      <c r="Q1137" s="79"/>
      <c r="R1137" s="79"/>
      <c r="S1137" s="79"/>
      <c r="T1137" s="79"/>
      <c r="U1137" s="79"/>
      <c r="V1137" s="79"/>
      <c r="W1137" s="79"/>
      <c r="X1137" s="79"/>
      <c r="Y1137" s="79"/>
      <c r="Z1137" s="79"/>
      <c r="AA1137" s="79"/>
      <c r="AB1137" s="79"/>
      <c r="AC1137" s="79"/>
      <c r="AD1137" s="79"/>
      <c r="AE1137" s="79"/>
      <c r="AF1137" s="79"/>
    </row>
    <row r="1138" spans="1:32" s="2" customFormat="1">
      <c r="A1138" s="551"/>
      <c r="B1138" s="551"/>
      <c r="C1138" s="551"/>
      <c r="D1138" s="551"/>
      <c r="E1138" s="551"/>
      <c r="F1138" s="551"/>
      <c r="G1138" s="551"/>
      <c r="H1138" s="551"/>
      <c r="I1138" s="551"/>
      <c r="J1138" s="551"/>
      <c r="K1138" s="551"/>
      <c r="L1138" s="551"/>
      <c r="M1138" s="551"/>
      <c r="N1138" s="551"/>
      <c r="O1138" s="551"/>
      <c r="P1138" s="551"/>
      <c r="Q1138" s="79"/>
      <c r="R1138" s="79"/>
      <c r="S1138" s="79"/>
      <c r="T1138" s="79"/>
      <c r="U1138" s="79"/>
      <c r="V1138" s="79"/>
      <c r="W1138" s="79"/>
      <c r="X1138" s="79"/>
      <c r="Y1138" s="79"/>
      <c r="Z1138" s="79"/>
      <c r="AA1138" s="79"/>
      <c r="AB1138" s="79"/>
      <c r="AC1138" s="79"/>
      <c r="AD1138" s="79"/>
      <c r="AE1138" s="79"/>
      <c r="AF1138" s="79"/>
    </row>
    <row r="1139" spans="1:32" s="2" customFormat="1">
      <c r="A1139" s="551"/>
      <c r="B1139" s="551"/>
      <c r="C1139" s="551"/>
      <c r="D1139" s="551"/>
      <c r="E1139" s="551"/>
      <c r="F1139" s="551"/>
      <c r="G1139" s="551"/>
      <c r="H1139" s="551"/>
      <c r="I1139" s="551"/>
      <c r="J1139" s="551"/>
      <c r="K1139" s="551"/>
      <c r="L1139" s="551"/>
      <c r="M1139" s="551"/>
      <c r="N1139" s="551"/>
      <c r="O1139" s="551"/>
      <c r="P1139" s="551"/>
      <c r="Q1139" s="79"/>
      <c r="R1139" s="79"/>
      <c r="S1139" s="79"/>
      <c r="T1139" s="79"/>
      <c r="U1139" s="79"/>
      <c r="V1139" s="79"/>
      <c r="W1139" s="79"/>
      <c r="X1139" s="79"/>
      <c r="Y1139" s="79"/>
      <c r="Z1139" s="79"/>
      <c r="AA1139" s="79"/>
      <c r="AB1139" s="79"/>
      <c r="AC1139" s="79"/>
      <c r="AD1139" s="79"/>
      <c r="AE1139" s="79"/>
      <c r="AF1139" s="79"/>
    </row>
    <row r="1140" spans="1:32" s="2" customFormat="1">
      <c r="A1140" s="551"/>
      <c r="B1140" s="551"/>
      <c r="C1140" s="551"/>
      <c r="D1140" s="551"/>
      <c r="E1140" s="551"/>
      <c r="F1140" s="551"/>
      <c r="G1140" s="551"/>
      <c r="H1140" s="551"/>
      <c r="I1140" s="551"/>
      <c r="J1140" s="551"/>
      <c r="K1140" s="551"/>
      <c r="L1140" s="551"/>
      <c r="M1140" s="551"/>
      <c r="N1140" s="551"/>
      <c r="O1140" s="551"/>
      <c r="P1140" s="551"/>
      <c r="Q1140" s="79"/>
      <c r="R1140" s="79"/>
      <c r="S1140" s="79"/>
      <c r="T1140" s="79"/>
      <c r="U1140" s="79"/>
      <c r="V1140" s="79"/>
      <c r="W1140" s="79"/>
      <c r="X1140" s="79"/>
      <c r="Y1140" s="79"/>
      <c r="Z1140" s="79"/>
      <c r="AA1140" s="79"/>
      <c r="AB1140" s="79"/>
      <c r="AC1140" s="79"/>
      <c r="AD1140" s="79"/>
      <c r="AE1140" s="79"/>
      <c r="AF1140" s="79"/>
    </row>
    <row r="1141" spans="1:32" s="2" customFormat="1">
      <c r="A1141" s="551"/>
      <c r="B1141" s="551"/>
      <c r="C1141" s="551"/>
      <c r="D1141" s="551"/>
      <c r="E1141" s="551"/>
      <c r="F1141" s="551"/>
      <c r="G1141" s="551"/>
      <c r="H1141" s="551"/>
      <c r="I1141" s="551"/>
      <c r="J1141" s="551"/>
      <c r="K1141" s="551"/>
      <c r="L1141" s="551"/>
      <c r="M1141" s="551"/>
      <c r="N1141" s="551"/>
      <c r="O1141" s="551"/>
      <c r="P1141" s="551"/>
      <c r="Q1141" s="79"/>
      <c r="R1141" s="79"/>
      <c r="S1141" s="79"/>
      <c r="T1141" s="79"/>
      <c r="U1141" s="79"/>
      <c r="V1141" s="79"/>
      <c r="W1141" s="79"/>
      <c r="X1141" s="79"/>
      <c r="Y1141" s="79"/>
      <c r="Z1141" s="79"/>
      <c r="AA1141" s="79"/>
      <c r="AB1141" s="79"/>
      <c r="AC1141" s="79"/>
      <c r="AD1141" s="79"/>
      <c r="AE1141" s="79"/>
      <c r="AF1141" s="79"/>
    </row>
    <row r="1142" spans="1:32" s="2" customFormat="1">
      <c r="A1142" s="551"/>
      <c r="B1142" s="551"/>
      <c r="C1142" s="551"/>
      <c r="D1142" s="551"/>
      <c r="E1142" s="551"/>
      <c r="F1142" s="551"/>
      <c r="G1142" s="551"/>
      <c r="H1142" s="551"/>
      <c r="I1142" s="551"/>
      <c r="J1142" s="551"/>
      <c r="K1142" s="551"/>
      <c r="L1142" s="551"/>
      <c r="M1142" s="551"/>
      <c r="N1142" s="551"/>
      <c r="O1142" s="551"/>
      <c r="P1142" s="551"/>
      <c r="Q1142" s="79"/>
      <c r="R1142" s="79"/>
      <c r="S1142" s="79"/>
      <c r="T1142" s="79"/>
      <c r="U1142" s="79"/>
      <c r="V1142" s="79"/>
      <c r="W1142" s="79"/>
      <c r="X1142" s="79"/>
      <c r="Y1142" s="79"/>
      <c r="Z1142" s="79"/>
      <c r="AA1142" s="79"/>
      <c r="AB1142" s="79"/>
      <c r="AC1142" s="79"/>
      <c r="AD1142" s="79"/>
      <c r="AE1142" s="79"/>
      <c r="AF1142" s="79"/>
    </row>
    <row r="1143" spans="1:32" s="2" customFormat="1">
      <c r="A1143" s="551"/>
      <c r="B1143" s="551"/>
      <c r="C1143" s="551"/>
      <c r="D1143" s="551"/>
      <c r="E1143" s="551"/>
      <c r="F1143" s="551"/>
      <c r="G1143" s="551"/>
      <c r="H1143" s="551"/>
      <c r="I1143" s="551"/>
      <c r="J1143" s="551"/>
      <c r="K1143" s="551"/>
      <c r="L1143" s="551"/>
      <c r="M1143" s="551"/>
      <c r="N1143" s="551"/>
      <c r="O1143" s="551"/>
      <c r="P1143" s="551"/>
      <c r="Q1143" s="79"/>
      <c r="R1143" s="79"/>
      <c r="S1143" s="79"/>
      <c r="T1143" s="79"/>
      <c r="U1143" s="79"/>
      <c r="V1143" s="79"/>
      <c r="W1143" s="79"/>
      <c r="X1143" s="79"/>
      <c r="Y1143" s="79"/>
      <c r="Z1143" s="79"/>
      <c r="AA1143" s="79"/>
      <c r="AB1143" s="79"/>
      <c r="AC1143" s="79"/>
      <c r="AD1143" s="79"/>
      <c r="AE1143" s="79"/>
      <c r="AF1143" s="79"/>
    </row>
    <row r="1144" spans="1:32" s="2" customFormat="1">
      <c r="A1144" s="551"/>
      <c r="B1144" s="551"/>
      <c r="C1144" s="551"/>
      <c r="D1144" s="551"/>
      <c r="E1144" s="551"/>
      <c r="F1144" s="551"/>
      <c r="G1144" s="551"/>
      <c r="H1144" s="551"/>
      <c r="I1144" s="551"/>
      <c r="J1144" s="551"/>
      <c r="K1144" s="551"/>
      <c r="L1144" s="551"/>
      <c r="M1144" s="551"/>
      <c r="N1144" s="551"/>
      <c r="O1144" s="551"/>
      <c r="P1144" s="551"/>
      <c r="Q1144" s="79"/>
      <c r="R1144" s="79"/>
      <c r="S1144" s="79"/>
      <c r="T1144" s="79"/>
      <c r="U1144" s="79"/>
      <c r="V1144" s="79"/>
      <c r="W1144" s="79"/>
      <c r="X1144" s="79"/>
      <c r="Y1144" s="79"/>
      <c r="Z1144" s="79"/>
      <c r="AA1144" s="79"/>
      <c r="AB1144" s="79"/>
      <c r="AC1144" s="79"/>
      <c r="AD1144" s="79"/>
      <c r="AE1144" s="79"/>
      <c r="AF1144" s="79"/>
    </row>
    <row r="1145" spans="1:32" s="2" customFormat="1">
      <c r="A1145" s="551"/>
      <c r="B1145" s="551"/>
      <c r="C1145" s="551"/>
      <c r="D1145" s="551"/>
      <c r="E1145" s="551"/>
      <c r="F1145" s="551"/>
      <c r="G1145" s="551"/>
      <c r="H1145" s="551"/>
      <c r="I1145" s="551"/>
      <c r="J1145" s="551"/>
      <c r="K1145" s="551"/>
      <c r="L1145" s="551"/>
      <c r="M1145" s="551"/>
      <c r="N1145" s="551"/>
      <c r="O1145" s="551"/>
      <c r="P1145" s="551"/>
      <c r="Q1145" s="79"/>
      <c r="R1145" s="79"/>
      <c r="S1145" s="79"/>
      <c r="T1145" s="79"/>
      <c r="U1145" s="79"/>
      <c r="V1145" s="79"/>
      <c r="W1145" s="79"/>
      <c r="X1145" s="79"/>
      <c r="Y1145" s="79"/>
      <c r="Z1145" s="79"/>
      <c r="AA1145" s="79"/>
      <c r="AB1145" s="79"/>
      <c r="AC1145" s="79"/>
      <c r="AD1145" s="79"/>
      <c r="AE1145" s="79"/>
      <c r="AF1145" s="79"/>
    </row>
    <row r="1146" spans="1:32" s="2" customFormat="1">
      <c r="A1146" s="551"/>
      <c r="B1146" s="551"/>
      <c r="C1146" s="551"/>
      <c r="D1146" s="551"/>
      <c r="E1146" s="551"/>
      <c r="F1146" s="551"/>
      <c r="G1146" s="551"/>
      <c r="H1146" s="551"/>
      <c r="I1146" s="551"/>
      <c r="J1146" s="551"/>
      <c r="K1146" s="551"/>
      <c r="L1146" s="551"/>
      <c r="M1146" s="551"/>
      <c r="N1146" s="551"/>
      <c r="O1146" s="551"/>
      <c r="P1146" s="551"/>
      <c r="Q1146" s="79"/>
      <c r="R1146" s="79"/>
      <c r="S1146" s="79"/>
      <c r="T1146" s="79"/>
      <c r="U1146" s="79"/>
      <c r="V1146" s="79"/>
      <c r="W1146" s="79"/>
      <c r="X1146" s="79"/>
      <c r="Y1146" s="79"/>
      <c r="Z1146" s="79"/>
      <c r="AA1146" s="79"/>
      <c r="AB1146" s="79"/>
      <c r="AC1146" s="79"/>
      <c r="AD1146" s="79"/>
      <c r="AE1146" s="79"/>
      <c r="AF1146" s="79"/>
    </row>
    <row r="1147" spans="1:32" s="2" customFormat="1">
      <c r="A1147" s="551"/>
      <c r="B1147" s="551"/>
      <c r="C1147" s="551"/>
      <c r="D1147" s="551"/>
      <c r="E1147" s="551"/>
      <c r="F1147" s="551"/>
      <c r="G1147" s="551"/>
      <c r="H1147" s="551"/>
      <c r="I1147" s="551"/>
      <c r="J1147" s="551"/>
      <c r="K1147" s="551"/>
      <c r="L1147" s="551"/>
      <c r="M1147" s="551"/>
      <c r="N1147" s="551"/>
      <c r="O1147" s="551"/>
      <c r="P1147" s="551"/>
      <c r="Q1147" s="79"/>
      <c r="R1147" s="79"/>
      <c r="S1147" s="79"/>
      <c r="T1147" s="79"/>
      <c r="U1147" s="79"/>
      <c r="V1147" s="79"/>
      <c r="W1147" s="79"/>
      <c r="X1147" s="79"/>
      <c r="Y1147" s="79"/>
      <c r="Z1147" s="79"/>
      <c r="AA1147" s="79"/>
      <c r="AB1147" s="79"/>
      <c r="AC1147" s="79"/>
      <c r="AD1147" s="79"/>
      <c r="AE1147" s="79"/>
      <c r="AF1147" s="79"/>
    </row>
    <row r="1148" spans="1:32" s="2" customFormat="1">
      <c r="A1148" s="551"/>
      <c r="B1148" s="551"/>
      <c r="C1148" s="551"/>
      <c r="D1148" s="551"/>
      <c r="E1148" s="551"/>
      <c r="F1148" s="551"/>
      <c r="G1148" s="551"/>
      <c r="H1148" s="551"/>
      <c r="I1148" s="551"/>
      <c r="J1148" s="551"/>
      <c r="K1148" s="551"/>
      <c r="L1148" s="551"/>
      <c r="M1148" s="551"/>
      <c r="N1148" s="551"/>
      <c r="O1148" s="551"/>
      <c r="P1148" s="551"/>
      <c r="Q1148" s="79"/>
      <c r="R1148" s="79"/>
      <c r="S1148" s="79"/>
      <c r="T1148" s="79"/>
      <c r="U1148" s="79"/>
      <c r="V1148" s="79"/>
      <c r="W1148" s="79"/>
      <c r="X1148" s="79"/>
      <c r="Y1148" s="79"/>
      <c r="Z1148" s="79"/>
      <c r="AA1148" s="79"/>
      <c r="AB1148" s="79"/>
      <c r="AC1148" s="79"/>
      <c r="AD1148" s="79"/>
      <c r="AE1148" s="79"/>
      <c r="AF1148" s="79"/>
    </row>
    <row r="1149" spans="1:32" s="2" customFormat="1">
      <c r="A1149" s="551"/>
      <c r="B1149" s="551"/>
      <c r="C1149" s="551"/>
      <c r="D1149" s="551"/>
      <c r="E1149" s="551"/>
      <c r="F1149" s="551"/>
      <c r="G1149" s="551"/>
      <c r="H1149" s="551"/>
      <c r="I1149" s="551"/>
      <c r="J1149" s="551"/>
      <c r="K1149" s="551"/>
      <c r="L1149" s="551"/>
      <c r="M1149" s="551"/>
      <c r="N1149" s="551"/>
      <c r="O1149" s="551"/>
      <c r="P1149" s="551"/>
      <c r="Q1149" s="79"/>
      <c r="R1149" s="79"/>
      <c r="S1149" s="79"/>
      <c r="T1149" s="79"/>
      <c r="U1149" s="79"/>
      <c r="V1149" s="79"/>
      <c r="W1149" s="79"/>
      <c r="X1149" s="79"/>
      <c r="Y1149" s="79"/>
      <c r="Z1149" s="79"/>
      <c r="AA1149" s="79"/>
      <c r="AB1149" s="79"/>
      <c r="AC1149" s="79"/>
      <c r="AD1149" s="79"/>
      <c r="AE1149" s="79"/>
      <c r="AF1149" s="79"/>
    </row>
    <row r="1150" spans="1:32" s="2" customFormat="1">
      <c r="A1150" s="551"/>
      <c r="B1150" s="551"/>
      <c r="C1150" s="551"/>
      <c r="D1150" s="551"/>
      <c r="E1150" s="551"/>
      <c r="F1150" s="551"/>
      <c r="G1150" s="551"/>
      <c r="H1150" s="551"/>
      <c r="I1150" s="551"/>
      <c r="J1150" s="551"/>
      <c r="K1150" s="551"/>
      <c r="L1150" s="551"/>
      <c r="M1150" s="551"/>
      <c r="N1150" s="551"/>
      <c r="O1150" s="551"/>
      <c r="P1150" s="551"/>
      <c r="Q1150" s="79"/>
      <c r="R1150" s="79"/>
      <c r="S1150" s="79"/>
      <c r="T1150" s="79"/>
      <c r="U1150" s="79"/>
      <c r="V1150" s="79"/>
      <c r="W1150" s="79"/>
      <c r="X1150" s="79"/>
      <c r="Y1150" s="79"/>
      <c r="Z1150" s="79"/>
      <c r="AA1150" s="79"/>
      <c r="AB1150" s="79"/>
      <c r="AC1150" s="79"/>
      <c r="AD1150" s="79"/>
      <c r="AE1150" s="79"/>
      <c r="AF1150" s="79"/>
    </row>
    <row r="1151" spans="1:32" s="2" customFormat="1">
      <c r="A1151" s="551"/>
      <c r="B1151" s="551"/>
      <c r="C1151" s="551"/>
      <c r="D1151" s="551"/>
      <c r="E1151" s="551"/>
      <c r="F1151" s="551"/>
      <c r="G1151" s="551"/>
      <c r="H1151" s="551"/>
      <c r="I1151" s="551"/>
      <c r="J1151" s="551"/>
      <c r="K1151" s="551"/>
      <c r="L1151" s="551"/>
      <c r="M1151" s="551"/>
      <c r="N1151" s="551"/>
      <c r="O1151" s="551"/>
      <c r="P1151" s="551"/>
      <c r="Q1151" s="79"/>
      <c r="R1151" s="79"/>
      <c r="S1151" s="79"/>
      <c r="T1151" s="79"/>
      <c r="U1151" s="79"/>
      <c r="V1151" s="79"/>
      <c r="W1151" s="79"/>
      <c r="X1151" s="79"/>
      <c r="Y1151" s="79"/>
      <c r="Z1151" s="79"/>
      <c r="AA1151" s="79"/>
      <c r="AB1151" s="79"/>
      <c r="AC1151" s="79"/>
      <c r="AD1151" s="79"/>
      <c r="AE1151" s="79"/>
      <c r="AF1151" s="79"/>
    </row>
    <row r="1152" spans="1:32" s="2" customFormat="1">
      <c r="A1152" s="551"/>
      <c r="B1152" s="551"/>
      <c r="C1152" s="551"/>
      <c r="D1152" s="551"/>
      <c r="E1152" s="551"/>
      <c r="F1152" s="551"/>
      <c r="G1152" s="551"/>
      <c r="H1152" s="551"/>
      <c r="I1152" s="551"/>
      <c r="J1152" s="551"/>
      <c r="K1152" s="551"/>
      <c r="L1152" s="551"/>
      <c r="M1152" s="551"/>
      <c r="N1152" s="551"/>
      <c r="O1152" s="551"/>
      <c r="P1152" s="551"/>
      <c r="Q1152" s="79"/>
      <c r="R1152" s="79"/>
      <c r="S1152" s="79"/>
      <c r="T1152" s="79"/>
      <c r="U1152" s="79"/>
      <c r="V1152" s="79"/>
      <c r="W1152" s="79"/>
      <c r="X1152" s="79"/>
      <c r="Y1152" s="79"/>
      <c r="Z1152" s="79"/>
      <c r="AA1152" s="79"/>
      <c r="AB1152" s="79"/>
      <c r="AC1152" s="79"/>
      <c r="AD1152" s="79"/>
      <c r="AE1152" s="79"/>
      <c r="AF1152" s="79"/>
    </row>
    <row r="1153" spans="1:32" s="2" customFormat="1">
      <c r="A1153" s="551"/>
      <c r="B1153" s="551"/>
      <c r="C1153" s="551"/>
      <c r="D1153" s="551"/>
      <c r="E1153" s="551"/>
      <c r="F1153" s="551"/>
      <c r="G1153" s="551"/>
      <c r="H1153" s="551"/>
      <c r="I1153" s="551"/>
      <c r="J1153" s="551"/>
      <c r="K1153" s="551"/>
      <c r="L1153" s="551"/>
      <c r="M1153" s="551"/>
      <c r="N1153" s="551"/>
      <c r="O1153" s="551"/>
      <c r="P1153" s="551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  <c r="AD1153" s="79"/>
      <c r="AE1153" s="79"/>
      <c r="AF1153" s="79"/>
    </row>
    <row r="1154" spans="1:32" s="2" customFormat="1">
      <c r="A1154" s="551"/>
      <c r="B1154" s="551"/>
      <c r="C1154" s="551"/>
      <c r="D1154" s="551"/>
      <c r="E1154" s="551"/>
      <c r="F1154" s="551"/>
      <c r="G1154" s="551"/>
      <c r="H1154" s="551"/>
      <c r="I1154" s="551"/>
      <c r="J1154" s="551"/>
      <c r="K1154" s="551"/>
      <c r="L1154" s="551"/>
      <c r="M1154" s="551"/>
      <c r="N1154" s="551"/>
      <c r="O1154" s="551"/>
      <c r="P1154" s="551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  <c r="AD1154" s="79"/>
      <c r="AE1154" s="79"/>
      <c r="AF1154" s="79"/>
    </row>
    <row r="1155" spans="1:32" s="2" customFormat="1">
      <c r="A1155" s="551"/>
      <c r="B1155" s="551"/>
      <c r="C1155" s="551"/>
      <c r="D1155" s="551"/>
      <c r="E1155" s="551"/>
      <c r="F1155" s="551"/>
      <c r="G1155" s="551"/>
      <c r="H1155" s="551"/>
      <c r="I1155" s="551"/>
      <c r="J1155" s="551"/>
      <c r="K1155" s="551"/>
      <c r="L1155" s="551"/>
      <c r="M1155" s="551"/>
      <c r="N1155" s="551"/>
      <c r="O1155" s="551"/>
      <c r="P1155" s="551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  <c r="AD1155" s="79"/>
      <c r="AE1155" s="79"/>
      <c r="AF1155" s="79"/>
    </row>
    <row r="1156" spans="1:32" s="2" customFormat="1">
      <c r="A1156" s="551"/>
      <c r="B1156" s="551"/>
      <c r="C1156" s="551"/>
      <c r="D1156" s="551"/>
      <c r="E1156" s="551"/>
      <c r="F1156" s="551"/>
      <c r="G1156" s="551"/>
      <c r="H1156" s="551"/>
      <c r="I1156" s="551"/>
      <c r="J1156" s="551"/>
      <c r="K1156" s="551"/>
      <c r="L1156" s="551"/>
      <c r="M1156" s="551"/>
      <c r="N1156" s="551"/>
      <c r="O1156" s="551"/>
      <c r="P1156" s="551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  <c r="AD1156" s="79"/>
      <c r="AE1156" s="79"/>
      <c r="AF1156" s="79"/>
    </row>
    <row r="1157" spans="1:32" s="2" customFormat="1">
      <c r="A1157" s="551"/>
      <c r="B1157" s="551"/>
      <c r="C1157" s="551"/>
      <c r="D1157" s="551"/>
      <c r="E1157" s="551"/>
      <c r="F1157" s="551"/>
      <c r="G1157" s="551"/>
      <c r="H1157" s="551"/>
      <c r="I1157" s="551"/>
      <c r="J1157" s="551"/>
      <c r="K1157" s="551"/>
      <c r="L1157" s="551"/>
      <c r="M1157" s="551"/>
      <c r="N1157" s="551"/>
      <c r="O1157" s="551"/>
      <c r="P1157" s="551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  <c r="AD1157" s="79"/>
      <c r="AE1157" s="79"/>
      <c r="AF1157" s="79"/>
    </row>
    <row r="1158" spans="1:32" s="2" customFormat="1">
      <c r="A1158" s="551"/>
      <c r="B1158" s="551"/>
      <c r="C1158" s="551"/>
      <c r="D1158" s="551"/>
      <c r="E1158" s="551"/>
      <c r="F1158" s="551"/>
      <c r="G1158" s="551"/>
      <c r="H1158" s="551"/>
      <c r="I1158" s="551"/>
      <c r="J1158" s="551"/>
      <c r="K1158" s="551"/>
      <c r="L1158" s="551"/>
      <c r="M1158" s="551"/>
      <c r="N1158" s="551"/>
      <c r="O1158" s="551"/>
      <c r="P1158" s="551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  <c r="AD1158" s="79"/>
      <c r="AE1158" s="79"/>
      <c r="AF1158" s="79"/>
    </row>
    <row r="1159" spans="1:32" s="2" customFormat="1">
      <c r="A1159" s="551"/>
      <c r="B1159" s="551"/>
      <c r="C1159" s="551"/>
      <c r="D1159" s="551"/>
      <c r="E1159" s="551"/>
      <c r="F1159" s="551"/>
      <c r="G1159" s="551"/>
      <c r="H1159" s="551"/>
      <c r="I1159" s="551"/>
      <c r="J1159" s="551"/>
      <c r="K1159" s="551"/>
      <c r="L1159" s="551"/>
      <c r="M1159" s="551"/>
      <c r="N1159" s="551"/>
      <c r="O1159" s="551"/>
      <c r="P1159" s="551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  <c r="AD1159" s="79"/>
      <c r="AE1159" s="79"/>
      <c r="AF1159" s="79"/>
    </row>
    <row r="1160" spans="1:32" s="2" customFormat="1">
      <c r="A1160" s="551"/>
      <c r="B1160" s="551"/>
      <c r="C1160" s="551"/>
      <c r="D1160" s="551"/>
      <c r="E1160" s="551"/>
      <c r="F1160" s="551"/>
      <c r="G1160" s="551"/>
      <c r="H1160" s="551"/>
      <c r="I1160" s="551"/>
      <c r="J1160" s="551"/>
      <c r="K1160" s="551"/>
      <c r="L1160" s="551"/>
      <c r="M1160" s="551"/>
      <c r="N1160" s="551"/>
      <c r="O1160" s="551"/>
      <c r="P1160" s="551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  <c r="AD1160" s="79"/>
      <c r="AE1160" s="79"/>
      <c r="AF1160" s="79"/>
    </row>
    <row r="1161" spans="1:32" s="2" customFormat="1">
      <c r="A1161" s="551"/>
      <c r="B1161" s="551"/>
      <c r="C1161" s="551"/>
      <c r="D1161" s="551"/>
      <c r="E1161" s="551"/>
      <c r="F1161" s="551"/>
      <c r="G1161" s="551"/>
      <c r="H1161" s="551"/>
      <c r="I1161" s="551"/>
      <c r="J1161" s="551"/>
      <c r="K1161" s="551"/>
      <c r="L1161" s="551"/>
      <c r="M1161" s="551"/>
      <c r="N1161" s="551"/>
      <c r="O1161" s="551"/>
      <c r="P1161" s="551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  <c r="AD1161" s="79"/>
      <c r="AE1161" s="79"/>
      <c r="AF1161" s="79"/>
    </row>
    <row r="1162" spans="1:32" s="2" customFormat="1">
      <c r="A1162" s="551"/>
      <c r="B1162" s="551"/>
      <c r="C1162" s="551"/>
      <c r="D1162" s="551"/>
      <c r="E1162" s="551"/>
      <c r="F1162" s="551"/>
      <c r="G1162" s="551"/>
      <c r="H1162" s="551"/>
      <c r="I1162" s="551"/>
      <c r="J1162" s="551"/>
      <c r="K1162" s="551"/>
      <c r="L1162" s="551"/>
      <c r="M1162" s="551"/>
      <c r="N1162" s="551"/>
      <c r="O1162" s="551"/>
      <c r="P1162" s="551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  <c r="AD1162" s="79"/>
      <c r="AE1162" s="79"/>
      <c r="AF1162" s="79"/>
    </row>
    <row r="1163" spans="1:32" s="2" customFormat="1">
      <c r="A1163" s="551"/>
      <c r="B1163" s="551"/>
      <c r="C1163" s="551"/>
      <c r="D1163" s="551"/>
      <c r="E1163" s="551"/>
      <c r="F1163" s="551"/>
      <c r="G1163" s="551"/>
      <c r="H1163" s="551"/>
      <c r="I1163" s="551"/>
      <c r="J1163" s="551"/>
      <c r="K1163" s="551"/>
      <c r="L1163" s="551"/>
      <c r="M1163" s="551"/>
      <c r="N1163" s="551"/>
      <c r="O1163" s="551"/>
      <c r="P1163" s="551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  <c r="AD1163" s="79"/>
      <c r="AE1163" s="79"/>
      <c r="AF1163" s="79"/>
    </row>
    <row r="1164" spans="1:32" s="2" customFormat="1">
      <c r="A1164" s="551"/>
      <c r="B1164" s="551"/>
      <c r="C1164" s="551"/>
      <c r="D1164" s="551"/>
      <c r="E1164" s="551"/>
      <c r="F1164" s="551"/>
      <c r="G1164" s="551"/>
      <c r="H1164" s="551"/>
      <c r="I1164" s="551"/>
      <c r="J1164" s="551"/>
      <c r="K1164" s="551"/>
      <c r="L1164" s="551"/>
      <c r="M1164" s="551"/>
      <c r="N1164" s="551"/>
      <c r="O1164" s="551"/>
      <c r="P1164" s="551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  <c r="AD1164" s="79"/>
      <c r="AE1164" s="79"/>
      <c r="AF1164" s="79"/>
    </row>
    <row r="1165" spans="1:32" s="2" customFormat="1">
      <c r="A1165" s="551"/>
      <c r="B1165" s="551"/>
      <c r="C1165" s="551"/>
      <c r="D1165" s="551"/>
      <c r="E1165" s="551"/>
      <c r="F1165" s="551"/>
      <c r="G1165" s="551"/>
      <c r="H1165" s="551"/>
      <c r="I1165" s="551"/>
      <c r="J1165" s="551"/>
      <c r="K1165" s="551"/>
      <c r="L1165" s="551"/>
      <c r="M1165" s="551"/>
      <c r="N1165" s="551"/>
      <c r="O1165" s="551"/>
      <c r="P1165" s="551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  <c r="AD1165" s="79"/>
      <c r="AE1165" s="79"/>
      <c r="AF1165" s="79"/>
    </row>
    <row r="1166" spans="1:32" s="2" customFormat="1">
      <c r="A1166" s="551"/>
      <c r="B1166" s="551"/>
      <c r="C1166" s="551"/>
      <c r="D1166" s="551"/>
      <c r="E1166" s="551"/>
      <c r="F1166" s="551"/>
      <c r="G1166" s="551"/>
      <c r="H1166" s="551"/>
      <c r="I1166" s="551"/>
      <c r="J1166" s="551"/>
      <c r="K1166" s="551"/>
      <c r="L1166" s="551"/>
      <c r="M1166" s="551"/>
      <c r="N1166" s="551"/>
      <c r="O1166" s="551"/>
      <c r="P1166" s="551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  <c r="AD1166" s="79"/>
      <c r="AE1166" s="79"/>
      <c r="AF1166" s="79"/>
    </row>
    <row r="1167" spans="1:32" s="2" customFormat="1">
      <c r="A1167" s="551"/>
      <c r="B1167" s="551"/>
      <c r="C1167" s="551"/>
      <c r="D1167" s="551"/>
      <c r="E1167" s="551"/>
      <c r="F1167" s="551"/>
      <c r="G1167" s="551"/>
      <c r="H1167" s="551"/>
      <c r="I1167" s="551"/>
      <c r="J1167" s="551"/>
      <c r="K1167" s="551"/>
      <c r="L1167" s="551"/>
      <c r="M1167" s="551"/>
      <c r="N1167" s="551"/>
      <c r="O1167" s="551"/>
      <c r="P1167" s="551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  <c r="AD1167" s="79"/>
      <c r="AE1167" s="79"/>
      <c r="AF1167" s="79"/>
    </row>
    <row r="1168" spans="1:32" s="2" customFormat="1">
      <c r="A1168" s="551"/>
      <c r="B1168" s="551"/>
      <c r="C1168" s="551"/>
      <c r="D1168" s="551"/>
      <c r="E1168" s="551"/>
      <c r="F1168" s="551"/>
      <c r="G1168" s="551"/>
      <c r="H1168" s="551"/>
      <c r="I1168" s="551"/>
      <c r="J1168" s="551"/>
      <c r="K1168" s="551"/>
      <c r="L1168" s="551"/>
      <c r="M1168" s="551"/>
      <c r="N1168" s="551"/>
      <c r="O1168" s="551"/>
      <c r="P1168" s="551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  <c r="AD1168" s="79"/>
      <c r="AE1168" s="79"/>
      <c r="AF1168" s="79"/>
    </row>
    <row r="1169" spans="1:32" s="2" customFormat="1">
      <c r="A1169" s="551"/>
      <c r="B1169" s="551"/>
      <c r="C1169" s="551"/>
      <c r="D1169" s="551"/>
      <c r="E1169" s="551"/>
      <c r="F1169" s="551"/>
      <c r="G1169" s="551"/>
      <c r="H1169" s="551"/>
      <c r="I1169" s="551"/>
      <c r="J1169" s="551"/>
      <c r="K1169" s="551"/>
      <c r="L1169" s="551"/>
      <c r="M1169" s="551"/>
      <c r="N1169" s="551"/>
      <c r="O1169" s="551"/>
      <c r="P1169" s="551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  <c r="AD1169" s="79"/>
      <c r="AE1169" s="79"/>
      <c r="AF1169" s="79"/>
    </row>
    <row r="1170" spans="1:32" s="2" customFormat="1">
      <c r="A1170" s="551"/>
      <c r="B1170" s="551"/>
      <c r="C1170" s="551"/>
      <c r="D1170" s="551"/>
      <c r="E1170" s="551"/>
      <c r="F1170" s="551"/>
      <c r="G1170" s="551"/>
      <c r="H1170" s="551"/>
      <c r="I1170" s="551"/>
      <c r="J1170" s="551"/>
      <c r="K1170" s="551"/>
      <c r="L1170" s="551"/>
      <c r="M1170" s="551"/>
      <c r="N1170" s="551"/>
      <c r="O1170" s="551"/>
      <c r="P1170" s="551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  <c r="AD1170" s="79"/>
      <c r="AE1170" s="79"/>
      <c r="AF1170" s="79"/>
    </row>
    <row r="1171" spans="1:32" s="2" customFormat="1">
      <c r="A1171" s="551"/>
      <c r="B1171" s="551"/>
      <c r="C1171" s="551"/>
      <c r="D1171" s="551"/>
      <c r="E1171" s="551"/>
      <c r="F1171" s="551"/>
      <c r="G1171" s="551"/>
      <c r="H1171" s="551"/>
      <c r="I1171" s="551"/>
      <c r="J1171" s="551"/>
      <c r="K1171" s="551"/>
      <c r="L1171" s="551"/>
      <c r="M1171" s="551"/>
      <c r="N1171" s="551"/>
      <c r="O1171" s="551"/>
      <c r="P1171" s="551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  <c r="AD1171" s="79"/>
      <c r="AE1171" s="79"/>
      <c r="AF1171" s="79"/>
    </row>
    <row r="1172" spans="1:32" s="2" customFormat="1">
      <c r="A1172" s="551"/>
      <c r="B1172" s="551"/>
      <c r="C1172" s="551"/>
      <c r="D1172" s="551"/>
      <c r="E1172" s="551"/>
      <c r="F1172" s="551"/>
      <c r="G1172" s="551"/>
      <c r="H1172" s="551"/>
      <c r="I1172" s="551"/>
      <c r="J1172" s="551"/>
      <c r="K1172" s="551"/>
      <c r="L1172" s="551"/>
      <c r="M1172" s="551"/>
      <c r="N1172" s="551"/>
      <c r="O1172" s="551"/>
      <c r="P1172" s="551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  <c r="AD1172" s="79"/>
      <c r="AE1172" s="79"/>
      <c r="AF1172" s="79"/>
    </row>
    <row r="1173" spans="1:32" s="2" customFormat="1">
      <c r="A1173" s="551"/>
      <c r="B1173" s="551"/>
      <c r="C1173" s="551"/>
      <c r="D1173" s="551"/>
      <c r="E1173" s="551"/>
      <c r="F1173" s="551"/>
      <c r="G1173" s="551"/>
      <c r="H1173" s="551"/>
      <c r="I1173" s="551"/>
      <c r="J1173" s="551"/>
      <c r="K1173" s="551"/>
      <c r="L1173" s="551"/>
      <c r="M1173" s="551"/>
      <c r="N1173" s="551"/>
      <c r="O1173" s="551"/>
      <c r="P1173" s="551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  <c r="AD1173" s="79"/>
      <c r="AE1173" s="79"/>
      <c r="AF1173" s="79"/>
    </row>
    <row r="1174" spans="1:32" s="2" customFormat="1">
      <c r="A1174" s="551"/>
      <c r="B1174" s="551"/>
      <c r="C1174" s="551"/>
      <c r="D1174" s="551"/>
      <c r="E1174" s="551"/>
      <c r="F1174" s="551"/>
      <c r="G1174" s="551"/>
      <c r="H1174" s="551"/>
      <c r="I1174" s="551"/>
      <c r="J1174" s="551"/>
      <c r="K1174" s="551"/>
      <c r="L1174" s="551"/>
      <c r="M1174" s="551"/>
      <c r="N1174" s="551"/>
      <c r="O1174" s="551"/>
      <c r="P1174" s="551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  <c r="AD1174" s="79"/>
      <c r="AE1174" s="79"/>
      <c r="AF1174" s="79"/>
    </row>
    <row r="1175" spans="1:32" s="2" customFormat="1">
      <c r="A1175" s="551"/>
      <c r="B1175" s="551"/>
      <c r="C1175" s="551"/>
      <c r="D1175" s="551"/>
      <c r="E1175" s="551"/>
      <c r="F1175" s="551"/>
      <c r="G1175" s="551"/>
      <c r="H1175" s="551"/>
      <c r="I1175" s="551"/>
      <c r="J1175" s="551"/>
      <c r="K1175" s="551"/>
      <c r="L1175" s="551"/>
      <c r="M1175" s="551"/>
      <c r="N1175" s="551"/>
      <c r="O1175" s="551"/>
      <c r="P1175" s="551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  <c r="AD1175" s="79"/>
      <c r="AE1175" s="79"/>
      <c r="AF1175" s="79"/>
    </row>
    <row r="1176" spans="1:32" s="2" customFormat="1">
      <c r="A1176" s="551"/>
      <c r="B1176" s="551"/>
      <c r="C1176" s="551"/>
      <c r="D1176" s="551"/>
      <c r="E1176" s="551"/>
      <c r="F1176" s="551"/>
      <c r="G1176" s="551"/>
      <c r="H1176" s="551"/>
      <c r="I1176" s="551"/>
      <c r="J1176" s="551"/>
      <c r="K1176" s="551"/>
      <c r="L1176" s="551"/>
      <c r="M1176" s="551"/>
      <c r="N1176" s="551"/>
      <c r="O1176" s="551"/>
      <c r="P1176" s="551"/>
      <c r="Q1176" s="79"/>
      <c r="R1176" s="79"/>
      <c r="S1176" s="79"/>
      <c r="T1176" s="79"/>
      <c r="U1176" s="79"/>
      <c r="V1176" s="79"/>
      <c r="W1176" s="79"/>
      <c r="X1176" s="79"/>
      <c r="Y1176" s="79"/>
      <c r="Z1176" s="79"/>
      <c r="AA1176" s="79"/>
      <c r="AB1176" s="79"/>
      <c r="AC1176" s="79"/>
      <c r="AD1176" s="79"/>
      <c r="AE1176" s="79"/>
      <c r="AF1176" s="79"/>
    </row>
    <row r="1177" spans="1:32" s="2" customFormat="1">
      <c r="A1177" s="551"/>
      <c r="B1177" s="551"/>
      <c r="C1177" s="551"/>
      <c r="D1177" s="551"/>
      <c r="E1177" s="551"/>
      <c r="F1177" s="551"/>
      <c r="G1177" s="551"/>
      <c r="H1177" s="551"/>
      <c r="I1177" s="551"/>
      <c r="J1177" s="551"/>
      <c r="K1177" s="551"/>
      <c r="L1177" s="551"/>
      <c r="M1177" s="551"/>
      <c r="N1177" s="551"/>
      <c r="O1177" s="551"/>
      <c r="P1177" s="551"/>
      <c r="Q1177" s="79"/>
      <c r="R1177" s="79"/>
      <c r="S1177" s="79"/>
      <c r="T1177" s="79"/>
      <c r="U1177" s="79"/>
      <c r="V1177" s="79"/>
      <c r="W1177" s="79"/>
      <c r="X1177" s="79"/>
      <c r="Y1177" s="79"/>
      <c r="Z1177" s="79"/>
      <c r="AA1177" s="79"/>
      <c r="AB1177" s="79"/>
      <c r="AC1177" s="79"/>
      <c r="AD1177" s="79"/>
      <c r="AE1177" s="79"/>
      <c r="AF1177" s="79"/>
    </row>
    <row r="1178" spans="1:32" s="2" customFormat="1">
      <c r="A1178" s="551"/>
      <c r="B1178" s="551"/>
      <c r="C1178" s="551"/>
      <c r="D1178" s="551"/>
      <c r="E1178" s="551"/>
      <c r="F1178" s="551"/>
      <c r="G1178" s="551"/>
      <c r="H1178" s="551"/>
      <c r="I1178" s="551"/>
      <c r="J1178" s="551"/>
      <c r="K1178" s="551"/>
      <c r="L1178" s="551"/>
      <c r="M1178" s="551"/>
      <c r="N1178" s="551"/>
      <c r="O1178" s="551"/>
      <c r="P1178" s="551"/>
      <c r="Q1178" s="79"/>
      <c r="R1178" s="79"/>
      <c r="S1178" s="79"/>
      <c r="T1178" s="79"/>
      <c r="U1178" s="79"/>
      <c r="V1178" s="79"/>
      <c r="W1178" s="79"/>
      <c r="X1178" s="79"/>
      <c r="Y1178" s="79"/>
      <c r="Z1178" s="79"/>
      <c r="AA1178" s="79"/>
      <c r="AB1178" s="79"/>
      <c r="AC1178" s="79"/>
      <c r="AD1178" s="79"/>
      <c r="AE1178" s="79"/>
      <c r="AF1178" s="79"/>
    </row>
    <row r="1179" spans="1:32" s="2" customFormat="1">
      <c r="A1179" s="551"/>
      <c r="B1179" s="551"/>
      <c r="C1179" s="551"/>
      <c r="D1179" s="551"/>
      <c r="E1179" s="551"/>
      <c r="F1179" s="551"/>
      <c r="G1179" s="551"/>
      <c r="H1179" s="551"/>
      <c r="I1179" s="551"/>
      <c r="J1179" s="551"/>
      <c r="K1179" s="551"/>
      <c r="L1179" s="551"/>
      <c r="M1179" s="551"/>
      <c r="N1179" s="551"/>
      <c r="O1179" s="551"/>
      <c r="P1179" s="551"/>
      <c r="Q1179" s="79"/>
      <c r="R1179" s="79"/>
      <c r="S1179" s="79"/>
      <c r="T1179" s="79"/>
      <c r="U1179" s="79"/>
      <c r="V1179" s="79"/>
      <c r="W1179" s="79"/>
      <c r="X1179" s="79"/>
      <c r="Y1179" s="79"/>
      <c r="Z1179" s="79"/>
      <c r="AA1179" s="79"/>
      <c r="AB1179" s="79"/>
      <c r="AC1179" s="79"/>
      <c r="AD1179" s="79"/>
      <c r="AE1179" s="79"/>
      <c r="AF1179" s="79"/>
    </row>
    <row r="1180" spans="1:32" s="2" customFormat="1">
      <c r="A1180" s="551"/>
      <c r="B1180" s="551"/>
      <c r="C1180" s="551"/>
      <c r="D1180" s="551"/>
      <c r="E1180" s="551"/>
      <c r="F1180" s="551"/>
      <c r="G1180" s="551"/>
      <c r="H1180" s="551"/>
      <c r="I1180" s="551"/>
      <c r="J1180" s="551"/>
      <c r="K1180" s="551"/>
      <c r="L1180" s="551"/>
      <c r="M1180" s="551"/>
      <c r="N1180" s="551"/>
      <c r="O1180" s="551"/>
      <c r="P1180" s="551"/>
      <c r="Q1180" s="79"/>
      <c r="R1180" s="79"/>
      <c r="S1180" s="79"/>
      <c r="T1180" s="79"/>
      <c r="U1180" s="79"/>
      <c r="V1180" s="79"/>
      <c r="W1180" s="79"/>
      <c r="X1180" s="79"/>
      <c r="Y1180" s="79"/>
      <c r="Z1180" s="79"/>
      <c r="AA1180" s="79"/>
      <c r="AB1180" s="79"/>
      <c r="AC1180" s="79"/>
      <c r="AD1180" s="79"/>
      <c r="AE1180" s="79"/>
      <c r="AF1180" s="79"/>
    </row>
    <row r="1181" spans="1:32" s="2" customFormat="1">
      <c r="A1181" s="551"/>
      <c r="B1181" s="551"/>
      <c r="C1181" s="551"/>
      <c r="D1181" s="551"/>
      <c r="E1181" s="551"/>
      <c r="F1181" s="551"/>
      <c r="G1181" s="551"/>
      <c r="H1181" s="551"/>
      <c r="I1181" s="551"/>
      <c r="J1181" s="551"/>
      <c r="K1181" s="551"/>
      <c r="L1181" s="551"/>
      <c r="M1181" s="551"/>
      <c r="N1181" s="551"/>
      <c r="O1181" s="551"/>
      <c r="P1181" s="551"/>
      <c r="Q1181" s="79"/>
      <c r="R1181" s="79"/>
      <c r="S1181" s="79"/>
      <c r="T1181" s="79"/>
      <c r="U1181" s="79"/>
      <c r="V1181" s="79"/>
      <c r="W1181" s="79"/>
      <c r="X1181" s="79"/>
      <c r="Y1181" s="79"/>
      <c r="Z1181" s="79"/>
      <c r="AA1181" s="79"/>
      <c r="AB1181" s="79"/>
      <c r="AC1181" s="79"/>
      <c r="AD1181" s="79"/>
      <c r="AE1181" s="79"/>
      <c r="AF1181" s="79"/>
    </row>
    <row r="1182" spans="1:32" s="2" customFormat="1">
      <c r="A1182" s="551"/>
      <c r="B1182" s="551"/>
      <c r="C1182" s="551"/>
      <c r="D1182" s="551"/>
      <c r="E1182" s="551"/>
      <c r="F1182" s="551"/>
      <c r="G1182" s="551"/>
      <c r="H1182" s="551"/>
      <c r="I1182" s="551"/>
      <c r="J1182" s="551"/>
      <c r="K1182" s="551"/>
      <c r="L1182" s="551"/>
      <c r="M1182" s="551"/>
      <c r="N1182" s="551"/>
      <c r="O1182" s="551"/>
      <c r="P1182" s="551"/>
      <c r="Q1182" s="79"/>
      <c r="R1182" s="79"/>
      <c r="S1182" s="79"/>
      <c r="T1182" s="79"/>
      <c r="U1182" s="79"/>
      <c r="V1182" s="79"/>
      <c r="W1182" s="79"/>
      <c r="X1182" s="79"/>
      <c r="Y1182" s="79"/>
      <c r="Z1182" s="79"/>
      <c r="AA1182" s="79"/>
      <c r="AB1182" s="79"/>
      <c r="AC1182" s="79"/>
      <c r="AD1182" s="79"/>
      <c r="AE1182" s="79"/>
      <c r="AF1182" s="79"/>
    </row>
    <row r="1183" spans="1:32" s="2" customFormat="1">
      <c r="A1183" s="551"/>
      <c r="B1183" s="551"/>
      <c r="C1183" s="551"/>
      <c r="D1183" s="551"/>
      <c r="E1183" s="551"/>
      <c r="F1183" s="551"/>
      <c r="G1183" s="551"/>
      <c r="H1183" s="551"/>
      <c r="I1183" s="551"/>
      <c r="J1183" s="551"/>
      <c r="K1183" s="551"/>
      <c r="L1183" s="551"/>
      <c r="M1183" s="551"/>
      <c r="N1183" s="551"/>
      <c r="O1183" s="551"/>
      <c r="P1183" s="551"/>
      <c r="Q1183" s="79"/>
      <c r="R1183" s="79"/>
      <c r="S1183" s="79"/>
      <c r="T1183" s="79"/>
      <c r="U1183" s="79"/>
      <c r="V1183" s="79"/>
      <c r="W1183" s="79"/>
      <c r="X1183" s="79"/>
      <c r="Y1183" s="79"/>
      <c r="Z1183" s="79"/>
      <c r="AA1183" s="79"/>
      <c r="AB1183" s="79"/>
      <c r="AC1183" s="79"/>
      <c r="AD1183" s="79"/>
      <c r="AE1183" s="79"/>
      <c r="AF1183" s="79"/>
    </row>
    <row r="1184" spans="1:32" s="2" customFormat="1">
      <c r="A1184" s="551"/>
      <c r="B1184" s="551"/>
      <c r="C1184" s="551"/>
      <c r="D1184" s="551"/>
      <c r="E1184" s="551"/>
      <c r="F1184" s="551"/>
      <c r="G1184" s="551"/>
      <c r="H1184" s="551"/>
      <c r="I1184" s="551"/>
      <c r="J1184" s="551"/>
      <c r="K1184" s="551"/>
      <c r="L1184" s="551"/>
      <c r="M1184" s="551"/>
      <c r="N1184" s="551"/>
      <c r="O1184" s="551"/>
      <c r="P1184" s="551"/>
      <c r="Q1184" s="79"/>
      <c r="R1184" s="79"/>
      <c r="S1184" s="79"/>
      <c r="T1184" s="79"/>
      <c r="U1184" s="79"/>
      <c r="V1184" s="79"/>
      <c r="W1184" s="79"/>
      <c r="X1184" s="79"/>
      <c r="Y1184" s="79"/>
      <c r="Z1184" s="79"/>
      <c r="AA1184" s="79"/>
      <c r="AB1184" s="79"/>
      <c r="AC1184" s="79"/>
      <c r="AD1184" s="79"/>
      <c r="AE1184" s="79"/>
      <c r="AF1184" s="79"/>
    </row>
    <row r="1185" spans="1:32" s="2" customFormat="1">
      <c r="A1185" s="551"/>
      <c r="B1185" s="551"/>
      <c r="C1185" s="551"/>
      <c r="D1185" s="551"/>
      <c r="E1185" s="551"/>
      <c r="F1185" s="551"/>
      <c r="G1185" s="551"/>
      <c r="H1185" s="551"/>
      <c r="I1185" s="551"/>
      <c r="J1185" s="551"/>
      <c r="K1185" s="551"/>
      <c r="L1185" s="551"/>
      <c r="M1185" s="551"/>
      <c r="N1185" s="551"/>
      <c r="O1185" s="551"/>
      <c r="P1185" s="551"/>
      <c r="Q1185" s="79"/>
      <c r="R1185" s="79"/>
      <c r="S1185" s="79"/>
      <c r="T1185" s="79"/>
      <c r="U1185" s="79"/>
      <c r="V1185" s="79"/>
      <c r="W1185" s="79"/>
      <c r="X1185" s="79"/>
      <c r="Y1185" s="79"/>
      <c r="Z1185" s="79"/>
      <c r="AA1185" s="79"/>
      <c r="AB1185" s="79"/>
      <c r="AC1185" s="79"/>
      <c r="AD1185" s="79"/>
      <c r="AE1185" s="79"/>
      <c r="AF1185" s="79"/>
    </row>
    <row r="1186" spans="1:32" s="2" customFormat="1">
      <c r="A1186" s="551"/>
      <c r="B1186" s="551"/>
      <c r="C1186" s="551"/>
      <c r="D1186" s="551"/>
      <c r="E1186" s="551"/>
      <c r="F1186" s="551"/>
      <c r="G1186" s="551"/>
      <c r="H1186" s="551"/>
      <c r="I1186" s="551"/>
      <c r="J1186" s="551"/>
      <c r="K1186" s="551"/>
      <c r="L1186" s="551"/>
      <c r="M1186" s="551"/>
      <c r="N1186" s="551"/>
      <c r="O1186" s="551"/>
      <c r="P1186" s="551"/>
      <c r="Q1186" s="79"/>
      <c r="R1186" s="79"/>
      <c r="S1186" s="79"/>
      <c r="T1186" s="79"/>
      <c r="U1186" s="79"/>
      <c r="V1186" s="79"/>
      <c r="W1186" s="79"/>
      <c r="X1186" s="79"/>
      <c r="Y1186" s="79"/>
      <c r="Z1186" s="79"/>
      <c r="AA1186" s="79"/>
      <c r="AB1186" s="79"/>
      <c r="AC1186" s="79"/>
      <c r="AD1186" s="79"/>
      <c r="AE1186" s="79"/>
      <c r="AF1186" s="79"/>
    </row>
    <row r="1187" spans="1:32" s="2" customFormat="1">
      <c r="A1187" s="551"/>
      <c r="B1187" s="551"/>
      <c r="C1187" s="551"/>
      <c r="D1187" s="551"/>
      <c r="E1187" s="551"/>
      <c r="F1187" s="551"/>
      <c r="G1187" s="551"/>
      <c r="H1187" s="551"/>
      <c r="I1187" s="551"/>
      <c r="J1187" s="551"/>
      <c r="K1187" s="551"/>
      <c r="L1187" s="551"/>
      <c r="M1187" s="551"/>
      <c r="N1187" s="551"/>
      <c r="O1187" s="551"/>
      <c r="P1187" s="551"/>
      <c r="Q1187" s="79"/>
      <c r="R1187" s="79"/>
      <c r="S1187" s="79"/>
      <c r="T1187" s="79"/>
      <c r="U1187" s="79"/>
      <c r="V1187" s="79"/>
      <c r="W1187" s="79"/>
      <c r="X1187" s="79"/>
      <c r="Y1187" s="79"/>
      <c r="Z1187" s="79"/>
      <c r="AA1187" s="79"/>
      <c r="AB1187" s="79"/>
      <c r="AC1187" s="79"/>
      <c r="AD1187" s="79"/>
      <c r="AE1187" s="79"/>
      <c r="AF1187" s="79"/>
    </row>
    <row r="1188" spans="1:32" s="2" customFormat="1">
      <c r="A1188" s="551"/>
      <c r="B1188" s="551"/>
      <c r="C1188" s="551"/>
      <c r="D1188" s="551"/>
      <c r="E1188" s="551"/>
      <c r="F1188" s="551"/>
      <c r="G1188" s="551"/>
      <c r="H1188" s="551"/>
      <c r="I1188" s="551"/>
      <c r="J1188" s="551"/>
      <c r="K1188" s="551"/>
      <c r="L1188" s="551"/>
      <c r="M1188" s="551"/>
      <c r="N1188" s="551"/>
      <c r="O1188" s="551"/>
      <c r="P1188" s="551"/>
      <c r="Q1188" s="79"/>
      <c r="R1188" s="79"/>
      <c r="S1188" s="79"/>
      <c r="T1188" s="79"/>
      <c r="U1188" s="79"/>
      <c r="V1188" s="79"/>
      <c r="W1188" s="79"/>
      <c r="X1188" s="79"/>
      <c r="Y1188" s="79"/>
      <c r="Z1188" s="79"/>
      <c r="AA1188" s="79"/>
      <c r="AB1188" s="79"/>
      <c r="AC1188" s="79"/>
      <c r="AD1188" s="79"/>
      <c r="AE1188" s="79"/>
      <c r="AF1188" s="79"/>
    </row>
    <row r="1189" spans="1:32" s="2" customFormat="1">
      <c r="A1189" s="551"/>
      <c r="B1189" s="551"/>
      <c r="C1189" s="551"/>
      <c r="D1189" s="551"/>
      <c r="E1189" s="551"/>
      <c r="F1189" s="551"/>
      <c r="G1189" s="551"/>
      <c r="H1189" s="551"/>
      <c r="I1189" s="551"/>
      <c r="J1189" s="551"/>
      <c r="K1189" s="551"/>
      <c r="L1189" s="551"/>
      <c r="M1189" s="551"/>
      <c r="N1189" s="551"/>
      <c r="O1189" s="551"/>
      <c r="P1189" s="551"/>
      <c r="Q1189" s="79"/>
      <c r="R1189" s="79"/>
      <c r="S1189" s="79"/>
      <c r="T1189" s="79"/>
      <c r="U1189" s="79"/>
      <c r="V1189" s="79"/>
      <c r="W1189" s="79"/>
      <c r="X1189" s="79"/>
      <c r="Y1189" s="79"/>
      <c r="Z1189" s="79"/>
      <c r="AA1189" s="79"/>
      <c r="AB1189" s="79"/>
      <c r="AC1189" s="79"/>
      <c r="AD1189" s="79"/>
      <c r="AE1189" s="79"/>
      <c r="AF1189" s="79"/>
    </row>
    <row r="1190" spans="1:32" s="2" customFormat="1">
      <c r="A1190" s="551"/>
      <c r="B1190" s="551"/>
      <c r="C1190" s="551"/>
      <c r="D1190" s="551"/>
      <c r="E1190" s="551"/>
      <c r="F1190" s="551"/>
      <c r="G1190" s="551"/>
      <c r="H1190" s="551"/>
      <c r="I1190" s="551"/>
      <c r="J1190" s="551"/>
      <c r="K1190" s="551"/>
      <c r="L1190" s="551"/>
      <c r="M1190" s="551"/>
      <c r="N1190" s="551"/>
      <c r="O1190" s="551"/>
      <c r="P1190" s="551"/>
      <c r="Q1190" s="79"/>
      <c r="R1190" s="79"/>
      <c r="S1190" s="79"/>
      <c r="T1190" s="79"/>
      <c r="U1190" s="79"/>
      <c r="V1190" s="79"/>
      <c r="W1190" s="79"/>
      <c r="X1190" s="79"/>
      <c r="Y1190" s="79"/>
      <c r="Z1190" s="79"/>
      <c r="AA1190" s="79"/>
      <c r="AB1190" s="79"/>
      <c r="AC1190" s="79"/>
      <c r="AD1190" s="79"/>
      <c r="AE1190" s="79"/>
      <c r="AF1190" s="79"/>
    </row>
    <row r="1191" spans="1:32" s="2" customFormat="1">
      <c r="A1191" s="551"/>
      <c r="B1191" s="551"/>
      <c r="C1191" s="551"/>
      <c r="D1191" s="551"/>
      <c r="E1191" s="551"/>
      <c r="F1191" s="551"/>
      <c r="G1191" s="551"/>
      <c r="H1191" s="551"/>
      <c r="I1191" s="551"/>
      <c r="J1191" s="551"/>
      <c r="K1191" s="551"/>
      <c r="L1191" s="551"/>
      <c r="M1191" s="551"/>
      <c r="N1191" s="551"/>
      <c r="O1191" s="551"/>
      <c r="P1191" s="551"/>
      <c r="Q1191" s="79"/>
      <c r="R1191" s="79"/>
      <c r="S1191" s="79"/>
      <c r="T1191" s="79"/>
      <c r="U1191" s="79"/>
      <c r="V1191" s="79"/>
      <c r="W1191" s="79"/>
      <c r="X1191" s="79"/>
      <c r="Y1191" s="79"/>
      <c r="Z1191" s="79"/>
      <c r="AA1191" s="79"/>
      <c r="AB1191" s="79"/>
      <c r="AC1191" s="79"/>
      <c r="AD1191" s="79"/>
      <c r="AE1191" s="79"/>
      <c r="AF1191" s="79"/>
    </row>
    <row r="1192" spans="1:32" s="2" customFormat="1">
      <c r="A1192" s="551"/>
      <c r="B1192" s="551"/>
      <c r="C1192" s="551"/>
      <c r="D1192" s="551"/>
      <c r="E1192" s="551"/>
      <c r="F1192" s="551"/>
      <c r="G1192" s="551"/>
      <c r="H1192" s="551"/>
      <c r="I1192" s="551"/>
      <c r="J1192" s="551"/>
      <c r="K1192" s="551"/>
      <c r="L1192" s="551"/>
      <c r="M1192" s="551"/>
      <c r="N1192" s="551"/>
      <c r="O1192" s="551"/>
      <c r="P1192" s="551"/>
      <c r="Q1192" s="79"/>
      <c r="R1192" s="79"/>
      <c r="S1192" s="79"/>
      <c r="T1192" s="79"/>
      <c r="U1192" s="79"/>
      <c r="V1192" s="79"/>
      <c r="W1192" s="79"/>
      <c r="X1192" s="79"/>
      <c r="Y1192" s="79"/>
      <c r="Z1192" s="79"/>
      <c r="AA1192" s="79"/>
      <c r="AB1192" s="79"/>
      <c r="AC1192" s="79"/>
      <c r="AD1192" s="79"/>
      <c r="AE1192" s="79"/>
      <c r="AF1192" s="79"/>
    </row>
    <row r="1193" spans="1:32" s="2" customFormat="1">
      <c r="A1193" s="551"/>
      <c r="B1193" s="551"/>
      <c r="C1193" s="551"/>
      <c r="D1193" s="551"/>
      <c r="E1193" s="551"/>
      <c r="F1193" s="551"/>
      <c r="G1193" s="551"/>
      <c r="H1193" s="551"/>
      <c r="I1193" s="551"/>
      <c r="J1193" s="551"/>
      <c r="K1193" s="551"/>
      <c r="L1193" s="551"/>
      <c r="M1193" s="551"/>
      <c r="N1193" s="551"/>
      <c r="O1193" s="551"/>
      <c r="P1193" s="551"/>
      <c r="Q1193" s="79"/>
      <c r="R1193" s="79"/>
      <c r="S1193" s="79"/>
      <c r="T1193" s="79"/>
      <c r="U1193" s="79"/>
      <c r="V1193" s="79"/>
      <c r="W1193" s="79"/>
      <c r="X1193" s="79"/>
      <c r="Y1193" s="79"/>
      <c r="Z1193" s="79"/>
      <c r="AA1193" s="79"/>
      <c r="AB1193" s="79"/>
      <c r="AC1193" s="79"/>
      <c r="AD1193" s="79"/>
      <c r="AE1193" s="79"/>
      <c r="AF1193" s="79"/>
    </row>
    <row r="1194" spans="1:32" s="2" customFormat="1">
      <c r="A1194" s="551"/>
      <c r="B1194" s="551"/>
      <c r="C1194" s="551"/>
      <c r="D1194" s="551"/>
      <c r="E1194" s="551"/>
      <c r="F1194" s="551"/>
      <c r="G1194" s="551"/>
      <c r="H1194" s="551"/>
      <c r="I1194" s="551"/>
      <c r="J1194" s="551"/>
      <c r="K1194" s="551"/>
      <c r="L1194" s="551"/>
      <c r="M1194" s="551"/>
      <c r="N1194" s="551"/>
      <c r="O1194" s="551"/>
      <c r="P1194" s="551"/>
      <c r="Q1194" s="79"/>
      <c r="R1194" s="79"/>
      <c r="S1194" s="79"/>
      <c r="T1194" s="79"/>
      <c r="U1194" s="79"/>
      <c r="V1194" s="79"/>
      <c r="W1194" s="79"/>
      <c r="X1194" s="79"/>
      <c r="Y1194" s="79"/>
      <c r="Z1194" s="79"/>
      <c r="AA1194" s="79"/>
      <c r="AB1194" s="79"/>
      <c r="AC1194" s="79"/>
      <c r="AD1194" s="79"/>
      <c r="AE1194" s="79"/>
      <c r="AF1194" s="79"/>
    </row>
    <row r="1195" spans="1:32" s="2" customFormat="1">
      <c r="A1195" s="551"/>
      <c r="B1195" s="551"/>
      <c r="C1195" s="551"/>
      <c r="D1195" s="551"/>
      <c r="E1195" s="551"/>
      <c r="F1195" s="551"/>
      <c r="G1195" s="551"/>
      <c r="H1195" s="551"/>
      <c r="I1195" s="551"/>
      <c r="J1195" s="551"/>
      <c r="K1195" s="551"/>
      <c r="L1195" s="551"/>
      <c r="M1195" s="551"/>
      <c r="N1195" s="551"/>
      <c r="O1195" s="551"/>
      <c r="P1195" s="551"/>
      <c r="Q1195" s="79"/>
      <c r="R1195" s="79"/>
      <c r="S1195" s="79"/>
      <c r="T1195" s="79"/>
      <c r="U1195" s="79"/>
      <c r="V1195" s="79"/>
      <c r="W1195" s="79"/>
      <c r="X1195" s="79"/>
      <c r="Y1195" s="79"/>
      <c r="Z1195" s="79"/>
      <c r="AA1195" s="79"/>
      <c r="AB1195" s="79"/>
      <c r="AC1195" s="79"/>
      <c r="AD1195" s="79"/>
      <c r="AE1195" s="79"/>
      <c r="AF1195" s="79"/>
    </row>
    <row r="1196" spans="1:32" s="2" customFormat="1">
      <c r="A1196" s="551"/>
      <c r="B1196" s="551"/>
      <c r="C1196" s="551"/>
      <c r="D1196" s="551"/>
      <c r="E1196" s="551"/>
      <c r="F1196" s="551"/>
      <c r="G1196" s="551"/>
      <c r="H1196" s="551"/>
      <c r="I1196" s="551"/>
      <c r="J1196" s="551"/>
      <c r="K1196" s="551"/>
      <c r="L1196" s="551"/>
      <c r="M1196" s="551"/>
      <c r="N1196" s="551"/>
      <c r="O1196" s="551"/>
      <c r="P1196" s="551"/>
      <c r="Q1196" s="79"/>
      <c r="R1196" s="79"/>
      <c r="S1196" s="79"/>
      <c r="T1196" s="79"/>
      <c r="U1196" s="79"/>
      <c r="V1196" s="79"/>
      <c r="W1196" s="79"/>
      <c r="X1196" s="79"/>
      <c r="Y1196" s="79"/>
      <c r="Z1196" s="79"/>
      <c r="AA1196" s="79"/>
      <c r="AB1196" s="79"/>
      <c r="AC1196" s="79"/>
      <c r="AD1196" s="79"/>
      <c r="AE1196" s="79"/>
      <c r="AF1196" s="79"/>
    </row>
    <row r="1197" spans="1:32" s="2" customFormat="1">
      <c r="A1197" s="551"/>
      <c r="B1197" s="551"/>
      <c r="C1197" s="551"/>
      <c r="D1197" s="551"/>
      <c r="E1197" s="551"/>
      <c r="F1197" s="551"/>
      <c r="G1197" s="551"/>
      <c r="H1197" s="551"/>
      <c r="I1197" s="551"/>
      <c r="J1197" s="551"/>
      <c r="K1197" s="551"/>
      <c r="L1197" s="551"/>
      <c r="M1197" s="551"/>
      <c r="N1197" s="551"/>
      <c r="O1197" s="551"/>
      <c r="P1197" s="551"/>
      <c r="Q1197" s="79"/>
      <c r="R1197" s="79"/>
      <c r="S1197" s="79"/>
      <c r="T1197" s="79"/>
      <c r="U1197" s="79"/>
      <c r="V1197" s="79"/>
      <c r="W1197" s="79"/>
      <c r="X1197" s="79"/>
      <c r="Y1197" s="79"/>
      <c r="Z1197" s="79"/>
      <c r="AA1197" s="79"/>
      <c r="AB1197" s="79"/>
      <c r="AC1197" s="79"/>
      <c r="AD1197" s="79"/>
      <c r="AE1197" s="79"/>
      <c r="AF1197" s="79"/>
    </row>
    <row r="1198" spans="1:32" s="2" customFormat="1">
      <c r="A1198" s="551"/>
      <c r="B1198" s="551"/>
      <c r="C1198" s="551"/>
      <c r="D1198" s="551"/>
      <c r="E1198" s="551"/>
      <c r="F1198" s="551"/>
      <c r="G1198" s="551"/>
      <c r="H1198" s="551"/>
      <c r="I1198" s="551"/>
      <c r="J1198" s="551"/>
      <c r="K1198" s="551"/>
      <c r="L1198" s="551"/>
      <c r="M1198" s="551"/>
      <c r="N1198" s="551"/>
      <c r="O1198" s="551"/>
      <c r="P1198" s="551"/>
      <c r="Q1198" s="79"/>
      <c r="R1198" s="79"/>
      <c r="S1198" s="79"/>
      <c r="T1198" s="79"/>
      <c r="U1198" s="79"/>
      <c r="V1198" s="79"/>
      <c r="W1198" s="79"/>
      <c r="X1198" s="79"/>
      <c r="Y1198" s="79"/>
      <c r="Z1198" s="79"/>
      <c r="AA1198" s="79"/>
      <c r="AB1198" s="79"/>
      <c r="AC1198" s="79"/>
      <c r="AD1198" s="79"/>
      <c r="AE1198" s="79"/>
      <c r="AF1198" s="79"/>
    </row>
    <row r="1199" spans="1:32" s="2" customFormat="1">
      <c r="A1199" s="551"/>
      <c r="B1199" s="551"/>
      <c r="C1199" s="551"/>
      <c r="D1199" s="551"/>
      <c r="E1199" s="551"/>
      <c r="F1199" s="551"/>
      <c r="G1199" s="551"/>
      <c r="H1199" s="551"/>
      <c r="I1199" s="551"/>
      <c r="J1199" s="551"/>
      <c r="K1199" s="551"/>
      <c r="L1199" s="551"/>
      <c r="M1199" s="551"/>
      <c r="N1199" s="551"/>
      <c r="O1199" s="551"/>
      <c r="P1199" s="551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  <c r="AD1199" s="79"/>
      <c r="AE1199" s="79"/>
      <c r="AF1199" s="79"/>
    </row>
    <row r="1200" spans="1:32" s="2" customFormat="1">
      <c r="A1200" s="551"/>
      <c r="B1200" s="551"/>
      <c r="C1200" s="551"/>
      <c r="D1200" s="551"/>
      <c r="E1200" s="551"/>
      <c r="F1200" s="551"/>
      <c r="G1200" s="551"/>
      <c r="H1200" s="551"/>
      <c r="I1200" s="551"/>
      <c r="J1200" s="551"/>
      <c r="K1200" s="551"/>
      <c r="L1200" s="551"/>
      <c r="M1200" s="551"/>
      <c r="N1200" s="551"/>
      <c r="O1200" s="551"/>
      <c r="P1200" s="551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  <c r="AD1200" s="79"/>
      <c r="AE1200" s="79"/>
      <c r="AF1200" s="79"/>
    </row>
    <row r="1201" spans="1:32" s="2" customFormat="1">
      <c r="A1201" s="551"/>
      <c r="B1201" s="551"/>
      <c r="C1201" s="551"/>
      <c r="D1201" s="551"/>
      <c r="E1201" s="551"/>
      <c r="F1201" s="551"/>
      <c r="G1201" s="551"/>
      <c r="H1201" s="551"/>
      <c r="I1201" s="551"/>
      <c r="J1201" s="551"/>
      <c r="K1201" s="551"/>
      <c r="L1201" s="551"/>
      <c r="M1201" s="551"/>
      <c r="N1201" s="551"/>
      <c r="O1201" s="551"/>
      <c r="P1201" s="551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  <c r="AD1201" s="79"/>
      <c r="AE1201" s="79"/>
      <c r="AF1201" s="79"/>
    </row>
    <row r="1202" spans="1:32" s="2" customFormat="1">
      <c r="A1202" s="551"/>
      <c r="B1202" s="551"/>
      <c r="C1202" s="551"/>
      <c r="D1202" s="551"/>
      <c r="E1202" s="551"/>
      <c r="F1202" s="551"/>
      <c r="G1202" s="551"/>
      <c r="H1202" s="551"/>
      <c r="I1202" s="551"/>
      <c r="J1202" s="551"/>
      <c r="K1202" s="551"/>
      <c r="L1202" s="551"/>
      <c r="M1202" s="551"/>
      <c r="N1202" s="551"/>
      <c r="O1202" s="551"/>
      <c r="P1202" s="551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  <c r="AD1202" s="79"/>
      <c r="AE1202" s="79"/>
      <c r="AF1202" s="79"/>
    </row>
    <row r="1203" spans="1:32" s="2" customFormat="1">
      <c r="A1203" s="551"/>
      <c r="B1203" s="551"/>
      <c r="C1203" s="551"/>
      <c r="D1203" s="551"/>
      <c r="E1203" s="551"/>
      <c r="F1203" s="551"/>
      <c r="G1203" s="551"/>
      <c r="H1203" s="551"/>
      <c r="I1203" s="551"/>
      <c r="J1203" s="551"/>
      <c r="K1203" s="551"/>
      <c r="L1203" s="551"/>
      <c r="M1203" s="551"/>
      <c r="N1203" s="551"/>
      <c r="O1203" s="551"/>
      <c r="P1203" s="551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  <c r="AD1203" s="79"/>
      <c r="AE1203" s="79"/>
      <c r="AF1203" s="79"/>
    </row>
    <row r="1204" spans="1:32" s="2" customFormat="1">
      <c r="A1204" s="551"/>
      <c r="B1204" s="551"/>
      <c r="C1204" s="551"/>
      <c r="D1204" s="551"/>
      <c r="E1204" s="551"/>
      <c r="F1204" s="551"/>
      <c r="G1204" s="551"/>
      <c r="H1204" s="551"/>
      <c r="I1204" s="551"/>
      <c r="J1204" s="551"/>
      <c r="K1204" s="551"/>
      <c r="L1204" s="551"/>
      <c r="M1204" s="551"/>
      <c r="N1204" s="551"/>
      <c r="O1204" s="551"/>
      <c r="P1204" s="551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  <c r="AD1204" s="79"/>
      <c r="AE1204" s="79"/>
      <c r="AF1204" s="79"/>
    </row>
    <row r="1205" spans="1:32" s="2" customFormat="1">
      <c r="A1205" s="551"/>
      <c r="B1205" s="551"/>
      <c r="C1205" s="551"/>
      <c r="D1205" s="551"/>
      <c r="E1205" s="551"/>
      <c r="F1205" s="551"/>
      <c r="G1205" s="551"/>
      <c r="H1205" s="551"/>
      <c r="I1205" s="551"/>
      <c r="J1205" s="551"/>
      <c r="K1205" s="551"/>
      <c r="L1205" s="551"/>
      <c r="M1205" s="551"/>
      <c r="N1205" s="551"/>
      <c r="O1205" s="551"/>
      <c r="P1205" s="551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  <c r="AD1205" s="79"/>
      <c r="AE1205" s="79"/>
      <c r="AF1205" s="79"/>
    </row>
    <row r="1206" spans="1:32" s="2" customFormat="1">
      <c r="A1206" s="551"/>
      <c r="B1206" s="551"/>
      <c r="C1206" s="551"/>
      <c r="D1206" s="551"/>
      <c r="E1206" s="551"/>
      <c r="F1206" s="551"/>
      <c r="G1206" s="551"/>
      <c r="H1206" s="551"/>
      <c r="I1206" s="551"/>
      <c r="J1206" s="551"/>
      <c r="K1206" s="551"/>
      <c r="L1206" s="551"/>
      <c r="M1206" s="551"/>
      <c r="N1206" s="551"/>
      <c r="O1206" s="551"/>
      <c r="P1206" s="551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  <c r="AD1206" s="79"/>
      <c r="AE1206" s="79"/>
      <c r="AF1206" s="79"/>
    </row>
    <row r="1207" spans="1:32" s="2" customFormat="1">
      <c r="A1207" s="551"/>
      <c r="B1207" s="551"/>
      <c r="C1207" s="551"/>
      <c r="D1207" s="551"/>
      <c r="E1207" s="551"/>
      <c r="F1207" s="551"/>
      <c r="G1207" s="551"/>
      <c r="H1207" s="551"/>
      <c r="I1207" s="551"/>
      <c r="J1207" s="551"/>
      <c r="K1207" s="551"/>
      <c r="L1207" s="551"/>
      <c r="M1207" s="551"/>
      <c r="N1207" s="551"/>
      <c r="O1207" s="551"/>
      <c r="P1207" s="551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  <c r="AD1207" s="79"/>
      <c r="AE1207" s="79"/>
      <c r="AF1207" s="79"/>
    </row>
    <row r="1208" spans="1:32" s="2" customFormat="1">
      <c r="A1208" s="551"/>
      <c r="B1208" s="551"/>
      <c r="C1208" s="551"/>
      <c r="D1208" s="551"/>
      <c r="E1208" s="551"/>
      <c r="F1208" s="551"/>
      <c r="G1208" s="551"/>
      <c r="H1208" s="551"/>
      <c r="I1208" s="551"/>
      <c r="J1208" s="551"/>
      <c r="K1208" s="551"/>
      <c r="L1208" s="551"/>
      <c r="M1208" s="551"/>
      <c r="N1208" s="551"/>
      <c r="O1208" s="551"/>
      <c r="P1208" s="551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  <c r="AD1208" s="79"/>
      <c r="AE1208" s="79"/>
      <c r="AF1208" s="79"/>
    </row>
    <row r="1209" spans="1:32" s="2" customFormat="1">
      <c r="A1209" s="551"/>
      <c r="B1209" s="551"/>
      <c r="C1209" s="551"/>
      <c r="D1209" s="551"/>
      <c r="E1209" s="551"/>
      <c r="F1209" s="551"/>
      <c r="G1209" s="551"/>
      <c r="H1209" s="551"/>
      <c r="I1209" s="551"/>
      <c r="J1209" s="551"/>
      <c r="K1209" s="551"/>
      <c r="L1209" s="551"/>
      <c r="M1209" s="551"/>
      <c r="N1209" s="551"/>
      <c r="O1209" s="551"/>
      <c r="P1209" s="551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  <c r="AD1209" s="79"/>
      <c r="AE1209" s="79"/>
      <c r="AF1209" s="79"/>
    </row>
    <row r="1210" spans="1:32" s="2" customFormat="1">
      <c r="A1210" s="551"/>
      <c r="B1210" s="551"/>
      <c r="C1210" s="551"/>
      <c r="D1210" s="551"/>
      <c r="E1210" s="551"/>
      <c r="F1210" s="551"/>
      <c r="G1210" s="551"/>
      <c r="H1210" s="551"/>
      <c r="I1210" s="551"/>
      <c r="J1210" s="551"/>
      <c r="K1210" s="551"/>
      <c r="L1210" s="551"/>
      <c r="M1210" s="551"/>
      <c r="N1210" s="551"/>
      <c r="O1210" s="551"/>
      <c r="P1210" s="551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  <c r="AD1210" s="79"/>
      <c r="AE1210" s="79"/>
      <c r="AF1210" s="79"/>
    </row>
    <row r="1211" spans="1:32" s="2" customFormat="1">
      <c r="A1211" s="551"/>
      <c r="B1211" s="551"/>
      <c r="C1211" s="551"/>
      <c r="D1211" s="551"/>
      <c r="E1211" s="551"/>
      <c r="F1211" s="551"/>
      <c r="G1211" s="551"/>
      <c r="H1211" s="551"/>
      <c r="I1211" s="551"/>
      <c r="J1211" s="551"/>
      <c r="K1211" s="551"/>
      <c r="L1211" s="551"/>
      <c r="M1211" s="551"/>
      <c r="N1211" s="551"/>
      <c r="O1211" s="551"/>
      <c r="P1211" s="551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  <c r="AD1211" s="79"/>
      <c r="AE1211" s="79"/>
      <c r="AF1211" s="79"/>
    </row>
    <row r="1212" spans="1:32" s="2" customFormat="1">
      <c r="A1212" s="551"/>
      <c r="B1212" s="551"/>
      <c r="C1212" s="551"/>
      <c r="D1212" s="551"/>
      <c r="E1212" s="551"/>
      <c r="F1212" s="551"/>
      <c r="G1212" s="551"/>
      <c r="H1212" s="551"/>
      <c r="I1212" s="551"/>
      <c r="J1212" s="551"/>
      <c r="K1212" s="551"/>
      <c r="L1212" s="551"/>
      <c r="M1212" s="551"/>
      <c r="N1212" s="551"/>
      <c r="O1212" s="551"/>
      <c r="P1212" s="551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  <c r="AD1212" s="79"/>
      <c r="AE1212" s="79"/>
      <c r="AF1212" s="79"/>
    </row>
    <row r="1213" spans="1:32" s="2" customFormat="1">
      <c r="A1213" s="551"/>
      <c r="B1213" s="551"/>
      <c r="C1213" s="551"/>
      <c r="D1213" s="551"/>
      <c r="E1213" s="551"/>
      <c r="F1213" s="551"/>
      <c r="G1213" s="551"/>
      <c r="H1213" s="551"/>
      <c r="I1213" s="551"/>
      <c r="J1213" s="551"/>
      <c r="K1213" s="551"/>
      <c r="L1213" s="551"/>
      <c r="M1213" s="551"/>
      <c r="N1213" s="551"/>
      <c r="O1213" s="551"/>
      <c r="P1213" s="551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  <c r="AD1213" s="79"/>
      <c r="AE1213" s="79"/>
      <c r="AF1213" s="79"/>
    </row>
    <row r="1214" spans="1:32" s="2" customFormat="1">
      <c r="A1214" s="551"/>
      <c r="B1214" s="551"/>
      <c r="C1214" s="551"/>
      <c r="D1214" s="551"/>
      <c r="E1214" s="551"/>
      <c r="F1214" s="551"/>
      <c r="G1214" s="551"/>
      <c r="H1214" s="551"/>
      <c r="I1214" s="551"/>
      <c r="J1214" s="551"/>
      <c r="K1214" s="551"/>
      <c r="L1214" s="551"/>
      <c r="M1214" s="551"/>
      <c r="N1214" s="551"/>
      <c r="O1214" s="551"/>
      <c r="P1214" s="551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  <c r="AD1214" s="79"/>
      <c r="AE1214" s="79"/>
      <c r="AF1214" s="79"/>
    </row>
    <row r="1215" spans="1:32" s="2" customFormat="1">
      <c r="A1215" s="551"/>
      <c r="B1215" s="551"/>
      <c r="C1215" s="551"/>
      <c r="D1215" s="551"/>
      <c r="E1215" s="551"/>
      <c r="F1215" s="551"/>
      <c r="G1215" s="551"/>
      <c r="H1215" s="551"/>
      <c r="I1215" s="551"/>
      <c r="J1215" s="551"/>
      <c r="K1215" s="551"/>
      <c r="L1215" s="551"/>
      <c r="M1215" s="551"/>
      <c r="N1215" s="551"/>
      <c r="O1215" s="551"/>
      <c r="P1215" s="551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  <c r="AD1215" s="79"/>
      <c r="AE1215" s="79"/>
      <c r="AF1215" s="79"/>
    </row>
    <row r="1216" spans="1:32" s="2" customFormat="1">
      <c r="A1216" s="551"/>
      <c r="B1216" s="551"/>
      <c r="C1216" s="551"/>
      <c r="D1216" s="551"/>
      <c r="E1216" s="551"/>
      <c r="F1216" s="551"/>
      <c r="G1216" s="551"/>
      <c r="H1216" s="551"/>
      <c r="I1216" s="551"/>
      <c r="J1216" s="551"/>
      <c r="K1216" s="551"/>
      <c r="L1216" s="551"/>
      <c r="M1216" s="551"/>
      <c r="N1216" s="551"/>
      <c r="O1216" s="551"/>
      <c r="P1216" s="551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  <c r="AD1216" s="79"/>
      <c r="AE1216" s="79"/>
      <c r="AF1216" s="79"/>
    </row>
    <row r="1217" spans="1:32" s="2" customFormat="1">
      <c r="A1217" s="551"/>
      <c r="B1217" s="551"/>
      <c r="C1217" s="551"/>
      <c r="D1217" s="551"/>
      <c r="E1217" s="551"/>
      <c r="F1217" s="551"/>
      <c r="G1217" s="551"/>
      <c r="H1217" s="551"/>
      <c r="I1217" s="551"/>
      <c r="J1217" s="551"/>
      <c r="K1217" s="551"/>
      <c r="L1217" s="551"/>
      <c r="M1217" s="551"/>
      <c r="N1217" s="551"/>
      <c r="O1217" s="551"/>
      <c r="P1217" s="551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  <c r="AD1217" s="79"/>
      <c r="AE1217" s="79"/>
      <c r="AF1217" s="79"/>
    </row>
    <row r="1218" spans="1:32" s="2" customFormat="1">
      <c r="A1218" s="551"/>
      <c r="B1218" s="551"/>
      <c r="C1218" s="551"/>
      <c r="D1218" s="551"/>
      <c r="E1218" s="551"/>
      <c r="F1218" s="551"/>
      <c r="G1218" s="551"/>
      <c r="H1218" s="551"/>
      <c r="I1218" s="551"/>
      <c r="J1218" s="551"/>
      <c r="K1218" s="551"/>
      <c r="L1218" s="551"/>
      <c r="M1218" s="551"/>
      <c r="N1218" s="551"/>
      <c r="O1218" s="551"/>
      <c r="P1218" s="551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  <c r="AD1218" s="79"/>
      <c r="AE1218" s="79"/>
      <c r="AF1218" s="79"/>
    </row>
    <row r="1219" spans="1:32" s="2" customFormat="1">
      <c r="A1219" s="551"/>
      <c r="B1219" s="551"/>
      <c r="C1219" s="551"/>
      <c r="D1219" s="551"/>
      <c r="E1219" s="551"/>
      <c r="F1219" s="551"/>
      <c r="G1219" s="551"/>
      <c r="H1219" s="551"/>
      <c r="I1219" s="551"/>
      <c r="J1219" s="551"/>
      <c r="K1219" s="551"/>
      <c r="L1219" s="551"/>
      <c r="M1219" s="551"/>
      <c r="N1219" s="551"/>
      <c r="O1219" s="551"/>
      <c r="P1219" s="551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  <c r="AD1219" s="79"/>
      <c r="AE1219" s="79"/>
      <c r="AF1219" s="79"/>
    </row>
    <row r="1220" spans="1:32" s="2" customFormat="1">
      <c r="A1220" s="551"/>
      <c r="B1220" s="551"/>
      <c r="C1220" s="551"/>
      <c r="D1220" s="551"/>
      <c r="E1220" s="551"/>
      <c r="F1220" s="551"/>
      <c r="G1220" s="551"/>
      <c r="H1220" s="551"/>
      <c r="I1220" s="551"/>
      <c r="J1220" s="551"/>
      <c r="K1220" s="551"/>
      <c r="L1220" s="551"/>
      <c r="M1220" s="551"/>
      <c r="N1220" s="551"/>
      <c r="O1220" s="551"/>
      <c r="P1220" s="551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  <c r="AD1220" s="79"/>
      <c r="AE1220" s="79"/>
      <c r="AF1220" s="79"/>
    </row>
    <row r="1221" spans="1:32" s="2" customFormat="1">
      <c r="A1221" s="551"/>
      <c r="B1221" s="551"/>
      <c r="C1221" s="551"/>
      <c r="D1221" s="551"/>
      <c r="E1221" s="551"/>
      <c r="F1221" s="551"/>
      <c r="G1221" s="551"/>
      <c r="H1221" s="551"/>
      <c r="I1221" s="551"/>
      <c r="J1221" s="551"/>
      <c r="K1221" s="551"/>
      <c r="L1221" s="551"/>
      <c r="M1221" s="551"/>
      <c r="N1221" s="551"/>
      <c r="O1221" s="551"/>
      <c r="P1221" s="551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  <c r="AD1221" s="79"/>
      <c r="AE1221" s="79"/>
      <c r="AF1221" s="79"/>
    </row>
    <row r="1222" spans="1:32" s="2" customFormat="1">
      <c r="A1222" s="551"/>
      <c r="B1222" s="551"/>
      <c r="C1222" s="551"/>
      <c r="D1222" s="551"/>
      <c r="E1222" s="551"/>
      <c r="F1222" s="551"/>
      <c r="G1222" s="551"/>
      <c r="H1222" s="551"/>
      <c r="I1222" s="551"/>
      <c r="J1222" s="551"/>
      <c r="K1222" s="551"/>
      <c r="L1222" s="551"/>
      <c r="M1222" s="551"/>
      <c r="N1222" s="551"/>
      <c r="O1222" s="551"/>
      <c r="P1222" s="551"/>
      <c r="Q1222" s="79"/>
      <c r="R1222" s="79"/>
      <c r="S1222" s="79"/>
      <c r="T1222" s="79"/>
      <c r="U1222" s="79"/>
      <c r="V1222" s="79"/>
      <c r="W1222" s="79"/>
      <c r="X1222" s="79"/>
      <c r="Y1222" s="79"/>
      <c r="Z1222" s="79"/>
      <c r="AA1222" s="79"/>
      <c r="AB1222" s="79"/>
      <c r="AC1222" s="79"/>
      <c r="AD1222" s="79"/>
      <c r="AE1222" s="79"/>
      <c r="AF1222" s="79"/>
    </row>
    <row r="1223" spans="1:32" s="2" customFormat="1">
      <c r="A1223" s="551"/>
      <c r="B1223" s="551"/>
      <c r="C1223" s="551"/>
      <c r="D1223" s="551"/>
      <c r="E1223" s="551"/>
      <c r="F1223" s="551"/>
      <c r="G1223" s="551"/>
      <c r="H1223" s="551"/>
      <c r="I1223" s="551"/>
      <c r="J1223" s="551"/>
      <c r="K1223" s="551"/>
      <c r="L1223" s="551"/>
      <c r="M1223" s="551"/>
      <c r="N1223" s="551"/>
      <c r="O1223" s="551"/>
      <c r="P1223" s="551"/>
      <c r="Q1223" s="79"/>
      <c r="R1223" s="79"/>
      <c r="S1223" s="79"/>
      <c r="T1223" s="79"/>
      <c r="U1223" s="79"/>
      <c r="V1223" s="79"/>
      <c r="W1223" s="79"/>
      <c r="X1223" s="79"/>
      <c r="Y1223" s="79"/>
      <c r="Z1223" s="79"/>
      <c r="AA1223" s="79"/>
      <c r="AB1223" s="79"/>
      <c r="AC1223" s="79"/>
      <c r="AD1223" s="79"/>
      <c r="AE1223" s="79"/>
      <c r="AF1223" s="79"/>
    </row>
    <row r="1224" spans="1:32" s="2" customFormat="1">
      <c r="A1224" s="551"/>
      <c r="B1224" s="551"/>
      <c r="C1224" s="551"/>
      <c r="D1224" s="551"/>
      <c r="E1224" s="551"/>
      <c r="F1224" s="551"/>
      <c r="G1224" s="551"/>
      <c r="H1224" s="551"/>
      <c r="I1224" s="551"/>
      <c r="J1224" s="551"/>
      <c r="K1224" s="551"/>
      <c r="L1224" s="551"/>
      <c r="M1224" s="551"/>
      <c r="N1224" s="551"/>
      <c r="O1224" s="551"/>
      <c r="P1224" s="551"/>
      <c r="Q1224" s="79"/>
      <c r="R1224" s="79"/>
      <c r="S1224" s="79"/>
      <c r="T1224" s="79"/>
      <c r="U1224" s="79"/>
      <c r="V1224" s="79"/>
      <c r="W1224" s="79"/>
      <c r="X1224" s="79"/>
      <c r="Y1224" s="79"/>
      <c r="Z1224" s="79"/>
      <c r="AA1224" s="79"/>
      <c r="AB1224" s="79"/>
      <c r="AC1224" s="79"/>
      <c r="AD1224" s="79"/>
      <c r="AE1224" s="79"/>
      <c r="AF1224" s="79"/>
    </row>
    <row r="1225" spans="1:32" s="2" customFormat="1">
      <c r="A1225" s="551"/>
      <c r="B1225" s="551"/>
      <c r="C1225" s="551"/>
      <c r="D1225" s="551"/>
      <c r="E1225" s="551"/>
      <c r="F1225" s="551"/>
      <c r="G1225" s="551"/>
      <c r="H1225" s="551"/>
      <c r="I1225" s="551"/>
      <c r="J1225" s="551"/>
      <c r="K1225" s="551"/>
      <c r="L1225" s="551"/>
      <c r="M1225" s="551"/>
      <c r="N1225" s="551"/>
      <c r="O1225" s="551"/>
      <c r="P1225" s="551"/>
      <c r="Q1225" s="79"/>
      <c r="R1225" s="79"/>
      <c r="S1225" s="79"/>
      <c r="T1225" s="79"/>
      <c r="U1225" s="79"/>
      <c r="V1225" s="79"/>
      <c r="W1225" s="79"/>
      <c r="X1225" s="79"/>
      <c r="Y1225" s="79"/>
      <c r="Z1225" s="79"/>
      <c r="AA1225" s="79"/>
      <c r="AB1225" s="79"/>
      <c r="AC1225" s="79"/>
      <c r="AD1225" s="79"/>
      <c r="AE1225" s="79"/>
      <c r="AF1225" s="79"/>
    </row>
    <row r="1226" spans="1:32" s="2" customFormat="1">
      <c r="A1226" s="551"/>
      <c r="B1226" s="551"/>
      <c r="C1226" s="551"/>
      <c r="D1226" s="551"/>
      <c r="E1226" s="551"/>
      <c r="F1226" s="551"/>
      <c r="G1226" s="551"/>
      <c r="H1226" s="551"/>
      <c r="I1226" s="551"/>
      <c r="J1226" s="551"/>
      <c r="K1226" s="551"/>
      <c r="L1226" s="551"/>
      <c r="M1226" s="551"/>
      <c r="N1226" s="551"/>
      <c r="O1226" s="551"/>
      <c r="P1226" s="551"/>
      <c r="Q1226" s="79"/>
      <c r="R1226" s="79"/>
      <c r="S1226" s="79"/>
      <c r="T1226" s="79"/>
      <c r="U1226" s="79"/>
      <c r="V1226" s="79"/>
      <c r="W1226" s="79"/>
      <c r="X1226" s="79"/>
      <c r="Y1226" s="79"/>
      <c r="Z1226" s="79"/>
      <c r="AA1226" s="79"/>
      <c r="AB1226" s="79"/>
      <c r="AC1226" s="79"/>
      <c r="AD1226" s="79"/>
      <c r="AE1226" s="79"/>
      <c r="AF1226" s="79"/>
    </row>
    <row r="1227" spans="1:32" s="2" customFormat="1">
      <c r="A1227" s="551"/>
      <c r="B1227" s="551"/>
      <c r="C1227" s="551"/>
      <c r="D1227" s="551"/>
      <c r="E1227" s="551"/>
      <c r="F1227" s="551"/>
      <c r="G1227" s="551"/>
      <c r="H1227" s="551"/>
      <c r="I1227" s="551"/>
      <c r="J1227" s="551"/>
      <c r="K1227" s="551"/>
      <c r="L1227" s="551"/>
      <c r="M1227" s="551"/>
      <c r="N1227" s="551"/>
      <c r="O1227" s="551"/>
      <c r="P1227" s="551"/>
      <c r="Q1227" s="79"/>
      <c r="R1227" s="79"/>
      <c r="S1227" s="79"/>
      <c r="T1227" s="79"/>
      <c r="U1227" s="79"/>
      <c r="V1227" s="79"/>
      <c r="W1227" s="79"/>
      <c r="X1227" s="79"/>
      <c r="Y1227" s="79"/>
      <c r="Z1227" s="79"/>
      <c r="AA1227" s="79"/>
      <c r="AB1227" s="79"/>
      <c r="AC1227" s="79"/>
      <c r="AD1227" s="79"/>
      <c r="AE1227" s="79"/>
      <c r="AF1227" s="79"/>
    </row>
    <row r="1228" spans="1:32" s="2" customFormat="1">
      <c r="A1228" s="551"/>
      <c r="B1228" s="551"/>
      <c r="C1228" s="551"/>
      <c r="D1228" s="551"/>
      <c r="E1228" s="551"/>
      <c r="F1228" s="551"/>
      <c r="G1228" s="551"/>
      <c r="H1228" s="551"/>
      <c r="I1228" s="551"/>
      <c r="J1228" s="551"/>
      <c r="K1228" s="551"/>
      <c r="L1228" s="551"/>
      <c r="M1228" s="551"/>
      <c r="N1228" s="551"/>
      <c r="O1228" s="551"/>
      <c r="P1228" s="551"/>
      <c r="Q1228" s="79"/>
      <c r="R1228" s="79"/>
      <c r="S1228" s="79"/>
      <c r="T1228" s="79"/>
      <c r="U1228" s="79"/>
      <c r="V1228" s="79"/>
      <c r="W1228" s="79"/>
      <c r="X1228" s="79"/>
      <c r="Y1228" s="79"/>
      <c r="Z1228" s="79"/>
      <c r="AA1228" s="79"/>
      <c r="AB1228" s="79"/>
      <c r="AC1228" s="79"/>
      <c r="AD1228" s="79"/>
      <c r="AE1228" s="79"/>
      <c r="AF1228" s="79"/>
    </row>
    <row r="1229" spans="1:32" s="2" customFormat="1">
      <c r="A1229" s="551"/>
      <c r="B1229" s="551"/>
      <c r="C1229" s="551"/>
      <c r="D1229" s="551"/>
      <c r="E1229" s="551"/>
      <c r="F1229" s="551"/>
      <c r="G1229" s="551"/>
      <c r="H1229" s="551"/>
      <c r="I1229" s="551"/>
      <c r="J1229" s="551"/>
      <c r="K1229" s="551"/>
      <c r="L1229" s="551"/>
      <c r="M1229" s="551"/>
      <c r="N1229" s="551"/>
      <c r="O1229" s="551"/>
      <c r="P1229" s="551"/>
      <c r="Q1229" s="79"/>
      <c r="R1229" s="79"/>
      <c r="S1229" s="79"/>
      <c r="T1229" s="79"/>
      <c r="U1229" s="79"/>
      <c r="V1229" s="79"/>
      <c r="W1229" s="79"/>
      <c r="X1229" s="79"/>
      <c r="Y1229" s="79"/>
      <c r="Z1229" s="79"/>
      <c r="AA1229" s="79"/>
      <c r="AB1229" s="79"/>
      <c r="AC1229" s="79"/>
      <c r="AD1229" s="79"/>
      <c r="AE1229" s="79"/>
      <c r="AF1229" s="79"/>
    </row>
    <row r="1230" spans="1:32" s="2" customFormat="1">
      <c r="A1230" s="551"/>
      <c r="B1230" s="551"/>
      <c r="C1230" s="551"/>
      <c r="D1230" s="551"/>
      <c r="E1230" s="551"/>
      <c r="F1230" s="551"/>
      <c r="G1230" s="551"/>
      <c r="H1230" s="551"/>
      <c r="I1230" s="551"/>
      <c r="J1230" s="551"/>
      <c r="K1230" s="551"/>
      <c r="L1230" s="551"/>
      <c r="M1230" s="551"/>
      <c r="N1230" s="551"/>
      <c r="O1230" s="551"/>
      <c r="P1230" s="551"/>
      <c r="Q1230" s="79"/>
      <c r="R1230" s="79"/>
      <c r="S1230" s="79"/>
      <c r="T1230" s="79"/>
      <c r="U1230" s="79"/>
      <c r="V1230" s="79"/>
      <c r="W1230" s="79"/>
      <c r="X1230" s="79"/>
      <c r="Y1230" s="79"/>
      <c r="Z1230" s="79"/>
      <c r="AA1230" s="79"/>
      <c r="AB1230" s="79"/>
      <c r="AC1230" s="79"/>
      <c r="AD1230" s="79"/>
      <c r="AE1230" s="79"/>
      <c r="AF1230" s="79"/>
    </row>
    <row r="1231" spans="1:32" s="2" customFormat="1">
      <c r="A1231" s="551"/>
      <c r="B1231" s="551"/>
      <c r="C1231" s="551"/>
      <c r="D1231" s="551"/>
      <c r="E1231" s="551"/>
      <c r="F1231" s="551"/>
      <c r="G1231" s="551"/>
      <c r="H1231" s="551"/>
      <c r="I1231" s="551"/>
      <c r="J1231" s="551"/>
      <c r="K1231" s="551"/>
      <c r="L1231" s="551"/>
      <c r="M1231" s="551"/>
      <c r="N1231" s="551"/>
      <c r="O1231" s="551"/>
      <c r="P1231" s="551"/>
      <c r="Q1231" s="79"/>
      <c r="R1231" s="79"/>
      <c r="S1231" s="79"/>
      <c r="T1231" s="79"/>
      <c r="U1231" s="79"/>
      <c r="V1231" s="79"/>
      <c r="W1231" s="79"/>
      <c r="X1231" s="79"/>
      <c r="Y1231" s="79"/>
      <c r="Z1231" s="79"/>
      <c r="AA1231" s="79"/>
      <c r="AB1231" s="79"/>
      <c r="AC1231" s="79"/>
      <c r="AD1231" s="79"/>
      <c r="AE1231" s="79"/>
      <c r="AF1231" s="79"/>
    </row>
    <row r="1232" spans="1:32" s="2" customFormat="1">
      <c r="A1232" s="551"/>
      <c r="B1232" s="551"/>
      <c r="C1232" s="551"/>
      <c r="D1232" s="551"/>
      <c r="E1232" s="551"/>
      <c r="F1232" s="551"/>
      <c r="G1232" s="551"/>
      <c r="H1232" s="551"/>
      <c r="I1232" s="551"/>
      <c r="J1232" s="551"/>
      <c r="K1232" s="551"/>
      <c r="L1232" s="551"/>
      <c r="M1232" s="551"/>
      <c r="N1232" s="551"/>
      <c r="O1232" s="551"/>
      <c r="P1232" s="551"/>
      <c r="Q1232" s="79"/>
      <c r="R1232" s="79"/>
      <c r="S1232" s="79"/>
      <c r="T1232" s="79"/>
      <c r="U1232" s="79"/>
      <c r="V1232" s="79"/>
      <c r="W1232" s="79"/>
      <c r="X1232" s="79"/>
      <c r="Y1232" s="79"/>
      <c r="Z1232" s="79"/>
      <c r="AA1232" s="79"/>
      <c r="AB1232" s="79"/>
      <c r="AC1232" s="79"/>
      <c r="AD1232" s="79"/>
      <c r="AE1232" s="79"/>
      <c r="AF1232" s="79"/>
    </row>
    <row r="1233" spans="1:32" s="2" customFormat="1">
      <c r="A1233" s="551"/>
      <c r="B1233" s="551"/>
      <c r="C1233" s="551"/>
      <c r="D1233" s="551"/>
      <c r="E1233" s="551"/>
      <c r="F1233" s="551"/>
      <c r="G1233" s="551"/>
      <c r="H1233" s="551"/>
      <c r="I1233" s="551"/>
      <c r="J1233" s="551"/>
      <c r="K1233" s="551"/>
      <c r="L1233" s="551"/>
      <c r="M1233" s="551"/>
      <c r="N1233" s="551"/>
      <c r="O1233" s="551"/>
      <c r="P1233" s="551"/>
      <c r="Q1233" s="79"/>
      <c r="R1233" s="79"/>
      <c r="S1233" s="79"/>
      <c r="T1233" s="79"/>
      <c r="U1233" s="79"/>
      <c r="V1233" s="79"/>
      <c r="W1233" s="79"/>
      <c r="X1233" s="79"/>
      <c r="Y1233" s="79"/>
      <c r="Z1233" s="79"/>
      <c r="AA1233" s="79"/>
      <c r="AB1233" s="79"/>
      <c r="AC1233" s="79"/>
      <c r="AD1233" s="79"/>
      <c r="AE1233" s="79"/>
      <c r="AF1233" s="79"/>
    </row>
    <row r="1234" spans="1:32" s="2" customFormat="1">
      <c r="A1234" s="551"/>
      <c r="B1234" s="551"/>
      <c r="C1234" s="551"/>
      <c r="D1234" s="551"/>
      <c r="E1234" s="551"/>
      <c r="F1234" s="551"/>
      <c r="G1234" s="551"/>
      <c r="H1234" s="551"/>
      <c r="I1234" s="551"/>
      <c r="J1234" s="551"/>
      <c r="K1234" s="551"/>
      <c r="L1234" s="551"/>
      <c r="M1234" s="551"/>
      <c r="N1234" s="551"/>
      <c r="O1234" s="551"/>
      <c r="P1234" s="551"/>
      <c r="Q1234" s="79"/>
      <c r="R1234" s="79"/>
      <c r="S1234" s="79"/>
      <c r="T1234" s="79"/>
      <c r="U1234" s="79"/>
      <c r="V1234" s="79"/>
      <c r="W1234" s="79"/>
      <c r="X1234" s="79"/>
      <c r="Y1234" s="79"/>
      <c r="Z1234" s="79"/>
      <c r="AA1234" s="79"/>
      <c r="AB1234" s="79"/>
      <c r="AC1234" s="79"/>
      <c r="AD1234" s="79"/>
      <c r="AE1234" s="79"/>
      <c r="AF1234" s="79"/>
    </row>
    <row r="1235" spans="1:32" s="2" customFormat="1">
      <c r="A1235" s="551"/>
      <c r="B1235" s="551"/>
      <c r="C1235" s="551"/>
      <c r="D1235" s="551"/>
      <c r="E1235" s="551"/>
      <c r="F1235" s="551"/>
      <c r="G1235" s="551"/>
      <c r="H1235" s="551"/>
      <c r="I1235" s="551"/>
      <c r="J1235" s="551"/>
      <c r="K1235" s="551"/>
      <c r="L1235" s="551"/>
      <c r="M1235" s="551"/>
      <c r="N1235" s="551"/>
      <c r="O1235" s="551"/>
      <c r="P1235" s="551"/>
      <c r="Q1235" s="79"/>
      <c r="R1235" s="79"/>
      <c r="S1235" s="79"/>
      <c r="T1235" s="79"/>
      <c r="U1235" s="79"/>
      <c r="V1235" s="79"/>
      <c r="W1235" s="79"/>
      <c r="X1235" s="79"/>
      <c r="Y1235" s="79"/>
      <c r="Z1235" s="79"/>
      <c r="AA1235" s="79"/>
      <c r="AB1235" s="79"/>
      <c r="AC1235" s="79"/>
      <c r="AD1235" s="79"/>
      <c r="AE1235" s="79"/>
      <c r="AF1235" s="79"/>
    </row>
    <row r="1236" spans="1:32" s="2" customFormat="1">
      <c r="A1236" s="551"/>
      <c r="B1236" s="551"/>
      <c r="C1236" s="551"/>
      <c r="D1236" s="551"/>
      <c r="E1236" s="551"/>
      <c r="F1236" s="551"/>
      <c r="G1236" s="551"/>
      <c r="H1236" s="551"/>
      <c r="I1236" s="551"/>
      <c r="J1236" s="551"/>
      <c r="K1236" s="551"/>
      <c r="L1236" s="551"/>
      <c r="M1236" s="551"/>
      <c r="N1236" s="551"/>
      <c r="O1236" s="551"/>
      <c r="P1236" s="551"/>
      <c r="Q1236" s="79"/>
      <c r="R1236" s="79"/>
      <c r="S1236" s="79"/>
      <c r="T1236" s="79"/>
      <c r="U1236" s="79"/>
      <c r="V1236" s="79"/>
      <c r="W1236" s="79"/>
      <c r="X1236" s="79"/>
      <c r="Y1236" s="79"/>
      <c r="Z1236" s="79"/>
      <c r="AA1236" s="79"/>
      <c r="AB1236" s="79"/>
      <c r="AC1236" s="79"/>
      <c r="AD1236" s="79"/>
      <c r="AE1236" s="79"/>
      <c r="AF1236" s="79"/>
    </row>
    <row r="1237" spans="1:32" s="2" customFormat="1">
      <c r="A1237" s="551"/>
      <c r="B1237" s="551"/>
      <c r="C1237" s="551"/>
      <c r="D1237" s="551"/>
      <c r="E1237" s="551"/>
      <c r="F1237" s="551"/>
      <c r="G1237" s="551"/>
      <c r="H1237" s="551"/>
      <c r="I1237" s="551"/>
      <c r="J1237" s="551"/>
      <c r="K1237" s="551"/>
      <c r="L1237" s="551"/>
      <c r="M1237" s="551"/>
      <c r="N1237" s="551"/>
      <c r="O1237" s="551"/>
      <c r="P1237" s="551"/>
      <c r="Q1237" s="79"/>
      <c r="R1237" s="79"/>
      <c r="S1237" s="79"/>
      <c r="T1237" s="79"/>
      <c r="U1237" s="79"/>
      <c r="V1237" s="79"/>
      <c r="W1237" s="79"/>
      <c r="X1237" s="79"/>
      <c r="Y1237" s="79"/>
      <c r="Z1237" s="79"/>
      <c r="AA1237" s="79"/>
      <c r="AB1237" s="79"/>
      <c r="AC1237" s="79"/>
      <c r="AD1237" s="79"/>
      <c r="AE1237" s="79"/>
      <c r="AF1237" s="79"/>
    </row>
    <row r="1238" spans="1:32" s="2" customFormat="1">
      <c r="A1238" s="551"/>
      <c r="B1238" s="551"/>
      <c r="C1238" s="551"/>
      <c r="D1238" s="551"/>
      <c r="E1238" s="551"/>
      <c r="F1238" s="551"/>
      <c r="G1238" s="551"/>
      <c r="H1238" s="551"/>
      <c r="I1238" s="551"/>
      <c r="J1238" s="551"/>
      <c r="K1238" s="551"/>
      <c r="L1238" s="551"/>
      <c r="M1238" s="551"/>
      <c r="N1238" s="551"/>
      <c r="O1238" s="551"/>
      <c r="P1238" s="551"/>
      <c r="Q1238" s="79"/>
      <c r="R1238" s="79"/>
      <c r="S1238" s="79"/>
      <c r="T1238" s="79"/>
      <c r="U1238" s="79"/>
      <c r="V1238" s="79"/>
      <c r="W1238" s="79"/>
      <c r="X1238" s="79"/>
      <c r="Y1238" s="79"/>
      <c r="Z1238" s="79"/>
      <c r="AA1238" s="79"/>
      <c r="AB1238" s="79"/>
      <c r="AC1238" s="79"/>
      <c r="AD1238" s="79"/>
      <c r="AE1238" s="79"/>
      <c r="AF1238" s="79"/>
    </row>
    <row r="1239" spans="1:32" s="2" customFormat="1">
      <c r="A1239" s="551"/>
      <c r="B1239" s="551"/>
      <c r="C1239" s="551"/>
      <c r="D1239" s="551"/>
      <c r="E1239" s="551"/>
      <c r="F1239" s="551"/>
      <c r="G1239" s="551"/>
      <c r="H1239" s="551"/>
      <c r="I1239" s="551"/>
      <c r="J1239" s="551"/>
      <c r="K1239" s="551"/>
      <c r="L1239" s="551"/>
      <c r="M1239" s="551"/>
      <c r="N1239" s="551"/>
      <c r="O1239" s="551"/>
      <c r="P1239" s="551"/>
      <c r="Q1239" s="79"/>
      <c r="R1239" s="79"/>
      <c r="S1239" s="79"/>
      <c r="T1239" s="79"/>
      <c r="U1239" s="79"/>
      <c r="V1239" s="79"/>
      <c r="W1239" s="79"/>
      <c r="X1239" s="79"/>
      <c r="Y1239" s="79"/>
      <c r="Z1239" s="79"/>
      <c r="AA1239" s="79"/>
      <c r="AB1239" s="79"/>
      <c r="AC1239" s="79"/>
      <c r="AD1239" s="79"/>
      <c r="AE1239" s="79"/>
      <c r="AF1239" s="79"/>
    </row>
    <row r="1240" spans="1:32" s="2" customFormat="1">
      <c r="A1240" s="551"/>
      <c r="B1240" s="551"/>
      <c r="C1240" s="551"/>
      <c r="D1240" s="551"/>
      <c r="E1240" s="551"/>
      <c r="F1240" s="551"/>
      <c r="G1240" s="551"/>
      <c r="H1240" s="551"/>
      <c r="I1240" s="551"/>
      <c r="J1240" s="551"/>
      <c r="K1240" s="551"/>
      <c r="L1240" s="551"/>
      <c r="M1240" s="551"/>
      <c r="N1240" s="551"/>
      <c r="O1240" s="551"/>
      <c r="P1240" s="551"/>
      <c r="Q1240" s="79"/>
      <c r="R1240" s="79"/>
      <c r="S1240" s="79"/>
      <c r="T1240" s="79"/>
      <c r="U1240" s="79"/>
      <c r="V1240" s="79"/>
      <c r="W1240" s="79"/>
      <c r="X1240" s="79"/>
      <c r="Y1240" s="79"/>
      <c r="Z1240" s="79"/>
      <c r="AA1240" s="79"/>
      <c r="AB1240" s="79"/>
      <c r="AC1240" s="79"/>
      <c r="AD1240" s="79"/>
      <c r="AE1240" s="79"/>
      <c r="AF1240" s="79"/>
    </row>
    <row r="1241" spans="1:32" s="2" customFormat="1">
      <c r="A1241" s="551"/>
      <c r="B1241" s="551"/>
      <c r="C1241" s="551"/>
      <c r="D1241" s="551"/>
      <c r="E1241" s="551"/>
      <c r="F1241" s="551"/>
      <c r="G1241" s="551"/>
      <c r="H1241" s="551"/>
      <c r="I1241" s="551"/>
      <c r="J1241" s="551"/>
      <c r="K1241" s="551"/>
      <c r="L1241" s="551"/>
      <c r="M1241" s="551"/>
      <c r="N1241" s="551"/>
      <c r="O1241" s="551"/>
      <c r="P1241" s="551"/>
      <c r="Q1241" s="79"/>
      <c r="R1241" s="79"/>
      <c r="S1241" s="79"/>
      <c r="T1241" s="79"/>
      <c r="U1241" s="79"/>
      <c r="V1241" s="79"/>
      <c r="W1241" s="79"/>
      <c r="X1241" s="79"/>
      <c r="Y1241" s="79"/>
      <c r="Z1241" s="79"/>
      <c r="AA1241" s="79"/>
      <c r="AB1241" s="79"/>
      <c r="AC1241" s="79"/>
      <c r="AD1241" s="79"/>
      <c r="AE1241" s="79"/>
      <c r="AF1241" s="79"/>
    </row>
    <row r="1242" spans="1:32" s="2" customFormat="1">
      <c r="A1242" s="551"/>
      <c r="B1242" s="551"/>
      <c r="C1242" s="551"/>
      <c r="D1242" s="551"/>
      <c r="E1242" s="551"/>
      <c r="F1242" s="551"/>
      <c r="G1242" s="551"/>
      <c r="H1242" s="551"/>
      <c r="I1242" s="551"/>
      <c r="J1242" s="551"/>
      <c r="K1242" s="551"/>
      <c r="L1242" s="551"/>
      <c r="M1242" s="551"/>
      <c r="N1242" s="551"/>
      <c r="O1242" s="551"/>
      <c r="P1242" s="551"/>
      <c r="Q1242" s="79"/>
      <c r="R1242" s="79"/>
      <c r="S1242" s="79"/>
      <c r="T1242" s="79"/>
      <c r="U1242" s="79"/>
      <c r="V1242" s="79"/>
      <c r="W1242" s="79"/>
      <c r="X1242" s="79"/>
      <c r="Y1242" s="79"/>
      <c r="Z1242" s="79"/>
      <c r="AA1242" s="79"/>
      <c r="AB1242" s="79"/>
      <c r="AC1242" s="79"/>
      <c r="AD1242" s="79"/>
      <c r="AE1242" s="79"/>
      <c r="AF1242" s="79"/>
    </row>
    <row r="1243" spans="1:32" s="2" customFormat="1">
      <c r="A1243" s="551"/>
      <c r="B1243" s="551"/>
      <c r="C1243" s="551"/>
      <c r="D1243" s="551"/>
      <c r="E1243" s="551"/>
      <c r="F1243" s="551"/>
      <c r="G1243" s="551"/>
      <c r="H1243" s="551"/>
      <c r="I1243" s="551"/>
      <c r="J1243" s="551"/>
      <c r="K1243" s="551"/>
      <c r="L1243" s="551"/>
      <c r="M1243" s="551"/>
      <c r="N1243" s="551"/>
      <c r="O1243" s="551"/>
      <c r="P1243" s="551"/>
      <c r="Q1243" s="79"/>
      <c r="R1243" s="79"/>
      <c r="S1243" s="79"/>
      <c r="T1243" s="79"/>
      <c r="U1243" s="79"/>
      <c r="V1243" s="79"/>
      <c r="W1243" s="79"/>
      <c r="X1243" s="79"/>
      <c r="Y1243" s="79"/>
      <c r="Z1243" s="79"/>
      <c r="AA1243" s="79"/>
      <c r="AB1243" s="79"/>
      <c r="AC1243" s="79"/>
      <c r="AD1243" s="79"/>
      <c r="AE1243" s="79"/>
      <c r="AF1243" s="79"/>
    </row>
    <row r="1244" spans="1:32" s="2" customFormat="1">
      <c r="A1244" s="551"/>
      <c r="B1244" s="551"/>
      <c r="C1244" s="551"/>
      <c r="D1244" s="551"/>
      <c r="E1244" s="551"/>
      <c r="F1244" s="551"/>
      <c r="G1244" s="551"/>
      <c r="H1244" s="551"/>
      <c r="I1244" s="551"/>
      <c r="J1244" s="551"/>
      <c r="K1244" s="551"/>
      <c r="L1244" s="551"/>
      <c r="M1244" s="551"/>
      <c r="N1244" s="551"/>
      <c r="O1244" s="551"/>
      <c r="P1244" s="551"/>
      <c r="Q1244" s="79"/>
      <c r="R1244" s="79"/>
      <c r="S1244" s="79"/>
      <c r="T1244" s="79"/>
      <c r="U1244" s="79"/>
      <c r="V1244" s="79"/>
      <c r="W1244" s="79"/>
      <c r="X1244" s="79"/>
      <c r="Y1244" s="79"/>
      <c r="Z1244" s="79"/>
      <c r="AA1244" s="79"/>
      <c r="AB1244" s="79"/>
      <c r="AC1244" s="79"/>
      <c r="AD1244" s="79"/>
      <c r="AE1244" s="79"/>
      <c r="AF1244" s="79"/>
    </row>
    <row r="1245" spans="1:32" s="2" customFormat="1">
      <c r="A1245" s="551"/>
      <c r="B1245" s="551"/>
      <c r="C1245" s="551"/>
      <c r="D1245" s="551"/>
      <c r="E1245" s="551"/>
      <c r="F1245" s="551"/>
      <c r="G1245" s="551"/>
      <c r="H1245" s="551"/>
      <c r="I1245" s="551"/>
      <c r="J1245" s="551"/>
      <c r="K1245" s="551"/>
      <c r="L1245" s="551"/>
      <c r="M1245" s="551"/>
      <c r="N1245" s="551"/>
      <c r="O1245" s="551"/>
      <c r="P1245" s="551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  <c r="AD1245" s="79"/>
      <c r="AE1245" s="79"/>
      <c r="AF1245" s="79"/>
    </row>
    <row r="1246" spans="1:32" s="2" customFormat="1">
      <c r="A1246" s="551"/>
      <c r="B1246" s="551"/>
      <c r="C1246" s="551"/>
      <c r="D1246" s="551"/>
      <c r="E1246" s="551"/>
      <c r="F1246" s="551"/>
      <c r="G1246" s="551"/>
      <c r="H1246" s="551"/>
      <c r="I1246" s="551"/>
      <c r="J1246" s="551"/>
      <c r="K1246" s="551"/>
      <c r="L1246" s="551"/>
      <c r="M1246" s="551"/>
      <c r="N1246" s="551"/>
      <c r="O1246" s="551"/>
      <c r="P1246" s="551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  <c r="AD1246" s="79"/>
      <c r="AE1246" s="79"/>
      <c r="AF1246" s="79"/>
    </row>
    <row r="1247" spans="1:32" s="2" customFormat="1">
      <c r="A1247" s="551"/>
      <c r="B1247" s="551"/>
      <c r="C1247" s="551"/>
      <c r="D1247" s="551"/>
      <c r="E1247" s="551"/>
      <c r="F1247" s="551"/>
      <c r="G1247" s="551"/>
      <c r="H1247" s="551"/>
      <c r="I1247" s="551"/>
      <c r="J1247" s="551"/>
      <c r="K1247" s="551"/>
      <c r="L1247" s="551"/>
      <c r="M1247" s="551"/>
      <c r="N1247" s="551"/>
      <c r="O1247" s="551"/>
      <c r="P1247" s="551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  <c r="AD1247" s="79"/>
      <c r="AE1247" s="79"/>
      <c r="AF1247" s="79"/>
    </row>
    <row r="1248" spans="1:32" s="2" customFormat="1">
      <c r="A1248" s="551"/>
      <c r="B1248" s="551"/>
      <c r="C1248" s="551"/>
      <c r="D1248" s="551"/>
      <c r="E1248" s="551"/>
      <c r="F1248" s="551"/>
      <c r="G1248" s="551"/>
      <c r="H1248" s="551"/>
      <c r="I1248" s="551"/>
      <c r="J1248" s="551"/>
      <c r="K1248" s="551"/>
      <c r="L1248" s="551"/>
      <c r="M1248" s="551"/>
      <c r="N1248" s="551"/>
      <c r="O1248" s="551"/>
      <c r="P1248" s="551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  <c r="AD1248" s="79"/>
      <c r="AE1248" s="79"/>
      <c r="AF1248" s="79"/>
    </row>
    <row r="1249" spans="1:32" s="2" customFormat="1">
      <c r="A1249" s="551"/>
      <c r="B1249" s="551"/>
      <c r="C1249" s="551"/>
      <c r="D1249" s="551"/>
      <c r="E1249" s="551"/>
      <c r="F1249" s="551"/>
      <c r="G1249" s="551"/>
      <c r="H1249" s="551"/>
      <c r="I1249" s="551"/>
      <c r="J1249" s="551"/>
      <c r="K1249" s="551"/>
      <c r="L1249" s="551"/>
      <c r="M1249" s="551"/>
      <c r="N1249" s="551"/>
      <c r="O1249" s="551"/>
      <c r="P1249" s="551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  <c r="AD1249" s="79"/>
      <c r="AE1249" s="79"/>
      <c r="AF1249" s="79"/>
    </row>
    <row r="1250" spans="1:32" s="2" customFormat="1">
      <c r="A1250" s="551"/>
      <c r="B1250" s="551"/>
      <c r="C1250" s="551"/>
      <c r="D1250" s="551"/>
      <c r="E1250" s="551"/>
      <c r="F1250" s="551"/>
      <c r="G1250" s="551"/>
      <c r="H1250" s="551"/>
      <c r="I1250" s="551"/>
      <c r="J1250" s="551"/>
      <c r="K1250" s="551"/>
      <c r="L1250" s="551"/>
      <c r="M1250" s="551"/>
      <c r="N1250" s="551"/>
      <c r="O1250" s="551"/>
      <c r="P1250" s="551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  <c r="AD1250" s="79"/>
      <c r="AE1250" s="79"/>
      <c r="AF1250" s="79"/>
    </row>
    <row r="1251" spans="1:32" s="2" customFormat="1">
      <c r="A1251" s="551"/>
      <c r="B1251" s="551"/>
      <c r="C1251" s="551"/>
      <c r="D1251" s="551"/>
      <c r="E1251" s="551"/>
      <c r="F1251" s="551"/>
      <c r="G1251" s="551"/>
      <c r="H1251" s="551"/>
      <c r="I1251" s="551"/>
      <c r="J1251" s="551"/>
      <c r="K1251" s="551"/>
      <c r="L1251" s="551"/>
      <c r="M1251" s="551"/>
      <c r="N1251" s="551"/>
      <c r="O1251" s="551"/>
      <c r="P1251" s="551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  <c r="AD1251" s="79"/>
      <c r="AE1251" s="79"/>
      <c r="AF1251" s="79"/>
    </row>
    <row r="1252" spans="1:32" s="2" customFormat="1">
      <c r="A1252" s="551"/>
      <c r="B1252" s="551"/>
      <c r="C1252" s="551"/>
      <c r="D1252" s="551"/>
      <c r="E1252" s="551"/>
      <c r="F1252" s="551"/>
      <c r="G1252" s="551"/>
      <c r="H1252" s="551"/>
      <c r="I1252" s="551"/>
      <c r="J1252" s="551"/>
      <c r="K1252" s="551"/>
      <c r="L1252" s="551"/>
      <c r="M1252" s="551"/>
      <c r="N1252" s="551"/>
      <c r="O1252" s="551"/>
      <c r="P1252" s="551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  <c r="AD1252" s="79"/>
      <c r="AE1252" s="79"/>
      <c r="AF1252" s="79"/>
    </row>
    <row r="1253" spans="1:32" s="2" customFormat="1">
      <c r="A1253" s="551"/>
      <c r="B1253" s="551"/>
      <c r="C1253" s="551"/>
      <c r="D1253" s="551"/>
      <c r="E1253" s="551"/>
      <c r="F1253" s="551"/>
      <c r="G1253" s="551"/>
      <c r="H1253" s="551"/>
      <c r="I1253" s="551"/>
      <c r="J1253" s="551"/>
      <c r="K1253" s="551"/>
      <c r="L1253" s="551"/>
      <c r="M1253" s="551"/>
      <c r="N1253" s="551"/>
      <c r="O1253" s="551"/>
      <c r="P1253" s="551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  <c r="AD1253" s="79"/>
      <c r="AE1253" s="79"/>
      <c r="AF1253" s="79"/>
    </row>
    <row r="1254" spans="1:32" s="2" customFormat="1">
      <c r="A1254" s="551"/>
      <c r="B1254" s="551"/>
      <c r="C1254" s="551"/>
      <c r="D1254" s="551"/>
      <c r="E1254" s="551"/>
      <c r="F1254" s="551"/>
      <c r="G1254" s="551"/>
      <c r="H1254" s="551"/>
      <c r="I1254" s="551"/>
      <c r="J1254" s="551"/>
      <c r="K1254" s="551"/>
      <c r="L1254" s="551"/>
      <c r="M1254" s="551"/>
      <c r="N1254" s="551"/>
      <c r="O1254" s="551"/>
      <c r="P1254" s="551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  <c r="AD1254" s="79"/>
      <c r="AE1254" s="79"/>
      <c r="AF1254" s="79"/>
    </row>
    <row r="1255" spans="1:32" s="2" customFormat="1">
      <c r="A1255" s="551"/>
      <c r="B1255" s="551"/>
      <c r="C1255" s="551"/>
      <c r="D1255" s="551"/>
      <c r="E1255" s="551"/>
      <c r="F1255" s="551"/>
      <c r="G1255" s="551"/>
      <c r="H1255" s="551"/>
      <c r="I1255" s="551"/>
      <c r="J1255" s="551"/>
      <c r="K1255" s="551"/>
      <c r="L1255" s="551"/>
      <c r="M1255" s="551"/>
      <c r="N1255" s="551"/>
      <c r="O1255" s="551"/>
      <c r="P1255" s="551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  <c r="AD1255" s="79"/>
      <c r="AE1255" s="79"/>
      <c r="AF1255" s="79"/>
    </row>
    <row r="1256" spans="1:32" s="2" customFormat="1">
      <c r="A1256" s="551"/>
      <c r="B1256" s="551"/>
      <c r="C1256" s="551"/>
      <c r="D1256" s="551"/>
      <c r="E1256" s="551"/>
      <c r="F1256" s="551"/>
      <c r="G1256" s="551"/>
      <c r="H1256" s="551"/>
      <c r="I1256" s="551"/>
      <c r="J1256" s="551"/>
      <c r="K1256" s="551"/>
      <c r="L1256" s="551"/>
      <c r="M1256" s="551"/>
      <c r="N1256" s="551"/>
      <c r="O1256" s="551"/>
      <c r="P1256" s="551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  <c r="AD1256" s="79"/>
      <c r="AE1256" s="79"/>
      <c r="AF1256" s="79"/>
    </row>
    <row r="1257" spans="1:32" s="2" customFormat="1">
      <c r="A1257" s="551"/>
      <c r="B1257" s="551"/>
      <c r="C1257" s="551"/>
      <c r="D1257" s="551"/>
      <c r="E1257" s="551"/>
      <c r="F1257" s="551"/>
      <c r="G1257" s="551"/>
      <c r="H1257" s="551"/>
      <c r="I1257" s="551"/>
      <c r="J1257" s="551"/>
      <c r="K1257" s="551"/>
      <c r="L1257" s="551"/>
      <c r="M1257" s="551"/>
      <c r="N1257" s="551"/>
      <c r="O1257" s="551"/>
      <c r="P1257" s="551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  <c r="AD1257" s="79"/>
      <c r="AE1257" s="79"/>
      <c r="AF1257" s="79"/>
    </row>
    <row r="1258" spans="1:32" s="2" customFormat="1">
      <c r="A1258" s="551"/>
      <c r="B1258" s="551"/>
      <c r="C1258" s="551"/>
      <c r="D1258" s="551"/>
      <c r="E1258" s="551"/>
      <c r="F1258" s="551"/>
      <c r="G1258" s="551"/>
      <c r="H1258" s="551"/>
      <c r="I1258" s="551"/>
      <c r="J1258" s="551"/>
      <c r="K1258" s="551"/>
      <c r="L1258" s="551"/>
      <c r="M1258" s="551"/>
      <c r="N1258" s="551"/>
      <c r="O1258" s="551"/>
      <c r="P1258" s="551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  <c r="AD1258" s="79"/>
      <c r="AE1258" s="79"/>
      <c r="AF1258" s="79"/>
    </row>
    <row r="1259" spans="1:32" s="2" customFormat="1">
      <c r="A1259" s="551"/>
      <c r="B1259" s="551"/>
      <c r="C1259" s="551"/>
      <c r="D1259" s="551"/>
      <c r="E1259" s="551"/>
      <c r="F1259" s="551"/>
      <c r="G1259" s="551"/>
      <c r="H1259" s="551"/>
      <c r="I1259" s="551"/>
      <c r="J1259" s="551"/>
      <c r="K1259" s="551"/>
      <c r="L1259" s="551"/>
      <c r="M1259" s="551"/>
      <c r="N1259" s="551"/>
      <c r="O1259" s="551"/>
      <c r="P1259" s="551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  <c r="AD1259" s="79"/>
      <c r="AE1259" s="79"/>
      <c r="AF1259" s="79"/>
    </row>
    <row r="1260" spans="1:32" s="2" customFormat="1">
      <c r="A1260" s="551"/>
      <c r="B1260" s="551"/>
      <c r="C1260" s="551"/>
      <c r="D1260" s="551"/>
      <c r="E1260" s="551"/>
      <c r="F1260" s="551"/>
      <c r="G1260" s="551"/>
      <c r="H1260" s="551"/>
      <c r="I1260" s="551"/>
      <c r="J1260" s="551"/>
      <c r="K1260" s="551"/>
      <c r="L1260" s="551"/>
      <c r="M1260" s="551"/>
      <c r="N1260" s="551"/>
      <c r="O1260" s="551"/>
      <c r="P1260" s="551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  <c r="AD1260" s="79"/>
      <c r="AE1260" s="79"/>
      <c r="AF1260" s="79"/>
    </row>
    <row r="1261" spans="1:32" s="2" customFormat="1">
      <c r="A1261" s="551"/>
      <c r="B1261" s="551"/>
      <c r="C1261" s="551"/>
      <c r="D1261" s="551"/>
      <c r="E1261" s="551"/>
      <c r="F1261" s="551"/>
      <c r="G1261" s="551"/>
      <c r="H1261" s="551"/>
      <c r="I1261" s="551"/>
      <c r="J1261" s="551"/>
      <c r="K1261" s="551"/>
      <c r="L1261" s="551"/>
      <c r="M1261" s="551"/>
      <c r="N1261" s="551"/>
      <c r="O1261" s="551"/>
      <c r="P1261" s="551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  <c r="AD1261" s="79"/>
      <c r="AE1261" s="79"/>
      <c r="AF1261" s="79"/>
    </row>
    <row r="1262" spans="1:32" s="2" customFormat="1">
      <c r="A1262" s="551"/>
      <c r="B1262" s="551"/>
      <c r="C1262" s="551"/>
      <c r="D1262" s="551"/>
      <c r="E1262" s="551"/>
      <c r="F1262" s="551"/>
      <c r="G1262" s="551"/>
      <c r="H1262" s="551"/>
      <c r="I1262" s="551"/>
      <c r="J1262" s="551"/>
      <c r="K1262" s="551"/>
      <c r="L1262" s="551"/>
      <c r="M1262" s="551"/>
      <c r="N1262" s="551"/>
      <c r="O1262" s="551"/>
      <c r="P1262" s="551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  <c r="AD1262" s="79"/>
      <c r="AE1262" s="79"/>
      <c r="AF1262" s="79"/>
    </row>
    <row r="1263" spans="1:32" s="2" customFormat="1">
      <c r="A1263" s="551"/>
      <c r="B1263" s="551"/>
      <c r="C1263" s="551"/>
      <c r="D1263" s="551"/>
      <c r="E1263" s="551"/>
      <c r="F1263" s="551"/>
      <c r="G1263" s="551"/>
      <c r="H1263" s="551"/>
      <c r="I1263" s="551"/>
      <c r="J1263" s="551"/>
      <c r="K1263" s="551"/>
      <c r="L1263" s="551"/>
      <c r="M1263" s="551"/>
      <c r="N1263" s="551"/>
      <c r="O1263" s="551"/>
      <c r="P1263" s="551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  <c r="AD1263" s="79"/>
      <c r="AE1263" s="79"/>
      <c r="AF1263" s="79"/>
    </row>
    <row r="1264" spans="1:32" s="2" customFormat="1">
      <c r="A1264" s="551"/>
      <c r="B1264" s="551"/>
      <c r="C1264" s="551"/>
      <c r="D1264" s="551"/>
      <c r="E1264" s="551"/>
      <c r="F1264" s="551"/>
      <c r="G1264" s="551"/>
      <c r="H1264" s="551"/>
      <c r="I1264" s="551"/>
      <c r="J1264" s="551"/>
      <c r="K1264" s="551"/>
      <c r="L1264" s="551"/>
      <c r="M1264" s="551"/>
      <c r="N1264" s="551"/>
      <c r="O1264" s="551"/>
      <c r="P1264" s="551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  <c r="AD1264" s="79"/>
      <c r="AE1264" s="79"/>
      <c r="AF1264" s="79"/>
    </row>
    <row r="1265" spans="1:32" s="2" customFormat="1">
      <c r="A1265" s="551"/>
      <c r="B1265" s="551"/>
      <c r="C1265" s="551"/>
      <c r="D1265" s="551"/>
      <c r="E1265" s="551"/>
      <c r="F1265" s="551"/>
      <c r="G1265" s="551"/>
      <c r="H1265" s="551"/>
      <c r="I1265" s="551"/>
      <c r="J1265" s="551"/>
      <c r="K1265" s="551"/>
      <c r="L1265" s="551"/>
      <c r="M1265" s="551"/>
      <c r="N1265" s="551"/>
      <c r="O1265" s="551"/>
      <c r="P1265" s="551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  <c r="AD1265" s="79"/>
      <c r="AE1265" s="79"/>
      <c r="AF1265" s="79"/>
    </row>
    <row r="1266" spans="1:32" s="2" customFormat="1">
      <c r="A1266" s="551"/>
      <c r="B1266" s="551"/>
      <c r="C1266" s="551"/>
      <c r="D1266" s="551"/>
      <c r="E1266" s="551"/>
      <c r="F1266" s="551"/>
      <c r="G1266" s="551"/>
      <c r="H1266" s="551"/>
      <c r="I1266" s="551"/>
      <c r="J1266" s="551"/>
      <c r="K1266" s="551"/>
      <c r="L1266" s="551"/>
      <c r="M1266" s="551"/>
      <c r="N1266" s="551"/>
      <c r="O1266" s="551"/>
      <c r="P1266" s="551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  <c r="AD1266" s="79"/>
      <c r="AE1266" s="79"/>
      <c r="AF1266" s="79"/>
    </row>
    <row r="1267" spans="1:32" s="2" customFormat="1">
      <c r="A1267" s="551"/>
      <c r="B1267" s="551"/>
      <c r="C1267" s="551"/>
      <c r="D1267" s="551"/>
      <c r="E1267" s="551"/>
      <c r="F1267" s="551"/>
      <c r="G1267" s="551"/>
      <c r="H1267" s="551"/>
      <c r="I1267" s="551"/>
      <c r="J1267" s="551"/>
      <c r="K1267" s="551"/>
      <c r="L1267" s="551"/>
      <c r="M1267" s="551"/>
      <c r="N1267" s="551"/>
      <c r="O1267" s="551"/>
      <c r="P1267" s="551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  <c r="AD1267" s="79"/>
      <c r="AE1267" s="79"/>
      <c r="AF1267" s="79"/>
    </row>
    <row r="1268" spans="1:32" s="2" customFormat="1">
      <c r="A1268" s="551"/>
      <c r="B1268" s="551"/>
      <c r="C1268" s="551"/>
      <c r="D1268" s="551"/>
      <c r="E1268" s="551"/>
      <c r="F1268" s="551"/>
      <c r="G1268" s="551"/>
      <c r="H1268" s="551"/>
      <c r="I1268" s="551"/>
      <c r="J1268" s="551"/>
      <c r="K1268" s="551"/>
      <c r="L1268" s="551"/>
      <c r="M1268" s="551"/>
      <c r="N1268" s="551"/>
      <c r="O1268" s="551"/>
      <c r="P1268" s="551"/>
      <c r="Q1268" s="79"/>
      <c r="R1268" s="79"/>
      <c r="S1268" s="79"/>
      <c r="T1268" s="79"/>
      <c r="U1268" s="79"/>
      <c r="V1268" s="79"/>
      <c r="W1268" s="79"/>
      <c r="X1268" s="79"/>
      <c r="Y1268" s="79"/>
      <c r="Z1268" s="79"/>
      <c r="AA1268" s="79"/>
      <c r="AB1268" s="79"/>
      <c r="AC1268" s="79"/>
      <c r="AD1268" s="79"/>
      <c r="AE1268" s="79"/>
      <c r="AF1268" s="79"/>
    </row>
    <row r="1269" spans="1:32" s="2" customFormat="1">
      <c r="A1269" s="551"/>
      <c r="B1269" s="551"/>
      <c r="C1269" s="551"/>
      <c r="D1269" s="551"/>
      <c r="E1269" s="551"/>
      <c r="F1269" s="551"/>
      <c r="G1269" s="551"/>
      <c r="H1269" s="551"/>
      <c r="I1269" s="551"/>
      <c r="J1269" s="551"/>
      <c r="K1269" s="551"/>
      <c r="L1269" s="551"/>
      <c r="M1269" s="551"/>
      <c r="N1269" s="551"/>
      <c r="O1269" s="551"/>
      <c r="P1269" s="551"/>
      <c r="Q1269" s="79"/>
      <c r="R1269" s="79"/>
      <c r="S1269" s="79"/>
      <c r="T1269" s="79"/>
      <c r="U1269" s="79"/>
      <c r="V1269" s="79"/>
      <c r="W1269" s="79"/>
      <c r="X1269" s="79"/>
      <c r="Y1269" s="79"/>
      <c r="Z1269" s="79"/>
      <c r="AA1269" s="79"/>
      <c r="AB1269" s="79"/>
      <c r="AC1269" s="79"/>
      <c r="AD1269" s="79"/>
      <c r="AE1269" s="79"/>
      <c r="AF1269" s="79"/>
    </row>
    <row r="1270" spans="1:32" s="2" customFormat="1">
      <c r="A1270" s="551"/>
      <c r="B1270" s="551"/>
      <c r="C1270" s="551"/>
      <c r="D1270" s="551"/>
      <c r="E1270" s="551"/>
      <c r="F1270" s="551"/>
      <c r="G1270" s="551"/>
      <c r="H1270" s="551"/>
      <c r="I1270" s="551"/>
      <c r="J1270" s="551"/>
      <c r="K1270" s="551"/>
      <c r="L1270" s="551"/>
      <c r="M1270" s="551"/>
      <c r="N1270" s="551"/>
      <c r="O1270" s="551"/>
      <c r="P1270" s="551"/>
      <c r="Q1270" s="79"/>
      <c r="R1270" s="79"/>
      <c r="S1270" s="79"/>
      <c r="T1270" s="79"/>
      <c r="U1270" s="79"/>
      <c r="V1270" s="79"/>
      <c r="W1270" s="79"/>
      <c r="X1270" s="79"/>
      <c r="Y1270" s="79"/>
      <c r="Z1270" s="79"/>
      <c r="AA1270" s="79"/>
      <c r="AB1270" s="79"/>
      <c r="AC1270" s="79"/>
      <c r="AD1270" s="79"/>
      <c r="AE1270" s="79"/>
      <c r="AF1270" s="79"/>
    </row>
    <row r="1271" spans="1:32" s="2" customFormat="1">
      <c r="A1271" s="551"/>
      <c r="B1271" s="551"/>
      <c r="C1271" s="551"/>
      <c r="D1271" s="551"/>
      <c r="E1271" s="551"/>
      <c r="F1271" s="551"/>
      <c r="G1271" s="551"/>
      <c r="H1271" s="551"/>
      <c r="I1271" s="551"/>
      <c r="J1271" s="551"/>
      <c r="K1271" s="551"/>
      <c r="L1271" s="551"/>
      <c r="M1271" s="551"/>
      <c r="N1271" s="551"/>
      <c r="O1271" s="551"/>
      <c r="P1271" s="551"/>
      <c r="Q1271" s="79"/>
      <c r="R1271" s="79"/>
      <c r="S1271" s="79"/>
      <c r="T1271" s="79"/>
      <c r="U1271" s="79"/>
      <c r="V1271" s="79"/>
      <c r="W1271" s="79"/>
      <c r="X1271" s="79"/>
      <c r="Y1271" s="79"/>
      <c r="Z1271" s="79"/>
      <c r="AA1271" s="79"/>
      <c r="AB1271" s="79"/>
      <c r="AC1271" s="79"/>
      <c r="AD1271" s="79"/>
      <c r="AE1271" s="79"/>
      <c r="AF1271" s="79"/>
    </row>
    <row r="1272" spans="1:32" s="2" customFormat="1">
      <c r="A1272" s="551"/>
      <c r="B1272" s="551"/>
      <c r="C1272" s="551"/>
      <c r="D1272" s="551"/>
      <c r="E1272" s="551"/>
      <c r="F1272" s="551"/>
      <c r="G1272" s="551"/>
      <c r="H1272" s="551"/>
      <c r="I1272" s="551"/>
      <c r="J1272" s="551"/>
      <c r="K1272" s="551"/>
      <c r="L1272" s="551"/>
      <c r="M1272" s="551"/>
      <c r="N1272" s="551"/>
      <c r="O1272" s="551"/>
      <c r="P1272" s="551"/>
      <c r="Q1272" s="79"/>
      <c r="R1272" s="79"/>
      <c r="S1272" s="79"/>
      <c r="T1272" s="79"/>
      <c r="U1272" s="79"/>
      <c r="V1272" s="79"/>
      <c r="W1272" s="79"/>
      <c r="X1272" s="79"/>
      <c r="Y1272" s="79"/>
      <c r="Z1272" s="79"/>
      <c r="AA1272" s="79"/>
      <c r="AB1272" s="79"/>
      <c r="AC1272" s="79"/>
      <c r="AD1272" s="79"/>
      <c r="AE1272" s="79"/>
      <c r="AF1272" s="79"/>
    </row>
    <row r="1273" spans="1:32" s="2" customFormat="1">
      <c r="A1273" s="551"/>
      <c r="B1273" s="551"/>
      <c r="C1273" s="551"/>
      <c r="D1273" s="551"/>
      <c r="E1273" s="551"/>
      <c r="F1273" s="551"/>
      <c r="G1273" s="551"/>
      <c r="H1273" s="551"/>
      <c r="I1273" s="551"/>
      <c r="J1273" s="551"/>
      <c r="K1273" s="551"/>
      <c r="L1273" s="551"/>
      <c r="M1273" s="551"/>
      <c r="N1273" s="551"/>
      <c r="O1273" s="551"/>
      <c r="P1273" s="551"/>
      <c r="Q1273" s="79"/>
      <c r="R1273" s="79"/>
      <c r="S1273" s="79"/>
      <c r="T1273" s="79"/>
      <c r="U1273" s="79"/>
      <c r="V1273" s="79"/>
      <c r="W1273" s="79"/>
      <c r="X1273" s="79"/>
      <c r="Y1273" s="79"/>
      <c r="Z1273" s="79"/>
      <c r="AA1273" s="79"/>
      <c r="AB1273" s="79"/>
      <c r="AC1273" s="79"/>
      <c r="AD1273" s="79"/>
      <c r="AE1273" s="79"/>
      <c r="AF1273" s="79"/>
    </row>
    <row r="1274" spans="1:32" s="2" customFormat="1">
      <c r="A1274" s="551"/>
      <c r="B1274" s="551"/>
      <c r="C1274" s="551"/>
      <c r="D1274" s="551"/>
      <c r="E1274" s="551"/>
      <c r="F1274" s="551"/>
      <c r="G1274" s="551"/>
      <c r="H1274" s="551"/>
      <c r="I1274" s="551"/>
      <c r="J1274" s="551"/>
      <c r="K1274" s="551"/>
      <c r="L1274" s="551"/>
      <c r="M1274" s="551"/>
      <c r="N1274" s="551"/>
      <c r="O1274" s="551"/>
      <c r="P1274" s="551"/>
      <c r="Q1274" s="79"/>
      <c r="R1274" s="79"/>
      <c r="S1274" s="79"/>
      <c r="T1274" s="79"/>
      <c r="U1274" s="79"/>
      <c r="V1274" s="79"/>
      <c r="W1274" s="79"/>
      <c r="X1274" s="79"/>
      <c r="Y1274" s="79"/>
      <c r="Z1274" s="79"/>
      <c r="AA1274" s="79"/>
      <c r="AB1274" s="79"/>
      <c r="AC1274" s="79"/>
      <c r="AD1274" s="79"/>
      <c r="AE1274" s="79"/>
      <c r="AF1274" s="79"/>
    </row>
    <row r="1275" spans="1:32" s="2" customFormat="1">
      <c r="A1275" s="551"/>
      <c r="B1275" s="551"/>
      <c r="C1275" s="551"/>
      <c r="D1275" s="551"/>
      <c r="E1275" s="551"/>
      <c r="F1275" s="551"/>
      <c r="G1275" s="551"/>
      <c r="H1275" s="551"/>
      <c r="I1275" s="551"/>
      <c r="J1275" s="551"/>
      <c r="K1275" s="551"/>
      <c r="L1275" s="551"/>
      <c r="M1275" s="551"/>
      <c r="N1275" s="551"/>
      <c r="O1275" s="551"/>
      <c r="P1275" s="551"/>
      <c r="Q1275" s="79"/>
      <c r="R1275" s="79"/>
      <c r="S1275" s="79"/>
      <c r="T1275" s="79"/>
      <c r="U1275" s="79"/>
      <c r="V1275" s="79"/>
      <c r="W1275" s="79"/>
      <c r="X1275" s="79"/>
      <c r="Y1275" s="79"/>
      <c r="Z1275" s="79"/>
      <c r="AA1275" s="79"/>
      <c r="AB1275" s="79"/>
      <c r="AC1275" s="79"/>
      <c r="AD1275" s="79"/>
      <c r="AE1275" s="79"/>
      <c r="AF1275" s="79"/>
    </row>
    <row r="1276" spans="1:32" s="2" customFormat="1">
      <c r="A1276" s="551"/>
      <c r="B1276" s="551"/>
      <c r="C1276" s="551"/>
      <c r="D1276" s="551"/>
      <c r="E1276" s="551"/>
      <c r="F1276" s="551"/>
      <c r="G1276" s="551"/>
      <c r="H1276" s="551"/>
      <c r="I1276" s="551"/>
      <c r="J1276" s="551"/>
      <c r="K1276" s="551"/>
      <c r="L1276" s="551"/>
      <c r="M1276" s="551"/>
      <c r="N1276" s="551"/>
      <c r="O1276" s="551"/>
      <c r="P1276" s="551"/>
      <c r="Q1276" s="79"/>
      <c r="R1276" s="79"/>
      <c r="S1276" s="79"/>
      <c r="T1276" s="79"/>
      <c r="U1276" s="79"/>
      <c r="V1276" s="79"/>
      <c r="W1276" s="79"/>
      <c r="X1276" s="79"/>
      <c r="Y1276" s="79"/>
      <c r="Z1276" s="79"/>
      <c r="AA1276" s="79"/>
      <c r="AB1276" s="79"/>
      <c r="AC1276" s="79"/>
      <c r="AD1276" s="79"/>
      <c r="AE1276" s="79"/>
      <c r="AF1276" s="79"/>
    </row>
    <row r="1277" spans="1:32" s="2" customFormat="1">
      <c r="A1277" s="551"/>
      <c r="B1277" s="551"/>
      <c r="C1277" s="551"/>
      <c r="D1277" s="551"/>
      <c r="E1277" s="551"/>
      <c r="F1277" s="551"/>
      <c r="G1277" s="551"/>
      <c r="H1277" s="551"/>
      <c r="I1277" s="551"/>
      <c r="J1277" s="551"/>
      <c r="K1277" s="551"/>
      <c r="L1277" s="551"/>
      <c r="M1277" s="551"/>
      <c r="N1277" s="551"/>
      <c r="O1277" s="551"/>
      <c r="P1277" s="551"/>
      <c r="Q1277" s="79"/>
      <c r="R1277" s="79"/>
      <c r="S1277" s="79"/>
      <c r="T1277" s="79"/>
      <c r="U1277" s="79"/>
      <c r="V1277" s="79"/>
      <c r="W1277" s="79"/>
      <c r="X1277" s="79"/>
      <c r="Y1277" s="79"/>
      <c r="Z1277" s="79"/>
      <c r="AA1277" s="79"/>
      <c r="AB1277" s="79"/>
      <c r="AC1277" s="79"/>
      <c r="AD1277" s="79"/>
      <c r="AE1277" s="79"/>
      <c r="AF1277" s="79"/>
    </row>
    <row r="1278" spans="1:32" s="2" customFormat="1">
      <c r="A1278" s="551"/>
      <c r="B1278" s="551"/>
      <c r="C1278" s="551"/>
      <c r="D1278" s="551"/>
      <c r="E1278" s="551"/>
      <c r="F1278" s="551"/>
      <c r="G1278" s="551"/>
      <c r="H1278" s="551"/>
      <c r="I1278" s="551"/>
      <c r="J1278" s="551"/>
      <c r="K1278" s="551"/>
      <c r="L1278" s="551"/>
      <c r="M1278" s="551"/>
      <c r="N1278" s="551"/>
      <c r="O1278" s="551"/>
      <c r="P1278" s="551"/>
      <c r="Q1278" s="79"/>
      <c r="R1278" s="79"/>
      <c r="S1278" s="79"/>
      <c r="T1278" s="79"/>
      <c r="U1278" s="79"/>
      <c r="V1278" s="79"/>
      <c r="W1278" s="79"/>
      <c r="X1278" s="79"/>
      <c r="Y1278" s="79"/>
      <c r="Z1278" s="79"/>
      <c r="AA1278" s="79"/>
      <c r="AB1278" s="79"/>
      <c r="AC1278" s="79"/>
      <c r="AD1278" s="79"/>
      <c r="AE1278" s="79"/>
      <c r="AF1278" s="79"/>
    </row>
    <row r="1279" spans="1:32" s="2" customFormat="1">
      <c r="A1279" s="551"/>
      <c r="B1279" s="551"/>
      <c r="C1279" s="551"/>
      <c r="D1279" s="551"/>
      <c r="E1279" s="551"/>
      <c r="F1279" s="551"/>
      <c r="G1279" s="551"/>
      <c r="H1279" s="551"/>
      <c r="I1279" s="551"/>
      <c r="J1279" s="551"/>
      <c r="K1279" s="551"/>
      <c r="L1279" s="551"/>
      <c r="M1279" s="551"/>
      <c r="N1279" s="551"/>
      <c r="O1279" s="551"/>
      <c r="P1279" s="551"/>
      <c r="Q1279" s="79"/>
      <c r="R1279" s="79"/>
      <c r="S1279" s="79"/>
      <c r="T1279" s="79"/>
      <c r="U1279" s="79"/>
      <c r="V1279" s="79"/>
      <c r="W1279" s="79"/>
      <c r="X1279" s="79"/>
      <c r="Y1279" s="79"/>
      <c r="Z1279" s="79"/>
      <c r="AA1279" s="79"/>
      <c r="AB1279" s="79"/>
      <c r="AC1279" s="79"/>
      <c r="AD1279" s="79"/>
      <c r="AE1279" s="79"/>
      <c r="AF1279" s="79"/>
    </row>
    <row r="1280" spans="1:32" s="2" customFormat="1">
      <c r="A1280" s="551"/>
      <c r="B1280" s="551"/>
      <c r="C1280" s="551"/>
      <c r="D1280" s="551"/>
      <c r="E1280" s="551"/>
      <c r="F1280" s="551"/>
      <c r="G1280" s="551"/>
      <c r="H1280" s="551"/>
      <c r="I1280" s="551"/>
      <c r="J1280" s="551"/>
      <c r="K1280" s="551"/>
      <c r="L1280" s="551"/>
      <c r="M1280" s="551"/>
      <c r="N1280" s="551"/>
      <c r="O1280" s="551"/>
      <c r="P1280" s="551"/>
      <c r="Q1280" s="79"/>
      <c r="R1280" s="79"/>
      <c r="S1280" s="79"/>
      <c r="T1280" s="79"/>
      <c r="U1280" s="79"/>
      <c r="V1280" s="79"/>
      <c r="W1280" s="79"/>
      <c r="X1280" s="79"/>
      <c r="Y1280" s="79"/>
      <c r="Z1280" s="79"/>
      <c r="AA1280" s="79"/>
      <c r="AB1280" s="79"/>
      <c r="AC1280" s="79"/>
      <c r="AD1280" s="79"/>
      <c r="AE1280" s="79"/>
      <c r="AF1280" s="79"/>
    </row>
    <row r="1281" spans="1:32" s="2" customFormat="1">
      <c r="A1281" s="551"/>
      <c r="B1281" s="551"/>
      <c r="C1281" s="551"/>
      <c r="D1281" s="551"/>
      <c r="E1281" s="551"/>
      <c r="F1281" s="551"/>
      <c r="G1281" s="551"/>
      <c r="H1281" s="551"/>
      <c r="I1281" s="551"/>
      <c r="J1281" s="551"/>
      <c r="K1281" s="551"/>
      <c r="L1281" s="551"/>
      <c r="M1281" s="551"/>
      <c r="N1281" s="551"/>
      <c r="O1281" s="551"/>
      <c r="P1281" s="551"/>
      <c r="Q1281" s="79"/>
      <c r="R1281" s="79"/>
      <c r="S1281" s="79"/>
      <c r="T1281" s="79"/>
      <c r="U1281" s="79"/>
      <c r="V1281" s="79"/>
      <c r="W1281" s="79"/>
      <c r="X1281" s="79"/>
      <c r="Y1281" s="79"/>
      <c r="Z1281" s="79"/>
      <c r="AA1281" s="79"/>
      <c r="AB1281" s="79"/>
      <c r="AC1281" s="79"/>
      <c r="AD1281" s="79"/>
      <c r="AE1281" s="79"/>
      <c r="AF1281" s="79"/>
    </row>
    <row r="1282" spans="1:32" s="2" customFormat="1">
      <c r="A1282" s="551"/>
      <c r="B1282" s="551"/>
      <c r="C1282" s="551"/>
      <c r="D1282" s="551"/>
      <c r="E1282" s="551"/>
      <c r="F1282" s="551"/>
      <c r="G1282" s="551"/>
      <c r="H1282" s="551"/>
      <c r="I1282" s="551"/>
      <c r="J1282" s="551"/>
      <c r="K1282" s="551"/>
      <c r="L1282" s="551"/>
      <c r="M1282" s="551"/>
      <c r="N1282" s="551"/>
      <c r="O1282" s="551"/>
      <c r="P1282" s="551"/>
      <c r="Q1282" s="79"/>
      <c r="R1282" s="79"/>
      <c r="S1282" s="79"/>
      <c r="T1282" s="79"/>
      <c r="U1282" s="79"/>
      <c r="V1282" s="79"/>
      <c r="W1282" s="79"/>
      <c r="X1282" s="79"/>
      <c r="Y1282" s="79"/>
      <c r="Z1282" s="79"/>
      <c r="AA1282" s="79"/>
      <c r="AB1282" s="79"/>
      <c r="AC1282" s="79"/>
      <c r="AD1282" s="79"/>
      <c r="AE1282" s="79"/>
      <c r="AF1282" s="79"/>
    </row>
    <row r="1283" spans="1:32" s="2" customFormat="1">
      <c r="A1283" s="551"/>
      <c r="B1283" s="551"/>
      <c r="C1283" s="551"/>
      <c r="D1283" s="551"/>
      <c r="E1283" s="551"/>
      <c r="F1283" s="551"/>
      <c r="G1283" s="551"/>
      <c r="H1283" s="551"/>
      <c r="I1283" s="551"/>
      <c r="J1283" s="551"/>
      <c r="K1283" s="551"/>
      <c r="L1283" s="551"/>
      <c r="M1283" s="551"/>
      <c r="N1283" s="551"/>
      <c r="O1283" s="551"/>
      <c r="P1283" s="551"/>
      <c r="Q1283" s="79"/>
      <c r="R1283" s="79"/>
      <c r="S1283" s="79"/>
      <c r="T1283" s="79"/>
      <c r="U1283" s="79"/>
      <c r="V1283" s="79"/>
      <c r="W1283" s="79"/>
      <c r="X1283" s="79"/>
      <c r="Y1283" s="79"/>
      <c r="Z1283" s="79"/>
      <c r="AA1283" s="79"/>
      <c r="AB1283" s="79"/>
      <c r="AC1283" s="79"/>
      <c r="AD1283" s="79"/>
      <c r="AE1283" s="79"/>
      <c r="AF1283" s="79"/>
    </row>
    <row r="1284" spans="1:32" s="2" customFormat="1">
      <c r="A1284" s="551"/>
      <c r="B1284" s="551"/>
      <c r="C1284" s="551"/>
      <c r="D1284" s="551"/>
      <c r="E1284" s="551"/>
      <c r="F1284" s="551"/>
      <c r="G1284" s="551"/>
      <c r="H1284" s="551"/>
      <c r="I1284" s="551"/>
      <c r="J1284" s="551"/>
      <c r="K1284" s="551"/>
      <c r="L1284" s="551"/>
      <c r="M1284" s="551"/>
      <c r="N1284" s="551"/>
      <c r="O1284" s="551"/>
      <c r="P1284" s="551"/>
      <c r="Q1284" s="79"/>
      <c r="R1284" s="79"/>
      <c r="S1284" s="79"/>
      <c r="T1284" s="79"/>
      <c r="U1284" s="79"/>
      <c r="V1284" s="79"/>
      <c r="W1284" s="79"/>
      <c r="X1284" s="79"/>
      <c r="Y1284" s="79"/>
      <c r="Z1284" s="79"/>
      <c r="AA1284" s="79"/>
      <c r="AB1284" s="79"/>
      <c r="AC1284" s="79"/>
      <c r="AD1284" s="79"/>
      <c r="AE1284" s="79"/>
      <c r="AF1284" s="79"/>
    </row>
    <row r="1285" spans="1:32" s="2" customFormat="1">
      <c r="A1285" s="551"/>
      <c r="B1285" s="551"/>
      <c r="C1285" s="551"/>
      <c r="D1285" s="551"/>
      <c r="E1285" s="551"/>
      <c r="F1285" s="551"/>
      <c r="G1285" s="551"/>
      <c r="H1285" s="551"/>
      <c r="I1285" s="551"/>
      <c r="J1285" s="551"/>
      <c r="K1285" s="551"/>
      <c r="L1285" s="551"/>
      <c r="M1285" s="551"/>
      <c r="N1285" s="551"/>
      <c r="O1285" s="551"/>
      <c r="P1285" s="551"/>
      <c r="Q1285" s="79"/>
      <c r="R1285" s="79"/>
      <c r="S1285" s="79"/>
      <c r="T1285" s="79"/>
      <c r="U1285" s="79"/>
      <c r="V1285" s="79"/>
      <c r="W1285" s="79"/>
      <c r="X1285" s="79"/>
      <c r="Y1285" s="79"/>
      <c r="Z1285" s="79"/>
      <c r="AA1285" s="79"/>
      <c r="AB1285" s="79"/>
      <c r="AC1285" s="79"/>
      <c r="AD1285" s="79"/>
      <c r="AE1285" s="79"/>
      <c r="AF1285" s="79"/>
    </row>
    <row r="1286" spans="1:32" s="2" customFormat="1">
      <c r="A1286" s="551"/>
      <c r="B1286" s="551"/>
      <c r="C1286" s="551"/>
      <c r="D1286" s="551"/>
      <c r="E1286" s="551"/>
      <c r="F1286" s="551"/>
      <c r="G1286" s="551"/>
      <c r="H1286" s="551"/>
      <c r="I1286" s="551"/>
      <c r="J1286" s="551"/>
      <c r="K1286" s="551"/>
      <c r="L1286" s="551"/>
      <c r="M1286" s="551"/>
      <c r="N1286" s="551"/>
      <c r="O1286" s="551"/>
      <c r="P1286" s="551"/>
      <c r="Q1286" s="79"/>
      <c r="R1286" s="79"/>
      <c r="S1286" s="79"/>
      <c r="T1286" s="79"/>
      <c r="U1286" s="79"/>
      <c r="V1286" s="79"/>
      <c r="W1286" s="79"/>
      <c r="X1286" s="79"/>
      <c r="Y1286" s="79"/>
      <c r="Z1286" s="79"/>
      <c r="AA1286" s="79"/>
      <c r="AB1286" s="79"/>
      <c r="AC1286" s="79"/>
      <c r="AD1286" s="79"/>
      <c r="AE1286" s="79"/>
      <c r="AF1286" s="79"/>
    </row>
    <row r="1287" spans="1:32" s="2" customFormat="1">
      <c r="A1287" s="551"/>
      <c r="B1287" s="551"/>
      <c r="C1287" s="551"/>
      <c r="D1287" s="551"/>
      <c r="E1287" s="551"/>
      <c r="F1287" s="551"/>
      <c r="G1287" s="551"/>
      <c r="H1287" s="551"/>
      <c r="I1287" s="551"/>
      <c r="J1287" s="551"/>
      <c r="K1287" s="551"/>
      <c r="L1287" s="551"/>
      <c r="M1287" s="551"/>
      <c r="N1287" s="551"/>
      <c r="O1287" s="551"/>
      <c r="P1287" s="551"/>
      <c r="Q1287" s="79"/>
      <c r="R1287" s="79"/>
      <c r="S1287" s="79"/>
      <c r="T1287" s="79"/>
      <c r="U1287" s="79"/>
      <c r="V1287" s="79"/>
      <c r="W1287" s="79"/>
      <c r="X1287" s="79"/>
      <c r="Y1287" s="79"/>
      <c r="Z1287" s="79"/>
      <c r="AA1287" s="79"/>
      <c r="AB1287" s="79"/>
      <c r="AC1287" s="79"/>
      <c r="AD1287" s="79"/>
      <c r="AE1287" s="79"/>
      <c r="AF1287" s="79"/>
    </row>
    <row r="1288" spans="1:32" s="2" customFormat="1">
      <c r="A1288" s="551"/>
      <c r="B1288" s="551"/>
      <c r="C1288" s="551"/>
      <c r="D1288" s="551"/>
      <c r="E1288" s="551"/>
      <c r="F1288" s="551"/>
      <c r="G1288" s="551"/>
      <c r="H1288" s="551"/>
      <c r="I1288" s="551"/>
      <c r="J1288" s="551"/>
      <c r="K1288" s="551"/>
      <c r="L1288" s="551"/>
      <c r="M1288" s="551"/>
      <c r="N1288" s="551"/>
      <c r="O1288" s="551"/>
      <c r="P1288" s="551"/>
      <c r="Q1288" s="79"/>
      <c r="R1288" s="79"/>
      <c r="S1288" s="79"/>
      <c r="T1288" s="79"/>
      <c r="U1288" s="79"/>
      <c r="V1288" s="79"/>
      <c r="W1288" s="79"/>
      <c r="X1288" s="79"/>
      <c r="Y1288" s="79"/>
      <c r="Z1288" s="79"/>
      <c r="AA1288" s="79"/>
      <c r="AB1288" s="79"/>
      <c r="AC1288" s="79"/>
      <c r="AD1288" s="79"/>
      <c r="AE1288" s="79"/>
      <c r="AF1288" s="79"/>
    </row>
    <row r="1289" spans="1:32" s="2" customFormat="1">
      <c r="A1289" s="551"/>
      <c r="B1289" s="551"/>
      <c r="C1289" s="551"/>
      <c r="D1289" s="551"/>
      <c r="E1289" s="551"/>
      <c r="F1289" s="551"/>
      <c r="G1289" s="551"/>
      <c r="H1289" s="551"/>
      <c r="I1289" s="551"/>
      <c r="J1289" s="551"/>
      <c r="K1289" s="551"/>
      <c r="L1289" s="551"/>
      <c r="M1289" s="551"/>
      <c r="N1289" s="551"/>
      <c r="O1289" s="551"/>
      <c r="P1289" s="551"/>
      <c r="Q1289" s="79"/>
      <c r="R1289" s="79"/>
      <c r="S1289" s="79"/>
      <c r="T1289" s="79"/>
      <c r="U1289" s="79"/>
      <c r="V1289" s="79"/>
      <c r="W1289" s="79"/>
      <c r="X1289" s="79"/>
      <c r="Y1289" s="79"/>
      <c r="Z1289" s="79"/>
      <c r="AA1289" s="79"/>
      <c r="AB1289" s="79"/>
      <c r="AC1289" s="79"/>
      <c r="AD1289" s="79"/>
      <c r="AE1289" s="79"/>
      <c r="AF1289" s="79"/>
    </row>
    <row r="1290" spans="1:32" s="2" customFormat="1">
      <c r="A1290" s="551"/>
      <c r="B1290" s="551"/>
      <c r="C1290" s="551"/>
      <c r="D1290" s="551"/>
      <c r="E1290" s="551"/>
      <c r="F1290" s="551"/>
      <c r="G1290" s="551"/>
      <c r="H1290" s="551"/>
      <c r="I1290" s="551"/>
      <c r="J1290" s="551"/>
      <c r="K1290" s="551"/>
      <c r="L1290" s="551"/>
      <c r="M1290" s="551"/>
      <c r="N1290" s="551"/>
      <c r="O1290" s="551"/>
      <c r="P1290" s="551"/>
      <c r="Q1290" s="79"/>
      <c r="R1290" s="79"/>
      <c r="S1290" s="79"/>
      <c r="T1290" s="79"/>
      <c r="U1290" s="79"/>
      <c r="V1290" s="79"/>
      <c r="W1290" s="79"/>
      <c r="X1290" s="79"/>
      <c r="Y1290" s="79"/>
      <c r="Z1290" s="79"/>
      <c r="AA1290" s="79"/>
      <c r="AB1290" s="79"/>
      <c r="AC1290" s="79"/>
      <c r="AD1290" s="79"/>
      <c r="AE1290" s="79"/>
      <c r="AF1290" s="79"/>
    </row>
    <row r="1291" spans="1:32" s="2" customFormat="1">
      <c r="A1291" s="551"/>
      <c r="B1291" s="551"/>
      <c r="C1291" s="551"/>
      <c r="D1291" s="551"/>
      <c r="E1291" s="551"/>
      <c r="F1291" s="551"/>
      <c r="G1291" s="551"/>
      <c r="H1291" s="551"/>
      <c r="I1291" s="551"/>
      <c r="J1291" s="551"/>
      <c r="K1291" s="551"/>
      <c r="L1291" s="551"/>
      <c r="M1291" s="551"/>
      <c r="N1291" s="551"/>
      <c r="O1291" s="551"/>
      <c r="P1291" s="551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  <c r="AD1291" s="79"/>
      <c r="AE1291" s="79"/>
      <c r="AF1291" s="79"/>
    </row>
    <row r="1292" spans="1:32" s="2" customFormat="1">
      <c r="A1292" s="551"/>
      <c r="B1292" s="551"/>
      <c r="C1292" s="551"/>
      <c r="D1292" s="551"/>
      <c r="E1292" s="551"/>
      <c r="F1292" s="551"/>
      <c r="G1292" s="551"/>
      <c r="H1292" s="551"/>
      <c r="I1292" s="551"/>
      <c r="J1292" s="551"/>
      <c r="K1292" s="551"/>
      <c r="L1292" s="551"/>
      <c r="M1292" s="551"/>
      <c r="N1292" s="551"/>
      <c r="O1292" s="551"/>
      <c r="P1292" s="551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  <c r="AD1292" s="79"/>
      <c r="AE1292" s="79"/>
      <c r="AF1292" s="79"/>
    </row>
    <row r="1293" spans="1:32" s="2" customFormat="1">
      <c r="A1293" s="551"/>
      <c r="B1293" s="551"/>
      <c r="C1293" s="551"/>
      <c r="D1293" s="551"/>
      <c r="E1293" s="551"/>
      <c r="F1293" s="551"/>
      <c r="G1293" s="551"/>
      <c r="H1293" s="551"/>
      <c r="I1293" s="551"/>
      <c r="J1293" s="551"/>
      <c r="K1293" s="551"/>
      <c r="L1293" s="551"/>
      <c r="M1293" s="551"/>
      <c r="N1293" s="551"/>
      <c r="O1293" s="551"/>
      <c r="P1293" s="551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  <c r="AD1293" s="79"/>
      <c r="AE1293" s="79"/>
      <c r="AF1293" s="79"/>
    </row>
    <row r="1294" spans="1:32" s="2" customFormat="1">
      <c r="A1294" s="551"/>
      <c r="B1294" s="551"/>
      <c r="C1294" s="551"/>
      <c r="D1294" s="551"/>
      <c r="E1294" s="551"/>
      <c r="F1294" s="551"/>
      <c r="G1294" s="551"/>
      <c r="H1294" s="551"/>
      <c r="I1294" s="551"/>
      <c r="J1294" s="551"/>
      <c r="K1294" s="551"/>
      <c r="L1294" s="551"/>
      <c r="M1294" s="551"/>
      <c r="N1294" s="551"/>
      <c r="O1294" s="551"/>
      <c r="P1294" s="551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  <c r="AD1294" s="79"/>
      <c r="AE1294" s="79"/>
      <c r="AF1294" s="79"/>
    </row>
    <row r="1295" spans="1:32" s="2" customFormat="1">
      <c r="A1295" s="551"/>
      <c r="B1295" s="551"/>
      <c r="C1295" s="551"/>
      <c r="D1295" s="551"/>
      <c r="E1295" s="551"/>
      <c r="F1295" s="551"/>
      <c r="G1295" s="551"/>
      <c r="H1295" s="551"/>
      <c r="I1295" s="551"/>
      <c r="J1295" s="551"/>
      <c r="K1295" s="551"/>
      <c r="L1295" s="551"/>
      <c r="M1295" s="551"/>
      <c r="N1295" s="551"/>
      <c r="O1295" s="551"/>
      <c r="P1295" s="551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  <c r="AD1295" s="79"/>
      <c r="AE1295" s="79"/>
      <c r="AF1295" s="79"/>
    </row>
    <row r="1296" spans="1:32" s="2" customFormat="1">
      <c r="A1296" s="551"/>
      <c r="B1296" s="551"/>
      <c r="C1296" s="551"/>
      <c r="D1296" s="551"/>
      <c r="E1296" s="551"/>
      <c r="F1296" s="551"/>
      <c r="G1296" s="551"/>
      <c r="H1296" s="551"/>
      <c r="I1296" s="551"/>
      <c r="J1296" s="551"/>
      <c r="K1296" s="551"/>
      <c r="L1296" s="551"/>
      <c r="M1296" s="551"/>
      <c r="N1296" s="551"/>
      <c r="O1296" s="551"/>
      <c r="P1296" s="551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  <c r="AD1296" s="79"/>
      <c r="AE1296" s="79"/>
      <c r="AF1296" s="79"/>
    </row>
    <row r="1297" spans="1:32" s="2" customFormat="1">
      <c r="A1297" s="551"/>
      <c r="B1297" s="551"/>
      <c r="C1297" s="551"/>
      <c r="D1297" s="551"/>
      <c r="E1297" s="551"/>
      <c r="F1297" s="551"/>
      <c r="G1297" s="551"/>
      <c r="H1297" s="551"/>
      <c r="I1297" s="551"/>
      <c r="J1297" s="551"/>
      <c r="K1297" s="551"/>
      <c r="L1297" s="551"/>
      <c r="M1297" s="551"/>
      <c r="N1297" s="551"/>
      <c r="O1297" s="551"/>
      <c r="P1297" s="551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  <c r="AD1297" s="79"/>
      <c r="AE1297" s="79"/>
      <c r="AF1297" s="79"/>
    </row>
    <row r="1298" spans="1:32" s="2" customFormat="1">
      <c r="A1298" s="551"/>
      <c r="B1298" s="551"/>
      <c r="C1298" s="551"/>
      <c r="D1298" s="551"/>
      <c r="E1298" s="551"/>
      <c r="F1298" s="551"/>
      <c r="G1298" s="551"/>
      <c r="H1298" s="551"/>
      <c r="I1298" s="551"/>
      <c r="J1298" s="551"/>
      <c r="K1298" s="551"/>
      <c r="L1298" s="551"/>
      <c r="M1298" s="551"/>
      <c r="N1298" s="551"/>
      <c r="O1298" s="551"/>
      <c r="P1298" s="551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  <c r="AD1298" s="79"/>
      <c r="AE1298" s="79"/>
      <c r="AF1298" s="79"/>
    </row>
    <row r="1299" spans="1:32" s="2" customFormat="1">
      <c r="A1299" s="551"/>
      <c r="B1299" s="551"/>
      <c r="C1299" s="551"/>
      <c r="D1299" s="551"/>
      <c r="E1299" s="551"/>
      <c r="F1299" s="551"/>
      <c r="G1299" s="551"/>
      <c r="H1299" s="551"/>
      <c r="I1299" s="551"/>
      <c r="J1299" s="551"/>
      <c r="K1299" s="551"/>
      <c r="L1299" s="551"/>
      <c r="M1299" s="551"/>
      <c r="N1299" s="551"/>
      <c r="O1299" s="551"/>
      <c r="P1299" s="551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  <c r="AD1299" s="79"/>
      <c r="AE1299" s="79"/>
      <c r="AF1299" s="79"/>
    </row>
    <row r="1300" spans="1:32" s="2" customFormat="1">
      <c r="A1300" s="551"/>
      <c r="B1300" s="551"/>
      <c r="C1300" s="551"/>
      <c r="D1300" s="551"/>
      <c r="E1300" s="551"/>
      <c r="F1300" s="551"/>
      <c r="G1300" s="551"/>
      <c r="H1300" s="551"/>
      <c r="I1300" s="551"/>
      <c r="J1300" s="551"/>
      <c r="K1300" s="551"/>
      <c r="L1300" s="551"/>
      <c r="M1300" s="551"/>
      <c r="N1300" s="551"/>
      <c r="O1300" s="551"/>
      <c r="P1300" s="551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  <c r="AD1300" s="79"/>
      <c r="AE1300" s="79"/>
      <c r="AF1300" s="79"/>
    </row>
    <row r="1301" spans="1:32" s="2" customFormat="1">
      <c r="A1301" s="551"/>
      <c r="B1301" s="551"/>
      <c r="C1301" s="551"/>
      <c r="D1301" s="551"/>
      <c r="E1301" s="551"/>
      <c r="F1301" s="551"/>
      <c r="G1301" s="551"/>
      <c r="H1301" s="551"/>
      <c r="I1301" s="551"/>
      <c r="J1301" s="551"/>
      <c r="K1301" s="551"/>
      <c r="L1301" s="551"/>
      <c r="M1301" s="551"/>
      <c r="N1301" s="551"/>
      <c r="O1301" s="551"/>
      <c r="P1301" s="551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  <c r="AD1301" s="79"/>
      <c r="AE1301" s="79"/>
      <c r="AF1301" s="79"/>
    </row>
    <row r="1302" spans="1:32" s="2" customFormat="1">
      <c r="A1302" s="551"/>
      <c r="B1302" s="551"/>
      <c r="C1302" s="551"/>
      <c r="D1302" s="551"/>
      <c r="E1302" s="551"/>
      <c r="F1302" s="551"/>
      <c r="G1302" s="551"/>
      <c r="H1302" s="551"/>
      <c r="I1302" s="551"/>
      <c r="J1302" s="551"/>
      <c r="K1302" s="551"/>
      <c r="L1302" s="551"/>
      <c r="M1302" s="551"/>
      <c r="N1302" s="551"/>
      <c r="O1302" s="551"/>
      <c r="P1302" s="551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  <c r="AD1302" s="79"/>
      <c r="AE1302" s="79"/>
      <c r="AF1302" s="79"/>
    </row>
    <row r="1303" spans="1:32" s="2" customFormat="1">
      <c r="A1303" s="551"/>
      <c r="B1303" s="551"/>
      <c r="C1303" s="551"/>
      <c r="D1303" s="551"/>
      <c r="E1303" s="551"/>
      <c r="F1303" s="551"/>
      <c r="G1303" s="551"/>
      <c r="H1303" s="551"/>
      <c r="I1303" s="551"/>
      <c r="J1303" s="551"/>
      <c r="K1303" s="551"/>
      <c r="L1303" s="551"/>
      <c r="M1303" s="551"/>
      <c r="N1303" s="551"/>
      <c r="O1303" s="551"/>
      <c r="P1303" s="551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  <c r="AD1303" s="79"/>
      <c r="AE1303" s="79"/>
      <c r="AF1303" s="79"/>
    </row>
    <row r="1304" spans="1:32" s="2" customFormat="1">
      <c r="A1304" s="551"/>
      <c r="B1304" s="551"/>
      <c r="C1304" s="551"/>
      <c r="D1304" s="551"/>
      <c r="E1304" s="551"/>
      <c r="F1304" s="551"/>
      <c r="G1304" s="551"/>
      <c r="H1304" s="551"/>
      <c r="I1304" s="551"/>
      <c r="J1304" s="551"/>
      <c r="K1304" s="551"/>
      <c r="L1304" s="551"/>
      <c r="M1304" s="551"/>
      <c r="N1304" s="551"/>
      <c r="O1304" s="551"/>
      <c r="P1304" s="551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  <c r="AD1304" s="79"/>
      <c r="AE1304" s="79"/>
      <c r="AF1304" s="79"/>
    </row>
    <row r="1305" spans="1:32" s="2" customFormat="1">
      <c r="A1305" s="551"/>
      <c r="B1305" s="551"/>
      <c r="C1305" s="551"/>
      <c r="D1305" s="551"/>
      <c r="E1305" s="551"/>
      <c r="F1305" s="551"/>
      <c r="G1305" s="551"/>
      <c r="H1305" s="551"/>
      <c r="I1305" s="551"/>
      <c r="J1305" s="551"/>
      <c r="K1305" s="551"/>
      <c r="L1305" s="551"/>
      <c r="M1305" s="551"/>
      <c r="N1305" s="551"/>
      <c r="O1305" s="551"/>
      <c r="P1305" s="551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  <c r="AD1305" s="79"/>
      <c r="AE1305" s="79"/>
      <c r="AF1305" s="79"/>
    </row>
    <row r="1306" spans="1:32" s="2" customFormat="1">
      <c r="A1306" s="551"/>
      <c r="B1306" s="551"/>
      <c r="C1306" s="551"/>
      <c r="D1306" s="551"/>
      <c r="E1306" s="551"/>
      <c r="F1306" s="551"/>
      <c r="G1306" s="551"/>
      <c r="H1306" s="551"/>
      <c r="I1306" s="551"/>
      <c r="J1306" s="551"/>
      <c r="K1306" s="551"/>
      <c r="L1306" s="551"/>
      <c r="M1306" s="551"/>
      <c r="N1306" s="551"/>
      <c r="O1306" s="551"/>
      <c r="P1306" s="551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  <c r="AD1306" s="79"/>
      <c r="AE1306" s="79"/>
      <c r="AF1306" s="79"/>
    </row>
    <row r="1307" spans="1:32" s="2" customFormat="1">
      <c r="A1307" s="551"/>
      <c r="B1307" s="551"/>
      <c r="C1307" s="551"/>
      <c r="D1307" s="551"/>
      <c r="E1307" s="551"/>
      <c r="F1307" s="551"/>
      <c r="G1307" s="551"/>
      <c r="H1307" s="551"/>
      <c r="I1307" s="551"/>
      <c r="J1307" s="551"/>
      <c r="K1307" s="551"/>
      <c r="L1307" s="551"/>
      <c r="M1307" s="551"/>
      <c r="N1307" s="551"/>
      <c r="O1307" s="551"/>
      <c r="P1307" s="551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  <c r="AD1307" s="79"/>
      <c r="AE1307" s="79"/>
      <c r="AF1307" s="79"/>
    </row>
    <row r="1308" spans="1:32" s="2" customFormat="1">
      <c r="A1308" s="551"/>
      <c r="B1308" s="551"/>
      <c r="C1308" s="551"/>
      <c r="D1308" s="551"/>
      <c r="E1308" s="551"/>
      <c r="F1308" s="551"/>
      <c r="G1308" s="551"/>
      <c r="H1308" s="551"/>
      <c r="I1308" s="551"/>
      <c r="J1308" s="551"/>
      <c r="K1308" s="551"/>
      <c r="L1308" s="551"/>
      <c r="M1308" s="551"/>
      <c r="N1308" s="551"/>
      <c r="O1308" s="551"/>
      <c r="P1308" s="551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  <c r="AD1308" s="79"/>
      <c r="AE1308" s="79"/>
      <c r="AF1308" s="79"/>
    </row>
    <row r="1309" spans="1:32" s="2" customFormat="1">
      <c r="A1309" s="551"/>
      <c r="B1309" s="551"/>
      <c r="C1309" s="551"/>
      <c r="D1309" s="551"/>
      <c r="E1309" s="551"/>
      <c r="F1309" s="551"/>
      <c r="G1309" s="551"/>
      <c r="H1309" s="551"/>
      <c r="I1309" s="551"/>
      <c r="J1309" s="551"/>
      <c r="K1309" s="551"/>
      <c r="L1309" s="551"/>
      <c r="M1309" s="551"/>
      <c r="N1309" s="551"/>
      <c r="O1309" s="551"/>
      <c r="P1309" s="551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  <c r="AD1309" s="79"/>
      <c r="AE1309" s="79"/>
      <c r="AF1309" s="79"/>
    </row>
    <row r="1310" spans="1:32" s="2" customFormat="1">
      <c r="A1310" s="551"/>
      <c r="B1310" s="551"/>
      <c r="C1310" s="551"/>
      <c r="D1310" s="551"/>
      <c r="E1310" s="551"/>
      <c r="F1310" s="551"/>
      <c r="G1310" s="551"/>
      <c r="H1310" s="551"/>
      <c r="I1310" s="551"/>
      <c r="J1310" s="551"/>
      <c r="K1310" s="551"/>
      <c r="L1310" s="551"/>
      <c r="M1310" s="551"/>
      <c r="N1310" s="551"/>
      <c r="O1310" s="551"/>
      <c r="P1310" s="551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  <c r="AD1310" s="79"/>
      <c r="AE1310" s="79"/>
      <c r="AF1310" s="79"/>
    </row>
    <row r="1311" spans="1:32" s="2" customFormat="1">
      <c r="A1311" s="551"/>
      <c r="B1311" s="551"/>
      <c r="C1311" s="551"/>
      <c r="D1311" s="551"/>
      <c r="E1311" s="551"/>
      <c r="F1311" s="551"/>
      <c r="G1311" s="551"/>
      <c r="H1311" s="551"/>
      <c r="I1311" s="551"/>
      <c r="J1311" s="551"/>
      <c r="K1311" s="551"/>
      <c r="L1311" s="551"/>
      <c r="M1311" s="551"/>
      <c r="N1311" s="551"/>
      <c r="O1311" s="551"/>
      <c r="P1311" s="551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  <c r="AD1311" s="79"/>
      <c r="AE1311" s="79"/>
      <c r="AF1311" s="79"/>
    </row>
    <row r="1312" spans="1:32" s="2" customFormat="1">
      <c r="A1312" s="551"/>
      <c r="B1312" s="551"/>
      <c r="C1312" s="551"/>
      <c r="D1312" s="551"/>
      <c r="E1312" s="551"/>
      <c r="F1312" s="551"/>
      <c r="G1312" s="551"/>
      <c r="H1312" s="551"/>
      <c r="I1312" s="551"/>
      <c r="J1312" s="551"/>
      <c r="K1312" s="551"/>
      <c r="L1312" s="551"/>
      <c r="M1312" s="551"/>
      <c r="N1312" s="551"/>
      <c r="O1312" s="551"/>
      <c r="P1312" s="551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  <c r="AD1312" s="79"/>
      <c r="AE1312" s="79"/>
      <c r="AF1312" s="79"/>
    </row>
    <row r="1313" spans="1:32" s="2" customFormat="1">
      <c r="A1313" s="551"/>
      <c r="B1313" s="551"/>
      <c r="C1313" s="551"/>
      <c r="D1313" s="551"/>
      <c r="E1313" s="551"/>
      <c r="F1313" s="551"/>
      <c r="G1313" s="551"/>
      <c r="H1313" s="551"/>
      <c r="I1313" s="551"/>
      <c r="J1313" s="551"/>
      <c r="K1313" s="551"/>
      <c r="L1313" s="551"/>
      <c r="M1313" s="551"/>
      <c r="N1313" s="551"/>
      <c r="O1313" s="551"/>
      <c r="P1313" s="551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  <c r="AD1313" s="79"/>
      <c r="AE1313" s="79"/>
      <c r="AF1313" s="79"/>
    </row>
    <row r="1314" spans="1:32" s="2" customFormat="1">
      <c r="A1314" s="551"/>
      <c r="B1314" s="551"/>
      <c r="C1314" s="551"/>
      <c r="D1314" s="551"/>
      <c r="E1314" s="551"/>
      <c r="F1314" s="551"/>
      <c r="G1314" s="551"/>
      <c r="H1314" s="551"/>
      <c r="I1314" s="551"/>
      <c r="J1314" s="551"/>
      <c r="K1314" s="551"/>
      <c r="L1314" s="551"/>
      <c r="M1314" s="551"/>
      <c r="N1314" s="551"/>
      <c r="O1314" s="551"/>
      <c r="P1314" s="551"/>
      <c r="Q1314" s="79"/>
      <c r="R1314" s="79"/>
      <c r="S1314" s="79"/>
      <c r="T1314" s="79"/>
      <c r="U1314" s="79"/>
      <c r="V1314" s="79"/>
      <c r="W1314" s="79"/>
      <c r="X1314" s="79"/>
      <c r="Y1314" s="79"/>
      <c r="Z1314" s="79"/>
      <c r="AA1314" s="79"/>
      <c r="AB1314" s="79"/>
      <c r="AC1314" s="79"/>
      <c r="AD1314" s="79"/>
      <c r="AE1314" s="79"/>
      <c r="AF1314" s="79"/>
    </row>
    <row r="1315" spans="1:32" s="2" customFormat="1">
      <c r="A1315" s="551"/>
      <c r="B1315" s="551"/>
      <c r="C1315" s="551"/>
      <c r="D1315" s="551"/>
      <c r="E1315" s="551"/>
      <c r="F1315" s="551"/>
      <c r="G1315" s="551"/>
      <c r="H1315" s="551"/>
      <c r="I1315" s="551"/>
      <c r="J1315" s="551"/>
      <c r="K1315" s="551"/>
      <c r="L1315" s="551"/>
      <c r="M1315" s="551"/>
      <c r="N1315" s="551"/>
      <c r="O1315" s="551"/>
      <c r="P1315" s="551"/>
      <c r="Q1315" s="79"/>
      <c r="R1315" s="79"/>
      <c r="S1315" s="79"/>
      <c r="T1315" s="79"/>
      <c r="U1315" s="79"/>
      <c r="V1315" s="79"/>
      <c r="W1315" s="79"/>
      <c r="X1315" s="79"/>
      <c r="Y1315" s="79"/>
      <c r="Z1315" s="79"/>
      <c r="AA1315" s="79"/>
      <c r="AB1315" s="79"/>
      <c r="AC1315" s="79"/>
      <c r="AD1315" s="79"/>
      <c r="AE1315" s="79"/>
      <c r="AF1315" s="79"/>
    </row>
    <row r="1316" spans="1:32" s="2" customFormat="1">
      <c r="A1316" s="551"/>
      <c r="B1316" s="551"/>
      <c r="C1316" s="551"/>
      <c r="D1316" s="551"/>
      <c r="E1316" s="551"/>
      <c r="F1316" s="551"/>
      <c r="G1316" s="551"/>
      <c r="H1316" s="551"/>
      <c r="I1316" s="551"/>
      <c r="J1316" s="551"/>
      <c r="K1316" s="551"/>
      <c r="L1316" s="551"/>
      <c r="M1316" s="551"/>
      <c r="N1316" s="551"/>
      <c r="O1316" s="551"/>
      <c r="P1316" s="551"/>
      <c r="Q1316" s="79"/>
      <c r="R1316" s="79"/>
      <c r="S1316" s="79"/>
      <c r="T1316" s="79"/>
      <c r="U1316" s="79"/>
      <c r="V1316" s="79"/>
      <c r="W1316" s="79"/>
      <c r="X1316" s="79"/>
      <c r="Y1316" s="79"/>
      <c r="Z1316" s="79"/>
      <c r="AA1316" s="79"/>
      <c r="AB1316" s="79"/>
      <c r="AC1316" s="79"/>
      <c r="AD1316" s="79"/>
      <c r="AE1316" s="79"/>
      <c r="AF1316" s="79"/>
    </row>
    <row r="1317" spans="1:32" s="2" customFormat="1">
      <c r="A1317" s="551"/>
      <c r="B1317" s="551"/>
      <c r="C1317" s="551"/>
      <c r="D1317" s="551"/>
      <c r="E1317" s="551"/>
      <c r="F1317" s="551"/>
      <c r="G1317" s="551"/>
      <c r="H1317" s="551"/>
      <c r="I1317" s="551"/>
      <c r="J1317" s="551"/>
      <c r="K1317" s="551"/>
      <c r="L1317" s="551"/>
      <c r="M1317" s="551"/>
      <c r="N1317" s="551"/>
      <c r="O1317" s="551"/>
      <c r="P1317" s="551"/>
      <c r="Q1317" s="79"/>
      <c r="R1317" s="79"/>
      <c r="S1317" s="79"/>
      <c r="T1317" s="79"/>
      <c r="U1317" s="79"/>
      <c r="V1317" s="79"/>
      <c r="W1317" s="79"/>
      <c r="X1317" s="79"/>
      <c r="Y1317" s="79"/>
      <c r="Z1317" s="79"/>
      <c r="AA1317" s="79"/>
      <c r="AB1317" s="79"/>
      <c r="AC1317" s="79"/>
      <c r="AD1317" s="79"/>
      <c r="AE1317" s="79"/>
      <c r="AF1317" s="79"/>
    </row>
    <row r="1318" spans="1:32" s="2" customFormat="1">
      <c r="A1318" s="551"/>
      <c r="B1318" s="551"/>
      <c r="C1318" s="551"/>
      <c r="D1318" s="551"/>
      <c r="E1318" s="551"/>
      <c r="F1318" s="551"/>
      <c r="G1318" s="551"/>
      <c r="H1318" s="551"/>
      <c r="I1318" s="551"/>
      <c r="J1318" s="551"/>
      <c r="K1318" s="551"/>
      <c r="L1318" s="551"/>
      <c r="M1318" s="551"/>
      <c r="N1318" s="551"/>
      <c r="O1318" s="551"/>
      <c r="P1318" s="551"/>
      <c r="Q1318" s="79"/>
      <c r="R1318" s="79"/>
      <c r="S1318" s="79"/>
      <c r="T1318" s="79"/>
      <c r="U1318" s="79"/>
      <c r="V1318" s="79"/>
      <c r="W1318" s="79"/>
      <c r="X1318" s="79"/>
      <c r="Y1318" s="79"/>
      <c r="Z1318" s="79"/>
      <c r="AA1318" s="79"/>
      <c r="AB1318" s="79"/>
      <c r="AC1318" s="79"/>
      <c r="AD1318" s="79"/>
      <c r="AE1318" s="79"/>
      <c r="AF1318" s="79"/>
    </row>
    <row r="1319" spans="1:32" s="2" customFormat="1">
      <c r="A1319" s="551"/>
      <c r="B1319" s="551"/>
      <c r="C1319" s="551"/>
      <c r="D1319" s="551"/>
      <c r="E1319" s="551"/>
      <c r="F1319" s="551"/>
      <c r="G1319" s="551"/>
      <c r="H1319" s="551"/>
      <c r="I1319" s="551"/>
      <c r="J1319" s="551"/>
      <c r="K1319" s="551"/>
      <c r="L1319" s="551"/>
      <c r="M1319" s="551"/>
      <c r="N1319" s="551"/>
      <c r="O1319" s="551"/>
      <c r="P1319" s="551"/>
      <c r="Q1319" s="79"/>
      <c r="R1319" s="79"/>
      <c r="S1319" s="79"/>
      <c r="T1319" s="79"/>
      <c r="U1319" s="79"/>
      <c r="V1319" s="79"/>
      <c r="W1319" s="79"/>
      <c r="X1319" s="79"/>
      <c r="Y1319" s="79"/>
      <c r="Z1319" s="79"/>
      <c r="AA1319" s="79"/>
      <c r="AB1319" s="79"/>
      <c r="AC1319" s="79"/>
      <c r="AD1319" s="79"/>
      <c r="AE1319" s="79"/>
      <c r="AF1319" s="79"/>
    </row>
    <row r="1320" spans="1:32" s="2" customFormat="1">
      <c r="A1320" s="551"/>
      <c r="B1320" s="551"/>
      <c r="C1320" s="551"/>
      <c r="D1320" s="551"/>
      <c r="E1320" s="551"/>
      <c r="F1320" s="551"/>
      <c r="G1320" s="551"/>
      <c r="H1320" s="551"/>
      <c r="I1320" s="551"/>
      <c r="J1320" s="551"/>
      <c r="K1320" s="551"/>
      <c r="L1320" s="551"/>
      <c r="M1320" s="551"/>
      <c r="N1320" s="551"/>
      <c r="O1320" s="551"/>
      <c r="P1320" s="551"/>
      <c r="Q1320" s="79"/>
      <c r="R1320" s="79"/>
      <c r="S1320" s="79"/>
      <c r="T1320" s="79"/>
      <c r="U1320" s="79"/>
      <c r="V1320" s="79"/>
      <c r="W1320" s="79"/>
      <c r="X1320" s="79"/>
      <c r="Y1320" s="79"/>
      <c r="Z1320" s="79"/>
      <c r="AA1320" s="79"/>
      <c r="AB1320" s="79"/>
      <c r="AC1320" s="79"/>
      <c r="AD1320" s="79"/>
      <c r="AE1320" s="79"/>
      <c r="AF1320" s="79"/>
    </row>
    <row r="1321" spans="1:32" s="2" customFormat="1">
      <c r="A1321" s="551"/>
      <c r="B1321" s="551"/>
      <c r="C1321" s="551"/>
      <c r="D1321" s="551"/>
      <c r="E1321" s="551"/>
      <c r="F1321" s="551"/>
      <c r="G1321" s="551"/>
      <c r="H1321" s="551"/>
      <c r="I1321" s="551"/>
      <c r="J1321" s="551"/>
      <c r="K1321" s="551"/>
      <c r="L1321" s="551"/>
      <c r="M1321" s="551"/>
      <c r="N1321" s="551"/>
      <c r="O1321" s="551"/>
      <c r="P1321" s="551"/>
      <c r="Q1321" s="79"/>
      <c r="R1321" s="79"/>
      <c r="S1321" s="79"/>
      <c r="T1321" s="79"/>
      <c r="U1321" s="79"/>
      <c r="V1321" s="79"/>
      <c r="W1321" s="79"/>
      <c r="X1321" s="79"/>
      <c r="Y1321" s="79"/>
      <c r="Z1321" s="79"/>
      <c r="AA1321" s="79"/>
      <c r="AB1321" s="79"/>
      <c r="AC1321" s="79"/>
      <c r="AD1321" s="79"/>
      <c r="AE1321" s="79"/>
      <c r="AF1321" s="79"/>
    </row>
    <row r="1322" spans="1:32" s="2" customFormat="1">
      <c r="A1322" s="551"/>
      <c r="B1322" s="551"/>
      <c r="C1322" s="551"/>
      <c r="D1322" s="551"/>
      <c r="E1322" s="551"/>
      <c r="F1322" s="551"/>
      <c r="G1322" s="551"/>
      <c r="H1322" s="551"/>
      <c r="I1322" s="551"/>
      <c r="J1322" s="551"/>
      <c r="K1322" s="551"/>
      <c r="L1322" s="551"/>
      <c r="M1322" s="551"/>
      <c r="N1322" s="551"/>
      <c r="O1322" s="551"/>
      <c r="P1322" s="551"/>
      <c r="Q1322" s="79"/>
      <c r="R1322" s="79"/>
      <c r="S1322" s="79"/>
      <c r="T1322" s="79"/>
      <c r="U1322" s="79"/>
      <c r="V1322" s="79"/>
      <c r="W1322" s="79"/>
      <c r="X1322" s="79"/>
      <c r="Y1322" s="79"/>
      <c r="Z1322" s="79"/>
      <c r="AA1322" s="79"/>
      <c r="AB1322" s="79"/>
      <c r="AC1322" s="79"/>
      <c r="AD1322" s="79"/>
      <c r="AE1322" s="79"/>
      <c r="AF1322" s="79"/>
    </row>
    <row r="1323" spans="1:32" s="2" customFormat="1">
      <c r="A1323" s="551"/>
      <c r="B1323" s="551"/>
      <c r="C1323" s="551"/>
      <c r="D1323" s="551"/>
      <c r="E1323" s="551"/>
      <c r="F1323" s="551"/>
      <c r="G1323" s="551"/>
      <c r="H1323" s="551"/>
      <c r="I1323" s="551"/>
      <c r="J1323" s="551"/>
      <c r="K1323" s="551"/>
      <c r="L1323" s="551"/>
      <c r="M1323" s="551"/>
      <c r="N1323" s="551"/>
      <c r="O1323" s="551"/>
      <c r="P1323" s="551"/>
      <c r="Q1323" s="79"/>
      <c r="R1323" s="79"/>
      <c r="S1323" s="79"/>
      <c r="T1323" s="79"/>
      <c r="U1323" s="79"/>
      <c r="V1323" s="79"/>
      <c r="W1323" s="79"/>
      <c r="X1323" s="79"/>
      <c r="Y1323" s="79"/>
      <c r="Z1323" s="79"/>
      <c r="AA1323" s="79"/>
      <c r="AB1323" s="79"/>
      <c r="AC1323" s="79"/>
      <c r="AD1323" s="79"/>
      <c r="AE1323" s="79"/>
      <c r="AF1323" s="79"/>
    </row>
    <row r="1324" spans="1:32" s="2" customFormat="1">
      <c r="A1324" s="551"/>
      <c r="B1324" s="551"/>
      <c r="C1324" s="551"/>
      <c r="D1324" s="551"/>
      <c r="E1324" s="551"/>
      <c r="F1324" s="551"/>
      <c r="G1324" s="551"/>
      <c r="H1324" s="551"/>
      <c r="I1324" s="551"/>
      <c r="J1324" s="551"/>
      <c r="K1324" s="551"/>
      <c r="L1324" s="551"/>
      <c r="M1324" s="551"/>
      <c r="N1324" s="551"/>
      <c r="O1324" s="551"/>
      <c r="P1324" s="551"/>
      <c r="Q1324" s="79"/>
      <c r="R1324" s="79"/>
      <c r="S1324" s="79"/>
      <c r="T1324" s="79"/>
      <c r="U1324" s="79"/>
      <c r="V1324" s="79"/>
      <c r="W1324" s="79"/>
      <c r="X1324" s="79"/>
      <c r="Y1324" s="79"/>
      <c r="Z1324" s="79"/>
      <c r="AA1324" s="79"/>
      <c r="AB1324" s="79"/>
      <c r="AC1324" s="79"/>
      <c r="AD1324" s="79"/>
      <c r="AE1324" s="79"/>
      <c r="AF1324" s="79"/>
    </row>
    <row r="1325" spans="1:32" s="2" customFormat="1">
      <c r="A1325" s="551"/>
      <c r="B1325" s="551"/>
      <c r="C1325" s="551"/>
      <c r="D1325" s="551"/>
      <c r="E1325" s="551"/>
      <c r="F1325" s="551"/>
      <c r="G1325" s="551"/>
      <c r="H1325" s="551"/>
      <c r="I1325" s="551"/>
      <c r="J1325" s="551"/>
      <c r="K1325" s="551"/>
      <c r="L1325" s="551"/>
      <c r="M1325" s="551"/>
      <c r="N1325" s="551"/>
      <c r="O1325" s="551"/>
      <c r="P1325" s="551"/>
      <c r="Q1325" s="79"/>
      <c r="R1325" s="79"/>
      <c r="S1325" s="79"/>
      <c r="T1325" s="79"/>
      <c r="U1325" s="79"/>
      <c r="V1325" s="79"/>
      <c r="W1325" s="79"/>
      <c r="X1325" s="79"/>
      <c r="Y1325" s="79"/>
      <c r="Z1325" s="79"/>
      <c r="AA1325" s="79"/>
      <c r="AB1325" s="79"/>
      <c r="AC1325" s="79"/>
      <c r="AD1325" s="79"/>
      <c r="AE1325" s="79"/>
      <c r="AF1325" s="79"/>
    </row>
    <row r="1326" spans="1:32" s="2" customFormat="1">
      <c r="A1326" s="551"/>
      <c r="B1326" s="551"/>
      <c r="C1326" s="551"/>
      <c r="D1326" s="551"/>
      <c r="E1326" s="551"/>
      <c r="F1326" s="551"/>
      <c r="G1326" s="551"/>
      <c r="H1326" s="551"/>
      <c r="I1326" s="551"/>
      <c r="J1326" s="551"/>
      <c r="K1326" s="551"/>
      <c r="L1326" s="551"/>
      <c r="M1326" s="551"/>
      <c r="N1326" s="551"/>
      <c r="O1326" s="551"/>
      <c r="P1326" s="551"/>
      <c r="Q1326" s="79"/>
      <c r="R1326" s="79"/>
      <c r="S1326" s="79"/>
      <c r="T1326" s="79"/>
      <c r="U1326" s="79"/>
      <c r="V1326" s="79"/>
      <c r="W1326" s="79"/>
      <c r="X1326" s="79"/>
      <c r="Y1326" s="79"/>
      <c r="Z1326" s="79"/>
      <c r="AA1326" s="79"/>
      <c r="AB1326" s="79"/>
      <c r="AC1326" s="79"/>
      <c r="AD1326" s="79"/>
      <c r="AE1326" s="79"/>
      <c r="AF1326" s="79"/>
    </row>
    <row r="1327" spans="1:32" s="2" customFormat="1">
      <c r="A1327" s="551"/>
      <c r="B1327" s="551"/>
      <c r="C1327" s="551"/>
      <c r="D1327" s="551"/>
      <c r="E1327" s="551"/>
      <c r="F1327" s="551"/>
      <c r="G1327" s="551"/>
      <c r="H1327" s="551"/>
      <c r="I1327" s="551"/>
      <c r="J1327" s="551"/>
      <c r="K1327" s="551"/>
      <c r="L1327" s="551"/>
      <c r="M1327" s="551"/>
      <c r="N1327" s="551"/>
      <c r="O1327" s="551"/>
      <c r="P1327" s="551"/>
      <c r="Q1327" s="79"/>
      <c r="R1327" s="79"/>
      <c r="S1327" s="79"/>
      <c r="T1327" s="79"/>
      <c r="U1327" s="79"/>
      <c r="V1327" s="79"/>
      <c r="W1327" s="79"/>
      <c r="X1327" s="79"/>
      <c r="Y1327" s="79"/>
      <c r="Z1327" s="79"/>
      <c r="AA1327" s="79"/>
      <c r="AB1327" s="79"/>
      <c r="AC1327" s="79"/>
      <c r="AD1327" s="79"/>
      <c r="AE1327" s="79"/>
      <c r="AF1327" s="79"/>
    </row>
    <row r="1328" spans="1:32" s="2" customFormat="1">
      <c r="A1328" s="551"/>
      <c r="B1328" s="551"/>
      <c r="C1328" s="551"/>
      <c r="D1328" s="551"/>
      <c r="E1328" s="551"/>
      <c r="F1328" s="551"/>
      <c r="G1328" s="551"/>
      <c r="H1328" s="551"/>
      <c r="I1328" s="551"/>
      <c r="J1328" s="551"/>
      <c r="K1328" s="551"/>
      <c r="L1328" s="551"/>
      <c r="M1328" s="551"/>
      <c r="N1328" s="551"/>
      <c r="O1328" s="551"/>
      <c r="P1328" s="551"/>
      <c r="Q1328" s="79"/>
      <c r="R1328" s="79"/>
      <c r="S1328" s="79"/>
      <c r="T1328" s="79"/>
      <c r="U1328" s="79"/>
      <c r="V1328" s="79"/>
      <c r="W1328" s="79"/>
      <c r="X1328" s="79"/>
      <c r="Y1328" s="79"/>
      <c r="Z1328" s="79"/>
      <c r="AA1328" s="79"/>
      <c r="AB1328" s="79"/>
      <c r="AC1328" s="79"/>
      <c r="AD1328" s="79"/>
      <c r="AE1328" s="79"/>
      <c r="AF1328" s="79"/>
    </row>
    <row r="1329" spans="1:32" s="2" customFormat="1">
      <c r="A1329" s="551"/>
      <c r="B1329" s="551"/>
      <c r="C1329" s="551"/>
      <c r="D1329" s="551"/>
      <c r="E1329" s="551"/>
      <c r="F1329" s="551"/>
      <c r="G1329" s="551"/>
      <c r="H1329" s="551"/>
      <c r="I1329" s="551"/>
      <c r="J1329" s="551"/>
      <c r="K1329" s="551"/>
      <c r="L1329" s="551"/>
      <c r="M1329" s="551"/>
      <c r="N1329" s="551"/>
      <c r="O1329" s="551"/>
      <c r="P1329" s="551"/>
      <c r="Q1329" s="79"/>
      <c r="R1329" s="79"/>
      <c r="S1329" s="79"/>
      <c r="T1329" s="79"/>
      <c r="U1329" s="79"/>
      <c r="V1329" s="79"/>
      <c r="W1329" s="79"/>
      <c r="X1329" s="79"/>
      <c r="Y1329" s="79"/>
      <c r="Z1329" s="79"/>
      <c r="AA1329" s="79"/>
      <c r="AB1329" s="79"/>
      <c r="AC1329" s="79"/>
      <c r="AD1329" s="79"/>
      <c r="AE1329" s="79"/>
      <c r="AF1329" s="79"/>
    </row>
    <row r="1330" spans="1:32" s="2" customFormat="1">
      <c r="A1330" s="551"/>
      <c r="B1330" s="551"/>
      <c r="C1330" s="551"/>
      <c r="D1330" s="551"/>
      <c r="E1330" s="551"/>
      <c r="F1330" s="551"/>
      <c r="G1330" s="551"/>
      <c r="H1330" s="551"/>
      <c r="I1330" s="551"/>
      <c r="J1330" s="551"/>
      <c r="K1330" s="551"/>
      <c r="L1330" s="551"/>
      <c r="M1330" s="551"/>
      <c r="N1330" s="551"/>
      <c r="O1330" s="551"/>
      <c r="P1330" s="551"/>
      <c r="Q1330" s="79"/>
      <c r="R1330" s="79"/>
      <c r="S1330" s="79"/>
      <c r="T1330" s="79"/>
      <c r="U1330" s="79"/>
      <c r="V1330" s="79"/>
      <c r="W1330" s="79"/>
      <c r="X1330" s="79"/>
      <c r="Y1330" s="79"/>
      <c r="Z1330" s="79"/>
      <c r="AA1330" s="79"/>
      <c r="AB1330" s="79"/>
      <c r="AC1330" s="79"/>
      <c r="AD1330" s="79"/>
      <c r="AE1330" s="79"/>
      <c r="AF1330" s="79"/>
    </row>
    <row r="1331" spans="1:32" s="2" customFormat="1">
      <c r="A1331" s="551"/>
      <c r="B1331" s="551"/>
      <c r="C1331" s="551"/>
      <c r="D1331" s="551"/>
      <c r="E1331" s="551"/>
      <c r="F1331" s="551"/>
      <c r="G1331" s="551"/>
      <c r="H1331" s="551"/>
      <c r="I1331" s="551"/>
      <c r="J1331" s="551"/>
      <c r="K1331" s="551"/>
      <c r="L1331" s="551"/>
      <c r="M1331" s="551"/>
      <c r="N1331" s="551"/>
      <c r="O1331" s="551"/>
      <c r="P1331" s="551"/>
      <c r="Q1331" s="79"/>
      <c r="R1331" s="79"/>
      <c r="S1331" s="79"/>
      <c r="T1331" s="79"/>
      <c r="U1331" s="79"/>
      <c r="V1331" s="79"/>
      <c r="W1331" s="79"/>
      <c r="X1331" s="79"/>
      <c r="Y1331" s="79"/>
      <c r="Z1331" s="79"/>
      <c r="AA1331" s="79"/>
      <c r="AB1331" s="79"/>
      <c r="AC1331" s="79"/>
      <c r="AD1331" s="79"/>
      <c r="AE1331" s="79"/>
      <c r="AF1331" s="79"/>
    </row>
    <row r="1332" spans="1:32" s="2" customFormat="1">
      <c r="A1332" s="551"/>
      <c r="B1332" s="551"/>
      <c r="C1332" s="551"/>
      <c r="D1332" s="551"/>
      <c r="E1332" s="551"/>
      <c r="F1332" s="551"/>
      <c r="G1332" s="551"/>
      <c r="H1332" s="551"/>
      <c r="I1332" s="551"/>
      <c r="J1332" s="551"/>
      <c r="K1332" s="551"/>
      <c r="L1332" s="551"/>
      <c r="M1332" s="551"/>
      <c r="N1332" s="551"/>
      <c r="O1332" s="551"/>
      <c r="P1332" s="551"/>
      <c r="Q1332" s="79"/>
      <c r="R1332" s="79"/>
      <c r="S1332" s="79"/>
      <c r="T1332" s="79"/>
      <c r="U1332" s="79"/>
      <c r="V1332" s="79"/>
      <c r="W1332" s="79"/>
      <c r="X1332" s="79"/>
      <c r="Y1332" s="79"/>
      <c r="Z1332" s="79"/>
      <c r="AA1332" s="79"/>
      <c r="AB1332" s="79"/>
      <c r="AC1332" s="79"/>
      <c r="AD1332" s="79"/>
      <c r="AE1332" s="79"/>
      <c r="AF1332" s="79"/>
    </row>
    <row r="1333" spans="1:32" s="2" customFormat="1">
      <c r="A1333" s="551"/>
      <c r="B1333" s="551"/>
      <c r="C1333" s="551"/>
      <c r="D1333" s="551"/>
      <c r="E1333" s="551"/>
      <c r="F1333" s="551"/>
      <c r="G1333" s="551"/>
      <c r="H1333" s="551"/>
      <c r="I1333" s="551"/>
      <c r="J1333" s="551"/>
      <c r="K1333" s="551"/>
      <c r="L1333" s="551"/>
      <c r="M1333" s="551"/>
      <c r="N1333" s="551"/>
      <c r="O1333" s="551"/>
      <c r="P1333" s="551"/>
      <c r="Q1333" s="79"/>
      <c r="R1333" s="79"/>
      <c r="S1333" s="79"/>
      <c r="T1333" s="79"/>
      <c r="U1333" s="79"/>
      <c r="V1333" s="79"/>
      <c r="W1333" s="79"/>
      <c r="X1333" s="79"/>
      <c r="Y1333" s="79"/>
      <c r="Z1333" s="79"/>
      <c r="AA1333" s="79"/>
      <c r="AB1333" s="79"/>
      <c r="AC1333" s="79"/>
      <c r="AD1333" s="79"/>
      <c r="AE1333" s="79"/>
      <c r="AF1333" s="79"/>
    </row>
    <row r="1334" spans="1:32" s="2" customFormat="1">
      <c r="A1334" s="551"/>
      <c r="B1334" s="551"/>
      <c r="C1334" s="551"/>
      <c r="D1334" s="551"/>
      <c r="E1334" s="551"/>
      <c r="F1334" s="551"/>
      <c r="G1334" s="551"/>
      <c r="H1334" s="551"/>
      <c r="I1334" s="551"/>
      <c r="J1334" s="551"/>
      <c r="K1334" s="551"/>
      <c r="L1334" s="551"/>
      <c r="M1334" s="551"/>
      <c r="N1334" s="551"/>
      <c r="O1334" s="551"/>
      <c r="P1334" s="551"/>
      <c r="Q1334" s="79"/>
      <c r="R1334" s="79"/>
      <c r="S1334" s="79"/>
      <c r="T1334" s="79"/>
      <c r="U1334" s="79"/>
      <c r="V1334" s="79"/>
      <c r="W1334" s="79"/>
      <c r="X1334" s="79"/>
      <c r="Y1334" s="79"/>
      <c r="Z1334" s="79"/>
      <c r="AA1334" s="79"/>
      <c r="AB1334" s="79"/>
      <c r="AC1334" s="79"/>
      <c r="AD1334" s="79"/>
      <c r="AE1334" s="79"/>
      <c r="AF1334" s="79"/>
    </row>
    <row r="1335" spans="1:32" s="2" customFormat="1">
      <c r="A1335" s="551"/>
      <c r="B1335" s="551"/>
      <c r="C1335" s="551"/>
      <c r="D1335" s="551"/>
      <c r="E1335" s="551"/>
      <c r="F1335" s="551"/>
      <c r="G1335" s="551"/>
      <c r="H1335" s="551"/>
      <c r="I1335" s="551"/>
      <c r="J1335" s="551"/>
      <c r="K1335" s="551"/>
      <c r="L1335" s="551"/>
      <c r="M1335" s="551"/>
      <c r="N1335" s="551"/>
      <c r="O1335" s="551"/>
      <c r="P1335" s="551"/>
      <c r="Q1335" s="79"/>
      <c r="R1335" s="79"/>
      <c r="S1335" s="79"/>
      <c r="T1335" s="79"/>
      <c r="U1335" s="79"/>
      <c r="V1335" s="79"/>
      <c r="W1335" s="79"/>
      <c r="X1335" s="79"/>
      <c r="Y1335" s="79"/>
      <c r="Z1335" s="79"/>
      <c r="AA1335" s="79"/>
      <c r="AB1335" s="79"/>
      <c r="AC1335" s="79"/>
      <c r="AD1335" s="79"/>
      <c r="AE1335" s="79"/>
      <c r="AF1335" s="79"/>
    </row>
    <row r="1336" spans="1:32" s="2" customFormat="1">
      <c r="A1336" s="551"/>
      <c r="B1336" s="551"/>
      <c r="C1336" s="551"/>
      <c r="D1336" s="551"/>
      <c r="E1336" s="551"/>
      <c r="F1336" s="551"/>
      <c r="G1336" s="551"/>
      <c r="H1336" s="551"/>
      <c r="I1336" s="551"/>
      <c r="J1336" s="551"/>
      <c r="K1336" s="551"/>
      <c r="L1336" s="551"/>
      <c r="M1336" s="551"/>
      <c r="N1336" s="551"/>
      <c r="O1336" s="551"/>
      <c r="P1336" s="551"/>
      <c r="Q1336" s="79"/>
      <c r="R1336" s="79"/>
      <c r="S1336" s="79"/>
      <c r="T1336" s="79"/>
      <c r="U1336" s="79"/>
      <c r="V1336" s="79"/>
      <c r="W1336" s="79"/>
      <c r="X1336" s="79"/>
      <c r="Y1336" s="79"/>
      <c r="Z1336" s="79"/>
      <c r="AA1336" s="79"/>
      <c r="AB1336" s="79"/>
      <c r="AC1336" s="79"/>
      <c r="AD1336" s="79"/>
      <c r="AE1336" s="79"/>
      <c r="AF1336" s="79"/>
    </row>
    <row r="1337" spans="1:32" s="2" customFormat="1">
      <c r="A1337" s="551"/>
      <c r="B1337" s="551"/>
      <c r="C1337" s="551"/>
      <c r="D1337" s="551"/>
      <c r="E1337" s="551"/>
      <c r="F1337" s="551"/>
      <c r="G1337" s="551"/>
      <c r="H1337" s="551"/>
      <c r="I1337" s="551"/>
      <c r="J1337" s="551"/>
      <c r="K1337" s="551"/>
      <c r="L1337" s="551"/>
      <c r="M1337" s="551"/>
      <c r="N1337" s="551"/>
      <c r="O1337" s="551"/>
      <c r="P1337" s="551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  <c r="AD1337" s="79"/>
      <c r="AE1337" s="79"/>
      <c r="AF1337" s="79"/>
    </row>
    <row r="1338" spans="1:32" s="2" customFormat="1">
      <c r="A1338" s="551"/>
      <c r="B1338" s="551"/>
      <c r="C1338" s="551"/>
      <c r="D1338" s="551"/>
      <c r="E1338" s="551"/>
      <c r="F1338" s="551"/>
      <c r="G1338" s="551"/>
      <c r="H1338" s="551"/>
      <c r="I1338" s="551"/>
      <c r="J1338" s="551"/>
      <c r="K1338" s="551"/>
      <c r="L1338" s="551"/>
      <c r="M1338" s="551"/>
      <c r="N1338" s="551"/>
      <c r="O1338" s="551"/>
      <c r="P1338" s="551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  <c r="AD1338" s="79"/>
      <c r="AE1338" s="79"/>
      <c r="AF1338" s="79"/>
    </row>
    <row r="1339" spans="1:32" s="2" customFormat="1">
      <c r="A1339" s="551"/>
      <c r="B1339" s="551"/>
      <c r="C1339" s="551"/>
      <c r="D1339" s="551"/>
      <c r="E1339" s="551"/>
      <c r="F1339" s="551"/>
      <c r="G1339" s="551"/>
      <c r="H1339" s="551"/>
      <c r="I1339" s="551"/>
      <c r="J1339" s="551"/>
      <c r="K1339" s="551"/>
      <c r="L1339" s="551"/>
      <c r="M1339" s="551"/>
      <c r="N1339" s="551"/>
      <c r="O1339" s="551"/>
      <c r="P1339" s="551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  <c r="AD1339" s="79"/>
      <c r="AE1339" s="79"/>
      <c r="AF1339" s="79"/>
    </row>
    <row r="1340" spans="1:32" s="2" customFormat="1">
      <c r="A1340" s="551"/>
      <c r="B1340" s="551"/>
      <c r="C1340" s="551"/>
      <c r="D1340" s="551"/>
      <c r="E1340" s="551"/>
      <c r="F1340" s="551"/>
      <c r="G1340" s="551"/>
      <c r="H1340" s="551"/>
      <c r="I1340" s="551"/>
      <c r="J1340" s="551"/>
      <c r="K1340" s="551"/>
      <c r="L1340" s="551"/>
      <c r="M1340" s="551"/>
      <c r="N1340" s="551"/>
      <c r="O1340" s="551"/>
      <c r="P1340" s="551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  <c r="AD1340" s="79"/>
      <c r="AE1340" s="79"/>
      <c r="AF1340" s="79"/>
    </row>
    <row r="1341" spans="1:32" s="2" customFormat="1">
      <c r="A1341" s="551"/>
      <c r="B1341" s="551"/>
      <c r="C1341" s="551"/>
      <c r="D1341" s="551"/>
      <c r="E1341" s="551"/>
      <c r="F1341" s="551"/>
      <c r="G1341" s="551"/>
      <c r="H1341" s="551"/>
      <c r="I1341" s="551"/>
      <c r="J1341" s="551"/>
      <c r="K1341" s="551"/>
      <c r="L1341" s="551"/>
      <c r="M1341" s="551"/>
      <c r="N1341" s="551"/>
      <c r="O1341" s="551"/>
      <c r="P1341" s="551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  <c r="AD1341" s="79"/>
      <c r="AE1341" s="79"/>
      <c r="AF1341" s="79"/>
    </row>
    <row r="1342" spans="1:32" s="2" customFormat="1">
      <c r="A1342" s="551"/>
      <c r="B1342" s="551"/>
      <c r="C1342" s="551"/>
      <c r="D1342" s="551"/>
      <c r="E1342" s="551"/>
      <c r="F1342" s="551"/>
      <c r="G1342" s="551"/>
      <c r="H1342" s="551"/>
      <c r="I1342" s="551"/>
      <c r="J1342" s="551"/>
      <c r="K1342" s="551"/>
      <c r="L1342" s="551"/>
      <c r="M1342" s="551"/>
      <c r="N1342" s="551"/>
      <c r="O1342" s="551"/>
      <c r="P1342" s="551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  <c r="AD1342" s="79"/>
      <c r="AE1342" s="79"/>
      <c r="AF1342" s="79"/>
    </row>
    <row r="1343" spans="1:32" s="2" customFormat="1">
      <c r="A1343" s="551"/>
      <c r="B1343" s="551"/>
      <c r="C1343" s="551"/>
      <c r="D1343" s="551"/>
      <c r="E1343" s="551"/>
      <c r="F1343" s="551"/>
      <c r="G1343" s="551"/>
      <c r="H1343" s="551"/>
      <c r="I1343" s="551"/>
      <c r="J1343" s="551"/>
      <c r="K1343" s="551"/>
      <c r="L1343" s="551"/>
      <c r="M1343" s="551"/>
      <c r="N1343" s="551"/>
      <c r="O1343" s="551"/>
      <c r="P1343" s="551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  <c r="AD1343" s="79"/>
      <c r="AE1343" s="79"/>
      <c r="AF1343" s="79"/>
    </row>
    <row r="1344" spans="1:32" s="2" customFormat="1">
      <c r="A1344" s="551"/>
      <c r="B1344" s="551"/>
      <c r="C1344" s="551"/>
      <c r="D1344" s="551"/>
      <c r="E1344" s="551"/>
      <c r="F1344" s="551"/>
      <c r="G1344" s="551"/>
      <c r="H1344" s="551"/>
      <c r="I1344" s="551"/>
      <c r="J1344" s="551"/>
      <c r="K1344" s="551"/>
      <c r="L1344" s="551"/>
      <c r="M1344" s="551"/>
      <c r="N1344" s="551"/>
      <c r="O1344" s="551"/>
      <c r="P1344" s="551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  <c r="AD1344" s="79"/>
      <c r="AE1344" s="79"/>
      <c r="AF1344" s="79"/>
    </row>
    <row r="1345" spans="1:32" s="2" customFormat="1">
      <c r="A1345" s="551"/>
      <c r="B1345" s="551"/>
      <c r="C1345" s="551"/>
      <c r="D1345" s="551"/>
      <c r="E1345" s="551"/>
      <c r="F1345" s="551"/>
      <c r="G1345" s="551"/>
      <c r="H1345" s="551"/>
      <c r="I1345" s="551"/>
      <c r="J1345" s="551"/>
      <c r="K1345" s="551"/>
      <c r="L1345" s="551"/>
      <c r="M1345" s="551"/>
      <c r="N1345" s="551"/>
      <c r="O1345" s="551"/>
      <c r="P1345" s="551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  <c r="AD1345" s="79"/>
      <c r="AE1345" s="79"/>
      <c r="AF1345" s="79"/>
    </row>
    <row r="1346" spans="1:32" s="2" customFormat="1">
      <c r="A1346" s="551"/>
      <c r="B1346" s="551"/>
      <c r="C1346" s="551"/>
      <c r="D1346" s="551"/>
      <c r="E1346" s="551"/>
      <c r="F1346" s="551"/>
      <c r="G1346" s="551"/>
      <c r="H1346" s="551"/>
      <c r="I1346" s="551"/>
      <c r="J1346" s="551"/>
      <c r="K1346" s="551"/>
      <c r="L1346" s="551"/>
      <c r="M1346" s="551"/>
      <c r="N1346" s="551"/>
      <c r="O1346" s="551"/>
      <c r="P1346" s="551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  <c r="AD1346" s="79"/>
      <c r="AE1346" s="79"/>
      <c r="AF1346" s="79"/>
    </row>
    <row r="1347" spans="1:32" s="2" customFormat="1">
      <c r="A1347" s="551"/>
      <c r="B1347" s="551"/>
      <c r="C1347" s="551"/>
      <c r="D1347" s="551"/>
      <c r="E1347" s="551"/>
      <c r="F1347" s="551"/>
      <c r="G1347" s="551"/>
      <c r="H1347" s="551"/>
      <c r="I1347" s="551"/>
      <c r="J1347" s="551"/>
      <c r="K1347" s="551"/>
      <c r="L1347" s="551"/>
      <c r="M1347" s="551"/>
      <c r="N1347" s="551"/>
      <c r="O1347" s="551"/>
      <c r="P1347" s="551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  <c r="AD1347" s="79"/>
      <c r="AE1347" s="79"/>
      <c r="AF1347" s="79"/>
    </row>
    <row r="1348" spans="1:32" s="2" customFormat="1">
      <c r="A1348" s="551"/>
      <c r="B1348" s="551"/>
      <c r="C1348" s="551"/>
      <c r="D1348" s="551"/>
      <c r="E1348" s="551"/>
      <c r="F1348" s="551"/>
      <c r="G1348" s="551"/>
      <c r="H1348" s="551"/>
      <c r="I1348" s="551"/>
      <c r="J1348" s="551"/>
      <c r="K1348" s="551"/>
      <c r="L1348" s="551"/>
      <c r="M1348" s="551"/>
      <c r="N1348" s="551"/>
      <c r="O1348" s="551"/>
      <c r="P1348" s="551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  <c r="AD1348" s="79"/>
      <c r="AE1348" s="79"/>
      <c r="AF1348" s="79"/>
    </row>
    <row r="1349" spans="1:32" s="2" customFormat="1">
      <c r="A1349" s="551"/>
      <c r="B1349" s="551"/>
      <c r="C1349" s="551"/>
      <c r="D1349" s="551"/>
      <c r="E1349" s="551"/>
      <c r="F1349" s="551"/>
      <c r="G1349" s="551"/>
      <c r="H1349" s="551"/>
      <c r="I1349" s="551"/>
      <c r="J1349" s="551"/>
      <c r="K1349" s="551"/>
      <c r="L1349" s="551"/>
      <c r="M1349" s="551"/>
      <c r="N1349" s="551"/>
      <c r="O1349" s="551"/>
      <c r="P1349" s="551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  <c r="AD1349" s="79"/>
      <c r="AE1349" s="79"/>
      <c r="AF1349" s="79"/>
    </row>
    <row r="1350" spans="1:32" s="2" customFormat="1">
      <c r="A1350" s="551"/>
      <c r="B1350" s="551"/>
      <c r="C1350" s="551"/>
      <c r="D1350" s="551"/>
      <c r="E1350" s="551"/>
      <c r="F1350" s="551"/>
      <c r="G1350" s="551"/>
      <c r="H1350" s="551"/>
      <c r="I1350" s="551"/>
      <c r="J1350" s="551"/>
      <c r="K1350" s="551"/>
      <c r="L1350" s="551"/>
      <c r="M1350" s="551"/>
      <c r="N1350" s="551"/>
      <c r="O1350" s="551"/>
      <c r="P1350" s="551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  <c r="AD1350" s="79"/>
      <c r="AE1350" s="79"/>
      <c r="AF1350" s="79"/>
    </row>
    <row r="1351" spans="1:32" s="2" customFormat="1">
      <c r="A1351" s="551"/>
      <c r="B1351" s="551"/>
      <c r="C1351" s="551"/>
      <c r="D1351" s="551"/>
      <c r="E1351" s="551"/>
      <c r="F1351" s="551"/>
      <c r="G1351" s="551"/>
      <c r="H1351" s="551"/>
      <c r="I1351" s="551"/>
      <c r="J1351" s="551"/>
      <c r="K1351" s="551"/>
      <c r="L1351" s="551"/>
      <c r="M1351" s="551"/>
      <c r="N1351" s="551"/>
      <c r="O1351" s="551"/>
      <c r="P1351" s="551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  <c r="AD1351" s="79"/>
      <c r="AE1351" s="79"/>
      <c r="AF1351" s="79"/>
    </row>
    <row r="1352" spans="1:32" s="2" customFormat="1">
      <c r="A1352" s="551"/>
      <c r="B1352" s="551"/>
      <c r="C1352" s="551"/>
      <c r="D1352" s="551"/>
      <c r="E1352" s="551"/>
      <c r="F1352" s="551"/>
      <c r="G1352" s="551"/>
      <c r="H1352" s="551"/>
      <c r="I1352" s="551"/>
      <c r="J1352" s="551"/>
      <c r="K1352" s="551"/>
      <c r="L1352" s="551"/>
      <c r="M1352" s="551"/>
      <c r="N1352" s="551"/>
      <c r="O1352" s="551"/>
      <c r="P1352" s="551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  <c r="AD1352" s="79"/>
      <c r="AE1352" s="79"/>
      <c r="AF1352" s="79"/>
    </row>
    <row r="1353" spans="1:32" s="2" customFormat="1">
      <c r="A1353" s="551"/>
      <c r="B1353" s="551"/>
      <c r="C1353" s="551"/>
      <c r="D1353" s="551"/>
      <c r="E1353" s="551"/>
      <c r="F1353" s="551"/>
      <c r="G1353" s="551"/>
      <c r="H1353" s="551"/>
      <c r="I1353" s="551"/>
      <c r="J1353" s="551"/>
      <c r="K1353" s="551"/>
      <c r="L1353" s="551"/>
      <c r="M1353" s="551"/>
      <c r="N1353" s="551"/>
      <c r="O1353" s="551"/>
      <c r="P1353" s="551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  <c r="AD1353" s="79"/>
      <c r="AE1353" s="79"/>
      <c r="AF1353" s="79"/>
    </row>
    <row r="1354" spans="1:32" s="2" customFormat="1">
      <c r="A1354" s="551"/>
      <c r="B1354" s="551"/>
      <c r="C1354" s="551"/>
      <c r="D1354" s="551"/>
      <c r="E1354" s="551"/>
      <c r="F1354" s="551"/>
      <c r="G1354" s="551"/>
      <c r="H1354" s="551"/>
      <c r="I1354" s="551"/>
      <c r="J1354" s="551"/>
      <c r="K1354" s="551"/>
      <c r="L1354" s="551"/>
      <c r="M1354" s="551"/>
      <c r="N1354" s="551"/>
      <c r="O1354" s="551"/>
      <c r="P1354" s="551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  <c r="AD1354" s="79"/>
      <c r="AE1354" s="79"/>
      <c r="AF1354" s="79"/>
    </row>
    <row r="1355" spans="1:32" s="2" customFormat="1">
      <c r="A1355" s="551"/>
      <c r="B1355" s="551"/>
      <c r="C1355" s="551"/>
      <c r="D1355" s="551"/>
      <c r="E1355" s="551"/>
      <c r="F1355" s="551"/>
      <c r="G1355" s="551"/>
      <c r="H1355" s="551"/>
      <c r="I1355" s="551"/>
      <c r="J1355" s="551"/>
      <c r="K1355" s="551"/>
      <c r="L1355" s="551"/>
      <c r="M1355" s="551"/>
      <c r="N1355" s="551"/>
      <c r="O1355" s="551"/>
      <c r="P1355" s="551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  <c r="AD1355" s="79"/>
      <c r="AE1355" s="79"/>
      <c r="AF1355" s="79"/>
    </row>
    <row r="1356" spans="1:32" s="2" customFormat="1">
      <c r="A1356" s="551"/>
      <c r="B1356" s="551"/>
      <c r="C1356" s="551"/>
      <c r="D1356" s="551"/>
      <c r="E1356" s="551"/>
      <c r="F1356" s="551"/>
      <c r="G1356" s="551"/>
      <c r="H1356" s="551"/>
      <c r="I1356" s="551"/>
      <c r="J1356" s="551"/>
      <c r="K1356" s="551"/>
      <c r="L1356" s="551"/>
      <c r="M1356" s="551"/>
      <c r="N1356" s="551"/>
      <c r="O1356" s="551"/>
      <c r="P1356" s="551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  <c r="AD1356" s="79"/>
      <c r="AE1356" s="79"/>
      <c r="AF1356" s="79"/>
    </row>
    <row r="1357" spans="1:32" s="2" customFormat="1">
      <c r="A1357" s="551"/>
      <c r="B1357" s="551"/>
      <c r="C1357" s="551"/>
      <c r="D1357" s="551"/>
      <c r="E1357" s="551"/>
      <c r="F1357" s="551"/>
      <c r="G1357" s="551"/>
      <c r="H1357" s="551"/>
      <c r="I1357" s="551"/>
      <c r="J1357" s="551"/>
      <c r="K1357" s="551"/>
      <c r="L1357" s="551"/>
      <c r="M1357" s="551"/>
      <c r="N1357" s="551"/>
      <c r="O1357" s="551"/>
      <c r="P1357" s="551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  <c r="AD1357" s="79"/>
      <c r="AE1357" s="79"/>
      <c r="AF1357" s="79"/>
    </row>
    <row r="1358" spans="1:32" s="2" customFormat="1">
      <c r="A1358" s="551"/>
      <c r="B1358" s="551"/>
      <c r="C1358" s="551"/>
      <c r="D1358" s="551"/>
      <c r="E1358" s="551"/>
      <c r="F1358" s="551"/>
      <c r="G1358" s="551"/>
      <c r="H1358" s="551"/>
      <c r="I1358" s="551"/>
      <c r="J1358" s="551"/>
      <c r="K1358" s="551"/>
      <c r="L1358" s="551"/>
      <c r="M1358" s="551"/>
      <c r="N1358" s="551"/>
      <c r="O1358" s="551"/>
      <c r="P1358" s="551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  <c r="AD1358" s="79"/>
      <c r="AE1358" s="79"/>
      <c r="AF1358" s="79"/>
    </row>
    <row r="1359" spans="1:32" s="2" customFormat="1">
      <c r="A1359" s="551"/>
      <c r="B1359" s="551"/>
      <c r="C1359" s="551"/>
      <c r="D1359" s="551"/>
      <c r="E1359" s="551"/>
      <c r="F1359" s="551"/>
      <c r="G1359" s="551"/>
      <c r="H1359" s="551"/>
      <c r="I1359" s="551"/>
      <c r="J1359" s="551"/>
      <c r="K1359" s="551"/>
      <c r="L1359" s="551"/>
      <c r="M1359" s="551"/>
      <c r="N1359" s="551"/>
      <c r="O1359" s="551"/>
      <c r="P1359" s="551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  <c r="AD1359" s="79"/>
      <c r="AE1359" s="79"/>
      <c r="AF1359" s="79"/>
    </row>
    <row r="1360" spans="1:32" s="2" customFormat="1">
      <c r="A1360" s="551"/>
      <c r="B1360" s="551"/>
      <c r="C1360" s="551"/>
      <c r="D1360" s="551"/>
      <c r="E1360" s="551"/>
      <c r="F1360" s="551"/>
      <c r="G1360" s="551"/>
      <c r="H1360" s="551"/>
      <c r="I1360" s="551"/>
      <c r="J1360" s="551"/>
      <c r="K1360" s="551"/>
      <c r="L1360" s="551"/>
      <c r="M1360" s="551"/>
      <c r="N1360" s="551"/>
      <c r="O1360" s="551"/>
      <c r="P1360" s="551"/>
      <c r="Q1360" s="79"/>
      <c r="R1360" s="79"/>
      <c r="S1360" s="79"/>
      <c r="T1360" s="79"/>
      <c r="U1360" s="79"/>
      <c r="V1360" s="79"/>
      <c r="W1360" s="79"/>
      <c r="X1360" s="79"/>
      <c r="Y1360" s="79"/>
      <c r="Z1360" s="79"/>
      <c r="AA1360" s="79"/>
      <c r="AB1360" s="79"/>
      <c r="AC1360" s="79"/>
      <c r="AD1360" s="79"/>
      <c r="AE1360" s="79"/>
      <c r="AF1360" s="79"/>
    </row>
    <row r="1361" spans="1:32" s="2" customFormat="1">
      <c r="A1361" s="551"/>
      <c r="B1361" s="551"/>
      <c r="C1361" s="551"/>
      <c r="D1361" s="551"/>
      <c r="E1361" s="551"/>
      <c r="F1361" s="551"/>
      <c r="G1361" s="551"/>
      <c r="H1361" s="551"/>
      <c r="I1361" s="551"/>
      <c r="J1361" s="551"/>
      <c r="K1361" s="551"/>
      <c r="L1361" s="551"/>
      <c r="M1361" s="551"/>
      <c r="N1361" s="551"/>
      <c r="O1361" s="551"/>
      <c r="P1361" s="551"/>
      <c r="Q1361" s="79"/>
      <c r="R1361" s="79"/>
      <c r="S1361" s="79"/>
      <c r="T1361" s="79"/>
      <c r="U1361" s="79"/>
      <c r="V1361" s="79"/>
      <c r="W1361" s="79"/>
      <c r="X1361" s="79"/>
      <c r="Y1361" s="79"/>
      <c r="Z1361" s="79"/>
      <c r="AA1361" s="79"/>
      <c r="AB1361" s="79"/>
      <c r="AC1361" s="79"/>
      <c r="AD1361" s="79"/>
      <c r="AE1361" s="79"/>
      <c r="AF1361" s="79"/>
    </row>
    <row r="1362" spans="1:32" s="2" customFormat="1">
      <c r="A1362" s="551"/>
      <c r="B1362" s="551"/>
      <c r="C1362" s="551"/>
      <c r="D1362" s="551"/>
      <c r="E1362" s="551"/>
      <c r="F1362" s="551"/>
      <c r="G1362" s="551"/>
      <c r="H1362" s="551"/>
      <c r="I1362" s="551"/>
      <c r="J1362" s="551"/>
      <c r="K1362" s="551"/>
      <c r="L1362" s="551"/>
      <c r="M1362" s="551"/>
      <c r="N1362" s="551"/>
      <c r="O1362" s="551"/>
      <c r="P1362" s="551"/>
      <c r="Q1362" s="79"/>
      <c r="R1362" s="79"/>
      <c r="S1362" s="79"/>
      <c r="T1362" s="79"/>
      <c r="U1362" s="79"/>
      <c r="V1362" s="79"/>
      <c r="W1362" s="79"/>
      <c r="X1362" s="79"/>
      <c r="Y1362" s="79"/>
      <c r="Z1362" s="79"/>
      <c r="AA1362" s="79"/>
      <c r="AB1362" s="79"/>
      <c r="AC1362" s="79"/>
      <c r="AD1362" s="79"/>
      <c r="AE1362" s="79"/>
      <c r="AF1362" s="79"/>
    </row>
    <row r="1363" spans="1:32" s="2" customFormat="1">
      <c r="A1363" s="551"/>
      <c r="B1363" s="551"/>
      <c r="C1363" s="551"/>
      <c r="D1363" s="551"/>
      <c r="E1363" s="551"/>
      <c r="F1363" s="551"/>
      <c r="G1363" s="551"/>
      <c r="H1363" s="551"/>
      <c r="I1363" s="551"/>
      <c r="J1363" s="551"/>
      <c r="K1363" s="551"/>
      <c r="L1363" s="551"/>
      <c r="M1363" s="551"/>
      <c r="N1363" s="551"/>
      <c r="O1363" s="551"/>
      <c r="P1363" s="551"/>
      <c r="Q1363" s="79"/>
      <c r="R1363" s="79"/>
      <c r="S1363" s="79"/>
      <c r="T1363" s="79"/>
      <c r="U1363" s="79"/>
      <c r="V1363" s="79"/>
      <c r="W1363" s="79"/>
      <c r="X1363" s="79"/>
      <c r="Y1363" s="79"/>
      <c r="Z1363" s="79"/>
      <c r="AA1363" s="79"/>
      <c r="AB1363" s="79"/>
      <c r="AC1363" s="79"/>
      <c r="AD1363" s="79"/>
      <c r="AE1363" s="79"/>
      <c r="AF1363" s="79"/>
    </row>
    <row r="1364" spans="1:32" s="2" customFormat="1">
      <c r="A1364" s="551"/>
      <c r="B1364" s="551"/>
      <c r="C1364" s="551"/>
      <c r="D1364" s="551"/>
      <c r="E1364" s="551"/>
      <c r="F1364" s="551"/>
      <c r="G1364" s="551"/>
      <c r="H1364" s="551"/>
      <c r="I1364" s="551"/>
      <c r="J1364" s="551"/>
      <c r="K1364" s="551"/>
      <c r="L1364" s="551"/>
      <c r="M1364" s="551"/>
      <c r="N1364" s="551"/>
      <c r="O1364" s="551"/>
      <c r="P1364" s="551"/>
      <c r="Q1364" s="79"/>
      <c r="R1364" s="79"/>
      <c r="S1364" s="79"/>
      <c r="T1364" s="79"/>
      <c r="U1364" s="79"/>
      <c r="V1364" s="79"/>
      <c r="W1364" s="79"/>
      <c r="X1364" s="79"/>
      <c r="Y1364" s="79"/>
      <c r="Z1364" s="79"/>
      <c r="AA1364" s="79"/>
      <c r="AB1364" s="79"/>
      <c r="AC1364" s="79"/>
      <c r="AD1364" s="79"/>
      <c r="AE1364" s="79"/>
      <c r="AF1364" s="79"/>
    </row>
    <row r="1365" spans="1:32" s="2" customFormat="1">
      <c r="A1365" s="551"/>
      <c r="B1365" s="551"/>
      <c r="C1365" s="551"/>
      <c r="D1365" s="551"/>
      <c r="E1365" s="551"/>
      <c r="F1365" s="551"/>
      <c r="G1365" s="551"/>
      <c r="H1365" s="551"/>
      <c r="I1365" s="551"/>
      <c r="J1365" s="551"/>
      <c r="K1365" s="551"/>
      <c r="L1365" s="551"/>
      <c r="M1365" s="551"/>
      <c r="N1365" s="551"/>
      <c r="O1365" s="551"/>
      <c r="P1365" s="551"/>
      <c r="Q1365" s="79"/>
      <c r="R1365" s="79"/>
      <c r="S1365" s="79"/>
      <c r="T1365" s="79"/>
      <c r="U1365" s="79"/>
      <c r="V1365" s="79"/>
      <c r="W1365" s="79"/>
      <c r="X1365" s="79"/>
      <c r="Y1365" s="79"/>
      <c r="Z1365" s="79"/>
      <c r="AA1365" s="79"/>
      <c r="AB1365" s="79"/>
      <c r="AC1365" s="79"/>
      <c r="AD1365" s="79"/>
      <c r="AE1365" s="79"/>
      <c r="AF1365" s="79"/>
    </row>
    <row r="1366" spans="1:32" s="2" customFormat="1">
      <c r="A1366" s="551"/>
      <c r="B1366" s="551"/>
      <c r="C1366" s="551"/>
      <c r="D1366" s="551"/>
      <c r="E1366" s="551"/>
      <c r="F1366" s="551"/>
      <c r="G1366" s="551"/>
      <c r="H1366" s="551"/>
      <c r="I1366" s="551"/>
      <c r="J1366" s="551"/>
      <c r="K1366" s="551"/>
      <c r="L1366" s="551"/>
      <c r="M1366" s="551"/>
      <c r="N1366" s="551"/>
      <c r="O1366" s="551"/>
      <c r="P1366" s="551"/>
      <c r="Q1366" s="79"/>
      <c r="R1366" s="79"/>
      <c r="S1366" s="79"/>
      <c r="T1366" s="79"/>
      <c r="U1366" s="79"/>
      <c r="V1366" s="79"/>
      <c r="W1366" s="79"/>
      <c r="X1366" s="79"/>
      <c r="Y1366" s="79"/>
      <c r="Z1366" s="79"/>
      <c r="AA1366" s="79"/>
      <c r="AB1366" s="79"/>
      <c r="AC1366" s="79"/>
      <c r="AD1366" s="79"/>
      <c r="AE1366" s="79"/>
      <c r="AF1366" s="79"/>
    </row>
    <row r="1367" spans="1:32" s="2" customFormat="1">
      <c r="A1367" s="551"/>
      <c r="B1367" s="551"/>
      <c r="C1367" s="551"/>
      <c r="D1367" s="551"/>
      <c r="E1367" s="551"/>
      <c r="F1367" s="551"/>
      <c r="G1367" s="551"/>
      <c r="H1367" s="551"/>
      <c r="I1367" s="551"/>
      <c r="J1367" s="551"/>
      <c r="K1367" s="551"/>
      <c r="L1367" s="551"/>
      <c r="M1367" s="551"/>
      <c r="N1367" s="551"/>
      <c r="O1367" s="551"/>
      <c r="P1367" s="551"/>
      <c r="Q1367" s="79"/>
      <c r="R1367" s="79"/>
      <c r="S1367" s="79"/>
      <c r="T1367" s="79"/>
      <c r="U1367" s="79"/>
      <c r="V1367" s="79"/>
      <c r="W1367" s="79"/>
      <c r="X1367" s="79"/>
      <c r="Y1367" s="79"/>
      <c r="Z1367" s="79"/>
      <c r="AA1367" s="79"/>
      <c r="AB1367" s="79"/>
      <c r="AC1367" s="79"/>
      <c r="AD1367" s="79"/>
      <c r="AE1367" s="79"/>
      <c r="AF1367" s="79"/>
    </row>
    <row r="1368" spans="1:32" s="2" customFormat="1">
      <c r="A1368" s="551"/>
      <c r="B1368" s="551"/>
      <c r="C1368" s="551"/>
      <c r="D1368" s="551"/>
      <c r="E1368" s="551"/>
      <c r="F1368" s="551"/>
      <c r="G1368" s="551"/>
      <c r="H1368" s="551"/>
      <c r="I1368" s="551"/>
      <c r="J1368" s="551"/>
      <c r="K1368" s="551"/>
      <c r="L1368" s="551"/>
      <c r="M1368" s="551"/>
      <c r="N1368" s="551"/>
      <c r="O1368" s="551"/>
      <c r="P1368" s="551"/>
      <c r="Q1368" s="79"/>
      <c r="R1368" s="79"/>
      <c r="S1368" s="79"/>
      <c r="T1368" s="79"/>
      <c r="U1368" s="79"/>
      <c r="V1368" s="79"/>
      <c r="W1368" s="79"/>
      <c r="X1368" s="79"/>
      <c r="Y1368" s="79"/>
      <c r="Z1368" s="79"/>
      <c r="AA1368" s="79"/>
      <c r="AB1368" s="79"/>
      <c r="AC1368" s="79"/>
      <c r="AD1368" s="79"/>
      <c r="AE1368" s="79"/>
      <c r="AF1368" s="79"/>
    </row>
    <row r="1369" spans="1:32" s="2" customFormat="1">
      <c r="A1369" s="551"/>
      <c r="B1369" s="551"/>
      <c r="C1369" s="551"/>
      <c r="D1369" s="551"/>
      <c r="E1369" s="551"/>
      <c r="F1369" s="551"/>
      <c r="G1369" s="551"/>
      <c r="H1369" s="551"/>
      <c r="I1369" s="551"/>
      <c r="J1369" s="551"/>
      <c r="K1369" s="551"/>
      <c r="L1369" s="551"/>
      <c r="M1369" s="551"/>
      <c r="N1369" s="551"/>
      <c r="O1369" s="551"/>
      <c r="P1369" s="551"/>
      <c r="Q1369" s="79"/>
      <c r="R1369" s="79"/>
      <c r="S1369" s="79"/>
      <c r="T1369" s="79"/>
      <c r="U1369" s="79"/>
      <c r="V1369" s="79"/>
      <c r="W1369" s="79"/>
      <c r="X1369" s="79"/>
      <c r="Y1369" s="79"/>
      <c r="Z1369" s="79"/>
      <c r="AA1369" s="79"/>
      <c r="AB1369" s="79"/>
      <c r="AC1369" s="79"/>
      <c r="AD1369" s="79"/>
      <c r="AE1369" s="79"/>
      <c r="AF1369" s="79"/>
    </row>
    <row r="1370" spans="1:32" s="2" customFormat="1">
      <c r="A1370" s="551"/>
      <c r="B1370" s="551"/>
      <c r="C1370" s="551"/>
      <c r="D1370" s="551"/>
      <c r="E1370" s="551"/>
      <c r="F1370" s="551"/>
      <c r="G1370" s="551"/>
      <c r="H1370" s="551"/>
      <c r="I1370" s="551"/>
      <c r="J1370" s="551"/>
      <c r="K1370" s="551"/>
      <c r="L1370" s="551"/>
      <c r="M1370" s="551"/>
      <c r="N1370" s="551"/>
      <c r="O1370" s="551"/>
      <c r="P1370" s="551"/>
      <c r="Q1370" s="79"/>
      <c r="R1370" s="79"/>
      <c r="S1370" s="79"/>
      <c r="T1370" s="79"/>
      <c r="U1370" s="79"/>
      <c r="V1370" s="79"/>
      <c r="W1370" s="79"/>
      <c r="X1370" s="79"/>
      <c r="Y1370" s="79"/>
      <c r="Z1370" s="79"/>
      <c r="AA1370" s="79"/>
      <c r="AB1370" s="79"/>
      <c r="AC1370" s="79"/>
      <c r="AD1370" s="79"/>
      <c r="AE1370" s="79"/>
      <c r="AF1370" s="79"/>
    </row>
    <row r="1371" spans="1:32" s="2" customFormat="1">
      <c r="A1371" s="551"/>
      <c r="B1371" s="551"/>
      <c r="C1371" s="551"/>
      <c r="D1371" s="551"/>
      <c r="E1371" s="551"/>
      <c r="F1371" s="551"/>
      <c r="G1371" s="551"/>
      <c r="H1371" s="551"/>
      <c r="I1371" s="551"/>
      <c r="J1371" s="551"/>
      <c r="K1371" s="551"/>
      <c r="L1371" s="551"/>
      <c r="M1371" s="551"/>
      <c r="N1371" s="551"/>
      <c r="O1371" s="551"/>
      <c r="P1371" s="551"/>
      <c r="Q1371" s="79"/>
      <c r="R1371" s="79"/>
      <c r="S1371" s="79"/>
      <c r="T1371" s="79"/>
      <c r="U1371" s="79"/>
      <c r="V1371" s="79"/>
      <c r="W1371" s="79"/>
      <c r="X1371" s="79"/>
      <c r="Y1371" s="79"/>
      <c r="Z1371" s="79"/>
      <c r="AA1371" s="79"/>
      <c r="AB1371" s="79"/>
      <c r="AC1371" s="79"/>
      <c r="AD1371" s="79"/>
      <c r="AE1371" s="79"/>
      <c r="AF1371" s="79"/>
    </row>
    <row r="1372" spans="1:32" s="2" customFormat="1">
      <c r="A1372" s="551"/>
      <c r="B1372" s="551"/>
      <c r="C1372" s="551"/>
      <c r="D1372" s="551"/>
      <c r="E1372" s="551"/>
      <c r="F1372" s="551"/>
      <c r="G1372" s="551"/>
      <c r="H1372" s="551"/>
      <c r="I1372" s="551"/>
      <c r="J1372" s="551"/>
      <c r="K1372" s="551"/>
      <c r="L1372" s="551"/>
      <c r="M1372" s="551"/>
      <c r="N1372" s="551"/>
      <c r="O1372" s="551"/>
      <c r="P1372" s="551"/>
      <c r="Q1372" s="79"/>
      <c r="R1372" s="79"/>
      <c r="S1372" s="79"/>
      <c r="T1372" s="79"/>
      <c r="U1372" s="79"/>
      <c r="V1372" s="79"/>
      <c r="W1372" s="79"/>
      <c r="X1372" s="79"/>
      <c r="Y1372" s="79"/>
      <c r="Z1372" s="79"/>
      <c r="AA1372" s="79"/>
      <c r="AB1372" s="79"/>
      <c r="AC1372" s="79"/>
      <c r="AD1372" s="79"/>
      <c r="AE1372" s="79"/>
      <c r="AF1372" s="79"/>
    </row>
    <row r="1373" spans="1:32" s="2" customFormat="1">
      <c r="A1373" s="551"/>
      <c r="B1373" s="551"/>
      <c r="C1373" s="551"/>
      <c r="D1373" s="551"/>
      <c r="E1373" s="551"/>
      <c r="F1373" s="551"/>
      <c r="G1373" s="551"/>
      <c r="H1373" s="551"/>
      <c r="I1373" s="551"/>
      <c r="J1373" s="551"/>
      <c r="K1373" s="551"/>
      <c r="L1373" s="551"/>
      <c r="M1373" s="551"/>
      <c r="N1373" s="551"/>
      <c r="O1373" s="551"/>
      <c r="P1373" s="551"/>
      <c r="Q1373" s="79"/>
      <c r="R1373" s="79"/>
      <c r="S1373" s="79"/>
      <c r="T1373" s="79"/>
      <c r="U1373" s="79"/>
      <c r="V1373" s="79"/>
      <c r="W1373" s="79"/>
      <c r="X1373" s="79"/>
      <c r="Y1373" s="79"/>
      <c r="Z1373" s="79"/>
      <c r="AA1373" s="79"/>
      <c r="AB1373" s="79"/>
      <c r="AC1373" s="79"/>
      <c r="AD1373" s="79"/>
      <c r="AE1373" s="79"/>
      <c r="AF1373" s="79"/>
    </row>
    <row r="1374" spans="1:32" s="2" customFormat="1">
      <c r="A1374" s="551"/>
      <c r="B1374" s="551"/>
      <c r="C1374" s="551"/>
      <c r="D1374" s="551"/>
      <c r="E1374" s="551"/>
      <c r="F1374" s="551"/>
      <c r="G1374" s="551"/>
      <c r="H1374" s="551"/>
      <c r="I1374" s="551"/>
      <c r="J1374" s="551"/>
      <c r="K1374" s="551"/>
      <c r="L1374" s="551"/>
      <c r="M1374" s="551"/>
      <c r="N1374" s="551"/>
      <c r="O1374" s="551"/>
      <c r="P1374" s="551"/>
      <c r="Q1374" s="79"/>
      <c r="R1374" s="79"/>
      <c r="S1374" s="79"/>
      <c r="T1374" s="79"/>
      <c r="U1374" s="79"/>
      <c r="V1374" s="79"/>
      <c r="W1374" s="79"/>
      <c r="X1374" s="79"/>
      <c r="Y1374" s="79"/>
      <c r="Z1374" s="79"/>
      <c r="AA1374" s="79"/>
      <c r="AB1374" s="79"/>
      <c r="AC1374" s="79"/>
      <c r="AD1374" s="79"/>
      <c r="AE1374" s="79"/>
      <c r="AF1374" s="79"/>
    </row>
    <row r="1375" spans="1:32" s="2" customFormat="1">
      <c r="A1375" s="551"/>
      <c r="B1375" s="551"/>
      <c r="C1375" s="551"/>
      <c r="D1375" s="551"/>
      <c r="E1375" s="551"/>
      <c r="F1375" s="551"/>
      <c r="G1375" s="551"/>
      <c r="H1375" s="551"/>
      <c r="I1375" s="551"/>
      <c r="J1375" s="551"/>
      <c r="K1375" s="551"/>
      <c r="L1375" s="551"/>
      <c r="M1375" s="551"/>
      <c r="N1375" s="551"/>
      <c r="O1375" s="551"/>
      <c r="P1375" s="551"/>
      <c r="Q1375" s="79"/>
      <c r="R1375" s="79"/>
      <c r="S1375" s="79"/>
      <c r="T1375" s="79"/>
      <c r="U1375" s="79"/>
      <c r="V1375" s="79"/>
      <c r="W1375" s="79"/>
      <c r="X1375" s="79"/>
      <c r="Y1375" s="79"/>
      <c r="Z1375" s="79"/>
      <c r="AA1375" s="79"/>
      <c r="AB1375" s="79"/>
      <c r="AC1375" s="79"/>
      <c r="AD1375" s="79"/>
      <c r="AE1375" s="79"/>
      <c r="AF1375" s="79"/>
    </row>
    <row r="1376" spans="1:32" s="2" customFormat="1">
      <c r="A1376" s="551"/>
      <c r="B1376" s="551"/>
      <c r="C1376" s="551"/>
      <c r="D1376" s="551"/>
      <c r="E1376" s="551"/>
      <c r="F1376" s="551"/>
      <c r="G1376" s="551"/>
      <c r="H1376" s="551"/>
      <c r="I1376" s="551"/>
      <c r="J1376" s="551"/>
      <c r="K1376" s="551"/>
      <c r="L1376" s="551"/>
      <c r="M1376" s="551"/>
      <c r="N1376" s="551"/>
      <c r="O1376" s="551"/>
      <c r="P1376" s="551"/>
      <c r="Q1376" s="79"/>
      <c r="R1376" s="79"/>
      <c r="S1376" s="79"/>
      <c r="T1376" s="79"/>
      <c r="U1376" s="79"/>
      <c r="V1376" s="79"/>
      <c r="W1376" s="79"/>
      <c r="X1376" s="79"/>
      <c r="Y1376" s="79"/>
      <c r="Z1376" s="79"/>
      <c r="AA1376" s="79"/>
      <c r="AB1376" s="79"/>
      <c r="AC1376" s="79"/>
      <c r="AD1376" s="79"/>
      <c r="AE1376" s="79"/>
      <c r="AF1376" s="79"/>
    </row>
    <row r="1377" spans="1:32" s="2" customFormat="1">
      <c r="A1377" s="551"/>
      <c r="B1377" s="551"/>
      <c r="C1377" s="551"/>
      <c r="D1377" s="551"/>
      <c r="E1377" s="551"/>
      <c r="F1377" s="551"/>
      <c r="G1377" s="551"/>
      <c r="H1377" s="551"/>
      <c r="I1377" s="551"/>
      <c r="J1377" s="551"/>
      <c r="K1377" s="551"/>
      <c r="L1377" s="551"/>
      <c r="M1377" s="551"/>
      <c r="N1377" s="551"/>
      <c r="O1377" s="551"/>
      <c r="P1377" s="551"/>
      <c r="Q1377" s="79"/>
      <c r="R1377" s="79"/>
      <c r="S1377" s="79"/>
      <c r="T1377" s="79"/>
      <c r="U1377" s="79"/>
      <c r="V1377" s="79"/>
      <c r="W1377" s="79"/>
      <c r="X1377" s="79"/>
      <c r="Y1377" s="79"/>
      <c r="Z1377" s="79"/>
      <c r="AA1377" s="79"/>
      <c r="AB1377" s="79"/>
      <c r="AC1377" s="79"/>
      <c r="AD1377" s="79"/>
      <c r="AE1377" s="79"/>
      <c r="AF1377" s="79"/>
    </row>
    <row r="1378" spans="1:32" s="2" customFormat="1">
      <c r="A1378" s="551"/>
      <c r="B1378" s="551"/>
      <c r="C1378" s="551"/>
      <c r="D1378" s="551"/>
      <c r="E1378" s="551"/>
      <c r="F1378" s="551"/>
      <c r="G1378" s="551"/>
      <c r="H1378" s="551"/>
      <c r="I1378" s="551"/>
      <c r="J1378" s="551"/>
      <c r="K1378" s="551"/>
      <c r="L1378" s="551"/>
      <c r="M1378" s="551"/>
      <c r="N1378" s="551"/>
      <c r="O1378" s="551"/>
      <c r="P1378" s="551"/>
      <c r="Q1378" s="79"/>
      <c r="R1378" s="79"/>
      <c r="S1378" s="79"/>
      <c r="T1378" s="79"/>
      <c r="U1378" s="79"/>
      <c r="V1378" s="79"/>
      <c r="W1378" s="79"/>
      <c r="X1378" s="79"/>
      <c r="Y1378" s="79"/>
      <c r="Z1378" s="79"/>
      <c r="AA1378" s="79"/>
      <c r="AB1378" s="79"/>
      <c r="AC1378" s="79"/>
      <c r="AD1378" s="79"/>
      <c r="AE1378" s="79"/>
      <c r="AF1378" s="79"/>
    </row>
    <row r="1379" spans="1:32" s="2" customFormat="1">
      <c r="A1379" s="551"/>
      <c r="B1379" s="551"/>
      <c r="C1379" s="551"/>
      <c r="D1379" s="551"/>
      <c r="E1379" s="551"/>
      <c r="F1379" s="551"/>
      <c r="G1379" s="551"/>
      <c r="H1379" s="551"/>
      <c r="I1379" s="551"/>
      <c r="J1379" s="551"/>
      <c r="K1379" s="551"/>
      <c r="L1379" s="551"/>
      <c r="M1379" s="551"/>
      <c r="N1379" s="551"/>
      <c r="O1379" s="551"/>
      <c r="P1379" s="551"/>
      <c r="Q1379" s="79"/>
      <c r="R1379" s="79"/>
      <c r="S1379" s="79"/>
      <c r="T1379" s="79"/>
      <c r="U1379" s="79"/>
      <c r="V1379" s="79"/>
      <c r="W1379" s="79"/>
      <c r="X1379" s="79"/>
      <c r="Y1379" s="79"/>
      <c r="Z1379" s="79"/>
      <c r="AA1379" s="79"/>
      <c r="AB1379" s="79"/>
      <c r="AC1379" s="79"/>
      <c r="AD1379" s="79"/>
      <c r="AE1379" s="79"/>
      <c r="AF1379" s="79"/>
    </row>
    <row r="1380" spans="1:32" s="2" customFormat="1">
      <c r="A1380" s="551"/>
      <c r="B1380" s="551"/>
      <c r="C1380" s="551"/>
      <c r="D1380" s="551"/>
      <c r="E1380" s="551"/>
      <c r="F1380" s="551"/>
      <c r="G1380" s="551"/>
      <c r="H1380" s="551"/>
      <c r="I1380" s="551"/>
      <c r="J1380" s="551"/>
      <c r="K1380" s="551"/>
      <c r="L1380" s="551"/>
      <c r="M1380" s="551"/>
      <c r="N1380" s="551"/>
      <c r="O1380" s="551"/>
      <c r="P1380" s="551"/>
      <c r="Q1380" s="79"/>
      <c r="R1380" s="79"/>
      <c r="S1380" s="79"/>
      <c r="T1380" s="79"/>
      <c r="U1380" s="79"/>
      <c r="V1380" s="79"/>
      <c r="W1380" s="79"/>
      <c r="X1380" s="79"/>
      <c r="Y1380" s="79"/>
      <c r="Z1380" s="79"/>
      <c r="AA1380" s="79"/>
      <c r="AB1380" s="79"/>
      <c r="AC1380" s="79"/>
      <c r="AD1380" s="79"/>
      <c r="AE1380" s="79"/>
      <c r="AF1380" s="79"/>
    </row>
    <row r="1381" spans="1:32" s="2" customFormat="1">
      <c r="A1381" s="551"/>
      <c r="B1381" s="551"/>
      <c r="C1381" s="551"/>
      <c r="D1381" s="551"/>
      <c r="E1381" s="551"/>
      <c r="F1381" s="551"/>
      <c r="G1381" s="551"/>
      <c r="H1381" s="551"/>
      <c r="I1381" s="551"/>
      <c r="J1381" s="551"/>
      <c r="K1381" s="551"/>
      <c r="L1381" s="551"/>
      <c r="M1381" s="551"/>
      <c r="N1381" s="551"/>
      <c r="O1381" s="551"/>
      <c r="P1381" s="551"/>
      <c r="Q1381" s="79"/>
      <c r="R1381" s="79"/>
      <c r="S1381" s="79"/>
      <c r="T1381" s="79"/>
      <c r="U1381" s="79"/>
      <c r="V1381" s="79"/>
      <c r="W1381" s="79"/>
      <c r="X1381" s="79"/>
      <c r="Y1381" s="79"/>
      <c r="Z1381" s="79"/>
      <c r="AA1381" s="79"/>
      <c r="AB1381" s="79"/>
      <c r="AC1381" s="79"/>
      <c r="AD1381" s="79"/>
      <c r="AE1381" s="79"/>
      <c r="AF1381" s="79"/>
    </row>
    <row r="1382" spans="1:32" s="2" customFormat="1">
      <c r="A1382" s="551"/>
      <c r="B1382" s="551"/>
      <c r="C1382" s="551"/>
      <c r="D1382" s="551"/>
      <c r="E1382" s="551"/>
      <c r="F1382" s="551"/>
      <c r="G1382" s="551"/>
      <c r="H1382" s="551"/>
      <c r="I1382" s="551"/>
      <c r="J1382" s="551"/>
      <c r="K1382" s="551"/>
      <c r="L1382" s="551"/>
      <c r="M1382" s="551"/>
      <c r="N1382" s="551"/>
      <c r="O1382" s="551"/>
      <c r="P1382" s="551"/>
      <c r="Q1382" s="79"/>
      <c r="R1382" s="79"/>
      <c r="S1382" s="79"/>
      <c r="T1382" s="79"/>
      <c r="U1382" s="79"/>
      <c r="V1382" s="79"/>
      <c r="W1382" s="79"/>
      <c r="X1382" s="79"/>
      <c r="Y1382" s="79"/>
      <c r="Z1382" s="79"/>
      <c r="AA1382" s="79"/>
      <c r="AB1382" s="79"/>
      <c r="AC1382" s="79"/>
      <c r="AD1382" s="79"/>
      <c r="AE1382" s="79"/>
      <c r="AF1382" s="79"/>
    </row>
    <row r="1383" spans="1:32" s="2" customFormat="1">
      <c r="A1383" s="551"/>
      <c r="B1383" s="551"/>
      <c r="C1383" s="551"/>
      <c r="D1383" s="551"/>
      <c r="E1383" s="551"/>
      <c r="F1383" s="551"/>
      <c r="G1383" s="551"/>
      <c r="H1383" s="551"/>
      <c r="I1383" s="551"/>
      <c r="J1383" s="551"/>
      <c r="K1383" s="551"/>
      <c r="L1383" s="551"/>
      <c r="M1383" s="551"/>
      <c r="N1383" s="551"/>
      <c r="O1383" s="551"/>
      <c r="P1383" s="551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  <c r="AD1383" s="79"/>
      <c r="AE1383" s="79"/>
      <c r="AF1383" s="79"/>
    </row>
    <row r="1384" spans="1:32" s="2" customFormat="1">
      <c r="A1384" s="551"/>
      <c r="B1384" s="551"/>
      <c r="C1384" s="551"/>
      <c r="D1384" s="551"/>
      <c r="E1384" s="551"/>
      <c r="F1384" s="551"/>
      <c r="G1384" s="551"/>
      <c r="H1384" s="551"/>
      <c r="I1384" s="551"/>
      <c r="J1384" s="551"/>
      <c r="K1384" s="551"/>
      <c r="L1384" s="551"/>
      <c r="M1384" s="551"/>
      <c r="N1384" s="551"/>
      <c r="O1384" s="551"/>
      <c r="P1384" s="551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  <c r="AD1384" s="79"/>
      <c r="AE1384" s="79"/>
      <c r="AF1384" s="79"/>
    </row>
    <row r="1385" spans="1:32" s="2" customFormat="1">
      <c r="A1385" s="551"/>
      <c r="B1385" s="551"/>
      <c r="C1385" s="551"/>
      <c r="D1385" s="551"/>
      <c r="E1385" s="551"/>
      <c r="F1385" s="551"/>
      <c r="G1385" s="551"/>
      <c r="H1385" s="551"/>
      <c r="I1385" s="551"/>
      <c r="J1385" s="551"/>
      <c r="K1385" s="551"/>
      <c r="L1385" s="551"/>
      <c r="M1385" s="551"/>
      <c r="N1385" s="551"/>
      <c r="O1385" s="551"/>
      <c r="P1385" s="551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  <c r="AD1385" s="79"/>
      <c r="AE1385" s="79"/>
      <c r="AF1385" s="79"/>
    </row>
    <row r="1386" spans="1:32" s="2" customFormat="1">
      <c r="A1386" s="551"/>
      <c r="B1386" s="551"/>
      <c r="C1386" s="551"/>
      <c r="D1386" s="551"/>
      <c r="E1386" s="551"/>
      <c r="F1386" s="551"/>
      <c r="G1386" s="551"/>
      <c r="H1386" s="551"/>
      <c r="I1386" s="551"/>
      <c r="J1386" s="551"/>
      <c r="K1386" s="551"/>
      <c r="L1386" s="551"/>
      <c r="M1386" s="551"/>
      <c r="N1386" s="551"/>
      <c r="O1386" s="551"/>
      <c r="P1386" s="551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  <c r="AD1386" s="79"/>
      <c r="AE1386" s="79"/>
      <c r="AF1386" s="79"/>
    </row>
    <row r="1387" spans="1:32" s="2" customFormat="1">
      <c r="A1387" s="551"/>
      <c r="B1387" s="551"/>
      <c r="C1387" s="551"/>
      <c r="D1387" s="551"/>
      <c r="E1387" s="551"/>
      <c r="F1387" s="551"/>
      <c r="G1387" s="551"/>
      <c r="H1387" s="551"/>
      <c r="I1387" s="551"/>
      <c r="J1387" s="551"/>
      <c r="K1387" s="551"/>
      <c r="L1387" s="551"/>
      <c r="M1387" s="551"/>
      <c r="N1387" s="551"/>
      <c r="O1387" s="551"/>
      <c r="P1387" s="551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  <c r="AD1387" s="79"/>
      <c r="AE1387" s="79"/>
      <c r="AF1387" s="79"/>
    </row>
    <row r="1388" spans="1:32" s="2" customFormat="1">
      <c r="A1388" s="551"/>
      <c r="B1388" s="551"/>
      <c r="C1388" s="551"/>
      <c r="D1388" s="551"/>
      <c r="E1388" s="551"/>
      <c r="F1388" s="551"/>
      <c r="G1388" s="551"/>
      <c r="H1388" s="551"/>
      <c r="I1388" s="551"/>
      <c r="J1388" s="551"/>
      <c r="K1388" s="551"/>
      <c r="L1388" s="551"/>
      <c r="M1388" s="551"/>
      <c r="N1388" s="551"/>
      <c r="O1388" s="551"/>
      <c r="P1388" s="551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  <c r="AD1388" s="79"/>
      <c r="AE1388" s="79"/>
      <c r="AF1388" s="79"/>
    </row>
    <row r="1389" spans="1:32" s="2" customFormat="1">
      <c r="A1389" s="551"/>
      <c r="B1389" s="551"/>
      <c r="C1389" s="551"/>
      <c r="D1389" s="551"/>
      <c r="E1389" s="551"/>
      <c r="F1389" s="551"/>
      <c r="G1389" s="551"/>
      <c r="H1389" s="551"/>
      <c r="I1389" s="551"/>
      <c r="J1389" s="551"/>
      <c r="K1389" s="551"/>
      <c r="L1389" s="551"/>
      <c r="M1389" s="551"/>
      <c r="N1389" s="551"/>
      <c r="O1389" s="551"/>
      <c r="P1389" s="551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  <c r="AD1389" s="79"/>
      <c r="AE1389" s="79"/>
      <c r="AF1389" s="79"/>
    </row>
    <row r="1390" spans="1:32" s="2" customFormat="1">
      <c r="A1390" s="551"/>
      <c r="B1390" s="551"/>
      <c r="C1390" s="551"/>
      <c r="D1390" s="551"/>
      <c r="E1390" s="551"/>
      <c r="F1390" s="551"/>
      <c r="G1390" s="551"/>
      <c r="H1390" s="551"/>
      <c r="I1390" s="551"/>
      <c r="J1390" s="551"/>
      <c r="K1390" s="551"/>
      <c r="L1390" s="551"/>
      <c r="M1390" s="551"/>
      <c r="N1390" s="551"/>
      <c r="O1390" s="551"/>
      <c r="P1390" s="551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  <c r="AD1390" s="79"/>
      <c r="AE1390" s="79"/>
      <c r="AF1390" s="79"/>
    </row>
    <row r="1391" spans="1:32" s="2" customFormat="1">
      <c r="A1391" s="551"/>
      <c r="B1391" s="551"/>
      <c r="C1391" s="551"/>
      <c r="D1391" s="551"/>
      <c r="E1391" s="551"/>
      <c r="F1391" s="551"/>
      <c r="G1391" s="551"/>
      <c r="H1391" s="551"/>
      <c r="I1391" s="551"/>
      <c r="J1391" s="551"/>
      <c r="K1391" s="551"/>
      <c r="L1391" s="551"/>
      <c r="M1391" s="551"/>
      <c r="N1391" s="551"/>
      <c r="O1391" s="551"/>
      <c r="P1391" s="551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  <c r="AD1391" s="79"/>
      <c r="AE1391" s="79"/>
      <c r="AF1391" s="79"/>
    </row>
    <row r="1392" spans="1:32" s="2" customFormat="1">
      <c r="A1392" s="551"/>
      <c r="B1392" s="551"/>
      <c r="C1392" s="551"/>
      <c r="D1392" s="551"/>
      <c r="E1392" s="551"/>
      <c r="F1392" s="551"/>
      <c r="G1392" s="551"/>
      <c r="H1392" s="551"/>
      <c r="I1392" s="551"/>
      <c r="J1392" s="551"/>
      <c r="K1392" s="551"/>
      <c r="L1392" s="551"/>
      <c r="M1392" s="551"/>
      <c r="N1392" s="551"/>
      <c r="O1392" s="551"/>
      <c r="P1392" s="551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  <c r="AD1392" s="79"/>
      <c r="AE1392" s="79"/>
      <c r="AF1392" s="79"/>
    </row>
    <row r="1393" spans="1:32" s="2" customFormat="1">
      <c r="A1393" s="551"/>
      <c r="B1393" s="551"/>
      <c r="C1393" s="551"/>
      <c r="D1393" s="551"/>
      <c r="E1393" s="551"/>
      <c r="F1393" s="551"/>
      <c r="G1393" s="551"/>
      <c r="H1393" s="551"/>
      <c r="I1393" s="551"/>
      <c r="J1393" s="551"/>
      <c r="K1393" s="551"/>
      <c r="L1393" s="551"/>
      <c r="M1393" s="551"/>
      <c r="N1393" s="551"/>
      <c r="O1393" s="551"/>
      <c r="P1393" s="551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  <c r="AD1393" s="79"/>
      <c r="AE1393" s="79"/>
      <c r="AF1393" s="79"/>
    </row>
    <row r="1394" spans="1:32" s="2" customFormat="1">
      <c r="A1394" s="551"/>
      <c r="B1394" s="551"/>
      <c r="C1394" s="551"/>
      <c r="D1394" s="551"/>
      <c r="E1394" s="551"/>
      <c r="F1394" s="551"/>
      <c r="G1394" s="551"/>
      <c r="H1394" s="551"/>
      <c r="I1394" s="551"/>
      <c r="J1394" s="551"/>
      <c r="K1394" s="551"/>
      <c r="L1394" s="551"/>
      <c r="M1394" s="551"/>
      <c r="N1394" s="551"/>
      <c r="O1394" s="551"/>
      <c r="P1394" s="551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  <c r="AD1394" s="79"/>
      <c r="AE1394" s="79"/>
      <c r="AF1394" s="79"/>
    </row>
    <row r="1395" spans="1:32" s="2" customFormat="1">
      <c r="A1395" s="551"/>
      <c r="B1395" s="551"/>
      <c r="C1395" s="551"/>
      <c r="D1395" s="551"/>
      <c r="E1395" s="551"/>
      <c r="F1395" s="551"/>
      <c r="G1395" s="551"/>
      <c r="H1395" s="551"/>
      <c r="I1395" s="551"/>
      <c r="J1395" s="551"/>
      <c r="K1395" s="551"/>
      <c r="L1395" s="551"/>
      <c r="M1395" s="551"/>
      <c r="N1395" s="551"/>
      <c r="O1395" s="551"/>
      <c r="P1395" s="551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  <c r="AD1395" s="79"/>
      <c r="AE1395" s="79"/>
      <c r="AF1395" s="79"/>
    </row>
    <row r="1396" spans="1:32" s="2" customFormat="1">
      <c r="A1396" s="551"/>
      <c r="B1396" s="551"/>
      <c r="C1396" s="551"/>
      <c r="D1396" s="551"/>
      <c r="E1396" s="551"/>
      <c r="F1396" s="551"/>
      <c r="G1396" s="551"/>
      <c r="H1396" s="551"/>
      <c r="I1396" s="551"/>
      <c r="J1396" s="551"/>
      <c r="K1396" s="551"/>
      <c r="L1396" s="551"/>
      <c r="M1396" s="551"/>
      <c r="N1396" s="551"/>
      <c r="O1396" s="551"/>
      <c r="P1396" s="551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  <c r="AD1396" s="79"/>
      <c r="AE1396" s="79"/>
      <c r="AF1396" s="79"/>
    </row>
    <row r="1397" spans="1:32" s="2" customFormat="1">
      <c r="A1397" s="551"/>
      <c r="B1397" s="551"/>
      <c r="C1397" s="551"/>
      <c r="D1397" s="551"/>
      <c r="E1397" s="551"/>
      <c r="F1397" s="551"/>
      <c r="G1397" s="551"/>
      <c r="H1397" s="551"/>
      <c r="I1397" s="551"/>
      <c r="J1397" s="551"/>
      <c r="K1397" s="551"/>
      <c r="L1397" s="551"/>
      <c r="M1397" s="551"/>
      <c r="N1397" s="551"/>
      <c r="O1397" s="551"/>
      <c r="P1397" s="551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  <c r="AD1397" s="79"/>
      <c r="AE1397" s="79"/>
      <c r="AF1397" s="79"/>
    </row>
    <row r="1398" spans="1:32" s="2" customFormat="1">
      <c r="A1398" s="551"/>
      <c r="B1398" s="551"/>
      <c r="C1398" s="551"/>
      <c r="D1398" s="551"/>
      <c r="E1398" s="551"/>
      <c r="F1398" s="551"/>
      <c r="G1398" s="551"/>
      <c r="H1398" s="551"/>
      <c r="I1398" s="551"/>
      <c r="J1398" s="551"/>
      <c r="K1398" s="551"/>
      <c r="L1398" s="551"/>
      <c r="M1398" s="551"/>
      <c r="N1398" s="551"/>
      <c r="O1398" s="551"/>
      <c r="P1398" s="551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  <c r="AD1398" s="79"/>
      <c r="AE1398" s="79"/>
      <c r="AF1398" s="79"/>
    </row>
  </sheetData>
  <sortState xmlns:xlrd2="http://schemas.microsoft.com/office/spreadsheetml/2017/richdata2" ref="A89:A911">
    <sortCondition ref="A89:A911"/>
  </sortState>
  <customSheetViews>
    <customSheetView guid="{CE7484BD-F9E2-4C03-AA0F-F7057FD8E6EF}">
      <pane ySplit="7" topLeftCell="A8" activePane="bottomLeft" state="frozen"/>
      <selection pane="bottomLeft" activeCell="C21" sqref="C21"/>
      <colBreaks count="1" manualBreakCount="1">
        <brk id="16" max="1048575" man="1"/>
      </colBreaks>
      <pageMargins left="0.15748031496062992" right="0.15748031496062992" top="0.23622047244094491" bottom="0.15748031496062992" header="0.31496062992125984" footer="0.31496062992125984"/>
      <pageSetup paperSize="9" scale="85" orientation="portrait" r:id="rId1"/>
    </customSheetView>
  </customSheetViews>
  <mergeCells count="32">
    <mergeCell ref="Y5:Z5"/>
    <mergeCell ref="AA5:AB5"/>
    <mergeCell ref="AC5:AD5"/>
    <mergeCell ref="AE5:AF5"/>
    <mergeCell ref="U5:V5"/>
    <mergeCell ref="W5:X5"/>
    <mergeCell ref="C6:C7"/>
    <mergeCell ref="A29:B30"/>
    <mergeCell ref="C29:C30"/>
    <mergeCell ref="G5:H5"/>
    <mergeCell ref="D6:D7"/>
    <mergeCell ref="A5:B5"/>
    <mergeCell ref="C5:D5"/>
    <mergeCell ref="E5:F5"/>
    <mergeCell ref="A25:B26"/>
    <mergeCell ref="C25:C26"/>
    <mergeCell ref="A36:B37"/>
    <mergeCell ref="C36:C37"/>
    <mergeCell ref="A51:B52"/>
    <mergeCell ref="C51:C52"/>
    <mergeCell ref="S5:T5"/>
    <mergeCell ref="A46:B47"/>
    <mergeCell ref="D36:D37"/>
    <mergeCell ref="C46:C47"/>
    <mergeCell ref="D46:D47"/>
    <mergeCell ref="D51:D52"/>
    <mergeCell ref="I5:J5"/>
    <mergeCell ref="K5:L5"/>
    <mergeCell ref="M5:N5"/>
    <mergeCell ref="O5:P5"/>
    <mergeCell ref="Q5:R5"/>
    <mergeCell ref="A6:B7"/>
  </mergeCells>
  <phoneticPr fontId="36" type="noConversion"/>
  <conditionalFormatting sqref="A1:A24 A29:A1048576">
    <cfRule type="duplicateValues" dxfId="8" priority="5"/>
  </conditionalFormatting>
  <conditionalFormatting sqref="A25:A26">
    <cfRule type="duplicateValues" dxfId="7" priority="4"/>
  </conditionalFormatting>
  <conditionalFormatting sqref="A27">
    <cfRule type="duplicateValues" dxfId="6" priority="2"/>
  </conditionalFormatting>
  <conditionalFormatting sqref="A28">
    <cfRule type="duplicateValues" dxfId="5" priority="1"/>
  </conditionalFormatting>
  <pageMargins left="0.15748031496062992" right="0.15748031496062992" top="0.23622047244094491" bottom="0.15748031496062992" header="0.31496062992125984" footer="0.16"/>
  <pageSetup paperSize="9" scale="42" fitToHeight="0" orientation="landscape" r:id="rId2"/>
  <colBreaks count="1" manualBreakCount="1">
    <brk id="18" max="1048575" man="1"/>
  </colBreaks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373761" r:id="rId6" name="CommandButton1">
          <controlPr defaultSize="0" autoLine="0" r:id="rId7">
            <anchor moveWithCells="1">
              <from>
                <xdr:col>26</xdr:col>
                <xdr:colOff>228600</xdr:colOff>
                <xdr:row>0</xdr:row>
                <xdr:rowOff>180975</xdr:rowOff>
              </from>
              <to>
                <xdr:col>27</xdr:col>
                <xdr:colOff>419100</xdr:colOff>
                <xdr:row>1</xdr:row>
                <xdr:rowOff>190500</xdr:rowOff>
              </to>
            </anchor>
          </controlPr>
        </control>
      </mc:Choice>
      <mc:Fallback>
        <control shapeId="373761" r:id="rId6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5B737-9BD4-43CD-842C-61355F5394A3}">
  <sheetPr codeName="Sheet34">
    <tabColor rgb="FFFFC000"/>
  </sheetPr>
  <dimension ref="A1:AE1003"/>
  <sheetViews>
    <sheetView workbookViewId="0">
      <pane ySplit="9" topLeftCell="A10" activePane="bottomLeft" state="frozen"/>
      <selection activeCell="A26" sqref="A26:B31"/>
      <selection pane="bottomLeft" activeCell="J1" sqref="J1"/>
    </sheetView>
  </sheetViews>
  <sheetFormatPr defaultRowHeight="15"/>
  <cols>
    <col min="1" max="1" width="4.140625" style="377" customWidth="1"/>
    <col min="2" max="2" width="4.42578125" style="85" customWidth="1"/>
    <col min="3" max="3" width="10.7109375" style="71" bestFit="1" customWidth="1"/>
    <col min="4" max="4" width="35.28515625" style="71" customWidth="1"/>
    <col min="5" max="5" width="11.42578125" customWidth="1"/>
    <col min="6" max="6" width="15.42578125" customWidth="1"/>
    <col min="7" max="7" width="11.5703125" customWidth="1"/>
    <col min="8" max="8" width="11.7109375" customWidth="1"/>
    <col min="9" max="9" width="15.85546875" customWidth="1"/>
    <col min="10" max="10" width="12.7109375" customWidth="1"/>
    <col min="11" max="11" width="13.85546875" customWidth="1"/>
    <col min="12" max="12" width="13.42578125" customWidth="1"/>
    <col min="20" max="22" width="20.5703125" customWidth="1"/>
  </cols>
  <sheetData>
    <row r="1" spans="1:31" ht="15.75" customHeight="1">
      <c r="A1" s="680"/>
      <c r="B1" s="841"/>
      <c r="C1" s="842"/>
      <c r="D1" s="842"/>
      <c r="E1" s="679"/>
      <c r="F1" s="679"/>
      <c r="G1" s="679"/>
      <c r="H1" s="679"/>
      <c r="I1" s="679"/>
      <c r="J1" s="879">
        <f>N2</f>
        <v>214</v>
      </c>
      <c r="K1" s="679"/>
      <c r="L1" s="679"/>
      <c r="M1" s="679"/>
      <c r="N1" s="679"/>
      <c r="O1" s="679"/>
      <c r="P1" s="679"/>
      <c r="Q1" s="679"/>
      <c r="R1" s="679"/>
      <c r="S1" s="679"/>
      <c r="T1" s="679"/>
      <c r="U1" s="679"/>
      <c r="V1" s="679"/>
      <c r="W1" s="1"/>
      <c r="X1" s="1"/>
      <c r="Y1" s="1"/>
      <c r="Z1" s="1"/>
      <c r="AA1" s="1"/>
      <c r="AB1" s="1"/>
      <c r="AC1" s="1"/>
    </row>
    <row r="2" spans="1:31" ht="21" customHeight="1">
      <c r="A2" s="847" t="s">
        <v>315</v>
      </c>
      <c r="B2" s="847"/>
      <c r="C2" s="840" t="str">
        <f>VLOOKUP($N$2,ProHeader!$C$9:$W$175,2,FALSE)</f>
        <v>ALI SHEHI</v>
      </c>
      <c r="D2" s="844"/>
      <c r="E2" s="849" t="s">
        <v>2829</v>
      </c>
      <c r="F2" s="849" t="s">
        <v>221</v>
      </c>
      <c r="G2" s="849" t="s">
        <v>2835</v>
      </c>
      <c r="H2" s="858" t="s">
        <v>820</v>
      </c>
      <c r="I2" s="852" t="s">
        <v>821</v>
      </c>
      <c r="J2" s="862"/>
      <c r="K2" s="863"/>
      <c r="L2" s="863"/>
      <c r="M2" s="863"/>
      <c r="N2" s="880">
        <v>214</v>
      </c>
      <c r="O2" s="682"/>
      <c r="P2" s="682"/>
      <c r="Q2" s="682"/>
      <c r="R2" s="682"/>
      <c r="S2" s="682"/>
      <c r="T2" s="682"/>
      <c r="U2" s="682"/>
      <c r="V2" s="682"/>
      <c r="W2" s="1"/>
      <c r="X2" s="1"/>
      <c r="Y2" s="1"/>
      <c r="Z2" s="1"/>
      <c r="AA2" s="1"/>
      <c r="AB2" s="1"/>
      <c r="AC2" s="1"/>
    </row>
    <row r="3" spans="1:31" ht="21" customHeight="1">
      <c r="A3" s="847" t="s">
        <v>315</v>
      </c>
      <c r="B3" s="847"/>
      <c r="C3" s="840" t="str">
        <f>VLOOKUP($N$2,ProHeader!$C$9:$W$175,3,FALSE)</f>
        <v xml:space="preserve">على الشيحي                                                                          </v>
      </c>
      <c r="D3" s="844"/>
      <c r="E3" s="850">
        <f>VLOOKUP($N$2,ProHeader!$C$9:$W$175,10,FALSE)</f>
        <v>90000</v>
      </c>
      <c r="F3" s="850">
        <f>VLOOKUP($N$2,ProHeader!$C$9:$W$175,11,FALSE)</f>
        <v>2119</v>
      </c>
      <c r="G3" s="850">
        <f>E3+F3</f>
        <v>92119</v>
      </c>
      <c r="H3" s="881" t="str">
        <f>VLOOKUP($N$2,ProHeader!$C$9:$W$175,8,FALSE)</f>
        <v xml:space="preserve">24/22 </v>
      </c>
      <c r="I3" s="853" t="str">
        <f>VLOOKUP($N$2,ProHeader!$C$9:$W$175,9,FALSE)</f>
        <v xml:space="preserve">H/M/122R/2022 </v>
      </c>
      <c r="J3" s="862"/>
      <c r="K3" s="863"/>
      <c r="L3" s="863"/>
      <c r="M3" s="863"/>
      <c r="N3" s="880"/>
      <c r="O3" s="682"/>
      <c r="P3" s="682"/>
      <c r="Q3" s="682"/>
      <c r="R3" s="682"/>
      <c r="S3" s="682"/>
      <c r="T3" s="682"/>
      <c r="U3" s="682"/>
      <c r="V3" s="682"/>
      <c r="W3" s="1"/>
      <c r="X3" s="1"/>
      <c r="Y3" s="1"/>
      <c r="Z3" s="1"/>
      <c r="AA3" s="1"/>
      <c r="AB3" s="1"/>
      <c r="AC3" s="1"/>
    </row>
    <row r="4" spans="1:31" ht="21" customHeight="1">
      <c r="A4" s="847" t="s">
        <v>28</v>
      </c>
      <c r="B4" s="847"/>
      <c r="C4" s="840" t="str">
        <f>VLOOKUP($N$2,ProHeader!$C$9:$W$175,4,FALSE)</f>
        <v xml:space="preserve">Private Villa (G + 1) </v>
      </c>
      <c r="D4" s="844"/>
      <c r="E4" s="849" t="s">
        <v>2839</v>
      </c>
      <c r="F4" s="849" t="s">
        <v>1111</v>
      </c>
      <c r="G4" s="849" t="s">
        <v>2</v>
      </c>
      <c r="H4" s="860" t="s">
        <v>2833</v>
      </c>
      <c r="I4" s="854" t="s">
        <v>2834</v>
      </c>
      <c r="J4" s="862"/>
      <c r="K4" s="863"/>
      <c r="L4" s="863"/>
      <c r="M4" s="863"/>
      <c r="N4" s="682"/>
      <c r="O4" s="682"/>
      <c r="P4" s="682"/>
      <c r="Q4" s="682"/>
      <c r="R4" s="682"/>
      <c r="S4" s="682"/>
      <c r="T4" s="682"/>
      <c r="U4" s="682"/>
      <c r="V4" s="682"/>
      <c r="W4" s="1"/>
      <c r="X4" s="1"/>
      <c r="Y4" s="1"/>
      <c r="Z4" s="1"/>
      <c r="AA4" s="1"/>
      <c r="AB4" s="1"/>
      <c r="AC4" s="1"/>
    </row>
    <row r="5" spans="1:31" ht="21" customHeight="1">
      <c r="A5" s="847" t="s">
        <v>358</v>
      </c>
      <c r="B5" s="847"/>
      <c r="C5" s="840" t="str">
        <f>VLOOKUP($N$2,ProHeader!$C$9:$W$175,5,FALSE)</f>
        <v xml:space="preserve">بمنطقة  الورقاء - دبى </v>
      </c>
      <c r="D5" s="844"/>
      <c r="E5" s="850">
        <f>G3*5%</f>
        <v>4605.95</v>
      </c>
      <c r="F5" s="850">
        <f>SUM(H10:H100)</f>
        <v>23625</v>
      </c>
      <c r="G5" s="850">
        <f>G3+E5-F5</f>
        <v>73099.95</v>
      </c>
      <c r="H5" s="859" t="s">
        <v>1261</v>
      </c>
      <c r="I5" s="954">
        <v>30035.25</v>
      </c>
      <c r="J5" s="862"/>
      <c r="K5" s="863"/>
      <c r="L5" s="863"/>
      <c r="M5" s="863"/>
      <c r="N5" s="682"/>
      <c r="O5" s="682"/>
      <c r="P5" s="929"/>
      <c r="Q5" s="682"/>
      <c r="R5" s="682"/>
      <c r="S5" s="682"/>
      <c r="T5" s="682"/>
      <c r="U5" s="682"/>
      <c r="V5" s="682"/>
      <c r="W5" s="1"/>
      <c r="X5" s="1"/>
      <c r="Y5" s="1"/>
      <c r="Z5" s="1"/>
      <c r="AA5" s="1"/>
      <c r="AB5" s="1"/>
      <c r="AC5" s="1"/>
    </row>
    <row r="6" spans="1:31" ht="21" customHeight="1">
      <c r="A6" s="847" t="s">
        <v>26</v>
      </c>
      <c r="B6" s="847"/>
      <c r="C6" s="840" t="str">
        <f>VLOOKUP($N$2,ProHeader!$C$9:$W$175,6,FALSE)</f>
        <v>(…………..)</v>
      </c>
      <c r="D6" s="844"/>
      <c r="E6" s="849" t="s">
        <v>2837</v>
      </c>
      <c r="F6" s="849" t="s">
        <v>2838</v>
      </c>
      <c r="G6" s="848" t="s">
        <v>2840</v>
      </c>
      <c r="H6" s="860" t="s">
        <v>2836</v>
      </c>
      <c r="I6" s="864" t="s">
        <v>2841</v>
      </c>
      <c r="J6" s="862"/>
      <c r="K6" s="863"/>
      <c r="L6" s="863"/>
      <c r="M6" s="863"/>
      <c r="N6" s="682"/>
      <c r="O6" s="682"/>
      <c r="P6" s="682"/>
      <c r="Q6" s="682"/>
      <c r="R6" s="682"/>
      <c r="S6" s="682"/>
      <c r="T6" s="682"/>
      <c r="U6" s="682"/>
      <c r="V6" s="682"/>
      <c r="W6" s="1"/>
      <c r="X6" s="1"/>
      <c r="Y6" s="1"/>
      <c r="Z6" s="1"/>
      <c r="AA6" s="1"/>
      <c r="AB6" s="1"/>
      <c r="AC6" s="1"/>
    </row>
    <row r="7" spans="1:31" ht="21" customHeight="1">
      <c r="A7" s="847" t="s">
        <v>824</v>
      </c>
      <c r="B7" s="847"/>
      <c r="C7" s="840"/>
      <c r="D7" s="844"/>
      <c r="E7" s="850">
        <f>SUM(E10:E100)</f>
        <v>11100</v>
      </c>
      <c r="F7" s="850">
        <f>G3-E7</f>
        <v>81019</v>
      </c>
      <c r="G7" s="851">
        <f>F7/G3</f>
        <v>0.87950368545034141</v>
      </c>
      <c r="H7" s="955">
        <v>30035.25</v>
      </c>
      <c r="I7" s="1862" t="str">
        <f>VLOOKUP($N$2,ProHeader!$C$9:$W$75,21,FALSE)</f>
        <v>تم تشغيل الماكينات 1/5/2024</v>
      </c>
      <c r="J7" s="1863"/>
      <c r="K7" s="956"/>
      <c r="L7" s="865"/>
      <c r="M7" s="865"/>
      <c r="N7" s="682"/>
      <c r="O7" s="682"/>
      <c r="P7" s="682"/>
      <c r="Q7" s="682"/>
      <c r="R7" s="682"/>
      <c r="S7" s="682"/>
      <c r="T7" s="682"/>
      <c r="U7" s="682"/>
      <c r="V7" s="682"/>
      <c r="W7" s="1"/>
      <c r="X7" s="1"/>
      <c r="Y7" s="1"/>
      <c r="Z7" s="1"/>
      <c r="AA7" s="1"/>
      <c r="AB7" s="1"/>
      <c r="AC7" s="1"/>
    </row>
    <row r="8" spans="1:31" ht="77.25" customHeight="1">
      <c r="A8" s="847"/>
      <c r="B8" s="847"/>
      <c r="C8" s="843"/>
      <c r="D8" s="843"/>
      <c r="E8" s="845"/>
      <c r="F8" s="845"/>
      <c r="G8" s="846"/>
      <c r="H8" s="861"/>
      <c r="I8" s="1864"/>
      <c r="J8" s="1865"/>
      <c r="K8" s="957"/>
      <c r="L8" s="865"/>
      <c r="M8" s="865"/>
      <c r="N8" s="682"/>
      <c r="O8" s="682"/>
      <c r="P8" s="682"/>
      <c r="Q8" s="682"/>
      <c r="R8" s="682"/>
      <c r="S8" s="682"/>
      <c r="T8" s="682"/>
      <c r="U8" s="682"/>
      <c r="V8" s="682"/>
      <c r="W8" s="1"/>
      <c r="X8" s="1"/>
      <c r="Y8" s="1"/>
      <c r="Z8" s="1"/>
      <c r="AA8" s="1"/>
      <c r="AB8" s="1"/>
      <c r="AC8" s="1"/>
    </row>
    <row r="9" spans="1:31" ht="21" customHeight="1" thickBot="1">
      <c r="A9" s="759" t="s">
        <v>359</v>
      </c>
      <c r="B9" s="760" t="s">
        <v>360</v>
      </c>
      <c r="C9" s="761" t="s">
        <v>4</v>
      </c>
      <c r="D9" s="761" t="s">
        <v>14</v>
      </c>
      <c r="E9" s="762"/>
      <c r="F9" s="762" t="s">
        <v>248</v>
      </c>
      <c r="G9" s="762" t="s">
        <v>353</v>
      </c>
      <c r="H9" s="762" t="s">
        <v>352</v>
      </c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  <c r="U9" s="762"/>
      <c r="V9" s="762"/>
      <c r="W9" s="1"/>
      <c r="X9" s="1"/>
      <c r="Y9" s="1"/>
      <c r="Z9" s="1"/>
      <c r="AA9" s="1"/>
      <c r="AB9" s="1"/>
      <c r="AC9" s="1"/>
    </row>
    <row r="10" spans="1:31" ht="15.75" thickTop="1">
      <c r="A10" s="765">
        <v>1</v>
      </c>
      <c r="B10" s="766">
        <v>292</v>
      </c>
      <c r="C10" s="767">
        <v>45615</v>
      </c>
      <c r="D10" s="1560" t="s">
        <v>5710</v>
      </c>
      <c r="E10" s="1025"/>
      <c r="F10" s="882">
        <v>22500</v>
      </c>
      <c r="G10" s="882">
        <v>1125</v>
      </c>
      <c r="H10" s="797">
        <v>23625</v>
      </c>
      <c r="I10" s="855"/>
      <c r="J10" s="856"/>
      <c r="K10" s="857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1"/>
      <c r="X10" s="1"/>
      <c r="Y10" s="1"/>
      <c r="Z10" s="1"/>
      <c r="AA10" s="1"/>
      <c r="AB10" s="1"/>
      <c r="AC10" s="1"/>
    </row>
    <row r="11" spans="1:31">
      <c r="A11" s="768">
        <v>2</v>
      </c>
      <c r="B11" s="769">
        <v>292</v>
      </c>
      <c r="C11" s="770">
        <v>45615</v>
      </c>
      <c r="D11" s="770" t="s">
        <v>5712</v>
      </c>
      <c r="E11" s="805">
        <v>10500</v>
      </c>
      <c r="F11" s="798"/>
      <c r="G11" s="799"/>
      <c r="H11" s="797">
        <v>0</v>
      </c>
      <c r="I11" s="855"/>
      <c r="J11" s="856"/>
      <c r="K11" s="857"/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1"/>
      <c r="X11" s="1"/>
      <c r="Y11" s="1"/>
      <c r="Z11" s="1"/>
      <c r="AA11" s="1"/>
      <c r="AB11" s="1"/>
      <c r="AC11" s="1"/>
      <c r="AD11" s="439"/>
      <c r="AE11" s="439"/>
    </row>
    <row r="12" spans="1:31">
      <c r="A12" s="768">
        <v>2</v>
      </c>
      <c r="B12" s="769">
        <v>292</v>
      </c>
      <c r="C12" s="770">
        <v>45624</v>
      </c>
      <c r="D12" s="770" t="s">
        <v>5871</v>
      </c>
      <c r="E12" s="805">
        <v>600</v>
      </c>
      <c r="F12" s="798"/>
      <c r="G12" s="799"/>
      <c r="H12" s="797">
        <v>0</v>
      </c>
      <c r="I12" s="855"/>
      <c r="J12" s="856"/>
      <c r="K12" s="857"/>
      <c r="L12" s="681"/>
      <c r="M12" s="681"/>
      <c r="N12" s="681"/>
      <c r="O12" s="681"/>
      <c r="P12" s="681"/>
      <c r="Q12" s="681"/>
      <c r="R12" s="681"/>
      <c r="S12" s="681"/>
      <c r="T12" s="681"/>
      <c r="U12" s="681"/>
      <c r="V12" s="681"/>
      <c r="W12" s="1"/>
      <c r="X12" s="1"/>
      <c r="Y12" s="1"/>
      <c r="Z12" s="1"/>
      <c r="AA12" s="1"/>
      <c r="AB12" s="1"/>
      <c r="AC12" s="1"/>
      <c r="AD12" s="439"/>
      <c r="AE12" s="439"/>
    </row>
    <row r="13" spans="1:31">
      <c r="A13" s="768"/>
      <c r="B13" s="769"/>
      <c r="C13" s="770"/>
      <c r="D13" s="770"/>
      <c r="E13" s="805"/>
      <c r="F13" s="798"/>
      <c r="G13" s="799"/>
      <c r="H13" s="797"/>
      <c r="I13" s="855"/>
      <c r="J13" s="856"/>
      <c r="K13" s="857"/>
      <c r="L13" s="681"/>
      <c r="M13" s="681"/>
      <c r="N13" s="681"/>
      <c r="O13" s="681"/>
      <c r="P13" s="681"/>
      <c r="Q13" s="681"/>
      <c r="R13" s="681"/>
      <c r="S13" s="681"/>
      <c r="T13" s="681"/>
      <c r="U13" s="681"/>
      <c r="V13" s="681"/>
      <c r="W13" s="1"/>
      <c r="X13" s="1"/>
      <c r="Y13" s="1"/>
      <c r="Z13" s="1"/>
      <c r="AA13" s="1"/>
      <c r="AB13" s="1"/>
      <c r="AC13" s="1"/>
      <c r="AD13" s="439"/>
      <c r="AE13" s="439"/>
    </row>
    <row r="14" spans="1:31">
      <c r="A14" s="768"/>
      <c r="B14" s="769"/>
      <c r="C14" s="770"/>
      <c r="D14" s="885"/>
      <c r="E14" s="805"/>
      <c r="F14" s="798"/>
      <c r="G14" s="799"/>
      <c r="H14" s="797"/>
      <c r="I14" s="855"/>
      <c r="J14" s="856"/>
      <c r="K14" s="857"/>
      <c r="L14" s="681"/>
      <c r="M14" s="681"/>
      <c r="N14" s="681"/>
      <c r="O14" s="681"/>
      <c r="P14" s="681"/>
      <c r="Q14" s="681"/>
      <c r="R14" s="681"/>
      <c r="S14" s="681"/>
      <c r="T14" s="681"/>
      <c r="U14" s="681"/>
      <c r="V14" s="681"/>
      <c r="W14" s="1"/>
      <c r="X14" s="1"/>
      <c r="Y14" s="1"/>
      <c r="Z14" s="1"/>
      <c r="AA14" s="1"/>
      <c r="AB14" s="1"/>
      <c r="AC14" s="1"/>
      <c r="AD14" s="439"/>
      <c r="AE14" s="439"/>
    </row>
    <row r="15" spans="1:31">
      <c r="A15" s="768"/>
      <c r="B15" s="769"/>
      <c r="C15" s="770"/>
      <c r="D15" s="770"/>
      <c r="E15" s="805"/>
      <c r="F15" s="798"/>
      <c r="G15" s="799"/>
      <c r="H15" s="797"/>
      <c r="I15" s="855"/>
      <c r="J15" s="856"/>
      <c r="K15" s="857"/>
      <c r="L15" s="681"/>
      <c r="M15" s="681"/>
      <c r="N15" s="681"/>
      <c r="O15" s="681"/>
      <c r="P15" s="681"/>
      <c r="Q15" s="681"/>
      <c r="R15" s="681"/>
      <c r="S15" s="681"/>
      <c r="T15" s="681"/>
      <c r="U15" s="681"/>
      <c r="V15" s="681"/>
      <c r="W15" s="1"/>
      <c r="X15" s="1"/>
      <c r="Y15" s="1"/>
      <c r="Z15" s="1"/>
      <c r="AA15" s="1"/>
      <c r="AB15" s="1"/>
      <c r="AC15" s="1"/>
      <c r="AD15" s="439"/>
      <c r="AE15" s="439"/>
    </row>
    <row r="16" spans="1:31">
      <c r="A16" s="768"/>
      <c r="B16" s="769"/>
      <c r="C16" s="770"/>
      <c r="D16" s="770"/>
      <c r="E16" s="805"/>
      <c r="F16" s="798"/>
      <c r="G16" s="799"/>
      <c r="H16" s="797"/>
      <c r="I16" s="855"/>
      <c r="J16" s="856"/>
      <c r="K16" s="857"/>
      <c r="L16" s="681"/>
      <c r="M16" s="681"/>
      <c r="N16" s="681"/>
      <c r="O16" s="681"/>
      <c r="P16" s="681"/>
      <c r="Q16" s="681"/>
      <c r="R16" s="681"/>
      <c r="S16" s="681"/>
      <c r="T16" s="681"/>
      <c r="U16" s="681"/>
      <c r="V16" s="681"/>
      <c r="W16" s="1"/>
      <c r="X16" s="1"/>
      <c r="Y16" s="1"/>
      <c r="Z16" s="1"/>
      <c r="AA16" s="1"/>
      <c r="AB16" s="1"/>
      <c r="AC16" s="1"/>
      <c r="AD16" s="439"/>
      <c r="AE16" s="439"/>
    </row>
    <row r="17" spans="1:31">
      <c r="A17" s="768"/>
      <c r="B17" s="769"/>
      <c r="C17" s="770"/>
      <c r="D17" s="770"/>
      <c r="E17" s="805"/>
      <c r="F17" s="798"/>
      <c r="G17" s="799"/>
      <c r="H17" s="797"/>
      <c r="I17" s="855"/>
      <c r="J17" s="856"/>
      <c r="K17" s="857"/>
      <c r="L17" s="681"/>
      <c r="M17" s="681"/>
      <c r="N17" s="681"/>
      <c r="O17" s="681"/>
      <c r="P17" s="681"/>
      <c r="Q17" s="681"/>
      <c r="R17" s="681"/>
      <c r="S17" s="681"/>
      <c r="T17" s="681"/>
      <c r="U17" s="681"/>
      <c r="V17" s="681"/>
      <c r="W17" s="1"/>
      <c r="X17" s="1"/>
      <c r="Y17" s="1"/>
      <c r="Z17" s="1"/>
      <c r="AA17" s="1"/>
      <c r="AB17" s="1"/>
      <c r="AC17" s="1"/>
      <c r="AD17" s="439"/>
      <c r="AE17" s="439"/>
    </row>
    <row r="18" spans="1:31">
      <c r="A18" s="768"/>
      <c r="B18" s="769"/>
      <c r="C18" s="770"/>
      <c r="D18" s="770"/>
      <c r="E18" s="805"/>
      <c r="F18" s="798"/>
      <c r="G18" s="799"/>
      <c r="H18" s="797"/>
      <c r="I18" s="855"/>
      <c r="J18" s="856"/>
      <c r="K18" s="857"/>
      <c r="L18" s="681"/>
      <c r="M18" s="681"/>
      <c r="N18" s="681"/>
      <c r="O18" s="681"/>
      <c r="P18" s="681"/>
      <c r="Q18" s="681"/>
      <c r="R18" s="681"/>
      <c r="S18" s="681"/>
      <c r="T18" s="681"/>
      <c r="U18" s="681"/>
      <c r="V18" s="681"/>
      <c r="W18" s="1"/>
      <c r="X18" s="1"/>
      <c r="Y18" s="1"/>
      <c r="Z18" s="1"/>
      <c r="AA18" s="1"/>
      <c r="AB18" s="1"/>
      <c r="AC18" s="1"/>
      <c r="AD18" s="439"/>
      <c r="AE18" s="439"/>
    </row>
    <row r="19" spans="1:31">
      <c r="A19" s="768"/>
      <c r="B19" s="769"/>
      <c r="C19" s="770"/>
      <c r="D19" s="770"/>
      <c r="E19" s="805"/>
      <c r="F19" s="798"/>
      <c r="G19" s="799"/>
      <c r="H19" s="797"/>
      <c r="I19" s="855"/>
      <c r="J19" s="856"/>
      <c r="K19" s="857"/>
      <c r="L19" s="681"/>
      <c r="M19" s="681"/>
      <c r="N19" s="681"/>
      <c r="O19" s="681"/>
      <c r="P19" s="681"/>
      <c r="Q19" s="681"/>
      <c r="R19" s="681"/>
      <c r="S19" s="681"/>
      <c r="T19" s="681"/>
      <c r="U19" s="681"/>
      <c r="V19" s="681"/>
      <c r="W19" s="1"/>
      <c r="X19" s="1"/>
      <c r="Y19" s="1"/>
      <c r="Z19" s="1"/>
      <c r="AA19" s="1"/>
      <c r="AB19" s="1"/>
      <c r="AC19" s="1"/>
      <c r="AD19" s="439"/>
      <c r="AE19" s="439"/>
    </row>
    <row r="20" spans="1:31">
      <c r="A20" s="768"/>
      <c r="B20" s="769"/>
      <c r="C20" s="770"/>
      <c r="D20" s="770"/>
      <c r="E20" s="805"/>
      <c r="F20" s="798"/>
      <c r="G20" s="799"/>
      <c r="H20" s="797"/>
      <c r="I20" s="855"/>
      <c r="J20" s="856"/>
      <c r="K20" s="857"/>
      <c r="L20" s="681"/>
      <c r="M20" s="681"/>
      <c r="N20" s="681"/>
      <c r="O20" s="681"/>
      <c r="P20" s="681"/>
      <c r="Q20" s="681"/>
      <c r="R20" s="681"/>
      <c r="S20" s="681"/>
      <c r="T20" s="681"/>
      <c r="U20" s="681"/>
      <c r="V20" s="681"/>
      <c r="W20" s="1"/>
      <c r="X20" s="1"/>
      <c r="Y20" s="1"/>
      <c r="Z20" s="1"/>
      <c r="AA20" s="1"/>
      <c r="AB20" s="1"/>
      <c r="AC20" s="1"/>
      <c r="AD20" s="439"/>
      <c r="AE20" s="439"/>
    </row>
    <row r="21" spans="1:31">
      <c r="A21" s="768"/>
      <c r="B21" s="769"/>
      <c r="C21" s="770"/>
      <c r="D21" s="770"/>
      <c r="E21" s="805"/>
      <c r="F21" s="798"/>
      <c r="G21" s="799"/>
      <c r="H21" s="797"/>
      <c r="I21" s="855"/>
      <c r="J21" s="856"/>
      <c r="K21" s="857"/>
      <c r="L21" s="681"/>
      <c r="M21" s="681"/>
      <c r="N21" s="681"/>
      <c r="O21" s="681"/>
      <c r="P21" s="681"/>
      <c r="Q21" s="681"/>
      <c r="R21" s="681"/>
      <c r="S21" s="681"/>
      <c r="T21" s="681"/>
      <c r="U21" s="681"/>
      <c r="V21" s="681"/>
      <c r="W21" s="1"/>
      <c r="X21" s="1"/>
      <c r="Y21" s="1"/>
      <c r="Z21" s="1"/>
      <c r="AA21" s="1"/>
      <c r="AB21" s="1"/>
      <c r="AC21" s="1"/>
      <c r="AD21" s="439"/>
      <c r="AE21" s="439"/>
    </row>
    <row r="22" spans="1:31">
      <c r="A22" s="768"/>
      <c r="B22" s="769"/>
      <c r="C22" s="770"/>
      <c r="D22" s="770"/>
      <c r="E22" s="808"/>
      <c r="F22" s="799"/>
      <c r="G22" s="799"/>
      <c r="H22" s="797"/>
      <c r="I22" s="855"/>
      <c r="J22" s="856"/>
      <c r="K22" s="857"/>
      <c r="L22" s="681"/>
      <c r="M22" s="681"/>
      <c r="N22" s="681"/>
      <c r="O22" s="681"/>
      <c r="P22" s="681"/>
      <c r="Q22" s="681"/>
      <c r="R22" s="681"/>
      <c r="S22" s="681"/>
      <c r="T22" s="681"/>
      <c r="U22" s="681"/>
      <c r="V22" s="681"/>
      <c r="W22" s="1"/>
      <c r="X22" s="1"/>
      <c r="Y22" s="1"/>
      <c r="Z22" s="1"/>
      <c r="AA22" s="1"/>
      <c r="AB22" s="1"/>
      <c r="AC22" s="1"/>
      <c r="AD22" s="439"/>
      <c r="AE22" s="439"/>
    </row>
    <row r="23" spans="1:31">
      <c r="A23" s="768"/>
      <c r="B23" s="769"/>
      <c r="C23" s="770"/>
      <c r="D23" s="770"/>
      <c r="E23" s="808"/>
      <c r="F23" s="799"/>
      <c r="G23" s="799"/>
      <c r="H23" s="797"/>
      <c r="I23" s="855"/>
      <c r="J23" s="856"/>
      <c r="K23" s="857"/>
      <c r="L23" s="681"/>
      <c r="M23" s="681"/>
      <c r="N23" s="681"/>
      <c r="O23" s="681"/>
      <c r="P23" s="681"/>
      <c r="Q23" s="681"/>
      <c r="R23" s="681"/>
      <c r="S23" s="681"/>
      <c r="T23" s="681"/>
      <c r="U23" s="681"/>
      <c r="V23" s="681"/>
      <c r="W23" s="1"/>
      <c r="X23" s="1"/>
      <c r="Y23" s="1"/>
      <c r="Z23" s="1"/>
      <c r="AA23" s="1"/>
      <c r="AB23" s="1"/>
      <c r="AC23" s="1"/>
      <c r="AD23" s="439"/>
      <c r="AE23" s="439"/>
    </row>
    <row r="24" spans="1:31">
      <c r="A24" s="768"/>
      <c r="B24" s="769"/>
      <c r="C24" s="770"/>
      <c r="D24" s="770"/>
      <c r="E24" s="808"/>
      <c r="F24" s="799"/>
      <c r="G24" s="799"/>
      <c r="H24" s="797"/>
      <c r="I24" s="855"/>
      <c r="J24" s="856"/>
      <c r="K24" s="857"/>
      <c r="L24" s="681"/>
      <c r="M24" s="681"/>
      <c r="N24" s="681"/>
      <c r="O24" s="681"/>
      <c r="P24" s="681"/>
      <c r="Q24" s="681"/>
      <c r="R24" s="681"/>
      <c r="S24" s="681"/>
      <c r="T24" s="681"/>
      <c r="U24" s="681"/>
      <c r="V24" s="681"/>
      <c r="W24" s="1"/>
      <c r="X24" s="1"/>
      <c r="Y24" s="1"/>
      <c r="Z24" s="1"/>
      <c r="AA24" s="1"/>
      <c r="AB24" s="1"/>
      <c r="AC24" s="1"/>
      <c r="AD24" s="439"/>
      <c r="AE24" s="439"/>
    </row>
    <row r="25" spans="1:31">
      <c r="A25" s="768"/>
      <c r="B25" s="769"/>
      <c r="C25" s="770"/>
      <c r="D25" s="885"/>
      <c r="E25" s="805"/>
      <c r="F25" s="798"/>
      <c r="G25" s="799"/>
      <c r="H25" s="797"/>
      <c r="I25" s="855"/>
      <c r="J25" s="856"/>
      <c r="K25" s="857"/>
      <c r="L25" s="681"/>
      <c r="M25" s="681"/>
      <c r="N25" s="681"/>
      <c r="O25" s="681"/>
      <c r="P25" s="681"/>
      <c r="Q25" s="681"/>
      <c r="R25" s="681"/>
      <c r="S25" s="681"/>
      <c r="T25" s="681"/>
      <c r="U25" s="681"/>
      <c r="V25" s="681"/>
      <c r="W25" s="1"/>
      <c r="X25" s="1"/>
      <c r="Y25" s="1"/>
      <c r="Z25" s="1"/>
      <c r="AA25" s="1"/>
      <c r="AB25" s="1"/>
      <c r="AC25" s="1"/>
      <c r="AD25" s="439"/>
      <c r="AE25" s="439"/>
    </row>
    <row r="26" spans="1:31">
      <c r="A26" s="768"/>
      <c r="B26" s="769"/>
      <c r="C26" s="770"/>
      <c r="D26" s="770"/>
      <c r="E26" s="805"/>
      <c r="F26" s="798"/>
      <c r="G26" s="799"/>
      <c r="H26" s="797"/>
      <c r="I26" s="855"/>
      <c r="J26" s="856"/>
      <c r="K26" s="857"/>
      <c r="L26" s="681"/>
      <c r="M26" s="681"/>
      <c r="N26" s="681"/>
      <c r="O26" s="681"/>
      <c r="P26" s="681"/>
      <c r="Q26" s="681"/>
      <c r="R26" s="681"/>
      <c r="S26" s="681"/>
      <c r="T26" s="681"/>
      <c r="U26" s="681"/>
      <c r="V26" s="681"/>
      <c r="W26" s="1"/>
      <c r="X26" s="1"/>
      <c r="Y26" s="1"/>
      <c r="Z26" s="1"/>
      <c r="AA26" s="1"/>
      <c r="AB26" s="1"/>
      <c r="AC26" s="1"/>
      <c r="AD26" s="439"/>
      <c r="AE26" s="439"/>
    </row>
    <row r="27" spans="1:31">
      <c r="A27" s="768"/>
      <c r="B27" s="769"/>
      <c r="C27" s="770"/>
      <c r="D27" s="771"/>
      <c r="E27" s="804"/>
      <c r="F27" s="798"/>
      <c r="G27" s="798"/>
      <c r="H27" s="797"/>
      <c r="I27" s="855"/>
      <c r="J27" s="856"/>
      <c r="K27" s="857"/>
      <c r="L27" s="681"/>
      <c r="M27" s="681"/>
      <c r="N27" s="681"/>
      <c r="O27" s="681"/>
      <c r="P27" s="681"/>
      <c r="Q27" s="681"/>
      <c r="R27" s="681"/>
      <c r="S27" s="681"/>
      <c r="T27" s="681"/>
      <c r="U27" s="681"/>
      <c r="V27" s="681"/>
      <c r="W27" s="1"/>
      <c r="X27" s="1"/>
      <c r="Y27" s="1"/>
      <c r="Z27" s="1"/>
      <c r="AA27" s="1"/>
      <c r="AB27" s="1"/>
      <c r="AC27" s="1"/>
      <c r="AD27" s="439"/>
      <c r="AE27" s="439"/>
    </row>
    <row r="28" spans="1:31">
      <c r="A28" s="768"/>
      <c r="B28" s="769"/>
      <c r="C28" s="770"/>
      <c r="D28" s="770"/>
      <c r="E28" s="808"/>
      <c r="F28" s="799"/>
      <c r="G28" s="799"/>
      <c r="H28" s="797"/>
      <c r="I28" s="855"/>
      <c r="J28" s="856"/>
      <c r="K28" s="857"/>
      <c r="L28" s="681"/>
      <c r="M28" s="681"/>
      <c r="N28" s="681"/>
      <c r="O28" s="681"/>
      <c r="P28" s="681"/>
      <c r="Q28" s="681"/>
      <c r="R28" s="681"/>
      <c r="S28" s="681"/>
      <c r="T28" s="681"/>
      <c r="U28" s="681"/>
      <c r="V28" s="681"/>
      <c r="W28" s="1"/>
      <c r="X28" s="1"/>
      <c r="Y28" s="1"/>
      <c r="Z28" s="1"/>
      <c r="AA28" s="1"/>
      <c r="AB28" s="1"/>
      <c r="AC28" s="1"/>
      <c r="AD28" s="439"/>
      <c r="AE28" s="439"/>
    </row>
    <row r="29" spans="1:31">
      <c r="A29" s="768"/>
      <c r="B29" s="769"/>
      <c r="C29" s="770"/>
      <c r="D29" s="773"/>
      <c r="E29" s="805"/>
      <c r="F29" s="798"/>
      <c r="G29" s="798"/>
      <c r="H29" s="797"/>
      <c r="I29" s="855"/>
      <c r="J29" s="856"/>
      <c r="K29" s="857"/>
      <c r="L29" s="681"/>
      <c r="M29" s="681"/>
      <c r="N29" s="681"/>
      <c r="O29" s="681"/>
      <c r="P29" s="681"/>
      <c r="Q29" s="681"/>
      <c r="R29" s="681"/>
      <c r="S29" s="681"/>
      <c r="T29" s="681"/>
      <c r="U29" s="681"/>
      <c r="V29" s="681"/>
      <c r="W29" s="1"/>
      <c r="X29" s="1"/>
      <c r="Y29" s="1"/>
      <c r="Z29" s="1"/>
      <c r="AA29" s="1"/>
      <c r="AB29" s="1"/>
      <c r="AC29" s="1"/>
      <c r="AD29" s="439"/>
      <c r="AE29" s="439"/>
    </row>
    <row r="30" spans="1:31">
      <c r="A30" s="768"/>
      <c r="B30" s="769"/>
      <c r="C30" s="770"/>
      <c r="D30" s="772"/>
      <c r="E30" s="806"/>
      <c r="F30" s="798"/>
      <c r="G30" s="799"/>
      <c r="H30" s="797"/>
      <c r="I30" s="855"/>
      <c r="J30" s="856"/>
      <c r="K30" s="857"/>
      <c r="L30" s="681"/>
      <c r="M30" s="681"/>
      <c r="N30" s="681"/>
      <c r="O30" s="681"/>
      <c r="P30" s="681"/>
      <c r="Q30" s="681"/>
      <c r="R30" s="681"/>
      <c r="S30" s="681"/>
      <c r="T30" s="681"/>
      <c r="U30" s="681"/>
      <c r="V30" s="681"/>
      <c r="W30" s="1"/>
      <c r="X30" s="1"/>
      <c r="Y30" s="1"/>
      <c r="Z30" s="1"/>
      <c r="AA30" s="1"/>
      <c r="AB30" s="1"/>
      <c r="AC30" s="1"/>
      <c r="AD30" s="439"/>
      <c r="AE30" s="439"/>
    </row>
    <row r="31" spans="1:31">
      <c r="A31" s="768"/>
      <c r="B31" s="769"/>
      <c r="C31" s="770"/>
      <c r="D31" s="771"/>
      <c r="E31" s="807"/>
      <c r="F31" s="798"/>
      <c r="G31" s="798"/>
      <c r="H31" s="797"/>
      <c r="I31" s="855"/>
      <c r="J31" s="856"/>
      <c r="K31" s="857"/>
      <c r="L31" s="681"/>
      <c r="M31" s="681"/>
      <c r="N31" s="681"/>
      <c r="O31" s="681"/>
      <c r="P31" s="681"/>
      <c r="Q31" s="681"/>
      <c r="R31" s="681"/>
      <c r="S31" s="681"/>
      <c r="T31" s="681"/>
      <c r="U31" s="681"/>
      <c r="V31" s="681"/>
      <c r="W31" s="1"/>
      <c r="X31" s="1"/>
      <c r="Y31" s="1"/>
      <c r="Z31" s="1"/>
      <c r="AA31" s="1"/>
      <c r="AB31" s="1"/>
      <c r="AC31" s="1"/>
      <c r="AD31" s="439"/>
      <c r="AE31" s="439"/>
    </row>
    <row r="32" spans="1:31">
      <c r="A32" s="768"/>
      <c r="B32" s="769"/>
      <c r="C32" s="770"/>
      <c r="D32" s="770"/>
      <c r="E32" s="805"/>
      <c r="F32" s="798"/>
      <c r="G32" s="799"/>
      <c r="H32" s="797"/>
      <c r="I32" s="855"/>
      <c r="J32" s="856"/>
      <c r="K32" s="857"/>
      <c r="L32" s="681"/>
      <c r="M32" s="681"/>
      <c r="N32" s="681"/>
      <c r="O32" s="681"/>
      <c r="P32" s="681"/>
      <c r="Q32" s="681"/>
      <c r="R32" s="681"/>
      <c r="S32" s="681"/>
      <c r="T32" s="681"/>
      <c r="U32" s="681"/>
      <c r="V32" s="681"/>
      <c r="W32" s="1"/>
      <c r="X32" s="1"/>
      <c r="Y32" s="1"/>
      <c r="Z32" s="1"/>
      <c r="AA32" s="1"/>
      <c r="AB32" s="1"/>
      <c r="AC32" s="1"/>
      <c r="AD32" s="439"/>
      <c r="AE32" s="439"/>
    </row>
    <row r="33" spans="1:31">
      <c r="A33" s="768"/>
      <c r="B33" s="769"/>
      <c r="C33" s="770"/>
      <c r="D33" s="770"/>
      <c r="E33" s="805"/>
      <c r="F33" s="798"/>
      <c r="G33" s="799"/>
      <c r="H33" s="797"/>
      <c r="I33" s="855"/>
      <c r="J33" s="856"/>
      <c r="K33" s="857"/>
      <c r="L33" s="681"/>
      <c r="M33" s="681"/>
      <c r="N33" s="681"/>
      <c r="O33" s="681"/>
      <c r="P33" s="681"/>
      <c r="Q33" s="681"/>
      <c r="R33" s="681"/>
      <c r="S33" s="681"/>
      <c r="T33" s="681"/>
      <c r="U33" s="681"/>
      <c r="V33" s="681"/>
      <c r="W33" s="1"/>
      <c r="X33" s="1"/>
      <c r="Y33" s="1"/>
      <c r="Z33" s="1"/>
      <c r="AA33" s="1"/>
      <c r="AB33" s="1"/>
      <c r="AC33" s="1"/>
      <c r="AD33" s="439"/>
      <c r="AE33" s="439"/>
    </row>
    <row r="34" spans="1:31">
      <c r="A34" s="768"/>
      <c r="B34" s="769"/>
      <c r="C34" s="770"/>
      <c r="D34" s="770"/>
      <c r="E34" s="805"/>
      <c r="F34" s="798"/>
      <c r="G34" s="799"/>
      <c r="H34" s="797"/>
      <c r="I34" s="855"/>
      <c r="J34" s="856"/>
      <c r="K34" s="857"/>
      <c r="L34" s="681"/>
      <c r="M34" s="681"/>
      <c r="N34" s="681"/>
      <c r="O34" s="681"/>
      <c r="P34" s="681"/>
      <c r="Q34" s="681"/>
      <c r="R34" s="681"/>
      <c r="S34" s="681"/>
      <c r="T34" s="681"/>
      <c r="U34" s="681"/>
      <c r="V34" s="681"/>
      <c r="W34" s="1"/>
      <c r="X34" s="1"/>
      <c r="Y34" s="1"/>
      <c r="Z34" s="1"/>
      <c r="AA34" s="1"/>
      <c r="AB34" s="1"/>
      <c r="AC34" s="1"/>
      <c r="AD34" s="439"/>
      <c r="AE34" s="439"/>
    </row>
    <row r="35" spans="1:31">
      <c r="A35" s="768"/>
      <c r="B35" s="769"/>
      <c r="C35" s="770"/>
      <c r="D35" s="771"/>
      <c r="E35" s="804"/>
      <c r="F35" s="798"/>
      <c r="G35" s="798"/>
      <c r="H35" s="797"/>
      <c r="I35" s="855"/>
      <c r="J35" s="856"/>
      <c r="K35" s="857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1"/>
      <c r="X35" s="1"/>
      <c r="Y35" s="1"/>
      <c r="Z35" s="1"/>
      <c r="AA35" s="1"/>
      <c r="AB35" s="1"/>
      <c r="AC35" s="1"/>
      <c r="AD35" s="439"/>
      <c r="AE35" s="439"/>
    </row>
    <row r="36" spans="1:31">
      <c r="A36" s="768"/>
      <c r="B36" s="769"/>
      <c r="C36" s="770"/>
      <c r="D36" s="771"/>
      <c r="E36" s="804"/>
      <c r="F36" s="798"/>
      <c r="G36" s="798"/>
      <c r="H36" s="797"/>
      <c r="I36" s="855"/>
      <c r="J36" s="856"/>
      <c r="K36" s="857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1"/>
      <c r="X36" s="1"/>
      <c r="Y36" s="1"/>
      <c r="Z36" s="1"/>
      <c r="AA36" s="1"/>
      <c r="AB36" s="1"/>
      <c r="AC36" s="1"/>
      <c r="AD36" s="439"/>
      <c r="AE36" s="439"/>
    </row>
    <row r="37" spans="1:31">
      <c r="A37" s="768"/>
      <c r="B37" s="769"/>
      <c r="C37" s="770"/>
      <c r="D37" s="773"/>
      <c r="E37" s="807"/>
      <c r="F37" s="798"/>
      <c r="G37" s="798"/>
      <c r="H37" s="797"/>
      <c r="I37" s="855"/>
      <c r="J37" s="856"/>
      <c r="K37" s="857"/>
      <c r="L37" s="681"/>
      <c r="M37" s="681"/>
      <c r="N37" s="681"/>
      <c r="O37" s="681"/>
      <c r="P37" s="681"/>
      <c r="Q37" s="681"/>
      <c r="R37" s="681"/>
      <c r="S37" s="681"/>
      <c r="T37" s="681"/>
      <c r="U37" s="681"/>
      <c r="V37" s="681"/>
      <c r="W37" s="1"/>
      <c r="X37" s="1"/>
      <c r="Y37" s="1"/>
      <c r="Z37" s="1"/>
      <c r="AA37" s="1"/>
      <c r="AB37" s="1"/>
      <c r="AC37" s="1"/>
      <c r="AD37" s="439"/>
      <c r="AE37" s="439"/>
    </row>
    <row r="38" spans="1:31">
      <c r="A38" s="768"/>
      <c r="B38" s="769"/>
      <c r="C38" s="770"/>
      <c r="D38" s="770"/>
      <c r="E38" s="805"/>
      <c r="F38" s="798"/>
      <c r="G38" s="799"/>
      <c r="H38" s="797"/>
      <c r="I38" s="855"/>
      <c r="J38" s="856"/>
      <c r="K38" s="857"/>
      <c r="L38" s="681"/>
      <c r="M38" s="681"/>
      <c r="N38" s="681"/>
      <c r="O38" s="681"/>
      <c r="P38" s="681"/>
      <c r="Q38" s="681"/>
      <c r="R38" s="681"/>
      <c r="S38" s="681"/>
      <c r="T38" s="681"/>
      <c r="U38" s="681"/>
      <c r="V38" s="681"/>
      <c r="W38" s="1"/>
      <c r="X38" s="1"/>
      <c r="Y38" s="1"/>
      <c r="Z38" s="1"/>
      <c r="AA38" s="1"/>
      <c r="AB38" s="1"/>
      <c r="AC38" s="1"/>
      <c r="AD38" s="439"/>
      <c r="AE38" s="439"/>
    </row>
    <row r="39" spans="1:31">
      <c r="A39" s="768"/>
      <c r="B39" s="769"/>
      <c r="C39" s="770"/>
      <c r="D39" s="770"/>
      <c r="E39" s="805"/>
      <c r="F39" s="798"/>
      <c r="G39" s="799"/>
      <c r="H39" s="797"/>
      <c r="I39" s="855"/>
      <c r="J39" s="856"/>
      <c r="K39" s="857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1"/>
      <c r="X39" s="1"/>
      <c r="Y39" s="1"/>
      <c r="Z39" s="1"/>
      <c r="AA39" s="1"/>
      <c r="AB39" s="1"/>
      <c r="AC39" s="1"/>
      <c r="AD39" s="439"/>
      <c r="AE39" s="439"/>
    </row>
    <row r="40" spans="1:31">
      <c r="A40" s="768"/>
      <c r="B40" s="769"/>
      <c r="C40" s="770"/>
      <c r="D40" s="770"/>
      <c r="E40" s="808"/>
      <c r="F40" s="799"/>
      <c r="G40" s="799"/>
      <c r="H40" s="797"/>
      <c r="I40" s="855"/>
      <c r="J40" s="856"/>
      <c r="K40" s="857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1"/>
      <c r="X40" s="1"/>
      <c r="Y40" s="1"/>
      <c r="Z40" s="1"/>
      <c r="AA40" s="1"/>
      <c r="AB40" s="1"/>
      <c r="AC40" s="1"/>
      <c r="AD40" s="439"/>
      <c r="AE40" s="439"/>
    </row>
    <row r="41" spans="1:31">
      <c r="A41" s="768"/>
      <c r="B41" s="769"/>
      <c r="C41" s="770"/>
      <c r="D41" s="770"/>
      <c r="E41" s="805"/>
      <c r="F41" s="798"/>
      <c r="G41" s="799"/>
      <c r="H41" s="797"/>
      <c r="I41" s="855"/>
      <c r="J41" s="856"/>
      <c r="K41" s="857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1"/>
      <c r="X41" s="1"/>
      <c r="Y41" s="1"/>
      <c r="Z41" s="1"/>
      <c r="AA41" s="1"/>
      <c r="AB41" s="1"/>
      <c r="AC41" s="1"/>
      <c r="AD41" s="439"/>
      <c r="AE41" s="439"/>
    </row>
    <row r="42" spans="1:31">
      <c r="A42" s="768"/>
      <c r="B42" s="769"/>
      <c r="C42" s="770"/>
      <c r="D42" s="770"/>
      <c r="E42" s="805"/>
      <c r="F42" s="798"/>
      <c r="G42" s="799"/>
      <c r="H42" s="797"/>
      <c r="I42" s="855"/>
      <c r="J42" s="856"/>
      <c r="K42" s="857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1"/>
      <c r="X42" s="1"/>
      <c r="Y42" s="1"/>
      <c r="Z42" s="1"/>
      <c r="AA42" s="1"/>
      <c r="AB42" s="1"/>
      <c r="AC42" s="1"/>
      <c r="AD42" s="439"/>
      <c r="AE42" s="439"/>
    </row>
    <row r="43" spans="1:31">
      <c r="A43" s="768"/>
      <c r="B43" s="769"/>
      <c r="C43" s="770"/>
      <c r="D43" s="770"/>
      <c r="E43" s="805"/>
      <c r="F43" s="798"/>
      <c r="G43" s="799"/>
      <c r="H43" s="797"/>
      <c r="I43" s="855"/>
      <c r="J43" s="856"/>
      <c r="K43" s="857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1"/>
      <c r="X43" s="1"/>
      <c r="Y43" s="1"/>
      <c r="Z43" s="1"/>
      <c r="AA43" s="1"/>
      <c r="AB43" s="1"/>
      <c r="AC43" s="1"/>
      <c r="AD43" s="439"/>
      <c r="AE43" s="439"/>
    </row>
    <row r="44" spans="1:31">
      <c r="A44" s="768"/>
      <c r="B44" s="769"/>
      <c r="C44" s="770"/>
      <c r="D44" s="770"/>
      <c r="E44" s="805"/>
      <c r="F44" s="798"/>
      <c r="G44" s="799"/>
      <c r="H44" s="797"/>
      <c r="I44" s="855"/>
      <c r="J44" s="856"/>
      <c r="K44" s="857"/>
      <c r="L44" s="681"/>
      <c r="M44" s="681"/>
      <c r="N44" s="681"/>
      <c r="O44" s="681"/>
      <c r="P44" s="681"/>
      <c r="Q44" s="681"/>
      <c r="R44" s="681"/>
      <c r="S44" s="681"/>
      <c r="T44" s="681"/>
      <c r="U44" s="681"/>
      <c r="V44" s="681"/>
      <c r="W44" s="1"/>
      <c r="X44" s="1"/>
      <c r="Y44" s="1"/>
      <c r="Z44" s="1"/>
      <c r="AA44" s="1"/>
      <c r="AB44" s="1"/>
      <c r="AC44" s="1"/>
      <c r="AD44" s="439"/>
      <c r="AE44" s="439"/>
    </row>
    <row r="45" spans="1:31">
      <c r="A45" s="768"/>
      <c r="B45" s="769"/>
      <c r="C45" s="770"/>
      <c r="D45" s="770"/>
      <c r="E45" s="805"/>
      <c r="F45" s="798"/>
      <c r="G45" s="799"/>
      <c r="H45" s="797"/>
      <c r="I45" s="855"/>
      <c r="J45" s="856"/>
      <c r="K45" s="857"/>
      <c r="L45" s="681"/>
      <c r="M45" s="681"/>
      <c r="N45" s="681"/>
      <c r="O45" s="681"/>
      <c r="P45" s="681"/>
      <c r="Q45" s="681"/>
      <c r="R45" s="681"/>
      <c r="S45" s="681"/>
      <c r="T45" s="681"/>
      <c r="U45" s="681"/>
      <c r="V45" s="681"/>
      <c r="W45" s="1"/>
      <c r="X45" s="1"/>
      <c r="Y45" s="1"/>
      <c r="Z45" s="1"/>
      <c r="AA45" s="1"/>
      <c r="AB45" s="1"/>
      <c r="AC45" s="1"/>
      <c r="AD45" s="439"/>
      <c r="AE45" s="439"/>
    </row>
    <row r="46" spans="1:31">
      <c r="A46" s="768"/>
      <c r="B46" s="769"/>
      <c r="C46" s="770"/>
      <c r="D46" s="770"/>
      <c r="E46" s="805"/>
      <c r="F46" s="798"/>
      <c r="G46" s="799"/>
      <c r="H46" s="797"/>
      <c r="I46" s="855"/>
      <c r="J46" s="856"/>
      <c r="K46" s="857"/>
      <c r="L46" s="681"/>
      <c r="M46" s="681"/>
      <c r="N46" s="681"/>
      <c r="O46" s="681"/>
      <c r="P46" s="681"/>
      <c r="Q46" s="681"/>
      <c r="R46" s="681"/>
      <c r="S46" s="681"/>
      <c r="T46" s="681"/>
      <c r="U46" s="681"/>
      <c r="V46" s="681"/>
      <c r="W46" s="1"/>
      <c r="X46" s="1"/>
      <c r="Y46" s="1"/>
      <c r="Z46" s="1"/>
      <c r="AA46" s="1"/>
      <c r="AB46" s="1"/>
      <c r="AC46" s="1"/>
      <c r="AD46" s="439"/>
      <c r="AE46" s="439"/>
    </row>
    <row r="47" spans="1:31">
      <c r="A47" s="768"/>
      <c r="B47" s="769"/>
      <c r="C47" s="770"/>
      <c r="D47" s="770"/>
      <c r="E47" s="805"/>
      <c r="F47" s="798"/>
      <c r="G47" s="799"/>
      <c r="H47" s="797"/>
      <c r="I47" s="855"/>
      <c r="J47" s="856"/>
      <c r="K47" s="857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1"/>
      <c r="X47" s="1"/>
      <c r="Y47" s="1"/>
      <c r="Z47" s="1"/>
      <c r="AA47" s="1"/>
      <c r="AB47" s="1"/>
      <c r="AC47" s="1"/>
      <c r="AD47" s="439"/>
      <c r="AE47" s="439"/>
    </row>
    <row r="48" spans="1:31">
      <c r="A48" s="768"/>
      <c r="B48" s="769"/>
      <c r="C48" s="770"/>
      <c r="D48" s="770"/>
      <c r="E48" s="805"/>
      <c r="F48" s="798"/>
      <c r="G48" s="799"/>
      <c r="H48" s="797"/>
      <c r="I48" s="855"/>
      <c r="J48" s="856"/>
      <c r="K48" s="857"/>
      <c r="L48" s="681"/>
      <c r="M48" s="681"/>
      <c r="N48" s="681"/>
      <c r="O48" s="681"/>
      <c r="P48" s="681"/>
      <c r="Q48" s="681"/>
      <c r="R48" s="681"/>
      <c r="S48" s="681"/>
      <c r="T48" s="681"/>
      <c r="U48" s="681"/>
      <c r="V48" s="681"/>
      <c r="W48" s="1"/>
      <c r="X48" s="1"/>
      <c r="Y48" s="1"/>
      <c r="Z48" s="1"/>
      <c r="AA48" s="1"/>
      <c r="AB48" s="1"/>
      <c r="AC48" s="1"/>
      <c r="AD48" s="439"/>
      <c r="AE48" s="439"/>
    </row>
    <row r="49" spans="1:31">
      <c r="A49" s="768"/>
      <c r="B49" s="769"/>
      <c r="C49" s="770"/>
      <c r="D49" s="770"/>
      <c r="E49" s="805"/>
      <c r="F49" s="798"/>
      <c r="G49" s="799"/>
      <c r="H49" s="797"/>
      <c r="I49" s="855"/>
      <c r="J49" s="856"/>
      <c r="K49" s="857"/>
      <c r="L49" s="681"/>
      <c r="M49" s="681"/>
      <c r="N49" s="681"/>
      <c r="O49" s="681"/>
      <c r="P49" s="681"/>
      <c r="Q49" s="681"/>
      <c r="R49" s="681"/>
      <c r="S49" s="681"/>
      <c r="T49" s="681"/>
      <c r="U49" s="681"/>
      <c r="V49" s="681"/>
      <c r="W49" s="1"/>
      <c r="X49" s="1"/>
      <c r="Y49" s="1"/>
      <c r="Z49" s="1"/>
      <c r="AA49" s="1"/>
      <c r="AB49" s="1"/>
      <c r="AC49" s="1"/>
      <c r="AD49" s="439"/>
      <c r="AE49" s="439"/>
    </row>
    <row r="50" spans="1:31">
      <c r="A50" s="768"/>
      <c r="B50" s="769"/>
      <c r="C50" s="770"/>
      <c r="D50" s="770"/>
      <c r="E50" s="805"/>
      <c r="F50" s="798"/>
      <c r="G50" s="799"/>
      <c r="H50" s="797"/>
      <c r="I50" s="855"/>
      <c r="J50" s="856"/>
      <c r="K50" s="857"/>
      <c r="L50" s="681"/>
      <c r="M50" s="681"/>
      <c r="N50" s="681"/>
      <c r="O50" s="681"/>
      <c r="P50" s="681"/>
      <c r="Q50" s="681"/>
      <c r="R50" s="681"/>
      <c r="S50" s="681"/>
      <c r="T50" s="681"/>
      <c r="U50" s="681"/>
      <c r="V50" s="681"/>
      <c r="W50" s="1"/>
      <c r="X50" s="1"/>
      <c r="Y50" s="1"/>
      <c r="Z50" s="1"/>
      <c r="AA50" s="1"/>
      <c r="AB50" s="1"/>
      <c r="AC50" s="1"/>
      <c r="AD50" s="439"/>
      <c r="AE50" s="439"/>
    </row>
    <row r="51" spans="1:31">
      <c r="A51" s="768"/>
      <c r="B51" s="769"/>
      <c r="C51" s="770"/>
      <c r="D51" s="770"/>
      <c r="E51" s="805"/>
      <c r="F51" s="798"/>
      <c r="G51" s="799"/>
      <c r="H51" s="797"/>
      <c r="I51" s="855"/>
      <c r="J51" s="856"/>
      <c r="K51" s="857"/>
      <c r="L51" s="681"/>
      <c r="M51" s="681"/>
      <c r="N51" s="681"/>
      <c r="O51" s="681"/>
      <c r="P51" s="681"/>
      <c r="Q51" s="681"/>
      <c r="R51" s="681"/>
      <c r="S51" s="681"/>
      <c r="T51" s="681"/>
      <c r="U51" s="681"/>
      <c r="V51" s="681"/>
      <c r="W51" s="1"/>
      <c r="X51" s="1"/>
      <c r="Y51" s="1"/>
      <c r="Z51" s="1"/>
      <c r="AA51" s="1"/>
      <c r="AB51" s="1"/>
      <c r="AC51" s="1"/>
      <c r="AD51" s="439"/>
      <c r="AE51" s="439"/>
    </row>
    <row r="52" spans="1:31">
      <c r="A52" s="768"/>
      <c r="B52" s="769"/>
      <c r="C52" s="770"/>
      <c r="D52" s="770"/>
      <c r="E52" s="805"/>
      <c r="F52" s="798"/>
      <c r="G52" s="799"/>
      <c r="H52" s="797"/>
      <c r="I52" s="855"/>
      <c r="J52" s="856"/>
      <c r="K52" s="857"/>
      <c r="L52" s="681"/>
      <c r="M52" s="681"/>
      <c r="N52" s="681"/>
      <c r="O52" s="681"/>
      <c r="P52" s="681"/>
      <c r="Q52" s="681"/>
      <c r="R52" s="681"/>
      <c r="S52" s="681"/>
      <c r="T52" s="681"/>
      <c r="U52" s="681"/>
      <c r="V52" s="681"/>
      <c r="W52" s="1"/>
      <c r="X52" s="1"/>
      <c r="Y52" s="1"/>
      <c r="Z52" s="1"/>
      <c r="AA52" s="1"/>
      <c r="AB52" s="1"/>
      <c r="AC52" s="1"/>
      <c r="AD52" s="439"/>
      <c r="AE52" s="439"/>
    </row>
    <row r="53" spans="1:31">
      <c r="A53" s="768"/>
      <c r="B53" s="769"/>
      <c r="C53" s="770"/>
      <c r="D53" s="770"/>
      <c r="E53" s="805"/>
      <c r="F53" s="798"/>
      <c r="G53" s="799"/>
      <c r="H53" s="797"/>
      <c r="I53" s="855"/>
      <c r="J53" s="856"/>
      <c r="K53" s="857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1"/>
      <c r="X53" s="1"/>
      <c r="Y53" s="1"/>
      <c r="Z53" s="1"/>
      <c r="AA53" s="1"/>
      <c r="AB53" s="1"/>
      <c r="AC53" s="1"/>
      <c r="AD53" s="439"/>
      <c r="AE53" s="439"/>
    </row>
    <row r="54" spans="1:31">
      <c r="A54" s="768"/>
      <c r="B54" s="769"/>
      <c r="C54" s="770"/>
      <c r="D54" s="770"/>
      <c r="E54" s="805"/>
      <c r="F54" s="798"/>
      <c r="G54" s="799"/>
      <c r="H54" s="797"/>
      <c r="I54" s="855"/>
      <c r="J54" s="856"/>
      <c r="K54" s="857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1"/>
      <c r="X54" s="1"/>
      <c r="Y54" s="1"/>
      <c r="Z54" s="1"/>
      <c r="AA54" s="1"/>
      <c r="AB54" s="1"/>
      <c r="AC54" s="1"/>
      <c r="AD54" s="439"/>
      <c r="AE54" s="439"/>
    </row>
    <row r="55" spans="1:31">
      <c r="A55" s="768"/>
      <c r="B55" s="769"/>
      <c r="C55" s="770"/>
      <c r="D55" s="770"/>
      <c r="E55" s="805"/>
      <c r="F55" s="798"/>
      <c r="G55" s="799"/>
      <c r="H55" s="797"/>
      <c r="I55" s="855"/>
      <c r="J55" s="856"/>
      <c r="K55" s="857"/>
      <c r="L55" s="681"/>
      <c r="M55" s="681"/>
      <c r="N55" s="681"/>
      <c r="O55" s="681"/>
      <c r="P55" s="681"/>
      <c r="Q55" s="681"/>
      <c r="R55" s="681"/>
      <c r="S55" s="681"/>
      <c r="T55" s="681"/>
      <c r="U55" s="681"/>
      <c r="V55" s="681"/>
      <c r="W55" s="1"/>
      <c r="X55" s="1"/>
      <c r="Y55" s="1"/>
      <c r="Z55" s="1"/>
      <c r="AA55" s="1"/>
      <c r="AB55" s="1"/>
      <c r="AC55" s="1"/>
      <c r="AD55" s="439"/>
      <c r="AE55" s="439"/>
    </row>
    <row r="56" spans="1:31">
      <c r="A56" s="768"/>
      <c r="B56" s="769"/>
      <c r="C56" s="770"/>
      <c r="D56" s="770"/>
      <c r="E56" s="805"/>
      <c r="F56" s="798"/>
      <c r="G56" s="799"/>
      <c r="H56" s="797"/>
      <c r="I56" s="855"/>
      <c r="J56" s="856"/>
      <c r="K56" s="857"/>
      <c r="L56" s="681"/>
      <c r="M56" s="681"/>
      <c r="N56" s="681"/>
      <c r="O56" s="681"/>
      <c r="P56" s="681"/>
      <c r="Q56" s="681"/>
      <c r="R56" s="681"/>
      <c r="S56" s="681"/>
      <c r="T56" s="681"/>
      <c r="U56" s="681"/>
      <c r="V56" s="681"/>
      <c r="W56" s="1"/>
      <c r="X56" s="1"/>
      <c r="Y56" s="1"/>
      <c r="Z56" s="1"/>
      <c r="AA56" s="1"/>
      <c r="AB56" s="1"/>
      <c r="AC56" s="1"/>
      <c r="AD56" s="439"/>
      <c r="AE56" s="439"/>
    </row>
    <row r="57" spans="1:31">
      <c r="A57" s="768"/>
      <c r="B57" s="769"/>
      <c r="C57" s="770"/>
      <c r="D57" s="770"/>
      <c r="E57" s="805"/>
      <c r="F57" s="798"/>
      <c r="G57" s="799"/>
      <c r="H57" s="797"/>
      <c r="I57" s="855"/>
      <c r="J57" s="856"/>
      <c r="K57" s="857"/>
      <c r="L57" s="681"/>
      <c r="M57" s="681"/>
      <c r="N57" s="681"/>
      <c r="O57" s="681"/>
      <c r="P57" s="681"/>
      <c r="Q57" s="681"/>
      <c r="R57" s="681"/>
      <c r="S57" s="681"/>
      <c r="T57" s="681"/>
      <c r="U57" s="681"/>
      <c r="V57" s="681"/>
      <c r="W57" s="1"/>
      <c r="X57" s="1"/>
      <c r="Y57" s="1"/>
      <c r="Z57" s="1"/>
      <c r="AA57" s="1"/>
      <c r="AB57" s="1"/>
      <c r="AC57" s="1"/>
      <c r="AD57" s="439"/>
      <c r="AE57" s="439"/>
    </row>
    <row r="58" spans="1:31">
      <c r="A58" s="768"/>
      <c r="B58" s="769"/>
      <c r="C58" s="770"/>
      <c r="D58" s="773"/>
      <c r="E58" s="807"/>
      <c r="F58" s="798"/>
      <c r="G58" s="798"/>
      <c r="H58" s="797"/>
      <c r="I58" s="855"/>
      <c r="J58" s="856"/>
      <c r="K58" s="857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1"/>
      <c r="X58" s="1"/>
      <c r="Y58" s="1"/>
      <c r="Z58" s="1"/>
      <c r="AA58" s="1"/>
      <c r="AB58" s="1"/>
      <c r="AC58" s="1"/>
      <c r="AD58" s="439"/>
      <c r="AE58" s="439"/>
    </row>
    <row r="59" spans="1:31">
      <c r="A59" s="768"/>
      <c r="B59" s="769"/>
      <c r="C59" s="770"/>
      <c r="D59" s="770"/>
      <c r="E59" s="808"/>
      <c r="F59" s="799"/>
      <c r="G59" s="799"/>
      <c r="H59" s="797"/>
      <c r="I59" s="855"/>
      <c r="J59" s="856"/>
      <c r="K59" s="857"/>
      <c r="L59" s="681"/>
      <c r="M59" s="681"/>
      <c r="N59" s="681"/>
      <c r="O59" s="681"/>
      <c r="P59" s="681"/>
      <c r="Q59" s="681"/>
      <c r="R59" s="681"/>
      <c r="S59" s="681"/>
      <c r="T59" s="681"/>
      <c r="U59" s="681"/>
      <c r="V59" s="681"/>
      <c r="W59" s="1"/>
      <c r="X59" s="1"/>
      <c r="Y59" s="1"/>
      <c r="Z59" s="1"/>
      <c r="AA59" s="1"/>
      <c r="AB59" s="1"/>
      <c r="AC59" s="1"/>
      <c r="AD59" s="439"/>
      <c r="AE59" s="439"/>
    </row>
    <row r="60" spans="1:31">
      <c r="A60" s="768"/>
      <c r="B60" s="769"/>
      <c r="C60" s="770"/>
      <c r="D60" s="770"/>
      <c r="E60" s="808"/>
      <c r="F60" s="799"/>
      <c r="G60" s="799"/>
      <c r="H60" s="797"/>
      <c r="I60" s="855"/>
      <c r="J60" s="856"/>
      <c r="K60" s="857"/>
      <c r="L60" s="681"/>
      <c r="M60" s="681"/>
      <c r="N60" s="681"/>
      <c r="O60" s="681"/>
      <c r="P60" s="681"/>
      <c r="Q60" s="681"/>
      <c r="R60" s="681"/>
      <c r="S60" s="681"/>
      <c r="T60" s="681"/>
      <c r="U60" s="681"/>
      <c r="V60" s="681"/>
      <c r="W60" s="1"/>
      <c r="X60" s="1"/>
      <c r="Y60" s="1"/>
      <c r="Z60" s="1"/>
      <c r="AA60" s="1"/>
      <c r="AB60" s="1"/>
      <c r="AC60" s="1"/>
      <c r="AD60" s="439"/>
      <c r="AE60" s="439"/>
    </row>
    <row r="61" spans="1:31">
      <c r="A61" s="768"/>
      <c r="B61" s="769"/>
      <c r="C61" s="770"/>
      <c r="D61" s="770"/>
      <c r="E61" s="808"/>
      <c r="F61" s="799"/>
      <c r="G61" s="799"/>
      <c r="H61" s="797"/>
      <c r="I61" s="855"/>
      <c r="J61" s="856"/>
      <c r="K61" s="857"/>
      <c r="L61" s="681"/>
      <c r="M61" s="681"/>
      <c r="N61" s="681"/>
      <c r="O61" s="681"/>
      <c r="P61" s="681"/>
      <c r="Q61" s="681"/>
      <c r="R61" s="681"/>
      <c r="S61" s="681"/>
      <c r="T61" s="681"/>
      <c r="U61" s="681"/>
      <c r="V61" s="681"/>
      <c r="W61" s="1"/>
      <c r="X61" s="1"/>
      <c r="Y61" s="1"/>
      <c r="Z61" s="1"/>
      <c r="AA61" s="1"/>
      <c r="AB61" s="1"/>
      <c r="AC61" s="1"/>
      <c r="AD61" s="439"/>
      <c r="AE61" s="439"/>
    </row>
    <row r="62" spans="1:31">
      <c r="A62" s="768"/>
      <c r="B62" s="769"/>
      <c r="C62" s="770"/>
      <c r="D62" s="774"/>
      <c r="E62" s="807"/>
      <c r="F62" s="799"/>
      <c r="G62" s="799"/>
      <c r="H62" s="797"/>
      <c r="I62" s="855"/>
      <c r="J62" s="856"/>
      <c r="K62" s="857"/>
      <c r="L62" s="681"/>
      <c r="M62" s="681"/>
      <c r="N62" s="681"/>
      <c r="O62" s="681"/>
      <c r="P62" s="681"/>
      <c r="Q62" s="681"/>
      <c r="R62" s="681"/>
      <c r="S62" s="681"/>
      <c r="T62" s="681"/>
      <c r="U62" s="681"/>
      <c r="V62" s="681"/>
      <c r="W62" s="1"/>
      <c r="X62" s="1"/>
      <c r="Y62" s="1"/>
      <c r="Z62" s="1"/>
      <c r="AA62" s="1"/>
      <c r="AB62" s="1"/>
      <c r="AC62" s="1"/>
      <c r="AD62" s="439"/>
      <c r="AE62" s="439"/>
    </row>
    <row r="63" spans="1:31">
      <c r="A63" s="768"/>
      <c r="B63" s="769"/>
      <c r="C63" s="770"/>
      <c r="D63" s="774"/>
      <c r="E63" s="807"/>
      <c r="F63" s="799"/>
      <c r="G63" s="799"/>
      <c r="H63" s="797"/>
      <c r="I63" s="855"/>
      <c r="J63" s="856"/>
      <c r="K63" s="857"/>
      <c r="L63" s="681"/>
      <c r="M63" s="681"/>
      <c r="N63" s="681"/>
      <c r="O63" s="681"/>
      <c r="P63" s="681"/>
      <c r="Q63" s="681"/>
      <c r="R63" s="681"/>
      <c r="S63" s="681"/>
      <c r="T63" s="681"/>
      <c r="U63" s="681"/>
      <c r="V63" s="681"/>
      <c r="W63" s="1"/>
      <c r="X63" s="1"/>
      <c r="Y63" s="1"/>
      <c r="Z63" s="1"/>
      <c r="AA63" s="1"/>
      <c r="AB63" s="1"/>
      <c r="AC63" s="1"/>
      <c r="AD63" s="439"/>
      <c r="AE63" s="439"/>
    </row>
    <row r="64" spans="1:31">
      <c r="A64" s="768"/>
      <c r="B64" s="769"/>
      <c r="C64" s="770"/>
      <c r="D64" s="774"/>
      <c r="E64" s="807"/>
      <c r="F64" s="799"/>
      <c r="G64" s="799"/>
      <c r="H64" s="797"/>
      <c r="I64" s="855"/>
      <c r="J64" s="856"/>
      <c r="K64" s="857"/>
      <c r="L64" s="681"/>
      <c r="M64" s="681"/>
      <c r="N64" s="681"/>
      <c r="O64" s="681"/>
      <c r="P64" s="681"/>
      <c r="Q64" s="681"/>
      <c r="R64" s="681"/>
      <c r="S64" s="681"/>
      <c r="T64" s="681"/>
      <c r="U64" s="681"/>
      <c r="V64" s="681"/>
      <c r="W64" s="1"/>
      <c r="X64" s="1"/>
      <c r="Y64" s="1"/>
      <c r="Z64" s="1"/>
      <c r="AA64" s="1"/>
      <c r="AB64" s="1"/>
      <c r="AC64" s="1"/>
      <c r="AD64" s="439"/>
      <c r="AE64" s="439"/>
    </row>
    <row r="65" spans="1:31">
      <c r="A65" s="768"/>
      <c r="B65" s="769"/>
      <c r="C65" s="770"/>
      <c r="D65" s="770"/>
      <c r="E65" s="808"/>
      <c r="F65" s="799"/>
      <c r="G65" s="799"/>
      <c r="H65" s="797"/>
      <c r="I65" s="855"/>
      <c r="J65" s="856"/>
      <c r="K65" s="857"/>
      <c r="L65" s="681"/>
      <c r="M65" s="681"/>
      <c r="N65" s="681"/>
      <c r="O65" s="681"/>
      <c r="P65" s="681"/>
      <c r="Q65" s="681"/>
      <c r="R65" s="681"/>
      <c r="S65" s="681"/>
      <c r="T65" s="681"/>
      <c r="U65" s="681"/>
      <c r="V65" s="681"/>
      <c r="W65" s="1"/>
      <c r="X65" s="1"/>
      <c r="Y65" s="1"/>
      <c r="Z65" s="1"/>
      <c r="AA65" s="1"/>
      <c r="AB65" s="1"/>
      <c r="AC65" s="1"/>
      <c r="AD65" s="439"/>
      <c r="AE65" s="439"/>
    </row>
    <row r="66" spans="1:31">
      <c r="A66" s="768"/>
      <c r="B66" s="769"/>
      <c r="C66" s="770"/>
      <c r="D66" s="770"/>
      <c r="E66" s="808"/>
      <c r="F66" s="799"/>
      <c r="G66" s="799"/>
      <c r="H66" s="797"/>
      <c r="I66" s="855"/>
      <c r="J66" s="856"/>
      <c r="K66" s="857"/>
      <c r="L66" s="681"/>
      <c r="M66" s="681"/>
      <c r="N66" s="681"/>
      <c r="O66" s="681"/>
      <c r="P66" s="681"/>
      <c r="Q66" s="681"/>
      <c r="R66" s="681"/>
      <c r="S66" s="681"/>
      <c r="T66" s="681"/>
      <c r="U66" s="681"/>
      <c r="V66" s="681"/>
      <c r="W66" s="1"/>
      <c r="X66" s="1"/>
      <c r="Y66" s="1"/>
      <c r="Z66" s="1"/>
      <c r="AA66" s="1"/>
      <c r="AB66" s="1"/>
      <c r="AC66" s="1"/>
      <c r="AD66" s="439"/>
      <c r="AE66" s="439"/>
    </row>
    <row r="67" spans="1:31">
      <c r="A67" s="768"/>
      <c r="B67" s="769"/>
      <c r="C67" s="770"/>
      <c r="D67" s="770"/>
      <c r="E67" s="808"/>
      <c r="F67" s="799"/>
      <c r="G67" s="799"/>
      <c r="H67" s="797"/>
      <c r="I67" s="855"/>
      <c r="J67" s="856"/>
      <c r="K67" s="857"/>
      <c r="L67" s="681"/>
      <c r="M67" s="681"/>
      <c r="N67" s="681"/>
      <c r="O67" s="681"/>
      <c r="P67" s="681"/>
      <c r="Q67" s="681"/>
      <c r="R67" s="681"/>
      <c r="S67" s="681"/>
      <c r="T67" s="681"/>
      <c r="U67" s="681"/>
      <c r="V67" s="681"/>
      <c r="W67" s="1"/>
      <c r="X67" s="1"/>
      <c r="Y67" s="1"/>
      <c r="Z67" s="1"/>
      <c r="AA67" s="1"/>
      <c r="AB67" s="1"/>
      <c r="AC67" s="1"/>
      <c r="AD67" s="439"/>
      <c r="AE67" s="439"/>
    </row>
    <row r="68" spans="1:31">
      <c r="A68" s="768"/>
      <c r="B68" s="769"/>
      <c r="C68" s="770"/>
      <c r="D68" s="770"/>
      <c r="E68" s="808"/>
      <c r="F68" s="799"/>
      <c r="G68" s="799"/>
      <c r="H68" s="797"/>
      <c r="I68" s="855"/>
      <c r="J68" s="856"/>
      <c r="K68" s="857"/>
      <c r="L68" s="681"/>
      <c r="M68" s="681"/>
      <c r="N68" s="681"/>
      <c r="O68" s="681"/>
      <c r="P68" s="681"/>
      <c r="Q68" s="681"/>
      <c r="R68" s="681"/>
      <c r="S68" s="681"/>
      <c r="T68" s="681"/>
      <c r="U68" s="681"/>
      <c r="V68" s="681"/>
      <c r="W68" s="1"/>
      <c r="X68" s="1"/>
      <c r="Y68" s="1"/>
      <c r="Z68" s="1"/>
      <c r="AA68" s="1"/>
      <c r="AB68" s="1"/>
      <c r="AC68" s="1"/>
      <c r="AD68" s="439"/>
      <c r="AE68" s="439"/>
    </row>
    <row r="69" spans="1:31">
      <c r="A69" s="768"/>
      <c r="B69" s="769"/>
      <c r="C69" s="770"/>
      <c r="D69" s="770"/>
      <c r="E69" s="808"/>
      <c r="F69" s="799"/>
      <c r="G69" s="799"/>
      <c r="H69" s="797"/>
      <c r="I69" s="855"/>
      <c r="J69" s="856"/>
      <c r="K69" s="857"/>
      <c r="L69" s="681"/>
      <c r="M69" s="681"/>
      <c r="N69" s="681"/>
      <c r="O69" s="681"/>
      <c r="P69" s="681"/>
      <c r="Q69" s="681"/>
      <c r="R69" s="681"/>
      <c r="S69" s="681"/>
      <c r="T69" s="681"/>
      <c r="U69" s="681"/>
      <c r="V69" s="681"/>
      <c r="W69" s="1"/>
      <c r="X69" s="1"/>
      <c r="Y69" s="1"/>
      <c r="Z69" s="1"/>
      <c r="AA69" s="1"/>
      <c r="AB69" s="1"/>
      <c r="AC69" s="1"/>
      <c r="AD69" s="439"/>
      <c r="AE69" s="439"/>
    </row>
    <row r="70" spans="1:31">
      <c r="A70" s="768"/>
      <c r="B70" s="769"/>
      <c r="C70" s="770"/>
      <c r="D70" s="770"/>
      <c r="E70" s="808"/>
      <c r="F70" s="799"/>
      <c r="G70" s="799"/>
      <c r="H70" s="797"/>
      <c r="I70" s="855"/>
      <c r="J70" s="856"/>
      <c r="K70" s="857"/>
      <c r="L70" s="681"/>
      <c r="M70" s="681"/>
      <c r="N70" s="681"/>
      <c r="O70" s="681"/>
      <c r="P70" s="681"/>
      <c r="Q70" s="681"/>
      <c r="R70" s="681"/>
      <c r="S70" s="681"/>
      <c r="T70" s="681"/>
      <c r="U70" s="681"/>
      <c r="V70" s="681"/>
      <c r="W70" s="1"/>
      <c r="X70" s="1"/>
      <c r="Y70" s="1"/>
      <c r="Z70" s="1"/>
      <c r="AA70" s="1"/>
      <c r="AB70" s="1"/>
      <c r="AC70" s="1"/>
      <c r="AD70" s="439"/>
      <c r="AE70" s="439"/>
    </row>
    <row r="71" spans="1:31">
      <c r="A71" s="768"/>
      <c r="B71" s="769"/>
      <c r="C71" s="770"/>
      <c r="D71" s="770"/>
      <c r="E71" s="808"/>
      <c r="F71" s="799"/>
      <c r="G71" s="799"/>
      <c r="H71" s="797"/>
      <c r="I71" s="855"/>
      <c r="J71" s="856"/>
      <c r="K71" s="857"/>
      <c r="L71" s="681"/>
      <c r="M71" s="681"/>
      <c r="N71" s="681"/>
      <c r="O71" s="681"/>
      <c r="P71" s="681"/>
      <c r="Q71" s="681"/>
      <c r="R71" s="681"/>
      <c r="S71" s="681"/>
      <c r="T71" s="681"/>
      <c r="U71" s="681"/>
      <c r="V71" s="681"/>
      <c r="W71" s="1"/>
      <c r="X71" s="1"/>
      <c r="Y71" s="1"/>
      <c r="Z71" s="1"/>
      <c r="AA71" s="1"/>
      <c r="AB71" s="1"/>
      <c r="AC71" s="1"/>
      <c r="AD71" s="439"/>
      <c r="AE71" s="439"/>
    </row>
    <row r="72" spans="1:31">
      <c r="A72" s="768"/>
      <c r="B72" s="769"/>
      <c r="C72" s="770"/>
      <c r="D72" s="770"/>
      <c r="E72" s="808"/>
      <c r="F72" s="799"/>
      <c r="G72" s="799"/>
      <c r="H72" s="797"/>
      <c r="I72" s="855"/>
      <c r="J72" s="856"/>
      <c r="K72" s="857"/>
      <c r="L72" s="681"/>
      <c r="M72" s="681"/>
      <c r="N72" s="681"/>
      <c r="O72" s="681"/>
      <c r="P72" s="681"/>
      <c r="Q72" s="681"/>
      <c r="R72" s="681"/>
      <c r="S72" s="681"/>
      <c r="T72" s="681"/>
      <c r="U72" s="681"/>
      <c r="V72" s="681"/>
      <c r="W72" s="1"/>
      <c r="X72" s="1"/>
      <c r="Y72" s="1"/>
      <c r="Z72" s="1"/>
      <c r="AA72" s="1"/>
      <c r="AB72" s="1"/>
      <c r="AC72" s="1"/>
      <c r="AD72" s="439"/>
      <c r="AE72" s="439"/>
    </row>
    <row r="73" spans="1:31">
      <c r="A73" s="768"/>
      <c r="B73" s="769"/>
      <c r="C73" s="770"/>
      <c r="D73" s="770"/>
      <c r="E73" s="808"/>
      <c r="F73" s="799"/>
      <c r="G73" s="799"/>
      <c r="H73" s="797"/>
      <c r="I73" s="855"/>
      <c r="J73" s="856"/>
      <c r="K73" s="857"/>
      <c r="L73" s="681"/>
      <c r="M73" s="681"/>
      <c r="N73" s="681"/>
      <c r="O73" s="681"/>
      <c r="P73" s="681"/>
      <c r="Q73" s="681"/>
      <c r="R73" s="681"/>
      <c r="S73" s="681"/>
      <c r="T73" s="681"/>
      <c r="U73" s="681"/>
      <c r="V73" s="681"/>
      <c r="W73" s="1"/>
      <c r="X73" s="1"/>
      <c r="Y73" s="1"/>
      <c r="Z73" s="1"/>
      <c r="AA73" s="1"/>
      <c r="AB73" s="1"/>
      <c r="AC73" s="1"/>
      <c r="AD73" s="439"/>
      <c r="AE73" s="439"/>
    </row>
    <row r="74" spans="1:31">
      <c r="A74" s="768"/>
      <c r="B74" s="769"/>
      <c r="C74" s="770"/>
      <c r="D74" s="771"/>
      <c r="E74" s="807"/>
      <c r="F74" s="798"/>
      <c r="G74" s="798"/>
      <c r="H74" s="797"/>
      <c r="I74" s="855"/>
      <c r="J74" s="856"/>
      <c r="K74" s="857"/>
      <c r="L74" s="681"/>
      <c r="M74" s="681"/>
      <c r="N74" s="681"/>
      <c r="O74" s="681"/>
      <c r="P74" s="681"/>
      <c r="Q74" s="681"/>
      <c r="R74" s="681"/>
      <c r="S74" s="681"/>
      <c r="T74" s="681"/>
      <c r="U74" s="681"/>
      <c r="V74" s="681"/>
      <c r="W74" s="1"/>
      <c r="X74" s="1"/>
      <c r="Y74" s="1"/>
      <c r="Z74" s="1"/>
      <c r="AA74" s="1"/>
      <c r="AB74" s="1"/>
      <c r="AC74" s="1"/>
      <c r="AD74" s="439"/>
      <c r="AE74" s="439"/>
    </row>
    <row r="75" spans="1:31">
      <c r="A75" s="768"/>
      <c r="B75" s="769"/>
      <c r="C75" s="770"/>
      <c r="D75" s="771"/>
      <c r="E75" s="807"/>
      <c r="F75" s="798"/>
      <c r="G75" s="798"/>
      <c r="H75" s="797"/>
      <c r="I75" s="855"/>
      <c r="J75" s="856"/>
      <c r="K75" s="857"/>
      <c r="L75" s="681"/>
      <c r="M75" s="681"/>
      <c r="N75" s="681"/>
      <c r="O75" s="681"/>
      <c r="P75" s="681"/>
      <c r="Q75" s="681"/>
      <c r="R75" s="681"/>
      <c r="S75" s="681"/>
      <c r="T75" s="681"/>
      <c r="U75" s="681"/>
      <c r="V75" s="681"/>
      <c r="W75" s="1"/>
      <c r="X75" s="1"/>
      <c r="Y75" s="1"/>
      <c r="Z75" s="1"/>
      <c r="AA75" s="1"/>
      <c r="AB75" s="1"/>
      <c r="AC75" s="1"/>
      <c r="AD75" s="439"/>
      <c r="AE75" s="439"/>
    </row>
    <row r="76" spans="1:31">
      <c r="A76" s="768"/>
      <c r="B76" s="769"/>
      <c r="C76" s="770"/>
      <c r="D76" s="771"/>
      <c r="E76" s="807"/>
      <c r="F76" s="798"/>
      <c r="G76" s="798"/>
      <c r="H76" s="797"/>
      <c r="I76" s="855"/>
      <c r="J76" s="856"/>
      <c r="K76" s="857"/>
      <c r="L76" s="681"/>
      <c r="M76" s="681"/>
      <c r="N76" s="681"/>
      <c r="O76" s="681"/>
      <c r="P76" s="681"/>
      <c r="Q76" s="681"/>
      <c r="R76" s="681"/>
      <c r="S76" s="681"/>
      <c r="T76" s="681"/>
      <c r="U76" s="681"/>
      <c r="V76" s="681"/>
      <c r="W76" s="1"/>
      <c r="X76" s="1"/>
      <c r="Y76" s="1"/>
      <c r="Z76" s="1"/>
      <c r="AA76" s="1"/>
      <c r="AB76" s="1"/>
      <c r="AC76" s="1"/>
      <c r="AD76" s="439"/>
      <c r="AE76" s="439"/>
    </row>
    <row r="77" spans="1:31">
      <c r="A77" s="768"/>
      <c r="B77" s="769"/>
      <c r="C77" s="770"/>
      <c r="D77" s="771"/>
      <c r="E77" s="807"/>
      <c r="F77" s="798"/>
      <c r="G77" s="798"/>
      <c r="H77" s="797"/>
      <c r="I77" s="855"/>
      <c r="J77" s="856"/>
      <c r="K77" s="857"/>
      <c r="L77" s="681"/>
      <c r="M77" s="681"/>
      <c r="N77" s="681"/>
      <c r="O77" s="681"/>
      <c r="P77" s="681"/>
      <c r="Q77" s="681"/>
      <c r="R77" s="681"/>
      <c r="S77" s="681"/>
      <c r="T77" s="681"/>
      <c r="U77" s="681"/>
      <c r="V77" s="681"/>
      <c r="W77" s="1"/>
      <c r="X77" s="1"/>
      <c r="Y77" s="1"/>
      <c r="Z77" s="1"/>
      <c r="AA77" s="1"/>
      <c r="AB77" s="1"/>
      <c r="AC77" s="1"/>
      <c r="AD77" s="439"/>
      <c r="AE77" s="439"/>
    </row>
    <row r="78" spans="1:31">
      <c r="A78" s="768"/>
      <c r="B78" s="769"/>
      <c r="C78" s="770"/>
      <c r="D78" s="771"/>
      <c r="E78" s="807"/>
      <c r="F78" s="798"/>
      <c r="G78" s="798"/>
      <c r="H78" s="797"/>
      <c r="I78" s="855"/>
      <c r="J78" s="856"/>
      <c r="K78" s="857"/>
      <c r="L78" s="681"/>
      <c r="M78" s="681"/>
      <c r="N78" s="681"/>
      <c r="O78" s="681"/>
      <c r="P78" s="681"/>
      <c r="Q78" s="681"/>
      <c r="R78" s="681"/>
      <c r="S78" s="681"/>
      <c r="T78" s="681"/>
      <c r="U78" s="681"/>
      <c r="V78" s="681"/>
      <c r="W78" s="1"/>
      <c r="X78" s="1"/>
      <c r="Y78" s="1"/>
      <c r="Z78" s="1"/>
      <c r="AA78" s="1"/>
      <c r="AB78" s="1"/>
      <c r="AC78" s="1"/>
      <c r="AD78" s="439"/>
      <c r="AE78" s="439"/>
    </row>
    <row r="79" spans="1:31">
      <c r="A79" s="768"/>
      <c r="B79" s="769"/>
      <c r="C79" s="770"/>
      <c r="D79" s="770"/>
      <c r="E79" s="808"/>
      <c r="F79" s="799"/>
      <c r="G79" s="799"/>
      <c r="H79" s="797"/>
      <c r="I79" s="855"/>
      <c r="J79" s="856"/>
      <c r="K79" s="857"/>
      <c r="L79" s="681"/>
      <c r="M79" s="681"/>
      <c r="N79" s="681"/>
      <c r="O79" s="681"/>
      <c r="P79" s="681"/>
      <c r="Q79" s="681"/>
      <c r="R79" s="681"/>
      <c r="S79" s="681"/>
      <c r="T79" s="681"/>
      <c r="U79" s="681"/>
      <c r="V79" s="681"/>
      <c r="W79" s="1"/>
      <c r="X79" s="1"/>
      <c r="Y79" s="1"/>
      <c r="Z79" s="1"/>
      <c r="AA79" s="1"/>
      <c r="AB79" s="1"/>
      <c r="AC79" s="1"/>
      <c r="AD79" s="439"/>
      <c r="AE79" s="439"/>
    </row>
    <row r="80" spans="1:31">
      <c r="A80" s="768"/>
      <c r="B80" s="769"/>
      <c r="C80" s="770"/>
      <c r="D80" s="770"/>
      <c r="E80" s="808"/>
      <c r="F80" s="799"/>
      <c r="G80" s="799"/>
      <c r="H80" s="797"/>
      <c r="I80" s="855"/>
      <c r="J80" s="856"/>
      <c r="K80" s="857"/>
      <c r="L80" s="681"/>
      <c r="M80" s="681"/>
      <c r="N80" s="681"/>
      <c r="O80" s="681"/>
      <c r="P80" s="681"/>
      <c r="Q80" s="681"/>
      <c r="R80" s="681"/>
      <c r="S80" s="681"/>
      <c r="T80" s="681"/>
      <c r="U80" s="681"/>
      <c r="V80" s="681"/>
      <c r="W80" s="1"/>
      <c r="X80" s="1"/>
      <c r="Y80" s="1"/>
      <c r="Z80" s="1"/>
      <c r="AA80" s="1"/>
      <c r="AB80" s="1"/>
      <c r="AC80" s="1"/>
      <c r="AD80" s="439"/>
      <c r="AE80" s="439"/>
    </row>
    <row r="81" spans="1:31">
      <c r="A81" s="768"/>
      <c r="B81" s="769"/>
      <c r="C81" s="770"/>
      <c r="D81" s="770"/>
      <c r="E81" s="808"/>
      <c r="F81" s="799"/>
      <c r="G81" s="799"/>
      <c r="H81" s="797"/>
      <c r="I81" s="855"/>
      <c r="J81" s="856"/>
      <c r="K81" s="857"/>
      <c r="L81" s="681"/>
      <c r="M81" s="681"/>
      <c r="N81" s="681"/>
      <c r="O81" s="681"/>
      <c r="P81" s="681"/>
      <c r="Q81" s="681"/>
      <c r="R81" s="681"/>
      <c r="S81" s="681"/>
      <c r="T81" s="681"/>
      <c r="U81" s="681"/>
      <c r="V81" s="681"/>
      <c r="W81" s="1"/>
      <c r="X81" s="1"/>
      <c r="Y81" s="1"/>
      <c r="Z81" s="1"/>
      <c r="AA81" s="1"/>
      <c r="AB81" s="1"/>
      <c r="AC81" s="1"/>
      <c r="AD81" s="439"/>
      <c r="AE81" s="439"/>
    </row>
    <row r="82" spans="1:31">
      <c r="A82" s="768"/>
      <c r="B82" s="769"/>
      <c r="C82" s="770"/>
      <c r="D82" s="770"/>
      <c r="E82" s="808"/>
      <c r="F82" s="799"/>
      <c r="G82" s="799"/>
      <c r="H82" s="797"/>
      <c r="I82" s="855"/>
      <c r="J82" s="856"/>
      <c r="K82" s="857"/>
      <c r="L82" s="681"/>
      <c r="M82" s="681"/>
      <c r="N82" s="681"/>
      <c r="O82" s="681"/>
      <c r="P82" s="681"/>
      <c r="Q82" s="681"/>
      <c r="R82" s="681"/>
      <c r="S82" s="681"/>
      <c r="T82" s="681"/>
      <c r="U82" s="681"/>
      <c r="V82" s="681"/>
      <c r="W82" s="1"/>
      <c r="X82" s="1"/>
      <c r="Y82" s="1"/>
      <c r="Z82" s="1"/>
      <c r="AA82" s="1"/>
      <c r="AB82" s="1"/>
      <c r="AC82" s="1"/>
      <c r="AD82" s="439"/>
      <c r="AE82" s="439"/>
    </row>
    <row r="83" spans="1:31">
      <c r="A83" s="768"/>
      <c r="B83" s="769"/>
      <c r="C83" s="770"/>
      <c r="D83" s="770"/>
      <c r="E83" s="808"/>
      <c r="F83" s="799"/>
      <c r="G83" s="799"/>
      <c r="H83" s="797"/>
      <c r="I83" s="855"/>
      <c r="J83" s="856"/>
      <c r="K83" s="857"/>
      <c r="L83" s="681"/>
      <c r="M83" s="681"/>
      <c r="N83" s="681"/>
      <c r="O83" s="681"/>
      <c r="P83" s="681"/>
      <c r="Q83" s="681"/>
      <c r="R83" s="681"/>
      <c r="S83" s="681"/>
      <c r="T83" s="681"/>
      <c r="U83" s="681"/>
      <c r="V83" s="681"/>
      <c r="W83" s="1"/>
      <c r="X83" s="1"/>
      <c r="Y83" s="1"/>
      <c r="Z83" s="1"/>
      <c r="AA83" s="1"/>
      <c r="AB83" s="1"/>
      <c r="AC83" s="1"/>
    </row>
    <row r="84" spans="1:31">
      <c r="A84" s="768"/>
      <c r="B84" s="775"/>
      <c r="C84" s="776"/>
      <c r="D84" s="770"/>
      <c r="E84" s="808"/>
      <c r="F84" s="799"/>
      <c r="G84" s="799"/>
      <c r="H84" s="797"/>
      <c r="I84" s="855"/>
      <c r="J84" s="856"/>
      <c r="K84" s="857"/>
      <c r="L84" s="681"/>
      <c r="M84" s="681"/>
      <c r="N84" s="681"/>
      <c r="O84" s="681"/>
      <c r="P84" s="681"/>
      <c r="Q84" s="681"/>
      <c r="R84" s="681"/>
      <c r="S84" s="681"/>
      <c r="T84" s="681"/>
      <c r="U84" s="681"/>
      <c r="V84" s="681"/>
      <c r="W84" s="1"/>
      <c r="X84" s="1"/>
      <c r="Y84" s="1"/>
      <c r="Z84" s="1"/>
      <c r="AA84" s="1"/>
      <c r="AB84" s="1"/>
      <c r="AC84" s="1"/>
    </row>
    <row r="85" spans="1:31">
      <c r="A85" s="768"/>
      <c r="B85" s="769"/>
      <c r="C85" s="770"/>
      <c r="D85" s="770"/>
      <c r="E85" s="808"/>
      <c r="F85" s="799"/>
      <c r="G85" s="799"/>
      <c r="H85" s="797"/>
      <c r="I85" s="855"/>
      <c r="J85" s="856"/>
      <c r="K85" s="857"/>
      <c r="L85" s="681"/>
      <c r="M85" s="681"/>
      <c r="N85" s="681"/>
      <c r="O85" s="681"/>
      <c r="P85" s="681"/>
      <c r="Q85" s="681"/>
      <c r="R85" s="681"/>
      <c r="S85" s="681"/>
      <c r="T85" s="681"/>
      <c r="U85" s="681"/>
      <c r="V85" s="681"/>
      <c r="W85" s="1"/>
      <c r="X85" s="1"/>
      <c r="Y85" s="1"/>
      <c r="Z85" s="1"/>
      <c r="AA85" s="1"/>
      <c r="AB85" s="1"/>
      <c r="AC85" s="1"/>
    </row>
    <row r="86" spans="1:31">
      <c r="A86" s="768"/>
      <c r="B86" s="769"/>
      <c r="C86" s="770"/>
      <c r="D86" s="772"/>
      <c r="E86" s="808"/>
      <c r="F86" s="799"/>
      <c r="G86" s="799"/>
      <c r="H86" s="797"/>
      <c r="I86" s="855"/>
      <c r="J86" s="856"/>
      <c r="K86" s="857"/>
      <c r="L86" s="681"/>
      <c r="M86" s="681"/>
      <c r="N86" s="681"/>
      <c r="O86" s="681"/>
      <c r="P86" s="681"/>
      <c r="Q86" s="681"/>
      <c r="R86" s="681"/>
      <c r="S86" s="681"/>
      <c r="T86" s="681"/>
      <c r="U86" s="681"/>
      <c r="V86" s="681"/>
      <c r="W86" s="1"/>
      <c r="X86" s="1"/>
      <c r="Y86" s="1"/>
      <c r="Z86" s="1"/>
      <c r="AA86" s="1"/>
      <c r="AB86" s="1"/>
      <c r="AC86" s="1"/>
    </row>
    <row r="87" spans="1:31">
      <c r="A87" s="768"/>
      <c r="B87" s="769"/>
      <c r="C87" s="770"/>
      <c r="D87" s="770"/>
      <c r="E87" s="808"/>
      <c r="F87" s="799"/>
      <c r="G87" s="799"/>
      <c r="H87" s="797"/>
      <c r="I87" s="855"/>
      <c r="J87" s="856"/>
      <c r="K87" s="857"/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1"/>
      <c r="X87" s="1"/>
      <c r="Y87" s="1"/>
      <c r="Z87" s="1"/>
      <c r="AA87" s="1"/>
      <c r="AB87" s="1"/>
      <c r="AC87" s="1"/>
    </row>
    <row r="88" spans="1:31">
      <c r="A88" s="768"/>
      <c r="B88" s="769"/>
      <c r="C88" s="770"/>
      <c r="D88" s="770"/>
      <c r="E88" s="808"/>
      <c r="F88" s="799"/>
      <c r="G88" s="799"/>
      <c r="H88" s="797"/>
      <c r="I88" s="855"/>
      <c r="J88" s="856"/>
      <c r="K88" s="857"/>
      <c r="L88" s="681"/>
      <c r="M88" s="681"/>
      <c r="N88" s="681"/>
      <c r="O88" s="681"/>
      <c r="P88" s="681"/>
      <c r="Q88" s="681"/>
      <c r="R88" s="681"/>
      <c r="S88" s="681"/>
      <c r="T88" s="681"/>
      <c r="U88" s="681"/>
      <c r="V88" s="681"/>
      <c r="W88" s="1"/>
      <c r="X88" s="1"/>
      <c r="Y88" s="1"/>
      <c r="Z88" s="1"/>
      <c r="AA88" s="1"/>
      <c r="AB88" s="1"/>
      <c r="AC88" s="1"/>
    </row>
    <row r="89" spans="1:31">
      <c r="A89" s="768"/>
      <c r="B89" s="769"/>
      <c r="C89" s="770"/>
      <c r="D89" s="770"/>
      <c r="E89" s="808"/>
      <c r="F89" s="799"/>
      <c r="G89" s="799"/>
      <c r="H89" s="797"/>
      <c r="I89" s="855"/>
      <c r="J89" s="856"/>
      <c r="K89" s="857"/>
      <c r="L89" s="681"/>
      <c r="M89" s="681"/>
      <c r="N89" s="681"/>
      <c r="O89" s="681"/>
      <c r="P89" s="681"/>
      <c r="Q89" s="681"/>
      <c r="R89" s="681"/>
      <c r="S89" s="681"/>
      <c r="T89" s="681"/>
      <c r="U89" s="681"/>
      <c r="V89" s="681"/>
      <c r="W89" s="1"/>
      <c r="X89" s="1"/>
      <c r="Y89" s="1"/>
      <c r="Z89" s="1"/>
      <c r="AA89" s="1"/>
      <c r="AB89" s="1"/>
      <c r="AC89" s="1"/>
    </row>
    <row r="90" spans="1:31">
      <c r="A90" s="768"/>
      <c r="B90" s="769"/>
      <c r="C90" s="770"/>
      <c r="D90" s="770"/>
      <c r="E90" s="808"/>
      <c r="F90" s="799"/>
      <c r="G90" s="799"/>
      <c r="H90" s="797"/>
      <c r="I90" s="855"/>
      <c r="J90" s="856"/>
      <c r="K90" s="857"/>
      <c r="L90" s="681"/>
      <c r="M90" s="681"/>
      <c r="N90" s="681"/>
      <c r="O90" s="681"/>
      <c r="P90" s="681"/>
      <c r="Q90" s="681"/>
      <c r="R90" s="681"/>
      <c r="S90" s="681"/>
      <c r="T90" s="681"/>
      <c r="U90" s="681"/>
      <c r="V90" s="681"/>
      <c r="W90" s="1"/>
      <c r="X90" s="1"/>
      <c r="Y90" s="1"/>
      <c r="Z90" s="1"/>
      <c r="AA90" s="1"/>
      <c r="AB90" s="1"/>
      <c r="AC90" s="1"/>
    </row>
    <row r="91" spans="1:31">
      <c r="A91" s="768"/>
      <c r="B91" s="769"/>
      <c r="C91" s="770"/>
      <c r="D91" s="772"/>
      <c r="E91" s="808"/>
      <c r="F91" s="799"/>
      <c r="G91" s="799"/>
      <c r="H91" s="797"/>
      <c r="I91" s="855"/>
      <c r="J91" s="856"/>
      <c r="K91" s="857"/>
      <c r="L91" s="681"/>
      <c r="M91" s="681"/>
      <c r="N91" s="681"/>
      <c r="O91" s="681"/>
      <c r="P91" s="681"/>
      <c r="Q91" s="681"/>
      <c r="R91" s="681"/>
      <c r="S91" s="681"/>
      <c r="T91" s="681"/>
      <c r="U91" s="681"/>
      <c r="V91" s="681"/>
      <c r="W91" s="1"/>
      <c r="X91" s="1"/>
      <c r="Y91" s="1"/>
      <c r="Z91" s="1"/>
      <c r="AA91" s="1"/>
      <c r="AB91" s="1"/>
      <c r="AC91" s="1"/>
    </row>
    <row r="92" spans="1:31">
      <c r="A92" s="768"/>
      <c r="B92" s="769"/>
      <c r="C92" s="770"/>
      <c r="D92" s="770"/>
      <c r="E92" s="808"/>
      <c r="F92" s="799"/>
      <c r="G92" s="799"/>
      <c r="H92" s="797"/>
      <c r="I92" s="855"/>
      <c r="J92" s="856"/>
      <c r="K92" s="857"/>
      <c r="L92" s="681"/>
      <c r="M92" s="681"/>
      <c r="N92" s="681"/>
      <c r="O92" s="681"/>
      <c r="P92" s="681"/>
      <c r="Q92" s="681"/>
      <c r="R92" s="681"/>
      <c r="S92" s="681"/>
      <c r="T92" s="681"/>
      <c r="U92" s="681"/>
      <c r="V92" s="681"/>
      <c r="W92" s="1"/>
      <c r="X92" s="1"/>
      <c r="Y92" s="1"/>
      <c r="Z92" s="1"/>
      <c r="AA92" s="1"/>
      <c r="AB92" s="1"/>
      <c r="AC92" s="1"/>
    </row>
    <row r="93" spans="1:31">
      <c r="A93" s="768"/>
      <c r="B93" s="769"/>
      <c r="C93" s="770"/>
      <c r="D93" s="770"/>
      <c r="E93" s="808"/>
      <c r="F93" s="799"/>
      <c r="G93" s="799"/>
      <c r="H93" s="797"/>
      <c r="I93" s="855"/>
      <c r="J93" s="856"/>
      <c r="K93" s="857"/>
      <c r="L93" s="681"/>
      <c r="M93" s="681"/>
      <c r="N93" s="681"/>
      <c r="O93" s="681"/>
      <c r="P93" s="681"/>
      <c r="Q93" s="681"/>
      <c r="R93" s="681"/>
      <c r="S93" s="681"/>
      <c r="T93" s="681"/>
      <c r="U93" s="681"/>
      <c r="V93" s="681"/>
      <c r="W93" s="1"/>
      <c r="X93" s="1"/>
      <c r="Y93" s="1"/>
      <c r="Z93" s="1"/>
      <c r="AA93" s="1"/>
      <c r="AB93" s="1"/>
      <c r="AC93" s="1"/>
    </row>
    <row r="94" spans="1:31">
      <c r="A94" s="768"/>
      <c r="B94" s="769"/>
      <c r="C94" s="770"/>
      <c r="D94" s="768"/>
      <c r="E94" s="808"/>
      <c r="F94" s="799"/>
      <c r="G94" s="799"/>
      <c r="H94" s="797"/>
      <c r="I94" s="855"/>
      <c r="J94" s="856"/>
      <c r="K94" s="857"/>
      <c r="L94" s="681"/>
      <c r="M94" s="681"/>
      <c r="N94" s="681"/>
      <c r="O94" s="681"/>
      <c r="P94" s="681"/>
      <c r="Q94" s="681"/>
      <c r="R94" s="681"/>
      <c r="S94" s="681"/>
      <c r="T94" s="681"/>
      <c r="U94" s="681"/>
      <c r="V94" s="681"/>
      <c r="W94" s="1"/>
      <c r="X94" s="1"/>
      <c r="Y94" s="1"/>
      <c r="Z94" s="1"/>
      <c r="AA94" s="1"/>
      <c r="AB94" s="1"/>
      <c r="AC94" s="1"/>
    </row>
    <row r="95" spans="1:31">
      <c r="A95" s="768"/>
      <c r="B95" s="769"/>
      <c r="C95" s="770"/>
      <c r="D95" s="770"/>
      <c r="E95" s="808"/>
      <c r="F95" s="799"/>
      <c r="G95" s="799"/>
      <c r="H95" s="797"/>
      <c r="I95" s="855"/>
      <c r="J95" s="856"/>
      <c r="K95" s="857"/>
      <c r="L95" s="681"/>
      <c r="M95" s="681"/>
      <c r="N95" s="681"/>
      <c r="O95" s="681"/>
      <c r="P95" s="681"/>
      <c r="Q95" s="681"/>
      <c r="R95" s="681"/>
      <c r="S95" s="681"/>
      <c r="T95" s="681"/>
      <c r="U95" s="681"/>
      <c r="V95" s="681"/>
      <c r="W95" s="1"/>
      <c r="X95" s="1"/>
      <c r="Y95" s="1"/>
      <c r="Z95" s="1"/>
      <c r="AA95" s="1"/>
      <c r="AB95" s="1"/>
      <c r="AC95" s="1"/>
    </row>
    <row r="96" spans="1:31">
      <c r="A96" s="768"/>
      <c r="B96" s="769"/>
      <c r="C96" s="770"/>
      <c r="D96" s="770"/>
      <c r="E96" s="808"/>
      <c r="F96" s="799"/>
      <c r="G96" s="799"/>
      <c r="H96" s="797"/>
      <c r="I96" s="855"/>
      <c r="J96" s="856"/>
      <c r="K96" s="857"/>
      <c r="L96" s="681"/>
      <c r="M96" s="681"/>
      <c r="N96" s="681"/>
      <c r="O96" s="681"/>
      <c r="P96" s="681"/>
      <c r="Q96" s="681"/>
      <c r="R96" s="681"/>
      <c r="S96" s="681"/>
      <c r="T96" s="681"/>
      <c r="U96" s="681"/>
      <c r="V96" s="681"/>
      <c r="W96" s="1"/>
      <c r="X96" s="1"/>
      <c r="Y96" s="1"/>
      <c r="Z96" s="1"/>
      <c r="AA96" s="1"/>
      <c r="AB96" s="1"/>
      <c r="AC96" s="1"/>
    </row>
    <row r="97" spans="1:29">
      <c r="A97" s="768"/>
      <c r="B97" s="769"/>
      <c r="C97" s="770"/>
      <c r="D97" s="770"/>
      <c r="E97" s="808"/>
      <c r="F97" s="799"/>
      <c r="G97" s="799"/>
      <c r="H97" s="797"/>
      <c r="I97" s="855"/>
      <c r="J97" s="856"/>
      <c r="K97" s="857"/>
      <c r="L97" s="681"/>
      <c r="M97" s="681"/>
      <c r="N97" s="681"/>
      <c r="O97" s="681"/>
      <c r="P97" s="681"/>
      <c r="Q97" s="681"/>
      <c r="R97" s="681"/>
      <c r="S97" s="681"/>
      <c r="T97" s="681"/>
      <c r="U97" s="681"/>
      <c r="V97" s="681"/>
      <c r="W97" s="1"/>
      <c r="X97" s="1"/>
      <c r="Y97" s="1"/>
      <c r="Z97" s="1"/>
      <c r="AA97" s="1"/>
      <c r="AB97" s="1"/>
      <c r="AC97" s="1"/>
    </row>
    <row r="98" spans="1:29">
      <c r="A98" s="768"/>
      <c r="B98" s="769"/>
      <c r="C98" s="770"/>
      <c r="D98" s="770"/>
      <c r="E98" s="808"/>
      <c r="F98" s="799"/>
      <c r="G98" s="799"/>
      <c r="H98" s="797"/>
      <c r="I98" s="855"/>
      <c r="J98" s="856"/>
      <c r="K98" s="857"/>
      <c r="L98" s="681"/>
      <c r="M98" s="681"/>
      <c r="N98" s="681"/>
      <c r="O98" s="681"/>
      <c r="P98" s="681"/>
      <c r="Q98" s="681"/>
      <c r="R98" s="681"/>
      <c r="S98" s="681"/>
      <c r="T98" s="681"/>
      <c r="U98" s="681"/>
      <c r="V98" s="681"/>
      <c r="W98" s="1"/>
      <c r="X98" s="1"/>
      <c r="Y98" s="1"/>
      <c r="Z98" s="1"/>
      <c r="AA98" s="1"/>
      <c r="AB98" s="1"/>
      <c r="AC98" s="1"/>
    </row>
    <row r="99" spans="1:29">
      <c r="A99" s="768"/>
      <c r="B99" s="769"/>
      <c r="C99" s="770"/>
      <c r="D99" s="770"/>
      <c r="E99" s="808"/>
      <c r="F99" s="799"/>
      <c r="G99" s="799"/>
      <c r="H99" s="797"/>
      <c r="I99" s="855"/>
      <c r="J99" s="856"/>
      <c r="K99" s="857"/>
      <c r="L99" s="681"/>
      <c r="M99" s="681"/>
      <c r="N99" s="681"/>
      <c r="O99" s="681"/>
      <c r="P99" s="681"/>
      <c r="Q99" s="681"/>
      <c r="R99" s="681"/>
      <c r="S99" s="681"/>
      <c r="T99" s="681"/>
      <c r="U99" s="681"/>
      <c r="V99" s="681"/>
      <c r="W99" s="1"/>
      <c r="X99" s="1"/>
      <c r="Y99" s="1"/>
      <c r="Z99" s="1"/>
      <c r="AA99" s="1"/>
      <c r="AB99" s="1"/>
      <c r="AC99" s="1"/>
    </row>
    <row r="100" spans="1:29">
      <c r="A100" s="768"/>
      <c r="B100" s="769"/>
      <c r="C100" s="770"/>
      <c r="D100" s="773"/>
      <c r="E100" s="807"/>
      <c r="F100" s="798"/>
      <c r="G100" s="798"/>
      <c r="H100" s="797"/>
      <c r="I100" s="855"/>
      <c r="J100" s="856"/>
      <c r="K100" s="857"/>
      <c r="L100" s="681"/>
      <c r="M100" s="681"/>
      <c r="N100" s="681"/>
      <c r="O100" s="681"/>
      <c r="P100" s="681"/>
      <c r="Q100" s="681"/>
      <c r="R100" s="681"/>
      <c r="S100" s="681"/>
      <c r="T100" s="681"/>
      <c r="U100" s="681"/>
      <c r="V100" s="681"/>
      <c r="W100" s="1"/>
      <c r="X100" s="1"/>
      <c r="Y100" s="1"/>
      <c r="Z100" s="1"/>
      <c r="AA100" s="1"/>
      <c r="AB100" s="1"/>
      <c r="AC100" s="1"/>
    </row>
    <row r="101" spans="1:29">
      <c r="A101" s="768"/>
      <c r="B101" s="769"/>
      <c r="C101" s="770"/>
      <c r="D101" s="773"/>
      <c r="E101" s="807"/>
      <c r="F101" s="798"/>
      <c r="G101" s="798"/>
      <c r="H101" s="797"/>
      <c r="I101" s="855"/>
      <c r="J101" s="856"/>
      <c r="K101" s="857"/>
      <c r="L101" s="681"/>
      <c r="M101" s="681"/>
      <c r="N101" s="681"/>
      <c r="O101" s="681"/>
      <c r="P101" s="681"/>
      <c r="Q101" s="681"/>
      <c r="R101" s="681"/>
      <c r="S101" s="681"/>
      <c r="T101" s="681"/>
      <c r="U101" s="681"/>
      <c r="V101" s="681"/>
      <c r="W101" s="1"/>
      <c r="X101" s="1"/>
      <c r="Y101" s="1"/>
      <c r="Z101" s="1"/>
      <c r="AA101" s="1"/>
      <c r="AB101" s="1"/>
      <c r="AC101" s="1"/>
    </row>
    <row r="102" spans="1:29">
      <c r="A102" s="768"/>
      <c r="B102" s="769"/>
      <c r="C102" s="770"/>
      <c r="D102" s="770"/>
      <c r="E102" s="808"/>
      <c r="F102" s="799"/>
      <c r="G102" s="799"/>
      <c r="H102" s="797"/>
      <c r="I102" s="855"/>
      <c r="J102" s="856"/>
      <c r="K102" s="857"/>
      <c r="L102" s="681"/>
      <c r="M102" s="681"/>
      <c r="N102" s="681"/>
      <c r="O102" s="681"/>
      <c r="P102" s="681"/>
      <c r="Q102" s="681"/>
      <c r="R102" s="681"/>
      <c r="S102" s="681"/>
      <c r="T102" s="681"/>
      <c r="U102" s="681"/>
      <c r="V102" s="681"/>
      <c r="W102" s="1"/>
      <c r="X102" s="1"/>
      <c r="Y102" s="1"/>
      <c r="Z102" s="1"/>
      <c r="AA102" s="1"/>
      <c r="AB102" s="1"/>
      <c r="AC102" s="1"/>
    </row>
    <row r="103" spans="1:29">
      <c r="A103" s="768"/>
      <c r="B103" s="769"/>
      <c r="C103" s="770"/>
      <c r="D103" s="770"/>
      <c r="E103" s="808"/>
      <c r="F103" s="799"/>
      <c r="G103" s="799"/>
      <c r="H103" s="797"/>
      <c r="I103" s="855"/>
      <c r="J103" s="856"/>
      <c r="K103" s="857"/>
      <c r="L103" s="681"/>
      <c r="M103" s="681"/>
      <c r="N103" s="681"/>
      <c r="O103" s="681"/>
      <c r="P103" s="681"/>
      <c r="Q103" s="681"/>
      <c r="R103" s="681"/>
      <c r="S103" s="681"/>
      <c r="T103" s="681"/>
      <c r="U103" s="681"/>
      <c r="V103" s="681"/>
      <c r="W103" s="1"/>
      <c r="X103" s="1"/>
      <c r="Y103" s="1"/>
      <c r="Z103" s="1"/>
      <c r="AA103" s="1"/>
      <c r="AB103" s="1"/>
      <c r="AC103" s="1"/>
    </row>
    <row r="104" spans="1:29">
      <c r="A104" s="768"/>
      <c r="B104" s="769"/>
      <c r="C104" s="770"/>
      <c r="D104" s="770"/>
      <c r="E104" s="808"/>
      <c r="F104" s="799"/>
      <c r="G104" s="799"/>
      <c r="H104" s="797"/>
      <c r="I104" s="855"/>
      <c r="J104" s="856"/>
      <c r="K104" s="857"/>
      <c r="L104" s="681"/>
      <c r="M104" s="681"/>
      <c r="N104" s="681"/>
      <c r="O104" s="681"/>
      <c r="P104" s="681"/>
      <c r="Q104" s="681"/>
      <c r="R104" s="681"/>
      <c r="S104" s="681"/>
      <c r="T104" s="681"/>
      <c r="U104" s="681"/>
      <c r="V104" s="681"/>
      <c r="W104" s="1"/>
      <c r="X104" s="1"/>
      <c r="Y104" s="1"/>
      <c r="Z104" s="1"/>
      <c r="AA104" s="1"/>
      <c r="AB104" s="1"/>
      <c r="AC104" s="1"/>
    </row>
    <row r="105" spans="1:29">
      <c r="A105" s="768"/>
      <c r="B105" s="769"/>
      <c r="C105" s="770"/>
      <c r="D105" s="770"/>
      <c r="E105" s="808"/>
      <c r="F105" s="799"/>
      <c r="G105" s="799"/>
      <c r="H105" s="797"/>
      <c r="I105" s="855"/>
      <c r="J105" s="856"/>
      <c r="K105" s="857"/>
      <c r="L105" s="681"/>
      <c r="M105" s="681"/>
      <c r="N105" s="681"/>
      <c r="O105" s="681"/>
      <c r="P105" s="681"/>
      <c r="Q105" s="681"/>
      <c r="R105" s="681"/>
      <c r="S105" s="681"/>
      <c r="T105" s="681"/>
      <c r="U105" s="681"/>
      <c r="V105" s="681"/>
      <c r="W105" s="1"/>
      <c r="X105" s="1"/>
      <c r="Y105" s="1"/>
      <c r="Z105" s="1"/>
      <c r="AA105" s="1"/>
      <c r="AB105" s="1"/>
      <c r="AC105" s="1"/>
    </row>
    <row r="106" spans="1:29">
      <c r="A106" s="768"/>
      <c r="B106" s="769"/>
      <c r="C106" s="770"/>
      <c r="D106" s="770"/>
      <c r="E106" s="808"/>
      <c r="F106" s="799"/>
      <c r="G106" s="799"/>
      <c r="H106" s="797"/>
      <c r="I106" s="855"/>
      <c r="J106" s="856"/>
      <c r="K106" s="857"/>
      <c r="L106" s="681"/>
      <c r="M106" s="681"/>
      <c r="N106" s="681"/>
      <c r="O106" s="681"/>
      <c r="P106" s="681"/>
      <c r="Q106" s="681"/>
      <c r="R106" s="681"/>
      <c r="S106" s="681"/>
      <c r="T106" s="681"/>
      <c r="U106" s="681"/>
      <c r="V106" s="681"/>
      <c r="W106" s="1"/>
      <c r="X106" s="1"/>
      <c r="Y106" s="1"/>
      <c r="Z106" s="1"/>
      <c r="AA106" s="1"/>
      <c r="AB106" s="1"/>
      <c r="AC106" s="1"/>
    </row>
    <row r="107" spans="1:29">
      <c r="A107" s="768"/>
      <c r="B107" s="769"/>
      <c r="C107" s="770"/>
      <c r="D107" s="773"/>
      <c r="E107" s="807"/>
      <c r="F107" s="798"/>
      <c r="G107" s="798"/>
      <c r="H107" s="797"/>
      <c r="I107" s="855"/>
      <c r="J107" s="856"/>
      <c r="K107" s="857"/>
      <c r="L107" s="681"/>
      <c r="M107" s="681"/>
      <c r="N107" s="681"/>
      <c r="O107" s="681"/>
      <c r="P107" s="681"/>
      <c r="Q107" s="681"/>
      <c r="R107" s="681"/>
      <c r="S107" s="681"/>
      <c r="T107" s="681"/>
      <c r="U107" s="681"/>
      <c r="V107" s="681"/>
      <c r="W107" s="1"/>
      <c r="X107" s="1"/>
      <c r="Y107" s="1"/>
      <c r="Z107" s="1"/>
      <c r="AA107" s="1"/>
      <c r="AB107" s="1"/>
      <c r="AC107" s="1"/>
    </row>
    <row r="108" spans="1:29">
      <c r="A108" s="768"/>
      <c r="B108" s="769"/>
      <c r="C108" s="770"/>
      <c r="D108" s="770"/>
      <c r="E108" s="807"/>
      <c r="F108" s="799"/>
      <c r="G108" s="799"/>
      <c r="H108" s="797"/>
      <c r="I108" s="855"/>
      <c r="J108" s="856"/>
      <c r="K108" s="857"/>
      <c r="L108" s="681"/>
      <c r="M108" s="681"/>
      <c r="N108" s="681"/>
      <c r="O108" s="681"/>
      <c r="P108" s="681"/>
      <c r="Q108" s="681"/>
      <c r="R108" s="681"/>
      <c r="S108" s="681"/>
      <c r="T108" s="681"/>
      <c r="U108" s="681"/>
      <c r="V108" s="681"/>
      <c r="W108" s="1"/>
      <c r="X108" s="1"/>
      <c r="Y108" s="1"/>
      <c r="Z108" s="1"/>
      <c r="AA108" s="1"/>
      <c r="AB108" s="1"/>
      <c r="AC108" s="1"/>
    </row>
    <row r="109" spans="1:29">
      <c r="A109" s="768"/>
      <c r="B109" s="769"/>
      <c r="C109" s="770"/>
      <c r="D109" s="770"/>
      <c r="E109" s="807"/>
      <c r="F109" s="799"/>
      <c r="G109" s="799"/>
      <c r="H109" s="797"/>
      <c r="I109" s="855"/>
      <c r="J109" s="856"/>
      <c r="K109" s="857"/>
      <c r="L109" s="681"/>
      <c r="M109" s="681"/>
      <c r="N109" s="681"/>
      <c r="O109" s="681"/>
      <c r="P109" s="681"/>
      <c r="Q109" s="681"/>
      <c r="R109" s="681"/>
      <c r="S109" s="681"/>
      <c r="T109" s="681"/>
      <c r="U109" s="681"/>
      <c r="V109" s="681"/>
      <c r="W109" s="1"/>
      <c r="X109" s="1"/>
      <c r="Y109" s="1"/>
      <c r="Z109" s="1"/>
      <c r="AA109" s="1"/>
      <c r="AB109" s="1"/>
      <c r="AC109" s="1"/>
    </row>
    <row r="110" spans="1:29">
      <c r="A110" s="768"/>
      <c r="B110" s="769"/>
      <c r="C110" s="770"/>
      <c r="D110" s="770"/>
      <c r="E110" s="807"/>
      <c r="F110" s="799"/>
      <c r="G110" s="799"/>
      <c r="H110" s="797"/>
      <c r="I110" s="855"/>
      <c r="J110" s="856"/>
      <c r="K110" s="857"/>
      <c r="L110" s="681"/>
      <c r="M110" s="681"/>
      <c r="N110" s="681"/>
      <c r="O110" s="681"/>
      <c r="P110" s="681"/>
      <c r="Q110" s="681"/>
      <c r="R110" s="681"/>
      <c r="S110" s="681"/>
      <c r="T110" s="681"/>
      <c r="U110" s="681"/>
      <c r="V110" s="681"/>
      <c r="W110" s="1"/>
      <c r="X110" s="1"/>
      <c r="Y110" s="1"/>
      <c r="Z110" s="1"/>
      <c r="AA110" s="1"/>
      <c r="AB110" s="1"/>
      <c r="AC110" s="1"/>
    </row>
    <row r="111" spans="1:29">
      <c r="A111" s="768"/>
      <c r="B111" s="769"/>
      <c r="C111" s="770"/>
      <c r="D111" s="770"/>
      <c r="E111" s="807"/>
      <c r="F111" s="799"/>
      <c r="G111" s="799"/>
      <c r="H111" s="797"/>
      <c r="I111" s="855"/>
      <c r="J111" s="856"/>
      <c r="K111" s="857"/>
      <c r="L111" s="681"/>
      <c r="M111" s="681"/>
      <c r="N111" s="681"/>
      <c r="O111" s="681"/>
      <c r="P111" s="681"/>
      <c r="Q111" s="681"/>
      <c r="R111" s="681"/>
      <c r="S111" s="681"/>
      <c r="T111" s="681"/>
      <c r="U111" s="681"/>
      <c r="V111" s="681"/>
      <c r="W111" s="1"/>
      <c r="X111" s="1"/>
      <c r="Y111" s="1"/>
      <c r="Z111" s="1"/>
      <c r="AA111" s="1"/>
      <c r="AB111" s="1"/>
      <c r="AC111" s="1"/>
    </row>
    <row r="112" spans="1:29">
      <c r="A112" s="768"/>
      <c r="B112" s="769"/>
      <c r="C112" s="770"/>
      <c r="D112" s="773"/>
      <c r="E112" s="807"/>
      <c r="F112" s="798"/>
      <c r="G112" s="798"/>
      <c r="H112" s="797"/>
      <c r="I112" s="855"/>
      <c r="J112" s="856"/>
      <c r="K112" s="857"/>
      <c r="L112" s="681"/>
      <c r="M112" s="681"/>
      <c r="N112" s="681"/>
      <c r="O112" s="681"/>
      <c r="P112" s="681"/>
      <c r="Q112" s="681"/>
      <c r="R112" s="681"/>
      <c r="S112" s="681"/>
      <c r="T112" s="681"/>
      <c r="U112" s="681"/>
      <c r="V112" s="681"/>
      <c r="W112" s="1"/>
      <c r="X112" s="1"/>
      <c r="Y112" s="1"/>
      <c r="Z112" s="1"/>
      <c r="AA112" s="1"/>
      <c r="AB112" s="1"/>
      <c r="AC112" s="1"/>
    </row>
    <row r="113" spans="1:29">
      <c r="A113" s="768"/>
      <c r="B113" s="769"/>
      <c r="C113" s="770"/>
      <c r="D113" s="771"/>
      <c r="E113" s="807"/>
      <c r="F113" s="798"/>
      <c r="G113" s="798"/>
      <c r="H113" s="797"/>
      <c r="I113" s="855"/>
      <c r="J113" s="856"/>
      <c r="K113" s="857"/>
      <c r="L113" s="681"/>
      <c r="M113" s="681"/>
      <c r="N113" s="681"/>
      <c r="O113" s="681"/>
      <c r="P113" s="681"/>
      <c r="Q113" s="681"/>
      <c r="R113" s="681"/>
      <c r="S113" s="681"/>
      <c r="T113" s="681"/>
      <c r="U113" s="681"/>
      <c r="V113" s="681"/>
      <c r="W113" s="1"/>
      <c r="X113" s="1"/>
      <c r="Y113" s="1"/>
      <c r="Z113" s="1"/>
      <c r="AA113" s="1"/>
      <c r="AB113" s="1"/>
      <c r="AC113" s="1"/>
    </row>
    <row r="114" spans="1:29">
      <c r="A114" s="768"/>
      <c r="B114" s="769"/>
      <c r="C114" s="770"/>
      <c r="D114" s="771"/>
      <c r="E114" s="807"/>
      <c r="F114" s="798"/>
      <c r="G114" s="798"/>
      <c r="H114" s="797"/>
      <c r="I114" s="855"/>
      <c r="J114" s="856"/>
      <c r="K114" s="857"/>
      <c r="L114" s="681"/>
      <c r="M114" s="681"/>
      <c r="N114" s="681"/>
      <c r="O114" s="681"/>
      <c r="P114" s="681"/>
      <c r="Q114" s="681"/>
      <c r="R114" s="681"/>
      <c r="S114" s="681"/>
      <c r="T114" s="681"/>
      <c r="U114" s="681"/>
      <c r="V114" s="681"/>
      <c r="W114" s="1"/>
      <c r="X114" s="1"/>
      <c r="Y114" s="1"/>
      <c r="Z114" s="1"/>
      <c r="AA114" s="1"/>
      <c r="AB114" s="1"/>
      <c r="AC114" s="1"/>
    </row>
    <row r="115" spans="1:29">
      <c r="A115" s="768"/>
      <c r="B115" s="769"/>
      <c r="C115" s="770"/>
      <c r="D115" s="770"/>
      <c r="E115" s="808"/>
      <c r="F115" s="799"/>
      <c r="G115" s="799"/>
      <c r="H115" s="797"/>
      <c r="I115" s="855"/>
      <c r="J115" s="856"/>
      <c r="K115" s="857"/>
      <c r="L115" s="681"/>
      <c r="M115" s="681"/>
      <c r="N115" s="681"/>
      <c r="O115" s="681"/>
      <c r="P115" s="681"/>
      <c r="Q115" s="681"/>
      <c r="R115" s="681"/>
      <c r="S115" s="681"/>
      <c r="T115" s="681"/>
      <c r="U115" s="681"/>
      <c r="V115" s="681"/>
      <c r="W115" s="1"/>
      <c r="X115" s="1"/>
      <c r="Y115" s="1"/>
      <c r="Z115" s="1"/>
      <c r="AA115" s="1"/>
      <c r="AB115" s="1"/>
      <c r="AC115" s="1"/>
    </row>
    <row r="116" spans="1:29">
      <c r="A116" s="768"/>
      <c r="B116" s="769"/>
      <c r="C116" s="770"/>
      <c r="D116" s="770"/>
      <c r="E116" s="808"/>
      <c r="F116" s="799"/>
      <c r="G116" s="799"/>
      <c r="H116" s="797"/>
      <c r="I116" s="855"/>
      <c r="J116" s="856"/>
      <c r="K116" s="857"/>
      <c r="L116" s="681"/>
      <c r="M116" s="681"/>
      <c r="N116" s="681"/>
      <c r="O116" s="681"/>
      <c r="P116" s="681"/>
      <c r="Q116" s="681"/>
      <c r="R116" s="681"/>
      <c r="S116" s="681"/>
      <c r="T116" s="681"/>
      <c r="U116" s="681"/>
      <c r="V116" s="681"/>
      <c r="W116" s="1"/>
      <c r="X116" s="1"/>
      <c r="Y116" s="1"/>
      <c r="Z116" s="1"/>
      <c r="AA116" s="1"/>
      <c r="AB116" s="1"/>
      <c r="AC116" s="1"/>
    </row>
    <row r="117" spans="1:29">
      <c r="A117" s="768"/>
      <c r="B117" s="769"/>
      <c r="C117" s="770"/>
      <c r="D117" s="770"/>
      <c r="E117" s="808"/>
      <c r="F117" s="799"/>
      <c r="G117" s="799"/>
      <c r="H117" s="797"/>
      <c r="I117" s="855"/>
      <c r="J117" s="856"/>
      <c r="K117" s="857"/>
      <c r="L117" s="681"/>
      <c r="M117" s="681"/>
      <c r="N117" s="681"/>
      <c r="O117" s="681"/>
      <c r="P117" s="681"/>
      <c r="Q117" s="681"/>
      <c r="R117" s="681"/>
      <c r="S117" s="681"/>
      <c r="T117" s="681"/>
      <c r="U117" s="681"/>
      <c r="V117" s="681"/>
    </row>
    <row r="118" spans="1:29">
      <c r="A118" s="768"/>
      <c r="B118" s="769"/>
      <c r="C118" s="770"/>
      <c r="D118" s="770"/>
      <c r="E118" s="808"/>
      <c r="F118" s="799"/>
      <c r="G118" s="799"/>
      <c r="H118" s="797"/>
      <c r="I118" s="855"/>
      <c r="J118" s="856"/>
      <c r="K118" s="857"/>
      <c r="L118" s="681"/>
      <c r="M118" s="681"/>
      <c r="N118" s="681"/>
      <c r="O118" s="681"/>
      <c r="P118" s="681"/>
      <c r="Q118" s="681"/>
      <c r="R118" s="681"/>
      <c r="S118" s="681"/>
      <c r="T118" s="681"/>
      <c r="U118" s="681"/>
      <c r="V118" s="681"/>
    </row>
    <row r="119" spans="1:29">
      <c r="A119" s="768"/>
      <c r="B119" s="769"/>
      <c r="C119" s="770"/>
      <c r="D119" s="770"/>
      <c r="E119" s="808"/>
      <c r="F119" s="799"/>
      <c r="G119" s="799"/>
      <c r="H119" s="797"/>
      <c r="I119" s="855"/>
      <c r="J119" s="856"/>
      <c r="K119" s="857"/>
      <c r="L119" s="681"/>
      <c r="M119" s="681"/>
      <c r="N119" s="681"/>
      <c r="O119" s="681"/>
      <c r="P119" s="681"/>
      <c r="Q119" s="681"/>
      <c r="R119" s="681"/>
      <c r="S119" s="681"/>
      <c r="T119" s="681"/>
      <c r="U119" s="681"/>
      <c r="V119" s="681"/>
    </row>
    <row r="120" spans="1:29">
      <c r="A120" s="768"/>
      <c r="B120" s="769"/>
      <c r="C120" s="770"/>
      <c r="D120" s="770"/>
      <c r="E120" s="808"/>
      <c r="F120" s="799"/>
      <c r="G120" s="799"/>
      <c r="H120" s="797"/>
      <c r="I120" s="855"/>
      <c r="J120" s="856"/>
      <c r="K120" s="857"/>
      <c r="L120" s="681"/>
      <c r="M120" s="681"/>
      <c r="N120" s="681"/>
      <c r="O120" s="681"/>
      <c r="P120" s="681"/>
      <c r="Q120" s="681"/>
      <c r="R120" s="681"/>
      <c r="S120" s="681"/>
      <c r="T120" s="681"/>
      <c r="U120" s="681"/>
      <c r="V120" s="681"/>
    </row>
    <row r="121" spans="1:29">
      <c r="A121" s="768"/>
      <c r="B121" s="769"/>
      <c r="C121" s="770"/>
      <c r="D121" s="770"/>
      <c r="E121" s="808"/>
      <c r="F121" s="799"/>
      <c r="G121" s="799"/>
      <c r="H121" s="797"/>
      <c r="I121" s="855"/>
      <c r="J121" s="856"/>
      <c r="K121" s="857"/>
      <c r="L121" s="681"/>
      <c r="M121" s="681"/>
      <c r="N121" s="681"/>
      <c r="O121" s="681"/>
      <c r="P121" s="681"/>
      <c r="Q121" s="681"/>
      <c r="R121" s="681"/>
      <c r="S121" s="681"/>
      <c r="T121" s="681"/>
      <c r="U121" s="681"/>
      <c r="V121" s="681"/>
    </row>
    <row r="122" spans="1:29">
      <c r="A122" s="768"/>
      <c r="B122" s="769"/>
      <c r="C122" s="770"/>
      <c r="D122" s="770"/>
      <c r="E122" s="808"/>
      <c r="F122" s="799"/>
      <c r="G122" s="799"/>
      <c r="H122" s="797"/>
      <c r="I122" s="855"/>
      <c r="J122" s="856"/>
      <c r="K122" s="857"/>
      <c r="L122" s="681"/>
      <c r="M122" s="681"/>
      <c r="N122" s="681"/>
      <c r="O122" s="681"/>
      <c r="P122" s="681"/>
      <c r="Q122" s="681"/>
      <c r="R122" s="681"/>
      <c r="S122" s="681"/>
      <c r="T122" s="681"/>
      <c r="U122" s="681"/>
      <c r="V122" s="681"/>
    </row>
    <row r="123" spans="1:29">
      <c r="A123" s="768"/>
      <c r="B123" s="769"/>
      <c r="C123" s="770"/>
      <c r="D123" s="772"/>
      <c r="E123" s="808"/>
      <c r="F123" s="799"/>
      <c r="G123" s="799"/>
      <c r="H123" s="797"/>
      <c r="I123" s="855"/>
      <c r="J123" s="856"/>
      <c r="K123" s="857"/>
      <c r="L123" s="681"/>
      <c r="M123" s="681"/>
      <c r="N123" s="681"/>
      <c r="O123" s="681"/>
      <c r="P123" s="681"/>
      <c r="Q123" s="681"/>
      <c r="R123" s="681"/>
      <c r="S123" s="681"/>
      <c r="T123" s="681"/>
      <c r="U123" s="681"/>
      <c r="V123" s="681"/>
    </row>
    <row r="124" spans="1:29">
      <c r="A124" s="768"/>
      <c r="B124" s="769"/>
      <c r="C124" s="770"/>
      <c r="D124" s="770"/>
      <c r="E124" s="808"/>
      <c r="F124" s="799"/>
      <c r="G124" s="799"/>
      <c r="H124" s="797"/>
      <c r="I124" s="855"/>
      <c r="J124" s="856"/>
      <c r="K124" s="857"/>
      <c r="L124" s="681"/>
      <c r="M124" s="681"/>
      <c r="N124" s="681"/>
      <c r="O124" s="681"/>
      <c r="P124" s="681"/>
      <c r="Q124" s="681"/>
      <c r="R124" s="681"/>
      <c r="S124" s="681"/>
      <c r="T124" s="681"/>
      <c r="U124" s="681"/>
      <c r="V124" s="681"/>
    </row>
    <row r="125" spans="1:29">
      <c r="A125" s="768"/>
      <c r="B125" s="769"/>
      <c r="C125" s="770"/>
      <c r="D125" s="770"/>
      <c r="E125" s="808"/>
      <c r="F125" s="799"/>
      <c r="G125" s="799"/>
      <c r="H125" s="797"/>
      <c r="I125" s="855"/>
      <c r="J125" s="856"/>
      <c r="K125" s="857"/>
      <c r="L125" s="681"/>
      <c r="M125" s="681"/>
      <c r="N125" s="681"/>
      <c r="O125" s="681"/>
      <c r="P125" s="681"/>
      <c r="Q125" s="681"/>
      <c r="R125" s="681"/>
      <c r="S125" s="681"/>
      <c r="T125" s="681"/>
      <c r="U125" s="681"/>
      <c r="V125" s="681"/>
    </row>
    <row r="126" spans="1:29">
      <c r="A126" s="768"/>
      <c r="B126" s="769"/>
      <c r="C126" s="770"/>
      <c r="D126" s="770"/>
      <c r="E126" s="808"/>
      <c r="F126" s="799"/>
      <c r="G126" s="799"/>
      <c r="H126" s="797"/>
      <c r="I126" s="855"/>
      <c r="J126" s="856"/>
      <c r="K126" s="857"/>
      <c r="L126" s="681"/>
      <c r="M126" s="681"/>
      <c r="N126" s="681"/>
      <c r="O126" s="681"/>
      <c r="P126" s="681"/>
      <c r="Q126" s="681"/>
      <c r="R126" s="681"/>
      <c r="S126" s="681"/>
      <c r="T126" s="681"/>
      <c r="U126" s="681"/>
      <c r="V126" s="681"/>
    </row>
    <row r="127" spans="1:29">
      <c r="A127" s="768"/>
      <c r="B127" s="769"/>
      <c r="C127" s="770"/>
      <c r="D127" s="770"/>
      <c r="E127" s="808"/>
      <c r="F127" s="799"/>
      <c r="G127" s="799"/>
      <c r="H127" s="797"/>
      <c r="I127" s="855"/>
      <c r="J127" s="856"/>
      <c r="K127" s="857"/>
      <c r="L127" s="681"/>
      <c r="M127" s="681"/>
      <c r="N127" s="681"/>
      <c r="O127" s="681"/>
      <c r="P127" s="681"/>
      <c r="Q127" s="681"/>
      <c r="R127" s="681"/>
      <c r="S127" s="681"/>
      <c r="T127" s="681"/>
      <c r="U127" s="681"/>
      <c r="V127" s="681"/>
    </row>
    <row r="128" spans="1:29">
      <c r="A128" s="768"/>
      <c r="B128" s="769"/>
      <c r="C128" s="770"/>
      <c r="D128" s="770"/>
      <c r="E128" s="808"/>
      <c r="F128" s="799"/>
      <c r="G128" s="799"/>
      <c r="H128" s="797"/>
      <c r="I128" s="855"/>
      <c r="J128" s="856"/>
      <c r="K128" s="857"/>
      <c r="L128" s="681"/>
      <c r="M128" s="681"/>
      <c r="N128" s="681"/>
      <c r="O128" s="681"/>
      <c r="P128" s="681"/>
      <c r="Q128" s="681"/>
      <c r="R128" s="681"/>
      <c r="S128" s="681"/>
      <c r="T128" s="681"/>
      <c r="U128" s="681"/>
      <c r="V128" s="681"/>
    </row>
    <row r="129" spans="1:22">
      <c r="A129" s="768"/>
      <c r="B129" s="769"/>
      <c r="C129" s="770"/>
      <c r="D129" s="770"/>
      <c r="E129" s="808"/>
      <c r="F129" s="799"/>
      <c r="G129" s="799"/>
      <c r="H129" s="797"/>
      <c r="I129" s="855"/>
      <c r="J129" s="856"/>
      <c r="K129" s="857"/>
      <c r="L129" s="681"/>
      <c r="M129" s="681"/>
      <c r="N129" s="681"/>
      <c r="O129" s="681"/>
      <c r="P129" s="681"/>
      <c r="Q129" s="681"/>
      <c r="R129" s="681"/>
      <c r="S129" s="681"/>
      <c r="T129" s="681"/>
      <c r="U129" s="681"/>
      <c r="V129" s="681"/>
    </row>
    <row r="130" spans="1:22">
      <c r="A130" s="768"/>
      <c r="B130" s="769"/>
      <c r="C130" s="770"/>
      <c r="D130" s="770"/>
      <c r="E130" s="808"/>
      <c r="F130" s="799"/>
      <c r="G130" s="799"/>
      <c r="H130" s="797"/>
      <c r="I130" s="855"/>
      <c r="J130" s="856"/>
      <c r="K130" s="857"/>
      <c r="L130" s="681"/>
      <c r="M130" s="681"/>
      <c r="N130" s="681"/>
      <c r="O130" s="681"/>
      <c r="P130" s="681"/>
      <c r="Q130" s="681"/>
      <c r="R130" s="681"/>
      <c r="S130" s="681"/>
      <c r="T130" s="681"/>
      <c r="U130" s="681"/>
      <c r="V130" s="681"/>
    </row>
    <row r="131" spans="1:22">
      <c r="A131" s="768"/>
      <c r="B131" s="769"/>
      <c r="C131" s="770"/>
      <c r="D131" s="770"/>
      <c r="E131" s="808"/>
      <c r="F131" s="799"/>
      <c r="G131" s="799"/>
      <c r="H131" s="797"/>
      <c r="I131" s="855"/>
      <c r="J131" s="856"/>
      <c r="K131" s="857"/>
      <c r="L131" s="681"/>
      <c r="M131" s="681"/>
      <c r="N131" s="681"/>
      <c r="O131" s="681"/>
      <c r="P131" s="681"/>
      <c r="Q131" s="681"/>
      <c r="R131" s="681"/>
      <c r="S131" s="681"/>
      <c r="T131" s="681"/>
      <c r="U131" s="681"/>
      <c r="V131" s="681"/>
    </row>
    <row r="132" spans="1:22">
      <c r="A132" s="768"/>
      <c r="B132" s="769"/>
      <c r="C132" s="770"/>
      <c r="D132" s="770"/>
      <c r="E132" s="808"/>
      <c r="F132" s="799"/>
      <c r="G132" s="799"/>
      <c r="H132" s="797"/>
      <c r="I132" s="855"/>
      <c r="J132" s="856"/>
      <c r="K132" s="857"/>
      <c r="L132" s="681"/>
      <c r="M132" s="681"/>
      <c r="N132" s="681"/>
      <c r="O132" s="681"/>
      <c r="P132" s="681"/>
      <c r="Q132" s="681"/>
      <c r="R132" s="681"/>
      <c r="S132" s="681"/>
      <c r="T132" s="681"/>
      <c r="U132" s="681"/>
      <c r="V132" s="681"/>
    </row>
    <row r="133" spans="1:22">
      <c r="A133" s="768"/>
      <c r="B133" s="769"/>
      <c r="C133" s="770"/>
      <c r="D133" s="770"/>
      <c r="E133" s="808"/>
      <c r="F133" s="799"/>
      <c r="G133" s="799"/>
      <c r="H133" s="797"/>
      <c r="I133" s="855"/>
      <c r="J133" s="856"/>
      <c r="K133" s="857"/>
      <c r="L133" s="681"/>
      <c r="M133" s="681"/>
      <c r="N133" s="681"/>
      <c r="O133" s="681"/>
      <c r="P133" s="681"/>
      <c r="Q133" s="681"/>
      <c r="R133" s="681"/>
      <c r="S133" s="681"/>
      <c r="T133" s="681"/>
      <c r="U133" s="681"/>
      <c r="V133" s="681"/>
    </row>
    <row r="134" spans="1:22">
      <c r="A134" s="768"/>
      <c r="B134" s="769"/>
      <c r="C134" s="770"/>
      <c r="D134" s="770"/>
      <c r="E134" s="808"/>
      <c r="F134" s="799"/>
      <c r="G134" s="799"/>
      <c r="H134" s="797"/>
      <c r="I134" s="855"/>
      <c r="J134" s="856"/>
      <c r="K134" s="857"/>
      <c r="L134" s="681"/>
      <c r="M134" s="681"/>
      <c r="N134" s="681"/>
      <c r="O134" s="681"/>
      <c r="P134" s="681"/>
      <c r="Q134" s="681"/>
      <c r="R134" s="681"/>
      <c r="S134" s="681"/>
      <c r="T134" s="681"/>
      <c r="U134" s="681"/>
      <c r="V134" s="681"/>
    </row>
    <row r="135" spans="1:22">
      <c r="A135" s="768"/>
      <c r="B135" s="769"/>
      <c r="C135" s="770"/>
      <c r="D135" s="770"/>
      <c r="E135" s="808"/>
      <c r="F135" s="799"/>
      <c r="G135" s="799"/>
      <c r="H135" s="797"/>
      <c r="I135" s="855"/>
      <c r="J135" s="856"/>
      <c r="K135" s="857"/>
      <c r="L135" s="681"/>
      <c r="M135" s="681"/>
      <c r="N135" s="681"/>
      <c r="O135" s="681"/>
      <c r="P135" s="681"/>
      <c r="Q135" s="681"/>
      <c r="R135" s="681"/>
      <c r="S135" s="681"/>
      <c r="T135" s="681"/>
      <c r="U135" s="681"/>
      <c r="V135" s="681"/>
    </row>
    <row r="136" spans="1:22">
      <c r="A136" s="768"/>
      <c r="B136" s="769"/>
      <c r="C136" s="770"/>
      <c r="D136" s="773"/>
      <c r="E136" s="807"/>
      <c r="F136" s="798"/>
      <c r="G136" s="798"/>
      <c r="H136" s="797"/>
      <c r="I136" s="855"/>
      <c r="J136" s="856"/>
      <c r="K136" s="857"/>
      <c r="L136" s="681"/>
      <c r="M136" s="681"/>
      <c r="N136" s="681"/>
      <c r="O136" s="681"/>
      <c r="P136" s="681"/>
      <c r="Q136" s="681"/>
      <c r="R136" s="681"/>
      <c r="S136" s="681"/>
      <c r="T136" s="681"/>
      <c r="U136" s="681"/>
      <c r="V136" s="681"/>
    </row>
    <row r="137" spans="1:22">
      <c r="A137" s="768"/>
      <c r="B137" s="769"/>
      <c r="C137" s="770"/>
      <c r="D137" s="771"/>
      <c r="E137" s="807"/>
      <c r="F137" s="798"/>
      <c r="G137" s="798"/>
      <c r="H137" s="797"/>
      <c r="I137" s="855"/>
      <c r="J137" s="856"/>
      <c r="K137" s="857"/>
      <c r="L137" s="681"/>
      <c r="M137" s="681"/>
      <c r="N137" s="681"/>
      <c r="O137" s="681"/>
      <c r="P137" s="681"/>
      <c r="Q137" s="681"/>
      <c r="R137" s="681"/>
      <c r="S137" s="681"/>
      <c r="T137" s="681"/>
      <c r="U137" s="681"/>
      <c r="V137" s="681"/>
    </row>
    <row r="138" spans="1:22">
      <c r="A138" s="768"/>
      <c r="B138" s="769"/>
      <c r="C138" s="770"/>
      <c r="D138" s="771"/>
      <c r="E138" s="807"/>
      <c r="F138" s="798"/>
      <c r="G138" s="798"/>
      <c r="H138" s="797"/>
      <c r="I138" s="855"/>
      <c r="J138" s="856"/>
      <c r="K138" s="857"/>
      <c r="L138" s="681"/>
      <c r="M138" s="681"/>
      <c r="N138" s="681"/>
      <c r="O138" s="681"/>
      <c r="P138" s="681"/>
      <c r="Q138" s="681"/>
      <c r="R138" s="681"/>
      <c r="S138" s="681"/>
      <c r="T138" s="681"/>
      <c r="U138" s="681"/>
      <c r="V138" s="681"/>
    </row>
    <row r="139" spans="1:22">
      <c r="A139" s="768"/>
      <c r="B139" s="769"/>
      <c r="C139" s="770"/>
      <c r="D139" s="770"/>
      <c r="E139" s="808"/>
      <c r="F139" s="799"/>
      <c r="G139" s="799"/>
      <c r="H139" s="797"/>
      <c r="I139" s="855"/>
      <c r="J139" s="856"/>
      <c r="K139" s="857"/>
      <c r="L139" s="681"/>
      <c r="M139" s="681"/>
      <c r="N139" s="681"/>
      <c r="O139" s="681"/>
      <c r="P139" s="681"/>
      <c r="Q139" s="681"/>
      <c r="R139" s="681"/>
      <c r="S139" s="681"/>
      <c r="T139" s="681"/>
      <c r="U139" s="681"/>
      <c r="V139" s="681"/>
    </row>
    <row r="140" spans="1:22">
      <c r="A140" s="768"/>
      <c r="B140" s="769"/>
      <c r="C140" s="770"/>
      <c r="D140" s="770"/>
      <c r="E140" s="808"/>
      <c r="F140" s="799"/>
      <c r="G140" s="799"/>
      <c r="H140" s="797"/>
      <c r="I140" s="855"/>
      <c r="J140" s="856"/>
      <c r="K140" s="857"/>
      <c r="L140" s="681"/>
      <c r="M140" s="681"/>
      <c r="N140" s="681"/>
      <c r="O140" s="681"/>
      <c r="P140" s="681"/>
      <c r="Q140" s="681"/>
      <c r="R140" s="681"/>
      <c r="S140" s="681"/>
      <c r="T140" s="681"/>
      <c r="U140" s="681"/>
      <c r="V140" s="681"/>
    </row>
    <row r="141" spans="1:22">
      <c r="A141" s="768"/>
      <c r="B141" s="769"/>
      <c r="C141" s="770"/>
      <c r="D141" s="770"/>
      <c r="E141" s="808"/>
      <c r="F141" s="799"/>
      <c r="G141" s="799"/>
      <c r="H141" s="797"/>
      <c r="I141" s="855"/>
      <c r="J141" s="856"/>
      <c r="K141" s="857"/>
      <c r="L141" s="681"/>
      <c r="M141" s="681"/>
      <c r="N141" s="681"/>
      <c r="O141" s="681"/>
      <c r="P141" s="681"/>
      <c r="Q141" s="681"/>
      <c r="R141" s="681"/>
      <c r="S141" s="681"/>
      <c r="T141" s="681"/>
      <c r="U141" s="681"/>
      <c r="V141" s="681"/>
    </row>
    <row r="142" spans="1:22">
      <c r="A142" s="768"/>
      <c r="B142" s="769"/>
      <c r="C142" s="770"/>
      <c r="D142" s="770"/>
      <c r="E142" s="808"/>
      <c r="F142" s="799"/>
      <c r="G142" s="799"/>
      <c r="H142" s="797"/>
      <c r="I142" s="855"/>
      <c r="J142" s="856"/>
      <c r="K142" s="857"/>
      <c r="L142" s="681"/>
      <c r="M142" s="681"/>
      <c r="N142" s="681"/>
      <c r="O142" s="681"/>
      <c r="P142" s="681"/>
      <c r="Q142" s="681"/>
      <c r="R142" s="681"/>
      <c r="S142" s="681"/>
      <c r="T142" s="681"/>
      <c r="U142" s="681"/>
      <c r="V142" s="681"/>
    </row>
    <row r="143" spans="1:22">
      <c r="A143" s="768"/>
      <c r="B143" s="769"/>
      <c r="C143" s="770"/>
      <c r="D143" s="770"/>
      <c r="E143" s="808"/>
      <c r="F143" s="799"/>
      <c r="G143" s="799"/>
      <c r="H143" s="797"/>
      <c r="I143" s="855"/>
      <c r="J143" s="856"/>
      <c r="K143" s="857"/>
      <c r="L143" s="681"/>
      <c r="M143" s="681"/>
      <c r="N143" s="681"/>
      <c r="O143" s="681"/>
      <c r="P143" s="681"/>
      <c r="Q143" s="681"/>
      <c r="R143" s="681"/>
      <c r="S143" s="681"/>
      <c r="T143" s="681"/>
      <c r="U143" s="681"/>
      <c r="V143" s="681"/>
    </row>
    <row r="144" spans="1:22">
      <c r="A144" s="768"/>
      <c r="B144" s="769"/>
      <c r="C144" s="770"/>
      <c r="D144" s="770"/>
      <c r="E144" s="808"/>
      <c r="F144" s="799"/>
      <c r="G144" s="799"/>
      <c r="H144" s="797"/>
      <c r="I144" s="855"/>
      <c r="J144" s="856"/>
      <c r="K144" s="857"/>
      <c r="L144" s="681"/>
      <c r="M144" s="681"/>
      <c r="N144" s="681"/>
      <c r="O144" s="681"/>
      <c r="P144" s="681"/>
      <c r="Q144" s="681"/>
      <c r="R144" s="681"/>
      <c r="S144" s="681"/>
      <c r="T144" s="681"/>
      <c r="U144" s="681"/>
      <c r="V144" s="681"/>
    </row>
    <row r="145" spans="1:22">
      <c r="A145" s="768"/>
      <c r="B145" s="769"/>
      <c r="C145" s="770"/>
      <c r="D145" s="770"/>
      <c r="E145" s="808"/>
      <c r="F145" s="799"/>
      <c r="G145" s="799"/>
      <c r="H145" s="797"/>
      <c r="I145" s="855"/>
      <c r="J145" s="856"/>
      <c r="K145" s="857"/>
      <c r="L145" s="681"/>
      <c r="M145" s="681"/>
      <c r="N145" s="681"/>
      <c r="O145" s="681"/>
      <c r="P145" s="681"/>
      <c r="Q145" s="681"/>
      <c r="R145" s="681"/>
      <c r="S145" s="681"/>
      <c r="T145" s="681"/>
      <c r="U145" s="681"/>
      <c r="V145" s="681"/>
    </row>
    <row r="146" spans="1:22">
      <c r="A146" s="781"/>
      <c r="B146" s="782"/>
      <c r="C146" s="783"/>
      <c r="D146" s="783"/>
      <c r="E146" s="808"/>
      <c r="F146" s="799"/>
      <c r="G146" s="799"/>
      <c r="H146" s="797"/>
      <c r="I146" s="855"/>
      <c r="J146" s="856"/>
      <c r="K146" s="857"/>
      <c r="L146" s="681"/>
      <c r="M146" s="681"/>
      <c r="N146" s="681"/>
      <c r="O146" s="681"/>
      <c r="P146" s="681"/>
      <c r="Q146" s="681"/>
      <c r="R146" s="681"/>
      <c r="S146" s="681"/>
      <c r="T146" s="681"/>
      <c r="U146" s="681"/>
      <c r="V146" s="681"/>
    </row>
    <row r="147" spans="1:22">
      <c r="A147" s="781"/>
      <c r="B147" s="782"/>
      <c r="C147" s="783"/>
      <c r="D147" s="783"/>
      <c r="E147" s="808"/>
      <c r="F147" s="799"/>
      <c r="G147" s="799"/>
      <c r="H147" s="797"/>
      <c r="I147" s="855"/>
      <c r="J147" s="856"/>
      <c r="K147" s="857"/>
      <c r="L147" s="681"/>
      <c r="M147" s="681"/>
      <c r="N147" s="681"/>
      <c r="O147" s="681"/>
      <c r="P147" s="681"/>
      <c r="Q147" s="681"/>
      <c r="R147" s="681"/>
      <c r="S147" s="681"/>
      <c r="T147" s="681"/>
      <c r="U147" s="681"/>
      <c r="V147" s="681"/>
    </row>
    <row r="148" spans="1:22">
      <c r="A148" s="781"/>
      <c r="B148" s="782"/>
      <c r="C148" s="783"/>
      <c r="D148" s="783"/>
      <c r="E148" s="808"/>
      <c r="F148" s="799"/>
      <c r="G148" s="799"/>
      <c r="H148" s="797"/>
      <c r="I148" s="855"/>
      <c r="J148" s="856"/>
      <c r="K148" s="857"/>
      <c r="L148" s="681"/>
      <c r="M148" s="681"/>
      <c r="N148" s="681"/>
      <c r="O148" s="681"/>
      <c r="P148" s="681"/>
      <c r="Q148" s="681"/>
      <c r="R148" s="681"/>
      <c r="S148" s="681"/>
      <c r="T148" s="681"/>
      <c r="U148" s="681"/>
      <c r="V148" s="681"/>
    </row>
    <row r="149" spans="1:22">
      <c r="A149" s="781"/>
      <c r="B149" s="782"/>
      <c r="C149" s="783"/>
      <c r="D149" s="783"/>
      <c r="E149" s="808"/>
      <c r="F149" s="799"/>
      <c r="G149" s="799"/>
      <c r="H149" s="797"/>
      <c r="I149" s="855"/>
      <c r="J149" s="856"/>
      <c r="K149" s="857"/>
      <c r="L149" s="681"/>
      <c r="M149" s="681"/>
      <c r="N149" s="681"/>
      <c r="O149" s="681"/>
      <c r="P149" s="681"/>
      <c r="Q149" s="681"/>
      <c r="R149" s="681"/>
      <c r="S149" s="681"/>
      <c r="T149" s="681"/>
      <c r="U149" s="681"/>
      <c r="V149" s="681"/>
    </row>
    <row r="150" spans="1:22">
      <c r="A150" s="781"/>
      <c r="B150" s="782"/>
      <c r="C150" s="783"/>
      <c r="D150" s="783"/>
      <c r="E150" s="808"/>
      <c r="F150" s="799"/>
      <c r="G150" s="799"/>
      <c r="H150" s="797"/>
      <c r="I150" s="855"/>
      <c r="J150" s="856"/>
      <c r="K150" s="857"/>
      <c r="L150" s="681"/>
      <c r="M150" s="681"/>
      <c r="N150" s="681"/>
      <c r="O150" s="681"/>
      <c r="P150" s="681"/>
      <c r="Q150" s="681"/>
      <c r="R150" s="681"/>
      <c r="S150" s="681"/>
      <c r="T150" s="681"/>
      <c r="U150" s="681"/>
      <c r="V150" s="681"/>
    </row>
    <row r="151" spans="1:22">
      <c r="A151" s="781"/>
      <c r="B151" s="782"/>
      <c r="C151" s="783"/>
      <c r="D151" s="783"/>
      <c r="E151" s="808"/>
      <c r="F151" s="799"/>
      <c r="G151" s="799"/>
      <c r="H151" s="797"/>
      <c r="I151" s="855"/>
      <c r="J151" s="856"/>
      <c r="K151" s="857"/>
      <c r="L151" s="681"/>
      <c r="M151" s="681"/>
      <c r="N151" s="681"/>
      <c r="O151" s="681"/>
      <c r="P151" s="681"/>
      <c r="Q151" s="681"/>
      <c r="R151" s="681"/>
      <c r="S151" s="681"/>
      <c r="T151" s="681"/>
      <c r="U151" s="681"/>
      <c r="V151" s="681"/>
    </row>
    <row r="152" spans="1:22">
      <c r="A152" s="781"/>
      <c r="B152" s="782"/>
      <c r="C152" s="783"/>
      <c r="D152" s="783"/>
      <c r="E152" s="808"/>
      <c r="F152" s="799"/>
      <c r="G152" s="799"/>
      <c r="H152" s="797"/>
      <c r="I152" s="855"/>
      <c r="J152" s="856"/>
      <c r="K152" s="857"/>
      <c r="L152" s="681"/>
      <c r="M152" s="681"/>
      <c r="N152" s="681"/>
      <c r="O152" s="681"/>
      <c r="P152" s="681"/>
      <c r="Q152" s="681"/>
      <c r="R152" s="681"/>
      <c r="S152" s="681"/>
      <c r="T152" s="681"/>
      <c r="U152" s="681"/>
      <c r="V152" s="681"/>
    </row>
    <row r="153" spans="1:22">
      <c r="A153" s="781"/>
      <c r="B153" s="782"/>
      <c r="C153" s="783"/>
      <c r="D153" s="783"/>
      <c r="E153" s="808"/>
      <c r="F153" s="799"/>
      <c r="G153" s="799"/>
      <c r="H153" s="797"/>
      <c r="I153" s="855"/>
      <c r="J153" s="856"/>
      <c r="K153" s="857"/>
      <c r="L153" s="681"/>
      <c r="M153" s="681"/>
      <c r="N153" s="681"/>
      <c r="O153" s="681"/>
      <c r="P153" s="681"/>
      <c r="Q153" s="681"/>
      <c r="R153" s="681"/>
      <c r="S153" s="681"/>
      <c r="T153" s="681"/>
      <c r="U153" s="681"/>
      <c r="V153" s="681"/>
    </row>
    <row r="154" spans="1:22">
      <c r="A154" s="781"/>
      <c r="B154" s="782"/>
      <c r="C154" s="783"/>
      <c r="D154" s="786"/>
      <c r="E154" s="807"/>
      <c r="F154" s="798"/>
      <c r="G154" s="798"/>
      <c r="H154" s="797"/>
      <c r="I154" s="855"/>
      <c r="J154" s="856"/>
      <c r="K154" s="857"/>
      <c r="L154" s="681"/>
      <c r="M154" s="681"/>
      <c r="N154" s="681"/>
      <c r="O154" s="681"/>
      <c r="P154" s="681"/>
      <c r="Q154" s="681"/>
      <c r="R154" s="681"/>
      <c r="S154" s="681"/>
      <c r="T154" s="681"/>
      <c r="U154" s="681"/>
      <c r="V154" s="681"/>
    </row>
    <row r="155" spans="1:22">
      <c r="A155" s="781"/>
      <c r="B155" s="782"/>
      <c r="C155" s="783"/>
      <c r="D155" s="784"/>
      <c r="E155" s="807"/>
      <c r="F155" s="798"/>
      <c r="G155" s="798"/>
      <c r="H155" s="797"/>
      <c r="I155" s="855"/>
      <c r="J155" s="856"/>
      <c r="K155" s="857"/>
      <c r="L155" s="681"/>
      <c r="M155" s="681"/>
      <c r="N155" s="681"/>
      <c r="O155" s="681"/>
      <c r="P155" s="681"/>
      <c r="Q155" s="681"/>
      <c r="R155" s="681"/>
      <c r="S155" s="681"/>
      <c r="T155" s="681"/>
      <c r="U155" s="681"/>
      <c r="V155" s="681"/>
    </row>
    <row r="156" spans="1:22">
      <c r="A156" s="781"/>
      <c r="B156" s="782"/>
      <c r="C156" s="783"/>
      <c r="D156" s="783"/>
      <c r="E156" s="808"/>
      <c r="F156" s="799"/>
      <c r="G156" s="799"/>
      <c r="H156" s="797"/>
      <c r="I156" s="855"/>
      <c r="J156" s="856"/>
      <c r="K156" s="857"/>
      <c r="L156" s="681"/>
      <c r="M156" s="681"/>
      <c r="N156" s="681"/>
      <c r="O156" s="681"/>
      <c r="P156" s="681"/>
      <c r="Q156" s="681"/>
      <c r="R156" s="681"/>
      <c r="S156" s="681"/>
      <c r="T156" s="681"/>
      <c r="U156" s="681"/>
      <c r="V156" s="681"/>
    </row>
    <row r="157" spans="1:22">
      <c r="A157" s="781"/>
      <c r="B157" s="782"/>
      <c r="C157" s="783"/>
      <c r="D157" s="783"/>
      <c r="E157" s="808"/>
      <c r="F157" s="799"/>
      <c r="G157" s="799"/>
      <c r="H157" s="797"/>
      <c r="I157" s="855"/>
      <c r="J157" s="856"/>
      <c r="K157" s="857"/>
      <c r="L157" s="681"/>
      <c r="M157" s="681"/>
      <c r="N157" s="681"/>
      <c r="O157" s="681"/>
      <c r="P157" s="681"/>
      <c r="Q157" s="681"/>
      <c r="R157" s="681"/>
      <c r="S157" s="681"/>
      <c r="T157" s="681"/>
      <c r="U157" s="681"/>
      <c r="V157" s="681"/>
    </row>
    <row r="158" spans="1:22">
      <c r="A158" s="781"/>
      <c r="B158" s="782"/>
      <c r="C158" s="783"/>
      <c r="D158" s="783"/>
      <c r="E158" s="808"/>
      <c r="F158" s="799"/>
      <c r="G158" s="799"/>
      <c r="H158" s="797"/>
      <c r="I158" s="855"/>
      <c r="J158" s="856"/>
      <c r="K158" s="857"/>
      <c r="L158" s="681"/>
      <c r="M158" s="681"/>
      <c r="N158" s="681"/>
      <c r="O158" s="681"/>
      <c r="P158" s="681"/>
      <c r="Q158" s="681"/>
      <c r="R158" s="681"/>
      <c r="S158" s="681"/>
      <c r="T158" s="681"/>
      <c r="U158" s="681"/>
      <c r="V158" s="681"/>
    </row>
    <row r="159" spans="1:22">
      <c r="A159" s="781"/>
      <c r="B159" s="782"/>
      <c r="C159" s="783"/>
      <c r="D159" s="783"/>
      <c r="E159" s="808"/>
      <c r="F159" s="799"/>
      <c r="G159" s="799"/>
      <c r="H159" s="797"/>
      <c r="I159" s="855"/>
      <c r="J159" s="856"/>
      <c r="K159" s="857"/>
      <c r="L159" s="681"/>
      <c r="M159" s="681"/>
      <c r="N159" s="681"/>
      <c r="O159" s="681"/>
      <c r="P159" s="681"/>
      <c r="Q159" s="681"/>
      <c r="R159" s="681"/>
      <c r="S159" s="681"/>
      <c r="T159" s="681"/>
      <c r="U159" s="681"/>
      <c r="V159" s="681"/>
    </row>
    <row r="160" spans="1:22">
      <c r="A160" s="781"/>
      <c r="B160" s="782"/>
      <c r="C160" s="783"/>
      <c r="D160" s="783"/>
      <c r="E160" s="808"/>
      <c r="F160" s="799"/>
      <c r="G160" s="799"/>
      <c r="H160" s="797"/>
      <c r="I160" s="855"/>
      <c r="J160" s="856"/>
      <c r="K160" s="857"/>
      <c r="L160" s="681"/>
      <c r="M160" s="681"/>
      <c r="N160" s="681"/>
      <c r="O160" s="681"/>
      <c r="P160" s="681"/>
      <c r="Q160" s="681"/>
      <c r="R160" s="681"/>
      <c r="S160" s="681"/>
      <c r="T160" s="681"/>
      <c r="U160" s="681"/>
      <c r="V160" s="681"/>
    </row>
    <row r="161" spans="1:22">
      <c r="A161" s="781"/>
      <c r="B161" s="782"/>
      <c r="C161" s="783"/>
      <c r="D161" s="783"/>
      <c r="E161" s="808"/>
      <c r="F161" s="799"/>
      <c r="G161" s="799"/>
      <c r="H161" s="797"/>
      <c r="I161" s="855"/>
      <c r="J161" s="856"/>
      <c r="K161" s="857"/>
      <c r="L161" s="681"/>
      <c r="M161" s="681"/>
      <c r="N161" s="681"/>
      <c r="O161" s="681"/>
      <c r="P161" s="681"/>
      <c r="Q161" s="681"/>
      <c r="R161" s="681"/>
      <c r="S161" s="681"/>
      <c r="T161" s="681"/>
      <c r="U161" s="681"/>
      <c r="V161" s="681"/>
    </row>
    <row r="162" spans="1:22">
      <c r="A162" s="781"/>
      <c r="B162" s="782"/>
      <c r="C162" s="783"/>
      <c r="D162" s="783"/>
      <c r="E162" s="808"/>
      <c r="F162" s="799"/>
      <c r="G162" s="799"/>
      <c r="H162" s="797"/>
      <c r="I162" s="855"/>
      <c r="J162" s="856"/>
      <c r="K162" s="857"/>
      <c r="L162" s="681"/>
      <c r="M162" s="681"/>
      <c r="N162" s="681"/>
      <c r="O162" s="681"/>
      <c r="P162" s="681"/>
      <c r="Q162" s="681"/>
      <c r="R162" s="681"/>
      <c r="S162" s="681"/>
      <c r="T162" s="681"/>
      <c r="U162" s="681"/>
      <c r="V162" s="681"/>
    </row>
    <row r="163" spans="1:22">
      <c r="A163" s="781"/>
      <c r="B163" s="782"/>
      <c r="C163" s="783"/>
      <c r="D163" s="785"/>
      <c r="E163" s="808"/>
      <c r="F163" s="799"/>
      <c r="G163" s="799"/>
      <c r="H163" s="797"/>
      <c r="I163" s="855"/>
      <c r="J163" s="856"/>
      <c r="K163" s="857"/>
      <c r="L163" s="681"/>
      <c r="M163" s="681"/>
      <c r="N163" s="681"/>
      <c r="O163" s="681"/>
      <c r="P163" s="681"/>
      <c r="Q163" s="681"/>
      <c r="R163" s="681"/>
      <c r="S163" s="681"/>
      <c r="T163" s="681"/>
      <c r="U163" s="681"/>
      <c r="V163" s="681"/>
    </row>
    <row r="164" spans="1:22">
      <c r="A164" s="781"/>
      <c r="B164" s="782"/>
      <c r="C164" s="783"/>
      <c r="D164" s="786"/>
      <c r="E164" s="807"/>
      <c r="F164" s="798"/>
      <c r="G164" s="798"/>
      <c r="H164" s="797"/>
      <c r="I164" s="855"/>
      <c r="J164" s="856"/>
      <c r="K164" s="857"/>
      <c r="L164" s="681"/>
      <c r="M164" s="681"/>
      <c r="N164" s="681"/>
      <c r="O164" s="681"/>
      <c r="P164" s="681"/>
      <c r="Q164" s="681"/>
      <c r="R164" s="681"/>
      <c r="S164" s="681"/>
      <c r="T164" s="681"/>
      <c r="U164" s="681"/>
      <c r="V164" s="681"/>
    </row>
    <row r="165" spans="1:22">
      <c r="A165" s="781"/>
      <c r="B165" s="782"/>
      <c r="C165" s="783"/>
      <c r="D165" s="784"/>
      <c r="E165" s="807"/>
      <c r="F165" s="798"/>
      <c r="G165" s="798"/>
      <c r="H165" s="797"/>
      <c r="I165" s="855"/>
      <c r="J165" s="856"/>
      <c r="K165" s="857"/>
      <c r="L165" s="681"/>
      <c r="M165" s="681"/>
      <c r="N165" s="681"/>
      <c r="O165" s="681"/>
      <c r="P165" s="681"/>
      <c r="Q165" s="681"/>
      <c r="R165" s="681"/>
      <c r="S165" s="681"/>
      <c r="T165" s="681"/>
      <c r="U165" s="681"/>
      <c r="V165" s="681"/>
    </row>
    <row r="166" spans="1:22">
      <c r="A166" s="781"/>
      <c r="B166" s="782"/>
      <c r="C166" s="783"/>
      <c r="D166" s="783"/>
      <c r="E166" s="808"/>
      <c r="F166" s="799"/>
      <c r="G166" s="799"/>
      <c r="H166" s="797"/>
      <c r="I166" s="855"/>
      <c r="J166" s="856"/>
      <c r="K166" s="857"/>
      <c r="L166" s="681"/>
      <c r="M166" s="681"/>
      <c r="N166" s="681"/>
      <c r="O166" s="681"/>
      <c r="P166" s="681"/>
      <c r="Q166" s="681"/>
      <c r="R166" s="681"/>
      <c r="S166" s="681"/>
      <c r="T166" s="681"/>
      <c r="U166" s="681"/>
      <c r="V166" s="681"/>
    </row>
    <row r="167" spans="1:22">
      <c r="A167" s="781"/>
      <c r="B167" s="782"/>
      <c r="C167" s="783"/>
      <c r="D167" s="783"/>
      <c r="E167" s="808"/>
      <c r="F167" s="799"/>
      <c r="G167" s="799"/>
      <c r="H167" s="797"/>
      <c r="I167" s="855"/>
      <c r="J167" s="856"/>
      <c r="K167" s="857"/>
      <c r="L167" s="681"/>
      <c r="M167" s="681"/>
      <c r="N167" s="681"/>
      <c r="O167" s="681"/>
      <c r="P167" s="681"/>
      <c r="Q167" s="681"/>
      <c r="R167" s="681"/>
      <c r="S167" s="681"/>
      <c r="T167" s="681"/>
      <c r="U167" s="681"/>
      <c r="V167" s="681"/>
    </row>
    <row r="168" spans="1:22">
      <c r="A168" s="781"/>
      <c r="B168" s="782"/>
      <c r="C168" s="783"/>
      <c r="D168" s="783"/>
      <c r="E168" s="808"/>
      <c r="F168" s="799"/>
      <c r="G168" s="799"/>
      <c r="H168" s="797"/>
      <c r="I168" s="855"/>
      <c r="J168" s="856"/>
      <c r="K168" s="857"/>
      <c r="L168" s="681"/>
      <c r="M168" s="681"/>
      <c r="N168" s="681"/>
      <c r="O168" s="681"/>
      <c r="P168" s="681"/>
      <c r="Q168" s="681"/>
      <c r="R168" s="681"/>
      <c r="S168" s="681"/>
      <c r="T168" s="681"/>
      <c r="U168" s="681"/>
      <c r="V168" s="681"/>
    </row>
    <row r="169" spans="1:22">
      <c r="A169" s="781"/>
      <c r="B169" s="782"/>
      <c r="C169" s="783"/>
      <c r="D169" s="783"/>
      <c r="E169" s="808"/>
      <c r="F169" s="799"/>
      <c r="G169" s="799"/>
      <c r="H169" s="797"/>
      <c r="I169" s="855"/>
      <c r="J169" s="856"/>
      <c r="K169" s="857"/>
      <c r="L169" s="681"/>
      <c r="M169" s="681"/>
      <c r="N169" s="681"/>
      <c r="O169" s="681"/>
      <c r="P169" s="681"/>
      <c r="Q169" s="681"/>
      <c r="R169" s="681"/>
      <c r="S169" s="681"/>
      <c r="T169" s="681"/>
      <c r="U169" s="681"/>
      <c r="V169" s="681"/>
    </row>
    <row r="170" spans="1:22">
      <c r="A170" s="781"/>
      <c r="B170" s="782"/>
      <c r="C170" s="783"/>
      <c r="D170" s="783"/>
      <c r="E170" s="808"/>
      <c r="F170" s="799"/>
      <c r="G170" s="799"/>
      <c r="H170" s="797"/>
      <c r="I170" s="855"/>
      <c r="J170" s="856"/>
      <c r="K170" s="857"/>
      <c r="L170" s="681"/>
      <c r="M170" s="681"/>
      <c r="N170" s="681"/>
      <c r="O170" s="681"/>
      <c r="P170" s="681"/>
      <c r="Q170" s="681"/>
      <c r="R170" s="681"/>
      <c r="S170" s="681"/>
      <c r="T170" s="681"/>
      <c r="U170" s="681"/>
      <c r="V170" s="681"/>
    </row>
    <row r="171" spans="1:22">
      <c r="A171" s="781"/>
      <c r="B171" s="782"/>
      <c r="C171" s="783"/>
      <c r="D171" s="783"/>
      <c r="E171" s="808"/>
      <c r="F171" s="799"/>
      <c r="G171" s="799"/>
      <c r="H171" s="797"/>
      <c r="I171" s="855"/>
      <c r="J171" s="856"/>
      <c r="K171" s="857"/>
      <c r="L171" s="681"/>
      <c r="M171" s="681"/>
      <c r="N171" s="681"/>
      <c r="O171" s="681"/>
      <c r="P171" s="681"/>
      <c r="Q171" s="681"/>
      <c r="R171" s="681"/>
      <c r="S171" s="681"/>
      <c r="T171" s="681"/>
      <c r="U171" s="681"/>
      <c r="V171" s="681"/>
    </row>
    <row r="172" spans="1:22">
      <c r="A172" s="781"/>
      <c r="B172" s="782"/>
      <c r="C172" s="783"/>
      <c r="D172" s="783"/>
      <c r="E172" s="808"/>
      <c r="F172" s="799"/>
      <c r="G172" s="799"/>
      <c r="H172" s="797"/>
      <c r="I172" s="855"/>
      <c r="J172" s="856"/>
      <c r="K172" s="857"/>
      <c r="L172" s="681"/>
      <c r="M172" s="681"/>
      <c r="N172" s="681"/>
      <c r="O172" s="681"/>
      <c r="P172" s="681"/>
      <c r="Q172" s="681"/>
      <c r="R172" s="681"/>
      <c r="S172" s="681"/>
      <c r="T172" s="681"/>
      <c r="U172" s="681"/>
      <c r="V172" s="681"/>
    </row>
    <row r="173" spans="1:22">
      <c r="A173" s="781"/>
      <c r="B173" s="782"/>
      <c r="C173" s="783"/>
      <c r="D173" s="786"/>
      <c r="E173" s="807"/>
      <c r="F173" s="798"/>
      <c r="G173" s="798"/>
      <c r="H173" s="797"/>
      <c r="I173" s="855"/>
      <c r="J173" s="856"/>
      <c r="K173" s="857"/>
      <c r="L173" s="681"/>
      <c r="M173" s="681"/>
      <c r="N173" s="681"/>
      <c r="O173" s="681"/>
      <c r="P173" s="681"/>
      <c r="Q173" s="681"/>
      <c r="R173" s="681"/>
      <c r="S173" s="681"/>
      <c r="T173" s="681"/>
      <c r="U173" s="681"/>
      <c r="V173" s="681"/>
    </row>
    <row r="174" spans="1:22">
      <c r="A174" s="781"/>
      <c r="B174" s="782"/>
      <c r="C174" s="783"/>
      <c r="D174" s="783"/>
      <c r="E174" s="808"/>
      <c r="F174" s="799"/>
      <c r="G174" s="799"/>
      <c r="H174" s="797"/>
      <c r="I174" s="855"/>
      <c r="J174" s="856"/>
      <c r="K174" s="857"/>
      <c r="L174" s="681"/>
      <c r="M174" s="681"/>
      <c r="N174" s="681"/>
      <c r="O174" s="681"/>
      <c r="P174" s="681"/>
      <c r="Q174" s="681"/>
      <c r="R174" s="681"/>
      <c r="S174" s="681"/>
      <c r="T174" s="681"/>
      <c r="U174" s="681"/>
      <c r="V174" s="681"/>
    </row>
    <row r="175" spans="1:22">
      <c r="A175" s="781"/>
      <c r="B175" s="782"/>
      <c r="C175" s="783"/>
      <c r="D175" s="783"/>
      <c r="E175" s="808"/>
      <c r="F175" s="799"/>
      <c r="G175" s="799"/>
      <c r="H175" s="797"/>
      <c r="I175" s="855"/>
      <c r="J175" s="856"/>
      <c r="K175" s="857"/>
      <c r="L175" s="681"/>
      <c r="M175" s="681"/>
      <c r="N175" s="681"/>
      <c r="O175" s="681"/>
      <c r="P175" s="681"/>
      <c r="Q175" s="681"/>
      <c r="R175" s="681"/>
      <c r="S175" s="681"/>
      <c r="T175" s="681"/>
      <c r="U175" s="681"/>
      <c r="V175" s="681"/>
    </row>
    <row r="176" spans="1:22">
      <c r="A176" s="781"/>
      <c r="B176" s="782"/>
      <c r="C176" s="783"/>
      <c r="D176" s="786"/>
      <c r="E176" s="807"/>
      <c r="F176" s="798"/>
      <c r="G176" s="798"/>
      <c r="H176" s="797"/>
      <c r="I176" s="855"/>
      <c r="J176" s="856"/>
      <c r="K176" s="857"/>
      <c r="L176" s="681"/>
      <c r="M176" s="681"/>
      <c r="N176" s="681"/>
      <c r="O176" s="681"/>
      <c r="P176" s="681"/>
      <c r="Q176" s="681"/>
      <c r="R176" s="681"/>
      <c r="S176" s="681"/>
      <c r="T176" s="681"/>
      <c r="U176" s="681"/>
      <c r="V176" s="681"/>
    </row>
    <row r="177" spans="1:22">
      <c r="A177" s="781"/>
      <c r="B177" s="782"/>
      <c r="C177" s="783"/>
      <c r="D177" s="784"/>
      <c r="E177" s="807"/>
      <c r="F177" s="798"/>
      <c r="G177" s="798"/>
      <c r="H177" s="797"/>
      <c r="I177" s="855"/>
      <c r="J177" s="856"/>
      <c r="K177" s="857"/>
      <c r="L177" s="681"/>
      <c r="M177" s="681"/>
      <c r="N177" s="681"/>
      <c r="O177" s="681"/>
      <c r="P177" s="681"/>
      <c r="Q177" s="681"/>
      <c r="R177" s="681"/>
      <c r="S177" s="681"/>
      <c r="T177" s="681"/>
      <c r="U177" s="681"/>
      <c r="V177" s="681"/>
    </row>
    <row r="178" spans="1:22">
      <c r="A178" s="781"/>
      <c r="B178" s="782"/>
      <c r="C178" s="783"/>
      <c r="D178" s="784"/>
      <c r="E178" s="807"/>
      <c r="F178" s="798"/>
      <c r="G178" s="798"/>
      <c r="H178" s="797"/>
      <c r="I178" s="855"/>
      <c r="J178" s="856"/>
      <c r="K178" s="857"/>
      <c r="L178" s="681"/>
      <c r="M178" s="681"/>
      <c r="N178" s="681"/>
      <c r="O178" s="681"/>
      <c r="P178" s="681"/>
      <c r="Q178" s="681"/>
      <c r="R178" s="681"/>
      <c r="S178" s="681"/>
      <c r="T178" s="681"/>
      <c r="U178" s="681"/>
      <c r="V178" s="681"/>
    </row>
    <row r="179" spans="1:22">
      <c r="A179" s="781"/>
      <c r="B179" s="782"/>
      <c r="C179" s="783"/>
      <c r="D179" s="784"/>
      <c r="E179" s="807"/>
      <c r="F179" s="798"/>
      <c r="G179" s="798"/>
      <c r="H179" s="797"/>
      <c r="I179" s="855"/>
      <c r="J179" s="856"/>
      <c r="K179" s="857"/>
      <c r="L179" s="681"/>
      <c r="M179" s="681"/>
      <c r="N179" s="681"/>
      <c r="O179" s="681"/>
      <c r="P179" s="681"/>
      <c r="Q179" s="681"/>
      <c r="R179" s="681"/>
      <c r="S179" s="681"/>
      <c r="T179" s="681"/>
      <c r="U179" s="681"/>
      <c r="V179" s="681"/>
    </row>
    <row r="180" spans="1:22">
      <c r="A180" s="781"/>
      <c r="B180" s="782"/>
      <c r="C180" s="783"/>
      <c r="D180" s="784"/>
      <c r="E180" s="807"/>
      <c r="F180" s="798"/>
      <c r="G180" s="798"/>
      <c r="H180" s="797"/>
      <c r="I180" s="855"/>
      <c r="J180" s="856"/>
      <c r="K180" s="857"/>
      <c r="L180" s="681"/>
      <c r="M180" s="681"/>
      <c r="N180" s="681"/>
      <c r="O180" s="681"/>
      <c r="P180" s="681"/>
      <c r="Q180" s="681"/>
      <c r="R180" s="681"/>
      <c r="S180" s="681"/>
      <c r="T180" s="681"/>
      <c r="U180" s="681"/>
      <c r="V180" s="681"/>
    </row>
    <row r="181" spans="1:22">
      <c r="A181" s="781"/>
      <c r="B181" s="782"/>
      <c r="C181" s="783"/>
      <c r="D181" s="784"/>
      <c r="E181" s="807"/>
      <c r="F181" s="798"/>
      <c r="G181" s="798"/>
      <c r="H181" s="797"/>
      <c r="I181" s="855"/>
      <c r="J181" s="856"/>
      <c r="K181" s="857"/>
      <c r="L181" s="681"/>
      <c r="M181" s="681"/>
      <c r="N181" s="681"/>
      <c r="O181" s="681"/>
      <c r="P181" s="681"/>
      <c r="Q181" s="681"/>
      <c r="R181" s="681"/>
      <c r="S181" s="681"/>
      <c r="T181" s="681"/>
      <c r="U181" s="681"/>
      <c r="V181" s="681"/>
    </row>
    <row r="182" spans="1:22">
      <c r="A182" s="781"/>
      <c r="B182" s="782"/>
      <c r="C182" s="783"/>
      <c r="D182" s="784"/>
      <c r="E182" s="807"/>
      <c r="F182" s="798"/>
      <c r="G182" s="798"/>
      <c r="H182" s="797"/>
      <c r="I182" s="855"/>
      <c r="J182" s="856"/>
      <c r="K182" s="857"/>
      <c r="L182" s="681"/>
      <c r="M182" s="681"/>
      <c r="N182" s="681"/>
      <c r="O182" s="681"/>
      <c r="P182" s="681"/>
      <c r="Q182" s="681"/>
      <c r="R182" s="681"/>
      <c r="S182" s="681"/>
      <c r="T182" s="681"/>
      <c r="U182" s="681"/>
      <c r="V182" s="681"/>
    </row>
    <row r="183" spans="1:22">
      <c r="A183" s="781"/>
      <c r="B183" s="782"/>
      <c r="C183" s="783"/>
      <c r="D183" s="784"/>
      <c r="E183" s="807"/>
      <c r="F183" s="798"/>
      <c r="G183" s="798"/>
      <c r="H183" s="797"/>
      <c r="I183" s="855"/>
      <c r="J183" s="856"/>
      <c r="K183" s="857"/>
      <c r="L183" s="681"/>
      <c r="M183" s="681"/>
      <c r="N183" s="681"/>
      <c r="O183" s="681"/>
      <c r="P183" s="681"/>
      <c r="Q183" s="681"/>
      <c r="R183" s="681"/>
      <c r="S183" s="681"/>
      <c r="T183" s="681"/>
      <c r="U183" s="681"/>
      <c r="V183" s="681"/>
    </row>
    <row r="184" spans="1:22">
      <c r="A184" s="781"/>
      <c r="B184" s="782"/>
      <c r="C184" s="783"/>
      <c r="D184" s="783"/>
      <c r="E184" s="808"/>
      <c r="F184" s="799"/>
      <c r="G184" s="799"/>
      <c r="H184" s="797"/>
      <c r="I184" s="855"/>
      <c r="J184" s="856"/>
      <c r="K184" s="857"/>
      <c r="L184" s="681"/>
      <c r="M184" s="681"/>
      <c r="N184" s="681"/>
      <c r="O184" s="681"/>
      <c r="P184" s="681"/>
      <c r="Q184" s="681"/>
      <c r="R184" s="681"/>
      <c r="S184" s="681"/>
      <c r="T184" s="681"/>
      <c r="U184" s="681"/>
      <c r="V184" s="681"/>
    </row>
    <row r="185" spans="1:22">
      <c r="A185" s="781"/>
      <c r="B185" s="782"/>
      <c r="C185" s="783"/>
      <c r="D185" s="783"/>
      <c r="E185" s="808"/>
      <c r="F185" s="799"/>
      <c r="G185" s="799"/>
      <c r="H185" s="797"/>
      <c r="I185" s="855"/>
      <c r="J185" s="856"/>
      <c r="K185" s="857"/>
      <c r="L185" s="681"/>
      <c r="M185" s="681"/>
      <c r="N185" s="681"/>
      <c r="O185" s="681"/>
      <c r="P185" s="681"/>
      <c r="Q185" s="681"/>
      <c r="R185" s="681"/>
      <c r="S185" s="681"/>
      <c r="T185" s="681"/>
      <c r="U185" s="681"/>
      <c r="V185" s="681"/>
    </row>
    <row r="186" spans="1:22">
      <c r="A186" s="781"/>
      <c r="B186" s="782"/>
      <c r="C186" s="783"/>
      <c r="D186" s="783"/>
      <c r="E186" s="808"/>
      <c r="F186" s="799"/>
      <c r="G186" s="799"/>
      <c r="H186" s="797"/>
      <c r="I186" s="855"/>
      <c r="J186" s="856"/>
      <c r="K186" s="857"/>
      <c r="L186" s="681"/>
      <c r="M186" s="681"/>
      <c r="N186" s="681"/>
      <c r="O186" s="681"/>
      <c r="P186" s="681"/>
      <c r="Q186" s="681"/>
      <c r="R186" s="681"/>
      <c r="S186" s="681"/>
      <c r="T186" s="681"/>
      <c r="U186" s="681"/>
      <c r="V186" s="681"/>
    </row>
    <row r="187" spans="1:22">
      <c r="A187" s="781"/>
      <c r="B187" s="782"/>
      <c r="C187" s="783"/>
      <c r="D187" s="783"/>
      <c r="E187" s="808"/>
      <c r="F187" s="799"/>
      <c r="G187" s="799"/>
      <c r="H187" s="797"/>
      <c r="I187" s="855"/>
      <c r="J187" s="856"/>
      <c r="K187" s="857"/>
      <c r="L187" s="681"/>
      <c r="M187" s="681"/>
      <c r="N187" s="681"/>
      <c r="O187" s="681"/>
      <c r="P187" s="681"/>
      <c r="Q187" s="681"/>
      <c r="R187" s="681"/>
      <c r="S187" s="681"/>
      <c r="T187" s="681"/>
      <c r="U187" s="681"/>
      <c r="V187" s="681"/>
    </row>
    <row r="188" spans="1:22">
      <c r="A188" s="781"/>
      <c r="B188" s="782"/>
      <c r="C188" s="783"/>
      <c r="D188" s="783"/>
      <c r="E188" s="808"/>
      <c r="F188" s="799"/>
      <c r="G188" s="799"/>
      <c r="H188" s="797"/>
      <c r="I188" s="855"/>
      <c r="J188" s="856"/>
      <c r="K188" s="857"/>
      <c r="L188" s="681"/>
      <c r="M188" s="681"/>
      <c r="N188" s="681"/>
      <c r="O188" s="681"/>
      <c r="P188" s="681"/>
      <c r="Q188" s="681"/>
      <c r="R188" s="681"/>
      <c r="S188" s="681"/>
      <c r="T188" s="681"/>
      <c r="U188" s="681"/>
      <c r="V188" s="681"/>
    </row>
    <row r="189" spans="1:22">
      <c r="A189" s="781"/>
      <c r="B189" s="782"/>
      <c r="C189" s="783"/>
      <c r="D189" s="783"/>
      <c r="E189" s="808"/>
      <c r="F189" s="799"/>
      <c r="G189" s="799"/>
      <c r="H189" s="797"/>
      <c r="I189" s="855"/>
      <c r="J189" s="856"/>
      <c r="K189" s="857"/>
      <c r="L189" s="681"/>
      <c r="M189" s="681"/>
      <c r="N189" s="681"/>
      <c r="O189" s="681"/>
      <c r="P189" s="681"/>
      <c r="Q189" s="681"/>
      <c r="R189" s="681"/>
      <c r="S189" s="681"/>
      <c r="T189" s="681"/>
      <c r="U189" s="681"/>
      <c r="V189" s="681"/>
    </row>
    <row r="190" spans="1:22">
      <c r="A190" s="781"/>
      <c r="B190" s="782"/>
      <c r="C190" s="783"/>
      <c r="D190" s="783"/>
      <c r="E190" s="808"/>
      <c r="F190" s="799"/>
      <c r="G190" s="799"/>
      <c r="H190" s="797"/>
      <c r="I190" s="855"/>
      <c r="J190" s="856"/>
      <c r="K190" s="857"/>
      <c r="L190" s="681"/>
      <c r="M190" s="681"/>
      <c r="N190" s="681"/>
      <c r="O190" s="681"/>
      <c r="P190" s="681"/>
      <c r="Q190" s="681"/>
      <c r="R190" s="681"/>
      <c r="S190" s="681"/>
      <c r="T190" s="681"/>
      <c r="U190" s="681"/>
      <c r="V190" s="681"/>
    </row>
    <row r="191" spans="1:22">
      <c r="A191" s="781"/>
      <c r="B191" s="782"/>
      <c r="C191" s="783"/>
      <c r="D191" s="785"/>
      <c r="E191" s="808"/>
      <c r="F191" s="799"/>
      <c r="G191" s="799"/>
      <c r="H191" s="797"/>
      <c r="I191" s="855"/>
      <c r="J191" s="856"/>
      <c r="K191" s="857"/>
      <c r="L191" s="681"/>
      <c r="M191" s="681"/>
      <c r="N191" s="681"/>
      <c r="O191" s="681"/>
      <c r="P191" s="681"/>
      <c r="Q191" s="681"/>
      <c r="R191" s="681"/>
      <c r="S191" s="681"/>
      <c r="T191" s="681"/>
      <c r="U191" s="681"/>
      <c r="V191" s="681"/>
    </row>
    <row r="192" spans="1:22">
      <c r="A192" s="781"/>
      <c r="B192" s="782"/>
      <c r="C192" s="783"/>
      <c r="D192" s="783"/>
      <c r="E192" s="808"/>
      <c r="F192" s="799"/>
      <c r="G192" s="799"/>
      <c r="H192" s="797"/>
      <c r="I192" s="855"/>
      <c r="J192" s="856"/>
      <c r="K192" s="857"/>
      <c r="L192" s="681"/>
      <c r="M192" s="681"/>
      <c r="N192" s="681"/>
      <c r="O192" s="681"/>
      <c r="P192" s="681"/>
      <c r="Q192" s="681"/>
      <c r="R192" s="681"/>
      <c r="S192" s="681"/>
      <c r="T192" s="681"/>
      <c r="U192" s="681"/>
      <c r="V192" s="681"/>
    </row>
    <row r="193" spans="1:22">
      <c r="A193" s="781"/>
      <c r="B193" s="782"/>
      <c r="C193" s="783"/>
      <c r="D193" s="785"/>
      <c r="E193" s="808"/>
      <c r="F193" s="799"/>
      <c r="G193" s="799"/>
      <c r="H193" s="797"/>
      <c r="I193" s="855"/>
      <c r="J193" s="856"/>
      <c r="K193" s="857"/>
      <c r="L193" s="681"/>
      <c r="M193" s="681"/>
      <c r="N193" s="681"/>
      <c r="O193" s="681"/>
      <c r="P193" s="681"/>
      <c r="Q193" s="681"/>
      <c r="R193" s="681"/>
      <c r="S193" s="681"/>
      <c r="T193" s="681"/>
      <c r="U193" s="681"/>
      <c r="V193" s="681"/>
    </row>
    <row r="194" spans="1:22">
      <c r="A194" s="781"/>
      <c r="B194" s="782"/>
      <c r="C194" s="783"/>
      <c r="D194" s="783"/>
      <c r="E194" s="808"/>
      <c r="F194" s="799"/>
      <c r="G194" s="799"/>
      <c r="H194" s="797"/>
      <c r="I194" s="855"/>
      <c r="J194" s="856"/>
      <c r="K194" s="857"/>
      <c r="L194" s="681"/>
      <c r="M194" s="681"/>
      <c r="N194" s="681"/>
      <c r="O194" s="681"/>
      <c r="P194" s="681"/>
      <c r="Q194" s="681"/>
      <c r="R194" s="681"/>
      <c r="S194" s="681"/>
      <c r="T194" s="681"/>
      <c r="U194" s="681"/>
      <c r="V194" s="681"/>
    </row>
    <row r="195" spans="1:22">
      <c r="A195" s="781"/>
      <c r="B195" s="782"/>
      <c r="C195" s="783"/>
      <c r="D195" s="783"/>
      <c r="E195" s="808"/>
      <c r="F195" s="799"/>
      <c r="G195" s="799"/>
      <c r="H195" s="797"/>
      <c r="I195" s="855"/>
      <c r="J195" s="856"/>
      <c r="K195" s="857"/>
      <c r="L195" s="681"/>
      <c r="M195" s="681"/>
      <c r="N195" s="681"/>
      <c r="O195" s="681"/>
      <c r="P195" s="681"/>
      <c r="Q195" s="681"/>
      <c r="R195" s="681"/>
      <c r="S195" s="681"/>
      <c r="T195" s="681"/>
      <c r="U195" s="681"/>
      <c r="V195" s="681"/>
    </row>
    <row r="196" spans="1:22">
      <c r="A196" s="781"/>
      <c r="B196" s="782"/>
      <c r="C196" s="783"/>
      <c r="D196" s="785"/>
      <c r="E196" s="808"/>
      <c r="F196" s="799"/>
      <c r="G196" s="799"/>
      <c r="H196" s="797"/>
      <c r="I196" s="855"/>
      <c r="J196" s="856"/>
      <c r="K196" s="857"/>
      <c r="L196" s="681"/>
      <c r="M196" s="681"/>
      <c r="N196" s="681"/>
      <c r="O196" s="681"/>
      <c r="P196" s="681"/>
      <c r="Q196" s="681"/>
      <c r="R196" s="681"/>
      <c r="S196" s="681"/>
      <c r="T196" s="681"/>
      <c r="U196" s="681"/>
      <c r="V196" s="681"/>
    </row>
    <row r="197" spans="1:22">
      <c r="A197" s="781"/>
      <c r="B197" s="782"/>
      <c r="C197" s="783"/>
      <c r="D197" s="783"/>
      <c r="E197" s="808"/>
      <c r="F197" s="799"/>
      <c r="G197" s="799"/>
      <c r="H197" s="797"/>
      <c r="I197" s="855"/>
      <c r="J197" s="856"/>
      <c r="K197" s="857"/>
      <c r="L197" s="681"/>
      <c r="M197" s="681"/>
      <c r="N197" s="681"/>
      <c r="O197" s="681"/>
      <c r="P197" s="681"/>
      <c r="Q197" s="681"/>
      <c r="R197" s="681"/>
      <c r="S197" s="681"/>
      <c r="T197" s="681"/>
      <c r="U197" s="681"/>
      <c r="V197" s="681"/>
    </row>
    <row r="198" spans="1:22">
      <c r="A198" s="781"/>
      <c r="B198" s="782"/>
      <c r="C198" s="783"/>
      <c r="D198" s="783"/>
      <c r="E198" s="808"/>
      <c r="F198" s="799"/>
      <c r="G198" s="799"/>
      <c r="H198" s="797"/>
      <c r="I198" s="855"/>
      <c r="J198" s="856"/>
      <c r="K198" s="857"/>
      <c r="L198" s="681"/>
      <c r="M198" s="681"/>
      <c r="N198" s="681"/>
      <c r="O198" s="681"/>
      <c r="P198" s="681"/>
      <c r="Q198" s="681"/>
      <c r="R198" s="681"/>
      <c r="S198" s="681"/>
      <c r="T198" s="681"/>
      <c r="U198" s="681"/>
      <c r="V198" s="681"/>
    </row>
    <row r="199" spans="1:22">
      <c r="A199" s="781"/>
      <c r="B199" s="782"/>
      <c r="C199" s="783"/>
      <c r="D199" s="783"/>
      <c r="E199" s="808"/>
      <c r="F199" s="799"/>
      <c r="G199" s="799"/>
      <c r="H199" s="797"/>
      <c r="I199" s="855"/>
      <c r="J199" s="856"/>
      <c r="K199" s="857"/>
      <c r="L199" s="681"/>
      <c r="M199" s="681"/>
      <c r="N199" s="681"/>
      <c r="O199" s="681"/>
      <c r="P199" s="681"/>
      <c r="Q199" s="681"/>
      <c r="R199" s="681"/>
      <c r="S199" s="681"/>
      <c r="T199" s="681"/>
      <c r="U199" s="681"/>
      <c r="V199" s="681"/>
    </row>
    <row r="200" spans="1:22">
      <c r="A200" s="781"/>
      <c r="B200" s="782"/>
      <c r="C200" s="783"/>
      <c r="D200" s="783"/>
      <c r="E200" s="808"/>
      <c r="F200" s="799"/>
      <c r="G200" s="799"/>
      <c r="H200" s="797"/>
      <c r="I200" s="855"/>
      <c r="J200" s="856"/>
      <c r="K200" s="857"/>
      <c r="L200" s="681"/>
      <c r="M200" s="681"/>
      <c r="N200" s="681"/>
      <c r="O200" s="681"/>
      <c r="P200" s="681"/>
      <c r="Q200" s="681"/>
      <c r="R200" s="681"/>
      <c r="S200" s="681"/>
      <c r="T200" s="681"/>
      <c r="U200" s="681"/>
      <c r="V200" s="681"/>
    </row>
    <row r="201" spans="1:22">
      <c r="A201" s="781"/>
      <c r="B201" s="782"/>
      <c r="C201" s="783"/>
      <c r="D201" s="783"/>
      <c r="E201" s="808"/>
      <c r="F201" s="799"/>
      <c r="G201" s="799"/>
      <c r="H201" s="797"/>
      <c r="I201" s="855"/>
      <c r="J201" s="856"/>
      <c r="K201" s="857"/>
      <c r="L201" s="681"/>
      <c r="M201" s="681"/>
      <c r="N201" s="681"/>
      <c r="O201" s="681"/>
      <c r="P201" s="681"/>
      <c r="Q201" s="681"/>
      <c r="R201" s="681"/>
      <c r="S201" s="681"/>
      <c r="T201" s="681"/>
      <c r="U201" s="681"/>
      <c r="V201" s="681"/>
    </row>
    <row r="202" spans="1:22">
      <c r="A202" s="781"/>
      <c r="B202" s="782"/>
      <c r="C202" s="783"/>
      <c r="D202" s="785"/>
      <c r="E202" s="808"/>
      <c r="F202" s="799"/>
      <c r="G202" s="799"/>
      <c r="H202" s="797"/>
      <c r="I202" s="855"/>
      <c r="J202" s="856"/>
      <c r="K202" s="857"/>
      <c r="L202" s="681"/>
      <c r="M202" s="681"/>
      <c r="N202" s="681"/>
      <c r="O202" s="681"/>
      <c r="P202" s="681"/>
      <c r="Q202" s="681"/>
      <c r="R202" s="681"/>
      <c r="S202" s="681"/>
      <c r="T202" s="681"/>
      <c r="U202" s="681"/>
      <c r="V202" s="681"/>
    </row>
    <row r="203" spans="1:22">
      <c r="A203" s="781"/>
      <c r="B203" s="782"/>
      <c r="C203" s="783"/>
      <c r="D203" s="783"/>
      <c r="E203" s="808"/>
      <c r="F203" s="799"/>
      <c r="G203" s="799"/>
      <c r="H203" s="797"/>
      <c r="I203" s="855"/>
      <c r="J203" s="856"/>
      <c r="K203" s="857"/>
      <c r="L203" s="681"/>
      <c r="M203" s="681"/>
      <c r="N203" s="681"/>
      <c r="O203" s="681"/>
      <c r="P203" s="681"/>
      <c r="Q203" s="681"/>
      <c r="R203" s="681"/>
      <c r="S203" s="681"/>
      <c r="T203" s="681"/>
      <c r="U203" s="681"/>
      <c r="V203" s="681"/>
    </row>
    <row r="204" spans="1:22">
      <c r="A204" s="781"/>
      <c r="B204" s="782"/>
      <c r="C204" s="783"/>
      <c r="D204" s="783"/>
      <c r="E204" s="808"/>
      <c r="F204" s="799"/>
      <c r="G204" s="799"/>
      <c r="H204" s="797"/>
      <c r="I204" s="855"/>
      <c r="J204" s="856"/>
      <c r="K204" s="857"/>
      <c r="L204" s="681"/>
      <c r="M204" s="681"/>
      <c r="N204" s="681"/>
      <c r="O204" s="681"/>
      <c r="P204" s="681"/>
      <c r="Q204" s="681"/>
      <c r="R204" s="681"/>
      <c r="S204" s="681"/>
      <c r="T204" s="681"/>
      <c r="U204" s="681"/>
      <c r="V204" s="681"/>
    </row>
    <row r="205" spans="1:22">
      <c r="A205" s="781"/>
      <c r="B205" s="782"/>
      <c r="C205" s="783"/>
      <c r="D205" s="785"/>
      <c r="E205" s="808"/>
      <c r="F205" s="799"/>
      <c r="G205" s="799"/>
      <c r="H205" s="797"/>
      <c r="I205" s="855"/>
      <c r="J205" s="856"/>
      <c r="K205" s="857"/>
      <c r="L205" s="681"/>
      <c r="M205" s="681"/>
      <c r="N205" s="681"/>
      <c r="O205" s="681"/>
      <c r="P205" s="681"/>
      <c r="Q205" s="681"/>
      <c r="R205" s="681"/>
      <c r="S205" s="681"/>
      <c r="T205" s="681"/>
      <c r="U205" s="681"/>
      <c r="V205" s="681"/>
    </row>
    <row r="206" spans="1:22">
      <c r="A206" s="781"/>
      <c r="B206" s="782"/>
      <c r="C206" s="783"/>
      <c r="D206" s="785"/>
      <c r="E206" s="808"/>
      <c r="F206" s="799"/>
      <c r="G206" s="799"/>
      <c r="H206" s="797"/>
      <c r="I206" s="855"/>
      <c r="J206" s="856"/>
      <c r="K206" s="857"/>
      <c r="L206" s="681"/>
      <c r="M206" s="681"/>
      <c r="N206" s="681"/>
      <c r="O206" s="681"/>
      <c r="P206" s="681"/>
      <c r="Q206" s="681"/>
      <c r="R206" s="681"/>
      <c r="S206" s="681"/>
      <c r="T206" s="681"/>
      <c r="U206" s="681"/>
      <c r="V206" s="681"/>
    </row>
    <row r="207" spans="1:22">
      <c r="A207" s="781"/>
      <c r="B207" s="782"/>
      <c r="C207" s="783"/>
      <c r="D207" s="785"/>
      <c r="E207" s="808"/>
      <c r="F207" s="799"/>
      <c r="G207" s="799"/>
      <c r="H207" s="797"/>
      <c r="I207" s="855"/>
      <c r="J207" s="856"/>
      <c r="K207" s="857"/>
      <c r="L207" s="681"/>
      <c r="M207" s="681"/>
      <c r="N207" s="681"/>
      <c r="O207" s="681"/>
      <c r="P207" s="681"/>
      <c r="Q207" s="681"/>
      <c r="R207" s="681"/>
      <c r="S207" s="681"/>
      <c r="T207" s="681"/>
      <c r="U207" s="681"/>
      <c r="V207" s="681"/>
    </row>
    <row r="208" spans="1:22">
      <c r="A208" s="781"/>
      <c r="B208" s="782"/>
      <c r="C208" s="783"/>
      <c r="D208" s="785"/>
      <c r="E208" s="808"/>
      <c r="F208" s="799"/>
      <c r="G208" s="799"/>
      <c r="H208" s="797"/>
      <c r="I208" s="855"/>
      <c r="J208" s="856"/>
      <c r="K208" s="857"/>
      <c r="L208" s="681"/>
      <c r="M208" s="681"/>
      <c r="N208" s="681"/>
      <c r="O208" s="681"/>
      <c r="P208" s="681"/>
      <c r="Q208" s="681"/>
      <c r="R208" s="681"/>
      <c r="S208" s="681"/>
      <c r="T208" s="681"/>
      <c r="U208" s="681"/>
      <c r="V208" s="681"/>
    </row>
    <row r="209" spans="1:22">
      <c r="A209" s="781"/>
      <c r="B209" s="782"/>
      <c r="C209" s="783"/>
      <c r="D209" s="785"/>
      <c r="E209" s="808"/>
      <c r="F209" s="799"/>
      <c r="G209" s="799"/>
      <c r="H209" s="797"/>
      <c r="I209" s="855"/>
      <c r="J209" s="856"/>
      <c r="K209" s="857"/>
      <c r="L209" s="681"/>
      <c r="M209" s="681"/>
      <c r="N209" s="681"/>
      <c r="O209" s="681"/>
      <c r="P209" s="681"/>
      <c r="Q209" s="681"/>
      <c r="R209" s="681"/>
      <c r="S209" s="681"/>
      <c r="T209" s="681"/>
      <c r="U209" s="681"/>
      <c r="V209" s="681"/>
    </row>
    <row r="210" spans="1:22">
      <c r="A210" s="781"/>
      <c r="B210" s="782"/>
      <c r="C210" s="783"/>
      <c r="D210" s="785"/>
      <c r="E210" s="808"/>
      <c r="F210" s="799"/>
      <c r="G210" s="799"/>
      <c r="H210" s="797"/>
      <c r="I210" s="855"/>
      <c r="J210" s="856"/>
      <c r="K210" s="857"/>
      <c r="L210" s="681"/>
      <c r="M210" s="681"/>
      <c r="N210" s="681"/>
      <c r="O210" s="681"/>
      <c r="P210" s="681"/>
      <c r="Q210" s="681"/>
      <c r="R210" s="681"/>
      <c r="S210" s="681"/>
      <c r="T210" s="681"/>
      <c r="U210" s="681"/>
      <c r="V210" s="681"/>
    </row>
    <row r="211" spans="1:22">
      <c r="A211" s="781"/>
      <c r="B211" s="782"/>
      <c r="C211" s="783"/>
      <c r="D211" s="785"/>
      <c r="E211" s="808"/>
      <c r="F211" s="799"/>
      <c r="G211" s="799"/>
      <c r="H211" s="797"/>
      <c r="I211" s="855"/>
      <c r="J211" s="856"/>
      <c r="K211" s="857"/>
      <c r="L211" s="681"/>
      <c r="M211" s="681"/>
      <c r="N211" s="681"/>
      <c r="O211" s="681"/>
      <c r="P211" s="681"/>
      <c r="Q211" s="681"/>
      <c r="R211" s="681"/>
      <c r="S211" s="681"/>
      <c r="T211" s="681"/>
      <c r="U211" s="681"/>
      <c r="V211" s="681"/>
    </row>
    <row r="212" spans="1:22">
      <c r="A212" s="781"/>
      <c r="B212" s="782"/>
      <c r="C212" s="783"/>
      <c r="D212" s="785"/>
      <c r="E212" s="808"/>
      <c r="F212" s="799"/>
      <c r="G212" s="799"/>
      <c r="H212" s="797"/>
      <c r="I212" s="855"/>
      <c r="J212" s="856"/>
      <c r="K212" s="857"/>
      <c r="L212" s="681"/>
      <c r="M212" s="681"/>
      <c r="N212" s="681"/>
      <c r="O212" s="681"/>
      <c r="P212" s="681"/>
      <c r="Q212" s="681"/>
      <c r="R212" s="681"/>
      <c r="S212" s="681"/>
      <c r="T212" s="681"/>
      <c r="U212" s="681"/>
      <c r="V212" s="681"/>
    </row>
    <row r="213" spans="1:22">
      <c r="A213" s="781"/>
      <c r="B213" s="782"/>
      <c r="C213" s="783"/>
      <c r="D213" s="785"/>
      <c r="E213" s="808"/>
      <c r="F213" s="799"/>
      <c r="G213" s="799"/>
      <c r="H213" s="797"/>
      <c r="I213" s="855"/>
      <c r="J213" s="856"/>
      <c r="K213" s="857"/>
      <c r="L213" s="681"/>
      <c r="M213" s="681"/>
      <c r="N213" s="681"/>
      <c r="O213" s="681"/>
      <c r="P213" s="681"/>
      <c r="Q213" s="681"/>
      <c r="R213" s="681"/>
      <c r="S213" s="681"/>
      <c r="T213" s="681"/>
      <c r="U213" s="681"/>
      <c r="V213" s="681"/>
    </row>
    <row r="214" spans="1:22">
      <c r="A214" s="781"/>
      <c r="B214" s="782"/>
      <c r="C214" s="783"/>
      <c r="D214" s="785"/>
      <c r="E214" s="808"/>
      <c r="F214" s="799"/>
      <c r="G214" s="799"/>
      <c r="H214" s="797"/>
      <c r="I214" s="855"/>
      <c r="J214" s="856"/>
      <c r="K214" s="857"/>
      <c r="L214" s="681"/>
      <c r="M214" s="681"/>
      <c r="N214" s="681"/>
      <c r="O214" s="681"/>
      <c r="P214" s="681"/>
      <c r="Q214" s="681"/>
      <c r="R214" s="681"/>
      <c r="S214" s="681"/>
      <c r="T214" s="681"/>
      <c r="U214" s="681"/>
      <c r="V214" s="681"/>
    </row>
    <row r="215" spans="1:22">
      <c r="A215" s="781"/>
      <c r="B215" s="782"/>
      <c r="C215" s="783"/>
      <c r="D215" s="785"/>
      <c r="E215" s="808"/>
      <c r="F215" s="799"/>
      <c r="G215" s="799"/>
      <c r="H215" s="797"/>
      <c r="I215" s="855"/>
      <c r="J215" s="856"/>
      <c r="K215" s="857"/>
      <c r="L215" s="681"/>
      <c r="M215" s="681"/>
      <c r="N215" s="681"/>
      <c r="O215" s="681"/>
      <c r="P215" s="681"/>
      <c r="Q215" s="681"/>
      <c r="R215" s="681"/>
      <c r="S215" s="681"/>
      <c r="T215" s="681"/>
      <c r="U215" s="681"/>
      <c r="V215" s="681"/>
    </row>
    <row r="216" spans="1:22">
      <c r="A216" s="781"/>
      <c r="B216" s="782"/>
      <c r="C216" s="783"/>
      <c r="D216" s="785"/>
      <c r="E216" s="808"/>
      <c r="F216" s="799"/>
      <c r="G216" s="799"/>
      <c r="H216" s="797"/>
      <c r="I216" s="855"/>
      <c r="J216" s="856"/>
      <c r="K216" s="857"/>
      <c r="L216" s="681"/>
      <c r="M216" s="681"/>
      <c r="N216" s="681"/>
      <c r="O216" s="681"/>
      <c r="P216" s="681"/>
      <c r="Q216" s="681"/>
      <c r="R216" s="681"/>
      <c r="S216" s="681"/>
      <c r="T216" s="681"/>
      <c r="U216" s="681"/>
      <c r="V216" s="681"/>
    </row>
    <row r="217" spans="1:22">
      <c r="A217" s="781"/>
      <c r="B217" s="782"/>
      <c r="C217" s="783"/>
      <c r="D217" s="785"/>
      <c r="E217" s="808"/>
      <c r="F217" s="799"/>
      <c r="G217" s="799"/>
      <c r="H217" s="797"/>
      <c r="I217" s="855"/>
      <c r="J217" s="856"/>
      <c r="K217" s="857"/>
      <c r="L217" s="681"/>
      <c r="M217" s="681"/>
      <c r="N217" s="681"/>
      <c r="O217" s="681"/>
      <c r="P217" s="681"/>
      <c r="Q217" s="681"/>
      <c r="R217" s="681"/>
      <c r="S217" s="681"/>
      <c r="T217" s="681"/>
      <c r="U217" s="681"/>
      <c r="V217" s="681"/>
    </row>
    <row r="218" spans="1:22">
      <c r="A218" s="781"/>
      <c r="B218" s="782"/>
      <c r="C218" s="783"/>
      <c r="D218" s="785"/>
      <c r="E218" s="808"/>
      <c r="F218" s="799"/>
      <c r="G218" s="799"/>
      <c r="H218" s="797"/>
      <c r="I218" s="855"/>
      <c r="J218" s="856"/>
      <c r="K218" s="857"/>
      <c r="L218" s="681"/>
      <c r="M218" s="681"/>
      <c r="N218" s="681"/>
      <c r="O218" s="681"/>
      <c r="P218" s="681"/>
      <c r="Q218" s="681"/>
      <c r="R218" s="681"/>
      <c r="S218" s="681"/>
      <c r="T218" s="681"/>
      <c r="U218" s="681"/>
      <c r="V218" s="681"/>
    </row>
    <row r="219" spans="1:22">
      <c r="A219" s="781"/>
      <c r="B219" s="782"/>
      <c r="C219" s="783"/>
      <c r="D219" s="785"/>
      <c r="E219" s="808"/>
      <c r="F219" s="799"/>
      <c r="G219" s="799"/>
      <c r="H219" s="797"/>
      <c r="I219" s="855"/>
      <c r="J219" s="856"/>
      <c r="K219" s="857"/>
      <c r="L219" s="681"/>
      <c r="M219" s="681"/>
      <c r="N219" s="681"/>
      <c r="O219" s="681"/>
      <c r="P219" s="681"/>
      <c r="Q219" s="681"/>
      <c r="R219" s="681"/>
      <c r="S219" s="681"/>
      <c r="T219" s="681"/>
      <c r="U219" s="681"/>
      <c r="V219" s="681"/>
    </row>
    <row r="220" spans="1:22">
      <c r="A220" s="781"/>
      <c r="B220" s="782"/>
      <c r="C220" s="783"/>
      <c r="D220" s="785"/>
      <c r="E220" s="808"/>
      <c r="F220" s="799"/>
      <c r="G220" s="799"/>
      <c r="H220" s="797"/>
      <c r="I220" s="855"/>
      <c r="J220" s="856"/>
      <c r="K220" s="857"/>
      <c r="L220" s="681"/>
      <c r="M220" s="681"/>
      <c r="N220" s="681"/>
      <c r="O220" s="681"/>
      <c r="P220" s="681"/>
      <c r="Q220" s="681"/>
      <c r="R220" s="681"/>
      <c r="S220" s="681"/>
      <c r="T220" s="681"/>
      <c r="U220" s="681"/>
      <c r="V220" s="681"/>
    </row>
    <row r="221" spans="1:22">
      <c r="A221" s="781"/>
      <c r="B221" s="782"/>
      <c r="C221" s="783"/>
      <c r="D221" s="785"/>
      <c r="E221" s="808"/>
      <c r="F221" s="799"/>
      <c r="G221" s="799"/>
      <c r="H221" s="797"/>
      <c r="I221" s="855"/>
      <c r="J221" s="856"/>
      <c r="K221" s="857"/>
      <c r="L221" s="681"/>
      <c r="M221" s="681"/>
      <c r="N221" s="681"/>
      <c r="O221" s="681"/>
      <c r="P221" s="681"/>
      <c r="Q221" s="681"/>
      <c r="R221" s="681"/>
      <c r="S221" s="681"/>
      <c r="T221" s="681"/>
      <c r="U221" s="681"/>
      <c r="V221" s="681"/>
    </row>
    <row r="222" spans="1:22">
      <c r="A222" s="781"/>
      <c r="B222" s="782"/>
      <c r="C222" s="783"/>
      <c r="D222" s="785"/>
      <c r="E222" s="808"/>
      <c r="F222" s="799"/>
      <c r="G222" s="799"/>
      <c r="H222" s="797"/>
      <c r="I222" s="855"/>
      <c r="J222" s="856"/>
      <c r="K222" s="857"/>
      <c r="L222" s="681"/>
      <c r="M222" s="681"/>
      <c r="N222" s="681"/>
      <c r="O222" s="681"/>
      <c r="P222" s="681"/>
      <c r="Q222" s="681"/>
      <c r="R222" s="681"/>
      <c r="S222" s="681"/>
      <c r="T222" s="681"/>
      <c r="U222" s="681"/>
      <c r="V222" s="681"/>
    </row>
    <row r="223" spans="1:22">
      <c r="A223" s="781"/>
      <c r="B223" s="782"/>
      <c r="C223" s="783"/>
      <c r="D223" s="785"/>
      <c r="E223" s="808"/>
      <c r="F223" s="799"/>
      <c r="G223" s="799"/>
      <c r="H223" s="797"/>
      <c r="I223" s="855"/>
      <c r="J223" s="856"/>
      <c r="K223" s="857"/>
      <c r="L223" s="681"/>
      <c r="M223" s="681"/>
      <c r="N223" s="681"/>
      <c r="O223" s="681"/>
      <c r="P223" s="681"/>
      <c r="Q223" s="681"/>
      <c r="R223" s="681"/>
      <c r="S223" s="681"/>
      <c r="T223" s="681"/>
      <c r="U223" s="681"/>
      <c r="V223" s="681"/>
    </row>
    <row r="224" spans="1:22">
      <c r="A224" s="781"/>
      <c r="B224" s="782"/>
      <c r="C224" s="783"/>
      <c r="D224" s="785"/>
      <c r="E224" s="808"/>
      <c r="F224" s="799"/>
      <c r="G224" s="799"/>
      <c r="H224" s="797"/>
      <c r="I224" s="855"/>
      <c r="J224" s="856"/>
      <c r="K224" s="857"/>
      <c r="L224" s="681"/>
      <c r="M224" s="681"/>
      <c r="N224" s="681"/>
      <c r="O224" s="681"/>
      <c r="P224" s="681"/>
      <c r="Q224" s="681"/>
      <c r="R224" s="681"/>
      <c r="S224" s="681"/>
      <c r="T224" s="681"/>
      <c r="U224" s="681"/>
      <c r="V224" s="681"/>
    </row>
    <row r="225" spans="1:22">
      <c r="A225" s="781"/>
      <c r="B225" s="782"/>
      <c r="C225" s="783"/>
      <c r="D225" s="785"/>
      <c r="E225" s="808"/>
      <c r="F225" s="799"/>
      <c r="G225" s="799"/>
      <c r="H225" s="797"/>
      <c r="I225" s="855"/>
      <c r="J225" s="856"/>
      <c r="K225" s="857"/>
      <c r="L225" s="681"/>
      <c r="M225" s="681"/>
      <c r="N225" s="681"/>
      <c r="O225" s="681"/>
      <c r="P225" s="681"/>
      <c r="Q225" s="681"/>
      <c r="R225" s="681"/>
      <c r="S225" s="681"/>
      <c r="T225" s="681"/>
      <c r="U225" s="681"/>
      <c r="V225" s="681"/>
    </row>
    <row r="226" spans="1:22">
      <c r="A226" s="781"/>
      <c r="B226" s="782"/>
      <c r="C226" s="783"/>
      <c r="D226" s="785"/>
      <c r="E226" s="808"/>
      <c r="F226" s="799"/>
      <c r="G226" s="799"/>
      <c r="H226" s="797"/>
      <c r="I226" s="855"/>
      <c r="J226" s="856"/>
      <c r="K226" s="857"/>
      <c r="L226" s="681"/>
      <c r="M226" s="681"/>
      <c r="N226" s="681"/>
      <c r="O226" s="681"/>
      <c r="P226" s="681"/>
      <c r="Q226" s="681"/>
      <c r="R226" s="681"/>
      <c r="S226" s="681"/>
      <c r="T226" s="681"/>
      <c r="U226" s="681"/>
      <c r="V226" s="681"/>
    </row>
    <row r="227" spans="1:22">
      <c r="A227" s="781"/>
      <c r="B227" s="782"/>
      <c r="C227" s="783"/>
      <c r="D227" s="785"/>
      <c r="E227" s="808"/>
      <c r="F227" s="799"/>
      <c r="G227" s="799"/>
      <c r="H227" s="797"/>
      <c r="I227" s="855"/>
      <c r="J227" s="856"/>
      <c r="K227" s="857"/>
      <c r="L227" s="681"/>
      <c r="M227" s="681"/>
      <c r="N227" s="681"/>
      <c r="O227" s="681"/>
      <c r="P227" s="681"/>
      <c r="Q227" s="681"/>
      <c r="R227" s="681"/>
      <c r="S227" s="681"/>
      <c r="T227" s="681"/>
      <c r="U227" s="681"/>
      <c r="V227" s="681"/>
    </row>
    <row r="228" spans="1:22">
      <c r="A228" s="781"/>
      <c r="B228" s="782"/>
      <c r="C228" s="783"/>
      <c r="D228" s="785"/>
      <c r="E228" s="808"/>
      <c r="F228" s="799"/>
      <c r="G228" s="799"/>
      <c r="H228" s="797"/>
      <c r="I228" s="855"/>
      <c r="J228" s="856"/>
      <c r="K228" s="857"/>
      <c r="L228" s="681"/>
      <c r="M228" s="681"/>
      <c r="N228" s="681"/>
      <c r="O228" s="681"/>
      <c r="P228" s="681"/>
      <c r="Q228" s="681"/>
      <c r="R228" s="681"/>
      <c r="S228" s="681"/>
      <c r="T228" s="681"/>
      <c r="U228" s="681"/>
      <c r="V228" s="681"/>
    </row>
    <row r="229" spans="1:22">
      <c r="A229" s="781"/>
      <c r="B229" s="782"/>
      <c r="C229" s="783"/>
      <c r="D229" s="785"/>
      <c r="E229" s="808"/>
      <c r="F229" s="799"/>
      <c r="G229" s="799"/>
      <c r="H229" s="797"/>
      <c r="I229" s="855"/>
      <c r="J229" s="856"/>
      <c r="K229" s="857"/>
      <c r="L229" s="681"/>
      <c r="M229" s="681"/>
      <c r="N229" s="681"/>
      <c r="O229" s="681"/>
      <c r="P229" s="681"/>
      <c r="Q229" s="681"/>
      <c r="R229" s="681"/>
      <c r="S229" s="681"/>
      <c r="T229" s="681"/>
      <c r="U229" s="681"/>
      <c r="V229" s="681"/>
    </row>
    <row r="230" spans="1:22">
      <c r="A230" s="781"/>
      <c r="B230" s="782"/>
      <c r="C230" s="783"/>
      <c r="D230" s="785"/>
      <c r="E230" s="808"/>
      <c r="F230" s="799"/>
      <c r="G230" s="799"/>
      <c r="H230" s="797"/>
      <c r="I230" s="855"/>
      <c r="J230" s="856"/>
      <c r="K230" s="857"/>
      <c r="L230" s="681"/>
      <c r="M230" s="681"/>
      <c r="N230" s="681"/>
      <c r="O230" s="681"/>
      <c r="P230" s="681"/>
      <c r="Q230" s="681"/>
      <c r="R230" s="681"/>
      <c r="S230" s="681"/>
      <c r="T230" s="681"/>
      <c r="U230" s="681"/>
      <c r="V230" s="681"/>
    </row>
    <row r="231" spans="1:22">
      <c r="A231" s="781"/>
      <c r="B231" s="782"/>
      <c r="C231" s="783"/>
      <c r="D231" s="785"/>
      <c r="E231" s="808"/>
      <c r="F231" s="799"/>
      <c r="G231" s="799"/>
      <c r="H231" s="797"/>
      <c r="I231" s="855"/>
      <c r="J231" s="856"/>
      <c r="K231" s="857"/>
      <c r="L231" s="681"/>
      <c r="M231" s="681"/>
      <c r="N231" s="681"/>
      <c r="O231" s="681"/>
      <c r="P231" s="681"/>
      <c r="Q231" s="681"/>
      <c r="R231" s="681"/>
      <c r="S231" s="681"/>
      <c r="T231" s="681"/>
      <c r="U231" s="681"/>
      <c r="V231" s="681"/>
    </row>
    <row r="232" spans="1:22">
      <c r="A232" s="781"/>
      <c r="B232" s="782"/>
      <c r="C232" s="783"/>
      <c r="D232" s="785"/>
      <c r="E232" s="808"/>
      <c r="F232" s="799"/>
      <c r="G232" s="799"/>
      <c r="H232" s="797"/>
      <c r="I232" s="855"/>
      <c r="J232" s="856"/>
      <c r="K232" s="857"/>
      <c r="L232" s="681"/>
      <c r="M232" s="681"/>
      <c r="N232" s="681"/>
      <c r="O232" s="681"/>
      <c r="P232" s="681"/>
      <c r="Q232" s="681"/>
      <c r="R232" s="681"/>
      <c r="S232" s="681"/>
      <c r="T232" s="681"/>
      <c r="U232" s="681"/>
      <c r="V232" s="681"/>
    </row>
    <row r="233" spans="1:22">
      <c r="A233" s="781"/>
      <c r="B233" s="782"/>
      <c r="C233" s="783"/>
      <c r="D233" s="785"/>
      <c r="E233" s="808"/>
      <c r="F233" s="799"/>
      <c r="G233" s="799"/>
      <c r="H233" s="797"/>
      <c r="I233" s="855"/>
      <c r="J233" s="856"/>
      <c r="K233" s="857"/>
      <c r="L233" s="681"/>
      <c r="M233" s="681"/>
      <c r="N233" s="681"/>
      <c r="O233" s="681"/>
      <c r="P233" s="681"/>
      <c r="Q233" s="681"/>
      <c r="R233" s="681"/>
      <c r="S233" s="681"/>
      <c r="T233" s="681"/>
      <c r="U233" s="681"/>
      <c r="V233" s="681"/>
    </row>
    <row r="234" spans="1:22">
      <c r="A234" s="781"/>
      <c r="B234" s="782"/>
      <c r="C234" s="783"/>
      <c r="D234" s="785"/>
      <c r="E234" s="808"/>
      <c r="F234" s="799"/>
      <c r="G234" s="799"/>
      <c r="H234" s="797"/>
      <c r="I234" s="855"/>
      <c r="J234" s="856"/>
      <c r="K234" s="857"/>
      <c r="L234" s="681"/>
      <c r="M234" s="681"/>
      <c r="N234" s="681"/>
      <c r="O234" s="681"/>
      <c r="P234" s="681"/>
      <c r="Q234" s="681"/>
      <c r="R234" s="681"/>
      <c r="S234" s="681"/>
      <c r="T234" s="681"/>
      <c r="U234" s="681"/>
      <c r="V234" s="681"/>
    </row>
    <row r="235" spans="1:22">
      <c r="A235" s="781"/>
      <c r="B235" s="782"/>
      <c r="C235" s="783"/>
      <c r="D235" s="785"/>
      <c r="E235" s="808"/>
      <c r="F235" s="799"/>
      <c r="G235" s="799"/>
      <c r="H235" s="797"/>
      <c r="I235" s="855"/>
      <c r="J235" s="856"/>
      <c r="K235" s="857"/>
      <c r="L235" s="681"/>
      <c r="M235" s="681"/>
      <c r="N235" s="681"/>
      <c r="O235" s="681"/>
      <c r="P235" s="681"/>
      <c r="Q235" s="681"/>
      <c r="R235" s="681"/>
      <c r="S235" s="681"/>
      <c r="T235" s="681"/>
      <c r="U235" s="681"/>
      <c r="V235" s="681"/>
    </row>
    <row r="236" spans="1:22">
      <c r="A236" s="781"/>
      <c r="B236" s="782"/>
      <c r="C236" s="783"/>
      <c r="D236" s="786"/>
      <c r="E236" s="807"/>
      <c r="F236" s="798"/>
      <c r="G236" s="798"/>
      <c r="H236" s="797"/>
      <c r="I236" s="855"/>
      <c r="J236" s="856"/>
      <c r="K236" s="857"/>
      <c r="L236" s="681"/>
      <c r="M236" s="681"/>
      <c r="N236" s="681"/>
      <c r="O236" s="681"/>
      <c r="P236" s="681"/>
      <c r="Q236" s="681"/>
      <c r="R236" s="681"/>
      <c r="S236" s="681"/>
      <c r="T236" s="681"/>
      <c r="U236" s="681"/>
      <c r="V236" s="681"/>
    </row>
    <row r="237" spans="1:22">
      <c r="A237" s="781"/>
      <c r="B237" s="782"/>
      <c r="C237" s="783"/>
      <c r="D237" s="784"/>
      <c r="E237" s="807"/>
      <c r="F237" s="798"/>
      <c r="G237" s="798"/>
      <c r="H237" s="797"/>
      <c r="I237" s="855"/>
      <c r="J237" s="856"/>
      <c r="K237" s="857"/>
      <c r="L237" s="681"/>
      <c r="M237" s="681"/>
      <c r="N237" s="681"/>
      <c r="O237" s="681"/>
      <c r="P237" s="681"/>
      <c r="Q237" s="681"/>
      <c r="R237" s="681"/>
      <c r="S237" s="681"/>
      <c r="T237" s="681"/>
      <c r="U237" s="681"/>
      <c r="V237" s="681"/>
    </row>
    <row r="238" spans="1:22">
      <c r="A238" s="781"/>
      <c r="B238" s="782"/>
      <c r="C238" s="783"/>
      <c r="D238" s="783"/>
      <c r="E238" s="808"/>
      <c r="F238" s="799"/>
      <c r="G238" s="799"/>
      <c r="H238" s="797"/>
      <c r="I238" s="855"/>
      <c r="J238" s="856"/>
      <c r="K238" s="857"/>
      <c r="L238" s="681"/>
      <c r="M238" s="681"/>
      <c r="N238" s="681"/>
      <c r="O238" s="681"/>
      <c r="P238" s="681"/>
      <c r="Q238" s="681"/>
      <c r="R238" s="681"/>
      <c r="S238" s="681"/>
      <c r="T238" s="681"/>
      <c r="U238" s="681"/>
      <c r="V238" s="681"/>
    </row>
    <row r="239" spans="1:22">
      <c r="A239" s="781"/>
      <c r="B239" s="782"/>
      <c r="C239" s="783"/>
      <c r="D239" s="783"/>
      <c r="E239" s="808"/>
      <c r="F239" s="799"/>
      <c r="G239" s="799"/>
      <c r="H239" s="797"/>
      <c r="I239" s="855"/>
      <c r="J239" s="856"/>
      <c r="K239" s="857"/>
      <c r="L239" s="681"/>
      <c r="M239" s="681"/>
      <c r="N239" s="681"/>
      <c r="O239" s="681"/>
      <c r="P239" s="681"/>
      <c r="Q239" s="681"/>
      <c r="R239" s="681"/>
      <c r="S239" s="681"/>
      <c r="T239" s="681"/>
      <c r="U239" s="681"/>
      <c r="V239" s="681"/>
    </row>
    <row r="240" spans="1:22">
      <c r="A240" s="781"/>
      <c r="B240" s="782"/>
      <c r="C240" s="783"/>
      <c r="D240" s="783"/>
      <c r="E240" s="808"/>
      <c r="F240" s="799"/>
      <c r="G240" s="799"/>
      <c r="H240" s="797"/>
      <c r="I240" s="855"/>
      <c r="J240" s="856"/>
      <c r="K240" s="857"/>
      <c r="L240" s="681"/>
      <c r="M240" s="681"/>
      <c r="N240" s="681"/>
      <c r="O240" s="681"/>
      <c r="P240" s="681"/>
      <c r="Q240" s="681"/>
      <c r="R240" s="681"/>
      <c r="S240" s="681"/>
      <c r="T240" s="681"/>
      <c r="U240" s="681"/>
      <c r="V240" s="681"/>
    </row>
    <row r="241" spans="1:22">
      <c r="A241" s="781"/>
      <c r="B241" s="782"/>
      <c r="C241" s="783"/>
      <c r="D241" s="783"/>
      <c r="E241" s="808"/>
      <c r="F241" s="799"/>
      <c r="G241" s="799"/>
      <c r="H241" s="797"/>
      <c r="I241" s="855"/>
      <c r="J241" s="856"/>
      <c r="K241" s="857"/>
      <c r="L241" s="681"/>
      <c r="M241" s="681"/>
      <c r="N241" s="681"/>
      <c r="O241" s="681"/>
      <c r="P241" s="681"/>
      <c r="Q241" s="681"/>
      <c r="R241" s="681"/>
      <c r="S241" s="681"/>
      <c r="T241" s="681"/>
      <c r="U241" s="681"/>
      <c r="V241" s="681"/>
    </row>
    <row r="242" spans="1:22">
      <c r="A242" s="781"/>
      <c r="B242" s="782"/>
      <c r="C242" s="783"/>
      <c r="D242" s="783"/>
      <c r="E242" s="808"/>
      <c r="F242" s="799"/>
      <c r="G242" s="799"/>
      <c r="H242" s="797"/>
      <c r="I242" s="855"/>
      <c r="J242" s="856"/>
      <c r="K242" s="857"/>
      <c r="L242" s="681"/>
      <c r="M242" s="681"/>
      <c r="N242" s="681"/>
      <c r="O242" s="681"/>
      <c r="P242" s="681"/>
      <c r="Q242" s="681"/>
      <c r="R242" s="681"/>
      <c r="S242" s="681"/>
      <c r="T242" s="681"/>
      <c r="U242" s="681"/>
      <c r="V242" s="681"/>
    </row>
    <row r="243" spans="1:22">
      <c r="A243" s="781"/>
      <c r="B243" s="782"/>
      <c r="C243" s="783"/>
      <c r="D243" s="786"/>
      <c r="E243" s="807"/>
      <c r="F243" s="798"/>
      <c r="G243" s="798"/>
      <c r="H243" s="797"/>
      <c r="I243" s="855"/>
      <c r="J243" s="856"/>
      <c r="K243" s="857"/>
      <c r="L243" s="681"/>
      <c r="M243" s="681"/>
      <c r="N243" s="681"/>
      <c r="O243" s="681"/>
      <c r="P243" s="681"/>
      <c r="Q243" s="681"/>
      <c r="R243" s="681"/>
      <c r="S243" s="681"/>
      <c r="T243" s="681"/>
      <c r="U243" s="681"/>
      <c r="V243" s="681"/>
    </row>
    <row r="244" spans="1:22">
      <c r="A244" s="781"/>
      <c r="B244" s="782"/>
      <c r="C244" s="783"/>
      <c r="D244" s="784"/>
      <c r="E244" s="807"/>
      <c r="F244" s="798"/>
      <c r="G244" s="798"/>
      <c r="H244" s="797"/>
      <c r="I244" s="855"/>
      <c r="J244" s="856"/>
      <c r="K244" s="857"/>
      <c r="L244" s="681"/>
      <c r="M244" s="681"/>
      <c r="N244" s="681"/>
      <c r="O244" s="681"/>
      <c r="P244" s="681"/>
      <c r="Q244" s="681"/>
      <c r="R244" s="681"/>
      <c r="S244" s="681"/>
      <c r="T244" s="681"/>
      <c r="U244" s="681"/>
      <c r="V244" s="681"/>
    </row>
    <row r="245" spans="1:22">
      <c r="A245" s="781"/>
      <c r="B245" s="782"/>
      <c r="C245" s="783"/>
      <c r="D245" s="784"/>
      <c r="E245" s="807"/>
      <c r="F245" s="798"/>
      <c r="G245" s="798"/>
      <c r="H245" s="797"/>
      <c r="I245" s="855"/>
      <c r="J245" s="856"/>
      <c r="K245" s="857"/>
      <c r="L245" s="681"/>
      <c r="M245" s="681"/>
      <c r="N245" s="681"/>
      <c r="O245" s="681"/>
      <c r="P245" s="681"/>
      <c r="Q245" s="681"/>
      <c r="R245" s="681"/>
      <c r="S245" s="681"/>
      <c r="T245" s="681"/>
      <c r="U245" s="681"/>
      <c r="V245" s="681"/>
    </row>
    <row r="246" spans="1:22">
      <c r="A246" s="781"/>
      <c r="B246" s="782"/>
      <c r="C246" s="783"/>
      <c r="D246" s="783"/>
      <c r="E246" s="808"/>
      <c r="F246" s="798"/>
      <c r="G246" s="799"/>
      <c r="H246" s="797"/>
      <c r="I246" s="855"/>
      <c r="J246" s="856"/>
      <c r="K246" s="857"/>
      <c r="L246" s="681"/>
      <c r="M246" s="681"/>
      <c r="N246" s="681"/>
      <c r="O246" s="681"/>
      <c r="P246" s="681"/>
      <c r="Q246" s="681"/>
      <c r="R246" s="681"/>
      <c r="S246" s="681"/>
      <c r="T246" s="681"/>
      <c r="U246" s="681"/>
      <c r="V246" s="681"/>
    </row>
    <row r="247" spans="1:22">
      <c r="A247" s="781"/>
      <c r="B247" s="782"/>
      <c r="C247" s="783"/>
      <c r="D247" s="783"/>
      <c r="E247" s="808"/>
      <c r="F247" s="798"/>
      <c r="G247" s="799"/>
      <c r="H247" s="797"/>
      <c r="I247" s="855"/>
      <c r="J247" s="856"/>
      <c r="K247" s="857"/>
      <c r="L247" s="681"/>
      <c r="M247" s="681"/>
      <c r="N247" s="681"/>
      <c r="O247" s="681"/>
      <c r="P247" s="681"/>
      <c r="Q247" s="681"/>
      <c r="R247" s="681"/>
      <c r="S247" s="681"/>
      <c r="T247" s="681"/>
      <c r="U247" s="681"/>
      <c r="V247" s="681"/>
    </row>
    <row r="248" spans="1:22">
      <c r="A248" s="781"/>
      <c r="B248" s="782"/>
      <c r="C248" s="783"/>
      <c r="D248" s="783"/>
      <c r="E248" s="808"/>
      <c r="F248" s="798"/>
      <c r="G248" s="799"/>
      <c r="H248" s="797"/>
      <c r="I248" s="855"/>
      <c r="J248" s="856"/>
      <c r="K248" s="857"/>
      <c r="L248" s="681"/>
      <c r="M248" s="681"/>
      <c r="N248" s="681"/>
      <c r="O248" s="681"/>
      <c r="P248" s="681"/>
      <c r="Q248" s="681"/>
      <c r="R248" s="681"/>
      <c r="S248" s="681"/>
      <c r="T248" s="681"/>
      <c r="U248" s="681"/>
      <c r="V248" s="681"/>
    </row>
    <row r="249" spans="1:22">
      <c r="A249" s="781"/>
      <c r="B249" s="782"/>
      <c r="C249" s="783"/>
      <c r="D249" s="783"/>
      <c r="E249" s="808"/>
      <c r="F249" s="798"/>
      <c r="G249" s="799"/>
      <c r="H249" s="797"/>
      <c r="I249" s="855"/>
      <c r="J249" s="856"/>
      <c r="K249" s="857"/>
      <c r="L249" s="681"/>
      <c r="M249" s="681"/>
      <c r="N249" s="681"/>
      <c r="O249" s="681"/>
      <c r="P249" s="681"/>
      <c r="Q249" s="681"/>
      <c r="R249" s="681"/>
      <c r="S249" s="681"/>
      <c r="T249" s="681"/>
      <c r="U249" s="681"/>
      <c r="V249" s="681"/>
    </row>
    <row r="250" spans="1:22">
      <c r="A250" s="781"/>
      <c r="B250" s="782"/>
      <c r="C250" s="783"/>
      <c r="D250" s="783"/>
      <c r="E250" s="808"/>
      <c r="F250" s="798"/>
      <c r="G250" s="799"/>
      <c r="H250" s="797"/>
      <c r="I250" s="855"/>
      <c r="J250" s="856"/>
      <c r="K250" s="857"/>
      <c r="L250" s="681"/>
      <c r="M250" s="681"/>
      <c r="N250" s="681"/>
      <c r="O250" s="681"/>
      <c r="P250" s="681"/>
      <c r="Q250" s="681"/>
      <c r="R250" s="681"/>
      <c r="S250" s="681"/>
      <c r="T250" s="681"/>
      <c r="U250" s="681"/>
      <c r="V250" s="681"/>
    </row>
    <row r="251" spans="1:22">
      <c r="A251" s="781"/>
      <c r="B251" s="782"/>
      <c r="C251" s="783"/>
      <c r="D251" s="783"/>
      <c r="E251" s="808"/>
      <c r="F251" s="798"/>
      <c r="G251" s="799"/>
      <c r="H251" s="797"/>
      <c r="I251" s="855"/>
      <c r="J251" s="856"/>
      <c r="K251" s="857"/>
      <c r="L251" s="681"/>
      <c r="M251" s="681"/>
      <c r="N251" s="681"/>
      <c r="O251" s="681"/>
      <c r="P251" s="681"/>
      <c r="Q251" s="681"/>
      <c r="R251" s="681"/>
      <c r="S251" s="681"/>
      <c r="T251" s="681"/>
      <c r="U251" s="681"/>
      <c r="V251" s="681"/>
    </row>
    <row r="252" spans="1:22">
      <c r="A252" s="781"/>
      <c r="B252" s="782"/>
      <c r="C252" s="783"/>
      <c r="D252" s="783"/>
      <c r="E252" s="808"/>
      <c r="F252" s="798"/>
      <c r="G252" s="799"/>
      <c r="H252" s="797"/>
      <c r="I252" s="855"/>
      <c r="J252" s="856"/>
      <c r="K252" s="857"/>
      <c r="L252" s="681"/>
      <c r="M252" s="681"/>
      <c r="N252" s="681"/>
      <c r="O252" s="681"/>
      <c r="P252" s="681"/>
      <c r="Q252" s="681"/>
      <c r="R252" s="681"/>
      <c r="S252" s="681"/>
      <c r="T252" s="681"/>
      <c r="U252" s="681"/>
      <c r="V252" s="681"/>
    </row>
    <row r="253" spans="1:22">
      <c r="A253" s="781"/>
      <c r="B253" s="782"/>
      <c r="C253" s="783"/>
      <c r="D253" s="783"/>
      <c r="E253" s="808"/>
      <c r="F253" s="798"/>
      <c r="G253" s="799"/>
      <c r="H253" s="797"/>
      <c r="I253" s="855"/>
      <c r="J253" s="856"/>
      <c r="K253" s="857"/>
      <c r="L253" s="681"/>
      <c r="M253" s="681"/>
      <c r="N253" s="681"/>
      <c r="O253" s="681"/>
      <c r="P253" s="681"/>
      <c r="Q253" s="681"/>
      <c r="R253" s="681"/>
      <c r="S253" s="681"/>
      <c r="T253" s="681"/>
      <c r="U253" s="681"/>
      <c r="V253" s="681"/>
    </row>
    <row r="254" spans="1:22">
      <c r="A254" s="781"/>
      <c r="B254" s="782"/>
      <c r="C254" s="783"/>
      <c r="D254" s="783"/>
      <c r="E254" s="808"/>
      <c r="F254" s="798"/>
      <c r="G254" s="799"/>
      <c r="H254" s="797"/>
      <c r="I254" s="855"/>
      <c r="J254" s="856"/>
      <c r="K254" s="857"/>
      <c r="L254" s="681"/>
      <c r="M254" s="681"/>
      <c r="N254" s="681"/>
      <c r="O254" s="681"/>
      <c r="P254" s="681"/>
      <c r="Q254" s="681"/>
      <c r="R254" s="681"/>
      <c r="S254" s="681"/>
      <c r="T254" s="681"/>
      <c r="U254" s="681"/>
      <c r="V254" s="681"/>
    </row>
    <row r="255" spans="1:22">
      <c r="A255" s="781"/>
      <c r="B255" s="782"/>
      <c r="C255" s="783"/>
      <c r="D255" s="783"/>
      <c r="E255" s="808"/>
      <c r="F255" s="798"/>
      <c r="G255" s="799"/>
      <c r="H255" s="797"/>
      <c r="I255" s="855"/>
      <c r="J255" s="856"/>
      <c r="K255" s="857"/>
      <c r="L255" s="681"/>
      <c r="M255" s="681"/>
      <c r="N255" s="681"/>
      <c r="O255" s="681"/>
      <c r="P255" s="681"/>
      <c r="Q255" s="681"/>
      <c r="R255" s="681"/>
      <c r="S255" s="681"/>
      <c r="T255" s="681"/>
      <c r="U255" s="681"/>
      <c r="V255" s="681"/>
    </row>
    <row r="256" spans="1:22">
      <c r="A256" s="781"/>
      <c r="B256" s="782"/>
      <c r="C256" s="783"/>
      <c r="D256" s="783"/>
      <c r="E256" s="808"/>
      <c r="F256" s="798"/>
      <c r="G256" s="799"/>
      <c r="H256" s="797"/>
      <c r="I256" s="855"/>
      <c r="J256" s="856"/>
      <c r="K256" s="857"/>
      <c r="L256" s="681"/>
      <c r="M256" s="681"/>
      <c r="N256" s="681"/>
      <c r="O256" s="681"/>
      <c r="P256" s="681"/>
      <c r="Q256" s="681"/>
      <c r="R256" s="681"/>
      <c r="S256" s="681"/>
      <c r="T256" s="681"/>
      <c r="U256" s="681"/>
      <c r="V256" s="681"/>
    </row>
    <row r="257" spans="1:22">
      <c r="A257" s="781"/>
      <c r="B257" s="782"/>
      <c r="C257" s="783"/>
      <c r="D257" s="783"/>
      <c r="E257" s="808"/>
      <c r="F257" s="798"/>
      <c r="G257" s="799"/>
      <c r="H257" s="797"/>
      <c r="I257" s="855"/>
      <c r="J257" s="856"/>
      <c r="K257" s="857"/>
      <c r="L257" s="681"/>
      <c r="M257" s="681"/>
      <c r="N257" s="681"/>
      <c r="O257" s="681"/>
      <c r="P257" s="681"/>
      <c r="Q257" s="681"/>
      <c r="R257" s="681"/>
      <c r="S257" s="681"/>
      <c r="T257" s="681"/>
      <c r="U257" s="681"/>
      <c r="V257" s="681"/>
    </row>
    <row r="258" spans="1:22">
      <c r="A258" s="781"/>
      <c r="B258" s="782"/>
      <c r="C258" s="783"/>
      <c r="D258" s="783"/>
      <c r="E258" s="808"/>
      <c r="F258" s="798"/>
      <c r="G258" s="799"/>
      <c r="H258" s="797"/>
      <c r="I258" s="855"/>
      <c r="J258" s="856"/>
      <c r="K258" s="857"/>
      <c r="L258" s="681"/>
      <c r="M258" s="681"/>
      <c r="N258" s="681"/>
      <c r="O258" s="681"/>
      <c r="P258" s="681"/>
      <c r="Q258" s="681"/>
      <c r="R258" s="681"/>
      <c r="S258" s="681"/>
      <c r="T258" s="681"/>
      <c r="U258" s="681"/>
      <c r="V258" s="681"/>
    </row>
    <row r="259" spans="1:22">
      <c r="A259" s="781"/>
      <c r="B259" s="782"/>
      <c r="C259" s="783"/>
      <c r="D259" s="783"/>
      <c r="E259" s="808"/>
      <c r="F259" s="798"/>
      <c r="G259" s="799"/>
      <c r="H259" s="797"/>
      <c r="I259" s="855"/>
      <c r="J259" s="856"/>
      <c r="K259" s="857"/>
      <c r="L259" s="681"/>
      <c r="M259" s="681"/>
      <c r="N259" s="681"/>
      <c r="O259" s="681"/>
      <c r="P259" s="681"/>
      <c r="Q259" s="681"/>
      <c r="R259" s="681"/>
      <c r="S259" s="681"/>
      <c r="T259" s="681"/>
      <c r="U259" s="681"/>
      <c r="V259" s="681"/>
    </row>
    <row r="260" spans="1:22">
      <c r="A260" s="781"/>
      <c r="B260" s="782"/>
      <c r="C260" s="783"/>
      <c r="D260" s="783"/>
      <c r="E260" s="808"/>
      <c r="F260" s="798"/>
      <c r="G260" s="799"/>
      <c r="H260" s="797"/>
      <c r="I260" s="855"/>
      <c r="J260" s="856"/>
      <c r="K260" s="857"/>
      <c r="L260" s="681"/>
      <c r="M260" s="681"/>
      <c r="N260" s="681"/>
      <c r="O260" s="681"/>
      <c r="P260" s="681"/>
      <c r="Q260" s="681"/>
      <c r="R260" s="681"/>
      <c r="S260" s="681"/>
      <c r="T260" s="681"/>
      <c r="U260" s="681"/>
      <c r="V260" s="681"/>
    </row>
    <row r="261" spans="1:22">
      <c r="A261" s="781"/>
      <c r="B261" s="782"/>
      <c r="C261" s="783"/>
      <c r="D261" s="783"/>
      <c r="E261" s="808"/>
      <c r="F261" s="798"/>
      <c r="G261" s="799"/>
      <c r="H261" s="797"/>
      <c r="I261" s="855"/>
      <c r="J261" s="856"/>
      <c r="K261" s="857"/>
      <c r="L261" s="681"/>
      <c r="M261" s="681"/>
      <c r="N261" s="681"/>
      <c r="O261" s="681"/>
      <c r="P261" s="681"/>
      <c r="Q261" s="681"/>
      <c r="R261" s="681"/>
      <c r="S261" s="681"/>
      <c r="T261" s="681"/>
      <c r="U261" s="681"/>
      <c r="V261" s="681"/>
    </row>
    <row r="262" spans="1:22">
      <c r="A262" s="781"/>
      <c r="B262" s="782"/>
      <c r="C262" s="783"/>
      <c r="D262" s="783"/>
      <c r="E262" s="808"/>
      <c r="F262" s="798"/>
      <c r="G262" s="799"/>
      <c r="H262" s="797"/>
      <c r="I262" s="855"/>
      <c r="J262" s="856"/>
      <c r="K262" s="857"/>
      <c r="L262" s="681"/>
      <c r="M262" s="681"/>
      <c r="N262" s="681"/>
      <c r="O262" s="681"/>
      <c r="P262" s="681"/>
      <c r="Q262" s="681"/>
      <c r="R262" s="681"/>
      <c r="S262" s="681"/>
      <c r="T262" s="681"/>
      <c r="U262" s="681"/>
      <c r="V262" s="681"/>
    </row>
    <row r="263" spans="1:22">
      <c r="A263" s="781"/>
      <c r="B263" s="782"/>
      <c r="C263" s="783"/>
      <c r="D263" s="783"/>
      <c r="E263" s="808"/>
      <c r="F263" s="798"/>
      <c r="G263" s="799"/>
      <c r="H263" s="797"/>
      <c r="I263" s="855"/>
      <c r="J263" s="856"/>
      <c r="K263" s="857"/>
      <c r="L263" s="681"/>
      <c r="M263" s="681"/>
      <c r="N263" s="681"/>
      <c r="O263" s="681"/>
      <c r="P263" s="681"/>
      <c r="Q263" s="681"/>
      <c r="R263" s="681"/>
      <c r="S263" s="681"/>
      <c r="T263" s="681"/>
      <c r="U263" s="681"/>
      <c r="V263" s="681"/>
    </row>
    <row r="264" spans="1:22">
      <c r="A264" s="781"/>
      <c r="B264" s="782"/>
      <c r="C264" s="783"/>
      <c r="D264" s="783"/>
      <c r="E264" s="808"/>
      <c r="F264" s="798"/>
      <c r="G264" s="799"/>
      <c r="H264" s="797"/>
      <c r="I264" s="855"/>
      <c r="J264" s="856"/>
      <c r="K264" s="857"/>
      <c r="L264" s="681"/>
      <c r="M264" s="681"/>
      <c r="N264" s="681"/>
      <c r="O264" s="681"/>
      <c r="P264" s="681"/>
      <c r="Q264" s="681"/>
      <c r="R264" s="681"/>
      <c r="S264" s="681"/>
      <c r="T264" s="681"/>
      <c r="U264" s="681"/>
      <c r="V264" s="681"/>
    </row>
    <row r="265" spans="1:22">
      <c r="A265" s="781"/>
      <c r="B265" s="782"/>
      <c r="C265" s="783"/>
      <c r="D265" s="783"/>
      <c r="E265" s="808"/>
      <c r="F265" s="798"/>
      <c r="G265" s="799"/>
      <c r="H265" s="797"/>
      <c r="I265" s="855"/>
      <c r="J265" s="856"/>
      <c r="K265" s="857"/>
      <c r="L265" s="681"/>
      <c r="M265" s="681"/>
      <c r="N265" s="681"/>
      <c r="O265" s="681"/>
      <c r="P265" s="681"/>
      <c r="Q265" s="681"/>
      <c r="R265" s="681"/>
      <c r="S265" s="681"/>
      <c r="T265" s="681"/>
      <c r="U265" s="681"/>
      <c r="V265" s="681"/>
    </row>
    <row r="266" spans="1:22">
      <c r="A266" s="781"/>
      <c r="B266" s="782"/>
      <c r="C266" s="783"/>
      <c r="D266" s="783"/>
      <c r="E266" s="808"/>
      <c r="F266" s="798"/>
      <c r="G266" s="799"/>
      <c r="H266" s="797"/>
      <c r="I266" s="855"/>
      <c r="J266" s="856"/>
      <c r="K266" s="857"/>
      <c r="L266" s="681"/>
      <c r="M266" s="681"/>
      <c r="N266" s="681"/>
      <c r="O266" s="681"/>
      <c r="P266" s="681"/>
      <c r="Q266" s="681"/>
      <c r="R266" s="681"/>
      <c r="S266" s="681"/>
      <c r="T266" s="681"/>
      <c r="U266" s="681"/>
      <c r="V266" s="681"/>
    </row>
    <row r="267" spans="1:22">
      <c r="A267" s="781"/>
      <c r="B267" s="782"/>
      <c r="C267" s="783"/>
      <c r="D267" s="783"/>
      <c r="E267" s="808"/>
      <c r="F267" s="798"/>
      <c r="G267" s="799"/>
      <c r="H267" s="797"/>
      <c r="I267" s="855"/>
      <c r="J267" s="856"/>
      <c r="K267" s="857"/>
      <c r="L267" s="681"/>
      <c r="M267" s="681"/>
      <c r="N267" s="681"/>
      <c r="O267" s="681"/>
      <c r="P267" s="681"/>
      <c r="Q267" s="681"/>
      <c r="R267" s="681"/>
      <c r="S267" s="681"/>
      <c r="T267" s="681"/>
      <c r="U267" s="681"/>
      <c r="V267" s="681"/>
    </row>
    <row r="268" spans="1:22">
      <c r="A268" s="781"/>
      <c r="B268" s="782"/>
      <c r="C268" s="783"/>
      <c r="D268" s="783"/>
      <c r="E268" s="808"/>
      <c r="F268" s="798"/>
      <c r="G268" s="799"/>
      <c r="H268" s="797"/>
      <c r="I268" s="855"/>
      <c r="J268" s="856"/>
      <c r="K268" s="857"/>
      <c r="L268" s="681"/>
      <c r="M268" s="681"/>
      <c r="N268" s="681"/>
      <c r="O268" s="681"/>
      <c r="P268" s="681"/>
      <c r="Q268" s="681"/>
      <c r="R268" s="681"/>
      <c r="S268" s="681"/>
      <c r="T268" s="681"/>
      <c r="U268" s="681"/>
      <c r="V268" s="681"/>
    </row>
    <row r="269" spans="1:22">
      <c r="A269" s="781"/>
      <c r="B269" s="782"/>
      <c r="C269" s="783"/>
      <c r="D269" s="783"/>
      <c r="E269" s="808"/>
      <c r="F269" s="798"/>
      <c r="G269" s="799"/>
      <c r="H269" s="797"/>
      <c r="I269" s="855"/>
      <c r="J269" s="856"/>
      <c r="K269" s="857"/>
      <c r="L269" s="681"/>
      <c r="M269" s="681"/>
      <c r="N269" s="681"/>
      <c r="O269" s="681"/>
      <c r="P269" s="681"/>
      <c r="Q269" s="681"/>
      <c r="R269" s="681"/>
      <c r="S269" s="681"/>
      <c r="T269" s="681"/>
      <c r="U269" s="681"/>
      <c r="V269" s="681"/>
    </row>
    <row r="270" spans="1:22">
      <c r="A270" s="781"/>
      <c r="B270" s="782"/>
      <c r="C270" s="783"/>
      <c r="D270" s="786"/>
      <c r="E270" s="807"/>
      <c r="F270" s="798"/>
      <c r="G270" s="798"/>
      <c r="H270" s="797"/>
      <c r="I270" s="855"/>
      <c r="J270" s="856"/>
      <c r="K270" s="857"/>
      <c r="L270" s="681"/>
      <c r="M270" s="681"/>
      <c r="N270" s="681"/>
      <c r="O270" s="681"/>
      <c r="P270" s="681"/>
      <c r="Q270" s="681"/>
      <c r="R270" s="681"/>
      <c r="S270" s="681"/>
      <c r="T270" s="681"/>
      <c r="U270" s="681"/>
      <c r="V270" s="681"/>
    </row>
    <row r="271" spans="1:22">
      <c r="A271" s="781"/>
      <c r="B271" s="782"/>
      <c r="C271" s="783"/>
      <c r="D271" s="784"/>
      <c r="E271" s="807"/>
      <c r="F271" s="798"/>
      <c r="G271" s="798"/>
      <c r="H271" s="797"/>
      <c r="I271" s="855"/>
      <c r="J271" s="856"/>
      <c r="K271" s="857"/>
      <c r="L271" s="681"/>
      <c r="M271" s="681"/>
      <c r="N271" s="681"/>
      <c r="O271" s="681"/>
      <c r="P271" s="681"/>
      <c r="Q271" s="681"/>
      <c r="R271" s="681"/>
      <c r="S271" s="681"/>
      <c r="T271" s="681"/>
      <c r="U271" s="681"/>
      <c r="V271" s="681"/>
    </row>
    <row r="272" spans="1:22">
      <c r="A272" s="781"/>
      <c r="B272" s="782"/>
      <c r="C272" s="783"/>
      <c r="D272" s="790"/>
      <c r="E272" s="807"/>
      <c r="F272" s="798"/>
      <c r="G272" s="798"/>
      <c r="H272" s="797"/>
      <c r="I272" s="855"/>
      <c r="J272" s="856"/>
      <c r="K272" s="857"/>
      <c r="L272" s="681"/>
      <c r="M272" s="681"/>
      <c r="N272" s="681"/>
      <c r="O272" s="681"/>
      <c r="P272" s="681"/>
      <c r="Q272" s="681"/>
      <c r="R272" s="681"/>
      <c r="S272" s="681"/>
      <c r="T272" s="681"/>
      <c r="U272" s="681"/>
      <c r="V272" s="681"/>
    </row>
    <row r="273" spans="1:22">
      <c r="A273" s="781"/>
      <c r="B273" s="782"/>
      <c r="C273" s="783"/>
      <c r="D273" s="783"/>
      <c r="E273" s="804"/>
      <c r="F273" s="799"/>
      <c r="G273" s="799"/>
      <c r="H273" s="797"/>
      <c r="I273" s="855"/>
      <c r="J273" s="856"/>
      <c r="K273" s="857"/>
      <c r="L273" s="681"/>
      <c r="M273" s="681"/>
      <c r="N273" s="681"/>
      <c r="O273" s="681"/>
      <c r="P273" s="681"/>
      <c r="Q273" s="681"/>
      <c r="R273" s="681"/>
      <c r="S273" s="681"/>
      <c r="T273" s="681"/>
      <c r="U273" s="681"/>
      <c r="V273" s="681"/>
    </row>
    <row r="274" spans="1:22">
      <c r="A274" s="781"/>
      <c r="B274" s="782"/>
      <c r="C274" s="783"/>
      <c r="D274" s="783"/>
      <c r="E274" s="804"/>
      <c r="F274" s="799"/>
      <c r="G274" s="799"/>
      <c r="H274" s="797"/>
      <c r="I274" s="855"/>
      <c r="J274" s="856"/>
      <c r="K274" s="857"/>
      <c r="L274" s="681"/>
      <c r="M274" s="681"/>
      <c r="N274" s="681"/>
      <c r="O274" s="681"/>
      <c r="P274" s="681"/>
      <c r="Q274" s="681"/>
      <c r="R274" s="681"/>
      <c r="S274" s="681"/>
      <c r="T274" s="681"/>
      <c r="U274" s="681"/>
      <c r="V274" s="681"/>
    </row>
    <row r="275" spans="1:22">
      <c r="A275" s="781"/>
      <c r="B275" s="782"/>
      <c r="C275" s="783"/>
      <c r="D275" s="783"/>
      <c r="E275" s="804"/>
      <c r="F275" s="799"/>
      <c r="G275" s="799"/>
      <c r="H275" s="797"/>
      <c r="I275" s="855"/>
      <c r="J275" s="856"/>
      <c r="K275" s="857"/>
      <c r="L275" s="681"/>
      <c r="M275" s="681"/>
      <c r="N275" s="681"/>
      <c r="O275" s="681"/>
      <c r="P275" s="681"/>
      <c r="Q275" s="681"/>
      <c r="R275" s="681"/>
      <c r="S275" s="681"/>
      <c r="T275" s="681"/>
      <c r="U275" s="681"/>
      <c r="V275" s="681"/>
    </row>
    <row r="276" spans="1:22">
      <c r="A276" s="781"/>
      <c r="B276" s="782"/>
      <c r="C276" s="783"/>
      <c r="D276" s="783"/>
      <c r="E276" s="804"/>
      <c r="F276" s="799"/>
      <c r="G276" s="799"/>
      <c r="H276" s="797"/>
      <c r="I276" s="855"/>
      <c r="J276" s="856"/>
      <c r="K276" s="857"/>
      <c r="L276" s="681"/>
      <c r="M276" s="681"/>
      <c r="N276" s="681"/>
      <c r="O276" s="681"/>
      <c r="P276" s="681"/>
      <c r="Q276" s="681"/>
      <c r="R276" s="681"/>
      <c r="S276" s="681"/>
      <c r="T276" s="681"/>
      <c r="U276" s="681"/>
      <c r="V276" s="681"/>
    </row>
    <row r="277" spans="1:22">
      <c r="A277" s="781"/>
      <c r="B277" s="782"/>
      <c r="C277" s="783"/>
      <c r="D277" s="783"/>
      <c r="E277" s="804"/>
      <c r="F277" s="799"/>
      <c r="G277" s="799"/>
      <c r="H277" s="797"/>
      <c r="I277" s="855"/>
      <c r="J277" s="856"/>
      <c r="K277" s="857"/>
      <c r="L277" s="681"/>
      <c r="M277" s="681"/>
      <c r="N277" s="681"/>
      <c r="O277" s="681"/>
      <c r="P277" s="681"/>
      <c r="Q277" s="681"/>
      <c r="R277" s="681"/>
      <c r="S277" s="681"/>
      <c r="T277" s="681"/>
      <c r="U277" s="681"/>
      <c r="V277" s="681"/>
    </row>
    <row r="278" spans="1:22">
      <c r="A278" s="781"/>
      <c r="B278" s="782"/>
      <c r="C278" s="783"/>
      <c r="D278" s="783"/>
      <c r="E278" s="804"/>
      <c r="F278" s="799"/>
      <c r="G278" s="799"/>
      <c r="H278" s="797"/>
      <c r="I278" s="855"/>
      <c r="J278" s="856"/>
      <c r="K278" s="857"/>
      <c r="L278" s="681"/>
      <c r="M278" s="681"/>
      <c r="N278" s="681"/>
      <c r="O278" s="681"/>
      <c r="P278" s="681"/>
      <c r="Q278" s="681"/>
      <c r="R278" s="681"/>
      <c r="S278" s="681"/>
      <c r="T278" s="681"/>
      <c r="U278" s="681"/>
      <c r="V278" s="681"/>
    </row>
    <row r="279" spans="1:22">
      <c r="A279" s="781"/>
      <c r="B279" s="782"/>
      <c r="C279" s="783"/>
      <c r="D279" s="783"/>
      <c r="E279" s="804"/>
      <c r="F279" s="799"/>
      <c r="G279" s="799"/>
      <c r="H279" s="797"/>
      <c r="I279" s="855"/>
      <c r="J279" s="856"/>
      <c r="K279" s="857"/>
      <c r="L279" s="681"/>
      <c r="M279" s="681"/>
      <c r="N279" s="681"/>
      <c r="O279" s="681"/>
      <c r="P279" s="681"/>
      <c r="Q279" s="681"/>
      <c r="R279" s="681"/>
      <c r="S279" s="681"/>
      <c r="T279" s="681"/>
      <c r="U279" s="681"/>
      <c r="V279" s="681"/>
    </row>
    <row r="280" spans="1:22">
      <c r="A280" s="781"/>
      <c r="B280" s="782"/>
      <c r="C280" s="783"/>
      <c r="D280" s="785"/>
      <c r="E280" s="804"/>
      <c r="F280" s="799"/>
      <c r="G280" s="799"/>
      <c r="H280" s="797"/>
      <c r="I280" s="855"/>
      <c r="J280" s="856"/>
      <c r="K280" s="857"/>
      <c r="L280" s="681"/>
      <c r="M280" s="681"/>
      <c r="N280" s="681"/>
      <c r="O280" s="681"/>
      <c r="P280" s="681"/>
      <c r="Q280" s="681"/>
      <c r="R280" s="681"/>
      <c r="S280" s="681"/>
      <c r="T280" s="681"/>
      <c r="U280" s="681"/>
      <c r="V280" s="681"/>
    </row>
    <row r="281" spans="1:22">
      <c r="A281" s="781"/>
      <c r="B281" s="782"/>
      <c r="C281" s="783"/>
      <c r="D281" s="783"/>
      <c r="E281" s="804"/>
      <c r="F281" s="799"/>
      <c r="G281" s="799"/>
      <c r="H281" s="797"/>
      <c r="I281" s="855"/>
      <c r="J281" s="856"/>
      <c r="K281" s="857"/>
      <c r="L281" s="681"/>
      <c r="M281" s="681"/>
      <c r="N281" s="681"/>
      <c r="O281" s="681"/>
      <c r="P281" s="681"/>
      <c r="Q281" s="681"/>
      <c r="R281" s="681"/>
      <c r="S281" s="681"/>
      <c r="T281" s="681"/>
      <c r="U281" s="681"/>
      <c r="V281" s="681"/>
    </row>
    <row r="282" spans="1:22">
      <c r="A282" s="781"/>
      <c r="B282" s="782"/>
      <c r="C282" s="783"/>
      <c r="D282" s="783"/>
      <c r="E282" s="804"/>
      <c r="F282" s="799"/>
      <c r="G282" s="799"/>
      <c r="H282" s="797"/>
      <c r="I282" s="855"/>
      <c r="J282" s="856"/>
      <c r="K282" s="857"/>
      <c r="L282" s="681"/>
      <c r="M282" s="681"/>
      <c r="N282" s="681"/>
      <c r="O282" s="681"/>
      <c r="P282" s="681"/>
      <c r="Q282" s="681"/>
      <c r="R282" s="681"/>
      <c r="S282" s="681"/>
      <c r="T282" s="681"/>
      <c r="U282" s="681"/>
      <c r="V282" s="681"/>
    </row>
    <row r="283" spans="1:22">
      <c r="A283" s="781"/>
      <c r="B283" s="782"/>
      <c r="C283" s="783"/>
      <c r="D283" s="785"/>
      <c r="E283" s="804"/>
      <c r="F283" s="799"/>
      <c r="G283" s="799"/>
      <c r="H283" s="797"/>
      <c r="I283" s="855"/>
      <c r="J283" s="856"/>
      <c r="K283" s="857"/>
      <c r="L283" s="681"/>
      <c r="M283" s="681"/>
      <c r="N283" s="681"/>
      <c r="O283" s="681"/>
      <c r="P283" s="681"/>
      <c r="Q283" s="681"/>
      <c r="R283" s="681"/>
      <c r="S283" s="681"/>
      <c r="T283" s="681"/>
      <c r="U283" s="681"/>
      <c r="V283" s="681"/>
    </row>
    <row r="284" spans="1:22">
      <c r="A284" s="781"/>
      <c r="B284" s="782"/>
      <c r="C284" s="783"/>
      <c r="D284" s="783"/>
      <c r="E284" s="804"/>
      <c r="F284" s="799"/>
      <c r="G284" s="799"/>
      <c r="H284" s="797"/>
      <c r="I284" s="855"/>
      <c r="J284" s="856"/>
      <c r="K284" s="857"/>
      <c r="L284" s="681"/>
      <c r="M284" s="681"/>
      <c r="N284" s="681"/>
      <c r="O284" s="681"/>
      <c r="P284" s="681"/>
      <c r="Q284" s="681"/>
      <c r="R284" s="681"/>
      <c r="S284" s="681"/>
      <c r="T284" s="681"/>
      <c r="U284" s="681"/>
      <c r="V284" s="681"/>
    </row>
    <row r="285" spans="1:22">
      <c r="A285" s="781"/>
      <c r="B285" s="782"/>
      <c r="C285" s="783"/>
      <c r="D285" s="783"/>
      <c r="E285" s="804"/>
      <c r="F285" s="799"/>
      <c r="G285" s="799"/>
      <c r="H285" s="797"/>
      <c r="I285" s="855"/>
      <c r="J285" s="856"/>
      <c r="K285" s="857"/>
      <c r="L285" s="681"/>
      <c r="M285" s="681"/>
      <c r="N285" s="681"/>
      <c r="O285" s="681"/>
      <c r="P285" s="681"/>
      <c r="Q285" s="681"/>
      <c r="R285" s="681"/>
      <c r="S285" s="681"/>
      <c r="T285" s="681"/>
      <c r="U285" s="681"/>
      <c r="V285" s="681"/>
    </row>
    <row r="286" spans="1:22">
      <c r="A286" s="781"/>
      <c r="B286" s="782"/>
      <c r="C286" s="783"/>
      <c r="D286" s="783"/>
      <c r="E286" s="804"/>
      <c r="F286" s="799"/>
      <c r="G286" s="799"/>
      <c r="H286" s="797"/>
      <c r="I286" s="855"/>
      <c r="J286" s="856"/>
      <c r="K286" s="857"/>
      <c r="L286" s="681"/>
      <c r="M286" s="681"/>
      <c r="N286" s="681"/>
      <c r="O286" s="681"/>
      <c r="P286" s="681"/>
      <c r="Q286" s="681"/>
      <c r="R286" s="681"/>
      <c r="S286" s="681"/>
      <c r="T286" s="681"/>
      <c r="U286" s="681"/>
      <c r="V286" s="681"/>
    </row>
    <row r="287" spans="1:22">
      <c r="A287" s="781"/>
      <c r="B287" s="782"/>
      <c r="C287" s="783"/>
      <c r="D287" s="783"/>
      <c r="E287" s="804"/>
      <c r="F287" s="799"/>
      <c r="G287" s="799"/>
      <c r="H287" s="797"/>
      <c r="I287" s="855"/>
      <c r="J287" s="856"/>
      <c r="K287" s="857"/>
      <c r="L287" s="681"/>
      <c r="M287" s="681"/>
      <c r="N287" s="681"/>
      <c r="O287" s="681"/>
      <c r="P287" s="681"/>
      <c r="Q287" s="681"/>
      <c r="R287" s="681"/>
      <c r="S287" s="681"/>
      <c r="T287" s="681"/>
      <c r="U287" s="681"/>
      <c r="V287" s="681"/>
    </row>
    <row r="288" spans="1:22">
      <c r="A288" s="781"/>
      <c r="B288" s="782"/>
      <c r="C288" s="783"/>
      <c r="D288" s="783"/>
      <c r="E288" s="804"/>
      <c r="F288" s="799"/>
      <c r="G288" s="799"/>
      <c r="H288" s="797"/>
      <c r="I288" s="855"/>
      <c r="J288" s="856"/>
      <c r="K288" s="857"/>
      <c r="L288" s="681"/>
      <c r="M288" s="681"/>
      <c r="N288" s="681"/>
      <c r="O288" s="681"/>
      <c r="P288" s="681"/>
      <c r="Q288" s="681"/>
      <c r="R288" s="681"/>
      <c r="S288" s="681"/>
      <c r="T288" s="681"/>
      <c r="U288" s="681"/>
      <c r="V288" s="681"/>
    </row>
    <row r="289" spans="1:22">
      <c r="A289" s="781"/>
      <c r="B289" s="782"/>
      <c r="C289" s="783"/>
      <c r="D289" s="786"/>
      <c r="E289" s="807"/>
      <c r="F289" s="798"/>
      <c r="G289" s="798"/>
      <c r="H289" s="797"/>
      <c r="I289" s="855"/>
      <c r="J289" s="856"/>
      <c r="K289" s="857"/>
      <c r="L289" s="681"/>
      <c r="M289" s="681"/>
      <c r="N289" s="681"/>
      <c r="O289" s="681"/>
      <c r="P289" s="681"/>
      <c r="Q289" s="681"/>
      <c r="R289" s="681"/>
      <c r="S289" s="681"/>
      <c r="T289" s="681"/>
      <c r="U289" s="681"/>
      <c r="V289" s="681"/>
    </row>
    <row r="290" spans="1:22">
      <c r="A290" s="781"/>
      <c r="B290" s="782"/>
      <c r="C290" s="783"/>
      <c r="D290" s="784"/>
      <c r="E290" s="807"/>
      <c r="F290" s="798"/>
      <c r="G290" s="798"/>
      <c r="H290" s="797"/>
      <c r="I290" s="855"/>
      <c r="J290" s="856"/>
      <c r="K290" s="857"/>
      <c r="L290" s="681"/>
      <c r="M290" s="681"/>
      <c r="N290" s="681"/>
      <c r="O290" s="681"/>
      <c r="P290" s="681"/>
      <c r="Q290" s="681"/>
      <c r="R290" s="681"/>
      <c r="S290" s="681"/>
      <c r="T290" s="681"/>
      <c r="U290" s="681"/>
      <c r="V290" s="681"/>
    </row>
    <row r="291" spans="1:22">
      <c r="A291" s="781"/>
      <c r="B291" s="782"/>
      <c r="C291" s="783"/>
      <c r="D291" s="783"/>
      <c r="E291" s="808"/>
      <c r="F291" s="799"/>
      <c r="G291" s="799"/>
      <c r="H291" s="797"/>
      <c r="I291" s="855"/>
      <c r="J291" s="856"/>
      <c r="K291" s="857"/>
      <c r="L291" s="681"/>
      <c r="M291" s="681"/>
      <c r="N291" s="681"/>
      <c r="O291" s="681"/>
      <c r="P291" s="681"/>
      <c r="Q291" s="681"/>
      <c r="R291" s="681"/>
      <c r="S291" s="681"/>
      <c r="T291" s="681"/>
      <c r="U291" s="681"/>
      <c r="V291" s="681"/>
    </row>
    <row r="292" spans="1:22">
      <c r="A292" s="781"/>
      <c r="B292" s="782"/>
      <c r="C292" s="783"/>
      <c r="D292" s="783"/>
      <c r="E292" s="808"/>
      <c r="F292" s="799"/>
      <c r="G292" s="799"/>
      <c r="H292" s="797"/>
      <c r="I292" s="855"/>
      <c r="J292" s="856"/>
      <c r="K292" s="857"/>
      <c r="L292" s="681"/>
      <c r="M292" s="681"/>
      <c r="N292" s="681"/>
      <c r="O292" s="681"/>
      <c r="P292" s="681"/>
      <c r="Q292" s="681"/>
      <c r="R292" s="681"/>
      <c r="S292" s="681"/>
      <c r="T292" s="681"/>
      <c r="U292" s="681"/>
      <c r="V292" s="681"/>
    </row>
    <row r="293" spans="1:22">
      <c r="A293" s="781"/>
      <c r="B293" s="782"/>
      <c r="C293" s="783"/>
      <c r="D293" s="783"/>
      <c r="E293" s="808"/>
      <c r="F293" s="799"/>
      <c r="G293" s="799"/>
      <c r="H293" s="797"/>
      <c r="I293" s="855"/>
      <c r="J293" s="856"/>
      <c r="K293" s="857"/>
      <c r="L293" s="681"/>
      <c r="M293" s="681"/>
      <c r="N293" s="681"/>
      <c r="O293" s="681"/>
      <c r="P293" s="681"/>
      <c r="Q293" s="681"/>
      <c r="R293" s="681"/>
      <c r="S293" s="681"/>
      <c r="T293" s="681"/>
      <c r="U293" s="681"/>
      <c r="V293" s="681"/>
    </row>
    <row r="294" spans="1:22">
      <c r="A294" s="781"/>
      <c r="B294" s="782"/>
      <c r="C294" s="783"/>
      <c r="D294" s="783"/>
      <c r="E294" s="808"/>
      <c r="F294" s="799"/>
      <c r="G294" s="799"/>
      <c r="H294" s="797"/>
      <c r="I294" s="855"/>
      <c r="J294" s="856"/>
      <c r="K294" s="857"/>
      <c r="L294" s="681"/>
      <c r="M294" s="681"/>
      <c r="N294" s="681"/>
      <c r="O294" s="681"/>
      <c r="P294" s="681"/>
      <c r="Q294" s="681"/>
      <c r="R294" s="681"/>
      <c r="S294" s="681"/>
      <c r="T294" s="681"/>
      <c r="U294" s="681"/>
      <c r="V294" s="681"/>
    </row>
    <row r="295" spans="1:22">
      <c r="A295" s="781"/>
      <c r="B295" s="782"/>
      <c r="C295" s="783"/>
      <c r="D295" s="783"/>
      <c r="E295" s="808"/>
      <c r="F295" s="799"/>
      <c r="G295" s="799"/>
      <c r="H295" s="797"/>
      <c r="I295" s="855"/>
      <c r="J295" s="856"/>
      <c r="K295" s="857"/>
      <c r="L295" s="681"/>
      <c r="M295" s="681"/>
      <c r="N295" s="681"/>
      <c r="O295" s="681"/>
      <c r="P295" s="681"/>
      <c r="Q295" s="681"/>
      <c r="R295" s="681"/>
      <c r="S295" s="681"/>
      <c r="T295" s="681"/>
      <c r="U295" s="681"/>
      <c r="V295" s="681"/>
    </row>
    <row r="296" spans="1:22">
      <c r="A296" s="781"/>
      <c r="B296" s="782"/>
      <c r="C296" s="783"/>
      <c r="D296" s="783"/>
      <c r="E296" s="808"/>
      <c r="F296" s="799"/>
      <c r="G296" s="799"/>
      <c r="H296" s="797"/>
      <c r="I296" s="855"/>
      <c r="J296" s="856"/>
      <c r="K296" s="857"/>
      <c r="L296" s="681"/>
      <c r="M296" s="681"/>
      <c r="N296" s="681"/>
      <c r="O296" s="681"/>
      <c r="P296" s="681"/>
      <c r="Q296" s="681"/>
      <c r="R296" s="681"/>
      <c r="S296" s="681"/>
      <c r="T296" s="681"/>
      <c r="U296" s="681"/>
      <c r="V296" s="681"/>
    </row>
    <row r="297" spans="1:22">
      <c r="A297" s="781"/>
      <c r="B297" s="782"/>
      <c r="C297" s="783"/>
      <c r="D297" s="783"/>
      <c r="E297" s="808"/>
      <c r="F297" s="799"/>
      <c r="G297" s="799"/>
      <c r="H297" s="797"/>
      <c r="I297" s="855"/>
      <c r="J297" s="856"/>
      <c r="K297" s="857"/>
      <c r="L297" s="681"/>
      <c r="M297" s="681"/>
      <c r="N297" s="681"/>
      <c r="O297" s="681"/>
      <c r="P297" s="681"/>
      <c r="Q297" s="681"/>
      <c r="R297" s="681"/>
      <c r="S297" s="681"/>
      <c r="T297" s="681"/>
      <c r="U297" s="681"/>
      <c r="V297" s="681"/>
    </row>
    <row r="298" spans="1:22">
      <c r="A298" s="781"/>
      <c r="B298" s="782"/>
      <c r="C298" s="783"/>
      <c r="D298" s="783"/>
      <c r="E298" s="808"/>
      <c r="F298" s="799"/>
      <c r="G298" s="799"/>
      <c r="H298" s="797"/>
      <c r="I298" s="855"/>
      <c r="J298" s="856"/>
      <c r="K298" s="857"/>
      <c r="L298" s="681"/>
      <c r="M298" s="681"/>
      <c r="N298" s="681"/>
      <c r="O298" s="681"/>
      <c r="P298" s="681"/>
      <c r="Q298" s="681"/>
      <c r="R298" s="681"/>
      <c r="S298" s="681"/>
      <c r="T298" s="681"/>
      <c r="U298" s="681"/>
      <c r="V298" s="681"/>
    </row>
    <row r="299" spans="1:22">
      <c r="A299" s="781"/>
      <c r="B299" s="782"/>
      <c r="C299" s="783"/>
      <c r="D299" s="783"/>
      <c r="E299" s="808"/>
      <c r="F299" s="799"/>
      <c r="G299" s="799"/>
      <c r="H299" s="797"/>
      <c r="I299" s="855"/>
      <c r="J299" s="856"/>
      <c r="K299" s="857"/>
      <c r="L299" s="681"/>
      <c r="M299" s="681"/>
      <c r="N299" s="681"/>
      <c r="O299" s="681"/>
      <c r="P299" s="681"/>
      <c r="Q299" s="681"/>
      <c r="R299" s="681"/>
      <c r="S299" s="681"/>
      <c r="T299" s="681"/>
      <c r="U299" s="681"/>
      <c r="V299" s="681"/>
    </row>
    <row r="300" spans="1:22">
      <c r="A300" s="781"/>
      <c r="B300" s="782"/>
      <c r="C300" s="783"/>
      <c r="D300" s="786"/>
      <c r="E300" s="807"/>
      <c r="F300" s="798"/>
      <c r="G300" s="798"/>
      <c r="H300" s="797"/>
      <c r="I300" s="855"/>
      <c r="J300" s="856"/>
      <c r="K300" s="857"/>
      <c r="L300" s="681"/>
      <c r="M300" s="681"/>
      <c r="N300" s="681"/>
      <c r="O300" s="681"/>
      <c r="P300" s="681"/>
      <c r="Q300" s="681"/>
      <c r="R300" s="681"/>
      <c r="S300" s="681"/>
      <c r="T300" s="681"/>
      <c r="U300" s="681"/>
      <c r="V300" s="681"/>
    </row>
    <row r="301" spans="1:22">
      <c r="A301" s="781"/>
      <c r="B301" s="782"/>
      <c r="C301" s="783"/>
      <c r="D301" s="783"/>
      <c r="E301" s="808"/>
      <c r="F301" s="799"/>
      <c r="G301" s="799"/>
      <c r="H301" s="797"/>
      <c r="I301" s="855"/>
      <c r="J301" s="856"/>
      <c r="K301" s="857"/>
      <c r="L301" s="681"/>
      <c r="M301" s="681"/>
      <c r="N301" s="681"/>
      <c r="O301" s="681"/>
      <c r="P301" s="681"/>
      <c r="Q301" s="681"/>
      <c r="R301" s="681"/>
      <c r="S301" s="681"/>
      <c r="T301" s="681"/>
      <c r="U301" s="681"/>
      <c r="V301" s="681"/>
    </row>
    <row r="302" spans="1:22">
      <c r="A302" s="781"/>
      <c r="B302" s="782"/>
      <c r="C302" s="783"/>
      <c r="D302" s="783"/>
      <c r="E302" s="808"/>
      <c r="F302" s="799"/>
      <c r="G302" s="799"/>
      <c r="H302" s="797"/>
      <c r="I302" s="855"/>
      <c r="J302" s="856"/>
      <c r="K302" s="857"/>
      <c r="L302" s="681"/>
      <c r="M302" s="681"/>
      <c r="N302" s="681"/>
      <c r="O302" s="681"/>
      <c r="P302" s="681"/>
      <c r="Q302" s="681"/>
      <c r="R302" s="681"/>
      <c r="S302" s="681"/>
      <c r="T302" s="681"/>
      <c r="U302" s="681"/>
      <c r="V302" s="681"/>
    </row>
    <row r="303" spans="1:22">
      <c r="A303" s="781"/>
      <c r="B303" s="782"/>
      <c r="C303" s="783"/>
      <c r="D303" s="783"/>
      <c r="E303" s="808"/>
      <c r="F303" s="799"/>
      <c r="G303" s="799"/>
      <c r="H303" s="797"/>
      <c r="I303" s="855"/>
      <c r="J303" s="856"/>
      <c r="K303" s="857"/>
      <c r="L303" s="681"/>
      <c r="M303" s="681"/>
      <c r="N303" s="681"/>
      <c r="O303" s="681"/>
      <c r="P303" s="681"/>
      <c r="Q303" s="681"/>
      <c r="R303" s="681"/>
      <c r="S303" s="681"/>
      <c r="T303" s="681"/>
      <c r="U303" s="681"/>
      <c r="V303" s="681"/>
    </row>
    <row r="304" spans="1:22">
      <c r="A304" s="781"/>
      <c r="B304" s="782"/>
      <c r="C304" s="783"/>
      <c r="D304" s="783"/>
      <c r="E304" s="808"/>
      <c r="F304" s="799"/>
      <c r="G304" s="799"/>
      <c r="H304" s="797"/>
      <c r="I304" s="855"/>
      <c r="J304" s="856"/>
      <c r="K304" s="857"/>
      <c r="L304" s="681"/>
      <c r="M304" s="681"/>
      <c r="N304" s="681"/>
      <c r="O304" s="681"/>
      <c r="P304" s="681"/>
      <c r="Q304" s="681"/>
      <c r="R304" s="681"/>
      <c r="S304" s="681"/>
      <c r="T304" s="681"/>
      <c r="U304" s="681"/>
      <c r="V304" s="681"/>
    </row>
    <row r="305" spans="1:22">
      <c r="A305" s="781"/>
      <c r="B305" s="782"/>
      <c r="C305" s="783"/>
      <c r="D305" s="783"/>
      <c r="E305" s="808"/>
      <c r="F305" s="799"/>
      <c r="G305" s="799"/>
      <c r="H305" s="797"/>
      <c r="I305" s="855"/>
      <c r="J305" s="856"/>
      <c r="K305" s="857"/>
      <c r="L305" s="681"/>
      <c r="M305" s="681"/>
      <c r="N305" s="681"/>
      <c r="O305" s="681"/>
      <c r="P305" s="681"/>
      <c r="Q305" s="681"/>
      <c r="R305" s="681"/>
      <c r="S305" s="681"/>
      <c r="T305" s="681"/>
      <c r="U305" s="681"/>
      <c r="V305" s="681"/>
    </row>
    <row r="306" spans="1:22">
      <c r="A306" s="781"/>
      <c r="B306" s="782"/>
      <c r="C306" s="783"/>
      <c r="D306" s="783"/>
      <c r="E306" s="808"/>
      <c r="F306" s="799"/>
      <c r="G306" s="799"/>
      <c r="H306" s="797"/>
      <c r="I306" s="855"/>
      <c r="J306" s="856"/>
      <c r="K306" s="857"/>
      <c r="L306" s="681"/>
      <c r="M306" s="681"/>
      <c r="N306" s="681"/>
      <c r="O306" s="681"/>
      <c r="P306" s="681"/>
      <c r="Q306" s="681"/>
      <c r="R306" s="681"/>
      <c r="S306" s="681"/>
      <c r="T306" s="681"/>
      <c r="U306" s="681"/>
      <c r="V306" s="681"/>
    </row>
    <row r="307" spans="1:22">
      <c r="A307" s="781"/>
      <c r="B307" s="782"/>
      <c r="C307" s="783"/>
      <c r="D307" s="783"/>
      <c r="E307" s="808"/>
      <c r="F307" s="799"/>
      <c r="G307" s="799"/>
      <c r="H307" s="797"/>
      <c r="I307" s="855"/>
      <c r="J307" s="856"/>
      <c r="K307" s="857"/>
      <c r="L307" s="681"/>
      <c r="M307" s="681"/>
      <c r="N307" s="681"/>
      <c r="O307" s="681"/>
      <c r="P307" s="681"/>
      <c r="Q307" s="681"/>
      <c r="R307" s="681"/>
      <c r="S307" s="681"/>
      <c r="T307" s="681"/>
      <c r="U307" s="681"/>
      <c r="V307" s="681"/>
    </row>
    <row r="308" spans="1:22">
      <c r="A308" s="781"/>
      <c r="B308" s="782"/>
      <c r="C308" s="783"/>
      <c r="D308" s="783"/>
      <c r="E308" s="808"/>
      <c r="F308" s="799"/>
      <c r="G308" s="799"/>
      <c r="H308" s="797"/>
      <c r="I308" s="855"/>
      <c r="J308" s="856"/>
      <c r="K308" s="857"/>
      <c r="L308" s="681"/>
      <c r="M308" s="681"/>
      <c r="N308" s="681"/>
      <c r="O308" s="681"/>
      <c r="P308" s="681"/>
      <c r="Q308" s="681"/>
      <c r="R308" s="681"/>
      <c r="S308" s="681"/>
      <c r="T308" s="681"/>
      <c r="U308" s="681"/>
      <c r="V308" s="681"/>
    </row>
    <row r="309" spans="1:22">
      <c r="A309" s="781"/>
      <c r="B309" s="782"/>
      <c r="C309" s="783"/>
      <c r="D309" s="783"/>
      <c r="E309" s="808"/>
      <c r="F309" s="799"/>
      <c r="G309" s="799"/>
      <c r="H309" s="797"/>
      <c r="I309" s="855"/>
      <c r="J309" s="856"/>
      <c r="K309" s="857"/>
      <c r="L309" s="681"/>
      <c r="M309" s="681"/>
      <c r="N309" s="681"/>
      <c r="O309" s="681"/>
      <c r="P309" s="681"/>
      <c r="Q309" s="681"/>
      <c r="R309" s="681"/>
      <c r="S309" s="681"/>
      <c r="T309" s="681"/>
      <c r="U309" s="681"/>
      <c r="V309" s="681"/>
    </row>
    <row r="310" spans="1:22">
      <c r="A310" s="781"/>
      <c r="B310" s="782"/>
      <c r="C310" s="783"/>
      <c r="D310" s="786"/>
      <c r="E310" s="807"/>
      <c r="F310" s="798"/>
      <c r="G310" s="798"/>
      <c r="H310" s="797"/>
      <c r="I310" s="855"/>
      <c r="J310" s="856"/>
      <c r="K310" s="857"/>
      <c r="L310" s="681"/>
      <c r="M310" s="681"/>
      <c r="N310" s="681"/>
      <c r="O310" s="681"/>
      <c r="P310" s="681"/>
      <c r="Q310" s="681"/>
      <c r="R310" s="681"/>
      <c r="S310" s="681"/>
      <c r="T310" s="681"/>
      <c r="U310" s="681"/>
      <c r="V310" s="681"/>
    </row>
    <row r="311" spans="1:22">
      <c r="A311" s="781"/>
      <c r="B311" s="782"/>
      <c r="C311" s="783"/>
      <c r="D311" s="783"/>
      <c r="E311" s="808"/>
      <c r="F311" s="799"/>
      <c r="G311" s="799"/>
      <c r="H311" s="797"/>
      <c r="I311" s="855"/>
      <c r="J311" s="856"/>
      <c r="K311" s="857"/>
      <c r="L311" s="681"/>
      <c r="M311" s="681"/>
      <c r="N311" s="681"/>
      <c r="O311" s="681"/>
      <c r="P311" s="681"/>
      <c r="Q311" s="681"/>
      <c r="R311" s="681"/>
      <c r="S311" s="681"/>
      <c r="T311" s="681"/>
      <c r="U311" s="681"/>
      <c r="V311" s="681"/>
    </row>
    <row r="312" spans="1:22">
      <c r="A312" s="781"/>
      <c r="B312" s="782"/>
      <c r="C312" s="783"/>
      <c r="D312" s="786"/>
      <c r="E312" s="807"/>
      <c r="F312" s="798"/>
      <c r="G312" s="798"/>
      <c r="H312" s="797"/>
      <c r="I312" s="855"/>
      <c r="J312" s="856"/>
      <c r="K312" s="857"/>
      <c r="L312" s="681"/>
      <c r="M312" s="681"/>
      <c r="N312" s="681"/>
      <c r="O312" s="681"/>
      <c r="P312" s="681"/>
      <c r="Q312" s="681"/>
      <c r="R312" s="681"/>
      <c r="S312" s="681"/>
      <c r="T312" s="681"/>
      <c r="U312" s="681"/>
      <c r="V312" s="681"/>
    </row>
    <row r="313" spans="1:22">
      <c r="A313" s="781"/>
      <c r="B313" s="782"/>
      <c r="C313" s="783"/>
      <c r="D313" s="784"/>
      <c r="E313" s="807"/>
      <c r="F313" s="798"/>
      <c r="G313" s="798"/>
      <c r="H313" s="797"/>
      <c r="I313" s="855"/>
      <c r="J313" s="856"/>
      <c r="K313" s="857"/>
      <c r="L313" s="681"/>
      <c r="M313" s="681"/>
      <c r="N313" s="681"/>
      <c r="O313" s="681"/>
      <c r="P313" s="681"/>
      <c r="Q313" s="681"/>
      <c r="R313" s="681"/>
      <c r="S313" s="681"/>
      <c r="T313" s="681"/>
      <c r="U313" s="681"/>
      <c r="V313" s="681"/>
    </row>
    <row r="314" spans="1:22">
      <c r="A314" s="781"/>
      <c r="B314" s="782"/>
      <c r="C314" s="783"/>
      <c r="D314" s="784"/>
      <c r="E314" s="807"/>
      <c r="F314" s="798"/>
      <c r="G314" s="798"/>
      <c r="H314" s="797"/>
      <c r="I314" s="855"/>
      <c r="J314" s="856"/>
      <c r="K314" s="857"/>
      <c r="L314" s="681"/>
      <c r="M314" s="681"/>
      <c r="N314" s="681"/>
      <c r="O314" s="681"/>
      <c r="P314" s="681"/>
      <c r="Q314" s="681"/>
      <c r="R314" s="681"/>
      <c r="S314" s="681"/>
      <c r="T314" s="681"/>
      <c r="U314" s="681"/>
      <c r="V314" s="681"/>
    </row>
    <row r="315" spans="1:22">
      <c r="A315" s="781"/>
      <c r="B315" s="782"/>
      <c r="C315" s="783"/>
      <c r="D315" s="784"/>
      <c r="E315" s="807"/>
      <c r="F315" s="798"/>
      <c r="G315" s="798"/>
      <c r="H315" s="797"/>
      <c r="I315" s="855"/>
      <c r="J315" s="856"/>
      <c r="K315" s="857"/>
      <c r="L315" s="681"/>
      <c r="M315" s="681"/>
      <c r="N315" s="681"/>
      <c r="O315" s="681"/>
      <c r="P315" s="681"/>
      <c r="Q315" s="681"/>
      <c r="R315" s="681"/>
      <c r="S315" s="681"/>
      <c r="T315" s="681"/>
      <c r="U315" s="681"/>
      <c r="V315" s="681"/>
    </row>
    <row r="316" spans="1:22">
      <c r="A316" s="781"/>
      <c r="B316" s="782"/>
      <c r="C316" s="783"/>
      <c r="D316" s="783"/>
      <c r="E316" s="808"/>
      <c r="F316" s="799"/>
      <c r="G316" s="799"/>
      <c r="H316" s="797"/>
      <c r="I316" s="754"/>
      <c r="J316" s="753"/>
      <c r="K316" s="752"/>
      <c r="U316" s="681"/>
      <c r="V316" s="681"/>
    </row>
    <row r="317" spans="1:22">
      <c r="A317" s="781"/>
      <c r="B317" s="782"/>
      <c r="C317" s="783"/>
      <c r="D317" s="783"/>
      <c r="E317" s="808"/>
      <c r="F317" s="799"/>
      <c r="G317" s="799"/>
      <c r="H317" s="797"/>
      <c r="I317" s="754"/>
      <c r="J317" s="753"/>
      <c r="K317" s="752"/>
      <c r="U317" s="681"/>
      <c r="V317" s="681"/>
    </row>
    <row r="318" spans="1:22">
      <c r="A318" s="781"/>
      <c r="B318" s="782"/>
      <c r="C318" s="783"/>
      <c r="D318" s="783"/>
      <c r="E318" s="808"/>
      <c r="F318" s="799"/>
      <c r="G318" s="799"/>
      <c r="H318" s="797"/>
      <c r="I318" s="754"/>
      <c r="J318" s="753"/>
      <c r="K318" s="752"/>
      <c r="U318" s="681"/>
      <c r="V318" s="681"/>
    </row>
    <row r="319" spans="1:22">
      <c r="A319" s="781"/>
      <c r="B319" s="782"/>
      <c r="C319" s="783"/>
      <c r="D319" s="783"/>
      <c r="E319" s="808"/>
      <c r="F319" s="799"/>
      <c r="G319" s="799"/>
      <c r="H319" s="797"/>
      <c r="I319" s="754"/>
      <c r="J319" s="753"/>
      <c r="K319" s="752"/>
      <c r="U319" s="681"/>
      <c r="V319" s="681"/>
    </row>
    <row r="320" spans="1:22">
      <c r="A320" s="781"/>
      <c r="B320" s="782"/>
      <c r="C320" s="783"/>
      <c r="D320" s="783"/>
      <c r="E320" s="808"/>
      <c r="F320" s="799"/>
      <c r="G320" s="799"/>
      <c r="H320" s="797"/>
      <c r="I320" s="754"/>
      <c r="J320" s="753"/>
      <c r="K320" s="752"/>
      <c r="U320" s="681"/>
      <c r="V320" s="681"/>
    </row>
    <row r="321" spans="1:22">
      <c r="A321" s="781"/>
      <c r="B321" s="782"/>
      <c r="C321" s="783"/>
      <c r="D321" s="783"/>
      <c r="E321" s="808"/>
      <c r="F321" s="799"/>
      <c r="G321" s="799"/>
      <c r="H321" s="797"/>
      <c r="I321" s="754"/>
      <c r="J321" s="753"/>
      <c r="K321" s="752"/>
      <c r="U321" s="681"/>
      <c r="V321" s="681"/>
    </row>
    <row r="322" spans="1:22">
      <c r="A322" s="781"/>
      <c r="B322" s="782"/>
      <c r="C322" s="783"/>
      <c r="D322" s="783"/>
      <c r="E322" s="808"/>
      <c r="F322" s="799"/>
      <c r="G322" s="799"/>
      <c r="H322" s="797"/>
      <c r="I322" s="754"/>
      <c r="J322" s="753"/>
      <c r="K322" s="752"/>
      <c r="U322" s="681"/>
      <c r="V322" s="681"/>
    </row>
    <row r="323" spans="1:22">
      <c r="A323" s="781"/>
      <c r="B323" s="782"/>
      <c r="C323" s="783"/>
      <c r="D323" s="783"/>
      <c r="E323" s="808"/>
      <c r="F323" s="799"/>
      <c r="G323" s="799"/>
      <c r="H323" s="797"/>
      <c r="I323" s="754"/>
      <c r="J323" s="753"/>
      <c r="K323" s="752"/>
      <c r="U323" s="681"/>
      <c r="V323" s="681"/>
    </row>
    <row r="324" spans="1:22">
      <c r="A324" s="781"/>
      <c r="B324" s="782"/>
      <c r="C324" s="783"/>
      <c r="D324" s="783"/>
      <c r="E324" s="808"/>
      <c r="F324" s="799"/>
      <c r="G324" s="799"/>
      <c r="H324" s="797"/>
      <c r="I324" s="754"/>
      <c r="J324" s="753"/>
      <c r="K324" s="752"/>
      <c r="U324" s="681"/>
      <c r="V324" s="681"/>
    </row>
    <row r="325" spans="1:22">
      <c r="A325" s="781"/>
      <c r="B325" s="782"/>
      <c r="C325" s="783"/>
      <c r="D325" s="783"/>
      <c r="E325" s="808"/>
      <c r="F325" s="799"/>
      <c r="G325" s="799"/>
      <c r="H325" s="797"/>
      <c r="I325" s="754"/>
      <c r="J325" s="753"/>
      <c r="K325" s="752"/>
      <c r="U325" s="681"/>
      <c r="V325" s="681"/>
    </row>
    <row r="326" spans="1:22">
      <c r="A326" s="781"/>
      <c r="B326" s="782"/>
      <c r="C326" s="783"/>
      <c r="D326" s="783"/>
      <c r="E326" s="808"/>
      <c r="F326" s="799"/>
      <c r="G326" s="799"/>
      <c r="H326" s="797"/>
      <c r="I326" s="754"/>
      <c r="J326" s="753"/>
      <c r="K326" s="752"/>
      <c r="U326" s="681"/>
      <c r="V326" s="681"/>
    </row>
    <row r="327" spans="1:22">
      <c r="A327" s="781"/>
      <c r="B327" s="782"/>
      <c r="C327" s="783"/>
      <c r="D327" s="783"/>
      <c r="E327" s="808"/>
      <c r="F327" s="799"/>
      <c r="G327" s="799"/>
      <c r="H327" s="797"/>
      <c r="I327" s="754"/>
      <c r="J327" s="753"/>
      <c r="K327" s="752"/>
      <c r="U327" s="681"/>
      <c r="V327" s="681"/>
    </row>
    <row r="328" spans="1:22">
      <c r="A328" s="781"/>
      <c r="B328" s="782"/>
      <c r="C328" s="783"/>
      <c r="D328" s="783"/>
      <c r="E328" s="808"/>
      <c r="F328" s="799"/>
      <c r="G328" s="799"/>
      <c r="H328" s="797"/>
      <c r="I328" s="754"/>
      <c r="J328" s="753"/>
      <c r="K328" s="752"/>
      <c r="U328" s="681"/>
      <c r="V328" s="681"/>
    </row>
    <row r="329" spans="1:22">
      <c r="A329" s="781"/>
      <c r="B329" s="782"/>
      <c r="C329" s="783"/>
      <c r="D329" s="783"/>
      <c r="E329" s="808"/>
      <c r="F329" s="799"/>
      <c r="G329" s="799"/>
      <c r="H329" s="797"/>
      <c r="I329" s="754"/>
      <c r="J329" s="753"/>
      <c r="K329" s="752"/>
      <c r="U329" s="681"/>
      <c r="V329" s="681"/>
    </row>
    <row r="330" spans="1:22">
      <c r="A330" s="781"/>
      <c r="B330" s="782"/>
      <c r="C330" s="783"/>
      <c r="D330" s="783"/>
      <c r="E330" s="808"/>
      <c r="F330" s="799"/>
      <c r="G330" s="799"/>
      <c r="H330" s="797"/>
      <c r="I330" s="754"/>
      <c r="J330" s="753"/>
      <c r="K330" s="752"/>
      <c r="U330" s="681"/>
      <c r="V330" s="681"/>
    </row>
    <row r="331" spans="1:22">
      <c r="A331" s="781"/>
      <c r="B331" s="782"/>
      <c r="C331" s="783"/>
      <c r="D331" s="786"/>
      <c r="E331" s="807"/>
      <c r="F331" s="798"/>
      <c r="G331" s="798"/>
      <c r="H331" s="797"/>
      <c r="I331" s="754"/>
      <c r="J331" s="753"/>
      <c r="K331" s="752"/>
      <c r="U331" s="681"/>
      <c r="V331" s="681"/>
    </row>
    <row r="332" spans="1:22">
      <c r="A332" s="781"/>
      <c r="B332" s="782"/>
      <c r="C332" s="783"/>
      <c r="D332" s="784"/>
      <c r="E332" s="807"/>
      <c r="F332" s="798"/>
      <c r="G332" s="798"/>
      <c r="H332" s="797"/>
      <c r="I332" s="754"/>
      <c r="J332" s="753"/>
      <c r="K332" s="752"/>
      <c r="U332" s="681"/>
      <c r="V332" s="681"/>
    </row>
    <row r="333" spans="1:22">
      <c r="A333" s="781"/>
      <c r="B333" s="782"/>
      <c r="C333" s="783"/>
      <c r="D333" s="784"/>
      <c r="E333" s="807"/>
      <c r="F333" s="798"/>
      <c r="G333" s="798"/>
      <c r="H333" s="797"/>
      <c r="I333" s="754"/>
      <c r="J333" s="753"/>
      <c r="K333" s="752"/>
      <c r="U333" s="681"/>
      <c r="V333" s="681"/>
    </row>
    <row r="334" spans="1:22">
      <c r="A334" s="781"/>
      <c r="B334" s="782"/>
      <c r="C334" s="783"/>
      <c r="D334" s="784"/>
      <c r="E334" s="807"/>
      <c r="F334" s="798"/>
      <c r="G334" s="798"/>
      <c r="H334" s="797"/>
      <c r="I334" s="754"/>
      <c r="J334" s="753"/>
      <c r="K334" s="752"/>
      <c r="U334" s="681"/>
      <c r="V334" s="681"/>
    </row>
    <row r="335" spans="1:22">
      <c r="A335" s="781"/>
      <c r="B335" s="782"/>
      <c r="C335" s="783"/>
      <c r="D335" s="784"/>
      <c r="E335" s="807"/>
      <c r="F335" s="798"/>
      <c r="G335" s="798"/>
      <c r="H335" s="797"/>
      <c r="I335" s="754"/>
      <c r="J335" s="753"/>
      <c r="K335" s="752"/>
      <c r="U335" s="681"/>
      <c r="V335" s="681"/>
    </row>
    <row r="336" spans="1:22">
      <c r="A336" s="781"/>
      <c r="B336" s="782"/>
      <c r="C336" s="783"/>
      <c r="D336" s="784"/>
      <c r="E336" s="807"/>
      <c r="F336" s="798"/>
      <c r="G336" s="798"/>
      <c r="H336" s="797"/>
      <c r="I336" s="754"/>
      <c r="J336" s="753"/>
      <c r="K336" s="752"/>
      <c r="U336" s="681"/>
      <c r="V336" s="681"/>
    </row>
    <row r="337" spans="1:22">
      <c r="A337" s="781"/>
      <c r="B337" s="782"/>
      <c r="C337" s="783"/>
      <c r="D337" s="784"/>
      <c r="E337" s="807"/>
      <c r="F337" s="800"/>
      <c r="G337" s="800"/>
      <c r="H337" s="797"/>
      <c r="I337" s="754"/>
      <c r="J337" s="753"/>
      <c r="K337" s="752"/>
      <c r="U337" s="681"/>
      <c r="V337" s="681"/>
    </row>
    <row r="338" spans="1:22">
      <c r="A338" s="781"/>
      <c r="B338" s="782"/>
      <c r="C338" s="783"/>
      <c r="D338" s="783"/>
      <c r="E338" s="808"/>
      <c r="F338" s="799"/>
      <c r="G338" s="799"/>
      <c r="H338" s="797"/>
      <c r="I338" s="754"/>
      <c r="J338" s="753"/>
      <c r="K338" s="752"/>
      <c r="U338" s="681"/>
      <c r="V338" s="681"/>
    </row>
    <row r="339" spans="1:22">
      <c r="A339" s="781"/>
      <c r="B339" s="782"/>
      <c r="C339" s="783"/>
      <c r="D339" s="783"/>
      <c r="E339" s="808"/>
      <c r="F339" s="799"/>
      <c r="G339" s="799"/>
      <c r="H339" s="797"/>
      <c r="I339" s="754"/>
      <c r="J339" s="753"/>
      <c r="K339" s="752"/>
      <c r="U339" s="681"/>
      <c r="V339" s="681"/>
    </row>
    <row r="340" spans="1:22">
      <c r="A340" s="781"/>
      <c r="B340" s="782"/>
      <c r="C340" s="783"/>
      <c r="D340" s="783"/>
      <c r="E340" s="808"/>
      <c r="F340" s="799"/>
      <c r="G340" s="799"/>
      <c r="H340" s="797"/>
      <c r="I340" s="754"/>
      <c r="J340" s="753"/>
      <c r="K340" s="752"/>
      <c r="U340" s="681"/>
      <c r="V340" s="681"/>
    </row>
    <row r="341" spans="1:22">
      <c r="A341" s="781"/>
      <c r="B341" s="782"/>
      <c r="C341" s="783"/>
      <c r="D341" s="783"/>
      <c r="E341" s="808"/>
      <c r="F341" s="799"/>
      <c r="G341" s="799"/>
      <c r="H341" s="797"/>
      <c r="I341" s="754"/>
      <c r="J341" s="753"/>
      <c r="K341" s="752"/>
      <c r="U341" s="681"/>
      <c r="V341" s="681"/>
    </row>
    <row r="342" spans="1:22">
      <c r="A342" s="781"/>
      <c r="B342" s="782"/>
      <c r="C342" s="783"/>
      <c r="D342" s="783"/>
      <c r="E342" s="808"/>
      <c r="F342" s="799"/>
      <c r="G342" s="799"/>
      <c r="H342" s="797"/>
      <c r="I342" s="754"/>
      <c r="J342" s="753"/>
      <c r="K342" s="752"/>
      <c r="U342" s="681"/>
      <c r="V342" s="681"/>
    </row>
    <row r="343" spans="1:22">
      <c r="A343" s="781"/>
      <c r="B343" s="782"/>
      <c r="C343" s="783"/>
      <c r="D343" s="783"/>
      <c r="E343" s="808"/>
      <c r="F343" s="799"/>
      <c r="G343" s="799"/>
      <c r="H343" s="797"/>
      <c r="I343" s="754"/>
      <c r="J343" s="753"/>
      <c r="K343" s="752"/>
      <c r="U343" s="681"/>
      <c r="V343" s="681"/>
    </row>
    <row r="344" spans="1:22">
      <c r="A344" s="781"/>
      <c r="B344" s="782"/>
      <c r="C344" s="783"/>
      <c r="D344" s="783"/>
      <c r="E344" s="808"/>
      <c r="F344" s="799"/>
      <c r="G344" s="799"/>
      <c r="H344" s="797"/>
      <c r="I344" s="754"/>
      <c r="J344" s="753"/>
      <c r="K344" s="752"/>
      <c r="U344" s="681"/>
      <c r="V344" s="681"/>
    </row>
    <row r="345" spans="1:22">
      <c r="A345" s="781"/>
      <c r="B345" s="782"/>
      <c r="C345" s="783"/>
      <c r="D345" s="785"/>
      <c r="E345" s="808"/>
      <c r="F345" s="799"/>
      <c r="G345" s="799"/>
      <c r="H345" s="797"/>
      <c r="I345" s="754"/>
      <c r="J345" s="753"/>
      <c r="K345" s="752"/>
      <c r="U345" s="681"/>
      <c r="V345" s="681"/>
    </row>
    <row r="346" spans="1:22">
      <c r="A346" s="781"/>
      <c r="B346" s="782"/>
      <c r="C346" s="783"/>
      <c r="D346" s="783"/>
      <c r="E346" s="808"/>
      <c r="F346" s="799"/>
      <c r="G346" s="799"/>
      <c r="H346" s="797"/>
      <c r="I346" s="754"/>
      <c r="J346" s="753"/>
      <c r="K346" s="752"/>
      <c r="U346" s="681"/>
      <c r="V346" s="681"/>
    </row>
    <row r="347" spans="1:22">
      <c r="A347" s="781"/>
      <c r="B347" s="782"/>
      <c r="C347" s="783"/>
      <c r="D347" s="783"/>
      <c r="E347" s="808"/>
      <c r="F347" s="799"/>
      <c r="G347" s="799"/>
      <c r="H347" s="797"/>
      <c r="I347" s="754"/>
      <c r="J347" s="753"/>
      <c r="K347" s="752"/>
      <c r="U347" s="681"/>
      <c r="V347" s="681"/>
    </row>
    <row r="348" spans="1:22">
      <c r="A348" s="781"/>
      <c r="B348" s="782"/>
      <c r="C348" s="783"/>
      <c r="D348" s="783"/>
      <c r="E348" s="808"/>
      <c r="F348" s="799"/>
      <c r="G348" s="799"/>
      <c r="H348" s="797"/>
      <c r="I348" s="754"/>
      <c r="J348" s="753"/>
      <c r="K348" s="752"/>
      <c r="U348" s="681"/>
      <c r="V348" s="681"/>
    </row>
    <row r="349" spans="1:22">
      <c r="A349" s="781"/>
      <c r="B349" s="782"/>
      <c r="C349" s="783"/>
      <c r="D349" s="783"/>
      <c r="E349" s="808"/>
      <c r="F349" s="799"/>
      <c r="G349" s="799"/>
      <c r="H349" s="797"/>
      <c r="I349" s="754"/>
      <c r="J349" s="753"/>
      <c r="K349" s="752"/>
      <c r="U349" s="681"/>
      <c r="V349" s="681"/>
    </row>
    <row r="350" spans="1:22">
      <c r="A350" s="781"/>
      <c r="B350" s="782"/>
      <c r="C350" s="783"/>
      <c r="D350" s="783"/>
      <c r="E350" s="808"/>
      <c r="F350" s="799"/>
      <c r="G350" s="799"/>
      <c r="H350" s="797"/>
      <c r="I350" s="754"/>
      <c r="J350" s="753"/>
      <c r="K350" s="752"/>
      <c r="U350" s="681"/>
      <c r="V350" s="681"/>
    </row>
    <row r="351" spans="1:22">
      <c r="A351" s="781"/>
      <c r="B351" s="782"/>
      <c r="C351" s="783"/>
      <c r="D351" s="783"/>
      <c r="E351" s="808"/>
      <c r="F351" s="799"/>
      <c r="G351" s="799"/>
      <c r="H351" s="797"/>
      <c r="I351" s="754"/>
      <c r="J351" s="753"/>
      <c r="K351" s="752"/>
      <c r="U351" s="681"/>
      <c r="V351" s="681"/>
    </row>
    <row r="352" spans="1:22">
      <c r="A352" s="781"/>
      <c r="B352" s="782"/>
      <c r="C352" s="783"/>
      <c r="D352" s="783"/>
      <c r="E352" s="808"/>
      <c r="F352" s="799"/>
      <c r="G352" s="799"/>
      <c r="H352" s="797"/>
      <c r="I352" s="754"/>
      <c r="J352" s="753"/>
      <c r="K352" s="752"/>
      <c r="U352" s="681"/>
      <c r="V352" s="681"/>
    </row>
    <row r="353" spans="1:22">
      <c r="A353" s="781"/>
      <c r="B353" s="782"/>
      <c r="C353" s="783"/>
      <c r="D353" s="786"/>
      <c r="E353" s="807"/>
      <c r="F353" s="798"/>
      <c r="G353" s="798"/>
      <c r="H353" s="797"/>
      <c r="I353" s="754"/>
      <c r="J353" s="753"/>
      <c r="K353" s="752"/>
      <c r="U353" s="681"/>
      <c r="V353" s="681"/>
    </row>
    <row r="354" spans="1:22">
      <c r="A354" s="781"/>
      <c r="B354" s="782"/>
      <c r="C354" s="783"/>
      <c r="D354" s="784"/>
      <c r="E354" s="807"/>
      <c r="F354" s="798"/>
      <c r="G354" s="798"/>
      <c r="H354" s="797"/>
      <c r="I354" s="754"/>
      <c r="J354" s="753"/>
      <c r="K354" s="752"/>
      <c r="U354" s="681"/>
      <c r="V354" s="681"/>
    </row>
    <row r="355" spans="1:22">
      <c r="A355" s="781"/>
      <c r="B355" s="782"/>
      <c r="C355" s="783"/>
      <c r="D355" s="783"/>
      <c r="E355" s="808"/>
      <c r="F355" s="799"/>
      <c r="G355" s="799"/>
      <c r="H355" s="797"/>
      <c r="I355" s="754"/>
      <c r="J355" s="753"/>
      <c r="K355" s="752"/>
      <c r="U355" s="681"/>
      <c r="V355" s="681"/>
    </row>
    <row r="356" spans="1:22">
      <c r="A356" s="781"/>
      <c r="B356" s="782"/>
      <c r="C356" s="783"/>
      <c r="D356" s="783"/>
      <c r="E356" s="808"/>
      <c r="F356" s="799"/>
      <c r="G356" s="799"/>
      <c r="H356" s="797"/>
      <c r="I356" s="754"/>
      <c r="J356" s="753"/>
      <c r="K356" s="752"/>
      <c r="U356" s="681"/>
      <c r="V356" s="681"/>
    </row>
    <row r="357" spans="1:22">
      <c r="A357" s="781"/>
      <c r="B357" s="782"/>
      <c r="C357" s="783"/>
      <c r="D357" s="783"/>
      <c r="E357" s="808"/>
      <c r="F357" s="799"/>
      <c r="G357" s="799"/>
      <c r="H357" s="797"/>
      <c r="I357" s="754"/>
      <c r="J357" s="753"/>
      <c r="K357" s="752"/>
      <c r="U357" s="681"/>
      <c r="V357" s="681"/>
    </row>
    <row r="358" spans="1:22">
      <c r="A358" s="781"/>
      <c r="B358" s="782"/>
      <c r="C358" s="783"/>
      <c r="D358" s="783"/>
      <c r="E358" s="808"/>
      <c r="F358" s="799"/>
      <c r="G358" s="799"/>
      <c r="H358" s="797"/>
      <c r="I358" s="754"/>
      <c r="J358" s="753"/>
      <c r="K358" s="752"/>
      <c r="U358" s="681"/>
      <c r="V358" s="681"/>
    </row>
    <row r="359" spans="1:22">
      <c r="A359" s="781"/>
      <c r="B359" s="782"/>
      <c r="C359" s="783"/>
      <c r="D359" s="783"/>
      <c r="E359" s="808"/>
      <c r="F359" s="799"/>
      <c r="G359" s="799"/>
      <c r="H359" s="797"/>
      <c r="I359" s="754"/>
      <c r="J359" s="753"/>
      <c r="K359" s="752"/>
      <c r="U359" s="681"/>
      <c r="V359" s="681"/>
    </row>
    <row r="360" spans="1:22">
      <c r="A360" s="781"/>
      <c r="B360" s="782"/>
      <c r="C360" s="783"/>
      <c r="D360" s="783"/>
      <c r="E360" s="808"/>
      <c r="F360" s="799"/>
      <c r="G360" s="799"/>
      <c r="H360" s="797"/>
      <c r="I360" s="754"/>
      <c r="J360" s="753"/>
      <c r="K360" s="752"/>
      <c r="U360" s="681"/>
      <c r="V360" s="681"/>
    </row>
    <row r="361" spans="1:22">
      <c r="A361" s="781"/>
      <c r="B361" s="782"/>
      <c r="C361" s="783"/>
      <c r="D361" s="783"/>
      <c r="E361" s="808"/>
      <c r="F361" s="799"/>
      <c r="G361" s="799"/>
      <c r="H361" s="797"/>
      <c r="I361" s="754"/>
      <c r="J361" s="753"/>
      <c r="K361" s="752"/>
      <c r="U361" s="681"/>
      <c r="V361" s="681"/>
    </row>
    <row r="362" spans="1:22">
      <c r="A362" s="781"/>
      <c r="B362" s="782"/>
      <c r="C362" s="783"/>
      <c r="D362" s="783"/>
      <c r="E362" s="808"/>
      <c r="F362" s="799"/>
      <c r="G362" s="799"/>
      <c r="H362" s="797"/>
      <c r="I362" s="754"/>
      <c r="J362" s="753"/>
      <c r="K362" s="752"/>
      <c r="U362" s="681"/>
      <c r="V362" s="681"/>
    </row>
    <row r="363" spans="1:22">
      <c r="A363" s="781"/>
      <c r="B363" s="782"/>
      <c r="C363" s="783"/>
      <c r="D363" s="786"/>
      <c r="E363" s="807"/>
      <c r="F363" s="798"/>
      <c r="G363" s="798"/>
      <c r="H363" s="797"/>
      <c r="I363" s="754"/>
      <c r="J363" s="753"/>
      <c r="K363" s="752"/>
      <c r="U363" s="681"/>
      <c r="V363" s="681"/>
    </row>
    <row r="364" spans="1:22">
      <c r="A364" s="781"/>
      <c r="B364" s="782"/>
      <c r="C364" s="783"/>
      <c r="D364" s="783"/>
      <c r="E364" s="808"/>
      <c r="F364" s="799"/>
      <c r="G364" s="799"/>
      <c r="H364" s="797"/>
      <c r="I364" s="754"/>
      <c r="J364" s="753"/>
      <c r="K364" s="752"/>
      <c r="U364" s="681"/>
      <c r="V364" s="681"/>
    </row>
    <row r="365" spans="1:22">
      <c r="A365" s="781"/>
      <c r="B365" s="782"/>
      <c r="C365" s="783"/>
      <c r="D365" s="783"/>
      <c r="E365" s="808"/>
      <c r="F365" s="799"/>
      <c r="G365" s="799"/>
      <c r="H365" s="797"/>
      <c r="I365" s="754"/>
      <c r="J365" s="753"/>
      <c r="K365" s="752"/>
      <c r="U365" s="681"/>
      <c r="V365" s="681"/>
    </row>
    <row r="366" spans="1:22">
      <c r="A366" s="781"/>
      <c r="B366" s="782"/>
      <c r="C366" s="783"/>
      <c r="D366" s="783"/>
      <c r="E366" s="808"/>
      <c r="F366" s="799"/>
      <c r="G366" s="799"/>
      <c r="H366" s="797"/>
      <c r="I366" s="754"/>
      <c r="J366" s="753"/>
      <c r="K366" s="752"/>
      <c r="U366" s="681"/>
      <c r="V366" s="681"/>
    </row>
    <row r="367" spans="1:22">
      <c r="A367" s="781"/>
      <c r="B367" s="782"/>
      <c r="C367" s="783"/>
      <c r="D367" s="783"/>
      <c r="E367" s="808"/>
      <c r="F367" s="799"/>
      <c r="G367" s="799"/>
      <c r="H367" s="797"/>
      <c r="I367" s="754"/>
      <c r="J367" s="753"/>
      <c r="K367" s="752"/>
      <c r="U367" s="681"/>
      <c r="V367" s="681"/>
    </row>
    <row r="368" spans="1:22">
      <c r="A368" s="781"/>
      <c r="B368" s="782"/>
      <c r="C368" s="783"/>
      <c r="D368" s="783"/>
      <c r="E368" s="808"/>
      <c r="F368" s="799"/>
      <c r="G368" s="799"/>
      <c r="H368" s="797"/>
      <c r="I368" s="754"/>
      <c r="J368" s="753"/>
      <c r="K368" s="752"/>
      <c r="U368" s="681"/>
      <c r="V368" s="681"/>
    </row>
    <row r="369" spans="1:22">
      <c r="A369" s="781"/>
      <c r="B369" s="782"/>
      <c r="C369" s="783"/>
      <c r="D369" s="786"/>
      <c r="E369" s="807"/>
      <c r="F369" s="798"/>
      <c r="G369" s="798"/>
      <c r="H369" s="797"/>
      <c r="I369" s="754"/>
      <c r="J369" s="753"/>
      <c r="K369" s="752"/>
      <c r="U369" s="681"/>
      <c r="V369" s="681"/>
    </row>
    <row r="370" spans="1:22">
      <c r="A370" s="781"/>
      <c r="B370" s="782"/>
      <c r="C370" s="783"/>
      <c r="D370" s="783"/>
      <c r="E370" s="808"/>
      <c r="F370" s="799"/>
      <c r="G370" s="799"/>
      <c r="H370" s="797"/>
      <c r="I370" s="754"/>
      <c r="J370" s="753"/>
      <c r="K370" s="752"/>
      <c r="U370" s="681"/>
      <c r="V370" s="681"/>
    </row>
    <row r="371" spans="1:22">
      <c r="A371" s="781"/>
      <c r="B371" s="782"/>
      <c r="C371" s="783"/>
      <c r="D371" s="786"/>
      <c r="E371" s="807"/>
      <c r="F371" s="798"/>
      <c r="G371" s="798"/>
      <c r="H371" s="797"/>
      <c r="I371" s="754"/>
      <c r="J371" s="753"/>
      <c r="K371" s="752"/>
      <c r="U371" s="681"/>
      <c r="V371" s="681"/>
    </row>
    <row r="372" spans="1:22">
      <c r="A372" s="781"/>
      <c r="B372" s="782"/>
      <c r="C372" s="783"/>
      <c r="D372" s="784"/>
      <c r="E372" s="807"/>
      <c r="F372" s="798"/>
      <c r="G372" s="798"/>
      <c r="H372" s="797"/>
      <c r="I372" s="754"/>
      <c r="J372" s="753"/>
      <c r="K372" s="752"/>
      <c r="U372" s="681"/>
      <c r="V372" s="681"/>
    </row>
    <row r="373" spans="1:22">
      <c r="A373" s="781"/>
      <c r="B373" s="782"/>
      <c r="C373" s="783"/>
      <c r="D373" s="784"/>
      <c r="E373" s="807"/>
      <c r="F373" s="798"/>
      <c r="G373" s="798"/>
      <c r="H373" s="797"/>
      <c r="I373" s="754"/>
      <c r="J373" s="753"/>
      <c r="K373" s="752"/>
      <c r="U373" s="681"/>
      <c r="V373" s="681"/>
    </row>
    <row r="374" spans="1:22">
      <c r="A374" s="781"/>
      <c r="B374" s="782"/>
      <c r="C374" s="783"/>
      <c r="D374" s="783"/>
      <c r="E374" s="808"/>
      <c r="F374" s="799"/>
      <c r="G374" s="799"/>
      <c r="H374" s="797"/>
      <c r="I374" s="754"/>
      <c r="J374" s="753"/>
      <c r="K374" s="752"/>
      <c r="U374" s="681"/>
      <c r="V374" s="681"/>
    </row>
    <row r="375" spans="1:22">
      <c r="A375" s="781"/>
      <c r="B375" s="782"/>
      <c r="C375" s="783"/>
      <c r="D375" s="783"/>
      <c r="E375" s="808"/>
      <c r="F375" s="799"/>
      <c r="G375" s="799"/>
      <c r="H375" s="797"/>
      <c r="I375" s="754"/>
      <c r="J375" s="753"/>
      <c r="K375" s="752"/>
      <c r="U375" s="681"/>
      <c r="V375" s="681"/>
    </row>
    <row r="376" spans="1:22">
      <c r="A376" s="781"/>
      <c r="B376" s="782"/>
      <c r="C376" s="783"/>
      <c r="D376" s="783"/>
      <c r="E376" s="808"/>
      <c r="F376" s="799"/>
      <c r="G376" s="799"/>
      <c r="H376" s="797"/>
      <c r="I376" s="754"/>
      <c r="J376" s="753"/>
      <c r="K376" s="752"/>
      <c r="U376" s="681"/>
      <c r="V376" s="681"/>
    </row>
    <row r="377" spans="1:22">
      <c r="A377" s="781"/>
      <c r="B377" s="782"/>
      <c r="C377" s="783"/>
      <c r="D377" s="783"/>
      <c r="E377" s="808"/>
      <c r="F377" s="799"/>
      <c r="G377" s="799"/>
      <c r="H377" s="797"/>
      <c r="I377" s="754"/>
      <c r="J377" s="753"/>
      <c r="K377" s="752"/>
      <c r="U377" s="681"/>
      <c r="V377" s="681"/>
    </row>
    <row r="378" spans="1:22">
      <c r="A378" s="781"/>
      <c r="B378" s="782"/>
      <c r="C378" s="783"/>
      <c r="D378" s="783"/>
      <c r="E378" s="808"/>
      <c r="F378" s="799"/>
      <c r="G378" s="799"/>
      <c r="H378" s="797"/>
      <c r="I378" s="754"/>
      <c r="J378" s="753"/>
      <c r="K378" s="752"/>
      <c r="U378" s="681"/>
      <c r="V378" s="681"/>
    </row>
    <row r="379" spans="1:22">
      <c r="A379" s="781"/>
      <c r="B379" s="782"/>
      <c r="C379" s="783"/>
      <c r="D379" s="783"/>
      <c r="E379" s="808"/>
      <c r="F379" s="799"/>
      <c r="G379" s="799"/>
      <c r="H379" s="797"/>
      <c r="I379" s="754"/>
      <c r="J379" s="753"/>
      <c r="K379" s="752"/>
      <c r="U379" s="681"/>
      <c r="V379" s="681"/>
    </row>
    <row r="380" spans="1:22">
      <c r="A380" s="781"/>
      <c r="B380" s="782"/>
      <c r="C380" s="783"/>
      <c r="D380" s="783"/>
      <c r="E380" s="808"/>
      <c r="F380" s="799"/>
      <c r="G380" s="799"/>
      <c r="H380" s="797"/>
      <c r="I380" s="754"/>
      <c r="J380" s="753"/>
      <c r="K380" s="752"/>
      <c r="U380" s="681"/>
      <c r="V380" s="681"/>
    </row>
    <row r="381" spans="1:22">
      <c r="A381" s="781"/>
      <c r="B381" s="782"/>
      <c r="C381" s="783"/>
      <c r="D381" s="783"/>
      <c r="E381" s="808"/>
      <c r="F381" s="799"/>
      <c r="G381" s="799"/>
      <c r="H381" s="797"/>
      <c r="I381" s="754"/>
      <c r="J381" s="753"/>
      <c r="K381" s="752"/>
      <c r="U381" s="681"/>
      <c r="V381" s="681"/>
    </row>
    <row r="382" spans="1:22">
      <c r="A382" s="781"/>
      <c r="B382" s="782"/>
      <c r="C382" s="783"/>
      <c r="D382" s="783"/>
      <c r="E382" s="808"/>
      <c r="F382" s="799"/>
      <c r="G382" s="799"/>
      <c r="H382" s="797"/>
      <c r="I382" s="754"/>
      <c r="J382" s="753"/>
      <c r="K382" s="752"/>
      <c r="U382" s="681"/>
      <c r="V382" s="681"/>
    </row>
    <row r="383" spans="1:22">
      <c r="A383" s="781"/>
      <c r="B383" s="782"/>
      <c r="C383" s="783"/>
      <c r="D383" s="783"/>
      <c r="E383" s="808"/>
      <c r="F383" s="799"/>
      <c r="G383" s="799"/>
      <c r="H383" s="797"/>
      <c r="I383" s="754"/>
      <c r="J383" s="753"/>
      <c r="K383" s="752"/>
      <c r="U383" s="681"/>
      <c r="V383" s="681"/>
    </row>
    <row r="384" spans="1:22">
      <c r="A384" s="781"/>
      <c r="B384" s="782"/>
      <c r="C384" s="783"/>
      <c r="D384" s="783"/>
      <c r="E384" s="808"/>
      <c r="F384" s="799"/>
      <c r="G384" s="799"/>
      <c r="H384" s="797"/>
      <c r="I384" s="754"/>
      <c r="J384" s="753"/>
      <c r="K384" s="752"/>
      <c r="U384" s="681"/>
      <c r="V384" s="681"/>
    </row>
    <row r="385" spans="1:22">
      <c r="A385" s="781"/>
      <c r="B385" s="782"/>
      <c r="C385" s="783"/>
      <c r="D385" s="783"/>
      <c r="E385" s="808"/>
      <c r="F385" s="799"/>
      <c r="G385" s="799"/>
      <c r="H385" s="797"/>
      <c r="I385" s="754"/>
      <c r="J385" s="753"/>
      <c r="K385" s="752"/>
      <c r="U385" s="681"/>
      <c r="V385" s="681"/>
    </row>
    <row r="386" spans="1:22">
      <c r="A386" s="781"/>
      <c r="B386" s="782"/>
      <c r="C386" s="783"/>
      <c r="D386" s="783"/>
      <c r="E386" s="808"/>
      <c r="F386" s="799"/>
      <c r="G386" s="799"/>
      <c r="H386" s="797"/>
      <c r="I386" s="754"/>
      <c r="J386" s="753"/>
      <c r="K386" s="752"/>
      <c r="U386" s="681"/>
      <c r="V386" s="681"/>
    </row>
    <row r="387" spans="1:22">
      <c r="A387" s="781"/>
      <c r="B387" s="782"/>
      <c r="C387" s="783"/>
      <c r="D387" s="783"/>
      <c r="E387" s="808"/>
      <c r="F387" s="799"/>
      <c r="G387" s="799"/>
      <c r="H387" s="797"/>
      <c r="I387" s="754"/>
      <c r="J387" s="753"/>
      <c r="K387" s="752"/>
      <c r="U387" s="681"/>
      <c r="V387" s="681"/>
    </row>
    <row r="388" spans="1:22">
      <c r="A388" s="781"/>
      <c r="B388" s="782"/>
      <c r="C388" s="783"/>
      <c r="D388" s="783"/>
      <c r="E388" s="808"/>
      <c r="F388" s="799"/>
      <c r="G388" s="799"/>
      <c r="H388" s="797"/>
      <c r="I388" s="754"/>
      <c r="J388" s="753"/>
      <c r="K388" s="752"/>
      <c r="U388" s="681"/>
      <c r="V388" s="681"/>
    </row>
    <row r="389" spans="1:22">
      <c r="A389" s="781"/>
      <c r="B389" s="782"/>
      <c r="C389" s="783"/>
      <c r="D389" s="786"/>
      <c r="E389" s="807"/>
      <c r="F389" s="798"/>
      <c r="G389" s="798"/>
      <c r="H389" s="797"/>
      <c r="I389" s="754"/>
      <c r="J389" s="753"/>
      <c r="K389" s="752"/>
      <c r="U389" s="681"/>
      <c r="V389" s="681"/>
    </row>
    <row r="390" spans="1:22">
      <c r="A390" s="781"/>
      <c r="B390" s="782"/>
      <c r="C390" s="783"/>
      <c r="D390" s="784"/>
      <c r="E390" s="807"/>
      <c r="F390" s="798"/>
      <c r="G390" s="798"/>
      <c r="H390" s="797"/>
      <c r="I390" s="754"/>
      <c r="J390" s="753"/>
      <c r="K390" s="752"/>
      <c r="U390" s="681"/>
      <c r="V390" s="681"/>
    </row>
    <row r="391" spans="1:22">
      <c r="A391" s="781"/>
      <c r="B391" s="782"/>
      <c r="C391" s="783"/>
      <c r="D391" s="783"/>
      <c r="E391" s="808"/>
      <c r="F391" s="799"/>
      <c r="G391" s="799"/>
      <c r="H391" s="797"/>
      <c r="I391" s="754"/>
      <c r="J391" s="753"/>
      <c r="K391" s="752"/>
      <c r="U391" s="681"/>
      <c r="V391" s="681"/>
    </row>
    <row r="392" spans="1:22">
      <c r="A392" s="781"/>
      <c r="B392" s="782"/>
      <c r="C392" s="783"/>
      <c r="D392" s="783"/>
      <c r="E392" s="808"/>
      <c r="F392" s="799"/>
      <c r="G392" s="799"/>
      <c r="H392" s="797"/>
      <c r="I392" s="754"/>
      <c r="J392" s="753"/>
      <c r="K392" s="752"/>
      <c r="U392" s="681"/>
      <c r="V392" s="681"/>
    </row>
    <row r="393" spans="1:22">
      <c r="A393" s="781"/>
      <c r="B393" s="782"/>
      <c r="C393" s="783"/>
      <c r="D393" s="783"/>
      <c r="E393" s="808"/>
      <c r="F393" s="799"/>
      <c r="G393" s="799"/>
      <c r="H393" s="797"/>
      <c r="I393" s="754"/>
      <c r="J393" s="753"/>
      <c r="K393" s="752"/>
      <c r="U393" s="681"/>
      <c r="V393" s="681"/>
    </row>
    <row r="394" spans="1:22">
      <c r="A394" s="781"/>
      <c r="B394" s="782"/>
      <c r="C394" s="783"/>
      <c r="D394" s="783"/>
      <c r="E394" s="808"/>
      <c r="F394" s="799"/>
      <c r="G394" s="799"/>
      <c r="H394" s="797"/>
      <c r="I394" s="754"/>
      <c r="J394" s="753"/>
      <c r="K394" s="752"/>
      <c r="U394" s="681"/>
      <c r="V394" s="681"/>
    </row>
    <row r="395" spans="1:22">
      <c r="A395" s="781"/>
      <c r="B395" s="782"/>
      <c r="C395" s="783"/>
      <c r="D395" s="783"/>
      <c r="E395" s="808"/>
      <c r="F395" s="799"/>
      <c r="G395" s="799"/>
      <c r="H395" s="797"/>
      <c r="I395" s="754"/>
      <c r="J395" s="753"/>
      <c r="K395" s="752"/>
      <c r="U395" s="681"/>
      <c r="V395" s="681"/>
    </row>
    <row r="396" spans="1:22">
      <c r="A396" s="781"/>
      <c r="B396" s="782"/>
      <c r="C396" s="783"/>
      <c r="D396" s="783"/>
      <c r="E396" s="808"/>
      <c r="F396" s="799"/>
      <c r="G396" s="799"/>
      <c r="H396" s="797"/>
      <c r="I396" s="754"/>
      <c r="J396" s="753"/>
      <c r="K396" s="752"/>
      <c r="U396" s="681"/>
      <c r="V396" s="681"/>
    </row>
    <row r="397" spans="1:22">
      <c r="A397" s="781"/>
      <c r="B397" s="782"/>
      <c r="C397" s="783"/>
      <c r="D397" s="783"/>
      <c r="E397" s="808"/>
      <c r="F397" s="799"/>
      <c r="G397" s="799"/>
      <c r="H397" s="797"/>
      <c r="I397" s="754"/>
      <c r="J397" s="753"/>
      <c r="K397" s="752"/>
      <c r="U397" s="681"/>
      <c r="V397" s="681"/>
    </row>
    <row r="398" spans="1:22">
      <c r="A398" s="781"/>
      <c r="B398" s="782"/>
      <c r="C398" s="783"/>
      <c r="D398" s="785"/>
      <c r="E398" s="808"/>
      <c r="F398" s="799"/>
      <c r="G398" s="799"/>
      <c r="H398" s="797"/>
      <c r="I398" s="754"/>
      <c r="J398" s="753"/>
      <c r="K398" s="752"/>
      <c r="U398" s="681"/>
      <c r="V398" s="681"/>
    </row>
    <row r="399" spans="1:22">
      <c r="A399" s="781"/>
      <c r="B399" s="782"/>
      <c r="C399" s="783"/>
      <c r="D399" s="783"/>
      <c r="E399" s="808"/>
      <c r="F399" s="799"/>
      <c r="G399" s="799"/>
      <c r="H399" s="797"/>
      <c r="I399" s="754"/>
      <c r="J399" s="753"/>
      <c r="K399" s="752"/>
      <c r="U399" s="681"/>
      <c r="V399" s="681"/>
    </row>
    <row r="400" spans="1:22">
      <c r="A400" s="781"/>
      <c r="B400" s="782"/>
      <c r="C400" s="783"/>
      <c r="D400" s="786"/>
      <c r="E400" s="807"/>
      <c r="F400" s="798"/>
      <c r="G400" s="798"/>
      <c r="H400" s="797"/>
      <c r="I400" s="754"/>
      <c r="J400" s="753"/>
      <c r="K400" s="752"/>
      <c r="U400" s="681"/>
      <c r="V400" s="681"/>
    </row>
    <row r="401" spans="1:22">
      <c r="A401" s="781"/>
      <c r="B401" s="782"/>
      <c r="C401" s="783"/>
      <c r="D401" s="784"/>
      <c r="E401" s="807"/>
      <c r="F401" s="798"/>
      <c r="G401" s="798"/>
      <c r="H401" s="797"/>
      <c r="I401" s="754"/>
      <c r="J401" s="753"/>
      <c r="K401" s="752"/>
      <c r="U401" s="681"/>
      <c r="V401" s="681"/>
    </row>
    <row r="402" spans="1:22">
      <c r="A402" s="781"/>
      <c r="B402" s="782"/>
      <c r="C402" s="783"/>
      <c r="D402" s="783"/>
      <c r="E402" s="808"/>
      <c r="F402" s="799"/>
      <c r="G402" s="799"/>
      <c r="H402" s="797"/>
      <c r="I402" s="754"/>
      <c r="J402" s="753"/>
      <c r="K402" s="752"/>
      <c r="U402" s="681"/>
      <c r="V402" s="681"/>
    </row>
    <row r="403" spans="1:22">
      <c r="A403" s="781"/>
      <c r="B403" s="782"/>
      <c r="C403" s="783"/>
      <c r="D403" s="783"/>
      <c r="E403" s="808"/>
      <c r="F403" s="799"/>
      <c r="G403" s="799"/>
      <c r="H403" s="797"/>
      <c r="I403" s="754"/>
      <c r="J403" s="753"/>
      <c r="K403" s="752"/>
      <c r="U403" s="681"/>
      <c r="V403" s="681"/>
    </row>
    <row r="404" spans="1:22">
      <c r="A404" s="781"/>
      <c r="B404" s="782"/>
      <c r="C404" s="783"/>
      <c r="D404" s="783"/>
      <c r="E404" s="808"/>
      <c r="F404" s="799"/>
      <c r="G404" s="799"/>
      <c r="H404" s="797"/>
      <c r="I404" s="754"/>
      <c r="J404" s="753"/>
      <c r="K404" s="752"/>
      <c r="U404" s="681"/>
      <c r="V404" s="681"/>
    </row>
    <row r="405" spans="1:22">
      <c r="A405" s="781"/>
      <c r="B405" s="782"/>
      <c r="C405" s="783"/>
      <c r="D405" s="783"/>
      <c r="E405" s="808"/>
      <c r="F405" s="799"/>
      <c r="G405" s="799"/>
      <c r="H405" s="797"/>
      <c r="I405" s="754"/>
      <c r="J405" s="753"/>
      <c r="K405" s="752"/>
      <c r="U405" s="681"/>
      <c r="V405" s="681"/>
    </row>
    <row r="406" spans="1:22">
      <c r="A406" s="781"/>
      <c r="B406" s="782"/>
      <c r="C406" s="783"/>
      <c r="D406" s="783"/>
      <c r="E406" s="808"/>
      <c r="F406" s="799"/>
      <c r="G406" s="799"/>
      <c r="H406" s="797"/>
      <c r="I406" s="754"/>
      <c r="J406" s="753"/>
      <c r="K406" s="752"/>
      <c r="U406" s="681"/>
      <c r="V406" s="681"/>
    </row>
    <row r="407" spans="1:22">
      <c r="A407" s="781"/>
      <c r="B407" s="782"/>
      <c r="C407" s="783"/>
      <c r="D407" s="783"/>
      <c r="E407" s="808"/>
      <c r="F407" s="799"/>
      <c r="G407" s="799"/>
      <c r="H407" s="797"/>
      <c r="I407" s="754"/>
      <c r="J407" s="753"/>
      <c r="K407" s="752"/>
      <c r="U407" s="681"/>
      <c r="V407" s="681"/>
    </row>
    <row r="408" spans="1:22">
      <c r="A408" s="781"/>
      <c r="B408" s="782"/>
      <c r="C408" s="783"/>
      <c r="D408" s="783"/>
      <c r="E408" s="808"/>
      <c r="F408" s="799"/>
      <c r="G408" s="799"/>
      <c r="H408" s="797"/>
      <c r="I408" s="754"/>
      <c r="J408" s="753"/>
      <c r="K408" s="752"/>
      <c r="U408" s="681"/>
      <c r="V408" s="681"/>
    </row>
    <row r="409" spans="1:22">
      <c r="A409" s="781"/>
      <c r="B409" s="782"/>
      <c r="C409" s="783"/>
      <c r="D409" s="783"/>
      <c r="E409" s="808"/>
      <c r="F409" s="799"/>
      <c r="G409" s="799"/>
      <c r="H409" s="797"/>
      <c r="I409" s="754"/>
      <c r="J409" s="753"/>
      <c r="K409" s="752"/>
      <c r="U409" s="681"/>
      <c r="V409" s="681"/>
    </row>
    <row r="410" spans="1:22">
      <c r="A410" s="781"/>
      <c r="B410" s="782"/>
      <c r="C410" s="783"/>
      <c r="D410" s="786"/>
      <c r="E410" s="807"/>
      <c r="F410" s="798"/>
      <c r="G410" s="798"/>
      <c r="H410" s="797"/>
      <c r="I410" s="754"/>
      <c r="J410" s="753"/>
      <c r="K410" s="752"/>
      <c r="U410" s="681"/>
      <c r="V410" s="681"/>
    </row>
    <row r="411" spans="1:22">
      <c r="A411" s="781"/>
      <c r="B411" s="782"/>
      <c r="C411" s="783"/>
      <c r="D411" s="783"/>
      <c r="E411" s="808"/>
      <c r="F411" s="799"/>
      <c r="G411" s="799"/>
      <c r="H411" s="797"/>
      <c r="I411" s="754"/>
      <c r="J411" s="753"/>
      <c r="K411" s="752"/>
      <c r="U411" s="681"/>
      <c r="V411" s="681"/>
    </row>
    <row r="412" spans="1:22">
      <c r="A412" s="781"/>
      <c r="B412" s="782"/>
      <c r="C412" s="783"/>
      <c r="D412" s="786"/>
      <c r="E412" s="807"/>
      <c r="F412" s="798"/>
      <c r="G412" s="798"/>
      <c r="H412" s="797"/>
      <c r="I412" s="754"/>
      <c r="J412" s="753"/>
      <c r="K412" s="752"/>
      <c r="U412" s="681"/>
      <c r="V412" s="681"/>
    </row>
    <row r="413" spans="1:22">
      <c r="A413" s="781"/>
      <c r="B413" s="782"/>
      <c r="C413" s="783"/>
      <c r="D413" s="784"/>
      <c r="E413" s="807"/>
      <c r="F413" s="798"/>
      <c r="G413" s="798"/>
      <c r="H413" s="797"/>
      <c r="I413" s="754"/>
      <c r="J413" s="753"/>
      <c r="K413" s="752"/>
      <c r="U413" s="681"/>
      <c r="V413" s="681"/>
    </row>
    <row r="414" spans="1:22">
      <c r="A414" s="781"/>
      <c r="B414" s="782"/>
      <c r="C414" s="783"/>
      <c r="D414" s="784"/>
      <c r="E414" s="807"/>
      <c r="F414" s="798"/>
      <c r="G414" s="798"/>
      <c r="H414" s="797"/>
      <c r="I414" s="754"/>
      <c r="J414" s="753"/>
      <c r="K414" s="752"/>
      <c r="U414" s="681"/>
      <c r="V414" s="681"/>
    </row>
    <row r="415" spans="1:22">
      <c r="A415" s="781"/>
      <c r="B415" s="782"/>
      <c r="C415" s="783"/>
      <c r="D415" s="784"/>
      <c r="E415" s="807"/>
      <c r="F415" s="798"/>
      <c r="G415" s="798"/>
      <c r="H415" s="797"/>
      <c r="I415" s="754"/>
      <c r="J415" s="753"/>
      <c r="K415" s="752"/>
      <c r="U415" s="681"/>
      <c r="V415" s="681"/>
    </row>
    <row r="416" spans="1:22">
      <c r="A416" s="781"/>
      <c r="B416" s="782"/>
      <c r="C416" s="783"/>
      <c r="D416" s="783"/>
      <c r="E416" s="808"/>
      <c r="F416" s="798"/>
      <c r="G416" s="799"/>
      <c r="H416" s="797"/>
      <c r="I416" s="754"/>
      <c r="J416" s="753"/>
      <c r="K416" s="752"/>
      <c r="U416" s="681"/>
      <c r="V416" s="681"/>
    </row>
    <row r="417" spans="1:22">
      <c r="A417" s="781"/>
      <c r="B417" s="782"/>
      <c r="C417" s="783"/>
      <c r="D417" s="783"/>
      <c r="E417" s="808"/>
      <c r="F417" s="798"/>
      <c r="G417" s="799"/>
      <c r="H417" s="797"/>
      <c r="I417" s="754"/>
      <c r="J417" s="753"/>
      <c r="K417" s="752"/>
      <c r="U417" s="681"/>
      <c r="V417" s="681"/>
    </row>
    <row r="418" spans="1:22">
      <c r="A418" s="781"/>
      <c r="B418" s="782"/>
      <c r="C418" s="783"/>
      <c r="D418" s="783"/>
      <c r="E418" s="808"/>
      <c r="F418" s="798"/>
      <c r="G418" s="799"/>
      <c r="H418" s="797"/>
      <c r="I418" s="754"/>
      <c r="J418" s="753"/>
      <c r="K418" s="752"/>
      <c r="U418" s="681"/>
      <c r="V418" s="681"/>
    </row>
    <row r="419" spans="1:22">
      <c r="A419" s="781"/>
      <c r="B419" s="782"/>
      <c r="C419" s="783"/>
      <c r="D419" s="783"/>
      <c r="E419" s="808"/>
      <c r="F419" s="798"/>
      <c r="G419" s="799"/>
      <c r="H419" s="797"/>
      <c r="I419" s="754"/>
      <c r="J419" s="753"/>
      <c r="K419" s="752"/>
      <c r="U419" s="681"/>
      <c r="V419" s="681"/>
    </row>
    <row r="420" spans="1:22">
      <c r="A420" s="781"/>
      <c r="B420" s="782"/>
      <c r="C420" s="783"/>
      <c r="D420" s="783"/>
      <c r="E420" s="808"/>
      <c r="F420" s="798"/>
      <c r="G420" s="799"/>
      <c r="H420" s="797"/>
      <c r="I420" s="754"/>
      <c r="J420" s="753"/>
      <c r="K420" s="752"/>
      <c r="U420" s="681"/>
      <c r="V420" s="681"/>
    </row>
    <row r="421" spans="1:22">
      <c r="A421" s="781"/>
      <c r="B421" s="782"/>
      <c r="C421" s="783"/>
      <c r="D421" s="783"/>
      <c r="E421" s="808"/>
      <c r="F421" s="798"/>
      <c r="G421" s="799"/>
      <c r="H421" s="797"/>
      <c r="I421" s="754"/>
      <c r="J421" s="753"/>
      <c r="K421" s="752"/>
      <c r="U421" s="681"/>
      <c r="V421" s="681"/>
    </row>
    <row r="422" spans="1:22">
      <c r="A422" s="781"/>
      <c r="B422" s="782"/>
      <c r="C422" s="783"/>
      <c r="D422" s="783"/>
      <c r="E422" s="808"/>
      <c r="F422" s="798"/>
      <c r="G422" s="799"/>
      <c r="H422" s="797"/>
      <c r="I422" s="754"/>
      <c r="J422" s="753"/>
      <c r="K422" s="752"/>
      <c r="U422" s="681"/>
      <c r="V422" s="681"/>
    </row>
    <row r="423" spans="1:22">
      <c r="A423" s="781"/>
      <c r="B423" s="782"/>
      <c r="C423" s="783"/>
      <c r="D423" s="785"/>
      <c r="E423" s="808"/>
      <c r="F423" s="798"/>
      <c r="G423" s="799"/>
      <c r="H423" s="797"/>
      <c r="I423" s="754"/>
      <c r="J423" s="753"/>
      <c r="K423" s="752"/>
      <c r="U423" s="681"/>
      <c r="V423" s="681"/>
    </row>
    <row r="424" spans="1:22">
      <c r="A424" s="781"/>
      <c r="B424" s="782"/>
      <c r="C424" s="783"/>
      <c r="D424" s="783"/>
      <c r="E424" s="808"/>
      <c r="F424" s="798"/>
      <c r="G424" s="799"/>
      <c r="H424" s="797"/>
      <c r="I424" s="754"/>
      <c r="J424" s="753"/>
      <c r="K424" s="752"/>
      <c r="U424" s="681"/>
      <c r="V424" s="681"/>
    </row>
    <row r="425" spans="1:22">
      <c r="A425" s="781"/>
      <c r="B425" s="782"/>
      <c r="C425" s="783"/>
      <c r="D425" s="783"/>
      <c r="E425" s="808"/>
      <c r="F425" s="798"/>
      <c r="G425" s="799"/>
      <c r="H425" s="797"/>
      <c r="I425" s="754"/>
      <c r="J425" s="753"/>
      <c r="K425" s="752"/>
      <c r="U425" s="681"/>
      <c r="V425" s="681"/>
    </row>
    <row r="426" spans="1:22">
      <c r="A426" s="781"/>
      <c r="B426" s="782"/>
      <c r="C426" s="783"/>
      <c r="D426" s="783"/>
      <c r="E426" s="808"/>
      <c r="F426" s="798"/>
      <c r="G426" s="799"/>
      <c r="H426" s="797"/>
      <c r="I426" s="754"/>
      <c r="J426" s="753"/>
      <c r="K426" s="752"/>
      <c r="U426" s="681"/>
      <c r="V426" s="681"/>
    </row>
    <row r="427" spans="1:22">
      <c r="A427" s="781"/>
      <c r="B427" s="782"/>
      <c r="C427" s="783"/>
      <c r="D427" s="786"/>
      <c r="E427" s="807"/>
      <c r="F427" s="798"/>
      <c r="G427" s="798"/>
      <c r="H427" s="797"/>
      <c r="I427" s="754"/>
      <c r="J427" s="753"/>
      <c r="K427" s="752"/>
      <c r="U427" s="681"/>
      <c r="V427" s="681"/>
    </row>
    <row r="428" spans="1:22">
      <c r="A428" s="781"/>
      <c r="B428" s="782"/>
      <c r="C428" s="783"/>
      <c r="D428" s="784"/>
      <c r="E428" s="807"/>
      <c r="F428" s="798"/>
      <c r="G428" s="798"/>
      <c r="H428" s="797"/>
      <c r="I428" s="754"/>
      <c r="J428" s="753"/>
      <c r="K428" s="752"/>
      <c r="U428" s="681"/>
      <c r="V428" s="681"/>
    </row>
    <row r="429" spans="1:22">
      <c r="A429" s="781"/>
      <c r="B429" s="782"/>
      <c r="C429" s="783"/>
      <c r="D429" s="784"/>
      <c r="E429" s="807"/>
      <c r="F429" s="798"/>
      <c r="G429" s="798"/>
      <c r="H429" s="797"/>
      <c r="I429" s="754"/>
      <c r="J429" s="753"/>
      <c r="K429" s="752"/>
      <c r="U429" s="681"/>
      <c r="V429" s="681"/>
    </row>
    <row r="430" spans="1:22">
      <c r="A430" s="781"/>
      <c r="B430" s="782"/>
      <c r="C430" s="783"/>
      <c r="D430" s="784"/>
      <c r="E430" s="807"/>
      <c r="F430" s="798"/>
      <c r="G430" s="798"/>
      <c r="H430" s="797"/>
      <c r="I430" s="754"/>
      <c r="J430" s="753"/>
      <c r="K430" s="752"/>
    </row>
    <row r="431" spans="1:22">
      <c r="A431" s="781"/>
      <c r="B431" s="782"/>
      <c r="C431" s="783"/>
      <c r="D431" s="783"/>
      <c r="E431" s="808"/>
      <c r="F431" s="799"/>
      <c r="G431" s="799"/>
      <c r="H431" s="797"/>
      <c r="I431" s="754"/>
      <c r="J431" s="753"/>
      <c r="K431" s="752"/>
    </row>
    <row r="432" spans="1:22">
      <c r="A432" s="781"/>
      <c r="B432" s="782"/>
      <c r="C432" s="783"/>
      <c r="D432" s="783"/>
      <c r="E432" s="808"/>
      <c r="F432" s="799"/>
      <c r="G432" s="799"/>
      <c r="H432" s="797"/>
      <c r="I432" s="754"/>
      <c r="J432" s="753"/>
      <c r="K432" s="752"/>
    </row>
    <row r="433" spans="1:11">
      <c r="A433" s="781"/>
      <c r="B433" s="782"/>
      <c r="C433" s="783"/>
      <c r="D433" s="783"/>
      <c r="E433" s="808"/>
      <c r="F433" s="799"/>
      <c r="G433" s="799"/>
      <c r="H433" s="797"/>
      <c r="I433" s="754"/>
      <c r="J433" s="753"/>
      <c r="K433" s="752"/>
    </row>
    <row r="434" spans="1:11">
      <c r="A434" s="781"/>
      <c r="B434" s="782"/>
      <c r="C434" s="783"/>
      <c r="D434" s="783"/>
      <c r="E434" s="808"/>
      <c r="F434" s="799"/>
      <c r="G434" s="799"/>
      <c r="H434" s="797"/>
      <c r="I434" s="754"/>
      <c r="J434" s="753"/>
      <c r="K434" s="752"/>
    </row>
    <row r="435" spans="1:11">
      <c r="A435" s="781"/>
      <c r="B435" s="782"/>
      <c r="C435" s="783"/>
      <c r="D435" s="783"/>
      <c r="E435" s="808"/>
      <c r="F435" s="799"/>
      <c r="G435" s="799"/>
      <c r="H435" s="797"/>
      <c r="I435" s="754"/>
      <c r="J435" s="753"/>
      <c r="K435" s="752"/>
    </row>
    <row r="436" spans="1:11">
      <c r="A436" s="781"/>
      <c r="B436" s="782"/>
      <c r="C436" s="783"/>
      <c r="D436" s="783"/>
      <c r="E436" s="808"/>
      <c r="F436" s="799"/>
      <c r="G436" s="799"/>
      <c r="H436" s="797"/>
      <c r="I436" s="754"/>
      <c r="J436" s="753"/>
      <c r="K436" s="752"/>
    </row>
    <row r="437" spans="1:11">
      <c r="A437" s="781"/>
      <c r="B437" s="782"/>
      <c r="C437" s="783"/>
      <c r="D437" s="783"/>
      <c r="E437" s="808"/>
      <c r="F437" s="799"/>
      <c r="G437" s="799"/>
      <c r="H437" s="797"/>
      <c r="I437" s="754"/>
      <c r="J437" s="753"/>
      <c r="K437" s="752"/>
    </row>
    <row r="438" spans="1:11">
      <c r="A438" s="781"/>
      <c r="B438" s="782"/>
      <c r="C438" s="783"/>
      <c r="D438" s="783"/>
      <c r="E438" s="808"/>
      <c r="F438" s="799"/>
      <c r="G438" s="799"/>
      <c r="H438" s="797"/>
      <c r="I438" s="754"/>
      <c r="J438" s="753"/>
      <c r="K438" s="752"/>
    </row>
    <row r="439" spans="1:11">
      <c r="A439" s="781"/>
      <c r="B439" s="782"/>
      <c r="C439" s="783"/>
      <c r="D439" s="783"/>
      <c r="E439" s="808"/>
      <c r="F439" s="799"/>
      <c r="G439" s="799"/>
      <c r="H439" s="797"/>
      <c r="I439" s="754"/>
      <c r="J439" s="753"/>
      <c r="K439" s="752"/>
    </row>
    <row r="440" spans="1:11">
      <c r="A440" s="781"/>
      <c r="B440" s="782"/>
      <c r="C440" s="783"/>
      <c r="D440" s="783"/>
      <c r="E440" s="808"/>
      <c r="F440" s="799"/>
      <c r="G440" s="799"/>
      <c r="H440" s="797"/>
      <c r="I440" s="754"/>
      <c r="J440" s="753"/>
      <c r="K440" s="752"/>
    </row>
    <row r="441" spans="1:11">
      <c r="A441" s="781"/>
      <c r="B441" s="782"/>
      <c r="C441" s="783"/>
      <c r="D441" s="783"/>
      <c r="E441" s="808"/>
      <c r="F441" s="799"/>
      <c r="G441" s="799"/>
      <c r="H441" s="797"/>
      <c r="I441" s="754"/>
      <c r="J441" s="753"/>
      <c r="K441" s="752"/>
    </row>
    <row r="442" spans="1:11">
      <c r="A442" s="781"/>
      <c r="B442" s="782"/>
      <c r="C442" s="783"/>
      <c r="D442" s="783"/>
      <c r="E442" s="808"/>
      <c r="F442" s="799"/>
      <c r="G442" s="799"/>
      <c r="H442" s="797"/>
      <c r="I442" s="754"/>
      <c r="J442" s="753"/>
      <c r="K442" s="752"/>
    </row>
    <row r="443" spans="1:11">
      <c r="A443" s="781"/>
      <c r="B443" s="782"/>
      <c r="C443" s="783"/>
      <c r="D443" s="783"/>
      <c r="E443" s="808"/>
      <c r="F443" s="799"/>
      <c r="G443" s="799"/>
      <c r="H443" s="797"/>
      <c r="I443" s="754"/>
      <c r="J443" s="753"/>
      <c r="K443" s="752"/>
    </row>
    <row r="444" spans="1:11">
      <c r="A444" s="781"/>
      <c r="B444" s="782"/>
      <c r="C444" s="783"/>
      <c r="D444" s="783"/>
      <c r="E444" s="808"/>
      <c r="F444" s="799"/>
      <c r="G444" s="799"/>
      <c r="H444" s="797"/>
      <c r="I444" s="754"/>
      <c r="J444" s="753"/>
      <c r="K444" s="752"/>
    </row>
    <row r="445" spans="1:11">
      <c r="A445" s="781"/>
      <c r="B445" s="782"/>
      <c r="C445" s="783"/>
      <c r="D445" s="783"/>
      <c r="E445" s="808"/>
      <c r="F445" s="799"/>
      <c r="G445" s="799"/>
      <c r="H445" s="797"/>
      <c r="I445" s="754"/>
      <c r="J445" s="753"/>
      <c r="K445" s="752"/>
    </row>
    <row r="446" spans="1:11">
      <c r="A446" s="781"/>
      <c r="B446" s="782"/>
      <c r="C446" s="783"/>
      <c r="D446" s="783"/>
      <c r="E446" s="808"/>
      <c r="F446" s="799"/>
      <c r="G446" s="799"/>
      <c r="H446" s="797"/>
      <c r="I446" s="754"/>
      <c r="J446" s="753"/>
      <c r="K446" s="752"/>
    </row>
    <row r="447" spans="1:11">
      <c r="A447" s="781"/>
      <c r="B447" s="782"/>
      <c r="C447" s="783"/>
      <c r="D447" s="786"/>
      <c r="E447" s="807"/>
      <c r="F447" s="798"/>
      <c r="G447" s="798"/>
      <c r="H447" s="797"/>
      <c r="I447" s="754"/>
      <c r="J447" s="753"/>
      <c r="K447" s="752"/>
    </row>
    <row r="448" spans="1:11">
      <c r="A448" s="781"/>
      <c r="B448" s="782"/>
      <c r="C448" s="783"/>
      <c r="D448" s="784"/>
      <c r="E448" s="807"/>
      <c r="F448" s="798"/>
      <c r="G448" s="798"/>
      <c r="H448" s="797"/>
      <c r="I448" s="754"/>
      <c r="J448" s="753"/>
      <c r="K448" s="752"/>
    </row>
    <row r="449" spans="1:11">
      <c r="A449" s="781"/>
      <c r="B449" s="782"/>
      <c r="C449" s="783"/>
      <c r="D449" s="783"/>
      <c r="E449" s="808"/>
      <c r="F449" s="799"/>
      <c r="G449" s="799"/>
      <c r="H449" s="797"/>
      <c r="I449" s="754"/>
      <c r="J449" s="753"/>
      <c r="K449" s="752"/>
    </row>
    <row r="450" spans="1:11">
      <c r="A450" s="781"/>
      <c r="B450" s="782"/>
      <c r="C450" s="783"/>
      <c r="D450" s="783"/>
      <c r="E450" s="808"/>
      <c r="F450" s="799"/>
      <c r="G450" s="799"/>
      <c r="H450" s="797"/>
      <c r="I450" s="754"/>
      <c r="J450" s="753"/>
      <c r="K450" s="752"/>
    </row>
    <row r="451" spans="1:11">
      <c r="A451" s="781"/>
      <c r="B451" s="782"/>
      <c r="C451" s="783"/>
      <c r="D451" s="783"/>
      <c r="E451" s="808"/>
      <c r="F451" s="799"/>
      <c r="G451" s="799"/>
      <c r="H451" s="797"/>
      <c r="I451" s="754"/>
      <c r="J451" s="753"/>
      <c r="K451" s="752"/>
    </row>
    <row r="452" spans="1:11">
      <c r="A452" s="781"/>
      <c r="B452" s="782"/>
      <c r="C452" s="783"/>
      <c r="D452" s="783"/>
      <c r="E452" s="808"/>
      <c r="F452" s="799"/>
      <c r="G452" s="799"/>
      <c r="H452" s="797"/>
      <c r="I452" s="754"/>
      <c r="J452" s="753"/>
      <c r="K452" s="752"/>
    </row>
    <row r="453" spans="1:11">
      <c r="A453" s="781"/>
      <c r="B453" s="782"/>
      <c r="C453" s="783"/>
      <c r="D453" s="783"/>
      <c r="E453" s="808"/>
      <c r="F453" s="799"/>
      <c r="G453" s="799"/>
      <c r="H453" s="797"/>
      <c r="I453" s="754"/>
      <c r="J453" s="753"/>
      <c r="K453" s="752"/>
    </row>
    <row r="454" spans="1:11">
      <c r="A454" s="781"/>
      <c r="B454" s="782"/>
      <c r="C454" s="783"/>
      <c r="D454" s="783"/>
      <c r="E454" s="808"/>
      <c r="F454" s="799"/>
      <c r="G454" s="799"/>
      <c r="H454" s="797"/>
      <c r="I454" s="754"/>
      <c r="J454" s="753"/>
      <c r="K454" s="752"/>
    </row>
    <row r="455" spans="1:11">
      <c r="A455" s="781"/>
      <c r="B455" s="782"/>
      <c r="C455" s="783"/>
      <c r="D455" s="783"/>
      <c r="E455" s="808"/>
      <c r="F455" s="799"/>
      <c r="G455" s="799"/>
      <c r="H455" s="797"/>
      <c r="I455" s="754"/>
      <c r="J455" s="753"/>
      <c r="K455" s="752"/>
    </row>
    <row r="456" spans="1:11">
      <c r="A456" s="781"/>
      <c r="B456" s="782"/>
      <c r="C456" s="783"/>
      <c r="D456" s="783"/>
      <c r="E456" s="808"/>
      <c r="F456" s="799"/>
      <c r="G456" s="799"/>
      <c r="H456" s="797"/>
      <c r="I456" s="754"/>
      <c r="J456" s="753"/>
      <c r="K456" s="752"/>
    </row>
    <row r="457" spans="1:11">
      <c r="A457" s="781"/>
      <c r="B457" s="782"/>
      <c r="C457" s="783"/>
      <c r="D457" s="783"/>
      <c r="E457" s="808"/>
      <c r="F457" s="799"/>
      <c r="G457" s="799"/>
      <c r="H457" s="797"/>
      <c r="I457" s="754"/>
      <c r="J457" s="753"/>
      <c r="K457" s="752"/>
    </row>
    <row r="458" spans="1:11">
      <c r="A458" s="781"/>
      <c r="B458" s="782"/>
      <c r="C458" s="783"/>
      <c r="D458" s="783"/>
      <c r="E458" s="808"/>
      <c r="F458" s="799"/>
      <c r="G458" s="799"/>
      <c r="H458" s="797"/>
      <c r="I458" s="754"/>
      <c r="J458" s="753"/>
      <c r="K458" s="752"/>
    </row>
    <row r="459" spans="1:11">
      <c r="A459" s="781"/>
      <c r="B459" s="782"/>
      <c r="C459" s="783"/>
      <c r="D459" s="783"/>
      <c r="E459" s="808"/>
      <c r="F459" s="799"/>
      <c r="G459" s="799"/>
      <c r="H459" s="797"/>
      <c r="I459" s="754"/>
      <c r="J459" s="753"/>
      <c r="K459" s="752"/>
    </row>
    <row r="460" spans="1:11">
      <c r="A460" s="781"/>
      <c r="B460" s="782"/>
      <c r="C460" s="783"/>
      <c r="D460" s="783"/>
      <c r="E460" s="808"/>
      <c r="F460" s="799"/>
      <c r="G460" s="799"/>
      <c r="H460" s="797"/>
      <c r="I460" s="754"/>
      <c r="J460" s="753"/>
      <c r="K460" s="752"/>
    </row>
    <row r="461" spans="1:11">
      <c r="A461" s="781"/>
      <c r="B461" s="782"/>
      <c r="C461" s="783"/>
      <c r="D461" s="786"/>
      <c r="E461" s="807"/>
      <c r="F461" s="798"/>
      <c r="G461" s="798"/>
      <c r="H461" s="797"/>
      <c r="I461" s="754"/>
      <c r="J461" s="753"/>
      <c r="K461" s="752"/>
    </row>
    <row r="462" spans="1:11">
      <c r="A462" s="781"/>
      <c r="B462" s="782"/>
      <c r="C462" s="783"/>
      <c r="D462" s="784"/>
      <c r="E462" s="807"/>
      <c r="F462" s="798"/>
      <c r="G462" s="798"/>
      <c r="H462" s="797"/>
      <c r="I462" s="754"/>
      <c r="J462" s="753"/>
      <c r="K462" s="752"/>
    </row>
    <row r="463" spans="1:11">
      <c r="A463" s="781"/>
      <c r="B463" s="782"/>
      <c r="C463" s="783"/>
      <c r="D463" s="783"/>
      <c r="E463" s="808"/>
      <c r="F463" s="799"/>
      <c r="G463" s="799"/>
      <c r="H463" s="797"/>
      <c r="I463" s="754"/>
      <c r="J463" s="753"/>
      <c r="K463" s="752"/>
    </row>
    <row r="464" spans="1:11">
      <c r="A464" s="781"/>
      <c r="B464" s="782"/>
      <c r="C464" s="783"/>
      <c r="D464" s="783"/>
      <c r="E464" s="808"/>
      <c r="F464" s="799"/>
      <c r="G464" s="799"/>
      <c r="H464" s="797"/>
      <c r="I464" s="754"/>
      <c r="J464" s="753"/>
      <c r="K464" s="752"/>
    </row>
    <row r="465" spans="1:11">
      <c r="A465" s="781"/>
      <c r="B465" s="782"/>
      <c r="C465" s="783"/>
      <c r="D465" s="783"/>
      <c r="E465" s="808"/>
      <c r="F465" s="799"/>
      <c r="G465" s="799"/>
      <c r="H465" s="797"/>
      <c r="I465" s="754"/>
      <c r="J465" s="753"/>
      <c r="K465" s="752"/>
    </row>
    <row r="466" spans="1:11">
      <c r="A466" s="781"/>
      <c r="B466" s="782"/>
      <c r="C466" s="783"/>
      <c r="D466" s="783"/>
      <c r="E466" s="808"/>
      <c r="F466" s="799"/>
      <c r="G466" s="799"/>
      <c r="H466" s="797"/>
      <c r="I466" s="754"/>
      <c r="J466" s="753"/>
      <c r="K466" s="752"/>
    </row>
    <row r="467" spans="1:11">
      <c r="A467" s="781"/>
      <c r="B467" s="782"/>
      <c r="C467" s="783"/>
      <c r="D467" s="783"/>
      <c r="E467" s="808"/>
      <c r="F467" s="799"/>
      <c r="G467" s="799"/>
      <c r="H467" s="797"/>
      <c r="I467" s="754"/>
      <c r="J467" s="753"/>
      <c r="K467" s="752"/>
    </row>
    <row r="468" spans="1:11">
      <c r="A468" s="781"/>
      <c r="B468" s="782"/>
      <c r="C468" s="783"/>
      <c r="D468" s="783"/>
      <c r="E468" s="808"/>
      <c r="F468" s="799"/>
      <c r="G468" s="799"/>
      <c r="H468" s="797"/>
      <c r="I468" s="754"/>
      <c r="J468" s="753"/>
      <c r="K468" s="752"/>
    </row>
    <row r="469" spans="1:11">
      <c r="A469" s="781"/>
      <c r="B469" s="782"/>
      <c r="C469" s="783"/>
      <c r="D469" s="783"/>
      <c r="E469" s="808"/>
      <c r="F469" s="799"/>
      <c r="G469" s="799"/>
      <c r="H469" s="797"/>
      <c r="I469" s="754"/>
      <c r="J469" s="753"/>
      <c r="K469" s="752"/>
    </row>
    <row r="470" spans="1:11">
      <c r="A470" s="781"/>
      <c r="B470" s="782"/>
      <c r="C470" s="783"/>
      <c r="D470" s="783"/>
      <c r="E470" s="808"/>
      <c r="F470" s="799"/>
      <c r="G470" s="799"/>
      <c r="H470" s="797"/>
      <c r="I470" s="754"/>
      <c r="J470" s="753"/>
      <c r="K470" s="752"/>
    </row>
    <row r="471" spans="1:11">
      <c r="A471" s="781"/>
      <c r="B471" s="782"/>
      <c r="C471" s="783"/>
      <c r="D471" s="783"/>
      <c r="E471" s="808"/>
      <c r="F471" s="799"/>
      <c r="G471" s="799"/>
      <c r="H471" s="797"/>
      <c r="I471" s="754"/>
      <c r="J471" s="753"/>
      <c r="K471" s="752"/>
    </row>
    <row r="472" spans="1:11">
      <c r="A472" s="781"/>
      <c r="B472" s="782"/>
      <c r="C472" s="783"/>
      <c r="D472" s="783"/>
      <c r="E472" s="808"/>
      <c r="F472" s="799"/>
      <c r="G472" s="799"/>
      <c r="H472" s="797"/>
      <c r="I472" s="754"/>
      <c r="J472" s="753"/>
      <c r="K472" s="752"/>
    </row>
    <row r="473" spans="1:11">
      <c r="A473" s="781"/>
      <c r="B473" s="782"/>
      <c r="C473" s="783"/>
      <c r="D473" s="783"/>
      <c r="E473" s="808"/>
      <c r="F473" s="799"/>
      <c r="G473" s="799"/>
      <c r="H473" s="797"/>
      <c r="I473" s="754"/>
      <c r="J473" s="753"/>
      <c r="K473" s="752"/>
    </row>
    <row r="474" spans="1:11">
      <c r="A474" s="781"/>
      <c r="B474" s="782"/>
      <c r="C474" s="783"/>
      <c r="D474" s="783"/>
      <c r="E474" s="808"/>
      <c r="F474" s="799"/>
      <c r="G474" s="799"/>
      <c r="H474" s="797"/>
      <c r="I474" s="754"/>
      <c r="J474" s="753"/>
      <c r="K474" s="752"/>
    </row>
    <row r="475" spans="1:11">
      <c r="A475" s="781"/>
      <c r="B475" s="782"/>
      <c r="C475" s="783"/>
      <c r="D475" s="783"/>
      <c r="E475" s="808"/>
      <c r="F475" s="799"/>
      <c r="G475" s="799"/>
      <c r="H475" s="797"/>
      <c r="I475" s="754"/>
      <c r="J475" s="753"/>
      <c r="K475" s="752"/>
    </row>
    <row r="476" spans="1:11">
      <c r="A476" s="781"/>
      <c r="B476" s="782"/>
      <c r="C476" s="783"/>
      <c r="D476" s="783"/>
      <c r="E476" s="808"/>
      <c r="F476" s="799"/>
      <c r="G476" s="799"/>
      <c r="H476" s="797"/>
      <c r="I476" s="754"/>
      <c r="J476" s="753"/>
      <c r="K476" s="752"/>
    </row>
    <row r="477" spans="1:11">
      <c r="A477" s="781"/>
      <c r="B477" s="782"/>
      <c r="C477" s="783"/>
      <c r="D477" s="783"/>
      <c r="E477" s="808"/>
      <c r="F477" s="799"/>
      <c r="G477" s="799"/>
      <c r="H477" s="797"/>
      <c r="I477" s="754"/>
      <c r="J477" s="753"/>
      <c r="K477" s="752"/>
    </row>
    <row r="478" spans="1:11">
      <c r="A478" s="781"/>
      <c r="B478" s="782"/>
      <c r="C478" s="783"/>
      <c r="D478" s="783"/>
      <c r="E478" s="808"/>
      <c r="F478" s="799"/>
      <c r="G478" s="799"/>
      <c r="H478" s="797"/>
      <c r="I478" s="754"/>
      <c r="J478" s="753"/>
      <c r="K478" s="752"/>
    </row>
    <row r="479" spans="1:11">
      <c r="A479" s="781"/>
      <c r="B479" s="782"/>
      <c r="C479" s="783"/>
      <c r="D479" s="783"/>
      <c r="E479" s="808"/>
      <c r="F479" s="799"/>
      <c r="G479" s="799"/>
      <c r="H479" s="797"/>
      <c r="I479" s="754"/>
      <c r="J479" s="753"/>
      <c r="K479" s="752"/>
    </row>
    <row r="480" spans="1:11">
      <c r="A480" s="781"/>
      <c r="B480" s="782"/>
      <c r="C480" s="783"/>
      <c r="D480" s="783"/>
      <c r="E480" s="808"/>
      <c r="F480" s="799"/>
      <c r="G480" s="799"/>
      <c r="H480" s="797"/>
      <c r="I480" s="754"/>
      <c r="J480" s="753"/>
      <c r="K480" s="752"/>
    </row>
    <row r="481" spans="1:11">
      <c r="A481" s="781"/>
      <c r="B481" s="782"/>
      <c r="C481" s="783"/>
      <c r="D481" s="783"/>
      <c r="E481" s="808"/>
      <c r="F481" s="799"/>
      <c r="G481" s="799"/>
      <c r="H481" s="797"/>
      <c r="I481" s="754"/>
      <c r="J481" s="753"/>
      <c r="K481" s="752"/>
    </row>
    <row r="482" spans="1:11">
      <c r="A482" s="781"/>
      <c r="B482" s="782"/>
      <c r="C482" s="783"/>
      <c r="D482" s="783"/>
      <c r="E482" s="808"/>
      <c r="F482" s="799"/>
      <c r="G482" s="799"/>
      <c r="H482" s="797"/>
      <c r="I482" s="754"/>
      <c r="J482" s="753"/>
      <c r="K482" s="752"/>
    </row>
    <row r="483" spans="1:11">
      <c r="A483" s="781"/>
      <c r="B483" s="782"/>
      <c r="C483" s="783"/>
      <c r="D483" s="783"/>
      <c r="E483" s="808"/>
      <c r="F483" s="799"/>
      <c r="G483" s="799"/>
      <c r="H483" s="797"/>
      <c r="I483" s="754"/>
      <c r="J483" s="753"/>
      <c r="K483" s="752"/>
    </row>
    <row r="484" spans="1:11">
      <c r="A484" s="781"/>
      <c r="B484" s="782"/>
      <c r="C484" s="783"/>
      <c r="D484" s="783"/>
      <c r="E484" s="808"/>
      <c r="F484" s="799"/>
      <c r="G484" s="799"/>
      <c r="H484" s="797"/>
      <c r="I484" s="754"/>
      <c r="J484" s="753"/>
      <c r="K484" s="752"/>
    </row>
    <row r="485" spans="1:11">
      <c r="A485" s="781"/>
      <c r="B485" s="782"/>
      <c r="C485" s="783"/>
      <c r="D485" s="786"/>
      <c r="E485" s="807"/>
      <c r="F485" s="798"/>
      <c r="G485" s="798"/>
      <c r="H485" s="797"/>
      <c r="I485" s="754"/>
      <c r="J485" s="753"/>
      <c r="K485" s="752"/>
    </row>
    <row r="486" spans="1:11">
      <c r="A486" s="781"/>
      <c r="B486" s="782"/>
      <c r="C486" s="783"/>
      <c r="D486" s="783"/>
      <c r="E486" s="808"/>
      <c r="F486" s="799"/>
      <c r="G486" s="799"/>
      <c r="H486" s="797"/>
      <c r="I486" s="754"/>
      <c r="J486" s="753"/>
      <c r="K486" s="752"/>
    </row>
    <row r="487" spans="1:11">
      <c r="A487" s="781"/>
      <c r="B487" s="782"/>
      <c r="C487" s="783"/>
      <c r="D487" s="783"/>
      <c r="E487" s="808"/>
      <c r="F487" s="799"/>
      <c r="G487" s="799"/>
      <c r="H487" s="797"/>
      <c r="I487" s="754"/>
      <c r="J487" s="753"/>
      <c r="K487" s="752"/>
    </row>
    <row r="488" spans="1:11">
      <c r="A488" s="781"/>
      <c r="B488" s="782"/>
      <c r="C488" s="783"/>
      <c r="D488" s="786"/>
      <c r="E488" s="807"/>
      <c r="F488" s="798"/>
      <c r="G488" s="798"/>
      <c r="H488" s="797"/>
      <c r="I488" s="754"/>
      <c r="J488" s="753"/>
      <c r="K488" s="752"/>
    </row>
    <row r="489" spans="1:11">
      <c r="A489" s="781"/>
      <c r="B489" s="782"/>
      <c r="C489" s="783"/>
      <c r="D489" s="783"/>
      <c r="E489" s="808"/>
      <c r="F489" s="799"/>
      <c r="G489" s="799"/>
      <c r="H489" s="797"/>
      <c r="I489" s="754"/>
      <c r="J489" s="753"/>
      <c r="K489" s="752"/>
    </row>
    <row r="490" spans="1:11">
      <c r="A490" s="781"/>
      <c r="B490" s="782"/>
      <c r="C490" s="783"/>
      <c r="D490" s="783"/>
      <c r="E490" s="808"/>
      <c r="F490" s="799"/>
      <c r="G490" s="799"/>
      <c r="H490" s="797"/>
      <c r="I490" s="754"/>
      <c r="J490" s="753"/>
      <c r="K490" s="752"/>
    </row>
    <row r="491" spans="1:11">
      <c r="A491" s="781"/>
      <c r="B491" s="782"/>
      <c r="C491" s="783"/>
      <c r="D491" s="783"/>
      <c r="E491" s="808"/>
      <c r="F491" s="799"/>
      <c r="G491" s="799"/>
      <c r="H491" s="797"/>
      <c r="I491" s="754"/>
      <c r="J491" s="753"/>
      <c r="K491" s="752"/>
    </row>
    <row r="492" spans="1:11">
      <c r="A492" s="781"/>
      <c r="B492" s="782"/>
      <c r="C492" s="783"/>
      <c r="D492" s="783"/>
      <c r="E492" s="808"/>
      <c r="F492" s="799"/>
      <c r="G492" s="799"/>
      <c r="H492" s="797"/>
      <c r="I492" s="754"/>
      <c r="J492" s="753"/>
      <c r="K492" s="752"/>
    </row>
    <row r="493" spans="1:11">
      <c r="A493" s="781"/>
      <c r="B493" s="782"/>
      <c r="C493" s="783"/>
      <c r="D493" s="786"/>
      <c r="E493" s="807"/>
      <c r="F493" s="798"/>
      <c r="G493" s="798"/>
      <c r="H493" s="797"/>
      <c r="I493" s="754"/>
      <c r="J493" s="753"/>
      <c r="K493" s="752"/>
    </row>
    <row r="494" spans="1:11">
      <c r="A494" s="781"/>
      <c r="B494" s="782"/>
      <c r="C494" s="783"/>
      <c r="D494" s="784"/>
      <c r="E494" s="807"/>
      <c r="F494" s="798"/>
      <c r="G494" s="798"/>
      <c r="H494" s="797"/>
      <c r="I494" s="754"/>
      <c r="J494" s="753"/>
      <c r="K494" s="752"/>
    </row>
    <row r="495" spans="1:11">
      <c r="A495" s="781"/>
      <c r="B495" s="782"/>
      <c r="C495" s="783"/>
      <c r="D495" s="784"/>
      <c r="E495" s="807"/>
      <c r="F495" s="798"/>
      <c r="G495" s="798"/>
      <c r="H495" s="797"/>
      <c r="I495" s="754"/>
      <c r="J495" s="753"/>
      <c r="K495" s="752"/>
    </row>
    <row r="496" spans="1:11">
      <c r="A496" s="781"/>
      <c r="B496" s="782"/>
      <c r="C496" s="783"/>
      <c r="D496" s="784"/>
      <c r="E496" s="807"/>
      <c r="F496" s="798"/>
      <c r="G496" s="798"/>
      <c r="H496" s="797"/>
      <c r="I496" s="754"/>
      <c r="J496" s="753"/>
      <c r="K496" s="752"/>
    </row>
    <row r="497" spans="1:11">
      <c r="A497" s="781"/>
      <c r="B497" s="782"/>
      <c r="C497" s="783"/>
      <c r="D497" s="783"/>
      <c r="E497" s="808"/>
      <c r="F497" s="799"/>
      <c r="G497" s="799"/>
      <c r="H497" s="797"/>
      <c r="I497" s="754"/>
      <c r="J497" s="753"/>
      <c r="K497" s="752"/>
    </row>
    <row r="498" spans="1:11">
      <c r="A498" s="781"/>
      <c r="B498" s="782"/>
      <c r="C498" s="783"/>
      <c r="D498" s="783"/>
      <c r="E498" s="808"/>
      <c r="F498" s="799"/>
      <c r="G498" s="799"/>
      <c r="H498" s="797"/>
      <c r="I498" s="754"/>
      <c r="J498" s="753"/>
      <c r="K498" s="752"/>
    </row>
    <row r="499" spans="1:11">
      <c r="A499" s="781"/>
      <c r="B499" s="782"/>
      <c r="C499" s="783"/>
      <c r="D499" s="783"/>
      <c r="E499" s="808"/>
      <c r="F499" s="799"/>
      <c r="G499" s="799"/>
      <c r="H499" s="797"/>
      <c r="I499" s="754"/>
      <c r="J499" s="753"/>
      <c r="K499" s="752"/>
    </row>
    <row r="500" spans="1:11">
      <c r="A500" s="781"/>
      <c r="B500" s="782"/>
      <c r="C500" s="783"/>
      <c r="D500" s="783"/>
      <c r="E500" s="808"/>
      <c r="F500" s="799"/>
      <c r="G500" s="799"/>
      <c r="H500" s="797"/>
      <c r="I500" s="754"/>
      <c r="J500" s="753"/>
      <c r="K500" s="752"/>
    </row>
    <row r="501" spans="1:11">
      <c r="A501" s="781"/>
      <c r="B501" s="782"/>
      <c r="C501" s="783"/>
      <c r="D501" s="783"/>
      <c r="E501" s="808"/>
      <c r="F501" s="799"/>
      <c r="G501" s="799"/>
      <c r="H501" s="797"/>
      <c r="I501" s="754"/>
      <c r="J501" s="753"/>
      <c r="K501" s="752"/>
    </row>
    <row r="502" spans="1:11">
      <c r="A502" s="781"/>
      <c r="B502" s="782"/>
      <c r="C502" s="783"/>
      <c r="D502" s="783"/>
      <c r="E502" s="808"/>
      <c r="F502" s="799"/>
      <c r="G502" s="799"/>
      <c r="H502" s="797"/>
      <c r="I502" s="754"/>
      <c r="J502" s="753"/>
      <c r="K502" s="752"/>
    </row>
    <row r="503" spans="1:11">
      <c r="A503" s="781"/>
      <c r="B503" s="782"/>
      <c r="C503" s="783"/>
      <c r="D503" s="783"/>
      <c r="E503" s="808"/>
      <c r="F503" s="799"/>
      <c r="G503" s="799"/>
      <c r="H503" s="797"/>
      <c r="I503" s="754"/>
      <c r="J503" s="753"/>
      <c r="K503" s="752"/>
    </row>
    <row r="504" spans="1:11">
      <c r="A504" s="781"/>
      <c r="B504" s="782"/>
      <c r="C504" s="783"/>
      <c r="D504" s="783"/>
      <c r="E504" s="808"/>
      <c r="F504" s="799"/>
      <c r="G504" s="799"/>
      <c r="H504" s="797"/>
      <c r="I504" s="754"/>
      <c r="J504" s="753"/>
      <c r="K504" s="752"/>
    </row>
    <row r="505" spans="1:11">
      <c r="A505" s="781"/>
      <c r="B505" s="782"/>
      <c r="C505" s="783"/>
      <c r="D505" s="783"/>
      <c r="E505" s="808"/>
      <c r="F505" s="799"/>
      <c r="G505" s="799"/>
      <c r="H505" s="797"/>
      <c r="I505" s="754"/>
      <c r="J505" s="753"/>
      <c r="K505" s="752"/>
    </row>
    <row r="506" spans="1:11">
      <c r="A506" s="781"/>
      <c r="B506" s="782"/>
      <c r="C506" s="783"/>
      <c r="D506" s="783"/>
      <c r="E506" s="808"/>
      <c r="F506" s="799"/>
      <c r="G506" s="799"/>
      <c r="H506" s="797"/>
      <c r="I506" s="754"/>
      <c r="J506" s="753"/>
      <c r="K506" s="752"/>
    </row>
    <row r="507" spans="1:11">
      <c r="A507" s="781"/>
      <c r="B507" s="782"/>
      <c r="C507" s="783"/>
      <c r="D507" s="783"/>
      <c r="E507" s="808"/>
      <c r="F507" s="799"/>
      <c r="G507" s="799"/>
      <c r="H507" s="797"/>
      <c r="I507" s="754"/>
      <c r="J507" s="753"/>
      <c r="K507" s="752"/>
    </row>
    <row r="508" spans="1:11">
      <c r="A508" s="781"/>
      <c r="B508" s="782"/>
      <c r="C508" s="783"/>
      <c r="D508" s="783"/>
      <c r="E508" s="808"/>
      <c r="F508" s="799"/>
      <c r="G508" s="799"/>
      <c r="H508" s="797"/>
      <c r="I508" s="754"/>
      <c r="J508" s="753"/>
      <c r="K508" s="752"/>
    </row>
    <row r="509" spans="1:11">
      <c r="A509" s="781"/>
      <c r="B509" s="782"/>
      <c r="C509" s="783"/>
      <c r="D509" s="783"/>
      <c r="E509" s="808"/>
      <c r="F509" s="799"/>
      <c r="G509" s="799"/>
      <c r="H509" s="797"/>
      <c r="I509" s="754"/>
      <c r="J509" s="753"/>
      <c r="K509" s="752"/>
    </row>
    <row r="510" spans="1:11">
      <c r="A510" s="781"/>
      <c r="B510" s="782"/>
      <c r="C510" s="783"/>
      <c r="D510" s="783"/>
      <c r="E510" s="808"/>
      <c r="F510" s="799"/>
      <c r="G510" s="799"/>
      <c r="H510" s="797"/>
      <c r="I510" s="754"/>
      <c r="J510" s="753"/>
      <c r="K510" s="752"/>
    </row>
    <row r="511" spans="1:11">
      <c r="A511" s="781"/>
      <c r="B511" s="782"/>
      <c r="C511" s="783"/>
      <c r="D511" s="783"/>
      <c r="E511" s="808"/>
      <c r="F511" s="799"/>
      <c r="G511" s="799"/>
      <c r="H511" s="797"/>
      <c r="I511" s="754"/>
      <c r="J511" s="753"/>
      <c r="K511" s="752"/>
    </row>
    <row r="512" spans="1:11">
      <c r="A512" s="781"/>
      <c r="B512" s="782"/>
      <c r="C512" s="783"/>
      <c r="D512" s="791"/>
      <c r="E512" s="808"/>
      <c r="F512" s="799"/>
      <c r="G512" s="799"/>
      <c r="H512" s="797"/>
      <c r="I512" s="754"/>
      <c r="J512" s="753"/>
      <c r="K512" s="752"/>
    </row>
    <row r="513" spans="1:11">
      <c r="A513" s="781"/>
      <c r="B513" s="782"/>
      <c r="C513" s="783"/>
      <c r="D513" s="786"/>
      <c r="E513" s="807"/>
      <c r="F513" s="798"/>
      <c r="G513" s="798"/>
      <c r="H513" s="797"/>
      <c r="I513" s="754"/>
      <c r="J513" s="753"/>
      <c r="K513" s="752"/>
    </row>
    <row r="514" spans="1:11">
      <c r="A514" s="781"/>
      <c r="B514" s="782"/>
      <c r="C514" s="783"/>
      <c r="D514" s="784"/>
      <c r="E514" s="807"/>
      <c r="F514" s="798"/>
      <c r="G514" s="798"/>
      <c r="H514" s="797"/>
      <c r="I514" s="754"/>
      <c r="J514" s="753"/>
      <c r="K514" s="752"/>
    </row>
    <row r="515" spans="1:11">
      <c r="A515" s="781"/>
      <c r="B515" s="782"/>
      <c r="C515" s="783"/>
      <c r="D515" s="784"/>
      <c r="E515" s="807"/>
      <c r="F515" s="798"/>
      <c r="G515" s="798"/>
      <c r="H515" s="797"/>
      <c r="I515" s="754"/>
      <c r="J515" s="753"/>
      <c r="K515" s="752"/>
    </row>
    <row r="516" spans="1:11">
      <c r="A516" s="781"/>
      <c r="B516" s="782"/>
      <c r="C516" s="783"/>
      <c r="D516" s="783"/>
      <c r="E516" s="808"/>
      <c r="F516" s="799"/>
      <c r="G516" s="799"/>
      <c r="H516" s="797"/>
      <c r="I516" s="754"/>
      <c r="J516" s="753"/>
      <c r="K516" s="752"/>
    </row>
    <row r="517" spans="1:11">
      <c r="A517" s="781"/>
      <c r="B517" s="782"/>
      <c r="C517" s="783"/>
      <c r="D517" s="783"/>
      <c r="E517" s="808"/>
      <c r="F517" s="799"/>
      <c r="G517" s="799"/>
      <c r="H517" s="797"/>
      <c r="I517" s="754"/>
      <c r="J517" s="753"/>
      <c r="K517" s="752"/>
    </row>
    <row r="518" spans="1:11">
      <c r="A518" s="781"/>
      <c r="B518" s="782"/>
      <c r="C518" s="783"/>
      <c r="D518" s="783"/>
      <c r="E518" s="808"/>
      <c r="F518" s="799"/>
      <c r="G518" s="799"/>
      <c r="H518" s="797"/>
      <c r="I518" s="754"/>
      <c r="J518" s="753"/>
      <c r="K518" s="752"/>
    </row>
    <row r="519" spans="1:11">
      <c r="A519" s="781"/>
      <c r="B519" s="782"/>
      <c r="C519" s="783"/>
      <c r="D519" s="783"/>
      <c r="E519" s="808"/>
      <c r="F519" s="799"/>
      <c r="G519" s="799"/>
      <c r="H519" s="797"/>
      <c r="I519" s="754"/>
      <c r="J519" s="753"/>
      <c r="K519" s="752"/>
    </row>
    <row r="520" spans="1:11">
      <c r="A520" s="781"/>
      <c r="B520" s="782"/>
      <c r="C520" s="783"/>
      <c r="D520" s="783"/>
      <c r="E520" s="808"/>
      <c r="F520" s="799"/>
      <c r="G520" s="799"/>
      <c r="H520" s="797"/>
      <c r="I520" s="754"/>
      <c r="J520" s="753"/>
      <c r="K520" s="752"/>
    </row>
    <row r="521" spans="1:11">
      <c r="A521" s="781"/>
      <c r="B521" s="782"/>
      <c r="C521" s="783"/>
      <c r="D521" s="783"/>
      <c r="E521" s="808"/>
      <c r="F521" s="799"/>
      <c r="G521" s="799"/>
      <c r="H521" s="797"/>
      <c r="I521" s="754"/>
      <c r="J521" s="753"/>
      <c r="K521" s="752"/>
    </row>
    <row r="522" spans="1:11">
      <c r="A522" s="781"/>
      <c r="B522" s="782"/>
      <c r="C522" s="783"/>
      <c r="D522" s="783"/>
      <c r="E522" s="808"/>
      <c r="F522" s="799"/>
      <c r="G522" s="799"/>
      <c r="H522" s="797"/>
      <c r="I522" s="754"/>
      <c r="J522" s="753"/>
      <c r="K522" s="752"/>
    </row>
    <row r="523" spans="1:11">
      <c r="A523" s="781"/>
      <c r="B523" s="782"/>
      <c r="C523" s="783"/>
      <c r="D523" s="783"/>
      <c r="E523" s="808"/>
      <c r="F523" s="799"/>
      <c r="G523" s="799"/>
      <c r="H523" s="797"/>
      <c r="I523" s="754"/>
      <c r="J523" s="753"/>
      <c r="K523" s="752"/>
    </row>
    <row r="524" spans="1:11">
      <c r="A524" s="781"/>
      <c r="B524" s="782"/>
      <c r="C524" s="783"/>
      <c r="D524" s="783"/>
      <c r="E524" s="808"/>
      <c r="F524" s="799"/>
      <c r="G524" s="799"/>
      <c r="H524" s="797"/>
      <c r="I524" s="754"/>
      <c r="J524" s="753"/>
      <c r="K524" s="752"/>
    </row>
    <row r="525" spans="1:11">
      <c r="A525" s="781"/>
      <c r="B525" s="782"/>
      <c r="C525" s="783"/>
      <c r="D525" s="783"/>
      <c r="E525" s="808"/>
      <c r="F525" s="799"/>
      <c r="G525" s="799"/>
      <c r="H525" s="797"/>
      <c r="I525" s="754"/>
      <c r="J525" s="753"/>
      <c r="K525" s="752"/>
    </row>
    <row r="526" spans="1:11">
      <c r="A526" s="781"/>
      <c r="B526" s="782"/>
      <c r="C526" s="783"/>
      <c r="D526" s="783"/>
      <c r="E526" s="808"/>
      <c r="F526" s="799"/>
      <c r="G526" s="799"/>
      <c r="H526" s="797"/>
      <c r="I526" s="754"/>
      <c r="J526" s="753"/>
      <c r="K526" s="752"/>
    </row>
    <row r="527" spans="1:11">
      <c r="A527" s="781"/>
      <c r="B527" s="782"/>
      <c r="C527" s="783"/>
      <c r="D527" s="783"/>
      <c r="E527" s="808"/>
      <c r="F527" s="799"/>
      <c r="G527" s="799"/>
      <c r="H527" s="797"/>
      <c r="I527" s="754"/>
      <c r="J527" s="753"/>
      <c r="K527" s="752"/>
    </row>
    <row r="528" spans="1:11">
      <c r="A528" s="781"/>
      <c r="B528" s="782"/>
      <c r="C528" s="783"/>
      <c r="D528" s="783"/>
      <c r="E528" s="808"/>
      <c r="F528" s="799"/>
      <c r="G528" s="799"/>
      <c r="H528" s="797"/>
      <c r="I528" s="754"/>
      <c r="J528" s="753"/>
      <c r="K528" s="752"/>
    </row>
    <row r="529" spans="1:11">
      <c r="A529" s="781"/>
      <c r="B529" s="782"/>
      <c r="C529" s="783"/>
      <c r="D529" s="783"/>
      <c r="E529" s="808"/>
      <c r="F529" s="799"/>
      <c r="G529" s="799"/>
      <c r="H529" s="797"/>
      <c r="I529" s="754"/>
      <c r="J529" s="753"/>
      <c r="K529" s="752"/>
    </row>
    <row r="530" spans="1:11">
      <c r="A530" s="781"/>
      <c r="B530" s="782"/>
      <c r="C530" s="783"/>
      <c r="D530" s="783"/>
      <c r="E530" s="808"/>
      <c r="F530" s="799"/>
      <c r="G530" s="799"/>
      <c r="H530" s="797"/>
      <c r="I530" s="754"/>
      <c r="J530" s="753"/>
      <c r="K530" s="752"/>
    </row>
    <row r="531" spans="1:11">
      <c r="A531" s="781"/>
      <c r="B531" s="782"/>
      <c r="C531" s="783"/>
      <c r="D531" s="783"/>
      <c r="E531" s="808"/>
      <c r="F531" s="799"/>
      <c r="G531" s="799"/>
      <c r="H531" s="797"/>
      <c r="I531" s="754"/>
      <c r="J531" s="753"/>
      <c r="K531" s="752"/>
    </row>
    <row r="532" spans="1:11">
      <c r="A532" s="781"/>
      <c r="B532" s="782"/>
      <c r="C532" s="783"/>
      <c r="D532" s="783"/>
      <c r="E532" s="808"/>
      <c r="F532" s="799"/>
      <c r="G532" s="799"/>
      <c r="H532" s="797"/>
      <c r="I532" s="754"/>
      <c r="J532" s="753"/>
      <c r="K532" s="752"/>
    </row>
    <row r="533" spans="1:11">
      <c r="A533" s="781"/>
      <c r="B533" s="782"/>
      <c r="C533" s="783"/>
      <c r="D533" s="783"/>
      <c r="E533" s="808"/>
      <c r="F533" s="799"/>
      <c r="G533" s="799"/>
      <c r="H533" s="797"/>
      <c r="I533" s="754"/>
      <c r="J533" s="753"/>
      <c r="K533" s="752"/>
    </row>
    <row r="534" spans="1:11">
      <c r="A534" s="781"/>
      <c r="B534" s="782"/>
      <c r="C534" s="783"/>
      <c r="D534" s="783"/>
      <c r="E534" s="808"/>
      <c r="F534" s="799"/>
      <c r="G534" s="799"/>
      <c r="H534" s="797"/>
      <c r="I534" s="754"/>
      <c r="J534" s="753"/>
      <c r="K534" s="752"/>
    </row>
    <row r="535" spans="1:11">
      <c r="A535" s="781"/>
      <c r="B535" s="782"/>
      <c r="C535" s="783"/>
      <c r="D535" s="786"/>
      <c r="E535" s="807"/>
      <c r="F535" s="798"/>
      <c r="G535" s="798"/>
      <c r="H535" s="797"/>
      <c r="I535" s="754"/>
      <c r="J535" s="753"/>
      <c r="K535" s="752"/>
    </row>
    <row r="536" spans="1:11">
      <c r="A536" s="781"/>
      <c r="B536" s="782"/>
      <c r="C536" s="783"/>
      <c r="D536" s="784"/>
      <c r="E536" s="807"/>
      <c r="F536" s="798"/>
      <c r="G536" s="798"/>
      <c r="H536" s="797"/>
      <c r="I536" s="754"/>
      <c r="J536" s="753"/>
      <c r="K536" s="752"/>
    </row>
    <row r="537" spans="1:11">
      <c r="A537" s="781"/>
      <c r="B537" s="782"/>
      <c r="C537" s="783"/>
      <c r="D537" s="784"/>
      <c r="E537" s="807"/>
      <c r="F537" s="798"/>
      <c r="G537" s="798"/>
      <c r="H537" s="797"/>
      <c r="I537" s="754"/>
      <c r="J537" s="753"/>
      <c r="K537" s="752"/>
    </row>
    <row r="538" spans="1:11">
      <c r="A538" s="781"/>
      <c r="B538" s="782"/>
      <c r="C538" s="783"/>
      <c r="D538" s="784"/>
      <c r="E538" s="807"/>
      <c r="F538" s="798"/>
      <c r="G538" s="798"/>
      <c r="H538" s="797"/>
      <c r="I538" s="754"/>
      <c r="J538" s="753"/>
      <c r="K538" s="752"/>
    </row>
    <row r="539" spans="1:11">
      <c r="A539" s="781"/>
      <c r="B539" s="782"/>
      <c r="C539" s="783"/>
      <c r="D539" s="784"/>
      <c r="E539" s="807"/>
      <c r="F539" s="798"/>
      <c r="G539" s="798"/>
      <c r="H539" s="797"/>
      <c r="I539" s="754"/>
      <c r="J539" s="753"/>
      <c r="K539" s="752"/>
    </row>
    <row r="540" spans="1:11">
      <c r="A540" s="781"/>
      <c r="B540" s="782"/>
      <c r="C540" s="783"/>
      <c r="D540" s="783"/>
      <c r="E540" s="808"/>
      <c r="F540" s="799"/>
      <c r="G540" s="799"/>
      <c r="H540" s="797"/>
      <c r="I540" s="754"/>
      <c r="J540" s="753"/>
      <c r="K540" s="752"/>
    </row>
    <row r="541" spans="1:11">
      <c r="A541" s="781"/>
      <c r="B541" s="782"/>
      <c r="C541" s="783"/>
      <c r="D541" s="783"/>
      <c r="E541" s="808"/>
      <c r="F541" s="799"/>
      <c r="G541" s="799"/>
      <c r="H541" s="797"/>
      <c r="I541" s="754"/>
      <c r="J541" s="753"/>
      <c r="K541" s="752"/>
    </row>
    <row r="542" spans="1:11">
      <c r="A542" s="781"/>
      <c r="B542" s="782"/>
      <c r="C542" s="783"/>
      <c r="D542" s="783"/>
      <c r="E542" s="808"/>
      <c r="F542" s="799"/>
      <c r="G542" s="799"/>
      <c r="H542" s="797"/>
      <c r="I542" s="754"/>
      <c r="J542" s="753"/>
      <c r="K542" s="752"/>
    </row>
    <row r="543" spans="1:11">
      <c r="A543" s="781"/>
      <c r="B543" s="782"/>
      <c r="C543" s="783"/>
      <c r="D543" s="783"/>
      <c r="E543" s="808"/>
      <c r="F543" s="799"/>
      <c r="G543" s="799"/>
      <c r="H543" s="797"/>
      <c r="I543" s="754"/>
      <c r="J543" s="753"/>
      <c r="K543" s="752"/>
    </row>
    <row r="544" spans="1:11">
      <c r="A544" s="781"/>
      <c r="B544" s="782"/>
      <c r="C544" s="783"/>
      <c r="D544" s="783"/>
      <c r="E544" s="808"/>
      <c r="F544" s="799"/>
      <c r="G544" s="799"/>
      <c r="H544" s="797"/>
      <c r="I544" s="754"/>
      <c r="J544" s="753"/>
      <c r="K544" s="752"/>
    </row>
    <row r="545" spans="1:11">
      <c r="A545" s="781"/>
      <c r="B545" s="782"/>
      <c r="C545" s="783"/>
      <c r="D545" s="783"/>
      <c r="E545" s="808"/>
      <c r="F545" s="799"/>
      <c r="G545" s="799"/>
      <c r="H545" s="797"/>
      <c r="I545" s="754"/>
      <c r="J545" s="753"/>
      <c r="K545" s="752"/>
    </row>
    <row r="546" spans="1:11">
      <c r="A546" s="781"/>
      <c r="B546" s="782"/>
      <c r="C546" s="783"/>
      <c r="D546" s="783"/>
      <c r="E546" s="808"/>
      <c r="F546" s="799"/>
      <c r="G546" s="799"/>
      <c r="H546" s="797"/>
      <c r="I546" s="754"/>
      <c r="J546" s="753"/>
      <c r="K546" s="752"/>
    </row>
    <row r="547" spans="1:11">
      <c r="A547" s="781"/>
      <c r="B547" s="782"/>
      <c r="C547" s="783"/>
      <c r="D547" s="783"/>
      <c r="E547" s="808"/>
      <c r="F547" s="799"/>
      <c r="G547" s="799"/>
      <c r="H547" s="797"/>
      <c r="I547" s="754"/>
      <c r="J547" s="753"/>
      <c r="K547" s="752"/>
    </row>
    <row r="548" spans="1:11">
      <c r="A548" s="781"/>
      <c r="B548" s="782"/>
      <c r="C548" s="783"/>
      <c r="D548" s="783"/>
      <c r="E548" s="808"/>
      <c r="F548" s="799"/>
      <c r="G548" s="799"/>
      <c r="H548" s="797"/>
      <c r="I548" s="754"/>
      <c r="J548" s="753"/>
      <c r="K548" s="752"/>
    </row>
    <row r="549" spans="1:11">
      <c r="A549" s="781"/>
      <c r="B549" s="782"/>
      <c r="C549" s="783"/>
      <c r="D549" s="783"/>
      <c r="E549" s="808"/>
      <c r="F549" s="799"/>
      <c r="G549" s="799"/>
      <c r="H549" s="797"/>
      <c r="I549" s="754"/>
      <c r="J549" s="753"/>
      <c r="K549" s="752"/>
    </row>
    <row r="550" spans="1:11">
      <c r="A550" s="781"/>
      <c r="B550" s="782"/>
      <c r="C550" s="783"/>
      <c r="D550" s="783"/>
      <c r="E550" s="808"/>
      <c r="F550" s="799"/>
      <c r="G550" s="799"/>
      <c r="H550" s="797"/>
      <c r="I550" s="754"/>
      <c r="J550" s="753"/>
      <c r="K550" s="752"/>
    </row>
    <row r="551" spans="1:11">
      <c r="A551" s="781"/>
      <c r="B551" s="782"/>
      <c r="C551" s="783"/>
      <c r="D551" s="783"/>
      <c r="E551" s="808"/>
      <c r="F551" s="799"/>
      <c r="G551" s="799"/>
      <c r="H551" s="797"/>
      <c r="I551" s="754"/>
      <c r="J551" s="753"/>
      <c r="K551" s="752"/>
    </row>
    <row r="552" spans="1:11">
      <c r="A552" s="781"/>
      <c r="B552" s="782"/>
      <c r="C552" s="783"/>
      <c r="D552" s="783"/>
      <c r="E552" s="808"/>
      <c r="F552" s="799"/>
      <c r="G552" s="799"/>
      <c r="H552" s="797"/>
      <c r="I552" s="754"/>
      <c r="J552" s="753"/>
      <c r="K552" s="752"/>
    </row>
    <row r="553" spans="1:11">
      <c r="A553" s="781"/>
      <c r="B553" s="782"/>
      <c r="C553" s="783"/>
      <c r="D553" s="783"/>
      <c r="E553" s="808"/>
      <c r="F553" s="799"/>
      <c r="G553" s="799"/>
      <c r="H553" s="797"/>
      <c r="I553" s="754"/>
      <c r="J553" s="753"/>
      <c r="K553" s="752"/>
    </row>
    <row r="554" spans="1:11">
      <c r="A554" s="781"/>
      <c r="B554" s="782"/>
      <c r="C554" s="783"/>
      <c r="D554" s="783"/>
      <c r="E554" s="808"/>
      <c r="F554" s="799"/>
      <c r="G554" s="799"/>
      <c r="H554" s="797"/>
      <c r="I554" s="754"/>
      <c r="J554" s="753"/>
      <c r="K554" s="752"/>
    </row>
    <row r="555" spans="1:11">
      <c r="A555" s="781"/>
      <c r="B555" s="782"/>
      <c r="C555" s="783"/>
      <c r="D555" s="783"/>
      <c r="E555" s="808"/>
      <c r="F555" s="799"/>
      <c r="G555" s="799"/>
      <c r="H555" s="797"/>
      <c r="I555" s="754"/>
      <c r="J555" s="753"/>
      <c r="K555" s="752"/>
    </row>
    <row r="556" spans="1:11">
      <c r="A556" s="781"/>
      <c r="B556" s="782"/>
      <c r="C556" s="783"/>
      <c r="D556" s="783"/>
      <c r="E556" s="808"/>
      <c r="F556" s="799"/>
      <c r="G556" s="799"/>
      <c r="H556" s="797"/>
      <c r="I556" s="754"/>
      <c r="J556" s="753"/>
      <c r="K556" s="752"/>
    </row>
    <row r="557" spans="1:11">
      <c r="A557" s="781"/>
      <c r="B557" s="782"/>
      <c r="C557" s="783"/>
      <c r="D557" s="783"/>
      <c r="E557" s="808"/>
      <c r="F557" s="799"/>
      <c r="G557" s="799"/>
      <c r="H557" s="797"/>
      <c r="I557" s="754"/>
      <c r="J557" s="753"/>
      <c r="K557" s="752"/>
    </row>
    <row r="558" spans="1:11">
      <c r="A558" s="781"/>
      <c r="B558" s="782"/>
      <c r="C558" s="783"/>
      <c r="D558" s="783"/>
      <c r="E558" s="808"/>
      <c r="F558" s="799"/>
      <c r="G558" s="799"/>
      <c r="H558" s="797"/>
      <c r="I558" s="754"/>
      <c r="J558" s="753"/>
      <c r="K558" s="752"/>
    </row>
    <row r="559" spans="1:11">
      <c r="A559" s="781"/>
      <c r="B559" s="782"/>
      <c r="C559" s="783"/>
      <c r="D559" s="783"/>
      <c r="E559" s="808"/>
      <c r="F559" s="799"/>
      <c r="G559" s="799"/>
      <c r="H559" s="797"/>
      <c r="I559" s="754"/>
      <c r="J559" s="753"/>
      <c r="K559" s="752"/>
    </row>
    <row r="560" spans="1:11">
      <c r="A560" s="781"/>
      <c r="B560" s="782"/>
      <c r="C560" s="783"/>
      <c r="D560" s="783"/>
      <c r="E560" s="808"/>
      <c r="F560" s="799"/>
      <c r="G560" s="799"/>
      <c r="H560" s="797"/>
      <c r="I560" s="754"/>
      <c r="J560" s="753"/>
      <c r="K560" s="752"/>
    </row>
    <row r="561" spans="1:11">
      <c r="A561" s="781"/>
      <c r="B561" s="782"/>
      <c r="C561" s="783"/>
      <c r="D561" s="783"/>
      <c r="E561" s="808"/>
      <c r="F561" s="799"/>
      <c r="G561" s="799"/>
      <c r="H561" s="797"/>
      <c r="I561" s="754"/>
      <c r="J561" s="753"/>
      <c r="K561" s="752"/>
    </row>
    <row r="562" spans="1:11">
      <c r="A562" s="781"/>
      <c r="B562" s="782"/>
      <c r="C562" s="783"/>
      <c r="D562" s="783"/>
      <c r="E562" s="808"/>
      <c r="F562" s="799"/>
      <c r="G562" s="799"/>
      <c r="H562" s="797"/>
      <c r="I562" s="754"/>
      <c r="J562" s="753"/>
      <c r="K562" s="752"/>
    </row>
    <row r="563" spans="1:11">
      <c r="A563" s="781"/>
      <c r="B563" s="782"/>
      <c r="C563" s="783"/>
      <c r="D563" s="783"/>
      <c r="E563" s="808"/>
      <c r="F563" s="799"/>
      <c r="G563" s="799"/>
      <c r="H563" s="797"/>
      <c r="I563" s="754"/>
      <c r="J563" s="753"/>
      <c r="K563" s="752"/>
    </row>
    <row r="564" spans="1:11">
      <c r="A564" s="781"/>
      <c r="B564" s="782"/>
      <c r="C564" s="783"/>
      <c r="D564" s="783"/>
      <c r="E564" s="808"/>
      <c r="F564" s="799"/>
      <c r="G564" s="799"/>
      <c r="H564" s="797"/>
      <c r="I564" s="754"/>
      <c r="J564" s="753"/>
      <c r="K564" s="752"/>
    </row>
    <row r="565" spans="1:11">
      <c r="A565" s="781"/>
      <c r="B565" s="782"/>
      <c r="C565" s="783"/>
      <c r="D565" s="783"/>
      <c r="E565" s="808"/>
      <c r="F565" s="799"/>
      <c r="G565" s="799"/>
      <c r="H565" s="797"/>
      <c r="I565" s="754"/>
      <c r="J565" s="753"/>
      <c r="K565" s="752"/>
    </row>
    <row r="566" spans="1:11">
      <c r="A566" s="781"/>
      <c r="B566" s="782"/>
      <c r="C566" s="783"/>
      <c r="D566" s="783"/>
      <c r="E566" s="808"/>
      <c r="F566" s="799"/>
      <c r="G566" s="799"/>
      <c r="H566" s="797"/>
      <c r="I566" s="754"/>
      <c r="J566" s="753"/>
      <c r="K566" s="752"/>
    </row>
    <row r="567" spans="1:11">
      <c r="A567" s="781"/>
      <c r="B567" s="782"/>
      <c r="C567" s="783"/>
      <c r="D567" s="791"/>
      <c r="E567" s="805"/>
      <c r="F567" s="799"/>
      <c r="G567" s="799"/>
      <c r="H567" s="797"/>
      <c r="I567" s="754"/>
      <c r="J567" s="753"/>
      <c r="K567" s="752"/>
    </row>
    <row r="568" spans="1:11">
      <c r="A568" s="781"/>
      <c r="B568" s="782"/>
      <c r="C568" s="783"/>
      <c r="D568" s="791"/>
      <c r="E568" s="805"/>
      <c r="F568" s="799"/>
      <c r="G568" s="799"/>
      <c r="H568" s="797"/>
      <c r="I568" s="754"/>
      <c r="J568" s="753"/>
      <c r="K568" s="752"/>
    </row>
    <row r="569" spans="1:11">
      <c r="A569" s="781"/>
      <c r="B569" s="782"/>
      <c r="C569" s="783"/>
      <c r="D569" s="791"/>
      <c r="E569" s="808"/>
      <c r="F569" s="799"/>
      <c r="G569" s="799"/>
      <c r="H569" s="797"/>
      <c r="I569" s="754"/>
      <c r="J569" s="753"/>
      <c r="K569" s="752"/>
    </row>
    <row r="570" spans="1:11">
      <c r="A570" s="781"/>
      <c r="B570" s="782"/>
      <c r="C570" s="783"/>
      <c r="D570" s="791"/>
      <c r="E570" s="808"/>
      <c r="F570" s="799"/>
      <c r="G570" s="799"/>
      <c r="H570" s="797"/>
      <c r="I570" s="754"/>
      <c r="J570" s="753"/>
      <c r="K570" s="752"/>
    </row>
    <row r="571" spans="1:11">
      <c r="A571" s="781"/>
      <c r="B571" s="782"/>
      <c r="C571" s="783"/>
      <c r="D571" s="791"/>
      <c r="E571" s="808"/>
      <c r="F571" s="799"/>
      <c r="G571" s="799"/>
      <c r="H571" s="797"/>
      <c r="I571" s="754"/>
      <c r="J571" s="753"/>
      <c r="K571" s="752"/>
    </row>
    <row r="572" spans="1:11">
      <c r="A572" s="781"/>
      <c r="B572" s="782"/>
      <c r="C572" s="783"/>
      <c r="D572" s="786"/>
      <c r="E572" s="807"/>
      <c r="F572" s="798"/>
      <c r="G572" s="798"/>
      <c r="H572" s="797"/>
      <c r="I572" s="754"/>
      <c r="J572" s="753"/>
      <c r="K572" s="752"/>
    </row>
    <row r="573" spans="1:11">
      <c r="A573" s="781"/>
      <c r="B573" s="782"/>
      <c r="C573" s="783"/>
      <c r="D573" s="784"/>
      <c r="E573" s="807"/>
      <c r="F573" s="798"/>
      <c r="G573" s="798"/>
      <c r="H573" s="797"/>
      <c r="I573" s="754"/>
      <c r="J573" s="753"/>
      <c r="K573" s="752"/>
    </row>
    <row r="574" spans="1:11">
      <c r="A574" s="781"/>
      <c r="B574" s="782"/>
      <c r="C574" s="783"/>
      <c r="D574" s="784"/>
      <c r="E574" s="807"/>
      <c r="F574" s="798"/>
      <c r="G574" s="798"/>
      <c r="H574" s="797"/>
      <c r="I574" s="754"/>
      <c r="J574" s="753"/>
      <c r="K574" s="752"/>
    </row>
    <row r="575" spans="1:11">
      <c r="A575" s="781"/>
      <c r="B575" s="782"/>
      <c r="C575" s="783"/>
      <c r="D575" s="783"/>
      <c r="E575" s="808"/>
      <c r="F575" s="799"/>
      <c r="G575" s="799"/>
      <c r="H575" s="797"/>
      <c r="I575" s="754"/>
      <c r="J575" s="753"/>
      <c r="K575" s="752"/>
    </row>
    <row r="576" spans="1:11">
      <c r="A576" s="781"/>
      <c r="B576" s="782"/>
      <c r="C576" s="783"/>
      <c r="D576" s="783"/>
      <c r="E576" s="808"/>
      <c r="F576" s="799"/>
      <c r="G576" s="799"/>
      <c r="H576" s="797"/>
      <c r="I576" s="754"/>
      <c r="J576" s="753"/>
      <c r="K576" s="752"/>
    </row>
    <row r="577" spans="1:11">
      <c r="A577" s="781"/>
      <c r="B577" s="782"/>
      <c r="C577" s="783"/>
      <c r="D577" s="783"/>
      <c r="E577" s="808"/>
      <c r="F577" s="799"/>
      <c r="G577" s="799"/>
      <c r="H577" s="797"/>
      <c r="I577" s="754"/>
      <c r="J577" s="753"/>
      <c r="K577" s="752"/>
    </row>
    <row r="578" spans="1:11">
      <c r="A578" s="781"/>
      <c r="B578" s="782"/>
      <c r="C578" s="783"/>
      <c r="D578" s="783"/>
      <c r="E578" s="808"/>
      <c r="F578" s="799"/>
      <c r="G578" s="799"/>
      <c r="H578" s="797"/>
      <c r="I578" s="754"/>
      <c r="J578" s="753"/>
      <c r="K578" s="752"/>
    </row>
    <row r="579" spans="1:11">
      <c r="A579" s="781"/>
      <c r="B579" s="782"/>
      <c r="C579" s="783"/>
      <c r="D579" s="783"/>
      <c r="E579" s="808"/>
      <c r="F579" s="799"/>
      <c r="G579" s="799"/>
      <c r="H579" s="797"/>
      <c r="I579" s="754"/>
      <c r="J579" s="753"/>
      <c r="K579" s="752"/>
    </row>
    <row r="580" spans="1:11">
      <c r="A580" s="781"/>
      <c r="B580" s="782"/>
      <c r="C580" s="783"/>
      <c r="D580" s="783"/>
      <c r="E580" s="808"/>
      <c r="F580" s="799"/>
      <c r="G580" s="799"/>
      <c r="H580" s="797"/>
      <c r="I580" s="754"/>
      <c r="J580" s="753"/>
      <c r="K580" s="752"/>
    </row>
    <row r="581" spans="1:11">
      <c r="A581" s="781"/>
      <c r="B581" s="782"/>
      <c r="C581" s="783"/>
      <c r="D581" s="783"/>
      <c r="E581" s="808"/>
      <c r="F581" s="799"/>
      <c r="G581" s="799"/>
      <c r="H581" s="797"/>
      <c r="I581" s="754"/>
      <c r="J581" s="753"/>
      <c r="K581" s="752"/>
    </row>
    <row r="582" spans="1:11">
      <c r="A582" s="781"/>
      <c r="B582" s="782"/>
      <c r="C582" s="783"/>
      <c r="D582" s="785"/>
      <c r="E582" s="808"/>
      <c r="F582" s="799"/>
      <c r="G582" s="799"/>
      <c r="H582" s="797"/>
      <c r="I582" s="754"/>
      <c r="J582" s="753"/>
      <c r="K582" s="752"/>
    </row>
    <row r="583" spans="1:11">
      <c r="A583" s="781"/>
      <c r="B583" s="782"/>
      <c r="C583" s="783"/>
      <c r="D583" s="785"/>
      <c r="E583" s="808"/>
      <c r="F583" s="799"/>
      <c r="G583" s="799"/>
      <c r="H583" s="797"/>
      <c r="I583" s="754"/>
      <c r="J583" s="753"/>
      <c r="K583" s="752"/>
    </row>
    <row r="584" spans="1:11">
      <c r="A584" s="781"/>
      <c r="B584" s="782"/>
      <c r="C584" s="783"/>
      <c r="D584" s="785"/>
      <c r="E584" s="808"/>
      <c r="F584" s="799"/>
      <c r="G584" s="799"/>
      <c r="H584" s="797"/>
      <c r="I584" s="754"/>
      <c r="J584" s="753"/>
      <c r="K584" s="752"/>
    </row>
    <row r="585" spans="1:11">
      <c r="A585" s="781"/>
      <c r="B585" s="782"/>
      <c r="C585" s="783"/>
      <c r="D585" s="783"/>
      <c r="E585" s="808"/>
      <c r="F585" s="799"/>
      <c r="G585" s="799"/>
      <c r="H585" s="797"/>
      <c r="I585" s="754"/>
      <c r="J585" s="753"/>
      <c r="K585" s="752"/>
    </row>
    <row r="586" spans="1:11">
      <c r="A586" s="781"/>
      <c r="B586" s="782"/>
      <c r="C586" s="783"/>
      <c r="D586" s="783"/>
      <c r="E586" s="808"/>
      <c r="F586" s="799"/>
      <c r="G586" s="799"/>
      <c r="H586" s="797"/>
      <c r="I586" s="754"/>
      <c r="J586" s="753"/>
      <c r="K586" s="752"/>
    </row>
    <row r="587" spans="1:11">
      <c r="A587" s="781"/>
      <c r="B587" s="782"/>
      <c r="C587" s="783"/>
      <c r="D587" s="783"/>
      <c r="E587" s="808"/>
      <c r="F587" s="799"/>
      <c r="G587" s="799"/>
      <c r="H587" s="797"/>
      <c r="I587" s="754"/>
      <c r="J587" s="753"/>
      <c r="K587" s="752"/>
    </row>
    <row r="588" spans="1:11">
      <c r="A588" s="781"/>
      <c r="B588" s="782"/>
      <c r="C588" s="783"/>
      <c r="D588" s="783"/>
      <c r="E588" s="808"/>
      <c r="F588" s="799"/>
      <c r="G588" s="799"/>
      <c r="H588" s="797"/>
      <c r="I588" s="754"/>
      <c r="J588" s="753"/>
      <c r="K588" s="752"/>
    </row>
    <row r="589" spans="1:11">
      <c r="A589" s="781"/>
      <c r="B589" s="782"/>
      <c r="C589" s="783"/>
      <c r="D589" s="786"/>
      <c r="E589" s="807"/>
      <c r="F589" s="798"/>
      <c r="G589" s="798"/>
      <c r="H589" s="797"/>
      <c r="I589" s="754"/>
      <c r="J589" s="753"/>
      <c r="K589" s="752"/>
    </row>
    <row r="590" spans="1:11">
      <c r="A590" s="781"/>
      <c r="B590" s="782"/>
      <c r="C590" s="783"/>
      <c r="D590" s="784"/>
      <c r="E590" s="807"/>
      <c r="F590" s="798"/>
      <c r="G590" s="798"/>
      <c r="H590" s="797"/>
      <c r="I590" s="754"/>
      <c r="J590" s="753"/>
      <c r="K590" s="752"/>
    </row>
    <row r="591" spans="1:11">
      <c r="A591" s="781"/>
      <c r="B591" s="782"/>
      <c r="C591" s="783"/>
      <c r="D591" s="783"/>
      <c r="E591" s="808"/>
      <c r="F591" s="799"/>
      <c r="G591" s="799"/>
      <c r="H591" s="797"/>
      <c r="I591" s="754"/>
      <c r="J591" s="753"/>
      <c r="K591" s="752"/>
    </row>
    <row r="592" spans="1:11">
      <c r="A592" s="781"/>
      <c r="B592" s="782"/>
      <c r="C592" s="783"/>
      <c r="D592" s="783"/>
      <c r="E592" s="808"/>
      <c r="F592" s="799"/>
      <c r="G592" s="799"/>
      <c r="H592" s="797"/>
      <c r="I592" s="754"/>
      <c r="J592" s="753"/>
      <c r="K592" s="752"/>
    </row>
    <row r="593" spans="1:11">
      <c r="A593" s="781"/>
      <c r="B593" s="782"/>
      <c r="C593" s="783"/>
      <c r="D593" s="783"/>
      <c r="E593" s="808"/>
      <c r="F593" s="799"/>
      <c r="G593" s="799"/>
      <c r="H593" s="797"/>
      <c r="I593" s="754"/>
      <c r="J593" s="753"/>
      <c r="K593" s="752"/>
    </row>
    <row r="594" spans="1:11">
      <c r="A594" s="781"/>
      <c r="B594" s="782"/>
      <c r="C594" s="783"/>
      <c r="D594" s="783"/>
      <c r="E594" s="808"/>
      <c r="F594" s="799"/>
      <c r="G594" s="799"/>
      <c r="H594" s="797"/>
      <c r="I594" s="754"/>
      <c r="J594" s="753"/>
      <c r="K594" s="752"/>
    </row>
    <row r="595" spans="1:11">
      <c r="A595" s="781"/>
      <c r="B595" s="782"/>
      <c r="C595" s="783"/>
      <c r="D595" s="783"/>
      <c r="E595" s="808"/>
      <c r="F595" s="799"/>
      <c r="G595" s="799"/>
      <c r="H595" s="797"/>
      <c r="I595" s="754"/>
      <c r="J595" s="753"/>
      <c r="K595" s="752"/>
    </row>
    <row r="596" spans="1:11">
      <c r="A596" s="781"/>
      <c r="B596" s="782"/>
      <c r="C596" s="783"/>
      <c r="D596" s="786"/>
      <c r="E596" s="807"/>
      <c r="F596" s="798"/>
      <c r="G596" s="798"/>
      <c r="H596" s="797"/>
      <c r="I596" s="754"/>
      <c r="J596" s="753"/>
      <c r="K596" s="752"/>
    </row>
    <row r="597" spans="1:11">
      <c r="A597" s="781"/>
      <c r="B597" s="782"/>
      <c r="C597" s="783"/>
      <c r="D597" s="784"/>
      <c r="E597" s="807"/>
      <c r="F597" s="798"/>
      <c r="G597" s="798"/>
      <c r="H597" s="797"/>
      <c r="I597" s="754"/>
      <c r="J597" s="753"/>
      <c r="K597" s="752"/>
    </row>
    <row r="598" spans="1:11">
      <c r="A598" s="781"/>
      <c r="B598" s="782"/>
      <c r="C598" s="783"/>
      <c r="D598" s="783"/>
      <c r="E598" s="808"/>
      <c r="F598" s="799"/>
      <c r="G598" s="799"/>
      <c r="H598" s="797"/>
      <c r="I598" s="754"/>
      <c r="J598" s="753"/>
      <c r="K598" s="752"/>
    </row>
    <row r="599" spans="1:11">
      <c r="A599" s="781"/>
      <c r="B599" s="782"/>
      <c r="C599" s="783"/>
      <c r="D599" s="783"/>
      <c r="E599" s="808"/>
      <c r="F599" s="799"/>
      <c r="G599" s="799"/>
      <c r="H599" s="797"/>
      <c r="I599" s="754"/>
      <c r="J599" s="753"/>
      <c r="K599" s="752"/>
    </row>
    <row r="600" spans="1:11">
      <c r="A600" s="781"/>
      <c r="B600" s="782"/>
      <c r="C600" s="783"/>
      <c r="D600" s="783"/>
      <c r="E600" s="808"/>
      <c r="F600" s="799"/>
      <c r="G600" s="799"/>
      <c r="H600" s="797"/>
      <c r="I600" s="754"/>
      <c r="J600" s="753"/>
      <c r="K600" s="752"/>
    </row>
    <row r="601" spans="1:11">
      <c r="A601" s="781"/>
      <c r="B601" s="782"/>
      <c r="C601" s="783"/>
      <c r="D601" s="783"/>
      <c r="E601" s="808"/>
      <c r="F601" s="799"/>
      <c r="G601" s="799"/>
      <c r="H601" s="797"/>
      <c r="I601" s="754"/>
      <c r="J601" s="753"/>
      <c r="K601" s="752"/>
    </row>
    <row r="602" spans="1:11">
      <c r="A602" s="781"/>
      <c r="B602" s="782"/>
      <c r="C602" s="783"/>
      <c r="D602" s="783"/>
      <c r="E602" s="808"/>
      <c r="F602" s="799"/>
      <c r="G602" s="799"/>
      <c r="H602" s="797"/>
      <c r="I602" s="754"/>
      <c r="J602" s="753"/>
      <c r="K602" s="752"/>
    </row>
    <row r="603" spans="1:11">
      <c r="A603" s="781"/>
      <c r="B603" s="782"/>
      <c r="C603" s="783"/>
      <c r="D603" s="786"/>
      <c r="E603" s="807"/>
      <c r="F603" s="798"/>
      <c r="G603" s="798"/>
      <c r="H603" s="797"/>
      <c r="I603" s="754"/>
      <c r="J603" s="753"/>
      <c r="K603" s="752"/>
    </row>
    <row r="604" spans="1:11">
      <c r="A604" s="781"/>
      <c r="B604" s="782"/>
      <c r="C604" s="783"/>
      <c r="D604" s="783"/>
      <c r="E604" s="808"/>
      <c r="F604" s="799"/>
      <c r="G604" s="799"/>
      <c r="H604" s="797"/>
      <c r="I604" s="754"/>
      <c r="J604" s="753"/>
      <c r="K604" s="752"/>
    </row>
    <row r="605" spans="1:11">
      <c r="A605" s="781"/>
      <c r="B605" s="782"/>
      <c r="C605" s="783"/>
      <c r="D605" s="786"/>
      <c r="E605" s="807"/>
      <c r="F605" s="798"/>
      <c r="G605" s="799"/>
      <c r="H605" s="797"/>
      <c r="I605" s="754"/>
      <c r="J605" s="753"/>
      <c r="K605" s="752"/>
    </row>
    <row r="606" spans="1:11">
      <c r="A606" s="781"/>
      <c r="B606" s="782"/>
      <c r="C606" s="783"/>
      <c r="D606" s="783"/>
      <c r="E606" s="808"/>
      <c r="F606" s="799"/>
      <c r="G606" s="799"/>
      <c r="H606" s="797"/>
      <c r="I606" s="754"/>
      <c r="J606" s="753"/>
      <c r="K606" s="752"/>
    </row>
    <row r="607" spans="1:11">
      <c r="A607" s="781"/>
      <c r="B607" s="782"/>
      <c r="C607" s="783"/>
      <c r="D607" s="786"/>
      <c r="E607" s="807"/>
      <c r="F607" s="798"/>
      <c r="G607" s="798"/>
      <c r="H607" s="797"/>
      <c r="I607" s="754"/>
      <c r="J607" s="753"/>
      <c r="K607" s="752"/>
    </row>
    <row r="608" spans="1:11">
      <c r="A608" s="781"/>
      <c r="B608" s="782"/>
      <c r="C608" s="783"/>
      <c r="D608" s="784"/>
      <c r="E608" s="807"/>
      <c r="F608" s="798"/>
      <c r="G608" s="798"/>
      <c r="H608" s="797"/>
      <c r="I608" s="754"/>
      <c r="J608" s="753"/>
      <c r="K608" s="752"/>
    </row>
    <row r="609" spans="1:11">
      <c r="A609" s="781"/>
      <c r="B609" s="782"/>
      <c r="C609" s="783"/>
      <c r="D609" s="784"/>
      <c r="E609" s="807"/>
      <c r="F609" s="798"/>
      <c r="G609" s="798"/>
      <c r="H609" s="797"/>
      <c r="I609" s="754"/>
      <c r="J609" s="753"/>
      <c r="K609" s="752"/>
    </row>
    <row r="610" spans="1:11">
      <c r="A610" s="781"/>
      <c r="B610" s="782"/>
      <c r="C610" s="783"/>
      <c r="D610" s="784"/>
      <c r="E610" s="807"/>
      <c r="F610" s="798"/>
      <c r="G610" s="798"/>
      <c r="H610" s="797"/>
      <c r="I610" s="754"/>
      <c r="J610" s="753"/>
      <c r="K610" s="752"/>
    </row>
    <row r="611" spans="1:11">
      <c r="A611" s="781"/>
      <c r="B611" s="782"/>
      <c r="C611" s="783"/>
      <c r="D611" s="784"/>
      <c r="E611" s="807"/>
      <c r="F611" s="798"/>
      <c r="G611" s="798"/>
      <c r="H611" s="797"/>
      <c r="I611" s="754"/>
      <c r="J611" s="753"/>
      <c r="K611" s="752"/>
    </row>
    <row r="612" spans="1:11">
      <c r="A612" s="781"/>
      <c r="B612" s="782"/>
      <c r="C612" s="783"/>
      <c r="D612" s="784"/>
      <c r="E612" s="807"/>
      <c r="F612" s="801"/>
      <c r="G612" s="801"/>
      <c r="H612" s="797"/>
      <c r="I612" s="754"/>
      <c r="J612" s="753"/>
      <c r="K612" s="752"/>
    </row>
    <row r="613" spans="1:11">
      <c r="A613" s="781"/>
      <c r="B613" s="782"/>
      <c r="C613" s="783"/>
      <c r="D613" s="783"/>
      <c r="E613" s="809"/>
      <c r="F613" s="799"/>
      <c r="G613" s="799"/>
      <c r="H613" s="797"/>
      <c r="I613" s="754"/>
      <c r="J613" s="753"/>
      <c r="K613" s="752"/>
    </row>
    <row r="614" spans="1:11">
      <c r="A614" s="781"/>
      <c r="B614" s="782"/>
      <c r="C614" s="783"/>
      <c r="D614" s="783"/>
      <c r="E614" s="808"/>
      <c r="F614" s="799"/>
      <c r="G614" s="799"/>
      <c r="H614" s="797"/>
      <c r="I614" s="754"/>
      <c r="J614" s="753"/>
      <c r="K614" s="752"/>
    </row>
    <row r="615" spans="1:11">
      <c r="A615" s="781"/>
      <c r="B615" s="782"/>
      <c r="C615" s="783"/>
      <c r="D615" s="783"/>
      <c r="E615" s="808"/>
      <c r="F615" s="799"/>
      <c r="G615" s="799"/>
      <c r="H615" s="797"/>
      <c r="I615" s="754"/>
      <c r="J615" s="753"/>
      <c r="K615" s="752"/>
    </row>
    <row r="616" spans="1:11">
      <c r="A616" s="781"/>
      <c r="B616" s="782"/>
      <c r="C616" s="783"/>
      <c r="D616" s="783"/>
      <c r="E616" s="808"/>
      <c r="F616" s="799"/>
      <c r="G616" s="799"/>
      <c r="H616" s="797"/>
      <c r="I616" s="754"/>
      <c r="J616" s="753"/>
      <c r="K616" s="752"/>
    </row>
    <row r="617" spans="1:11">
      <c r="A617" s="781"/>
      <c r="B617" s="782"/>
      <c r="C617" s="783"/>
      <c r="D617" s="783"/>
      <c r="E617" s="808"/>
      <c r="F617" s="799"/>
      <c r="G617" s="799"/>
      <c r="H617" s="797"/>
      <c r="I617" s="754"/>
      <c r="J617" s="753"/>
      <c r="K617" s="752"/>
    </row>
    <row r="618" spans="1:11">
      <c r="A618" s="781"/>
      <c r="B618" s="782"/>
      <c r="C618" s="783"/>
      <c r="D618" s="783"/>
      <c r="E618" s="808"/>
      <c r="F618" s="799"/>
      <c r="G618" s="799"/>
      <c r="H618" s="797"/>
      <c r="I618" s="754"/>
      <c r="J618" s="753"/>
      <c r="K618" s="752"/>
    </row>
    <row r="619" spans="1:11">
      <c r="A619" s="781"/>
      <c r="B619" s="782"/>
      <c r="C619" s="783"/>
      <c r="D619" s="783"/>
      <c r="E619" s="808"/>
      <c r="F619" s="799"/>
      <c r="G619" s="799"/>
      <c r="H619" s="797"/>
      <c r="I619" s="754"/>
      <c r="J619" s="753"/>
      <c r="K619" s="752"/>
    </row>
    <row r="620" spans="1:11">
      <c r="A620" s="781"/>
      <c r="B620" s="782"/>
      <c r="C620" s="783"/>
      <c r="D620" s="783"/>
      <c r="E620" s="808"/>
      <c r="F620" s="799"/>
      <c r="G620" s="799"/>
      <c r="H620" s="797"/>
      <c r="I620" s="754"/>
      <c r="J620" s="753"/>
      <c r="K620" s="752"/>
    </row>
    <row r="621" spans="1:11">
      <c r="A621" s="781"/>
      <c r="B621" s="782"/>
      <c r="C621" s="783"/>
      <c r="D621" s="783"/>
      <c r="E621" s="808"/>
      <c r="F621" s="799"/>
      <c r="G621" s="799"/>
      <c r="H621" s="797"/>
      <c r="I621" s="754"/>
      <c r="J621" s="753"/>
      <c r="K621" s="752"/>
    </row>
    <row r="622" spans="1:11">
      <c r="A622" s="781"/>
      <c r="B622" s="782"/>
      <c r="C622" s="783"/>
      <c r="D622" s="783"/>
      <c r="E622" s="808"/>
      <c r="F622" s="799"/>
      <c r="G622" s="799"/>
      <c r="H622" s="797"/>
      <c r="I622" s="754"/>
      <c r="J622" s="753"/>
      <c r="K622" s="752"/>
    </row>
    <row r="623" spans="1:11">
      <c r="A623" s="781"/>
      <c r="B623" s="782"/>
      <c r="C623" s="783"/>
      <c r="D623" s="783"/>
      <c r="E623" s="808"/>
      <c r="F623" s="799"/>
      <c r="G623" s="799"/>
      <c r="H623" s="797"/>
      <c r="I623" s="754"/>
      <c r="J623" s="753"/>
      <c r="K623" s="752"/>
    </row>
    <row r="624" spans="1:11">
      <c r="A624" s="781"/>
      <c r="B624" s="782"/>
      <c r="C624" s="783"/>
      <c r="D624" s="783"/>
      <c r="E624" s="808"/>
      <c r="F624" s="799"/>
      <c r="G624" s="799"/>
      <c r="H624" s="797"/>
      <c r="I624" s="754"/>
      <c r="J624" s="753"/>
      <c r="K624" s="752"/>
    </row>
    <row r="625" spans="1:11">
      <c r="A625" s="781"/>
      <c r="B625" s="782"/>
      <c r="C625" s="783"/>
      <c r="D625" s="783"/>
      <c r="E625" s="808"/>
      <c r="F625" s="799"/>
      <c r="G625" s="799"/>
      <c r="H625" s="797"/>
      <c r="I625" s="754"/>
      <c r="J625" s="753"/>
      <c r="K625" s="752"/>
    </row>
    <row r="626" spans="1:11">
      <c r="A626" s="781"/>
      <c r="B626" s="782"/>
      <c r="C626" s="783"/>
      <c r="D626" s="783"/>
      <c r="E626" s="808"/>
      <c r="F626" s="799"/>
      <c r="G626" s="799"/>
      <c r="H626" s="797"/>
      <c r="I626" s="754"/>
      <c r="J626" s="753"/>
      <c r="K626" s="752"/>
    </row>
    <row r="627" spans="1:11">
      <c r="A627" s="781"/>
      <c r="B627" s="782"/>
      <c r="C627" s="783"/>
      <c r="D627" s="783"/>
      <c r="E627" s="808"/>
      <c r="F627" s="799"/>
      <c r="G627" s="799"/>
      <c r="H627" s="797"/>
      <c r="I627" s="754"/>
      <c r="J627" s="753"/>
      <c r="K627" s="752"/>
    </row>
    <row r="628" spans="1:11">
      <c r="A628" s="781"/>
      <c r="B628" s="782"/>
      <c r="C628" s="783"/>
      <c r="D628" s="783"/>
      <c r="E628" s="808"/>
      <c r="F628" s="799"/>
      <c r="G628" s="799"/>
      <c r="H628" s="797"/>
      <c r="I628" s="754"/>
      <c r="J628" s="753"/>
      <c r="K628" s="752"/>
    </row>
    <row r="629" spans="1:11">
      <c r="A629" s="781"/>
      <c r="B629" s="782"/>
      <c r="C629" s="783"/>
      <c r="D629" s="783"/>
      <c r="E629" s="808"/>
      <c r="F629" s="799"/>
      <c r="G629" s="799"/>
      <c r="H629" s="797"/>
      <c r="I629" s="754"/>
      <c r="J629" s="753"/>
      <c r="K629" s="752"/>
    </row>
    <row r="630" spans="1:11">
      <c r="A630" s="781"/>
      <c r="B630" s="782"/>
      <c r="C630" s="783"/>
      <c r="D630" s="783"/>
      <c r="E630" s="808"/>
      <c r="F630" s="799"/>
      <c r="G630" s="799"/>
      <c r="H630" s="797"/>
      <c r="I630" s="754"/>
      <c r="J630" s="753"/>
      <c r="K630" s="752"/>
    </row>
    <row r="631" spans="1:11">
      <c r="A631" s="781"/>
      <c r="B631" s="782"/>
      <c r="C631" s="783"/>
      <c r="D631" s="783"/>
      <c r="E631" s="808"/>
      <c r="F631" s="799"/>
      <c r="G631" s="799"/>
      <c r="H631" s="797"/>
      <c r="I631" s="754"/>
      <c r="J631" s="753"/>
      <c r="K631" s="752"/>
    </row>
    <row r="632" spans="1:11">
      <c r="A632" s="781"/>
      <c r="B632" s="782"/>
      <c r="C632" s="783"/>
      <c r="D632" s="783"/>
      <c r="E632" s="808"/>
      <c r="F632" s="799"/>
      <c r="G632" s="799"/>
      <c r="H632" s="797"/>
      <c r="I632" s="754"/>
      <c r="J632" s="753"/>
      <c r="K632" s="752"/>
    </row>
    <row r="633" spans="1:11">
      <c r="A633" s="781"/>
      <c r="B633" s="782"/>
      <c r="C633" s="783"/>
      <c r="D633" s="783"/>
      <c r="E633" s="808"/>
      <c r="F633" s="799"/>
      <c r="G633" s="799"/>
      <c r="H633" s="797"/>
      <c r="I633" s="754"/>
      <c r="J633" s="753"/>
      <c r="K633" s="752"/>
    </row>
    <row r="634" spans="1:11">
      <c r="A634" s="781"/>
      <c r="B634" s="782"/>
      <c r="C634" s="783"/>
      <c r="D634" s="783"/>
      <c r="E634" s="808"/>
      <c r="F634" s="799"/>
      <c r="G634" s="799"/>
      <c r="H634" s="797"/>
      <c r="I634" s="754"/>
      <c r="J634" s="753"/>
      <c r="K634" s="752"/>
    </row>
    <row r="635" spans="1:11">
      <c r="A635" s="781"/>
      <c r="B635" s="782"/>
      <c r="C635" s="783"/>
      <c r="D635" s="783"/>
      <c r="E635" s="808"/>
      <c r="F635" s="799"/>
      <c r="G635" s="799"/>
      <c r="H635" s="797"/>
      <c r="I635" s="754"/>
      <c r="J635" s="753"/>
      <c r="K635" s="752"/>
    </row>
    <row r="636" spans="1:11">
      <c r="A636" s="781"/>
      <c r="B636" s="782"/>
      <c r="C636" s="783"/>
      <c r="D636" s="783"/>
      <c r="E636" s="808"/>
      <c r="F636" s="799"/>
      <c r="G636" s="799"/>
      <c r="H636" s="797"/>
      <c r="I636" s="754"/>
      <c r="J636" s="753"/>
      <c r="K636" s="752"/>
    </row>
    <row r="637" spans="1:11">
      <c r="A637" s="781"/>
      <c r="B637" s="782"/>
      <c r="C637" s="783"/>
      <c r="D637" s="783"/>
      <c r="E637" s="808"/>
      <c r="F637" s="799"/>
      <c r="G637" s="799"/>
      <c r="H637" s="797"/>
      <c r="I637" s="754"/>
      <c r="J637" s="753"/>
      <c r="K637" s="752"/>
    </row>
    <row r="638" spans="1:11">
      <c r="A638" s="781"/>
      <c r="B638" s="782"/>
      <c r="C638" s="783"/>
      <c r="D638" s="783"/>
      <c r="E638" s="808"/>
      <c r="F638" s="799"/>
      <c r="G638" s="799"/>
      <c r="H638" s="797"/>
      <c r="I638" s="754"/>
      <c r="J638" s="753"/>
      <c r="K638" s="752"/>
    </row>
    <row r="639" spans="1:11">
      <c r="A639" s="781"/>
      <c r="B639" s="782"/>
      <c r="C639" s="783"/>
      <c r="D639" s="783"/>
      <c r="E639" s="808"/>
      <c r="F639" s="799"/>
      <c r="G639" s="799"/>
      <c r="H639" s="797"/>
      <c r="I639" s="754"/>
      <c r="J639" s="753"/>
      <c r="K639" s="752"/>
    </row>
    <row r="640" spans="1:11">
      <c r="A640" s="781"/>
      <c r="B640" s="782"/>
      <c r="C640" s="783"/>
      <c r="D640" s="783"/>
      <c r="E640" s="808"/>
      <c r="F640" s="799"/>
      <c r="G640" s="799"/>
      <c r="H640" s="797"/>
      <c r="I640" s="754"/>
      <c r="J640" s="753"/>
      <c r="K640" s="752"/>
    </row>
    <row r="641" spans="1:11">
      <c r="A641" s="781"/>
      <c r="B641" s="782"/>
      <c r="C641" s="783"/>
      <c r="D641" s="783"/>
      <c r="E641" s="808"/>
      <c r="F641" s="799"/>
      <c r="G641" s="799"/>
      <c r="H641" s="797"/>
      <c r="I641" s="754"/>
      <c r="J641" s="753"/>
      <c r="K641" s="752"/>
    </row>
    <row r="642" spans="1:11">
      <c r="A642" s="781"/>
      <c r="B642" s="782"/>
      <c r="C642" s="783"/>
      <c r="D642" s="783"/>
      <c r="E642" s="808"/>
      <c r="F642" s="799"/>
      <c r="G642" s="799"/>
      <c r="H642" s="797"/>
      <c r="I642" s="754"/>
      <c r="J642" s="753"/>
      <c r="K642" s="752"/>
    </row>
    <row r="643" spans="1:11">
      <c r="A643" s="781"/>
      <c r="B643" s="782"/>
      <c r="C643" s="783"/>
      <c r="D643" s="783"/>
      <c r="E643" s="808"/>
      <c r="F643" s="799"/>
      <c r="G643" s="799"/>
      <c r="H643" s="797"/>
      <c r="I643" s="754"/>
      <c r="J643" s="753"/>
      <c r="K643" s="752"/>
    </row>
    <row r="644" spans="1:11">
      <c r="A644" s="781"/>
      <c r="B644" s="782"/>
      <c r="C644" s="783"/>
      <c r="D644" s="783"/>
      <c r="E644" s="808"/>
      <c r="F644" s="799"/>
      <c r="G644" s="799"/>
      <c r="H644" s="797"/>
      <c r="I644" s="754"/>
      <c r="J644" s="753"/>
      <c r="K644" s="752"/>
    </row>
    <row r="645" spans="1:11">
      <c r="A645" s="781"/>
      <c r="B645" s="782"/>
      <c r="C645" s="783"/>
      <c r="D645" s="783"/>
      <c r="E645" s="808"/>
      <c r="F645" s="799"/>
      <c r="G645" s="799"/>
      <c r="H645" s="797"/>
      <c r="I645" s="754"/>
      <c r="J645" s="753"/>
      <c r="K645" s="752"/>
    </row>
    <row r="646" spans="1:11">
      <c r="A646" s="781"/>
      <c r="B646" s="782"/>
      <c r="C646" s="783"/>
      <c r="D646" s="783"/>
      <c r="E646" s="808"/>
      <c r="F646" s="799"/>
      <c r="G646" s="799"/>
      <c r="H646" s="797"/>
      <c r="I646" s="754"/>
      <c r="J646" s="753"/>
      <c r="K646" s="752"/>
    </row>
    <row r="647" spans="1:11">
      <c r="A647" s="781"/>
      <c r="B647" s="782"/>
      <c r="C647" s="783"/>
      <c r="D647" s="786"/>
      <c r="E647" s="808"/>
      <c r="F647" s="798"/>
      <c r="G647" s="798"/>
      <c r="H647" s="797"/>
      <c r="I647" s="754"/>
      <c r="J647" s="753"/>
      <c r="K647" s="752"/>
    </row>
    <row r="648" spans="1:11">
      <c r="A648" s="781"/>
      <c r="B648" s="782"/>
      <c r="C648" s="783"/>
      <c r="D648" s="784"/>
      <c r="E648" s="808"/>
      <c r="F648" s="798"/>
      <c r="G648" s="798"/>
      <c r="H648" s="797"/>
      <c r="I648" s="754"/>
      <c r="J648" s="753"/>
      <c r="K648" s="752"/>
    </row>
    <row r="649" spans="1:11">
      <c r="A649" s="781"/>
      <c r="B649" s="782"/>
      <c r="C649" s="783"/>
      <c r="D649" s="784"/>
      <c r="E649" s="808"/>
      <c r="F649" s="798"/>
      <c r="G649" s="802"/>
      <c r="H649" s="797"/>
      <c r="I649" s="754"/>
      <c r="J649" s="753"/>
      <c r="K649" s="752"/>
    </row>
    <row r="650" spans="1:11">
      <c r="A650" s="781"/>
      <c r="B650" s="782"/>
      <c r="C650" s="783"/>
      <c r="D650" s="784"/>
      <c r="E650" s="808"/>
      <c r="F650" s="798"/>
      <c r="G650" s="802"/>
      <c r="H650" s="797"/>
      <c r="I650" s="754"/>
      <c r="J650" s="753"/>
      <c r="K650" s="752"/>
    </row>
    <row r="651" spans="1:11">
      <c r="A651" s="781"/>
      <c r="B651" s="782"/>
      <c r="C651" s="783"/>
      <c r="D651" s="784"/>
      <c r="E651" s="808"/>
      <c r="F651" s="798"/>
      <c r="G651" s="798"/>
      <c r="H651" s="797"/>
      <c r="I651" s="754"/>
      <c r="J651" s="753"/>
      <c r="K651" s="752"/>
    </row>
    <row r="652" spans="1:11">
      <c r="A652" s="781"/>
      <c r="B652" s="782"/>
      <c r="C652" s="783"/>
      <c r="D652" s="783"/>
      <c r="E652" s="808"/>
      <c r="F652" s="799"/>
      <c r="G652" s="799"/>
      <c r="H652" s="797"/>
      <c r="I652" s="754"/>
      <c r="J652" s="753"/>
      <c r="K652" s="752"/>
    </row>
    <row r="653" spans="1:11">
      <c r="A653" s="781"/>
      <c r="B653" s="782"/>
      <c r="C653" s="783"/>
      <c r="D653" s="783"/>
      <c r="E653" s="808"/>
      <c r="F653" s="799"/>
      <c r="G653" s="799"/>
      <c r="H653" s="797"/>
      <c r="I653" s="754"/>
      <c r="J653" s="753"/>
      <c r="K653" s="752"/>
    </row>
    <row r="654" spans="1:11">
      <c r="A654" s="781"/>
      <c r="B654" s="782"/>
      <c r="C654" s="783"/>
      <c r="D654" s="783"/>
      <c r="E654" s="808"/>
      <c r="F654" s="799"/>
      <c r="G654" s="799"/>
      <c r="H654" s="797"/>
      <c r="I654" s="754"/>
      <c r="J654" s="753"/>
      <c r="K654" s="752"/>
    </row>
    <row r="655" spans="1:11">
      <c r="A655" s="781"/>
      <c r="B655" s="782"/>
      <c r="C655" s="783"/>
      <c r="D655" s="783"/>
      <c r="E655" s="808"/>
      <c r="F655" s="799"/>
      <c r="G655" s="799"/>
      <c r="H655" s="797"/>
      <c r="I655" s="754"/>
      <c r="J655" s="753"/>
      <c r="K655" s="752"/>
    </row>
    <row r="656" spans="1:11">
      <c r="A656" s="781"/>
      <c r="B656" s="782"/>
      <c r="C656" s="783"/>
      <c r="D656" s="783"/>
      <c r="E656" s="808"/>
      <c r="F656" s="799"/>
      <c r="G656" s="799"/>
      <c r="H656" s="797"/>
      <c r="I656" s="754"/>
      <c r="J656" s="753"/>
      <c r="K656" s="752"/>
    </row>
    <row r="657" spans="1:11">
      <c r="A657" s="781"/>
      <c r="B657" s="782"/>
      <c r="C657" s="783"/>
      <c r="D657" s="783"/>
      <c r="E657" s="808"/>
      <c r="F657" s="799"/>
      <c r="G657" s="799"/>
      <c r="H657" s="797"/>
      <c r="I657" s="754"/>
      <c r="J657" s="753"/>
      <c r="K657" s="752"/>
    </row>
    <row r="658" spans="1:11">
      <c r="A658" s="781"/>
      <c r="B658" s="782"/>
      <c r="C658" s="783"/>
      <c r="D658" s="783"/>
      <c r="E658" s="808"/>
      <c r="F658" s="799"/>
      <c r="G658" s="799"/>
      <c r="H658" s="797"/>
      <c r="I658" s="754"/>
      <c r="J658" s="753"/>
      <c r="K658" s="752"/>
    </row>
    <row r="659" spans="1:11">
      <c r="A659" s="781"/>
      <c r="B659" s="782"/>
      <c r="C659" s="783"/>
      <c r="D659" s="783"/>
      <c r="E659" s="808"/>
      <c r="F659" s="799"/>
      <c r="G659" s="799"/>
      <c r="H659" s="797"/>
      <c r="I659" s="754"/>
      <c r="J659" s="753"/>
      <c r="K659" s="752"/>
    </row>
    <row r="660" spans="1:11">
      <c r="A660" s="781"/>
      <c r="B660" s="782"/>
      <c r="C660" s="783"/>
      <c r="D660" s="783"/>
      <c r="E660" s="808"/>
      <c r="F660" s="799"/>
      <c r="G660" s="799"/>
      <c r="H660" s="797"/>
      <c r="I660" s="754"/>
      <c r="J660" s="753"/>
      <c r="K660" s="752"/>
    </row>
    <row r="661" spans="1:11">
      <c r="A661" s="781"/>
      <c r="B661" s="782"/>
      <c r="C661" s="783"/>
      <c r="D661" s="783"/>
      <c r="E661" s="808"/>
      <c r="F661" s="799"/>
      <c r="G661" s="799"/>
      <c r="H661" s="797"/>
      <c r="I661" s="754"/>
      <c r="J661" s="753"/>
      <c r="K661" s="752"/>
    </row>
    <row r="662" spans="1:11">
      <c r="A662" s="781"/>
      <c r="B662" s="782"/>
      <c r="C662" s="783"/>
      <c r="D662" s="783"/>
      <c r="E662" s="808"/>
      <c r="F662" s="799"/>
      <c r="G662" s="799"/>
      <c r="H662" s="797"/>
      <c r="I662" s="754"/>
      <c r="J662" s="753"/>
      <c r="K662" s="752"/>
    </row>
    <row r="663" spans="1:11">
      <c r="A663" s="781"/>
      <c r="B663" s="782"/>
      <c r="C663" s="783"/>
      <c r="D663" s="783"/>
      <c r="E663" s="808"/>
      <c r="F663" s="799"/>
      <c r="G663" s="799"/>
      <c r="H663" s="797"/>
      <c r="I663" s="754"/>
      <c r="J663" s="753"/>
      <c r="K663" s="752"/>
    </row>
    <row r="664" spans="1:11">
      <c r="A664" s="781"/>
      <c r="B664" s="782"/>
      <c r="C664" s="783"/>
      <c r="D664" s="783"/>
      <c r="E664" s="808"/>
      <c r="F664" s="799"/>
      <c r="G664" s="799"/>
      <c r="H664" s="797"/>
      <c r="I664" s="754"/>
      <c r="J664" s="753"/>
      <c r="K664" s="752"/>
    </row>
    <row r="665" spans="1:11">
      <c r="A665" s="781"/>
      <c r="B665" s="782"/>
      <c r="C665" s="783"/>
      <c r="D665" s="783"/>
      <c r="E665" s="808"/>
      <c r="F665" s="799"/>
      <c r="G665" s="799"/>
      <c r="H665" s="797"/>
      <c r="I665" s="754"/>
      <c r="J665" s="753"/>
      <c r="K665" s="752"/>
    </row>
    <row r="666" spans="1:11">
      <c r="A666" s="781"/>
      <c r="B666" s="782"/>
      <c r="C666" s="783"/>
      <c r="D666" s="783"/>
      <c r="E666" s="808"/>
      <c r="F666" s="799"/>
      <c r="G666" s="799"/>
      <c r="H666" s="797"/>
      <c r="I666" s="754"/>
      <c r="J666" s="753"/>
      <c r="K666" s="752"/>
    </row>
    <row r="667" spans="1:11">
      <c r="A667" s="781"/>
      <c r="B667" s="782"/>
      <c r="C667" s="783"/>
      <c r="D667" s="783"/>
      <c r="E667" s="808"/>
      <c r="F667" s="799"/>
      <c r="G667" s="799"/>
      <c r="H667" s="797"/>
      <c r="I667" s="754"/>
      <c r="J667" s="753"/>
      <c r="K667" s="752"/>
    </row>
    <row r="668" spans="1:11">
      <c r="A668" s="781"/>
      <c r="B668" s="782"/>
      <c r="C668" s="783"/>
      <c r="D668" s="783"/>
      <c r="E668" s="808"/>
      <c r="F668" s="799"/>
      <c r="G668" s="799"/>
      <c r="H668" s="797"/>
      <c r="I668" s="754"/>
      <c r="J668" s="753"/>
      <c r="K668" s="752"/>
    </row>
    <row r="669" spans="1:11">
      <c r="A669" s="781"/>
      <c r="B669" s="782"/>
      <c r="C669" s="783"/>
      <c r="D669" s="783"/>
      <c r="E669" s="808"/>
      <c r="F669" s="799"/>
      <c r="G669" s="799"/>
      <c r="H669" s="797"/>
      <c r="I669" s="754"/>
      <c r="J669" s="753"/>
      <c r="K669" s="752"/>
    </row>
    <row r="670" spans="1:11">
      <c r="A670" s="781"/>
      <c r="B670" s="782"/>
      <c r="C670" s="783"/>
      <c r="D670" s="783"/>
      <c r="E670" s="808"/>
      <c r="F670" s="799"/>
      <c r="G670" s="799"/>
      <c r="H670" s="797"/>
      <c r="I670" s="754"/>
      <c r="J670" s="753"/>
      <c r="K670" s="752"/>
    </row>
    <row r="671" spans="1:11">
      <c r="A671" s="781"/>
      <c r="B671" s="782"/>
      <c r="C671" s="783"/>
      <c r="D671" s="783"/>
      <c r="E671" s="808"/>
      <c r="F671" s="799"/>
      <c r="G671" s="799"/>
      <c r="H671" s="797"/>
      <c r="I671" s="754"/>
      <c r="J671" s="753"/>
      <c r="K671" s="752"/>
    </row>
    <row r="672" spans="1:11">
      <c r="A672" s="781"/>
      <c r="B672" s="782"/>
      <c r="C672" s="783"/>
      <c r="D672" s="783"/>
      <c r="E672" s="808"/>
      <c r="F672" s="799"/>
      <c r="G672" s="799"/>
      <c r="H672" s="797"/>
      <c r="I672" s="754"/>
      <c r="J672" s="753"/>
      <c r="K672" s="752"/>
    </row>
    <row r="673" spans="1:11">
      <c r="A673" s="781"/>
      <c r="B673" s="782"/>
      <c r="C673" s="783"/>
      <c r="D673" s="783"/>
      <c r="E673" s="808"/>
      <c r="F673" s="799"/>
      <c r="G673" s="799"/>
      <c r="H673" s="797"/>
      <c r="I673" s="754"/>
      <c r="J673" s="753"/>
      <c r="K673" s="752"/>
    </row>
    <row r="674" spans="1:11">
      <c r="A674" s="781"/>
      <c r="B674" s="782"/>
      <c r="C674" s="783"/>
      <c r="D674" s="783"/>
      <c r="E674" s="808"/>
      <c r="F674" s="799"/>
      <c r="G674" s="799"/>
      <c r="H674" s="797"/>
      <c r="I674" s="754"/>
      <c r="J674" s="753"/>
      <c r="K674" s="752"/>
    </row>
    <row r="675" spans="1:11">
      <c r="A675" s="781"/>
      <c r="B675" s="782"/>
      <c r="C675" s="783"/>
      <c r="D675" s="783"/>
      <c r="E675" s="808"/>
      <c r="F675" s="799"/>
      <c r="G675" s="799"/>
      <c r="H675" s="797"/>
      <c r="I675" s="754"/>
      <c r="J675" s="753"/>
      <c r="K675" s="752"/>
    </row>
    <row r="676" spans="1:11">
      <c r="A676" s="781"/>
      <c r="B676" s="782"/>
      <c r="C676" s="783"/>
      <c r="D676" s="783"/>
      <c r="E676" s="808"/>
      <c r="F676" s="799"/>
      <c r="G676" s="799"/>
      <c r="H676" s="797"/>
      <c r="I676" s="754"/>
      <c r="J676" s="753"/>
      <c r="K676" s="752"/>
    </row>
    <row r="677" spans="1:11">
      <c r="A677" s="781"/>
      <c r="B677" s="782"/>
      <c r="C677" s="783"/>
      <c r="D677" s="783"/>
      <c r="E677" s="808"/>
      <c r="F677" s="799"/>
      <c r="G677" s="799"/>
      <c r="H677" s="797"/>
      <c r="I677" s="754"/>
      <c r="J677" s="753"/>
      <c r="K677" s="752"/>
    </row>
    <row r="678" spans="1:11">
      <c r="A678" s="781"/>
      <c r="B678" s="782"/>
      <c r="C678" s="783"/>
      <c r="D678" s="783"/>
      <c r="E678" s="808"/>
      <c r="F678" s="799"/>
      <c r="G678" s="799"/>
      <c r="H678" s="797"/>
      <c r="I678" s="754"/>
      <c r="J678" s="753"/>
      <c r="K678" s="752"/>
    </row>
    <row r="679" spans="1:11">
      <c r="A679" s="781"/>
      <c r="B679" s="782"/>
      <c r="C679" s="783"/>
      <c r="D679" s="783"/>
      <c r="E679" s="808"/>
      <c r="F679" s="799"/>
      <c r="G679" s="799"/>
      <c r="H679" s="797"/>
      <c r="I679" s="754"/>
      <c r="J679" s="753"/>
      <c r="K679" s="752"/>
    </row>
    <row r="680" spans="1:11">
      <c r="A680" s="781"/>
      <c r="B680" s="782"/>
      <c r="C680" s="783"/>
      <c r="D680" s="783"/>
      <c r="E680" s="808"/>
      <c r="F680" s="799"/>
      <c r="G680" s="799"/>
      <c r="H680" s="797"/>
      <c r="I680" s="754"/>
      <c r="J680" s="753"/>
      <c r="K680" s="752"/>
    </row>
    <row r="681" spans="1:11">
      <c r="A681" s="781"/>
      <c r="B681" s="782"/>
      <c r="C681" s="783"/>
      <c r="D681" s="791"/>
      <c r="E681" s="808"/>
      <c r="F681" s="799"/>
      <c r="G681" s="799"/>
      <c r="H681" s="797"/>
      <c r="I681" s="754"/>
      <c r="J681" s="753"/>
      <c r="K681" s="752"/>
    </row>
    <row r="682" spans="1:11">
      <c r="A682" s="781"/>
      <c r="B682" s="782"/>
      <c r="C682" s="783"/>
      <c r="D682" s="791"/>
      <c r="E682" s="808"/>
      <c r="F682" s="799"/>
      <c r="G682" s="799"/>
      <c r="H682" s="797"/>
      <c r="I682" s="754"/>
      <c r="J682" s="753"/>
      <c r="K682" s="752"/>
    </row>
    <row r="683" spans="1:11">
      <c r="A683" s="781"/>
      <c r="B683" s="782"/>
      <c r="C683" s="783"/>
      <c r="D683" s="791"/>
      <c r="E683" s="808"/>
      <c r="F683" s="799"/>
      <c r="G683" s="799"/>
      <c r="H683" s="797"/>
      <c r="I683" s="754"/>
      <c r="J683" s="753"/>
      <c r="K683" s="752"/>
    </row>
    <row r="684" spans="1:11">
      <c r="A684" s="781"/>
      <c r="B684" s="782"/>
      <c r="C684" s="783"/>
      <c r="D684" s="791"/>
      <c r="E684" s="808"/>
      <c r="F684" s="799"/>
      <c r="G684" s="799"/>
      <c r="H684" s="797"/>
      <c r="I684" s="754"/>
      <c r="J684" s="753"/>
      <c r="K684" s="752"/>
    </row>
    <row r="685" spans="1:11">
      <c r="A685" s="781"/>
      <c r="B685" s="782"/>
      <c r="C685" s="783"/>
      <c r="D685" s="791"/>
      <c r="E685" s="808"/>
      <c r="F685" s="799"/>
      <c r="G685" s="799"/>
      <c r="H685" s="797"/>
      <c r="I685" s="754"/>
      <c r="J685" s="753"/>
      <c r="K685" s="752"/>
    </row>
    <row r="686" spans="1:11">
      <c r="A686" s="781"/>
      <c r="B686" s="782"/>
      <c r="C686" s="783"/>
      <c r="D686" s="791"/>
      <c r="E686" s="808"/>
      <c r="F686" s="799"/>
      <c r="G686" s="799"/>
      <c r="H686" s="797"/>
      <c r="I686" s="754"/>
      <c r="J686" s="753"/>
      <c r="K686" s="752"/>
    </row>
    <row r="687" spans="1:11">
      <c r="A687" s="781"/>
      <c r="B687" s="782"/>
      <c r="C687" s="783"/>
      <c r="D687" s="786"/>
      <c r="E687" s="807"/>
      <c r="F687" s="798"/>
      <c r="G687" s="798"/>
      <c r="H687" s="797"/>
      <c r="I687" s="754"/>
      <c r="J687" s="753"/>
      <c r="K687" s="752"/>
    </row>
    <row r="688" spans="1:11">
      <c r="A688" s="781"/>
      <c r="B688" s="782"/>
      <c r="C688" s="783"/>
      <c r="D688" s="783"/>
      <c r="E688" s="808"/>
      <c r="F688" s="799"/>
      <c r="G688" s="799"/>
      <c r="H688" s="797"/>
      <c r="I688" s="754"/>
      <c r="J688" s="753"/>
      <c r="K688" s="752"/>
    </row>
    <row r="689" spans="1:11">
      <c r="A689" s="781"/>
      <c r="B689" s="782"/>
      <c r="C689" s="783"/>
      <c r="D689" s="783"/>
      <c r="E689" s="808"/>
      <c r="F689" s="799"/>
      <c r="G689" s="799"/>
      <c r="H689" s="797"/>
      <c r="I689" s="754"/>
      <c r="J689" s="753"/>
      <c r="K689" s="752"/>
    </row>
    <row r="690" spans="1:11">
      <c r="A690" s="781"/>
      <c r="B690" s="782"/>
      <c r="C690" s="783"/>
      <c r="D690" s="786"/>
      <c r="E690" s="807"/>
      <c r="F690" s="798"/>
      <c r="G690" s="801"/>
      <c r="H690" s="797"/>
      <c r="I690" s="754"/>
      <c r="J690" s="753"/>
      <c r="K690" s="752"/>
    </row>
    <row r="691" spans="1:11">
      <c r="A691" s="781"/>
      <c r="B691" s="782"/>
      <c r="C691" s="783"/>
      <c r="D691" s="784"/>
      <c r="E691" s="807"/>
      <c r="F691" s="798"/>
      <c r="G691" s="801"/>
      <c r="H691" s="797"/>
      <c r="I691" s="754"/>
      <c r="J691" s="753"/>
      <c r="K691" s="752"/>
    </row>
    <row r="692" spans="1:11">
      <c r="A692" s="781"/>
      <c r="B692" s="782"/>
      <c r="C692" s="783"/>
      <c r="D692" s="784"/>
      <c r="E692" s="807"/>
      <c r="F692" s="798"/>
      <c r="G692" s="801"/>
      <c r="H692" s="797"/>
      <c r="I692" s="754"/>
      <c r="J692" s="753"/>
      <c r="K692" s="752"/>
    </row>
    <row r="693" spans="1:11">
      <c r="A693" s="781"/>
      <c r="B693" s="782"/>
      <c r="C693" s="783"/>
      <c r="D693" s="784"/>
      <c r="E693" s="807"/>
      <c r="F693" s="798"/>
      <c r="G693" s="801"/>
      <c r="H693" s="797"/>
      <c r="I693" s="754"/>
      <c r="J693" s="753"/>
      <c r="K693" s="752"/>
    </row>
    <row r="694" spans="1:11">
      <c r="A694" s="781"/>
      <c r="B694" s="782"/>
      <c r="C694" s="783"/>
      <c r="D694" s="784"/>
      <c r="E694" s="807"/>
      <c r="F694" s="798"/>
      <c r="G694" s="801"/>
      <c r="H694" s="797"/>
      <c r="I694" s="754"/>
      <c r="J694" s="753"/>
      <c r="K694" s="752"/>
    </row>
    <row r="695" spans="1:11">
      <c r="A695" s="781"/>
      <c r="B695" s="782"/>
      <c r="C695" s="783"/>
      <c r="D695" s="783"/>
      <c r="E695" s="808"/>
      <c r="F695" s="799"/>
      <c r="G695" s="799"/>
      <c r="H695" s="797"/>
      <c r="I695" s="754"/>
      <c r="J695" s="753"/>
      <c r="K695" s="752"/>
    </row>
    <row r="696" spans="1:11">
      <c r="A696" s="781"/>
      <c r="B696" s="782"/>
      <c r="C696" s="783"/>
      <c r="D696" s="783"/>
      <c r="E696" s="808"/>
      <c r="F696" s="799"/>
      <c r="G696" s="799"/>
      <c r="H696" s="797"/>
      <c r="I696" s="754"/>
      <c r="J696" s="753"/>
      <c r="K696" s="752"/>
    </row>
    <row r="697" spans="1:11">
      <c r="A697" s="781"/>
      <c r="B697" s="782"/>
      <c r="C697" s="783"/>
      <c r="D697" s="783"/>
      <c r="E697" s="808"/>
      <c r="F697" s="799"/>
      <c r="G697" s="799"/>
      <c r="H697" s="797"/>
      <c r="I697" s="754"/>
      <c r="J697" s="753"/>
      <c r="K697" s="752"/>
    </row>
    <row r="698" spans="1:11">
      <c r="A698" s="781"/>
      <c r="B698" s="782"/>
      <c r="C698" s="783"/>
      <c r="D698" s="783"/>
      <c r="E698" s="808"/>
      <c r="F698" s="799"/>
      <c r="G698" s="799"/>
      <c r="H698" s="797"/>
      <c r="I698" s="754"/>
      <c r="J698" s="753"/>
      <c r="K698" s="752"/>
    </row>
    <row r="699" spans="1:11">
      <c r="A699" s="781"/>
      <c r="B699" s="782"/>
      <c r="C699" s="783"/>
      <c r="D699" s="783"/>
      <c r="E699" s="808"/>
      <c r="F699" s="799"/>
      <c r="G699" s="799"/>
      <c r="H699" s="797"/>
      <c r="I699" s="754"/>
      <c r="J699" s="753"/>
      <c r="K699" s="752"/>
    </row>
    <row r="700" spans="1:11">
      <c r="A700" s="781"/>
      <c r="B700" s="782"/>
      <c r="C700" s="783"/>
      <c r="D700" s="783"/>
      <c r="E700" s="808"/>
      <c r="F700" s="799"/>
      <c r="G700" s="799"/>
      <c r="H700" s="797"/>
      <c r="I700" s="754"/>
      <c r="J700" s="753"/>
      <c r="K700" s="752"/>
    </row>
    <row r="701" spans="1:11">
      <c r="A701" s="781"/>
      <c r="B701" s="782"/>
      <c r="C701" s="783"/>
      <c r="D701" s="783"/>
      <c r="E701" s="808"/>
      <c r="F701" s="799"/>
      <c r="G701" s="799"/>
      <c r="H701" s="797"/>
      <c r="I701" s="754"/>
      <c r="J701" s="753"/>
      <c r="K701" s="752"/>
    </row>
    <row r="702" spans="1:11">
      <c r="A702" s="781"/>
      <c r="B702" s="782"/>
      <c r="C702" s="783"/>
      <c r="D702" s="783"/>
      <c r="E702" s="808"/>
      <c r="F702" s="799"/>
      <c r="G702" s="799"/>
      <c r="H702" s="797"/>
      <c r="I702" s="754"/>
      <c r="J702" s="753"/>
      <c r="K702" s="752"/>
    </row>
    <row r="703" spans="1:11">
      <c r="A703" s="781"/>
      <c r="B703" s="782"/>
      <c r="C703" s="783"/>
      <c r="D703" s="783"/>
      <c r="E703" s="808"/>
      <c r="F703" s="799"/>
      <c r="G703" s="799"/>
      <c r="H703" s="797"/>
      <c r="I703" s="754"/>
      <c r="J703" s="753"/>
      <c r="K703" s="752"/>
    </row>
    <row r="704" spans="1:11">
      <c r="A704" s="781"/>
      <c r="B704" s="782"/>
      <c r="C704" s="783"/>
      <c r="D704" s="783"/>
      <c r="E704" s="808"/>
      <c r="F704" s="799"/>
      <c r="G704" s="799"/>
      <c r="H704" s="797"/>
      <c r="I704" s="754"/>
      <c r="J704" s="753"/>
      <c r="K704" s="752"/>
    </row>
    <row r="705" spans="1:11">
      <c r="A705" s="781"/>
      <c r="B705" s="782"/>
      <c r="C705" s="783"/>
      <c r="D705" s="783"/>
      <c r="E705" s="808"/>
      <c r="F705" s="799"/>
      <c r="G705" s="799"/>
      <c r="H705" s="797"/>
      <c r="I705" s="754"/>
      <c r="J705" s="753"/>
      <c r="K705" s="752"/>
    </row>
    <row r="706" spans="1:11">
      <c r="A706" s="781"/>
      <c r="B706" s="782"/>
      <c r="C706" s="783"/>
      <c r="D706" s="783"/>
      <c r="E706" s="808"/>
      <c r="F706" s="799"/>
      <c r="G706" s="799"/>
      <c r="H706" s="797"/>
      <c r="I706" s="754"/>
      <c r="J706" s="753"/>
      <c r="K706" s="752"/>
    </row>
    <row r="707" spans="1:11">
      <c r="A707" s="781"/>
      <c r="B707" s="782"/>
      <c r="C707" s="783"/>
      <c r="D707" s="783"/>
      <c r="E707" s="808"/>
      <c r="F707" s="799"/>
      <c r="G707" s="799"/>
      <c r="H707" s="797"/>
      <c r="I707" s="754"/>
      <c r="J707" s="753"/>
      <c r="K707" s="752"/>
    </row>
    <row r="708" spans="1:11">
      <c r="A708" s="781"/>
      <c r="B708" s="782"/>
      <c r="C708" s="783"/>
      <c r="D708" s="783"/>
      <c r="E708" s="808"/>
      <c r="F708" s="799"/>
      <c r="G708" s="799"/>
      <c r="H708" s="797"/>
      <c r="I708" s="754"/>
      <c r="J708" s="753"/>
      <c r="K708" s="752"/>
    </row>
    <row r="709" spans="1:11">
      <c r="A709" s="781"/>
      <c r="B709" s="782"/>
      <c r="C709" s="783"/>
      <c r="D709" s="783"/>
      <c r="E709" s="808"/>
      <c r="F709" s="799"/>
      <c r="G709" s="799"/>
      <c r="H709" s="797"/>
      <c r="I709" s="754"/>
      <c r="J709" s="753"/>
      <c r="K709" s="752"/>
    </row>
    <row r="710" spans="1:11">
      <c r="A710" s="781"/>
      <c r="B710" s="782"/>
      <c r="C710" s="783"/>
      <c r="D710" s="783"/>
      <c r="E710" s="808"/>
      <c r="F710" s="799"/>
      <c r="G710" s="799"/>
      <c r="H710" s="797"/>
      <c r="I710" s="754"/>
      <c r="J710" s="753"/>
      <c r="K710" s="752"/>
    </row>
    <row r="711" spans="1:11">
      <c r="A711" s="781"/>
      <c r="B711" s="782"/>
      <c r="C711" s="783"/>
      <c r="D711" s="783"/>
      <c r="E711" s="808"/>
      <c r="F711" s="799"/>
      <c r="G711" s="799"/>
      <c r="H711" s="797"/>
      <c r="I711" s="754"/>
      <c r="J711" s="753"/>
      <c r="K711" s="752"/>
    </row>
    <row r="712" spans="1:11">
      <c r="A712" s="781"/>
      <c r="B712" s="782"/>
      <c r="C712" s="783"/>
      <c r="D712" s="783"/>
      <c r="E712" s="808"/>
      <c r="F712" s="799"/>
      <c r="G712" s="799"/>
      <c r="H712" s="797"/>
      <c r="I712" s="754"/>
      <c r="J712" s="753"/>
      <c r="K712" s="752"/>
    </row>
    <row r="713" spans="1:11">
      <c r="A713" s="781"/>
      <c r="B713" s="782"/>
      <c r="C713" s="783"/>
      <c r="D713" s="783"/>
      <c r="E713" s="808"/>
      <c r="F713" s="799"/>
      <c r="G713" s="799"/>
      <c r="H713" s="797"/>
      <c r="I713" s="754"/>
      <c r="J713" s="753"/>
      <c r="K713" s="752"/>
    </row>
    <row r="714" spans="1:11">
      <c r="A714" s="781"/>
      <c r="B714" s="782"/>
      <c r="C714" s="783"/>
      <c r="D714" s="783"/>
      <c r="E714" s="808"/>
      <c r="F714" s="799"/>
      <c r="G714" s="799"/>
      <c r="H714" s="797"/>
      <c r="I714" s="754"/>
      <c r="J714" s="753"/>
      <c r="K714" s="752"/>
    </row>
    <row r="715" spans="1:11">
      <c r="A715" s="781"/>
      <c r="B715" s="782"/>
      <c r="C715" s="783"/>
      <c r="D715" s="783"/>
      <c r="E715" s="808"/>
      <c r="F715" s="799"/>
      <c r="G715" s="799"/>
      <c r="H715" s="797"/>
      <c r="I715" s="754"/>
      <c r="J715" s="753"/>
      <c r="K715" s="752"/>
    </row>
    <row r="716" spans="1:11">
      <c r="A716" s="781"/>
      <c r="B716" s="782"/>
      <c r="C716" s="783"/>
      <c r="D716" s="783"/>
      <c r="E716" s="808"/>
      <c r="F716" s="799"/>
      <c r="G716" s="799"/>
      <c r="H716" s="797"/>
      <c r="I716" s="754"/>
      <c r="J716" s="753"/>
      <c r="K716" s="752"/>
    </row>
    <row r="717" spans="1:11">
      <c r="A717" s="781"/>
      <c r="B717" s="782"/>
      <c r="C717" s="783"/>
      <c r="D717" s="783"/>
      <c r="E717" s="808"/>
      <c r="F717" s="799"/>
      <c r="G717" s="799"/>
      <c r="H717" s="797"/>
      <c r="I717" s="754"/>
      <c r="J717" s="753"/>
      <c r="K717" s="752"/>
    </row>
    <row r="718" spans="1:11">
      <c r="A718" s="781"/>
      <c r="B718" s="782"/>
      <c r="C718" s="783"/>
      <c r="D718" s="783"/>
      <c r="E718" s="808"/>
      <c r="F718" s="799"/>
      <c r="G718" s="799"/>
      <c r="H718" s="797"/>
      <c r="I718" s="754"/>
      <c r="J718" s="753"/>
      <c r="K718" s="752"/>
    </row>
    <row r="719" spans="1:11">
      <c r="A719" s="781"/>
      <c r="B719" s="782"/>
      <c r="C719" s="783"/>
      <c r="D719" s="786"/>
      <c r="E719" s="807"/>
      <c r="F719" s="798"/>
      <c r="G719" s="798"/>
      <c r="H719" s="797"/>
      <c r="I719" s="754"/>
      <c r="J719" s="753"/>
      <c r="K719" s="752"/>
    </row>
    <row r="720" spans="1:11">
      <c r="A720" s="781"/>
      <c r="B720" s="782"/>
      <c r="C720" s="783"/>
      <c r="D720" s="784"/>
      <c r="E720" s="807"/>
      <c r="F720" s="798"/>
      <c r="G720" s="798"/>
      <c r="H720" s="797"/>
      <c r="I720" s="754"/>
      <c r="J720" s="753"/>
      <c r="K720" s="752"/>
    </row>
    <row r="721" spans="1:11">
      <c r="A721" s="781"/>
      <c r="B721" s="782"/>
      <c r="C721" s="783"/>
      <c r="D721" s="784"/>
      <c r="E721" s="807"/>
      <c r="F721" s="798"/>
      <c r="G721" s="798"/>
      <c r="H721" s="797"/>
      <c r="I721" s="754"/>
      <c r="J721" s="753"/>
      <c r="K721" s="752"/>
    </row>
    <row r="722" spans="1:11">
      <c r="A722" s="781"/>
      <c r="B722" s="782"/>
      <c r="C722" s="783"/>
      <c r="D722" s="783"/>
      <c r="E722" s="808"/>
      <c r="F722" s="799"/>
      <c r="G722" s="799"/>
      <c r="H722" s="797"/>
      <c r="I722" s="754"/>
      <c r="J722" s="753"/>
      <c r="K722" s="752"/>
    </row>
    <row r="723" spans="1:11">
      <c r="A723" s="781"/>
      <c r="B723" s="782"/>
      <c r="C723" s="783"/>
      <c r="D723" s="783"/>
      <c r="E723" s="808"/>
      <c r="F723" s="799"/>
      <c r="G723" s="799"/>
      <c r="H723" s="797"/>
      <c r="I723" s="754"/>
      <c r="J723" s="753"/>
      <c r="K723" s="752"/>
    </row>
    <row r="724" spans="1:11">
      <c r="A724" s="781"/>
      <c r="B724" s="782"/>
      <c r="C724" s="783"/>
      <c r="D724" s="783"/>
      <c r="E724" s="808"/>
      <c r="F724" s="799"/>
      <c r="G724" s="799"/>
      <c r="H724" s="797"/>
      <c r="I724" s="754"/>
      <c r="J724" s="753"/>
      <c r="K724" s="752"/>
    </row>
    <row r="725" spans="1:11">
      <c r="A725" s="781"/>
      <c r="B725" s="782"/>
      <c r="C725" s="783"/>
      <c r="D725" s="783"/>
      <c r="E725" s="808"/>
      <c r="F725" s="799"/>
      <c r="G725" s="799"/>
      <c r="H725" s="797"/>
      <c r="I725" s="754"/>
      <c r="J725" s="753"/>
      <c r="K725" s="752"/>
    </row>
    <row r="726" spans="1:11">
      <c r="A726" s="781"/>
      <c r="B726" s="782"/>
      <c r="C726" s="783"/>
      <c r="D726" s="783"/>
      <c r="E726" s="808"/>
      <c r="F726" s="799"/>
      <c r="G726" s="799"/>
      <c r="H726" s="797"/>
      <c r="I726" s="754"/>
      <c r="J726" s="753"/>
      <c r="K726" s="752"/>
    </row>
    <row r="727" spans="1:11">
      <c r="A727" s="781"/>
      <c r="B727" s="782"/>
      <c r="C727" s="783"/>
      <c r="D727" s="783"/>
      <c r="E727" s="808"/>
      <c r="F727" s="799"/>
      <c r="G727" s="799"/>
      <c r="H727" s="797"/>
      <c r="I727" s="754"/>
      <c r="J727" s="753"/>
      <c r="K727" s="752"/>
    </row>
    <row r="728" spans="1:11">
      <c r="A728" s="781"/>
      <c r="B728" s="782"/>
      <c r="C728" s="783"/>
      <c r="D728" s="783"/>
      <c r="E728" s="808"/>
      <c r="F728" s="799"/>
      <c r="G728" s="799"/>
      <c r="H728" s="797"/>
      <c r="I728" s="754"/>
      <c r="J728" s="753"/>
      <c r="K728" s="752"/>
    </row>
    <row r="729" spans="1:11">
      <c r="A729" s="781"/>
      <c r="B729" s="782"/>
      <c r="C729" s="783"/>
      <c r="D729" s="783"/>
      <c r="E729" s="808"/>
      <c r="F729" s="799"/>
      <c r="G729" s="799"/>
      <c r="H729" s="797"/>
      <c r="I729" s="754"/>
      <c r="J729" s="753"/>
      <c r="K729" s="752"/>
    </row>
    <row r="730" spans="1:11">
      <c r="A730" s="781"/>
      <c r="B730" s="782"/>
      <c r="C730" s="783"/>
      <c r="D730" s="783"/>
      <c r="E730" s="808"/>
      <c r="F730" s="799"/>
      <c r="G730" s="799"/>
      <c r="H730" s="797"/>
      <c r="I730" s="754"/>
      <c r="J730" s="753"/>
      <c r="K730" s="752"/>
    </row>
    <row r="731" spans="1:11">
      <c r="A731" s="781"/>
      <c r="B731" s="782"/>
      <c r="C731" s="783"/>
      <c r="D731" s="786"/>
      <c r="E731" s="807"/>
      <c r="F731" s="798"/>
      <c r="G731" s="798"/>
      <c r="H731" s="797"/>
      <c r="I731" s="754"/>
      <c r="J731" s="753"/>
      <c r="K731" s="752"/>
    </row>
    <row r="732" spans="1:11">
      <c r="A732" s="781"/>
      <c r="B732" s="782"/>
      <c r="C732" s="783"/>
      <c r="D732" s="784"/>
      <c r="E732" s="807"/>
      <c r="F732" s="798"/>
      <c r="G732" s="798"/>
      <c r="H732" s="797"/>
      <c r="I732" s="754"/>
      <c r="J732" s="753"/>
      <c r="K732" s="752"/>
    </row>
    <row r="733" spans="1:11">
      <c r="A733" s="781"/>
      <c r="B733" s="782"/>
      <c r="C733" s="783"/>
      <c r="D733" s="784"/>
      <c r="E733" s="807"/>
      <c r="F733" s="798"/>
      <c r="G733" s="798"/>
      <c r="H733" s="797"/>
      <c r="I733" s="754"/>
      <c r="J733" s="753"/>
      <c r="K733" s="752"/>
    </row>
    <row r="734" spans="1:11">
      <c r="A734" s="781"/>
      <c r="B734" s="782"/>
      <c r="C734" s="783"/>
      <c r="D734" s="784"/>
      <c r="E734" s="807"/>
      <c r="F734" s="798"/>
      <c r="G734" s="798"/>
      <c r="H734" s="797"/>
      <c r="I734" s="754"/>
      <c r="J734" s="753"/>
      <c r="K734" s="752"/>
    </row>
    <row r="735" spans="1:11">
      <c r="A735" s="781"/>
      <c r="B735" s="782"/>
      <c r="C735" s="783"/>
      <c r="D735" s="783"/>
      <c r="E735" s="808"/>
      <c r="F735" s="799"/>
      <c r="G735" s="799"/>
      <c r="H735" s="797"/>
      <c r="I735" s="754"/>
      <c r="J735" s="753"/>
      <c r="K735" s="752"/>
    </row>
    <row r="736" spans="1:11">
      <c r="A736" s="781"/>
      <c r="B736" s="782"/>
      <c r="C736" s="783"/>
      <c r="D736" s="783"/>
      <c r="E736" s="808"/>
      <c r="F736" s="799"/>
      <c r="G736" s="799"/>
      <c r="H736" s="797"/>
      <c r="I736" s="754"/>
      <c r="J736" s="753"/>
      <c r="K736" s="752"/>
    </row>
    <row r="737" spans="1:11">
      <c r="A737" s="781"/>
      <c r="B737" s="782"/>
      <c r="C737" s="783"/>
      <c r="D737" s="783"/>
      <c r="E737" s="808"/>
      <c r="F737" s="799"/>
      <c r="G737" s="799"/>
      <c r="H737" s="797"/>
      <c r="I737" s="754"/>
      <c r="J737" s="753"/>
      <c r="K737" s="752"/>
    </row>
    <row r="738" spans="1:11">
      <c r="A738" s="781"/>
      <c r="B738" s="782"/>
      <c r="C738" s="783"/>
      <c r="D738" s="783"/>
      <c r="E738" s="808"/>
      <c r="F738" s="799"/>
      <c r="G738" s="799"/>
      <c r="H738" s="797"/>
      <c r="I738" s="754"/>
      <c r="J738" s="753"/>
      <c r="K738" s="752"/>
    </row>
    <row r="739" spans="1:11">
      <c r="A739" s="781"/>
      <c r="B739" s="782"/>
      <c r="C739" s="783"/>
      <c r="D739" s="783"/>
      <c r="E739" s="808"/>
      <c r="F739" s="799"/>
      <c r="G739" s="799"/>
      <c r="H739" s="797"/>
      <c r="I739" s="754"/>
      <c r="J739" s="753"/>
      <c r="K739" s="752"/>
    </row>
    <row r="740" spans="1:11">
      <c r="A740" s="781"/>
      <c r="B740" s="782"/>
      <c r="C740" s="783"/>
      <c r="D740" s="783"/>
      <c r="E740" s="808"/>
      <c r="F740" s="799"/>
      <c r="G740" s="799"/>
      <c r="H740" s="797"/>
      <c r="I740" s="754"/>
      <c r="J740" s="753"/>
      <c r="K740" s="752"/>
    </row>
    <row r="741" spans="1:11">
      <c r="A741" s="781"/>
      <c r="B741" s="782"/>
      <c r="C741" s="783"/>
      <c r="D741" s="783"/>
      <c r="E741" s="808"/>
      <c r="F741" s="799"/>
      <c r="G741" s="799"/>
      <c r="H741" s="797"/>
      <c r="I741" s="754"/>
      <c r="J741" s="753"/>
      <c r="K741" s="752"/>
    </row>
    <row r="742" spans="1:11">
      <c r="A742" s="781"/>
      <c r="B742" s="782"/>
      <c r="C742" s="783"/>
      <c r="D742" s="785"/>
      <c r="E742" s="808"/>
      <c r="F742" s="799"/>
      <c r="G742" s="799"/>
      <c r="H742" s="797"/>
      <c r="I742" s="754"/>
      <c r="J742" s="753"/>
      <c r="K742" s="752"/>
    </row>
    <row r="743" spans="1:11">
      <c r="A743" s="781"/>
      <c r="B743" s="782"/>
      <c r="C743" s="783"/>
      <c r="D743" s="786"/>
      <c r="E743" s="807"/>
      <c r="F743" s="798"/>
      <c r="G743" s="798"/>
      <c r="H743" s="797"/>
      <c r="I743" s="754"/>
      <c r="J743" s="753"/>
      <c r="K743" s="752"/>
    </row>
    <row r="744" spans="1:11">
      <c r="A744" s="781"/>
      <c r="B744" s="782"/>
      <c r="C744" s="783"/>
      <c r="D744" s="784"/>
      <c r="E744" s="807"/>
      <c r="F744" s="798"/>
      <c r="G744" s="798"/>
      <c r="H744" s="797"/>
      <c r="I744" s="754"/>
      <c r="J744" s="753"/>
      <c r="K744" s="752"/>
    </row>
    <row r="745" spans="1:11">
      <c r="A745" s="781"/>
      <c r="B745" s="782"/>
      <c r="C745" s="783"/>
      <c r="D745" s="784"/>
      <c r="E745" s="807"/>
      <c r="F745" s="798"/>
      <c r="G745" s="798"/>
      <c r="H745" s="797"/>
      <c r="I745" s="754"/>
      <c r="J745" s="753"/>
      <c r="K745" s="752"/>
    </row>
    <row r="746" spans="1:11">
      <c r="A746" s="781"/>
      <c r="B746" s="782"/>
      <c r="C746" s="783"/>
      <c r="D746" s="784"/>
      <c r="E746" s="807"/>
      <c r="F746" s="798"/>
      <c r="G746" s="798"/>
      <c r="H746" s="797"/>
      <c r="I746" s="754"/>
      <c r="J746" s="753"/>
      <c r="K746" s="752"/>
    </row>
    <row r="747" spans="1:11">
      <c r="A747" s="781"/>
      <c r="B747" s="782"/>
      <c r="C747" s="783"/>
      <c r="D747" s="783"/>
      <c r="E747" s="808"/>
      <c r="F747" s="799"/>
      <c r="G747" s="799"/>
      <c r="H747" s="797"/>
      <c r="I747" s="754"/>
      <c r="J747" s="753"/>
      <c r="K747" s="752"/>
    </row>
    <row r="748" spans="1:11">
      <c r="A748" s="781"/>
      <c r="B748" s="782"/>
      <c r="C748" s="783"/>
      <c r="D748" s="783"/>
      <c r="E748" s="808"/>
      <c r="F748" s="799"/>
      <c r="G748" s="799"/>
      <c r="H748" s="797"/>
      <c r="I748" s="754"/>
      <c r="J748" s="753"/>
      <c r="K748" s="752"/>
    </row>
    <row r="749" spans="1:11">
      <c r="A749" s="781"/>
      <c r="B749" s="782"/>
      <c r="C749" s="783"/>
      <c r="D749" s="783"/>
      <c r="E749" s="808"/>
      <c r="F749" s="799"/>
      <c r="G749" s="799"/>
      <c r="H749" s="797"/>
      <c r="I749" s="754"/>
      <c r="J749" s="753"/>
      <c r="K749" s="752"/>
    </row>
    <row r="750" spans="1:11">
      <c r="A750" s="781"/>
      <c r="B750" s="782"/>
      <c r="C750" s="783"/>
      <c r="D750" s="783"/>
      <c r="E750" s="808"/>
      <c r="F750" s="799"/>
      <c r="G750" s="799"/>
      <c r="H750" s="797"/>
      <c r="I750" s="754"/>
      <c r="J750" s="753"/>
      <c r="K750" s="752"/>
    </row>
    <row r="751" spans="1:11">
      <c r="A751" s="781"/>
      <c r="B751" s="782"/>
      <c r="C751" s="783"/>
      <c r="D751" s="783"/>
      <c r="E751" s="808"/>
      <c r="F751" s="799"/>
      <c r="G751" s="799"/>
      <c r="H751" s="797"/>
      <c r="I751" s="754"/>
      <c r="J751" s="753"/>
      <c r="K751" s="752"/>
    </row>
    <row r="752" spans="1:11">
      <c r="A752" s="781"/>
      <c r="B752" s="782"/>
      <c r="C752" s="783"/>
      <c r="D752" s="783"/>
      <c r="E752" s="808"/>
      <c r="F752" s="799"/>
      <c r="G752" s="799"/>
      <c r="H752" s="797"/>
      <c r="I752" s="754"/>
      <c r="J752" s="753"/>
      <c r="K752" s="752"/>
    </row>
    <row r="753" spans="1:11">
      <c r="A753" s="781"/>
      <c r="B753" s="782"/>
      <c r="C753" s="783"/>
      <c r="D753" s="783"/>
      <c r="E753" s="808"/>
      <c r="F753" s="799"/>
      <c r="G753" s="799"/>
      <c r="H753" s="797"/>
      <c r="I753" s="754"/>
      <c r="J753" s="753"/>
      <c r="K753" s="752"/>
    </row>
    <row r="754" spans="1:11">
      <c r="A754" s="781"/>
      <c r="B754" s="782"/>
      <c r="C754" s="783"/>
      <c r="D754" s="785"/>
      <c r="E754" s="808"/>
      <c r="F754" s="799"/>
      <c r="G754" s="799"/>
      <c r="H754" s="797"/>
      <c r="I754" s="754"/>
      <c r="J754" s="753"/>
      <c r="K754" s="752"/>
    </row>
    <row r="755" spans="1:11">
      <c r="A755" s="781"/>
      <c r="B755" s="782"/>
      <c r="C755" s="783"/>
      <c r="D755" s="783"/>
      <c r="E755" s="808"/>
      <c r="F755" s="799"/>
      <c r="G755" s="799"/>
      <c r="H755" s="797"/>
      <c r="I755" s="754"/>
      <c r="J755" s="753"/>
      <c r="K755" s="752"/>
    </row>
    <row r="756" spans="1:11">
      <c r="A756" s="781"/>
      <c r="B756" s="782"/>
      <c r="C756" s="783"/>
      <c r="D756" s="783"/>
      <c r="E756" s="808"/>
      <c r="F756" s="799"/>
      <c r="G756" s="799"/>
      <c r="H756" s="797"/>
      <c r="I756" s="754"/>
      <c r="J756" s="753"/>
      <c r="K756" s="752"/>
    </row>
    <row r="757" spans="1:11">
      <c r="A757" s="781"/>
      <c r="B757" s="782"/>
      <c r="C757" s="783"/>
      <c r="D757" s="783"/>
      <c r="E757" s="808"/>
      <c r="F757" s="799"/>
      <c r="G757" s="799"/>
      <c r="H757" s="797"/>
      <c r="I757" s="754"/>
      <c r="J757" s="753"/>
      <c r="K757" s="752"/>
    </row>
    <row r="758" spans="1:11">
      <c r="A758" s="781"/>
      <c r="B758" s="782"/>
      <c r="C758" s="783"/>
      <c r="D758" s="783"/>
      <c r="E758" s="808"/>
      <c r="F758" s="799"/>
      <c r="G758" s="799"/>
      <c r="H758" s="797"/>
      <c r="I758" s="754"/>
      <c r="J758" s="753"/>
      <c r="K758" s="752"/>
    </row>
    <row r="759" spans="1:11">
      <c r="A759" s="781"/>
      <c r="B759" s="782"/>
      <c r="C759" s="783"/>
      <c r="D759" s="783"/>
      <c r="E759" s="808"/>
      <c r="F759" s="799"/>
      <c r="G759" s="799"/>
      <c r="H759" s="797"/>
      <c r="I759" s="754"/>
      <c r="J759" s="753"/>
      <c r="K759" s="752"/>
    </row>
    <row r="760" spans="1:11">
      <c r="A760" s="781"/>
      <c r="B760" s="782"/>
      <c r="C760" s="783"/>
      <c r="D760" s="783"/>
      <c r="E760" s="808"/>
      <c r="F760" s="799"/>
      <c r="G760" s="799"/>
      <c r="H760" s="797"/>
      <c r="I760" s="754"/>
      <c r="J760" s="753"/>
      <c r="K760" s="752"/>
    </row>
    <row r="761" spans="1:11">
      <c r="A761" s="781"/>
      <c r="B761" s="782"/>
      <c r="C761" s="783"/>
      <c r="D761" s="783"/>
      <c r="E761" s="808"/>
      <c r="F761" s="799"/>
      <c r="G761" s="799"/>
      <c r="H761" s="797"/>
      <c r="I761" s="754"/>
      <c r="J761" s="753"/>
      <c r="K761" s="752"/>
    </row>
    <row r="762" spans="1:11">
      <c r="A762" s="781"/>
      <c r="B762" s="782"/>
      <c r="C762" s="783"/>
      <c r="D762" s="783"/>
      <c r="E762" s="808"/>
      <c r="F762" s="799"/>
      <c r="G762" s="799"/>
      <c r="H762" s="797"/>
      <c r="I762" s="754"/>
      <c r="J762" s="753"/>
      <c r="K762" s="752"/>
    </row>
    <row r="763" spans="1:11">
      <c r="A763" s="781"/>
      <c r="B763" s="782"/>
      <c r="C763" s="783"/>
      <c r="D763" s="783"/>
      <c r="E763" s="808"/>
      <c r="F763" s="799"/>
      <c r="G763" s="799"/>
      <c r="H763" s="797"/>
      <c r="I763" s="754"/>
      <c r="J763" s="753"/>
      <c r="K763" s="752"/>
    </row>
    <row r="764" spans="1:11">
      <c r="A764" s="781"/>
      <c r="B764" s="782"/>
      <c r="C764" s="783"/>
      <c r="D764" s="786"/>
      <c r="E764" s="807"/>
      <c r="F764" s="798"/>
      <c r="G764" s="798"/>
      <c r="H764" s="797"/>
      <c r="I764" s="754"/>
      <c r="J764" s="753"/>
      <c r="K764" s="752"/>
    </row>
    <row r="765" spans="1:11">
      <c r="A765" s="781"/>
      <c r="B765" s="782"/>
      <c r="C765" s="783"/>
      <c r="D765" s="786"/>
      <c r="E765" s="807"/>
      <c r="F765" s="798"/>
      <c r="G765" s="798"/>
      <c r="H765" s="797"/>
      <c r="I765" s="754"/>
      <c r="J765" s="753"/>
      <c r="K765" s="752"/>
    </row>
    <row r="766" spans="1:11">
      <c r="A766" s="781"/>
      <c r="B766" s="782"/>
      <c r="C766" s="783"/>
      <c r="D766" s="783"/>
      <c r="E766" s="808"/>
      <c r="F766" s="799"/>
      <c r="G766" s="799"/>
      <c r="H766" s="797"/>
      <c r="I766" s="754"/>
      <c r="J766" s="753"/>
      <c r="K766" s="752"/>
    </row>
    <row r="767" spans="1:11">
      <c r="A767" s="781"/>
      <c r="B767" s="782"/>
      <c r="C767" s="783"/>
      <c r="D767" s="786"/>
      <c r="E767" s="807"/>
      <c r="F767" s="798"/>
      <c r="G767" s="798"/>
      <c r="H767" s="797"/>
      <c r="I767" s="754"/>
      <c r="J767" s="753"/>
      <c r="K767" s="752"/>
    </row>
    <row r="768" spans="1:11">
      <c r="A768" s="781"/>
      <c r="B768" s="782"/>
      <c r="C768" s="783"/>
      <c r="D768" s="784"/>
      <c r="E768" s="807"/>
      <c r="F768" s="798"/>
      <c r="G768" s="798"/>
      <c r="H768" s="797"/>
      <c r="I768" s="754"/>
      <c r="J768" s="753"/>
      <c r="K768" s="752"/>
    </row>
    <row r="769" spans="1:11">
      <c r="A769" s="781"/>
      <c r="B769" s="782"/>
      <c r="C769" s="783"/>
      <c r="D769" s="783"/>
      <c r="E769" s="808"/>
      <c r="F769" s="799"/>
      <c r="G769" s="799"/>
      <c r="H769" s="797"/>
      <c r="I769" s="754"/>
      <c r="J769" s="753"/>
      <c r="K769" s="752"/>
    </row>
    <row r="770" spans="1:11">
      <c r="A770" s="781"/>
      <c r="B770" s="782"/>
      <c r="C770" s="783"/>
      <c r="D770" s="783"/>
      <c r="E770" s="808"/>
      <c r="F770" s="799"/>
      <c r="G770" s="799"/>
      <c r="H770" s="797"/>
      <c r="I770" s="754"/>
      <c r="J770" s="753"/>
      <c r="K770" s="752"/>
    </row>
    <row r="771" spans="1:11">
      <c r="A771" s="781"/>
      <c r="B771" s="782"/>
      <c r="C771" s="783"/>
      <c r="D771" s="783"/>
      <c r="E771" s="808"/>
      <c r="F771" s="799"/>
      <c r="G771" s="799"/>
      <c r="H771" s="797"/>
      <c r="I771" s="754"/>
      <c r="J771" s="753"/>
      <c r="K771" s="752"/>
    </row>
    <row r="772" spans="1:11">
      <c r="A772" s="781"/>
      <c r="B772" s="782"/>
      <c r="C772" s="783"/>
      <c r="D772" s="783"/>
      <c r="E772" s="808"/>
      <c r="F772" s="799"/>
      <c r="G772" s="799"/>
      <c r="H772" s="797"/>
      <c r="I772" s="754"/>
      <c r="J772" s="753"/>
      <c r="K772" s="752"/>
    </row>
    <row r="773" spans="1:11">
      <c r="A773" s="781"/>
      <c r="B773" s="782"/>
      <c r="C773" s="783"/>
      <c r="D773" s="783"/>
      <c r="E773" s="808"/>
      <c r="F773" s="799"/>
      <c r="G773" s="799"/>
      <c r="H773" s="797"/>
      <c r="I773" s="754"/>
      <c r="J773" s="753"/>
      <c r="K773" s="752"/>
    </row>
    <row r="774" spans="1:11">
      <c r="A774" s="781"/>
      <c r="B774" s="782"/>
      <c r="C774" s="783"/>
      <c r="D774" s="783"/>
      <c r="E774" s="808"/>
      <c r="F774" s="799"/>
      <c r="G774" s="799"/>
      <c r="H774" s="797"/>
      <c r="I774" s="754"/>
      <c r="J774" s="753"/>
      <c r="K774" s="752"/>
    </row>
    <row r="775" spans="1:11">
      <c r="A775" s="781"/>
      <c r="B775" s="782"/>
      <c r="C775" s="783"/>
      <c r="D775" s="783"/>
      <c r="E775" s="808"/>
      <c r="F775" s="799"/>
      <c r="G775" s="799"/>
      <c r="H775" s="797"/>
      <c r="I775" s="754"/>
      <c r="J775" s="753"/>
      <c r="K775" s="752"/>
    </row>
    <row r="776" spans="1:11">
      <c r="A776" s="781"/>
      <c r="B776" s="782"/>
      <c r="C776" s="783"/>
      <c r="D776" s="785"/>
      <c r="E776" s="808"/>
      <c r="F776" s="799"/>
      <c r="G776" s="799"/>
      <c r="H776" s="797"/>
      <c r="I776" s="754"/>
      <c r="J776" s="753"/>
      <c r="K776" s="752"/>
    </row>
    <row r="777" spans="1:11">
      <c r="A777" s="781"/>
      <c r="B777" s="782"/>
      <c r="C777" s="783"/>
      <c r="D777" s="783"/>
      <c r="E777" s="808"/>
      <c r="F777" s="799"/>
      <c r="G777" s="799"/>
      <c r="H777" s="797"/>
      <c r="I777" s="754"/>
      <c r="J777" s="753"/>
      <c r="K777" s="752"/>
    </row>
    <row r="778" spans="1:11">
      <c r="A778" s="781"/>
      <c r="B778" s="782"/>
      <c r="C778" s="783"/>
      <c r="D778" s="783"/>
      <c r="E778" s="808"/>
      <c r="F778" s="799"/>
      <c r="G778" s="799"/>
      <c r="H778" s="797"/>
      <c r="I778" s="754"/>
      <c r="J778" s="753"/>
      <c r="K778" s="752"/>
    </row>
    <row r="779" spans="1:11">
      <c r="A779" s="781"/>
      <c r="B779" s="782"/>
      <c r="C779" s="783"/>
      <c r="D779" s="786"/>
      <c r="E779" s="807"/>
      <c r="F779" s="798"/>
      <c r="G779" s="798"/>
      <c r="H779" s="797"/>
      <c r="I779" s="754"/>
      <c r="J779" s="753"/>
      <c r="K779" s="752"/>
    </row>
    <row r="780" spans="1:11">
      <c r="A780" s="781"/>
      <c r="B780" s="782"/>
      <c r="C780" s="783"/>
      <c r="D780" s="784"/>
      <c r="E780" s="807"/>
      <c r="F780" s="798"/>
      <c r="G780" s="798"/>
      <c r="H780" s="797"/>
      <c r="I780" s="754"/>
      <c r="J780" s="753"/>
      <c r="K780" s="752"/>
    </row>
    <row r="781" spans="1:11">
      <c r="A781" s="781"/>
      <c r="B781" s="782"/>
      <c r="C781" s="783"/>
      <c r="D781" s="784"/>
      <c r="E781" s="807"/>
      <c r="F781" s="798"/>
      <c r="G781" s="798"/>
      <c r="H781" s="797"/>
      <c r="I781" s="754"/>
      <c r="J781" s="753"/>
      <c r="K781" s="752"/>
    </row>
    <row r="782" spans="1:11">
      <c r="A782" s="781"/>
      <c r="B782" s="782"/>
      <c r="C782" s="783"/>
      <c r="D782" s="784"/>
      <c r="E782" s="807"/>
      <c r="F782" s="798"/>
      <c r="G782" s="798"/>
      <c r="H782" s="797"/>
      <c r="I782" s="754"/>
      <c r="J782" s="753"/>
      <c r="K782" s="752"/>
    </row>
    <row r="783" spans="1:11">
      <c r="A783" s="781"/>
      <c r="B783" s="782"/>
      <c r="C783" s="783"/>
      <c r="D783" s="784"/>
      <c r="E783" s="807"/>
      <c r="F783" s="798"/>
      <c r="G783" s="798"/>
      <c r="H783" s="797"/>
      <c r="I783" s="754"/>
      <c r="J783" s="753"/>
      <c r="K783" s="752"/>
    </row>
    <row r="784" spans="1:11">
      <c r="A784" s="781"/>
      <c r="B784" s="782"/>
      <c r="C784" s="783"/>
      <c r="D784" s="784"/>
      <c r="E784" s="807"/>
      <c r="F784" s="798"/>
      <c r="G784" s="798"/>
      <c r="H784" s="797"/>
      <c r="I784" s="754"/>
      <c r="J784" s="753"/>
      <c r="K784" s="752"/>
    </row>
    <row r="785" spans="1:11">
      <c r="A785" s="781"/>
      <c r="B785" s="782"/>
      <c r="C785" s="783"/>
      <c r="D785" s="783"/>
      <c r="E785" s="808"/>
      <c r="F785" s="799"/>
      <c r="G785" s="799"/>
      <c r="H785" s="797"/>
      <c r="I785" s="754"/>
      <c r="J785" s="753"/>
      <c r="K785" s="752"/>
    </row>
    <row r="786" spans="1:11">
      <c r="A786" s="781"/>
      <c r="B786" s="782"/>
      <c r="C786" s="783"/>
      <c r="D786" s="783"/>
      <c r="E786" s="808"/>
      <c r="F786" s="799"/>
      <c r="G786" s="799"/>
      <c r="H786" s="797"/>
      <c r="I786" s="754"/>
      <c r="J786" s="753"/>
      <c r="K786" s="752"/>
    </row>
    <row r="787" spans="1:11">
      <c r="A787" s="781"/>
      <c r="B787" s="782"/>
      <c r="C787" s="783"/>
      <c r="D787" s="783"/>
      <c r="E787" s="808"/>
      <c r="F787" s="799"/>
      <c r="G787" s="799"/>
      <c r="H787" s="797"/>
      <c r="I787" s="754"/>
      <c r="J787" s="753"/>
      <c r="K787" s="752"/>
    </row>
    <row r="788" spans="1:11">
      <c r="A788" s="781"/>
      <c r="B788" s="782"/>
      <c r="C788" s="783"/>
      <c r="D788" s="783"/>
      <c r="E788" s="808"/>
      <c r="F788" s="799"/>
      <c r="G788" s="799"/>
      <c r="H788" s="797"/>
      <c r="I788" s="754"/>
      <c r="J788" s="753"/>
      <c r="K788" s="752"/>
    </row>
    <row r="789" spans="1:11">
      <c r="A789" s="781"/>
      <c r="B789" s="782"/>
      <c r="C789" s="783"/>
      <c r="D789" s="783"/>
      <c r="E789" s="808"/>
      <c r="F789" s="799"/>
      <c r="G789" s="799"/>
      <c r="H789" s="797"/>
      <c r="I789" s="754"/>
      <c r="J789" s="753"/>
      <c r="K789" s="752"/>
    </row>
    <row r="790" spans="1:11">
      <c r="A790" s="781"/>
      <c r="B790" s="782"/>
      <c r="C790" s="783"/>
      <c r="D790" s="783"/>
      <c r="E790" s="808"/>
      <c r="F790" s="799"/>
      <c r="G790" s="799"/>
      <c r="H790" s="797"/>
      <c r="I790" s="754"/>
      <c r="J790" s="753"/>
      <c r="K790" s="752"/>
    </row>
    <row r="791" spans="1:11">
      <c r="A791" s="781"/>
      <c r="B791" s="782"/>
      <c r="C791" s="783"/>
      <c r="D791" s="783"/>
      <c r="E791" s="808"/>
      <c r="F791" s="799"/>
      <c r="G791" s="799"/>
      <c r="H791" s="797"/>
      <c r="I791" s="754"/>
      <c r="J791" s="753"/>
      <c r="K791" s="752"/>
    </row>
    <row r="792" spans="1:11">
      <c r="A792" s="781"/>
      <c r="B792" s="782"/>
      <c r="C792" s="783"/>
      <c r="D792" s="783"/>
      <c r="E792" s="808"/>
      <c r="F792" s="799"/>
      <c r="G792" s="799"/>
      <c r="H792" s="797"/>
      <c r="I792" s="754"/>
      <c r="J792" s="753"/>
      <c r="K792" s="752"/>
    </row>
    <row r="793" spans="1:11">
      <c r="A793" s="781"/>
      <c r="B793" s="782"/>
      <c r="C793" s="783"/>
      <c r="D793" s="783"/>
      <c r="E793" s="808"/>
      <c r="F793" s="799"/>
      <c r="G793" s="799"/>
      <c r="H793" s="797"/>
      <c r="I793" s="754"/>
      <c r="J793" s="753"/>
      <c r="K793" s="752"/>
    </row>
    <row r="794" spans="1:11">
      <c r="A794" s="781"/>
      <c r="B794" s="782"/>
      <c r="C794" s="783"/>
      <c r="D794" s="783"/>
      <c r="E794" s="808"/>
      <c r="F794" s="799"/>
      <c r="G794" s="799"/>
      <c r="H794" s="797"/>
      <c r="I794" s="754"/>
      <c r="J794" s="753"/>
      <c r="K794" s="752"/>
    </row>
    <row r="795" spans="1:11">
      <c r="A795" s="781"/>
      <c r="B795" s="782"/>
      <c r="C795" s="783"/>
      <c r="D795" s="783"/>
      <c r="E795" s="808"/>
      <c r="F795" s="799"/>
      <c r="G795" s="799"/>
      <c r="H795" s="797"/>
      <c r="I795" s="754"/>
      <c r="J795" s="753"/>
      <c r="K795" s="752"/>
    </row>
    <row r="796" spans="1:11">
      <c r="A796" s="781"/>
      <c r="B796" s="782"/>
      <c r="C796" s="783"/>
      <c r="D796" s="783"/>
      <c r="E796" s="808"/>
      <c r="F796" s="799"/>
      <c r="G796" s="799"/>
      <c r="H796" s="797"/>
      <c r="I796" s="754"/>
      <c r="J796" s="753"/>
      <c r="K796" s="752"/>
    </row>
    <row r="797" spans="1:11">
      <c r="A797" s="781"/>
      <c r="B797" s="782"/>
      <c r="C797" s="783"/>
      <c r="D797" s="783"/>
      <c r="E797" s="808"/>
      <c r="F797" s="799"/>
      <c r="G797" s="799"/>
      <c r="H797" s="797"/>
      <c r="I797" s="754"/>
      <c r="J797" s="753"/>
      <c r="K797" s="752"/>
    </row>
    <row r="798" spans="1:11">
      <c r="A798" s="781"/>
      <c r="B798" s="782"/>
      <c r="C798" s="783"/>
      <c r="D798" s="783"/>
      <c r="E798" s="808"/>
      <c r="F798" s="799"/>
      <c r="G798" s="799"/>
      <c r="H798" s="797"/>
      <c r="I798" s="754"/>
      <c r="J798" s="753"/>
      <c r="K798" s="752"/>
    </row>
    <row r="799" spans="1:11">
      <c r="A799" s="781"/>
      <c r="B799" s="782"/>
      <c r="C799" s="783"/>
      <c r="D799" s="783"/>
      <c r="E799" s="810"/>
      <c r="F799" s="799"/>
      <c r="G799" s="799"/>
      <c r="H799" s="797"/>
      <c r="I799" s="754"/>
      <c r="J799" s="753"/>
      <c r="K799" s="752"/>
    </row>
    <row r="800" spans="1:11">
      <c r="A800" s="781"/>
      <c r="B800" s="782"/>
      <c r="C800" s="783"/>
      <c r="D800" s="783"/>
      <c r="E800" s="810"/>
      <c r="F800" s="799"/>
      <c r="G800" s="799"/>
      <c r="H800" s="797"/>
      <c r="I800" s="754"/>
      <c r="J800" s="753"/>
      <c r="K800" s="752"/>
    </row>
    <row r="801" spans="1:11">
      <c r="A801" s="781"/>
      <c r="B801" s="782"/>
      <c r="C801" s="783"/>
      <c r="D801" s="783"/>
      <c r="E801" s="810"/>
      <c r="F801" s="799"/>
      <c r="G801" s="799"/>
      <c r="H801" s="797"/>
      <c r="I801" s="754"/>
      <c r="J801" s="753"/>
      <c r="K801" s="752"/>
    </row>
    <row r="802" spans="1:11">
      <c r="A802" s="781"/>
      <c r="B802" s="782"/>
      <c r="C802" s="783"/>
      <c r="D802" s="783"/>
      <c r="E802" s="810"/>
      <c r="F802" s="799"/>
      <c r="G802" s="799"/>
      <c r="H802" s="797"/>
      <c r="I802" s="754"/>
      <c r="J802" s="753"/>
      <c r="K802" s="752"/>
    </row>
    <row r="803" spans="1:11">
      <c r="A803" s="781"/>
      <c r="B803" s="782"/>
      <c r="C803" s="783"/>
      <c r="D803" s="783"/>
      <c r="E803" s="810"/>
      <c r="F803" s="799"/>
      <c r="G803" s="799"/>
      <c r="H803" s="797"/>
      <c r="I803" s="754"/>
      <c r="J803" s="753"/>
      <c r="K803" s="752"/>
    </row>
    <row r="804" spans="1:11">
      <c r="A804" s="781"/>
      <c r="B804" s="782"/>
      <c r="C804" s="783"/>
      <c r="D804" s="783"/>
      <c r="E804" s="810"/>
      <c r="F804" s="799"/>
      <c r="G804" s="799"/>
      <c r="H804" s="797"/>
      <c r="I804" s="754"/>
      <c r="J804" s="753"/>
      <c r="K804" s="752"/>
    </row>
    <row r="805" spans="1:11">
      <c r="A805" s="781"/>
      <c r="B805" s="782"/>
      <c r="C805" s="783"/>
      <c r="D805" s="783"/>
      <c r="E805" s="810"/>
      <c r="F805" s="799"/>
      <c r="G805" s="799"/>
      <c r="H805" s="797"/>
      <c r="I805" s="754"/>
      <c r="J805" s="753"/>
      <c r="K805" s="752"/>
    </row>
    <row r="806" spans="1:11">
      <c r="A806" s="781"/>
      <c r="B806" s="782"/>
      <c r="C806" s="783"/>
      <c r="D806" s="783"/>
      <c r="E806" s="810"/>
      <c r="F806" s="799"/>
      <c r="G806" s="799"/>
      <c r="H806" s="797"/>
      <c r="I806" s="754"/>
      <c r="J806" s="753"/>
      <c r="K806" s="752"/>
    </row>
    <row r="807" spans="1:11">
      <c r="A807" s="781"/>
      <c r="B807" s="782"/>
      <c r="C807" s="783"/>
      <c r="D807" s="783"/>
      <c r="E807" s="810"/>
      <c r="F807" s="799"/>
      <c r="G807" s="799"/>
      <c r="H807" s="797"/>
      <c r="I807" s="754"/>
      <c r="J807" s="753"/>
      <c r="K807" s="752"/>
    </row>
    <row r="808" spans="1:11">
      <c r="A808" s="781"/>
      <c r="B808" s="782"/>
      <c r="C808" s="783"/>
      <c r="D808" s="783"/>
      <c r="E808" s="810"/>
      <c r="F808" s="799"/>
      <c r="G808" s="799"/>
      <c r="H808" s="797"/>
      <c r="I808" s="754"/>
      <c r="J808" s="753"/>
      <c r="K808" s="752"/>
    </row>
    <row r="809" spans="1:11">
      <c r="A809" s="781"/>
      <c r="B809" s="782"/>
      <c r="C809" s="783"/>
      <c r="D809" s="783"/>
      <c r="E809" s="810"/>
      <c r="F809" s="799"/>
      <c r="G809" s="799"/>
      <c r="H809" s="797"/>
      <c r="I809" s="754"/>
      <c r="J809" s="753"/>
      <c r="K809" s="752"/>
    </row>
    <row r="810" spans="1:11">
      <c r="A810" s="781"/>
      <c r="B810" s="782"/>
      <c r="C810" s="783"/>
      <c r="D810" s="783"/>
      <c r="E810" s="810"/>
      <c r="F810" s="799"/>
      <c r="G810" s="799"/>
      <c r="H810" s="797"/>
      <c r="I810" s="754"/>
      <c r="J810" s="753"/>
      <c r="K810" s="752"/>
    </row>
    <row r="811" spans="1:11">
      <c r="A811" s="781"/>
      <c r="B811" s="782"/>
      <c r="C811" s="783"/>
      <c r="D811" s="783"/>
      <c r="E811" s="810"/>
      <c r="F811" s="799"/>
      <c r="G811" s="799"/>
      <c r="H811" s="797"/>
      <c r="I811" s="754"/>
      <c r="J811" s="753"/>
      <c r="K811" s="752"/>
    </row>
    <row r="812" spans="1:11">
      <c r="A812" s="781"/>
      <c r="B812" s="782"/>
      <c r="C812" s="783"/>
      <c r="D812" s="783"/>
      <c r="E812" s="810"/>
      <c r="F812" s="799"/>
      <c r="G812" s="799"/>
      <c r="H812" s="797"/>
      <c r="I812" s="754"/>
      <c r="J812" s="753"/>
      <c r="K812" s="752"/>
    </row>
    <row r="813" spans="1:11">
      <c r="A813" s="781"/>
      <c r="B813" s="782"/>
      <c r="C813" s="783"/>
      <c r="D813" s="783"/>
      <c r="E813" s="810"/>
      <c r="F813" s="799"/>
      <c r="G813" s="799"/>
      <c r="H813" s="797"/>
      <c r="I813" s="754"/>
      <c r="J813" s="753"/>
      <c r="K813" s="752"/>
    </row>
    <row r="814" spans="1:11">
      <c r="A814" s="781"/>
      <c r="B814" s="782"/>
      <c r="C814" s="783"/>
      <c r="D814" s="783"/>
      <c r="E814" s="810"/>
      <c r="F814" s="799"/>
      <c r="G814" s="799"/>
      <c r="H814" s="797"/>
      <c r="I814" s="754"/>
      <c r="J814" s="753"/>
      <c r="K814" s="752"/>
    </row>
    <row r="815" spans="1:11">
      <c r="A815" s="781"/>
      <c r="B815" s="782"/>
      <c r="C815" s="783"/>
      <c r="D815" s="783"/>
      <c r="E815" s="810"/>
      <c r="F815" s="799"/>
      <c r="G815" s="799"/>
      <c r="H815" s="797"/>
      <c r="I815" s="754"/>
      <c r="J815" s="753"/>
      <c r="K815" s="752"/>
    </row>
    <row r="816" spans="1:11">
      <c r="A816" s="781"/>
      <c r="B816" s="782"/>
      <c r="C816" s="783"/>
      <c r="D816" s="783"/>
      <c r="E816" s="810"/>
      <c r="F816" s="799"/>
      <c r="G816" s="799"/>
      <c r="H816" s="797"/>
      <c r="I816" s="754"/>
      <c r="J816" s="753"/>
      <c r="K816" s="752"/>
    </row>
    <row r="817" spans="1:11">
      <c r="A817" s="781"/>
      <c r="B817" s="782"/>
      <c r="C817" s="783"/>
      <c r="D817" s="783"/>
      <c r="E817" s="810"/>
      <c r="F817" s="799"/>
      <c r="G817" s="799"/>
      <c r="H817" s="797"/>
      <c r="I817" s="754"/>
      <c r="J817" s="753"/>
      <c r="K817" s="752"/>
    </row>
    <row r="818" spans="1:11">
      <c r="A818" s="781"/>
      <c r="B818" s="782"/>
      <c r="C818" s="783"/>
      <c r="D818" s="783"/>
      <c r="E818" s="810"/>
      <c r="F818" s="799"/>
      <c r="G818" s="799"/>
      <c r="H818" s="797"/>
      <c r="I818" s="754"/>
      <c r="J818" s="753"/>
      <c r="K818" s="752"/>
    </row>
    <row r="819" spans="1:11">
      <c r="A819" s="781"/>
      <c r="B819" s="782"/>
      <c r="C819" s="783"/>
      <c r="D819" s="783"/>
      <c r="E819" s="810"/>
      <c r="F819" s="799"/>
      <c r="G819" s="799"/>
      <c r="H819" s="797"/>
      <c r="I819" s="754"/>
      <c r="J819" s="753"/>
      <c r="K819" s="752"/>
    </row>
    <row r="820" spans="1:11">
      <c r="A820" s="781"/>
      <c r="B820" s="782"/>
      <c r="C820" s="783"/>
      <c r="D820" s="783"/>
      <c r="E820" s="810"/>
      <c r="F820" s="799"/>
      <c r="G820" s="799"/>
      <c r="H820" s="797"/>
      <c r="I820" s="754"/>
      <c r="J820" s="753"/>
      <c r="K820" s="752"/>
    </row>
    <row r="821" spans="1:11">
      <c r="A821" s="781"/>
      <c r="B821" s="782"/>
      <c r="C821" s="783"/>
      <c r="D821" s="783"/>
      <c r="E821" s="810"/>
      <c r="F821" s="799"/>
      <c r="G821" s="799"/>
      <c r="H821" s="797"/>
      <c r="I821" s="754"/>
      <c r="J821" s="753"/>
      <c r="K821" s="752"/>
    </row>
    <row r="822" spans="1:11">
      <c r="A822" s="781"/>
      <c r="B822" s="782"/>
      <c r="C822" s="783"/>
      <c r="D822" s="783"/>
      <c r="E822" s="810"/>
      <c r="F822" s="799"/>
      <c r="G822" s="799"/>
      <c r="H822" s="797"/>
      <c r="I822" s="754"/>
      <c r="J822" s="753"/>
      <c r="K822" s="752"/>
    </row>
    <row r="823" spans="1:11">
      <c r="A823" s="781"/>
      <c r="B823" s="782"/>
      <c r="C823" s="783"/>
      <c r="D823" s="786"/>
      <c r="E823" s="807"/>
      <c r="F823" s="798"/>
      <c r="G823" s="798"/>
      <c r="H823" s="797"/>
      <c r="I823" s="754"/>
      <c r="J823" s="753"/>
      <c r="K823" s="752"/>
    </row>
    <row r="824" spans="1:11">
      <c r="A824" s="781"/>
      <c r="B824" s="782"/>
      <c r="C824" s="783"/>
      <c r="D824" s="783"/>
      <c r="E824" s="808"/>
      <c r="F824" s="799"/>
      <c r="G824" s="799"/>
      <c r="H824" s="797"/>
      <c r="I824" s="754"/>
      <c r="J824" s="753"/>
      <c r="K824" s="752"/>
    </row>
    <row r="825" spans="1:11">
      <c r="A825" s="781"/>
      <c r="B825" s="782"/>
      <c r="C825" s="783"/>
      <c r="D825" s="783"/>
      <c r="E825" s="808"/>
      <c r="F825" s="799"/>
      <c r="G825" s="799"/>
      <c r="H825" s="797"/>
      <c r="I825" s="754"/>
      <c r="J825" s="753"/>
      <c r="K825" s="752"/>
    </row>
    <row r="826" spans="1:11">
      <c r="A826" s="781"/>
      <c r="B826" s="782"/>
      <c r="C826" s="783"/>
      <c r="D826" s="783"/>
      <c r="E826" s="808"/>
      <c r="F826" s="799"/>
      <c r="G826" s="799"/>
      <c r="H826" s="797"/>
      <c r="I826" s="754"/>
      <c r="J826" s="753"/>
      <c r="K826" s="752"/>
    </row>
    <row r="827" spans="1:11">
      <c r="A827" s="781"/>
      <c r="B827" s="782"/>
      <c r="C827" s="783"/>
      <c r="D827" s="786"/>
      <c r="E827" s="807"/>
      <c r="F827" s="798"/>
      <c r="G827" s="799"/>
      <c r="H827" s="797"/>
      <c r="I827" s="754"/>
      <c r="J827" s="753"/>
      <c r="K827" s="752"/>
    </row>
    <row r="828" spans="1:11">
      <c r="A828" s="781"/>
      <c r="B828" s="782"/>
      <c r="C828" s="783"/>
      <c r="D828" s="784"/>
      <c r="E828" s="807"/>
      <c r="F828" s="798"/>
      <c r="G828" s="799"/>
      <c r="H828" s="797"/>
      <c r="I828" s="754"/>
      <c r="J828" s="753"/>
      <c r="K828" s="752"/>
    </row>
    <row r="829" spans="1:11">
      <c r="A829" s="781"/>
      <c r="B829" s="782"/>
      <c r="C829" s="783"/>
      <c r="D829" s="784"/>
      <c r="E829" s="807"/>
      <c r="F829" s="798"/>
      <c r="G829" s="799"/>
      <c r="H829" s="797"/>
      <c r="I829" s="754"/>
      <c r="J829" s="753"/>
      <c r="K829" s="752"/>
    </row>
    <row r="830" spans="1:11">
      <c r="A830" s="781"/>
      <c r="B830" s="782"/>
      <c r="C830" s="783"/>
      <c r="D830" s="784"/>
      <c r="E830" s="807"/>
      <c r="F830" s="798"/>
      <c r="G830" s="799"/>
      <c r="H830" s="797"/>
      <c r="I830" s="754"/>
      <c r="J830" s="753"/>
      <c r="K830" s="752"/>
    </row>
    <row r="831" spans="1:11">
      <c r="A831" s="781"/>
      <c r="B831" s="782"/>
      <c r="C831" s="783"/>
      <c r="D831" s="783"/>
      <c r="E831" s="808"/>
      <c r="F831" s="799"/>
      <c r="G831" s="799"/>
      <c r="H831" s="797"/>
      <c r="I831" s="754"/>
      <c r="J831" s="753"/>
      <c r="K831" s="752"/>
    </row>
    <row r="832" spans="1:11">
      <c r="A832" s="781"/>
      <c r="B832" s="782"/>
      <c r="C832" s="783"/>
      <c r="D832" s="783"/>
      <c r="E832" s="808"/>
      <c r="F832" s="799"/>
      <c r="G832" s="799"/>
      <c r="H832" s="797"/>
      <c r="I832" s="754"/>
      <c r="J832" s="753"/>
      <c r="K832" s="752"/>
    </row>
    <row r="833" spans="1:11">
      <c r="A833" s="781"/>
      <c r="B833" s="782"/>
      <c r="C833" s="783"/>
      <c r="D833" s="783"/>
      <c r="E833" s="808"/>
      <c r="F833" s="799"/>
      <c r="G833" s="799"/>
      <c r="H833" s="797"/>
      <c r="I833" s="754"/>
      <c r="J833" s="753"/>
      <c r="K833" s="752"/>
    </row>
    <row r="834" spans="1:11">
      <c r="A834" s="781"/>
      <c r="B834" s="782"/>
      <c r="C834" s="783"/>
      <c r="D834" s="783"/>
      <c r="E834" s="808"/>
      <c r="F834" s="799"/>
      <c r="G834" s="799"/>
      <c r="H834" s="797"/>
      <c r="I834" s="754"/>
      <c r="J834" s="753"/>
      <c r="K834" s="752"/>
    </row>
    <row r="835" spans="1:11">
      <c r="A835" s="781"/>
      <c r="B835" s="782"/>
      <c r="C835" s="783"/>
      <c r="D835" s="783"/>
      <c r="E835" s="808"/>
      <c r="F835" s="799"/>
      <c r="G835" s="799"/>
      <c r="H835" s="797"/>
      <c r="I835" s="754"/>
      <c r="J835" s="753"/>
      <c r="K835" s="752"/>
    </row>
    <row r="836" spans="1:11">
      <c r="A836" s="781"/>
      <c r="B836" s="782"/>
      <c r="C836" s="783"/>
      <c r="D836" s="783"/>
      <c r="E836" s="808"/>
      <c r="F836" s="799"/>
      <c r="G836" s="799"/>
      <c r="H836" s="797"/>
      <c r="I836" s="754"/>
      <c r="J836" s="753"/>
      <c r="K836" s="752"/>
    </row>
    <row r="837" spans="1:11">
      <c r="A837" s="781"/>
      <c r="B837" s="782"/>
      <c r="C837" s="783"/>
      <c r="D837" s="783"/>
      <c r="E837" s="808"/>
      <c r="F837" s="799"/>
      <c r="G837" s="799"/>
      <c r="H837" s="797"/>
      <c r="I837" s="754"/>
      <c r="J837" s="753"/>
      <c r="K837" s="752"/>
    </row>
    <row r="838" spans="1:11">
      <c r="A838" s="781"/>
      <c r="B838" s="782"/>
      <c r="C838" s="783"/>
      <c r="D838" s="785"/>
      <c r="E838" s="808"/>
      <c r="F838" s="799"/>
      <c r="G838" s="799"/>
      <c r="H838" s="797"/>
      <c r="I838" s="754"/>
      <c r="J838" s="753"/>
      <c r="K838" s="752"/>
    </row>
    <row r="839" spans="1:11">
      <c r="A839" s="781"/>
      <c r="B839" s="782"/>
      <c r="C839" s="783"/>
      <c r="D839" s="783"/>
      <c r="E839" s="808"/>
      <c r="F839" s="799"/>
      <c r="G839" s="799"/>
      <c r="H839" s="797"/>
      <c r="I839" s="754"/>
      <c r="J839" s="753"/>
      <c r="K839" s="752"/>
    </row>
    <row r="840" spans="1:11">
      <c r="A840" s="781"/>
      <c r="B840" s="782"/>
      <c r="C840" s="783"/>
      <c r="D840" s="785"/>
      <c r="E840" s="808"/>
      <c r="F840" s="799"/>
      <c r="G840" s="799"/>
      <c r="H840" s="797"/>
      <c r="I840" s="754"/>
      <c r="J840" s="753"/>
      <c r="K840" s="752"/>
    </row>
    <row r="841" spans="1:11">
      <c r="A841" s="781"/>
      <c r="B841" s="782"/>
      <c r="C841" s="783"/>
      <c r="D841" s="785"/>
      <c r="E841" s="808"/>
      <c r="F841" s="799"/>
      <c r="G841" s="799"/>
      <c r="H841" s="797"/>
      <c r="I841" s="754"/>
      <c r="J841" s="753"/>
      <c r="K841" s="752"/>
    </row>
    <row r="842" spans="1:11">
      <c r="A842" s="781"/>
      <c r="B842" s="782"/>
      <c r="C842" s="783"/>
      <c r="D842" s="783"/>
      <c r="E842" s="808"/>
      <c r="F842" s="799"/>
      <c r="G842" s="799"/>
      <c r="H842" s="797"/>
      <c r="I842" s="754"/>
      <c r="J842" s="753"/>
      <c r="K842" s="752"/>
    </row>
    <row r="843" spans="1:11">
      <c r="A843" s="781"/>
      <c r="B843" s="782"/>
      <c r="C843" s="783"/>
      <c r="D843" s="785"/>
      <c r="E843" s="808"/>
      <c r="F843" s="799"/>
      <c r="G843" s="799"/>
      <c r="H843" s="797"/>
      <c r="I843" s="754"/>
      <c r="J843" s="753"/>
      <c r="K843" s="752"/>
    </row>
    <row r="844" spans="1:11">
      <c r="A844" s="781"/>
      <c r="B844" s="782"/>
      <c r="C844" s="783"/>
      <c r="D844" s="785"/>
      <c r="E844" s="808"/>
      <c r="F844" s="799"/>
      <c r="G844" s="799"/>
      <c r="H844" s="797"/>
      <c r="I844" s="754"/>
      <c r="J844" s="753"/>
      <c r="K844" s="752"/>
    </row>
    <row r="845" spans="1:11">
      <c r="A845" s="781"/>
      <c r="B845" s="782"/>
      <c r="C845" s="783"/>
      <c r="D845" s="785"/>
      <c r="E845" s="808"/>
      <c r="F845" s="799"/>
      <c r="G845" s="799"/>
      <c r="H845" s="797"/>
      <c r="I845" s="754"/>
      <c r="J845" s="753"/>
      <c r="K845" s="752"/>
    </row>
    <row r="846" spans="1:11">
      <c r="A846" s="781"/>
      <c r="B846" s="782"/>
      <c r="C846" s="783"/>
      <c r="D846" s="785"/>
      <c r="E846" s="808"/>
      <c r="F846" s="799"/>
      <c r="G846" s="799"/>
      <c r="H846" s="797"/>
      <c r="I846" s="754"/>
      <c r="J846" s="753"/>
      <c r="K846" s="752"/>
    </row>
    <row r="847" spans="1:11">
      <c r="A847" s="781"/>
      <c r="B847" s="782"/>
      <c r="C847" s="783"/>
      <c r="D847" s="785"/>
      <c r="E847" s="808"/>
      <c r="F847" s="799"/>
      <c r="G847" s="799"/>
      <c r="H847" s="797"/>
      <c r="I847" s="754"/>
      <c r="J847" s="753"/>
      <c r="K847" s="752"/>
    </row>
    <row r="848" spans="1:11">
      <c r="A848" s="781"/>
      <c r="B848" s="782"/>
      <c r="C848" s="783"/>
      <c r="D848" s="785"/>
      <c r="E848" s="808"/>
      <c r="F848" s="799"/>
      <c r="G848" s="799"/>
      <c r="H848" s="797"/>
      <c r="I848" s="754"/>
      <c r="J848" s="753"/>
      <c r="K848" s="752"/>
    </row>
    <row r="849" spans="1:11">
      <c r="A849" s="781"/>
      <c r="B849" s="782"/>
      <c r="C849" s="783"/>
      <c r="D849" s="785"/>
      <c r="E849" s="808"/>
      <c r="F849" s="799"/>
      <c r="G849" s="799"/>
      <c r="H849" s="797"/>
      <c r="I849" s="754"/>
      <c r="J849" s="753"/>
      <c r="K849" s="752"/>
    </row>
    <row r="850" spans="1:11">
      <c r="A850" s="781"/>
      <c r="B850" s="782"/>
      <c r="C850" s="783"/>
      <c r="D850" s="785"/>
      <c r="E850" s="808"/>
      <c r="F850" s="799"/>
      <c r="G850" s="799"/>
      <c r="H850" s="797"/>
      <c r="I850" s="754"/>
      <c r="J850" s="753"/>
      <c r="K850" s="752"/>
    </row>
    <row r="851" spans="1:11">
      <c r="A851" s="781"/>
      <c r="B851" s="782"/>
      <c r="C851" s="783"/>
      <c r="D851" s="785"/>
      <c r="E851" s="808"/>
      <c r="F851" s="799"/>
      <c r="G851" s="799"/>
      <c r="H851" s="797"/>
      <c r="I851" s="754"/>
      <c r="J851" s="753"/>
      <c r="K851" s="752"/>
    </row>
    <row r="852" spans="1:11">
      <c r="A852" s="781"/>
      <c r="B852" s="782"/>
      <c r="C852" s="783"/>
      <c r="D852" s="785"/>
      <c r="E852" s="808"/>
      <c r="F852" s="799"/>
      <c r="G852" s="799"/>
      <c r="H852" s="797"/>
      <c r="I852" s="754"/>
      <c r="J852" s="753"/>
      <c r="K852" s="752"/>
    </row>
    <row r="853" spans="1:11">
      <c r="A853" s="781"/>
      <c r="B853" s="782"/>
      <c r="C853" s="783"/>
      <c r="D853" s="785"/>
      <c r="E853" s="808"/>
      <c r="F853" s="799"/>
      <c r="G853" s="799"/>
      <c r="H853" s="797"/>
      <c r="I853" s="754"/>
      <c r="J853" s="753"/>
      <c r="K853" s="752"/>
    </row>
    <row r="854" spans="1:11">
      <c r="A854" s="781"/>
      <c r="B854" s="782"/>
      <c r="C854" s="783"/>
      <c r="D854" s="785"/>
      <c r="E854" s="808"/>
      <c r="F854" s="799"/>
      <c r="G854" s="799"/>
      <c r="H854" s="797"/>
      <c r="I854" s="754"/>
      <c r="J854" s="753"/>
      <c r="K854" s="752"/>
    </row>
    <row r="855" spans="1:11">
      <c r="A855" s="781"/>
      <c r="B855" s="782"/>
      <c r="C855" s="783"/>
      <c r="D855" s="785"/>
      <c r="E855" s="808"/>
      <c r="F855" s="799"/>
      <c r="G855" s="799"/>
      <c r="H855" s="797"/>
      <c r="I855" s="754"/>
      <c r="J855" s="753"/>
      <c r="K855" s="752"/>
    </row>
    <row r="856" spans="1:11">
      <c r="A856" s="781"/>
      <c r="B856" s="782"/>
      <c r="C856" s="783"/>
      <c r="D856" s="785"/>
      <c r="E856" s="808"/>
      <c r="F856" s="799"/>
      <c r="G856" s="799"/>
      <c r="H856" s="797"/>
      <c r="I856" s="754"/>
      <c r="J856" s="753"/>
      <c r="K856" s="752"/>
    </row>
    <row r="857" spans="1:11">
      <c r="A857" s="781"/>
      <c r="B857" s="782"/>
      <c r="C857" s="783"/>
      <c r="D857" s="785"/>
      <c r="E857" s="808"/>
      <c r="F857" s="799"/>
      <c r="G857" s="799"/>
      <c r="H857" s="797"/>
      <c r="I857" s="754"/>
      <c r="J857" s="753"/>
      <c r="K857" s="752"/>
    </row>
    <row r="858" spans="1:11">
      <c r="A858" s="781"/>
      <c r="B858" s="782"/>
      <c r="C858" s="783"/>
      <c r="D858" s="785"/>
      <c r="E858" s="808"/>
      <c r="F858" s="799"/>
      <c r="G858" s="799"/>
      <c r="H858" s="797"/>
      <c r="I858" s="754"/>
      <c r="J858" s="753"/>
      <c r="K858" s="752"/>
    </row>
    <row r="859" spans="1:11">
      <c r="A859" s="781"/>
      <c r="B859" s="782"/>
      <c r="C859" s="783"/>
      <c r="D859" s="785"/>
      <c r="E859" s="808"/>
      <c r="F859" s="799"/>
      <c r="G859" s="799"/>
      <c r="H859" s="797"/>
      <c r="I859" s="754"/>
      <c r="J859" s="753"/>
      <c r="K859" s="752"/>
    </row>
    <row r="860" spans="1:11">
      <c r="A860" s="781"/>
      <c r="B860" s="782"/>
      <c r="C860" s="783"/>
      <c r="D860" s="785"/>
      <c r="E860" s="808"/>
      <c r="F860" s="799"/>
      <c r="G860" s="799"/>
      <c r="H860" s="797"/>
      <c r="I860" s="754"/>
      <c r="J860" s="753"/>
      <c r="K860" s="752"/>
    </row>
    <row r="861" spans="1:11">
      <c r="A861" s="781"/>
      <c r="B861" s="782"/>
      <c r="C861" s="783"/>
      <c r="D861" s="785"/>
      <c r="E861" s="808"/>
      <c r="F861" s="799"/>
      <c r="G861" s="799"/>
      <c r="H861" s="797"/>
      <c r="I861" s="754"/>
      <c r="J861" s="753"/>
      <c r="K861" s="752"/>
    </row>
    <row r="862" spans="1:11">
      <c r="A862" s="781"/>
      <c r="B862" s="782"/>
      <c r="C862" s="783"/>
      <c r="D862" s="785"/>
      <c r="E862" s="808"/>
      <c r="F862" s="799"/>
      <c r="G862" s="799"/>
      <c r="H862" s="797"/>
      <c r="I862" s="754"/>
      <c r="J862" s="753"/>
      <c r="K862" s="752"/>
    </row>
    <row r="863" spans="1:11">
      <c r="A863" s="70"/>
      <c r="B863" s="792"/>
      <c r="C863" s="134"/>
      <c r="D863" s="787"/>
      <c r="E863" s="807"/>
      <c r="F863" s="799"/>
      <c r="G863" s="799"/>
      <c r="H863" s="797"/>
      <c r="I863" s="754"/>
      <c r="J863" s="753"/>
      <c r="K863" s="752"/>
    </row>
    <row r="864" spans="1:11">
      <c r="A864" s="781"/>
      <c r="B864" s="782"/>
      <c r="C864" s="783"/>
      <c r="D864" s="785"/>
      <c r="E864" s="808"/>
      <c r="F864" s="799"/>
      <c r="G864" s="799"/>
      <c r="H864" s="797"/>
      <c r="I864" s="754"/>
      <c r="J864" s="753"/>
      <c r="K864" s="752"/>
    </row>
    <row r="865" spans="1:11">
      <c r="A865" s="781"/>
      <c r="B865" s="782"/>
      <c r="C865" s="783"/>
      <c r="D865" s="785"/>
      <c r="E865" s="808"/>
      <c r="F865" s="799"/>
      <c r="G865" s="799"/>
      <c r="H865" s="797"/>
      <c r="I865" s="754"/>
      <c r="J865" s="753"/>
      <c r="K865" s="752"/>
    </row>
    <row r="866" spans="1:11">
      <c r="A866" s="781"/>
      <c r="B866" s="782"/>
      <c r="C866" s="783"/>
      <c r="D866" s="785"/>
      <c r="E866" s="808"/>
      <c r="F866" s="799"/>
      <c r="G866" s="799"/>
      <c r="H866" s="797"/>
      <c r="I866" s="754"/>
      <c r="J866" s="753"/>
      <c r="K866" s="752"/>
    </row>
    <row r="867" spans="1:11">
      <c r="A867" s="781"/>
      <c r="B867" s="782"/>
      <c r="C867" s="783"/>
      <c r="D867" s="785"/>
      <c r="E867" s="808"/>
      <c r="F867" s="799"/>
      <c r="G867" s="799"/>
      <c r="H867" s="797"/>
      <c r="I867" s="754"/>
      <c r="J867" s="753"/>
      <c r="K867" s="752"/>
    </row>
    <row r="868" spans="1:11">
      <c r="A868" s="781"/>
      <c r="B868" s="782"/>
      <c r="C868" s="783"/>
      <c r="D868" s="785"/>
      <c r="E868" s="808"/>
      <c r="F868" s="799"/>
      <c r="G868" s="799"/>
      <c r="H868" s="797"/>
      <c r="I868" s="754"/>
      <c r="J868" s="753"/>
      <c r="K868" s="752"/>
    </row>
    <row r="869" spans="1:11">
      <c r="A869" s="781"/>
      <c r="B869" s="782"/>
      <c r="C869" s="783"/>
      <c r="D869" s="785"/>
      <c r="E869" s="808"/>
      <c r="F869" s="799"/>
      <c r="G869" s="799"/>
      <c r="H869" s="797"/>
      <c r="I869" s="754"/>
      <c r="J869" s="753"/>
      <c r="K869" s="752"/>
    </row>
    <row r="870" spans="1:11">
      <c r="A870" s="781"/>
      <c r="B870" s="782"/>
      <c r="C870" s="783"/>
      <c r="D870" s="785"/>
      <c r="E870" s="808"/>
      <c r="F870" s="799"/>
      <c r="G870" s="799"/>
      <c r="H870" s="797"/>
      <c r="I870" s="754"/>
      <c r="J870" s="753"/>
      <c r="K870" s="752"/>
    </row>
    <row r="871" spans="1:11">
      <c r="A871" s="781"/>
      <c r="B871" s="782"/>
      <c r="C871" s="783"/>
      <c r="D871" s="785"/>
      <c r="E871" s="808"/>
      <c r="F871" s="799"/>
      <c r="G871" s="799"/>
      <c r="H871" s="797"/>
      <c r="I871" s="754"/>
      <c r="J871" s="753"/>
      <c r="K871" s="752"/>
    </row>
    <row r="872" spans="1:11">
      <c r="A872" s="781"/>
      <c r="B872" s="782"/>
      <c r="C872" s="783"/>
      <c r="D872" s="785"/>
      <c r="E872" s="808"/>
      <c r="F872" s="799"/>
      <c r="G872" s="799"/>
      <c r="H872" s="797"/>
      <c r="I872" s="754"/>
      <c r="J872" s="753"/>
      <c r="K872" s="752"/>
    </row>
    <row r="873" spans="1:11">
      <c r="A873" s="781"/>
      <c r="B873" s="782"/>
      <c r="C873" s="783"/>
      <c r="D873" s="785"/>
      <c r="E873" s="808"/>
      <c r="F873" s="799"/>
      <c r="G873" s="799"/>
      <c r="H873" s="797"/>
      <c r="I873" s="754"/>
      <c r="J873" s="753"/>
      <c r="K873" s="752"/>
    </row>
    <row r="874" spans="1:11">
      <c r="A874" s="781"/>
      <c r="B874" s="782"/>
      <c r="C874" s="783"/>
      <c r="D874" s="785"/>
      <c r="E874" s="808"/>
      <c r="F874" s="799"/>
      <c r="G874" s="799"/>
      <c r="H874" s="797"/>
      <c r="I874" s="754"/>
      <c r="J874" s="753"/>
      <c r="K874" s="752"/>
    </row>
    <row r="875" spans="1:11">
      <c r="A875" s="781"/>
      <c r="B875" s="782"/>
      <c r="C875" s="783"/>
      <c r="D875" s="785"/>
      <c r="E875" s="808"/>
      <c r="F875" s="799"/>
      <c r="G875" s="799"/>
      <c r="H875" s="797"/>
      <c r="I875" s="754"/>
      <c r="J875" s="753"/>
      <c r="K875" s="752"/>
    </row>
    <row r="876" spans="1:11">
      <c r="A876" s="781"/>
      <c r="B876" s="782"/>
      <c r="C876" s="783"/>
      <c r="D876" s="785"/>
      <c r="E876" s="808"/>
      <c r="F876" s="799"/>
      <c r="G876" s="799"/>
      <c r="H876" s="797"/>
      <c r="I876" s="754"/>
      <c r="J876" s="753"/>
      <c r="K876" s="752"/>
    </row>
    <row r="877" spans="1:11">
      <c r="A877" s="781"/>
      <c r="B877" s="782"/>
      <c r="C877" s="783"/>
      <c r="D877" s="785"/>
      <c r="E877" s="808"/>
      <c r="F877" s="799"/>
      <c r="G877" s="799"/>
      <c r="H877" s="797"/>
      <c r="I877" s="754"/>
      <c r="J877" s="753"/>
      <c r="K877" s="752"/>
    </row>
    <row r="878" spans="1:11">
      <c r="A878" s="781"/>
      <c r="B878" s="782"/>
      <c r="C878" s="783"/>
      <c r="D878" s="785"/>
      <c r="E878" s="808"/>
      <c r="F878" s="799"/>
      <c r="G878" s="799"/>
      <c r="H878" s="797"/>
      <c r="I878" s="754"/>
      <c r="J878" s="753"/>
      <c r="K878" s="752"/>
    </row>
    <row r="879" spans="1:11">
      <c r="A879" s="781"/>
      <c r="B879" s="782"/>
      <c r="C879" s="783"/>
      <c r="D879" s="785"/>
      <c r="E879" s="808"/>
      <c r="F879" s="799"/>
      <c r="G879" s="799"/>
      <c r="H879" s="797"/>
      <c r="I879" s="754"/>
      <c r="J879" s="753"/>
      <c r="K879" s="752"/>
    </row>
    <row r="880" spans="1:11">
      <c r="A880" s="781"/>
      <c r="B880" s="782"/>
      <c r="C880" s="783"/>
      <c r="D880" s="785"/>
      <c r="E880" s="808"/>
      <c r="F880" s="799"/>
      <c r="G880" s="799"/>
      <c r="H880" s="797"/>
      <c r="I880" s="754"/>
      <c r="J880" s="753"/>
      <c r="K880" s="752"/>
    </row>
    <row r="881" spans="1:11">
      <c r="A881" s="781"/>
      <c r="B881" s="782"/>
      <c r="C881" s="783"/>
      <c r="D881" s="785"/>
      <c r="E881" s="808"/>
      <c r="F881" s="799"/>
      <c r="G881" s="799"/>
      <c r="H881" s="797"/>
      <c r="I881" s="754"/>
      <c r="J881" s="753"/>
      <c r="K881" s="752"/>
    </row>
    <row r="882" spans="1:11">
      <c r="A882" s="781"/>
      <c r="B882" s="782"/>
      <c r="C882" s="783"/>
      <c r="D882" s="785"/>
      <c r="E882" s="808"/>
      <c r="F882" s="799"/>
      <c r="G882" s="799"/>
      <c r="H882" s="797"/>
      <c r="I882" s="754"/>
      <c r="J882" s="753"/>
      <c r="K882" s="752"/>
    </row>
    <row r="883" spans="1:11">
      <c r="A883" s="781"/>
      <c r="B883" s="782"/>
      <c r="C883" s="783"/>
      <c r="D883" s="785"/>
      <c r="E883" s="808"/>
      <c r="F883" s="799"/>
      <c r="G883" s="799"/>
      <c r="H883" s="797"/>
      <c r="I883" s="754"/>
      <c r="J883" s="753"/>
      <c r="K883" s="752"/>
    </row>
    <row r="884" spans="1:11">
      <c r="A884" s="781"/>
      <c r="B884" s="782"/>
      <c r="C884" s="783"/>
      <c r="D884" s="785"/>
      <c r="E884" s="808"/>
      <c r="F884" s="799"/>
      <c r="G884" s="799"/>
      <c r="H884" s="797"/>
      <c r="I884" s="754"/>
      <c r="J884" s="753"/>
      <c r="K884" s="752"/>
    </row>
    <row r="885" spans="1:11">
      <c r="A885" s="781"/>
      <c r="B885" s="782"/>
      <c r="C885" s="783"/>
      <c r="D885" s="785"/>
      <c r="E885" s="808"/>
      <c r="F885" s="799"/>
      <c r="G885" s="799"/>
      <c r="H885" s="797"/>
      <c r="I885" s="754"/>
      <c r="J885" s="753"/>
      <c r="K885" s="752"/>
    </row>
    <row r="886" spans="1:11">
      <c r="A886" s="781"/>
      <c r="B886" s="782"/>
      <c r="C886" s="783"/>
      <c r="D886" s="785"/>
      <c r="E886" s="808"/>
      <c r="F886" s="799"/>
      <c r="G886" s="799"/>
      <c r="H886" s="797"/>
      <c r="I886" s="754"/>
      <c r="J886" s="753"/>
      <c r="K886" s="752"/>
    </row>
    <row r="887" spans="1:11">
      <c r="A887" s="781"/>
      <c r="B887" s="782"/>
      <c r="C887" s="783"/>
      <c r="D887" s="785"/>
      <c r="E887" s="808"/>
      <c r="F887" s="799"/>
      <c r="G887" s="799"/>
      <c r="H887" s="797"/>
      <c r="I887" s="754"/>
      <c r="J887" s="753"/>
      <c r="K887" s="752"/>
    </row>
    <row r="888" spans="1:11">
      <c r="A888" s="781"/>
      <c r="B888" s="782"/>
      <c r="C888" s="783"/>
      <c r="D888" s="785"/>
      <c r="E888" s="808"/>
      <c r="F888" s="799"/>
      <c r="G888" s="799"/>
      <c r="H888" s="797"/>
      <c r="I888" s="754"/>
      <c r="J888" s="753"/>
      <c r="K888" s="752"/>
    </row>
    <row r="889" spans="1:11">
      <c r="A889" s="781"/>
      <c r="B889" s="782"/>
      <c r="C889" s="783"/>
      <c r="D889" s="785"/>
      <c r="E889" s="808"/>
      <c r="F889" s="799"/>
      <c r="G889" s="799"/>
      <c r="H889" s="797"/>
      <c r="I889" s="754"/>
      <c r="J889" s="753"/>
      <c r="K889" s="752"/>
    </row>
    <row r="890" spans="1:11">
      <c r="A890" s="781"/>
      <c r="B890" s="782"/>
      <c r="C890" s="783"/>
      <c r="D890" s="785"/>
      <c r="E890" s="808"/>
      <c r="F890" s="799"/>
      <c r="G890" s="799"/>
      <c r="H890" s="797"/>
      <c r="I890" s="754"/>
      <c r="J890" s="753"/>
      <c r="K890" s="752"/>
    </row>
    <row r="891" spans="1:11">
      <c r="A891" s="781"/>
      <c r="B891" s="782"/>
      <c r="C891" s="783"/>
      <c r="D891" s="785"/>
      <c r="E891" s="808"/>
      <c r="F891" s="799"/>
      <c r="G891" s="799"/>
      <c r="H891" s="797"/>
      <c r="I891" s="754"/>
      <c r="J891" s="753"/>
      <c r="K891" s="752"/>
    </row>
    <row r="892" spans="1:11">
      <c r="A892" s="781"/>
      <c r="B892" s="782"/>
      <c r="C892" s="783"/>
      <c r="D892" s="785"/>
      <c r="E892" s="808"/>
      <c r="F892" s="799"/>
      <c r="G892" s="799"/>
      <c r="H892" s="797"/>
      <c r="I892" s="754"/>
      <c r="J892" s="753"/>
      <c r="K892" s="752"/>
    </row>
    <row r="893" spans="1:11">
      <c r="A893" s="781"/>
      <c r="B893" s="782"/>
      <c r="C893" s="783"/>
      <c r="D893" s="785"/>
      <c r="E893" s="808"/>
      <c r="F893" s="799"/>
      <c r="G893" s="799"/>
      <c r="H893" s="797"/>
      <c r="I893" s="754"/>
      <c r="J893" s="753"/>
      <c r="K893" s="752"/>
    </row>
    <row r="894" spans="1:11">
      <c r="A894" s="781"/>
      <c r="B894" s="782"/>
      <c r="C894" s="783"/>
      <c r="D894" s="785"/>
      <c r="E894" s="808"/>
      <c r="F894" s="799"/>
      <c r="G894" s="799"/>
      <c r="H894" s="797"/>
      <c r="I894" s="754"/>
      <c r="J894" s="753"/>
      <c r="K894" s="752"/>
    </row>
    <row r="895" spans="1:11">
      <c r="A895" s="781"/>
      <c r="B895" s="782"/>
      <c r="C895" s="783"/>
      <c r="D895" s="785"/>
      <c r="E895" s="808"/>
      <c r="F895" s="799"/>
      <c r="G895" s="799"/>
      <c r="H895" s="797"/>
      <c r="I895" s="754"/>
      <c r="J895" s="753"/>
      <c r="K895" s="752"/>
    </row>
    <row r="896" spans="1:11">
      <c r="A896" s="781"/>
      <c r="B896" s="782"/>
      <c r="C896" s="783"/>
      <c r="D896" s="785"/>
      <c r="E896" s="808"/>
      <c r="F896" s="799"/>
      <c r="G896" s="799"/>
      <c r="H896" s="797"/>
      <c r="I896" s="754"/>
      <c r="J896" s="753"/>
      <c r="K896" s="752"/>
    </row>
    <row r="897" spans="1:11">
      <c r="A897" s="781"/>
      <c r="B897" s="782"/>
      <c r="C897" s="783"/>
      <c r="D897" s="785"/>
      <c r="E897" s="808"/>
      <c r="F897" s="799"/>
      <c r="G897" s="799"/>
      <c r="H897" s="797"/>
      <c r="I897" s="754"/>
      <c r="J897" s="753"/>
      <c r="K897" s="752"/>
    </row>
    <row r="898" spans="1:11">
      <c r="A898" s="781"/>
      <c r="B898" s="782"/>
      <c r="C898" s="783"/>
      <c r="D898" s="785"/>
      <c r="E898" s="808"/>
      <c r="F898" s="799"/>
      <c r="G898" s="799"/>
      <c r="H898" s="797"/>
      <c r="I898" s="754"/>
      <c r="J898" s="753"/>
      <c r="K898" s="752"/>
    </row>
    <row r="899" spans="1:11">
      <c r="A899" s="781"/>
      <c r="B899" s="782"/>
      <c r="C899" s="783"/>
      <c r="D899" s="785"/>
      <c r="E899" s="808"/>
      <c r="F899" s="799"/>
      <c r="G899" s="799"/>
      <c r="H899" s="797"/>
      <c r="I899" s="754"/>
      <c r="J899" s="753"/>
      <c r="K899" s="752"/>
    </row>
    <row r="900" spans="1:11">
      <c r="A900" s="781"/>
      <c r="B900" s="782"/>
      <c r="C900" s="783"/>
      <c r="D900" s="785"/>
      <c r="E900" s="808"/>
      <c r="F900" s="799"/>
      <c r="G900" s="799"/>
      <c r="H900" s="797"/>
      <c r="I900" s="754"/>
      <c r="J900" s="753"/>
      <c r="K900" s="752"/>
    </row>
    <row r="901" spans="1:11">
      <c r="A901" s="781"/>
      <c r="B901" s="782"/>
      <c r="C901" s="783"/>
      <c r="D901" s="785"/>
      <c r="E901" s="808"/>
      <c r="F901" s="799"/>
      <c r="G901" s="799"/>
      <c r="H901" s="797"/>
      <c r="I901" s="754"/>
      <c r="J901" s="753"/>
      <c r="K901" s="752"/>
    </row>
    <row r="902" spans="1:11">
      <c r="A902" s="781"/>
      <c r="B902" s="782"/>
      <c r="C902" s="783"/>
      <c r="D902" s="785"/>
      <c r="E902" s="808"/>
      <c r="F902" s="799"/>
      <c r="G902" s="799"/>
      <c r="H902" s="797"/>
      <c r="I902" s="754"/>
      <c r="J902" s="753"/>
      <c r="K902" s="752"/>
    </row>
    <row r="903" spans="1:11">
      <c r="A903" s="781"/>
      <c r="B903" s="782"/>
      <c r="C903" s="783"/>
      <c r="D903" s="785"/>
      <c r="E903" s="808"/>
      <c r="F903" s="799"/>
      <c r="G903" s="799"/>
      <c r="H903" s="797"/>
      <c r="I903" s="754"/>
      <c r="J903" s="753"/>
      <c r="K903" s="752"/>
    </row>
    <row r="904" spans="1:11">
      <c r="A904" s="781"/>
      <c r="B904" s="782"/>
      <c r="C904" s="783"/>
      <c r="D904" s="785"/>
      <c r="E904" s="808"/>
      <c r="F904" s="799"/>
      <c r="G904" s="799"/>
      <c r="H904" s="797"/>
      <c r="I904" s="754"/>
      <c r="J904" s="753"/>
      <c r="K904" s="752"/>
    </row>
    <row r="905" spans="1:11">
      <c r="A905" s="781"/>
      <c r="B905" s="782"/>
      <c r="C905" s="783"/>
      <c r="D905" s="785"/>
      <c r="E905" s="808"/>
      <c r="F905" s="799"/>
      <c r="G905" s="799"/>
      <c r="H905" s="797"/>
      <c r="I905" s="754"/>
      <c r="J905" s="753"/>
      <c r="K905" s="752"/>
    </row>
    <row r="906" spans="1:11">
      <c r="A906" s="781"/>
      <c r="B906" s="782"/>
      <c r="C906" s="783"/>
      <c r="D906" s="785"/>
      <c r="E906" s="808"/>
      <c r="F906" s="799"/>
      <c r="G906" s="799"/>
      <c r="H906" s="797"/>
      <c r="I906" s="754"/>
      <c r="J906" s="753"/>
      <c r="K906" s="752"/>
    </row>
    <row r="907" spans="1:11">
      <c r="A907" s="781"/>
      <c r="B907" s="782"/>
      <c r="C907" s="783"/>
      <c r="D907" s="785"/>
      <c r="E907" s="808"/>
      <c r="F907" s="799"/>
      <c r="G907" s="799"/>
      <c r="H907" s="797"/>
      <c r="I907" s="754"/>
      <c r="J907" s="753"/>
      <c r="K907" s="752"/>
    </row>
    <row r="908" spans="1:11">
      <c r="A908" s="781"/>
      <c r="B908" s="782"/>
      <c r="C908" s="783"/>
      <c r="D908" s="785"/>
      <c r="E908" s="808"/>
      <c r="F908" s="799"/>
      <c r="G908" s="799"/>
      <c r="H908" s="797"/>
      <c r="I908" s="754"/>
      <c r="J908" s="753"/>
      <c r="K908" s="752"/>
    </row>
    <row r="909" spans="1:11">
      <c r="A909" s="781"/>
      <c r="B909" s="782"/>
      <c r="C909" s="783"/>
      <c r="D909" s="785"/>
      <c r="E909" s="808"/>
      <c r="F909" s="799"/>
      <c r="G909" s="799"/>
      <c r="H909" s="797"/>
      <c r="I909" s="754"/>
      <c r="J909" s="753"/>
      <c r="K909" s="752"/>
    </row>
    <row r="910" spans="1:11">
      <c r="A910" s="781"/>
      <c r="B910" s="782"/>
      <c r="C910" s="783"/>
      <c r="D910" s="785"/>
      <c r="E910" s="808"/>
      <c r="F910" s="799"/>
      <c r="G910" s="799"/>
      <c r="H910" s="797"/>
      <c r="I910" s="754"/>
      <c r="J910" s="753"/>
      <c r="K910" s="752"/>
    </row>
    <row r="911" spans="1:11">
      <c r="A911" s="781"/>
      <c r="B911" s="782"/>
      <c r="C911" s="783"/>
      <c r="D911" s="785"/>
      <c r="E911" s="808"/>
      <c r="F911" s="799"/>
      <c r="G911" s="799"/>
      <c r="H911" s="797"/>
      <c r="I911" s="754"/>
      <c r="J911" s="753"/>
      <c r="K911" s="752"/>
    </row>
    <row r="912" spans="1:11">
      <c r="A912" s="781"/>
      <c r="B912" s="782"/>
      <c r="C912" s="783"/>
      <c r="D912" s="785"/>
      <c r="E912" s="808"/>
      <c r="F912" s="799"/>
      <c r="G912" s="799"/>
      <c r="H912" s="797"/>
      <c r="I912" s="754"/>
      <c r="J912" s="753"/>
      <c r="K912" s="752"/>
    </row>
    <row r="913" spans="1:11">
      <c r="A913" s="781"/>
      <c r="B913" s="782"/>
      <c r="C913" s="783"/>
      <c r="D913" s="785"/>
      <c r="E913" s="808"/>
      <c r="F913" s="799"/>
      <c r="G913" s="799"/>
      <c r="H913" s="797"/>
      <c r="I913" s="754"/>
      <c r="J913" s="753"/>
      <c r="K913" s="752"/>
    </row>
    <row r="914" spans="1:11">
      <c r="A914" s="781"/>
      <c r="B914" s="782"/>
      <c r="C914" s="783"/>
      <c r="D914" s="785"/>
      <c r="E914" s="808"/>
      <c r="F914" s="799"/>
      <c r="G914" s="799"/>
      <c r="H914" s="797"/>
      <c r="I914" s="754"/>
      <c r="J914" s="753"/>
      <c r="K914" s="752"/>
    </row>
    <row r="915" spans="1:11">
      <c r="A915" s="781"/>
      <c r="B915" s="782"/>
      <c r="C915" s="783"/>
      <c r="D915" s="785"/>
      <c r="E915" s="808"/>
      <c r="F915" s="799"/>
      <c r="G915" s="799"/>
      <c r="H915" s="797"/>
      <c r="I915" s="754"/>
      <c r="J915" s="753"/>
      <c r="K915" s="752"/>
    </row>
    <row r="916" spans="1:11">
      <c r="A916" s="781"/>
      <c r="B916" s="782"/>
      <c r="C916" s="783"/>
      <c r="D916" s="785"/>
      <c r="E916" s="808"/>
      <c r="F916" s="799"/>
      <c r="G916" s="799"/>
      <c r="H916" s="797"/>
      <c r="I916" s="754"/>
      <c r="J916" s="753"/>
      <c r="K916" s="752"/>
    </row>
    <row r="917" spans="1:11">
      <c r="A917" s="781"/>
      <c r="B917" s="782"/>
      <c r="C917" s="783"/>
      <c r="D917" s="785"/>
      <c r="E917" s="808"/>
      <c r="F917" s="799"/>
      <c r="G917" s="799"/>
      <c r="H917" s="797"/>
      <c r="I917" s="754"/>
      <c r="J917" s="753"/>
      <c r="K917" s="752"/>
    </row>
    <row r="918" spans="1:11">
      <c r="A918" s="781"/>
      <c r="B918" s="782"/>
      <c r="C918" s="783"/>
      <c r="D918" s="785"/>
      <c r="E918" s="808"/>
      <c r="F918" s="799"/>
      <c r="G918" s="799"/>
      <c r="H918" s="797"/>
      <c r="I918" s="754"/>
      <c r="J918" s="753"/>
      <c r="K918" s="752"/>
    </row>
    <row r="919" spans="1:11">
      <c r="A919" s="781"/>
      <c r="B919" s="782"/>
      <c r="C919" s="783"/>
      <c r="D919" s="785"/>
      <c r="E919" s="808"/>
      <c r="F919" s="799"/>
      <c r="G919" s="799"/>
      <c r="H919" s="797"/>
      <c r="I919" s="754"/>
      <c r="J919" s="753"/>
      <c r="K919" s="752"/>
    </row>
    <row r="920" spans="1:11">
      <c r="A920" s="781"/>
      <c r="B920" s="782"/>
      <c r="C920" s="783"/>
      <c r="D920" s="785"/>
      <c r="E920" s="808"/>
      <c r="F920" s="799"/>
      <c r="G920" s="799"/>
      <c r="H920" s="797"/>
      <c r="I920" s="754"/>
      <c r="J920" s="753"/>
      <c r="K920" s="752"/>
    </row>
    <row r="921" spans="1:11">
      <c r="A921" s="781"/>
      <c r="B921" s="782"/>
      <c r="C921" s="783"/>
      <c r="D921" s="785"/>
      <c r="E921" s="808"/>
      <c r="F921" s="799"/>
      <c r="G921" s="799"/>
      <c r="H921" s="797"/>
      <c r="I921" s="754"/>
      <c r="J921" s="753"/>
      <c r="K921" s="752"/>
    </row>
    <row r="922" spans="1:11">
      <c r="A922" s="781"/>
      <c r="B922" s="782"/>
      <c r="C922" s="783"/>
      <c r="D922" s="785"/>
      <c r="E922" s="808"/>
      <c r="F922" s="799"/>
      <c r="G922" s="799"/>
      <c r="H922" s="797"/>
      <c r="I922" s="754"/>
      <c r="J922" s="753"/>
      <c r="K922" s="752"/>
    </row>
    <row r="923" spans="1:11">
      <c r="A923" s="781"/>
      <c r="B923" s="782"/>
      <c r="C923" s="783"/>
      <c r="D923" s="785"/>
      <c r="E923" s="808"/>
      <c r="F923" s="799"/>
      <c r="G923" s="799"/>
      <c r="H923" s="797"/>
      <c r="I923" s="754"/>
      <c r="J923" s="753"/>
      <c r="K923" s="752"/>
    </row>
    <row r="924" spans="1:11">
      <c r="A924" s="781"/>
      <c r="B924" s="782"/>
      <c r="C924" s="783"/>
      <c r="D924" s="785"/>
      <c r="E924" s="808"/>
      <c r="F924" s="799"/>
      <c r="G924" s="799"/>
      <c r="H924" s="797"/>
      <c r="I924" s="754"/>
      <c r="J924" s="753"/>
      <c r="K924" s="752"/>
    </row>
    <row r="925" spans="1:11">
      <c r="A925" s="781"/>
      <c r="B925" s="782"/>
      <c r="C925" s="783"/>
      <c r="D925" s="785"/>
      <c r="E925" s="808"/>
      <c r="F925" s="799"/>
      <c r="G925" s="799"/>
      <c r="H925" s="797"/>
      <c r="I925" s="754"/>
      <c r="J925" s="753"/>
      <c r="K925" s="752"/>
    </row>
    <row r="926" spans="1:11">
      <c r="A926" s="781"/>
      <c r="B926" s="782"/>
      <c r="C926" s="783"/>
      <c r="D926" s="785"/>
      <c r="E926" s="808"/>
      <c r="F926" s="799"/>
      <c r="G926" s="799"/>
      <c r="H926" s="797"/>
      <c r="I926" s="754"/>
      <c r="J926" s="753"/>
      <c r="K926" s="752"/>
    </row>
    <row r="927" spans="1:11">
      <c r="A927" s="781"/>
      <c r="B927" s="782"/>
      <c r="C927" s="783"/>
      <c r="D927" s="785"/>
      <c r="E927" s="808"/>
      <c r="F927" s="799"/>
      <c r="G927" s="799"/>
      <c r="H927" s="797"/>
      <c r="I927" s="754"/>
      <c r="J927" s="753"/>
      <c r="K927" s="752"/>
    </row>
    <row r="928" spans="1:11">
      <c r="A928" s="781"/>
      <c r="B928" s="782"/>
      <c r="C928" s="783"/>
      <c r="D928" s="785"/>
      <c r="E928" s="808"/>
      <c r="F928" s="799"/>
      <c r="G928" s="799"/>
      <c r="H928" s="797"/>
      <c r="I928" s="754"/>
      <c r="J928" s="753"/>
      <c r="K928" s="752"/>
    </row>
    <row r="929" spans="1:11">
      <c r="A929" s="781"/>
      <c r="B929" s="782"/>
      <c r="C929" s="783"/>
      <c r="D929" s="785"/>
      <c r="E929" s="808"/>
      <c r="F929" s="799"/>
      <c r="G929" s="799"/>
      <c r="H929" s="797"/>
      <c r="I929" s="754"/>
      <c r="J929" s="753"/>
      <c r="K929" s="752"/>
    </row>
    <row r="930" spans="1:11">
      <c r="A930" s="781"/>
      <c r="B930" s="782"/>
      <c r="C930" s="783"/>
      <c r="D930" s="785"/>
      <c r="E930" s="808"/>
      <c r="F930" s="799"/>
      <c r="G930" s="799"/>
      <c r="H930" s="797"/>
      <c r="I930" s="754"/>
      <c r="J930" s="753"/>
      <c r="K930" s="752"/>
    </row>
    <row r="931" spans="1:11">
      <c r="A931" s="781"/>
      <c r="B931" s="782"/>
      <c r="C931" s="783"/>
      <c r="D931" s="785"/>
      <c r="E931" s="808"/>
      <c r="F931" s="799"/>
      <c r="G931" s="799"/>
      <c r="H931" s="797"/>
      <c r="I931" s="754"/>
      <c r="J931" s="753"/>
      <c r="K931" s="752"/>
    </row>
    <row r="932" spans="1:11">
      <c r="A932" s="781"/>
      <c r="B932" s="782"/>
      <c r="C932" s="783"/>
      <c r="D932" s="785"/>
      <c r="E932" s="808"/>
      <c r="F932" s="799"/>
      <c r="G932" s="799"/>
      <c r="H932" s="797"/>
      <c r="I932" s="754"/>
      <c r="J932" s="753"/>
      <c r="K932" s="752"/>
    </row>
    <row r="933" spans="1:11">
      <c r="A933" s="781"/>
      <c r="B933" s="782"/>
      <c r="C933" s="783"/>
      <c r="D933" s="785"/>
      <c r="E933" s="808"/>
      <c r="F933" s="799"/>
      <c r="G933" s="799"/>
      <c r="H933" s="797"/>
      <c r="I933" s="754"/>
      <c r="J933" s="753"/>
      <c r="K933" s="752"/>
    </row>
    <row r="934" spans="1:11">
      <c r="A934" s="781"/>
      <c r="B934" s="782"/>
      <c r="C934" s="783"/>
      <c r="D934" s="785"/>
      <c r="E934" s="808"/>
      <c r="F934" s="799"/>
      <c r="G934" s="799"/>
      <c r="H934" s="797"/>
      <c r="I934" s="754"/>
      <c r="J934" s="753"/>
      <c r="K934" s="752"/>
    </row>
    <row r="935" spans="1:11">
      <c r="A935" s="781"/>
      <c r="B935" s="782"/>
      <c r="C935" s="783"/>
      <c r="D935" s="785"/>
      <c r="E935" s="808"/>
      <c r="F935" s="799"/>
      <c r="G935" s="799"/>
      <c r="H935" s="797"/>
      <c r="I935" s="754"/>
      <c r="J935" s="753"/>
      <c r="K935" s="752"/>
    </row>
    <row r="936" spans="1:11">
      <c r="A936" s="781"/>
      <c r="B936" s="782"/>
      <c r="C936" s="783"/>
      <c r="D936" s="785"/>
      <c r="E936" s="808"/>
      <c r="F936" s="799"/>
      <c r="G936" s="799"/>
      <c r="H936" s="797"/>
      <c r="I936" s="754"/>
      <c r="J936" s="753"/>
      <c r="K936" s="752"/>
    </row>
    <row r="937" spans="1:11">
      <c r="A937" s="781"/>
      <c r="B937" s="782"/>
      <c r="C937" s="783"/>
      <c r="D937" s="785"/>
      <c r="E937" s="808"/>
      <c r="F937" s="799"/>
      <c r="G937" s="799"/>
      <c r="H937" s="797"/>
      <c r="I937" s="754"/>
      <c r="J937" s="753"/>
      <c r="K937" s="752"/>
    </row>
    <row r="938" spans="1:11">
      <c r="A938" s="781"/>
      <c r="B938" s="782"/>
      <c r="C938" s="783"/>
      <c r="D938" s="785"/>
      <c r="E938" s="808"/>
      <c r="F938" s="799"/>
      <c r="G938" s="799"/>
      <c r="H938" s="797"/>
      <c r="I938" s="754"/>
      <c r="J938" s="753"/>
      <c r="K938" s="752"/>
    </row>
    <row r="939" spans="1:11">
      <c r="A939" s="781"/>
      <c r="B939" s="782"/>
      <c r="C939" s="783"/>
      <c r="D939" s="785"/>
      <c r="E939" s="808"/>
      <c r="F939" s="799"/>
      <c r="G939" s="799"/>
      <c r="H939" s="797"/>
      <c r="I939" s="754"/>
      <c r="J939" s="753"/>
      <c r="K939" s="752"/>
    </row>
    <row r="940" spans="1:11">
      <c r="A940" s="781"/>
      <c r="B940" s="782"/>
      <c r="C940" s="783"/>
      <c r="D940" s="785"/>
      <c r="E940" s="808"/>
      <c r="F940" s="799"/>
      <c r="G940" s="799"/>
      <c r="H940" s="797"/>
      <c r="I940" s="754"/>
      <c r="J940" s="753"/>
      <c r="K940" s="752"/>
    </row>
    <row r="941" spans="1:11">
      <c r="A941" s="781"/>
      <c r="B941" s="782"/>
      <c r="C941" s="783"/>
      <c r="D941" s="785"/>
      <c r="E941" s="808"/>
      <c r="F941" s="799"/>
      <c r="G941" s="799"/>
      <c r="H941" s="797"/>
      <c r="I941" s="754"/>
      <c r="J941" s="753"/>
      <c r="K941" s="752"/>
    </row>
    <row r="942" spans="1:11">
      <c r="A942" s="781"/>
      <c r="B942" s="782"/>
      <c r="C942" s="783"/>
      <c r="D942" s="785"/>
      <c r="E942" s="808"/>
      <c r="F942" s="799"/>
      <c r="G942" s="799"/>
      <c r="H942" s="797"/>
      <c r="I942" s="754"/>
      <c r="J942" s="753"/>
      <c r="K942" s="752"/>
    </row>
    <row r="943" spans="1:11">
      <c r="A943" s="781"/>
      <c r="B943" s="782"/>
      <c r="C943" s="783"/>
      <c r="D943" s="785"/>
      <c r="E943" s="808"/>
      <c r="F943" s="799"/>
      <c r="G943" s="799"/>
      <c r="H943" s="797"/>
      <c r="I943" s="754"/>
      <c r="J943" s="753"/>
      <c r="K943" s="752"/>
    </row>
    <row r="944" spans="1:11">
      <c r="A944" s="781"/>
      <c r="B944" s="782"/>
      <c r="C944" s="783"/>
      <c r="D944" s="785"/>
      <c r="E944" s="808"/>
      <c r="F944" s="799"/>
      <c r="G944" s="799"/>
      <c r="H944" s="797"/>
      <c r="I944" s="754"/>
      <c r="J944" s="753"/>
      <c r="K944" s="752"/>
    </row>
    <row r="945" spans="1:11">
      <c r="A945" s="781"/>
      <c r="B945" s="782"/>
      <c r="C945" s="783"/>
      <c r="D945" s="785"/>
      <c r="E945" s="808"/>
      <c r="F945" s="799"/>
      <c r="G945" s="799"/>
      <c r="H945" s="797"/>
      <c r="I945" s="754"/>
      <c r="J945" s="753"/>
      <c r="K945" s="752"/>
    </row>
    <row r="946" spans="1:11">
      <c r="A946" s="781"/>
      <c r="B946" s="782"/>
      <c r="C946" s="783"/>
      <c r="D946" s="785"/>
      <c r="E946" s="808"/>
      <c r="F946" s="799"/>
      <c r="G946" s="799"/>
      <c r="H946" s="797"/>
      <c r="I946" s="754"/>
      <c r="J946" s="753"/>
      <c r="K946" s="752"/>
    </row>
    <row r="947" spans="1:11">
      <c r="A947" s="781"/>
      <c r="B947" s="782"/>
      <c r="C947" s="783"/>
      <c r="D947" s="785"/>
      <c r="E947" s="808"/>
      <c r="F947" s="799"/>
      <c r="G947" s="799"/>
      <c r="H947" s="797"/>
      <c r="I947" s="754"/>
      <c r="J947" s="753"/>
      <c r="K947" s="752"/>
    </row>
    <row r="948" spans="1:11">
      <c r="A948" s="781"/>
      <c r="B948" s="782"/>
      <c r="C948" s="783"/>
      <c r="D948" s="785"/>
      <c r="E948" s="808"/>
      <c r="F948" s="799"/>
      <c r="G948" s="799"/>
      <c r="H948" s="797"/>
      <c r="I948" s="754"/>
      <c r="J948" s="753"/>
      <c r="K948" s="752"/>
    </row>
    <row r="949" spans="1:11">
      <c r="A949" s="781"/>
      <c r="B949" s="782"/>
      <c r="C949" s="783"/>
      <c r="D949" s="785"/>
      <c r="E949" s="808"/>
      <c r="F949" s="799"/>
      <c r="G949" s="799"/>
      <c r="H949" s="797"/>
      <c r="I949" s="754"/>
      <c r="J949" s="753"/>
      <c r="K949" s="752"/>
    </row>
    <row r="950" spans="1:11">
      <c r="A950" s="781"/>
      <c r="B950" s="782"/>
      <c r="C950" s="783"/>
      <c r="D950" s="785"/>
      <c r="E950" s="808"/>
      <c r="F950" s="799"/>
      <c r="G950" s="799"/>
      <c r="H950" s="797"/>
      <c r="I950" s="754"/>
      <c r="J950" s="753"/>
      <c r="K950" s="752"/>
    </row>
    <row r="951" spans="1:11">
      <c r="A951" s="781"/>
      <c r="B951" s="782"/>
      <c r="C951" s="783"/>
      <c r="D951" s="785"/>
      <c r="E951" s="808"/>
      <c r="F951" s="799"/>
      <c r="G951" s="799"/>
      <c r="H951" s="797"/>
      <c r="I951" s="754"/>
      <c r="J951" s="753"/>
      <c r="K951" s="752"/>
    </row>
    <row r="952" spans="1:11">
      <c r="A952" s="781"/>
      <c r="B952" s="782"/>
      <c r="C952" s="783"/>
      <c r="D952" s="785"/>
      <c r="E952" s="808"/>
      <c r="F952" s="799"/>
      <c r="G952" s="799"/>
      <c r="H952" s="797"/>
      <c r="I952" s="754"/>
      <c r="J952" s="753"/>
      <c r="K952" s="752"/>
    </row>
    <row r="953" spans="1:11">
      <c r="A953" s="781"/>
      <c r="B953" s="782"/>
      <c r="C953" s="783"/>
      <c r="D953" s="785"/>
      <c r="E953" s="808"/>
      <c r="F953" s="799"/>
      <c r="G953" s="799"/>
      <c r="H953" s="797"/>
      <c r="I953" s="754"/>
      <c r="J953" s="753"/>
      <c r="K953" s="752"/>
    </row>
    <row r="954" spans="1:11">
      <c r="A954" s="781"/>
      <c r="B954" s="782"/>
      <c r="C954" s="783"/>
      <c r="D954" s="785"/>
      <c r="E954" s="808"/>
      <c r="F954" s="799"/>
      <c r="G954" s="799"/>
      <c r="H954" s="797"/>
      <c r="I954" s="754"/>
      <c r="J954" s="753"/>
      <c r="K954" s="752"/>
    </row>
    <row r="955" spans="1:11">
      <c r="A955" s="781"/>
      <c r="B955" s="782"/>
      <c r="C955" s="783"/>
      <c r="D955" s="785"/>
      <c r="E955" s="808"/>
      <c r="F955" s="799"/>
      <c r="G955" s="799"/>
      <c r="H955" s="797"/>
      <c r="I955" s="754"/>
      <c r="J955" s="753"/>
      <c r="K955" s="752"/>
    </row>
    <row r="956" spans="1:11">
      <c r="A956" s="781"/>
      <c r="B956" s="782"/>
      <c r="C956" s="783"/>
      <c r="D956" s="785"/>
      <c r="E956" s="808"/>
      <c r="F956" s="799"/>
      <c r="G956" s="799"/>
      <c r="H956" s="797"/>
      <c r="I956" s="754"/>
      <c r="J956" s="753"/>
      <c r="K956" s="752"/>
    </row>
    <row r="957" spans="1:11">
      <c r="A957" s="781"/>
      <c r="B957" s="782"/>
      <c r="C957" s="783"/>
      <c r="D957" s="785"/>
      <c r="E957" s="808"/>
      <c r="F957" s="799"/>
      <c r="G957" s="799"/>
      <c r="H957" s="797"/>
      <c r="I957" s="754"/>
      <c r="J957" s="753"/>
      <c r="K957" s="752"/>
    </row>
    <row r="958" spans="1:11">
      <c r="A958" s="781"/>
      <c r="B958" s="782"/>
      <c r="C958" s="783"/>
      <c r="D958" s="785"/>
      <c r="E958" s="808"/>
      <c r="F958" s="799"/>
      <c r="G958" s="799"/>
      <c r="H958" s="797"/>
      <c r="I958" s="754"/>
      <c r="J958" s="753"/>
      <c r="K958" s="752"/>
    </row>
    <row r="959" spans="1:11">
      <c r="A959" s="781"/>
      <c r="B959" s="782"/>
      <c r="C959" s="783"/>
      <c r="D959" s="785"/>
      <c r="E959" s="808"/>
      <c r="F959" s="799"/>
      <c r="G959" s="799"/>
      <c r="H959" s="797"/>
      <c r="I959" s="754"/>
      <c r="J959" s="753"/>
      <c r="K959" s="752"/>
    </row>
    <row r="960" spans="1:11">
      <c r="A960" s="781"/>
      <c r="B960" s="782"/>
      <c r="C960" s="783"/>
      <c r="D960" s="785"/>
      <c r="E960" s="808"/>
      <c r="F960" s="799"/>
      <c r="G960" s="799"/>
      <c r="H960" s="797"/>
      <c r="I960" s="754"/>
      <c r="J960" s="753"/>
      <c r="K960" s="752"/>
    </row>
    <row r="961" spans="1:11">
      <c r="A961" s="781"/>
      <c r="B961" s="782"/>
      <c r="C961" s="783"/>
      <c r="D961" s="785"/>
      <c r="E961" s="808"/>
      <c r="F961" s="799"/>
      <c r="G961" s="799"/>
      <c r="H961" s="797"/>
      <c r="I961" s="754"/>
      <c r="J961" s="753"/>
      <c r="K961" s="752"/>
    </row>
    <row r="962" spans="1:11">
      <c r="A962" s="781"/>
      <c r="B962" s="782"/>
      <c r="C962" s="783"/>
      <c r="D962" s="785"/>
      <c r="E962" s="808"/>
      <c r="F962" s="799"/>
      <c r="G962" s="799"/>
      <c r="H962" s="797"/>
      <c r="I962" s="754"/>
      <c r="J962" s="753"/>
      <c r="K962" s="752"/>
    </row>
    <row r="963" spans="1:11">
      <c r="A963" s="781"/>
      <c r="B963" s="782"/>
      <c r="C963" s="783"/>
      <c r="D963" s="785"/>
      <c r="E963" s="808"/>
      <c r="F963" s="799"/>
      <c r="G963" s="799"/>
      <c r="H963" s="797"/>
      <c r="I963" s="754"/>
      <c r="J963" s="753"/>
      <c r="K963" s="752"/>
    </row>
    <row r="964" spans="1:11">
      <c r="A964" s="781"/>
      <c r="B964" s="782"/>
      <c r="C964" s="783"/>
      <c r="D964" s="785"/>
      <c r="E964" s="808"/>
      <c r="F964" s="799"/>
      <c r="G964" s="799"/>
      <c r="H964" s="797"/>
      <c r="I964" s="754"/>
      <c r="J964" s="753"/>
      <c r="K964" s="752"/>
    </row>
    <row r="965" spans="1:11">
      <c r="A965" s="781"/>
      <c r="B965" s="782"/>
      <c r="C965" s="783"/>
      <c r="D965" s="785"/>
      <c r="E965" s="808"/>
      <c r="F965" s="799"/>
      <c r="G965" s="799"/>
      <c r="H965" s="797"/>
      <c r="I965" s="754"/>
      <c r="J965" s="753"/>
      <c r="K965" s="752"/>
    </row>
    <row r="966" spans="1:11">
      <c r="A966" s="781"/>
      <c r="B966" s="782"/>
      <c r="C966" s="783"/>
      <c r="D966" s="785"/>
      <c r="E966" s="808"/>
      <c r="F966" s="799"/>
      <c r="G966" s="799"/>
      <c r="H966" s="797"/>
      <c r="I966" s="754"/>
      <c r="J966" s="753"/>
      <c r="K966" s="752"/>
    </row>
    <row r="967" spans="1:11">
      <c r="A967" s="781"/>
      <c r="B967" s="782"/>
      <c r="C967" s="783"/>
      <c r="D967" s="785"/>
      <c r="E967" s="808"/>
      <c r="F967" s="799"/>
      <c r="G967" s="799"/>
      <c r="H967" s="797"/>
      <c r="I967" s="754"/>
      <c r="J967" s="753"/>
      <c r="K967" s="752"/>
    </row>
    <row r="968" spans="1:11">
      <c r="A968" s="781"/>
      <c r="B968" s="782"/>
      <c r="C968" s="783"/>
      <c r="D968" s="785"/>
      <c r="E968" s="808"/>
      <c r="F968" s="799"/>
      <c r="G968" s="799"/>
      <c r="H968" s="797"/>
      <c r="I968" s="754"/>
      <c r="J968" s="753"/>
      <c r="K968" s="752"/>
    </row>
    <row r="969" spans="1:11">
      <c r="A969" s="781"/>
      <c r="B969" s="782"/>
      <c r="C969" s="783"/>
      <c r="D969" s="785"/>
      <c r="E969" s="808"/>
      <c r="F969" s="799"/>
      <c r="G969" s="799"/>
      <c r="H969" s="797"/>
      <c r="I969" s="754"/>
      <c r="J969" s="753"/>
      <c r="K969" s="752"/>
    </row>
    <row r="970" spans="1:11">
      <c r="A970" s="781"/>
      <c r="B970" s="782"/>
      <c r="C970" s="783"/>
      <c r="D970" s="785"/>
      <c r="E970" s="808"/>
      <c r="F970" s="799"/>
      <c r="G970" s="799"/>
      <c r="H970" s="797"/>
      <c r="I970" s="754"/>
      <c r="J970" s="753"/>
      <c r="K970" s="752"/>
    </row>
    <row r="971" spans="1:11">
      <c r="A971" s="781"/>
      <c r="B971" s="782"/>
      <c r="C971" s="783"/>
      <c r="D971" s="785"/>
      <c r="E971" s="808"/>
      <c r="F971" s="799"/>
      <c r="G971" s="799"/>
      <c r="H971" s="797"/>
      <c r="I971" s="754"/>
      <c r="J971" s="753"/>
      <c r="K971" s="752"/>
    </row>
    <row r="972" spans="1:11">
      <c r="A972" s="781"/>
      <c r="B972" s="782"/>
      <c r="C972" s="783"/>
      <c r="D972" s="785"/>
      <c r="E972" s="808"/>
      <c r="F972" s="799"/>
      <c r="G972" s="799"/>
      <c r="H972" s="797"/>
      <c r="I972" s="754"/>
      <c r="J972" s="753"/>
      <c r="K972" s="752"/>
    </row>
    <row r="973" spans="1:11">
      <c r="A973" s="781"/>
      <c r="B973" s="782"/>
      <c r="C973" s="783"/>
      <c r="D973" s="785"/>
      <c r="E973" s="808"/>
      <c r="F973" s="799"/>
      <c r="G973" s="799"/>
      <c r="H973" s="797"/>
      <c r="I973" s="754"/>
      <c r="J973" s="753"/>
      <c r="K973" s="752"/>
    </row>
    <row r="974" spans="1:11">
      <c r="A974" s="781"/>
      <c r="B974" s="782"/>
      <c r="C974" s="783"/>
      <c r="D974" s="785"/>
      <c r="E974" s="808"/>
      <c r="F974" s="799"/>
      <c r="G974" s="799"/>
      <c r="H974" s="797"/>
      <c r="I974" s="754"/>
      <c r="J974" s="753"/>
      <c r="K974" s="752"/>
    </row>
    <row r="975" spans="1:11">
      <c r="A975" s="781"/>
      <c r="B975" s="782"/>
      <c r="C975" s="783"/>
      <c r="D975" s="785"/>
      <c r="E975" s="808"/>
      <c r="F975" s="799"/>
      <c r="G975" s="799"/>
      <c r="H975" s="797"/>
      <c r="I975" s="754"/>
      <c r="J975" s="753"/>
      <c r="K975" s="752"/>
    </row>
    <row r="976" spans="1:11">
      <c r="A976" s="781"/>
      <c r="B976" s="782"/>
      <c r="C976" s="783"/>
      <c r="D976" s="785"/>
      <c r="E976" s="808"/>
      <c r="F976" s="799"/>
      <c r="G976" s="799"/>
      <c r="H976" s="797"/>
      <c r="I976" s="754"/>
      <c r="J976" s="753"/>
      <c r="K976" s="752"/>
    </row>
    <row r="977" spans="1:11">
      <c r="A977" s="781"/>
      <c r="B977" s="782"/>
      <c r="C977" s="783"/>
      <c r="D977" s="785"/>
      <c r="E977" s="808"/>
      <c r="F977" s="799"/>
      <c r="G977" s="799"/>
      <c r="H977" s="797"/>
      <c r="I977" s="754"/>
      <c r="J977" s="753"/>
      <c r="K977" s="752"/>
    </row>
    <row r="978" spans="1:11">
      <c r="A978" s="781"/>
      <c r="B978" s="782"/>
      <c r="C978" s="783"/>
      <c r="D978" s="785"/>
      <c r="E978" s="808"/>
      <c r="F978" s="799"/>
      <c r="G978" s="799"/>
      <c r="H978" s="797"/>
      <c r="I978" s="754"/>
      <c r="J978" s="753"/>
      <c r="K978" s="752"/>
    </row>
    <row r="979" spans="1:11">
      <c r="A979" s="781"/>
      <c r="B979" s="782"/>
      <c r="C979" s="783"/>
      <c r="D979" s="785"/>
      <c r="E979" s="808"/>
      <c r="F979" s="799"/>
      <c r="G979" s="799"/>
      <c r="H979" s="797"/>
      <c r="I979" s="754"/>
      <c r="J979" s="753"/>
      <c r="K979" s="752"/>
    </row>
    <row r="980" spans="1:11">
      <c r="A980" s="781"/>
      <c r="B980" s="782"/>
      <c r="C980" s="783"/>
      <c r="D980" s="785"/>
      <c r="E980" s="808"/>
      <c r="F980" s="799"/>
      <c r="G980" s="799"/>
      <c r="H980" s="797"/>
      <c r="I980" s="754"/>
      <c r="J980" s="753"/>
      <c r="K980" s="752"/>
    </row>
    <row r="981" spans="1:11">
      <c r="A981" s="781"/>
      <c r="B981" s="782"/>
      <c r="C981" s="783"/>
      <c r="D981" s="785"/>
      <c r="E981" s="808"/>
      <c r="F981" s="799"/>
      <c r="G981" s="799"/>
      <c r="H981" s="797"/>
      <c r="I981" s="754"/>
      <c r="J981" s="753"/>
      <c r="K981" s="752"/>
    </row>
    <row r="982" spans="1:11">
      <c r="A982" s="781"/>
      <c r="B982" s="782"/>
      <c r="C982" s="783"/>
      <c r="D982" s="785"/>
      <c r="E982" s="808"/>
      <c r="F982" s="799"/>
      <c r="G982" s="799"/>
      <c r="H982" s="797"/>
      <c r="I982" s="754"/>
      <c r="J982" s="753"/>
      <c r="K982" s="752"/>
    </row>
    <row r="983" spans="1:11">
      <c r="A983" s="781"/>
      <c r="B983" s="782"/>
      <c r="C983" s="783"/>
      <c r="D983" s="785"/>
      <c r="E983" s="808"/>
      <c r="F983" s="799"/>
      <c r="G983" s="799"/>
      <c r="H983" s="797"/>
      <c r="I983" s="754"/>
      <c r="J983" s="753"/>
      <c r="K983" s="752"/>
    </row>
    <row r="984" spans="1:11">
      <c r="A984" s="781"/>
      <c r="B984" s="782"/>
      <c r="C984" s="783"/>
      <c r="D984" s="785"/>
      <c r="E984" s="808"/>
      <c r="F984" s="799"/>
      <c r="G984" s="799"/>
      <c r="H984" s="797"/>
      <c r="I984" s="754"/>
      <c r="J984" s="753"/>
      <c r="K984" s="752"/>
    </row>
    <row r="985" spans="1:11">
      <c r="A985" s="781"/>
      <c r="B985" s="782"/>
      <c r="C985" s="783"/>
      <c r="D985" s="785"/>
      <c r="E985" s="808"/>
      <c r="F985" s="799"/>
      <c r="G985" s="799"/>
      <c r="H985" s="797"/>
      <c r="I985" s="754"/>
      <c r="J985" s="753"/>
      <c r="K985" s="752"/>
    </row>
    <row r="986" spans="1:11">
      <c r="A986" s="781"/>
      <c r="B986" s="782"/>
      <c r="C986" s="783"/>
      <c r="D986" s="785"/>
      <c r="E986" s="808"/>
      <c r="F986" s="799"/>
      <c r="G986" s="799"/>
      <c r="H986" s="797"/>
      <c r="I986" s="754"/>
      <c r="J986" s="753"/>
      <c r="K986" s="752"/>
    </row>
    <row r="987" spans="1:11">
      <c r="A987" s="781"/>
      <c r="B987" s="782"/>
      <c r="C987" s="783"/>
      <c r="D987" s="785"/>
      <c r="E987" s="808"/>
      <c r="F987" s="799"/>
      <c r="G987" s="799"/>
      <c r="H987" s="797"/>
      <c r="I987" s="754"/>
      <c r="J987" s="753"/>
      <c r="K987" s="752"/>
    </row>
    <row r="988" spans="1:11">
      <c r="A988" s="781"/>
      <c r="B988" s="782"/>
      <c r="C988" s="783"/>
      <c r="D988" s="785"/>
      <c r="E988" s="808"/>
      <c r="F988" s="799"/>
      <c r="G988" s="799"/>
      <c r="H988" s="797"/>
      <c r="I988" s="754"/>
      <c r="J988" s="753"/>
      <c r="K988" s="752"/>
    </row>
    <row r="989" spans="1:11">
      <c r="A989" s="781"/>
      <c r="B989" s="782"/>
      <c r="C989" s="783"/>
      <c r="D989" s="785"/>
      <c r="E989" s="808"/>
      <c r="F989" s="799"/>
      <c r="G989" s="799"/>
      <c r="H989" s="797"/>
      <c r="I989" s="754"/>
      <c r="J989" s="753"/>
      <c r="K989" s="752"/>
    </row>
    <row r="990" spans="1:11">
      <c r="A990" s="781"/>
      <c r="B990" s="782"/>
      <c r="C990" s="783"/>
      <c r="D990" s="785"/>
      <c r="E990" s="808"/>
      <c r="F990" s="799"/>
      <c r="G990" s="799"/>
      <c r="H990" s="797"/>
      <c r="I990" s="754"/>
      <c r="J990" s="753"/>
      <c r="K990" s="752"/>
    </row>
    <row r="991" spans="1:11">
      <c r="A991" s="781"/>
      <c r="B991" s="782"/>
      <c r="C991" s="783"/>
      <c r="D991" s="785"/>
      <c r="E991" s="808"/>
      <c r="F991" s="799"/>
      <c r="G991" s="799"/>
      <c r="H991" s="797"/>
      <c r="I991" s="754"/>
      <c r="J991" s="753"/>
      <c r="K991" s="752"/>
    </row>
    <row r="992" spans="1:11">
      <c r="A992" s="781"/>
      <c r="B992" s="782"/>
      <c r="C992" s="783"/>
      <c r="D992" s="785"/>
      <c r="E992" s="808"/>
      <c r="F992" s="799"/>
      <c r="G992" s="799"/>
      <c r="H992" s="797"/>
      <c r="I992" s="754"/>
      <c r="J992" s="753"/>
      <c r="K992" s="752"/>
    </row>
    <row r="993" spans="1:11">
      <c r="A993" s="781"/>
      <c r="B993" s="782"/>
      <c r="C993" s="783"/>
      <c r="D993" s="785"/>
      <c r="E993" s="808"/>
      <c r="F993" s="799"/>
      <c r="G993" s="799"/>
      <c r="H993" s="797"/>
      <c r="I993" s="754"/>
      <c r="J993" s="753"/>
      <c r="K993" s="752"/>
    </row>
    <row r="994" spans="1:11">
      <c r="A994" s="781"/>
      <c r="B994" s="782"/>
      <c r="C994" s="783"/>
      <c r="D994" s="785"/>
      <c r="E994" s="808"/>
      <c r="F994" s="799"/>
      <c r="G994" s="799"/>
      <c r="H994" s="797"/>
      <c r="I994" s="754"/>
      <c r="J994" s="753"/>
      <c r="K994" s="752"/>
    </row>
    <row r="995" spans="1:11">
      <c r="A995" s="781"/>
      <c r="B995" s="782"/>
      <c r="C995" s="783"/>
      <c r="D995" s="785"/>
      <c r="E995" s="808"/>
      <c r="F995" s="799"/>
      <c r="G995" s="799"/>
      <c r="H995" s="797"/>
      <c r="I995" s="754"/>
      <c r="J995" s="753"/>
      <c r="K995" s="752"/>
    </row>
    <row r="996" spans="1:11">
      <c r="A996" s="781"/>
      <c r="B996" s="782"/>
      <c r="C996" s="783"/>
      <c r="D996" s="785"/>
      <c r="E996" s="808"/>
      <c r="F996" s="799"/>
      <c r="G996" s="799"/>
      <c r="H996" s="797"/>
      <c r="I996" s="754"/>
      <c r="J996" s="753"/>
      <c r="K996" s="752"/>
    </row>
    <row r="997" spans="1:11">
      <c r="A997" s="781"/>
      <c r="B997" s="782"/>
      <c r="C997" s="783"/>
      <c r="D997" s="785"/>
      <c r="E997" s="808"/>
      <c r="F997" s="799"/>
      <c r="G997" s="799"/>
      <c r="H997" s="797"/>
      <c r="I997" s="754"/>
      <c r="J997" s="753"/>
      <c r="K997" s="752"/>
    </row>
    <row r="998" spans="1:11">
      <c r="A998" s="781"/>
      <c r="B998" s="782"/>
      <c r="C998" s="783"/>
      <c r="D998" s="785"/>
      <c r="E998" s="808"/>
      <c r="F998" s="799"/>
      <c r="G998" s="799"/>
      <c r="H998" s="797"/>
      <c r="I998" s="754"/>
      <c r="J998" s="753"/>
      <c r="K998" s="752"/>
    </row>
    <row r="999" spans="1:11">
      <c r="A999" s="781"/>
      <c r="B999" s="782"/>
      <c r="C999" s="783"/>
      <c r="D999" s="785"/>
      <c r="E999" s="808"/>
      <c r="F999" s="799"/>
      <c r="G999" s="799"/>
      <c r="H999" s="797"/>
      <c r="I999" s="754"/>
      <c r="J999" s="753"/>
      <c r="K999" s="752"/>
    </row>
    <row r="1000" spans="1:11">
      <c r="A1000" s="781"/>
      <c r="B1000" s="782"/>
      <c r="C1000" s="783"/>
      <c r="D1000" s="785"/>
      <c r="E1000" s="808"/>
      <c r="F1000" s="799"/>
      <c r="G1000" s="799"/>
      <c r="H1000" s="797"/>
      <c r="I1000" s="754"/>
      <c r="J1000" s="753"/>
      <c r="K1000" s="752"/>
    </row>
    <row r="1001" spans="1:11">
      <c r="A1001" s="781"/>
      <c r="B1001" s="782"/>
      <c r="C1001" s="783"/>
      <c r="D1001" s="785"/>
      <c r="E1001" s="808"/>
      <c r="F1001" s="799"/>
      <c r="G1001" s="799"/>
      <c r="H1001" s="797"/>
      <c r="I1001" s="754"/>
      <c r="J1001" s="753"/>
      <c r="K1001" s="752"/>
    </row>
    <row r="1002" spans="1:11">
      <c r="A1002" s="781"/>
      <c r="B1002" s="782"/>
      <c r="C1002" s="783"/>
      <c r="D1002" s="785"/>
      <c r="E1002" s="808"/>
      <c r="F1002" s="799"/>
      <c r="G1002" s="799"/>
      <c r="H1002" s="797"/>
      <c r="I1002" s="754"/>
      <c r="J1002" s="753"/>
      <c r="K1002" s="752"/>
    </row>
    <row r="1003" spans="1:11">
      <c r="A1003" s="781"/>
      <c r="B1003" s="782"/>
      <c r="C1003" s="783"/>
      <c r="D1003" s="785"/>
      <c r="E1003" s="808"/>
      <c r="F1003" s="799"/>
      <c r="G1003" s="799"/>
      <c r="H1003" s="797"/>
      <c r="I1003" s="754"/>
      <c r="J1003" s="753"/>
      <c r="K1003" s="752"/>
    </row>
  </sheetData>
  <sortState xmlns:xlrd2="http://schemas.microsoft.com/office/spreadsheetml/2017/richdata2" ref="AD11:AE100">
    <sortCondition ref="AD11"/>
  </sortState>
  <customSheetViews>
    <customSheetView guid="{CE7484BD-F9E2-4C03-AA0F-F7057FD8E6EF}">
      <pane ySplit="9" topLeftCell="A10" activePane="bottomLeft" state="frozen"/>
      <selection pane="bottomLeft" activeCell="L7" sqref="L7"/>
      <pageMargins left="0.7" right="0.7" top="0.75" bottom="0.75" header="0.3" footer="0.3"/>
      <pageSetup paperSize="9" orientation="portrait" r:id="rId1"/>
    </customSheetView>
  </customSheetViews>
  <mergeCells count="1">
    <mergeCell ref="I7:J8"/>
  </mergeCells>
  <conditionalFormatting sqref="AE11:AE78">
    <cfRule type="duplicateValues" dxfId="4" priority="2"/>
  </conditionalFormatting>
  <conditionalFormatting sqref="AE79:AE82">
    <cfRule type="duplicateValues" dxfId="3" priority="1"/>
  </conditionalFormatting>
  <pageMargins left="0.7" right="0.7" top="0.75" bottom="0.75" header="0.3" footer="0.3"/>
  <pageSetup paperSize="9" orientation="portrait" r:id="rId2"/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157700" r:id="rId6" name="CommandButton2">
          <controlPr defaultSize="0" autoLine="0" r:id="rId7">
            <anchor moveWithCells="1">
              <from>
                <xdr:col>14</xdr:col>
                <xdr:colOff>123825</xdr:colOff>
                <xdr:row>1</xdr:row>
                <xdr:rowOff>9525</xdr:rowOff>
              </from>
              <to>
                <xdr:col>15</xdr:col>
                <xdr:colOff>152400</xdr:colOff>
                <xdr:row>1</xdr:row>
                <xdr:rowOff>257175</xdr:rowOff>
              </to>
            </anchor>
          </controlPr>
        </control>
      </mc:Choice>
      <mc:Fallback>
        <control shapeId="157700" r:id="rId6" name="CommandButton2"/>
      </mc:Fallback>
    </mc:AlternateContent>
    <mc:AlternateContent xmlns:mc="http://schemas.openxmlformats.org/markup-compatibility/2006">
      <mc:Choice Requires="x14">
        <control shapeId="157699" r:id="rId8" name="CommandButton1">
          <controlPr defaultSize="0" autoLine="0" r:id="rId9">
            <anchor moveWithCells="1">
              <from>
                <xdr:col>13</xdr:col>
                <xdr:colOff>85725</xdr:colOff>
                <xdr:row>1</xdr:row>
                <xdr:rowOff>19050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157699" r:id="rId8" name="CommandButton1"/>
      </mc:Fallback>
    </mc:AlternateContent>
    <mc:AlternateContent xmlns:mc="http://schemas.openxmlformats.org/markup-compatibility/2006">
      <mc:Choice Requires="x14">
        <control shapeId="157698" r:id="rId10" name="ComboBox1">
          <controlPr locked="0" defaultSize="0" autoLine="0" autoPict="0" listFillRange="srt!A6:B93" r:id="rId11">
            <anchor moveWithCells="1">
              <from>
                <xdr:col>9</xdr:col>
                <xdr:colOff>180975</xdr:colOff>
                <xdr:row>1</xdr:row>
                <xdr:rowOff>47625</xdr:rowOff>
              </from>
              <to>
                <xdr:col>12</xdr:col>
                <xdr:colOff>590550</xdr:colOff>
                <xdr:row>2</xdr:row>
                <xdr:rowOff>104775</xdr:rowOff>
              </to>
            </anchor>
          </controlPr>
        </control>
      </mc:Choice>
      <mc:Fallback>
        <control shapeId="157698" r:id="rId10" name="ComboBox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C61AF-1D72-4FBD-98A1-EA1A0102CA97}">
  <sheetPr codeName="Sheet47">
    <tabColor rgb="FFFFC000"/>
    <pageSetUpPr fitToPage="1"/>
  </sheetPr>
  <dimension ref="A1:BE134"/>
  <sheetViews>
    <sheetView zoomScaleNormal="100" zoomScaleSheetLayoutView="85" workbookViewId="0">
      <pane ySplit="9" topLeftCell="A28" activePane="bottomLeft" state="frozen"/>
      <selection activeCell="A26" sqref="A26:B31"/>
      <selection pane="bottomLeft" activeCell="T20" sqref="T20"/>
    </sheetView>
  </sheetViews>
  <sheetFormatPr defaultRowHeight="15"/>
  <cols>
    <col min="1" max="1" width="5.28515625" style="3" customWidth="1"/>
    <col min="2" max="2" width="17.140625" style="71" customWidth="1"/>
    <col min="3" max="3" width="9.85546875" style="73" customWidth="1"/>
    <col min="4" max="4" width="8.5703125" style="73" customWidth="1"/>
    <col min="5" max="5" width="11.140625" style="73" hidden="1" customWidth="1"/>
    <col min="6" max="7" width="8.5703125" style="73" hidden="1" customWidth="1"/>
    <col min="8" max="8" width="11.85546875" style="73" hidden="1" customWidth="1"/>
    <col min="9" max="9" width="8.7109375" style="377" hidden="1" customWidth="1"/>
    <col min="10" max="10" width="8.5703125" style="73" hidden="1" customWidth="1"/>
    <col min="11" max="11" width="8.140625" style="73" hidden="1" customWidth="1"/>
    <col min="12" max="12" width="9" style="73" hidden="1" customWidth="1"/>
    <col min="13" max="13" width="8" hidden="1" customWidth="1"/>
    <col min="14" max="14" width="9.7109375" style="79" hidden="1" customWidth="1"/>
    <col min="15" max="15" width="10.28515625" style="456" hidden="1" customWidth="1"/>
    <col min="16" max="16" width="9.140625" style="79" hidden="1" customWidth="1"/>
    <col min="17" max="29" width="7.42578125" style="79" customWidth="1"/>
    <col min="30" max="35" width="7.42578125" customWidth="1"/>
    <col min="36" max="36" width="9.28515625" customWidth="1"/>
    <col min="37" max="38" width="7.7109375" customWidth="1"/>
    <col min="39" max="39" width="11.7109375" customWidth="1"/>
    <col min="40" max="41" width="8.7109375" customWidth="1"/>
    <col min="42" max="42" width="10.7109375" customWidth="1"/>
    <col min="43" max="46" width="8.7109375" customWidth="1"/>
    <col min="47" max="47" width="6.85546875" customWidth="1"/>
    <col min="48" max="48" width="7.7109375" customWidth="1"/>
  </cols>
  <sheetData>
    <row r="1" spans="1:57" ht="23.25" customHeight="1">
      <c r="A1" s="472" t="s">
        <v>1480</v>
      </c>
      <c r="B1" s="403"/>
      <c r="C1" s="452"/>
      <c r="D1" s="452"/>
      <c r="E1" s="452"/>
      <c r="F1" s="452"/>
      <c r="G1" s="452"/>
      <c r="H1" s="452"/>
      <c r="I1" s="528"/>
      <c r="J1" s="452"/>
      <c r="K1" s="452"/>
      <c r="L1" s="452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E1" s="403"/>
      <c r="AF1" s="403"/>
      <c r="AG1" s="403"/>
      <c r="AH1" s="403"/>
      <c r="AI1" s="403"/>
      <c r="AJ1" s="403"/>
      <c r="AK1" s="403"/>
      <c r="AL1" s="403"/>
      <c r="AM1" s="403"/>
      <c r="AN1" s="403"/>
      <c r="AO1" s="403"/>
      <c r="AP1" s="403"/>
      <c r="AQ1" s="403"/>
      <c r="AR1" s="403"/>
      <c r="AS1" s="403"/>
      <c r="AT1" s="403"/>
      <c r="AU1" s="403"/>
      <c r="AV1" s="403"/>
      <c r="AW1" s="403"/>
      <c r="AX1" s="284"/>
    </row>
    <row r="2" spans="1:57" s="133" customFormat="1" ht="15.75" customHeight="1" thickBot="1">
      <c r="A2" s="461" t="s">
        <v>973</v>
      </c>
      <c r="B2" s="495" t="str">
        <f>ProHeader!D2</f>
        <v>EngName</v>
      </c>
      <c r="C2" s="461" t="s">
        <v>1421</v>
      </c>
      <c r="D2" s="464"/>
      <c r="E2" s="495" t="str">
        <f>ProHeader!H2</f>
        <v>Polt</v>
      </c>
      <c r="F2" s="462" t="s">
        <v>1450</v>
      </c>
      <c r="G2" s="1873" t="str">
        <f>ProHeader!K2</f>
        <v>Quo-No</v>
      </c>
      <c r="H2" s="1874"/>
      <c r="I2" s="461" t="s">
        <v>1447</v>
      </c>
      <c r="J2" s="500">
        <f>ProHeader!D4</f>
        <v>0</v>
      </c>
      <c r="K2" s="425"/>
      <c r="L2" s="465" t="s">
        <v>1472</v>
      </c>
      <c r="M2" s="466"/>
      <c r="N2" s="469" t="s">
        <v>1473</v>
      </c>
      <c r="O2" s="469" t="s">
        <v>1474</v>
      </c>
      <c r="P2" s="469" t="s">
        <v>1475</v>
      </c>
      <c r="Q2" s="469" t="s">
        <v>1476</v>
      </c>
      <c r="R2" s="469" t="s">
        <v>1479</v>
      </c>
      <c r="S2" s="469" t="s">
        <v>1478</v>
      </c>
      <c r="T2" s="469" t="s">
        <v>1477</v>
      </c>
      <c r="U2" s="470" t="s">
        <v>20</v>
      </c>
      <c r="V2" s="425"/>
      <c r="W2" s="425"/>
      <c r="X2" s="425"/>
      <c r="Y2" s="425"/>
      <c r="Z2" s="425"/>
      <c r="AA2" s="425"/>
      <c r="AB2" s="425"/>
      <c r="AC2" s="425"/>
      <c r="AD2" s="425"/>
      <c r="AE2" s="425"/>
      <c r="AF2" s="425"/>
      <c r="AG2" s="425"/>
      <c r="AH2" s="425"/>
      <c r="AI2" s="425"/>
      <c r="AJ2" s="425"/>
      <c r="AK2" s="425"/>
      <c r="AL2" s="425"/>
      <c r="AM2" s="425"/>
      <c r="AN2" s="425"/>
      <c r="AO2" s="425"/>
      <c r="AP2" s="425"/>
      <c r="AQ2" s="425"/>
    </row>
    <row r="3" spans="1:57" s="133" customFormat="1" ht="15.75" customHeight="1" thickTop="1">
      <c r="A3" s="463" t="s">
        <v>222</v>
      </c>
      <c r="B3" s="495" t="str">
        <f>ProHeader!F2</f>
        <v>Pro-Details</v>
      </c>
      <c r="C3" s="461" t="s">
        <v>1448</v>
      </c>
      <c r="D3" s="542" t="e">
        <f>E3/E2</f>
        <v>#VALUE!</v>
      </c>
      <c r="E3" s="495" t="e">
        <f>E9-E2</f>
        <v>#VALUE!</v>
      </c>
      <c r="F3" s="462" t="s">
        <v>1469</v>
      </c>
      <c r="G3" s="497"/>
      <c r="H3" s="499" t="e">
        <f>G2/E2</f>
        <v>#VALUE!</v>
      </c>
      <c r="I3" s="461" t="s">
        <v>1459</v>
      </c>
      <c r="J3" s="500">
        <f>ProHeader!D3</f>
        <v>0</v>
      </c>
      <c r="K3" s="425"/>
      <c r="L3" s="467" t="s">
        <v>1470</v>
      </c>
      <c r="M3" s="468"/>
      <c r="N3" s="493">
        <f>N5</f>
        <v>0</v>
      </c>
      <c r="O3" s="493">
        <f t="shared" ref="O3:T3" si="0">O5</f>
        <v>0</v>
      </c>
      <c r="P3" s="493">
        <f t="shared" si="0"/>
        <v>0</v>
      </c>
      <c r="Q3" s="493">
        <f t="shared" si="0"/>
        <v>0</v>
      </c>
      <c r="R3" s="493">
        <f t="shared" si="0"/>
        <v>0</v>
      </c>
      <c r="S3" s="493">
        <f t="shared" si="0"/>
        <v>0</v>
      </c>
      <c r="T3" s="493">
        <f t="shared" si="0"/>
        <v>0</v>
      </c>
      <c r="U3" s="471"/>
      <c r="V3" s="425"/>
      <c r="W3" s="425"/>
      <c r="X3" s="425"/>
      <c r="Y3" s="425"/>
      <c r="Z3" s="425"/>
      <c r="AA3" s="425"/>
      <c r="AB3" s="425"/>
      <c r="AC3" s="425"/>
      <c r="AD3" s="425"/>
      <c r="AE3" s="425"/>
      <c r="AF3" s="425"/>
      <c r="AG3" s="425"/>
      <c r="AH3" s="425"/>
      <c r="AI3" s="425"/>
      <c r="AJ3" s="425"/>
      <c r="AK3" s="425"/>
      <c r="AL3" s="425"/>
      <c r="AM3" s="425"/>
      <c r="AN3" s="425"/>
      <c r="AO3" s="425"/>
      <c r="AP3" s="425"/>
      <c r="AQ3" s="425"/>
    </row>
    <row r="4" spans="1:57" s="133" customFormat="1" ht="15.75" customHeight="1">
      <c r="A4" s="461" t="s">
        <v>1489</v>
      </c>
      <c r="B4" s="496">
        <f>ProHeader!F3</f>
        <v>0</v>
      </c>
      <c r="C4" s="461" t="s">
        <v>1490</v>
      </c>
      <c r="D4" s="464"/>
      <c r="E4" s="496">
        <f>ProHeader!H4</f>
        <v>0</v>
      </c>
      <c r="F4" s="462" t="s">
        <v>1491</v>
      </c>
      <c r="G4" s="498"/>
      <c r="H4" s="499" t="e">
        <f>G2/B3</f>
        <v>#VALUE!</v>
      </c>
      <c r="I4" s="464"/>
      <c r="J4" s="501"/>
      <c r="K4" s="425"/>
      <c r="L4" s="467" t="s">
        <v>1471</v>
      </c>
      <c r="M4" s="468"/>
      <c r="N4" s="481">
        <f>ProHeader!S3</f>
        <v>0</v>
      </c>
      <c r="O4" s="481">
        <f>ProHeader!T3</f>
        <v>0</v>
      </c>
      <c r="P4" s="481">
        <f>ProHeader!U3</f>
        <v>0</v>
      </c>
      <c r="Q4" s="481">
        <f>ProHeader!V3</f>
        <v>0</v>
      </c>
      <c r="R4" s="481">
        <f>ProHeader!W3</f>
        <v>0</v>
      </c>
      <c r="S4" s="481">
        <f>ProHeader!X3</f>
        <v>0</v>
      </c>
      <c r="T4" s="481">
        <f>ProHeader!Y3</f>
        <v>0</v>
      </c>
      <c r="U4" s="480">
        <f>ProHeader!Z3</f>
        <v>0</v>
      </c>
      <c r="V4" s="425"/>
      <c r="W4" s="425"/>
      <c r="X4" s="425"/>
      <c r="Y4" s="425"/>
      <c r="Z4" s="425"/>
      <c r="AA4" s="425"/>
      <c r="AB4" s="425"/>
      <c r="AC4" s="425"/>
      <c r="AD4" s="425"/>
      <c r="AE4" s="425"/>
      <c r="AF4" s="425"/>
      <c r="AG4" s="425"/>
      <c r="AH4" s="425"/>
      <c r="AI4" s="425"/>
      <c r="AJ4" s="425"/>
      <c r="AK4" s="425"/>
      <c r="AL4" s="425"/>
      <c r="AM4" s="615"/>
      <c r="AN4" s="425"/>
      <c r="AO4" s="425"/>
      <c r="AP4" s="425"/>
      <c r="AQ4" s="425"/>
    </row>
    <row r="5" spans="1:57" s="133" customFormat="1" ht="15.75" customHeight="1">
      <c r="A5" s="461" t="s">
        <v>7</v>
      </c>
      <c r="B5" s="496">
        <f>ProHeader!F4</f>
        <v>0</v>
      </c>
      <c r="C5" s="461" t="s">
        <v>1449</v>
      </c>
      <c r="D5" s="464"/>
      <c r="E5" s="496">
        <f>ProHeader!K3</f>
        <v>0</v>
      </c>
      <c r="F5" s="462"/>
      <c r="G5" s="498"/>
      <c r="H5" s="499"/>
      <c r="I5" s="464"/>
      <c r="J5" s="501"/>
      <c r="K5" s="425"/>
      <c r="L5" s="467" t="s">
        <v>1111</v>
      </c>
      <c r="M5" s="468"/>
      <c r="N5" s="482">
        <f>ProHeader!S4</f>
        <v>0</v>
      </c>
      <c r="O5" s="482">
        <f>ProHeader!T4</f>
        <v>0</v>
      </c>
      <c r="P5" s="482">
        <f>ProHeader!U4</f>
        <v>0</v>
      </c>
      <c r="Q5" s="482">
        <f>ProHeader!V4</f>
        <v>0</v>
      </c>
      <c r="R5" s="482">
        <f>ProHeader!W4</f>
        <v>0</v>
      </c>
      <c r="S5" s="482">
        <f>ProHeader!X4</f>
        <v>0</v>
      </c>
      <c r="T5" s="482">
        <f>ProHeader!Y4</f>
        <v>0</v>
      </c>
      <c r="U5" s="480">
        <f>ProHeader!Z4</f>
        <v>0</v>
      </c>
      <c r="V5" s="425"/>
      <c r="W5" s="425"/>
      <c r="X5" s="425"/>
      <c r="Y5" s="425"/>
      <c r="Z5" s="425"/>
      <c r="AA5" s="425"/>
      <c r="AB5" s="425"/>
      <c r="AC5" s="425"/>
      <c r="AD5" s="425"/>
      <c r="AE5" s="425"/>
      <c r="AF5" s="425"/>
      <c r="AG5" s="425"/>
      <c r="AH5" s="425"/>
      <c r="AI5" s="425"/>
      <c r="AJ5" s="425"/>
      <c r="AK5" s="425"/>
      <c r="AL5" s="425"/>
      <c r="AM5" s="425"/>
      <c r="AN5" s="425"/>
      <c r="AO5" s="425"/>
      <c r="AP5" s="425"/>
      <c r="AQ5" s="425"/>
    </row>
    <row r="6" spans="1:57" s="133" customFormat="1" ht="24.75" customHeight="1">
      <c r="A6" s="424">
        <v>2024</v>
      </c>
      <c r="B6" s="425"/>
      <c r="C6" s="453"/>
      <c r="D6" s="453"/>
      <c r="E6" s="453"/>
      <c r="F6" s="453"/>
      <c r="G6" s="453"/>
      <c r="H6" s="453"/>
      <c r="I6" s="453"/>
      <c r="J6" s="453"/>
      <c r="K6" s="453"/>
      <c r="L6" s="445"/>
      <c r="M6" s="453"/>
      <c r="N6" s="453"/>
      <c r="O6" s="453"/>
      <c r="P6" s="453"/>
      <c r="Q6" s="425"/>
      <c r="R6" s="457">
        <v>6</v>
      </c>
      <c r="S6" s="425"/>
      <c r="T6" s="425"/>
      <c r="U6" s="457">
        <v>7</v>
      </c>
      <c r="V6" s="425"/>
      <c r="W6" s="425"/>
      <c r="X6" s="457">
        <v>8</v>
      </c>
      <c r="Y6" s="425"/>
      <c r="Z6" s="425"/>
      <c r="AA6" s="457">
        <v>9</v>
      </c>
      <c r="AB6" s="425"/>
      <c r="AC6" s="425"/>
      <c r="AD6" s="457">
        <v>10</v>
      </c>
      <c r="AE6" s="425"/>
      <c r="AF6" s="425"/>
      <c r="AG6" s="457">
        <v>11</v>
      </c>
      <c r="AH6" s="425"/>
      <c r="AI6" s="425"/>
      <c r="AJ6" s="457">
        <v>12</v>
      </c>
      <c r="AK6" s="425"/>
      <c r="AL6" s="425"/>
      <c r="AM6" s="425"/>
      <c r="AN6" s="425"/>
      <c r="AO6" s="425"/>
      <c r="AP6" s="425"/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5"/>
      <c r="BB6" s="425"/>
      <c r="BC6" s="425"/>
      <c r="BD6" s="425"/>
      <c r="BE6" s="425"/>
    </row>
    <row r="7" spans="1:57" s="133" customFormat="1" ht="19.5" customHeight="1">
      <c r="A7" s="536" t="s">
        <v>1524</v>
      </c>
      <c r="B7" s="425"/>
      <c r="C7" s="1869" t="s">
        <v>1427</v>
      </c>
      <c r="D7" s="1870"/>
      <c r="E7" s="523"/>
      <c r="F7" s="1871" t="s">
        <v>1517</v>
      </c>
      <c r="G7" s="1871"/>
      <c r="H7" s="530"/>
      <c r="I7" s="531" t="s">
        <v>1522</v>
      </c>
      <c r="J7" s="1869" t="s">
        <v>1520</v>
      </c>
      <c r="K7" s="1870"/>
      <c r="L7" s="529"/>
      <c r="M7" s="524"/>
      <c r="N7" s="524" t="s">
        <v>1426</v>
      </c>
      <c r="O7" s="524"/>
      <c r="P7" s="530"/>
      <c r="Q7" s="1872" t="s">
        <v>1460</v>
      </c>
      <c r="R7" s="1867"/>
      <c r="S7" s="1868"/>
      <c r="T7" s="1866" t="s">
        <v>1461</v>
      </c>
      <c r="U7" s="1867"/>
      <c r="V7" s="1868"/>
      <c r="W7" s="1866" t="s">
        <v>1462</v>
      </c>
      <c r="X7" s="1867"/>
      <c r="Y7" s="1868"/>
      <c r="Z7" s="1866" t="s">
        <v>1463</v>
      </c>
      <c r="AA7" s="1867"/>
      <c r="AB7" s="1868"/>
      <c r="AC7" s="1866" t="s">
        <v>1464</v>
      </c>
      <c r="AD7" s="1867"/>
      <c r="AE7" s="1868"/>
      <c r="AF7" s="1866" t="s">
        <v>1465</v>
      </c>
      <c r="AG7" s="1867"/>
      <c r="AH7" s="1868"/>
      <c r="AI7" s="1866" t="s">
        <v>1468</v>
      </c>
      <c r="AJ7" s="1867"/>
      <c r="AK7" s="1868"/>
      <c r="AL7" s="425"/>
      <c r="AM7" s="425"/>
      <c r="AN7" s="425"/>
      <c r="AO7" s="425"/>
      <c r="AP7" s="425"/>
      <c r="AQ7" s="425"/>
      <c r="AR7" s="425"/>
      <c r="AS7" s="425"/>
      <c r="AT7" s="425"/>
      <c r="AU7" s="425"/>
      <c r="AV7" s="425"/>
      <c r="AW7" s="425"/>
      <c r="AX7" s="425"/>
      <c r="AY7" s="425"/>
      <c r="AZ7" s="425"/>
      <c r="BA7" s="425"/>
      <c r="BB7" s="425"/>
      <c r="BC7" s="425"/>
      <c r="BD7" s="425"/>
      <c r="BE7" s="425"/>
    </row>
    <row r="8" spans="1:57" s="437" customFormat="1" ht="24" customHeight="1">
      <c r="A8" s="494"/>
      <c r="B8" s="494" t="s">
        <v>28</v>
      </c>
      <c r="C8" s="527" t="s">
        <v>1493</v>
      </c>
      <c r="D8" s="538" t="s">
        <v>1515</v>
      </c>
      <c r="E8" s="527" t="s">
        <v>1481</v>
      </c>
      <c r="F8" s="527" t="s">
        <v>1482</v>
      </c>
      <c r="G8" s="527" t="s">
        <v>1466</v>
      </c>
      <c r="H8" s="538" t="s">
        <v>1516</v>
      </c>
      <c r="I8" s="538" t="s">
        <v>1518</v>
      </c>
      <c r="J8" s="527" t="s">
        <v>1521</v>
      </c>
      <c r="K8" s="538" t="s">
        <v>1519</v>
      </c>
      <c r="L8" s="527" t="s">
        <v>1514</v>
      </c>
      <c r="M8" s="527" t="s">
        <v>1505</v>
      </c>
      <c r="N8" s="527" t="s">
        <v>1512</v>
      </c>
      <c r="O8" s="527" t="s">
        <v>1442</v>
      </c>
      <c r="P8" s="538" t="s">
        <v>1523</v>
      </c>
      <c r="Q8" s="537" t="s">
        <v>1467</v>
      </c>
      <c r="R8" s="447" t="s">
        <v>1525</v>
      </c>
      <c r="S8" s="448" t="s">
        <v>1526</v>
      </c>
      <c r="T8" s="537" t="s">
        <v>1467</v>
      </c>
      <c r="U8" s="447" t="s">
        <v>1525</v>
      </c>
      <c r="V8" s="448" t="s">
        <v>1526</v>
      </c>
      <c r="W8" s="537" t="s">
        <v>1467</v>
      </c>
      <c r="X8" s="447" t="s">
        <v>1525</v>
      </c>
      <c r="Y8" s="448" t="s">
        <v>1526</v>
      </c>
      <c r="Z8" s="537" t="s">
        <v>1467</v>
      </c>
      <c r="AA8" s="447" t="s">
        <v>1525</v>
      </c>
      <c r="AB8" s="448" t="s">
        <v>1526</v>
      </c>
      <c r="AC8" s="537" t="s">
        <v>1467</v>
      </c>
      <c r="AD8" s="447" t="s">
        <v>1525</v>
      </c>
      <c r="AE8" s="448" t="s">
        <v>1526</v>
      </c>
      <c r="AF8" s="537" t="s">
        <v>1467</v>
      </c>
      <c r="AG8" s="447" t="s">
        <v>1525</v>
      </c>
      <c r="AH8" s="448" t="s">
        <v>1526</v>
      </c>
      <c r="AI8" s="537" t="s">
        <v>1467</v>
      </c>
      <c r="AJ8" s="447" t="s">
        <v>1525</v>
      </c>
      <c r="AK8" s="448" t="s">
        <v>1526</v>
      </c>
      <c r="AL8" s="425"/>
      <c r="AM8" s="425"/>
      <c r="AN8" s="425"/>
      <c r="AO8" s="425"/>
      <c r="AP8" s="425"/>
      <c r="AQ8" s="425"/>
      <c r="AR8" s="425"/>
      <c r="AS8" s="425"/>
      <c r="AT8" s="425"/>
      <c r="AU8" s="425"/>
      <c r="AV8" s="425"/>
      <c r="AW8" s="425"/>
      <c r="AX8" s="425"/>
      <c r="AY8" s="425"/>
      <c r="AZ8" s="425"/>
      <c r="BA8" s="425"/>
      <c r="BB8" s="425"/>
      <c r="BC8" s="425"/>
      <c r="BD8" s="425"/>
      <c r="BE8" s="425"/>
    </row>
    <row r="9" spans="1:57" s="437" customFormat="1" ht="13.5" customHeight="1">
      <c r="A9" s="543"/>
      <c r="B9" s="543" t="s">
        <v>1492</v>
      </c>
      <c r="C9" s="503">
        <f>SUM(C10:C80)</f>
        <v>13083326.15</v>
      </c>
      <c r="D9" s="539">
        <f>SUM(D10:D80)</f>
        <v>3983160.0521500004</v>
      </c>
      <c r="E9" s="503">
        <f>SUM(E10:E80)</f>
        <v>9100166.0978499986</v>
      </c>
      <c r="F9" s="502">
        <f>SUM(F10:F80)</f>
        <v>6196988.9249999989</v>
      </c>
      <c r="G9" s="533">
        <f>E9/C9</f>
        <v>0.69555447854137598</v>
      </c>
      <c r="H9" s="540">
        <f>F9/C9</f>
        <v>0.47365546451656704</v>
      </c>
      <c r="I9" s="541">
        <f>SUM(I10:I80)</f>
        <v>0</v>
      </c>
      <c r="J9" s="503">
        <f>SUM(J10:J80)</f>
        <v>6542020.3637500005</v>
      </c>
      <c r="K9" s="540">
        <f>AVERAGE(K10:K80)</f>
        <v>0.53074739942011051</v>
      </c>
      <c r="L9" s="503">
        <f>SUM(L10:L80)</f>
        <v>115</v>
      </c>
      <c r="M9" s="502"/>
      <c r="N9" s="502">
        <f>SUM(N10:N80)</f>
        <v>2356076.6965000001</v>
      </c>
      <c r="O9" s="502">
        <f>SUM(O10:O80)</f>
        <v>2247850.21</v>
      </c>
      <c r="P9" s="539">
        <f>SUM(P10:P80)</f>
        <v>108226.48650000001</v>
      </c>
      <c r="Q9" s="620">
        <f t="shared" ref="Q9:Y9" si="1">SUM(Q10:Q92)</f>
        <v>47677.5</v>
      </c>
      <c r="R9" s="503">
        <f t="shared" si="1"/>
        <v>178997.72999999998</v>
      </c>
      <c r="S9" s="503">
        <f t="shared" si="1"/>
        <v>0</v>
      </c>
      <c r="T9" s="620">
        <f t="shared" si="1"/>
        <v>418915.77500000002</v>
      </c>
      <c r="U9" s="503">
        <f t="shared" si="1"/>
        <v>315280.02199999994</v>
      </c>
      <c r="V9" s="503">
        <f t="shared" si="1"/>
        <v>0</v>
      </c>
      <c r="W9" s="620">
        <f t="shared" si="1"/>
        <v>225494.5</v>
      </c>
      <c r="X9" s="503">
        <f t="shared" si="1"/>
        <v>290158.81</v>
      </c>
      <c r="Y9" s="503">
        <f t="shared" si="1"/>
        <v>0</v>
      </c>
      <c r="Z9" s="620">
        <f>SUM(Z10:Z92)</f>
        <v>421786.2</v>
      </c>
      <c r="AA9" s="503">
        <f t="shared" ref="AA9:AK9" si="2">SUM(AA10:AA92)</f>
        <v>166428.97999999998</v>
      </c>
      <c r="AB9" s="503">
        <f t="shared" si="2"/>
        <v>0</v>
      </c>
      <c r="AC9" s="503">
        <f>SUM(AC10:AC92)</f>
        <v>312943.58</v>
      </c>
      <c r="AD9" s="503">
        <f>SUM(AD10:AD92)</f>
        <v>288122.30000000005</v>
      </c>
      <c r="AE9" s="503">
        <f t="shared" si="2"/>
        <v>0</v>
      </c>
      <c r="AF9" s="503">
        <f t="shared" si="2"/>
        <v>302772.3</v>
      </c>
      <c r="AG9" s="503">
        <f t="shared" si="2"/>
        <v>160469.69750000001</v>
      </c>
      <c r="AH9" s="503">
        <f t="shared" si="2"/>
        <v>0</v>
      </c>
      <c r="AI9" s="503">
        <f t="shared" si="2"/>
        <v>0</v>
      </c>
      <c r="AJ9" s="503">
        <f t="shared" si="2"/>
        <v>0</v>
      </c>
      <c r="AK9" s="503">
        <f t="shared" si="2"/>
        <v>0</v>
      </c>
      <c r="AL9" s="425"/>
      <c r="AM9" s="425"/>
      <c r="AN9" s="425"/>
      <c r="AO9" s="425"/>
      <c r="AP9" s="425"/>
      <c r="AQ9" s="425"/>
      <c r="AR9" s="425"/>
      <c r="AS9" s="425"/>
      <c r="AT9" s="425"/>
      <c r="AU9" s="425"/>
      <c r="AV9" s="425"/>
      <c r="AW9" s="425"/>
      <c r="AX9" s="425"/>
      <c r="AY9" s="425"/>
      <c r="AZ9" s="425"/>
      <c r="BA9" s="425"/>
      <c r="BB9" s="425"/>
      <c r="BC9" s="425"/>
      <c r="BD9" s="425"/>
      <c r="BE9" s="425"/>
    </row>
    <row r="10" spans="1:57" ht="19.5" customHeight="1">
      <c r="A10" s="616">
        <f>ProHeader!C9</f>
        <v>142</v>
      </c>
      <c r="B10" s="616" t="str">
        <f>ProHeader!D9</f>
        <v>khalaf Falasi</v>
      </c>
      <c r="C10" s="458">
        <f>(ProHeader!L9+ProHeader!M9)</f>
        <v>220867</v>
      </c>
      <c r="D10" s="458">
        <f>C10-E10</f>
        <v>20521.262500000012</v>
      </c>
      <c r="E10" s="459">
        <f>SUMIFS(srpro!$H$10:$H$3010,srpro!$B$10:$B$3010,'ProjectsX (2)'!A10)-(SUMIFS(srpro!$H$10:$H$3010,srpro!$B$10:$B$3010,'ProjectsX (2)'!A10)*5%)</f>
        <v>200345.73749999999</v>
      </c>
      <c r="F10" s="460">
        <f>SUMIFS(srpro!$E$10:$E$3010,srpro!$B$10:$B$3010,'ProjectsX (2)'!A10)</f>
        <v>156599.74</v>
      </c>
      <c r="G10" s="478">
        <f t="shared" ref="G10:G41" si="3">IFERROR((E10)/(C10),0)</f>
        <v>0.9070876930460412</v>
      </c>
      <c r="H10" s="479">
        <f t="shared" ref="H10:H41" si="4">IFERROR((F10-(F10*5%))/(C10),0)</f>
        <v>0.67357166530083712</v>
      </c>
      <c r="I10" s="534">
        <v>0</v>
      </c>
      <c r="J10" s="606">
        <f>(C10-(C10*5%))-(F10-F10*5%)-I10</f>
        <v>61053.896999999997</v>
      </c>
      <c r="K10" s="617">
        <f>IFERROR(J10/(C10-(C10*5%)),0)</f>
        <v>0.29097719442017139</v>
      </c>
      <c r="L10" s="526">
        <f>ProHeader!AN9</f>
        <v>0</v>
      </c>
      <c r="M10" s="525" t="str">
        <f>TEXT(  ProHeader!AJ9,"dd-mm-yy")</f>
        <v>-</v>
      </c>
      <c r="N10" s="525" t="str">
        <f>IFERROR(ProHeader!AK9 + ProHeader!AL9,"0")</f>
        <v>0</v>
      </c>
      <c r="O10" s="525" t="str">
        <f>IFERROR(ProHeader!AM9,"0")</f>
        <v>-</v>
      </c>
      <c r="P10" s="525" t="str">
        <f>IFERROR(N10-O10,"-")</f>
        <v>-</v>
      </c>
      <c r="Q10" s="619" t="str">
        <f>IF( SUMIFS(srpro!$H$10:$H$3010,srpro!$J$10:$J$3010,$R$6,srpro!$B$10:$B$3010,'ProjectsX (2)'!A10,srpro!$K$10:$K$3010,$A$6)&gt;0,SUMIFS(srpro!$H$10:$H$3010,srpro!$J$10:$J$3010,$R$6,srpro!$B$10:$B$3010,'ProjectsX (2)'!A10,srpro!$K$10:$K$3010,$A$6),"")</f>
        <v/>
      </c>
      <c r="R10" s="449" t="str">
        <f>IF( SUMIFS(srpro!$E$10:$E$3010,srpro!$J$10:$J$3010,$R$6,srpro!$B$10:$B$3010,'ProjectsX (2)'!A10,srpro!$K$10:$K$3010,$A$6)&gt;0,SUMIFS(srpro!$E$10:$E$3010,srpro!$J$10:$J$3010,$R$6,srpro!$B$10:$B$3010,'ProjectsX (2)'!A10,srpro!$K$10:$K$3010,$A$6),"")</f>
        <v/>
      </c>
      <c r="S10" s="450"/>
      <c r="T10" s="619" t="str">
        <f>IF( SUMIFS(srpro!$H$10:$H$3010,srpro!$J$10:$J$3010,$U$6,srpro!$B$10:$B$3010,'ProjectsX (2)'!A10,srpro!$K$10:$K$3010,$A$6)&gt;0,SUMIFS(srpro!$H$10:$H$3010,srpro!$J$10:$J$3010,$U$6,srpro!$B$10:$B$3010,'ProjectsX (2)'!A10,srpro!$K$10:$K$3010,$A$6),"")</f>
        <v/>
      </c>
      <c r="U10" s="449" t="str">
        <f>IF( SUMIFS(srpro!$E$10:$E$3010,srpro!$J$10:$J$3010,$U$6,srpro!$B$10:$B$3010,'ProjectsX (2)'!A10,srpro!$K$10:$K$3010,$A$6)&gt;0,SUMIFS(srpro!$E$10:$E$3010,srpro!$J$10:$J$3010,$U$6,srpro!$B$10:$B$3010,'ProjectsX (2)'!A10,srpro!$K$10:$K$3010,$A$6),"")</f>
        <v/>
      </c>
      <c r="V10" s="450"/>
      <c r="W10" s="619" t="str">
        <f>IF( SUMIFS(srpro!$H$10:$H$3010,srpro!$J$10:$J$3010,$X$6,srpro!$B$10:$B$3010,'ProjectsX (2)'!A10,srpro!$K$10:$K$3010,$A$6)&gt;0,SUMIFS(srpro!$H$10:$H$3010,srpro!$J$10:$J$3010,$X$6,srpro!$B$10:$B$3010,'ProjectsX (2)'!A10,srpro!$K$10:$K$3010,$A$6),"")</f>
        <v/>
      </c>
      <c r="X10" s="449" t="str">
        <f>IF( SUMIFS(srpro!$E$10:$E$3010,srpro!$J$10:$J$3010,$X$6,srpro!$B$10:$B$3010,'ProjectsX (2)'!A10,srpro!$K$10:$K$3010,$A$6)&gt;0,SUMIFS(srpro!$E$10:$E$3010,srpro!$J$10:$J$3010,$X$6,srpro!$B$10:$B$3010,'ProjectsX (2)'!A10,srpro!$K$10:$K$3010,$A$6),"")</f>
        <v/>
      </c>
      <c r="Y10" s="450"/>
      <c r="Z10" s="619" t="str">
        <f>IF( SUMIFS(srpro!$H$10:$H$3010,srpro!$J$10:$J$3010,$AA$6,srpro!$B$10:$B$3010,'ProjectsX (2)'!A10,srpro!$K$10:$K$3010,$A$6)&gt;0,SUMIFS(srpro!$H$10:$H$3010,srpro!$J$10:$J$3010,$AA$6,srpro!$B$10:$B$3010,'ProjectsX (2)'!A10,srpro!$K$10:$K$3010,$A$6),"")</f>
        <v/>
      </c>
      <c r="AA10" s="449" t="str">
        <f>IF( SUMIFS(srpro!$E$10:$E$3010,srpro!$J$10:$J$3010,$AA$6,srpro!$B$10:$B$3010,'ProjectsX (2)'!A10,srpro!$K$10:$K$3010,$A$6)&gt;0,SUMIFS(srpro!$E$10:$E$3010,srpro!$J$10:$J$3010,$AA$6,srpro!$B$10:$B$3010,'ProjectsX (2)'!A10,srpro!$K$10:$K$3010,$A$6),"")</f>
        <v/>
      </c>
      <c r="AB10" s="450"/>
      <c r="AC10" s="619" t="str">
        <f>IF( SUMIFS(srpro!$H$10:$H$3010,srpro!$J$10:$J$3010,$AD$6,srpro!$B$10:$B$3010,'ProjectsX (2)'!A10,srpro!$K$10:$K$3010,$A$6)&gt;0,SUMIFS(srpro!$H$10:$H$3010,srpro!$J$10:$J$3010,$AD$6,srpro!$B$10:$B$3010,'ProjectsX (2)'!A10,srpro!$K$10:$K$3010,$A$6),"")</f>
        <v/>
      </c>
      <c r="AD10" s="449" t="str">
        <f>IF( SUMIFS(srpro!$E$10:$E$3010,srpro!$J$10:$J$3010,$AD$6,srpro!$B$10:$B$3010,'ProjectsX (2)'!A10,srpro!$K$10:$K$3010,$A$6)&gt;0,SUMIFS(srpro!$E$10:$E$3010,srpro!$J$10:$J$3010,$AD$6,srpro!$B$10:$B$3010,'ProjectsX (2)'!A10,srpro!$K$10:$K$3010,$A$6),"")</f>
        <v/>
      </c>
      <c r="AE10" s="450"/>
      <c r="AF10" s="454" t="str">
        <f>IF( SUMIFS(srpro!$H$10:$H$3010,srpro!$J$10:$J$3010,$AG$6,srpro!$B$10:$B$3010,'ProjectsX (2)'!A10,srpro!$K$10:$K$3010,$A$6)&gt;0,SUMIFS(srpro!$H$10:$H$3010,srpro!$J$10:$J$3010,$AG$6,srpro!$B$10:$B$3010,'ProjectsX (2)'!A10,srpro!$K$10:$K$3010,$A$6),"")</f>
        <v/>
      </c>
      <c r="AG10" s="449" t="str">
        <f>IF( SUMIFS(srpro!$E$10:$E$3010,srpro!$J$10:$J$3010,$AG$6,srpro!$B$10:$B$3010,'ProjectsX (2)'!A10,srpro!$K$10:$K$3010,$A$6)&gt;0,SUMIFS(srpro!$E$10:$E$3010,srpro!$J$10:$J$3010,$AG$6,srpro!$B$10:$B$3010,'ProjectsX (2)'!A10,srpro!$K$10:$K$3010,$A$6),"")</f>
        <v/>
      </c>
      <c r="AH10" s="450"/>
      <c r="AI10" s="454" t="str">
        <f>IF( SUMIFS(srpro!$H$10:$H$3010,srpro!$J$10:$J$3010,$R$6,srpro!$B$10:$B$3010,'ProjectsX (2)'!Z10)&gt;0,SUMIFS(srpro!$H$10:$H$3010,srpro!$J$10:$J$3010,$R$6,srpro!$B$10:$B$3010,'ProjectsX (2)'!Z10),"")</f>
        <v/>
      </c>
      <c r="AJ10" s="449" t="str">
        <f>IF( SUMIFS(srpro!$E$10:$E$3010,srpro!$J$10:$J$3010,$R$6,srpro!$B$10:$B$3010,'ProjectsX (2)'!Z10)&gt;0,SUMIFS(srpro!$H$10:$H$3010,srpro!$J$10:$J$3010,$R$6,srpro!$B$10:$B$3010,'ProjectsX (2)'!Z10),"")</f>
        <v/>
      </c>
      <c r="AK10" s="450"/>
      <c r="AL10" s="615">
        <f>SUM(Q10:AK10)</f>
        <v>0</v>
      </c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5"/>
      <c r="BC10" s="425"/>
      <c r="BD10" s="425"/>
      <c r="BE10" s="425"/>
    </row>
    <row r="11" spans="1:57" s="74" customFormat="1" ht="19.5" customHeight="1">
      <c r="A11" s="616">
        <v>182</v>
      </c>
      <c r="B11" s="618" t="s">
        <v>279</v>
      </c>
      <c r="C11" s="458">
        <f>(ProHeader!L10+ProHeader!M10)</f>
        <v>215000</v>
      </c>
      <c r="D11" s="458">
        <f t="shared" ref="D11:D35" si="5">C11-E11</f>
        <v>193553.75</v>
      </c>
      <c r="E11" s="459">
        <f>SUMIFS(srpro!$H$10:$H$3010,srpro!$B$10:$B$3010,'ProjectsX (2)'!A11)-(SUMIFS(srpro!$H$10:$H$3010,srpro!$B$10:$B$3010,'ProjectsX (2)'!A11)*5%)</f>
        <v>21446.25</v>
      </c>
      <c r="F11" s="460">
        <f>SUMIFS(srpro!$E$10:$E$3010,srpro!$B$10:$B$3010,'ProjectsX (2)'!A11)</f>
        <v>500</v>
      </c>
      <c r="G11" s="478">
        <f t="shared" si="3"/>
        <v>9.9750000000000005E-2</v>
      </c>
      <c r="H11" s="479">
        <f t="shared" si="4"/>
        <v>2.2093023255813954E-3</v>
      </c>
      <c r="I11" s="535"/>
      <c r="J11" s="606">
        <f t="shared" ref="J11:J74" si="6">(C11-(C11*5%))-(F11-F11*5%)-I11</f>
        <v>203775</v>
      </c>
      <c r="K11" s="617">
        <f t="shared" ref="K11:K74" si="7">IFERROR(J11/(C11-(C11*5%)),0)</f>
        <v>0.99767441860465111</v>
      </c>
      <c r="L11" s="526">
        <f>ProHeader!AN10</f>
        <v>0</v>
      </c>
      <c r="M11" s="525" t="str">
        <f>TEXT(  ProHeader!AJ10,"dd-mm-yy")</f>
        <v>-</v>
      </c>
      <c r="N11" s="525" t="str">
        <f>IFERROR(ProHeader!AK10 + ProHeader!AL10,"-")</f>
        <v>-</v>
      </c>
      <c r="O11" s="525" t="str">
        <f>IFERROR(ProHeader!AM10,"0")</f>
        <v>-</v>
      </c>
      <c r="P11" s="525" t="str">
        <f t="shared" ref="P11:P74" si="8">IFERROR(N11-O11,"-")</f>
        <v>-</v>
      </c>
      <c r="Q11" s="619" t="str">
        <f>IF( SUMIFS(srpro!$H$10:$H$3010,srpro!$J$10:$J$3010,$R$6,srpro!$B$10:$B$3010,'ProjectsX (2)'!A11,srpro!$K$10:$K$3010,$A$6)&gt;0,SUMIFS(srpro!$H$10:$H$3010,srpro!$J$10:$J$3010,$R$6,srpro!$B$10:$B$3010,'ProjectsX (2)'!A11,srpro!$K$10:$K$3010,$A$6),"")</f>
        <v/>
      </c>
      <c r="R11" s="449" t="str">
        <f>IF( SUMIFS(srpro!$E$10:$E$3010,srpro!$J$10:$J$3010,$R$6,srpro!$B$10:$B$3010,'ProjectsX (2)'!A11,srpro!$K$10:$K$3010,$A$6)&gt;0,SUMIFS(srpro!$E$10:$E$3010,srpro!$J$10:$J$3010,$R$6,srpro!$B$10:$B$3010,'ProjectsX (2)'!A11,srpro!$K$10:$K$3010,$A$6),"")</f>
        <v/>
      </c>
      <c r="S11" s="450"/>
      <c r="T11" s="619" t="str">
        <f>IF( SUMIFS(srpro!$H$10:$H$3010,srpro!$J$10:$J$3010,$U$6,srpro!$B$10:$B$3010,'ProjectsX (2)'!A11,srpro!$K$10:$K$3010,$A$6)&gt;0,SUMIFS(srpro!$H$10:$H$3010,srpro!$J$10:$J$3010,$U$6,srpro!$B$10:$B$3010,'ProjectsX (2)'!A11,srpro!$K$10:$K$3010,$A$6),"")</f>
        <v/>
      </c>
      <c r="U11" s="449" t="str">
        <f>IF( SUMIFS(srpro!$E$10:$E$3010,srpro!$J$10:$J$3010,$U$6,srpro!$B$10:$B$3010,'ProjectsX (2)'!A11,srpro!$K$10:$K$3010,$A$6)&gt;0,SUMIFS(srpro!$E$10:$E$3010,srpro!$J$10:$J$3010,$U$6,srpro!$B$10:$B$3010,'ProjectsX (2)'!A11,srpro!$K$10:$K$3010,$A$6),"")</f>
        <v/>
      </c>
      <c r="V11" s="450"/>
      <c r="W11" s="619" t="str">
        <f>IF( SUMIFS(srpro!$H$10:$H$3010,srpro!$J$10:$J$3010,$X$6,srpro!$B$10:$B$3010,'ProjectsX (2)'!A11,srpro!$K$10:$K$3010,$A$6)&gt;0,SUMIFS(srpro!$H$10:$H$3010,srpro!$J$10:$J$3010,$X$6,srpro!$B$10:$B$3010,'ProjectsX (2)'!A11,srpro!$K$10:$K$3010,$A$6),"")</f>
        <v/>
      </c>
      <c r="X11" s="449" t="str">
        <f>IF( SUMIFS(srpro!$E$10:$E$3010,srpro!$J$10:$J$3010,$X$6,srpro!$B$10:$B$3010,'ProjectsX (2)'!A11,srpro!$K$10:$K$3010,$A$6)&gt;0,SUMIFS(srpro!$E$10:$E$3010,srpro!$J$10:$J$3010,$X$6,srpro!$B$10:$B$3010,'ProjectsX (2)'!A11,srpro!$K$10:$K$3010,$A$6),"")</f>
        <v/>
      </c>
      <c r="Y11" s="450"/>
      <c r="Z11" s="619" t="str">
        <f>IF( SUMIFS(srpro!$H$10:$H$3010,srpro!$J$10:$J$3010,$AA$6,srpro!$B$10:$B$3010,'ProjectsX (2)'!A11,srpro!$K$10:$K$3010,$A$6)&gt;0,SUMIFS(srpro!$H$10:$H$3010,srpro!$J$10:$J$3010,$AA$6,srpro!$B$10:$B$3010,'ProjectsX (2)'!A11,srpro!$K$10:$K$3010,$A$6),"")</f>
        <v/>
      </c>
      <c r="AA11" s="449" t="str">
        <f>IF( SUMIFS(srpro!$E$10:$E$3010,srpro!$J$10:$J$3010,$AA$6,srpro!$B$10:$B$3010,'ProjectsX (2)'!A11,srpro!$K$10:$K$3010,$A$6)&gt;0,SUMIFS(srpro!$E$10:$E$3010,srpro!$J$10:$J$3010,$AA$6,srpro!$B$10:$B$3010,'ProjectsX (2)'!A11,srpro!$K$10:$K$3010,$A$6),"")</f>
        <v/>
      </c>
      <c r="AB11" s="450"/>
      <c r="AC11" s="619" t="str">
        <f>IF( SUMIFS(srpro!$H$10:$H$3010,srpro!$J$10:$J$3010,$AD$6,srpro!$B$10:$B$3010,'ProjectsX (2)'!A11,srpro!$K$10:$K$3010,$A$6)&gt;0,SUMIFS(srpro!$H$10:$H$3010,srpro!$J$10:$J$3010,$AD$6,srpro!$B$10:$B$3010,'ProjectsX (2)'!A11,srpro!$K$10:$K$3010,$A$6),"")</f>
        <v/>
      </c>
      <c r="AD11" s="449" t="str">
        <f>IF( SUMIFS(srpro!$E$10:$E$3010,srpro!$J$10:$J$3010,$AD$6,srpro!$B$10:$B$3010,'ProjectsX (2)'!A11,srpro!$K$10:$K$3010,$A$6)&gt;0,SUMIFS(srpro!$E$10:$E$3010,srpro!$J$10:$J$3010,$AD$6,srpro!$B$10:$B$3010,'ProjectsX (2)'!A11,srpro!$K$10:$K$3010,$A$6),"")</f>
        <v/>
      </c>
      <c r="AE11" s="450"/>
      <c r="AF11" s="454" t="str">
        <f>IF( SUMIFS(srpro!$H$10:$H$3010,srpro!$J$10:$J$3010,$AG$6,srpro!$B$10:$B$3010,'ProjectsX (2)'!A11,srpro!$K$10:$K$3010,$A$6)&gt;0,SUMIFS(srpro!$H$10:$H$3010,srpro!$J$10:$J$3010,$AG$6,srpro!$B$10:$B$3010,'ProjectsX (2)'!A11,srpro!$K$10:$K$3010,$A$6),"")</f>
        <v/>
      </c>
      <c r="AG11" s="449" t="str">
        <f>IF( SUMIFS(srpro!$E$10:$E$3010,srpro!$J$10:$J$3010,$AG$6,srpro!$B$10:$B$3010,'ProjectsX (2)'!A11,srpro!$K$10:$K$3010,$A$6)&gt;0,SUMIFS(srpro!$E$10:$E$3010,srpro!$J$10:$J$3010,$AG$6,srpro!$B$10:$B$3010,'ProjectsX (2)'!A11,srpro!$K$10:$K$3010,$A$6),"")</f>
        <v/>
      </c>
      <c r="AH11" s="450"/>
      <c r="AI11" s="451"/>
      <c r="AJ11" s="451"/>
      <c r="AK11" s="450"/>
      <c r="AL11" s="615">
        <f t="shared" ref="AL11:AL74" si="9">SUM(Q11:AK11)</f>
        <v>0</v>
      </c>
      <c r="AM11" s="425"/>
      <c r="AN11" s="425"/>
      <c r="AO11" s="425"/>
      <c r="AP11" s="425"/>
      <c r="AQ11" s="425"/>
      <c r="AR11" s="425"/>
      <c r="AS11" s="425"/>
      <c r="AT11" s="425"/>
      <c r="AU11" s="425"/>
      <c r="AV11" s="425"/>
      <c r="AW11" s="425"/>
      <c r="AX11" s="425"/>
      <c r="AY11" s="425"/>
      <c r="AZ11" s="425"/>
      <c r="BA11" s="425"/>
      <c r="BB11" s="425"/>
      <c r="BC11" s="425"/>
      <c r="BD11" s="425"/>
      <c r="BE11" s="425"/>
    </row>
    <row r="12" spans="1:57" ht="19.5" customHeight="1">
      <c r="A12" s="616">
        <v>194</v>
      </c>
      <c r="B12" s="618" t="s">
        <v>314</v>
      </c>
      <c r="C12" s="458">
        <f>(ProHeader!L11+ProHeader!M11)</f>
        <v>111300</v>
      </c>
      <c r="D12" s="458">
        <f t="shared" si="5"/>
        <v>11075</v>
      </c>
      <c r="E12" s="459">
        <f>SUMIFS(srpro!$H$10:$H$3010,srpro!$B$10:$B$3010,'ProjectsX (2)'!A12)-(SUMIFS(srpro!$H$10:$H$3010,srpro!$B$10:$B$3010,'ProjectsX (2)'!A12)*5%)</f>
        <v>100225</v>
      </c>
      <c r="F12" s="460">
        <f>SUMIFS(srpro!$E$10:$E$3010,srpro!$B$10:$B$3010,'ProjectsX (2)'!A12)</f>
        <v>85163.99</v>
      </c>
      <c r="G12" s="478">
        <f t="shared" si="3"/>
        <v>0.90049415992812221</v>
      </c>
      <c r="H12" s="479">
        <f t="shared" si="4"/>
        <v>0.72691635669362087</v>
      </c>
      <c r="I12" s="535"/>
      <c r="J12" s="606">
        <f t="shared" si="6"/>
        <v>24829.209499999997</v>
      </c>
      <c r="K12" s="617">
        <f t="shared" si="7"/>
        <v>0.23482488769092541</v>
      </c>
      <c r="L12" s="526">
        <f>ProHeader!AN11</f>
        <v>0</v>
      </c>
      <c r="M12" s="525" t="str">
        <f>TEXT(  ProHeader!AJ11,"dd-mm-yy")</f>
        <v>-</v>
      </c>
      <c r="N12" s="525" t="str">
        <f>IFERROR(ProHeader!AK11 + ProHeader!AL11,"-")</f>
        <v>-</v>
      </c>
      <c r="O12" s="525" t="str">
        <f>IFERROR(ProHeader!AM11,"0")</f>
        <v>-</v>
      </c>
      <c r="P12" s="525" t="str">
        <f t="shared" si="8"/>
        <v>-</v>
      </c>
      <c r="Q12" s="619" t="str">
        <f>IF( SUMIFS(srpro!$H$10:$H$3010,srpro!$J$10:$J$3010,$R$6,srpro!$B$10:$B$3010,'ProjectsX (2)'!A12,srpro!$K$10:$K$3010,$A$6)&gt;0,SUMIFS(srpro!$H$10:$H$3010,srpro!$J$10:$J$3010,$R$6,srpro!$B$10:$B$3010,'ProjectsX (2)'!A12,srpro!$K$10:$K$3010,$A$6),"")</f>
        <v/>
      </c>
      <c r="R12" s="449" t="str">
        <f>IF( SUMIFS(srpro!$E$10:$E$3010,srpro!$J$10:$J$3010,$R$6,srpro!$B$10:$B$3010,'ProjectsX (2)'!A12,srpro!$K$10:$K$3010,$A$6)&gt;0,SUMIFS(srpro!$E$10:$E$3010,srpro!$J$10:$J$3010,$R$6,srpro!$B$10:$B$3010,'ProjectsX (2)'!A12,srpro!$K$10:$K$3010,$A$6),"")</f>
        <v/>
      </c>
      <c r="S12" s="450"/>
      <c r="T12" s="619" t="str">
        <f>IF( SUMIFS(srpro!$H$10:$H$3010,srpro!$J$10:$J$3010,$U$6,srpro!$B$10:$B$3010,'ProjectsX (2)'!A12,srpro!$K$10:$K$3010,$A$6)&gt;0,SUMIFS(srpro!$H$10:$H$3010,srpro!$J$10:$J$3010,$U$6,srpro!$B$10:$B$3010,'ProjectsX (2)'!A12,srpro!$K$10:$K$3010,$A$6),"")</f>
        <v/>
      </c>
      <c r="U12" s="449" t="str">
        <f>IF( SUMIFS(srpro!$E$10:$E$3010,srpro!$J$10:$J$3010,$U$6,srpro!$B$10:$B$3010,'ProjectsX (2)'!A12,srpro!$K$10:$K$3010,$A$6)&gt;0,SUMIFS(srpro!$E$10:$E$3010,srpro!$J$10:$J$3010,$U$6,srpro!$B$10:$B$3010,'ProjectsX (2)'!A12,srpro!$K$10:$K$3010,$A$6),"")</f>
        <v/>
      </c>
      <c r="V12" s="450"/>
      <c r="W12" s="619" t="str">
        <f>IF( SUMIFS(srpro!$H$10:$H$3010,srpro!$J$10:$J$3010,$X$6,srpro!$B$10:$B$3010,'ProjectsX (2)'!A12,srpro!$K$10:$K$3010,$A$6)&gt;0,SUMIFS(srpro!$H$10:$H$3010,srpro!$J$10:$J$3010,$X$6,srpro!$B$10:$B$3010,'ProjectsX (2)'!A12,srpro!$K$10:$K$3010,$A$6),"")</f>
        <v/>
      </c>
      <c r="X12" s="449" t="str">
        <f>IF( SUMIFS(srpro!$E$10:$E$3010,srpro!$J$10:$J$3010,$X$6,srpro!$B$10:$B$3010,'ProjectsX (2)'!A12,srpro!$K$10:$K$3010,$A$6)&gt;0,SUMIFS(srpro!$E$10:$E$3010,srpro!$J$10:$J$3010,$X$6,srpro!$B$10:$B$3010,'ProjectsX (2)'!A12,srpro!$K$10:$K$3010,$A$6),"")</f>
        <v/>
      </c>
      <c r="Y12" s="450"/>
      <c r="Z12" s="619" t="str">
        <f>IF( SUMIFS(srpro!$H$10:$H$3010,srpro!$J$10:$J$3010,$AA$6,srpro!$B$10:$B$3010,'ProjectsX (2)'!A12,srpro!$K$10:$K$3010,$A$6)&gt;0,SUMIFS(srpro!$H$10:$H$3010,srpro!$J$10:$J$3010,$AA$6,srpro!$B$10:$B$3010,'ProjectsX (2)'!A12,srpro!$K$10:$K$3010,$A$6),"")</f>
        <v/>
      </c>
      <c r="AA12" s="449" t="str">
        <f>IF( SUMIFS(srpro!$E$10:$E$3010,srpro!$J$10:$J$3010,$AA$6,srpro!$B$10:$B$3010,'ProjectsX (2)'!A12,srpro!$K$10:$K$3010,$A$6)&gt;0,SUMIFS(srpro!$E$10:$E$3010,srpro!$J$10:$J$3010,$AA$6,srpro!$B$10:$B$3010,'ProjectsX (2)'!A12,srpro!$K$10:$K$3010,$A$6),"")</f>
        <v/>
      </c>
      <c r="AB12" s="450"/>
      <c r="AC12" s="619" t="str">
        <f>IF( SUMIFS(srpro!$H$10:$H$3010,srpro!$J$10:$J$3010,$AD$6,srpro!$B$10:$B$3010,'ProjectsX (2)'!A12,srpro!$K$10:$K$3010,$A$6)&gt;0,SUMIFS(srpro!$H$10:$H$3010,srpro!$J$10:$J$3010,$AD$6,srpro!$B$10:$B$3010,'ProjectsX (2)'!A12,srpro!$K$10:$K$3010,$A$6),"")</f>
        <v/>
      </c>
      <c r="AD12" s="449" t="str">
        <f>IF( SUMIFS(srpro!$E$10:$E$3010,srpro!$J$10:$J$3010,$AD$6,srpro!$B$10:$B$3010,'ProjectsX (2)'!A12,srpro!$K$10:$K$3010,$A$6)&gt;0,SUMIFS(srpro!$E$10:$E$3010,srpro!$J$10:$J$3010,$AD$6,srpro!$B$10:$B$3010,'ProjectsX (2)'!A12,srpro!$K$10:$K$3010,$A$6),"")</f>
        <v/>
      </c>
      <c r="AE12" s="450"/>
      <c r="AF12" s="454" t="str">
        <f>IF( SUMIFS(srpro!$H$10:$H$3010,srpro!$J$10:$J$3010,$AG$6,srpro!$B$10:$B$3010,'ProjectsX (2)'!A12,srpro!$K$10:$K$3010,$A$6)&gt;0,SUMIFS(srpro!$H$10:$H$3010,srpro!$J$10:$J$3010,$AG$6,srpro!$B$10:$B$3010,'ProjectsX (2)'!A12,srpro!$K$10:$K$3010,$A$6),"")</f>
        <v/>
      </c>
      <c r="AG12" s="449" t="str">
        <f>IF( SUMIFS(srpro!$E$10:$E$3010,srpro!$J$10:$J$3010,$AG$6,srpro!$B$10:$B$3010,'ProjectsX (2)'!A12,srpro!$K$10:$K$3010,$A$6)&gt;0,SUMIFS(srpro!$E$10:$E$3010,srpro!$J$10:$J$3010,$AG$6,srpro!$B$10:$B$3010,'ProjectsX (2)'!A12,srpro!$K$10:$K$3010,$A$6),"")</f>
        <v/>
      </c>
      <c r="AH12" s="450"/>
      <c r="AI12" s="451"/>
      <c r="AJ12" s="451"/>
      <c r="AK12" s="450"/>
      <c r="AL12" s="615">
        <f t="shared" si="9"/>
        <v>0</v>
      </c>
      <c r="AM12" s="425"/>
      <c r="AN12" s="425"/>
      <c r="AO12" s="425"/>
      <c r="AP12" s="425"/>
      <c r="AQ12" s="425"/>
      <c r="AR12" s="425"/>
      <c r="AS12" s="425"/>
      <c r="AT12" s="425"/>
      <c r="AU12" s="425"/>
      <c r="AV12" s="425"/>
      <c r="AW12" s="425"/>
      <c r="AX12" s="425"/>
      <c r="AY12" s="425"/>
      <c r="AZ12" s="425"/>
      <c r="BA12" s="425"/>
      <c r="BB12" s="425"/>
      <c r="BC12" s="425"/>
      <c r="BD12" s="425"/>
      <c r="BE12" s="425"/>
    </row>
    <row r="13" spans="1:57" s="74" customFormat="1" ht="19.5" customHeight="1">
      <c r="A13" s="616">
        <v>197</v>
      </c>
      <c r="B13" s="618" t="s">
        <v>151</v>
      </c>
      <c r="C13" s="458">
        <f>(ProHeader!L12+ProHeader!M12)</f>
        <v>195000</v>
      </c>
      <c r="D13" s="458">
        <f t="shared" si="5"/>
        <v>32312.5</v>
      </c>
      <c r="E13" s="459">
        <f>SUMIFS(srpro!$H$10:$H$3010,srpro!$B$10:$B$3010,'ProjectsX (2)'!A13)-(SUMIFS(srpro!$H$10:$H$3010,srpro!$B$10:$B$3010,'ProjectsX (2)'!A13)*5%)</f>
        <v>162687.5</v>
      </c>
      <c r="F13" s="460">
        <f>SUMIFS(srpro!$E$10:$E$3010,srpro!$B$10:$B$3010,'ProjectsX (2)'!A13)</f>
        <v>125656.24</v>
      </c>
      <c r="G13" s="478">
        <f t="shared" si="3"/>
        <v>0.83429487179487183</v>
      </c>
      <c r="H13" s="479">
        <f t="shared" si="4"/>
        <v>0.61217142564102567</v>
      </c>
      <c r="I13" s="535"/>
      <c r="J13" s="606">
        <f t="shared" si="6"/>
        <v>65876.572</v>
      </c>
      <c r="K13" s="617">
        <f t="shared" si="7"/>
        <v>0.35560902564102564</v>
      </c>
      <c r="L13" s="526">
        <f>ProHeader!AN12</f>
        <v>1</v>
      </c>
      <c r="M13" s="525" t="str">
        <f>TEXT(  ProHeader!AJ12,"dd-mm-yy")</f>
        <v>-</v>
      </c>
      <c r="N13" s="525">
        <f>IFERROR(ProHeader!AK12 + ProHeader!AL12,"-")</f>
        <v>30804.94</v>
      </c>
      <c r="O13" s="525">
        <f>IFERROR(ProHeader!AM12,"0")</f>
        <v>20000</v>
      </c>
      <c r="P13" s="525">
        <f t="shared" si="8"/>
        <v>10804.939999999999</v>
      </c>
      <c r="Q13" s="619">
        <f>IF( SUMIFS(srpro!$H$10:$H$3010,srpro!$J$10:$J$3010,$R$6,srpro!$B$10:$B$3010,'ProjectsX (2)'!A13,srpro!$K$10:$K$3010,$A$6)&gt;0,SUMIFS(srpro!$H$10:$H$3010,srpro!$J$10:$J$3010,$R$6,srpro!$B$10:$B$3010,'ProjectsX (2)'!A13,srpro!$K$10:$K$3010,$A$6),"")</f>
        <v>20000</v>
      </c>
      <c r="R13" s="449">
        <f>IF( SUMIFS(srpro!$E$10:$E$3010,srpro!$J$10:$J$3010,$R$6,srpro!$B$10:$B$3010,'ProjectsX (2)'!A13,srpro!$K$10:$K$3010,$A$6)&gt;0,SUMIFS(srpro!$E$10:$E$3010,srpro!$J$10:$J$3010,$R$6,srpro!$B$10:$B$3010,'ProjectsX (2)'!A13,srpro!$K$10:$K$3010,$A$6),"")</f>
        <v>5517.74</v>
      </c>
      <c r="S13" s="450"/>
      <c r="T13" s="619" t="str">
        <f>IF( SUMIFS(srpro!$H$10:$H$3010,srpro!$J$10:$J$3010,$U$6,srpro!$B$10:$B$3010,'ProjectsX (2)'!A13,srpro!$K$10:$K$3010,$A$6)&gt;0,SUMIFS(srpro!$H$10:$H$3010,srpro!$J$10:$J$3010,$U$6,srpro!$B$10:$B$3010,'ProjectsX (2)'!A13,srpro!$K$10:$K$3010,$A$6),"")</f>
        <v/>
      </c>
      <c r="U13" s="449">
        <f>IF( SUMIFS(srpro!$E$10:$E$3010,srpro!$J$10:$J$3010,$U$6,srpro!$B$10:$B$3010,'ProjectsX (2)'!A13,srpro!$K$10:$K$3010,$A$6)&gt;0,SUMIFS(srpro!$E$10:$E$3010,srpro!$J$10:$J$3010,$U$6,srpro!$B$10:$B$3010,'ProjectsX (2)'!A13,srpro!$K$10:$K$3010,$A$6),"")</f>
        <v>11698.099999999999</v>
      </c>
      <c r="V13" s="450"/>
      <c r="W13" s="619" t="str">
        <f>IF( SUMIFS(srpro!$H$10:$H$3010,srpro!$J$10:$J$3010,$X$6,srpro!$B$10:$B$3010,'ProjectsX (2)'!A13,srpro!$K$10:$K$3010,$A$6)&gt;0,SUMIFS(srpro!$H$10:$H$3010,srpro!$J$10:$J$3010,$X$6,srpro!$B$10:$B$3010,'ProjectsX (2)'!A13,srpro!$K$10:$K$3010,$A$6),"")</f>
        <v/>
      </c>
      <c r="X13" s="449" t="str">
        <f>IF( SUMIFS(srpro!$E$10:$E$3010,srpro!$J$10:$J$3010,$X$6,srpro!$B$10:$B$3010,'ProjectsX (2)'!A13,srpro!$K$10:$K$3010,$A$6)&gt;0,SUMIFS(srpro!$E$10:$E$3010,srpro!$J$10:$J$3010,$X$6,srpro!$B$10:$B$3010,'ProjectsX (2)'!A13,srpro!$K$10:$K$3010,$A$6),"")</f>
        <v/>
      </c>
      <c r="Y13" s="450"/>
      <c r="Z13" s="619" t="str">
        <f>IF( SUMIFS(srpro!$H$10:$H$3010,srpro!$J$10:$J$3010,$AA$6,srpro!$B$10:$B$3010,'ProjectsX (2)'!A13,srpro!$K$10:$K$3010,$A$6)&gt;0,SUMIFS(srpro!$H$10:$H$3010,srpro!$J$10:$J$3010,$AA$6,srpro!$B$10:$B$3010,'ProjectsX (2)'!A13,srpro!$K$10:$K$3010,$A$6),"")</f>
        <v/>
      </c>
      <c r="AA13" s="449" t="str">
        <f>IF( SUMIFS(srpro!$E$10:$E$3010,srpro!$J$10:$J$3010,$AA$6,srpro!$B$10:$B$3010,'ProjectsX (2)'!A13,srpro!$K$10:$K$3010,$A$6)&gt;0,SUMIFS(srpro!$E$10:$E$3010,srpro!$J$10:$J$3010,$AA$6,srpro!$B$10:$B$3010,'ProjectsX (2)'!A13,srpro!$K$10:$K$3010,$A$6),"")</f>
        <v/>
      </c>
      <c r="AB13" s="450"/>
      <c r="AC13" s="619" t="str">
        <f>IF( SUMIFS(srpro!$H$10:$H$3010,srpro!$J$10:$J$3010,$AD$6,srpro!$B$10:$B$3010,'ProjectsX (2)'!A13,srpro!$K$10:$K$3010,$A$6)&gt;0,SUMIFS(srpro!$H$10:$H$3010,srpro!$J$10:$J$3010,$AD$6,srpro!$B$10:$B$3010,'ProjectsX (2)'!A13,srpro!$K$10:$K$3010,$A$6),"")</f>
        <v/>
      </c>
      <c r="AD13" s="449" t="str">
        <f>IF( SUMIFS(srpro!$E$10:$E$3010,srpro!$J$10:$J$3010,$AD$6,srpro!$B$10:$B$3010,'ProjectsX (2)'!A13,srpro!$K$10:$K$3010,$A$6)&gt;0,SUMIFS(srpro!$E$10:$E$3010,srpro!$J$10:$J$3010,$AD$6,srpro!$B$10:$B$3010,'ProjectsX (2)'!A13,srpro!$K$10:$K$3010,$A$6),"")</f>
        <v/>
      </c>
      <c r="AE13" s="450"/>
      <c r="AF13" s="454" t="str">
        <f>IF( SUMIFS(srpro!$H$10:$H$3010,srpro!$J$10:$J$3010,$AG$6,srpro!$B$10:$B$3010,'ProjectsX (2)'!A13,srpro!$K$10:$K$3010,$A$6)&gt;0,SUMIFS(srpro!$H$10:$H$3010,srpro!$J$10:$J$3010,$AG$6,srpro!$B$10:$B$3010,'ProjectsX (2)'!A13,srpro!$K$10:$K$3010,$A$6),"")</f>
        <v/>
      </c>
      <c r="AG13" s="449" t="str">
        <f>IF( SUMIFS(srpro!$E$10:$E$3010,srpro!$J$10:$J$3010,$AG$6,srpro!$B$10:$B$3010,'ProjectsX (2)'!A13,srpro!$K$10:$K$3010,$A$6)&gt;0,SUMIFS(srpro!$E$10:$E$3010,srpro!$J$10:$J$3010,$AG$6,srpro!$B$10:$B$3010,'ProjectsX (2)'!A13,srpro!$K$10:$K$3010,$A$6),"")</f>
        <v/>
      </c>
      <c r="AH13" s="450"/>
      <c r="AI13" s="451"/>
      <c r="AJ13" s="451"/>
      <c r="AK13" s="450"/>
      <c r="AL13" s="615">
        <f t="shared" si="9"/>
        <v>37215.839999999997</v>
      </c>
      <c r="AM13" s="425"/>
      <c r="AN13" s="425"/>
      <c r="AO13" s="425"/>
      <c r="AP13" s="425"/>
      <c r="AQ13" s="425"/>
      <c r="AR13" s="425"/>
      <c r="AS13" s="425"/>
      <c r="AT13" s="425"/>
      <c r="AU13" s="425"/>
      <c r="AV13" s="425"/>
      <c r="AW13" s="425"/>
      <c r="AX13" s="425"/>
      <c r="AY13" s="425"/>
      <c r="AZ13" s="425"/>
      <c r="BA13" s="425"/>
      <c r="BB13" s="425"/>
      <c r="BC13" s="425"/>
      <c r="BD13" s="425"/>
      <c r="BE13" s="425"/>
    </row>
    <row r="14" spans="1:57" ht="19.5" customHeight="1">
      <c r="A14" s="616">
        <v>200</v>
      </c>
      <c r="B14" s="618" t="s">
        <v>313</v>
      </c>
      <c r="C14" s="458">
        <f>(ProHeader!L13+ProHeader!M13)</f>
        <v>30000</v>
      </c>
      <c r="D14" s="458">
        <f t="shared" si="5"/>
        <v>25250</v>
      </c>
      <c r="E14" s="459">
        <f>SUMIFS(srpro!$H$10:$H$3010,srpro!$B$10:$B$3010,'ProjectsX (2)'!A14)-(SUMIFS(srpro!$H$10:$H$3010,srpro!$B$10:$B$3010,'ProjectsX (2)'!A14)*5%)</f>
        <v>4750</v>
      </c>
      <c r="F14" s="460">
        <f>SUMIFS(srpro!$E$10:$E$3010,srpro!$B$10:$B$3010,'ProjectsX (2)'!A14)</f>
        <v>846</v>
      </c>
      <c r="G14" s="478">
        <f t="shared" si="3"/>
        <v>0.15833333333333333</v>
      </c>
      <c r="H14" s="479">
        <f t="shared" si="4"/>
        <v>2.6790000000000001E-2</v>
      </c>
      <c r="I14" s="535"/>
      <c r="J14" s="606">
        <f t="shared" si="6"/>
        <v>27696.3</v>
      </c>
      <c r="K14" s="617">
        <f t="shared" si="7"/>
        <v>0.9718</v>
      </c>
      <c r="L14" s="526">
        <f>ProHeader!AN13</f>
        <v>0</v>
      </c>
      <c r="M14" s="525" t="str">
        <f>TEXT(  ProHeader!AJ13,"dd-mm-yy")</f>
        <v>-</v>
      </c>
      <c r="N14" s="525" t="str">
        <f>IFERROR(ProHeader!AK13 + ProHeader!AL13,"-")</f>
        <v>-</v>
      </c>
      <c r="O14" s="525" t="str">
        <f>IFERROR(ProHeader!AM13,"0")</f>
        <v>-</v>
      </c>
      <c r="P14" s="525" t="str">
        <f t="shared" si="8"/>
        <v>-</v>
      </c>
      <c r="Q14" s="619" t="str">
        <f>IF( SUMIFS(srpro!$H$10:$H$3010,srpro!$J$10:$J$3010,$R$6,srpro!$B$10:$B$3010,'ProjectsX (2)'!A14,srpro!$K$10:$K$3010,$A$6)&gt;0,SUMIFS(srpro!$H$10:$H$3010,srpro!$J$10:$J$3010,$R$6,srpro!$B$10:$B$3010,'ProjectsX (2)'!A14,srpro!$K$10:$K$3010,$A$6),"")</f>
        <v/>
      </c>
      <c r="R14" s="449" t="str">
        <f>IF( SUMIFS(srpro!$E$10:$E$3010,srpro!$J$10:$J$3010,$R$6,srpro!$B$10:$B$3010,'ProjectsX (2)'!A14,srpro!$K$10:$K$3010,$A$6)&gt;0,SUMIFS(srpro!$E$10:$E$3010,srpro!$J$10:$J$3010,$R$6,srpro!$B$10:$B$3010,'ProjectsX (2)'!A14,srpro!$K$10:$K$3010,$A$6),"")</f>
        <v/>
      </c>
      <c r="S14" s="450"/>
      <c r="T14" s="619" t="str">
        <f>IF( SUMIFS(srpro!$H$10:$H$3010,srpro!$J$10:$J$3010,$U$6,srpro!$B$10:$B$3010,'ProjectsX (2)'!A14,srpro!$K$10:$K$3010,$A$6)&gt;0,SUMIFS(srpro!$H$10:$H$3010,srpro!$J$10:$J$3010,$U$6,srpro!$B$10:$B$3010,'ProjectsX (2)'!A14,srpro!$K$10:$K$3010,$A$6),"")</f>
        <v/>
      </c>
      <c r="U14" s="449" t="str">
        <f>IF( SUMIFS(srpro!$E$10:$E$3010,srpro!$J$10:$J$3010,$U$6,srpro!$B$10:$B$3010,'ProjectsX (2)'!A14,srpro!$K$10:$K$3010,$A$6)&gt;0,SUMIFS(srpro!$E$10:$E$3010,srpro!$J$10:$J$3010,$U$6,srpro!$B$10:$B$3010,'ProjectsX (2)'!A14,srpro!$K$10:$K$3010,$A$6),"")</f>
        <v/>
      </c>
      <c r="V14" s="450"/>
      <c r="W14" s="619" t="str">
        <f>IF( SUMIFS(srpro!$H$10:$H$3010,srpro!$J$10:$J$3010,$X$6,srpro!$B$10:$B$3010,'ProjectsX (2)'!A14,srpro!$K$10:$K$3010,$A$6)&gt;0,SUMIFS(srpro!$H$10:$H$3010,srpro!$J$10:$J$3010,$X$6,srpro!$B$10:$B$3010,'ProjectsX (2)'!A14,srpro!$K$10:$K$3010,$A$6),"")</f>
        <v/>
      </c>
      <c r="X14" s="449" t="str">
        <f>IF( SUMIFS(srpro!$E$10:$E$3010,srpro!$J$10:$J$3010,$X$6,srpro!$B$10:$B$3010,'ProjectsX (2)'!A14,srpro!$K$10:$K$3010,$A$6)&gt;0,SUMIFS(srpro!$E$10:$E$3010,srpro!$J$10:$J$3010,$X$6,srpro!$B$10:$B$3010,'ProjectsX (2)'!A14,srpro!$K$10:$K$3010,$A$6),"")</f>
        <v/>
      </c>
      <c r="Y14" s="450"/>
      <c r="Z14" s="619" t="str">
        <f>IF( SUMIFS(srpro!$H$10:$H$3010,srpro!$J$10:$J$3010,$AA$6,srpro!$B$10:$B$3010,'ProjectsX (2)'!A14,srpro!$K$10:$K$3010,$A$6)&gt;0,SUMIFS(srpro!$H$10:$H$3010,srpro!$J$10:$J$3010,$AA$6,srpro!$B$10:$B$3010,'ProjectsX (2)'!A14,srpro!$K$10:$K$3010,$A$6),"")</f>
        <v/>
      </c>
      <c r="AA14" s="449" t="str">
        <f>IF( SUMIFS(srpro!$E$10:$E$3010,srpro!$J$10:$J$3010,$AA$6,srpro!$B$10:$B$3010,'ProjectsX (2)'!A14,srpro!$K$10:$K$3010,$A$6)&gt;0,SUMIFS(srpro!$E$10:$E$3010,srpro!$J$10:$J$3010,$AA$6,srpro!$B$10:$B$3010,'ProjectsX (2)'!A14,srpro!$K$10:$K$3010,$A$6),"")</f>
        <v/>
      </c>
      <c r="AB14" s="450"/>
      <c r="AC14" s="619" t="str">
        <f>IF( SUMIFS(srpro!$H$10:$H$3010,srpro!$J$10:$J$3010,$AD$6,srpro!$B$10:$B$3010,'ProjectsX (2)'!A14,srpro!$K$10:$K$3010,$A$6)&gt;0,SUMIFS(srpro!$H$10:$H$3010,srpro!$J$10:$J$3010,$AD$6,srpro!$B$10:$B$3010,'ProjectsX (2)'!A14,srpro!$K$10:$K$3010,$A$6),"")</f>
        <v/>
      </c>
      <c r="AD14" s="449" t="str">
        <f>IF( SUMIFS(srpro!$E$10:$E$3010,srpro!$J$10:$J$3010,$AD$6,srpro!$B$10:$B$3010,'ProjectsX (2)'!A14,srpro!$K$10:$K$3010,$A$6)&gt;0,SUMIFS(srpro!$E$10:$E$3010,srpro!$J$10:$J$3010,$AD$6,srpro!$B$10:$B$3010,'ProjectsX (2)'!A14,srpro!$K$10:$K$3010,$A$6),"")</f>
        <v/>
      </c>
      <c r="AE14" s="450"/>
      <c r="AF14" s="454" t="str">
        <f>IF( SUMIFS(srpro!$H$10:$H$3010,srpro!$J$10:$J$3010,$AG$6,srpro!$B$10:$B$3010,'ProjectsX (2)'!A14,srpro!$K$10:$K$3010,$A$6)&gt;0,SUMIFS(srpro!$H$10:$H$3010,srpro!$J$10:$J$3010,$AG$6,srpro!$B$10:$B$3010,'ProjectsX (2)'!A14,srpro!$K$10:$K$3010,$A$6),"")</f>
        <v/>
      </c>
      <c r="AG14" s="449" t="str">
        <f>IF( SUMIFS(srpro!$E$10:$E$3010,srpro!$J$10:$J$3010,$AG$6,srpro!$B$10:$B$3010,'ProjectsX (2)'!A14,srpro!$K$10:$K$3010,$A$6)&gt;0,SUMIFS(srpro!$E$10:$E$3010,srpro!$J$10:$J$3010,$AG$6,srpro!$B$10:$B$3010,'ProjectsX (2)'!A14,srpro!$K$10:$K$3010,$A$6),"")</f>
        <v/>
      </c>
      <c r="AH14" s="450"/>
      <c r="AI14" s="451"/>
      <c r="AJ14" s="451"/>
      <c r="AK14" s="450"/>
      <c r="AL14" s="615">
        <f t="shared" si="9"/>
        <v>0</v>
      </c>
      <c r="AM14" s="425"/>
      <c r="AN14" s="425"/>
      <c r="AO14" s="425"/>
      <c r="AP14" s="425"/>
      <c r="AQ14" s="425"/>
      <c r="AR14" s="425"/>
      <c r="AS14" s="425"/>
      <c r="AT14" s="425"/>
      <c r="AU14" s="425"/>
      <c r="AV14" s="425"/>
      <c r="AW14" s="425"/>
      <c r="AX14" s="425"/>
      <c r="AY14" s="425"/>
      <c r="AZ14" s="425"/>
      <c r="BA14" s="425"/>
      <c r="BB14" s="425"/>
      <c r="BC14" s="425"/>
      <c r="BD14" s="425"/>
      <c r="BE14" s="425"/>
    </row>
    <row r="15" spans="1:57" ht="19.5" customHeight="1">
      <c r="A15" s="616">
        <v>202</v>
      </c>
      <c r="B15" s="618" t="s">
        <v>277</v>
      </c>
      <c r="C15" s="458">
        <f>(ProHeader!L14+ProHeader!M14)</f>
        <v>605000</v>
      </c>
      <c r="D15" s="458">
        <f t="shared" si="5"/>
        <v>1550.4306499999948</v>
      </c>
      <c r="E15" s="459">
        <f>SUMIFS(srpro!$H$10:$H$3010,srpro!$B$10:$B$3010,'ProjectsX (2)'!A15)-(SUMIFS(srpro!$H$10:$H$3010,srpro!$B$10:$B$3010,'ProjectsX (2)'!A15)*5%)</f>
        <v>603449.56935000001</v>
      </c>
      <c r="F15" s="460">
        <f>SUMIFS(srpro!$E$10:$E$3010,srpro!$B$10:$B$3010,'ProjectsX (2)'!A15)</f>
        <v>486701.42</v>
      </c>
      <c r="G15" s="478">
        <f t="shared" si="3"/>
        <v>0.99743730471074377</v>
      </c>
      <c r="H15" s="479">
        <f t="shared" si="4"/>
        <v>0.76424189917355367</v>
      </c>
      <c r="I15" s="535"/>
      <c r="J15" s="606">
        <f t="shared" si="6"/>
        <v>112383.65100000001</v>
      </c>
      <c r="K15" s="617">
        <f t="shared" si="7"/>
        <v>0.19553484297520662</v>
      </c>
      <c r="L15" s="526">
        <f>ProHeader!AN14</f>
        <v>2</v>
      </c>
      <c r="M15" s="525" t="str">
        <f>TEXT(  ProHeader!AJ14,"dd-mm-yy")</f>
        <v>11-05-24</v>
      </c>
      <c r="N15" s="525">
        <f>IFERROR(ProHeader!AK14 + ProHeader!AL14,"-")</f>
        <v>10500</v>
      </c>
      <c r="O15" s="525">
        <f>IFERROR(ProHeader!AM14,"0")</f>
        <v>10500</v>
      </c>
      <c r="P15" s="525">
        <f t="shared" si="8"/>
        <v>0</v>
      </c>
      <c r="Q15" s="619" t="str">
        <f>IF( SUMIFS(srpro!$H$10:$H$3010,srpro!$J$10:$J$3010,$R$6,srpro!$B$10:$B$3010,'ProjectsX (2)'!A15,srpro!$K$10:$K$3010,$A$6)&gt;0,SUMIFS(srpro!$H$10:$H$3010,srpro!$J$10:$J$3010,$R$6,srpro!$B$10:$B$3010,'ProjectsX (2)'!A15,srpro!$K$10:$K$3010,$A$6),"")</f>
        <v/>
      </c>
      <c r="R15" s="449" t="str">
        <f>IF( SUMIFS(srpro!$E$10:$E$3010,srpro!$J$10:$J$3010,$R$6,srpro!$B$10:$B$3010,'ProjectsX (2)'!A15,srpro!$K$10:$K$3010,$A$6)&gt;0,SUMIFS(srpro!$E$10:$E$3010,srpro!$J$10:$J$3010,$R$6,srpro!$B$10:$B$3010,'ProjectsX (2)'!A15,srpro!$K$10:$K$3010,$A$6),"")</f>
        <v/>
      </c>
      <c r="S15" s="450"/>
      <c r="T15" s="619" t="str">
        <f>IF( SUMIFS(srpro!$H$10:$H$3010,srpro!$J$10:$J$3010,$U$6,srpro!$B$10:$B$3010,'ProjectsX (2)'!A15,srpro!$K$10:$K$3010,$A$6)&gt;0,SUMIFS(srpro!$H$10:$H$3010,srpro!$J$10:$J$3010,$U$6,srpro!$B$10:$B$3010,'ProjectsX (2)'!A15,srpro!$K$10:$K$3010,$A$6),"")</f>
        <v/>
      </c>
      <c r="U15" s="449">
        <f>IF( SUMIFS(srpro!$E$10:$E$3010,srpro!$J$10:$J$3010,$U$6,srpro!$B$10:$B$3010,'ProjectsX (2)'!A15,srpro!$K$10:$K$3010,$A$6)&gt;0,SUMIFS(srpro!$E$10:$E$3010,srpro!$J$10:$J$3010,$U$6,srpro!$B$10:$B$3010,'ProjectsX (2)'!A15,srpro!$K$10:$K$3010,$A$6),"")</f>
        <v>1689.45</v>
      </c>
      <c r="V15" s="450"/>
      <c r="W15" s="619" t="str">
        <f>IF( SUMIFS(srpro!$H$10:$H$3010,srpro!$J$10:$J$3010,$X$6,srpro!$B$10:$B$3010,'ProjectsX (2)'!A15,srpro!$K$10:$K$3010,$A$6)&gt;0,SUMIFS(srpro!$H$10:$H$3010,srpro!$J$10:$J$3010,$X$6,srpro!$B$10:$B$3010,'ProjectsX (2)'!A15,srpro!$K$10:$K$3010,$A$6),"")</f>
        <v/>
      </c>
      <c r="X15" s="449" t="str">
        <f>IF( SUMIFS(srpro!$E$10:$E$3010,srpro!$J$10:$J$3010,$X$6,srpro!$B$10:$B$3010,'ProjectsX (2)'!A15,srpro!$K$10:$K$3010,$A$6)&gt;0,SUMIFS(srpro!$E$10:$E$3010,srpro!$J$10:$J$3010,$X$6,srpro!$B$10:$B$3010,'ProjectsX (2)'!A15,srpro!$K$10:$K$3010,$A$6),"")</f>
        <v/>
      </c>
      <c r="Y15" s="450"/>
      <c r="Z15" s="619">
        <f>IF( SUMIFS(srpro!$H$10:$H$3010,srpro!$J$10:$J$3010,$AA$6,srpro!$B$10:$B$3010,'ProjectsX (2)'!A15,srpro!$K$10:$K$3010,$A$6)&gt;0,SUMIFS(srpro!$H$10:$H$3010,srpro!$J$10:$J$3010,$AA$6,srpro!$B$10:$B$3010,'ProjectsX (2)'!A15,srpro!$K$10:$K$3010,$A$6),"")</f>
        <v>40122.5</v>
      </c>
      <c r="AA15" s="449">
        <f>IF( SUMIFS(srpro!$E$10:$E$3010,srpro!$J$10:$J$3010,$AA$6,srpro!$B$10:$B$3010,'ProjectsX (2)'!A15,srpro!$K$10:$K$3010,$A$6)&gt;0,SUMIFS(srpro!$E$10:$E$3010,srpro!$J$10:$J$3010,$AA$6,srpro!$B$10:$B$3010,'ProjectsX (2)'!A15,srpro!$K$10:$K$3010,$A$6),"")</f>
        <v>500</v>
      </c>
      <c r="AB15" s="450"/>
      <c r="AC15" s="619" t="str">
        <f>IF( SUMIFS(srpro!$H$10:$H$3010,srpro!$J$10:$J$3010,$AD$6,srpro!$B$10:$B$3010,'ProjectsX (2)'!A15,srpro!$K$10:$K$3010,$A$6)&gt;0,SUMIFS(srpro!$H$10:$H$3010,srpro!$J$10:$J$3010,$AD$6,srpro!$B$10:$B$3010,'ProjectsX (2)'!A15,srpro!$K$10:$K$3010,$A$6),"")</f>
        <v/>
      </c>
      <c r="AD15" s="449" t="str">
        <f>IF( SUMIFS(srpro!$E$10:$E$3010,srpro!$J$10:$J$3010,$AD$6,srpro!$B$10:$B$3010,'ProjectsX (2)'!A15,srpro!$K$10:$K$3010,$A$6)&gt;0,SUMIFS(srpro!$E$10:$E$3010,srpro!$J$10:$J$3010,$AD$6,srpro!$B$10:$B$3010,'ProjectsX (2)'!A15,srpro!$K$10:$K$3010,$A$6),"")</f>
        <v/>
      </c>
      <c r="AE15" s="450"/>
      <c r="AF15" s="454" t="str">
        <f>IF( SUMIFS(srpro!$H$10:$H$3010,srpro!$J$10:$J$3010,$AG$6,srpro!$B$10:$B$3010,'ProjectsX (2)'!A15,srpro!$K$10:$K$3010,$A$6)&gt;0,SUMIFS(srpro!$H$10:$H$3010,srpro!$J$10:$J$3010,$AG$6,srpro!$B$10:$B$3010,'ProjectsX (2)'!A15,srpro!$K$10:$K$3010,$A$6),"")</f>
        <v/>
      </c>
      <c r="AG15" s="449" t="str">
        <f>IF( SUMIFS(srpro!$E$10:$E$3010,srpro!$J$10:$J$3010,$AG$6,srpro!$B$10:$B$3010,'ProjectsX (2)'!A15,srpro!$K$10:$K$3010,$A$6)&gt;0,SUMIFS(srpro!$E$10:$E$3010,srpro!$J$10:$J$3010,$AG$6,srpro!$B$10:$B$3010,'ProjectsX (2)'!A15,srpro!$K$10:$K$3010,$A$6),"")</f>
        <v/>
      </c>
      <c r="AH15" s="450"/>
      <c r="AI15" s="451"/>
      <c r="AJ15" s="451"/>
      <c r="AK15" s="450"/>
      <c r="AL15" s="615">
        <f t="shared" si="9"/>
        <v>42311.95</v>
      </c>
      <c r="AM15" s="425"/>
      <c r="AN15" s="425"/>
      <c r="AO15" s="425"/>
      <c r="AP15" s="425"/>
      <c r="AQ15" s="425"/>
      <c r="AR15" s="425"/>
      <c r="AS15" s="425"/>
      <c r="AT15" s="425"/>
      <c r="AU15" s="425"/>
      <c r="AV15" s="425"/>
      <c r="AW15" s="425"/>
      <c r="AX15" s="425"/>
      <c r="AY15" s="425"/>
      <c r="AZ15" s="425"/>
      <c r="BA15" s="425"/>
      <c r="BB15" s="425"/>
      <c r="BC15" s="425"/>
      <c r="BD15" s="425"/>
      <c r="BE15" s="425"/>
    </row>
    <row r="16" spans="1:57" ht="19.5" customHeight="1">
      <c r="A16" s="616">
        <v>204</v>
      </c>
      <c r="B16" s="618" t="s">
        <v>266</v>
      </c>
      <c r="C16" s="458">
        <f>(ProHeader!L15+ProHeader!M15)+((ProHeader!L15+ProHeader!M15)*5%)</f>
        <v>240450</v>
      </c>
      <c r="D16" s="458">
        <f t="shared" si="5"/>
        <v>6350</v>
      </c>
      <c r="E16" s="459">
        <f>SUMIFS(srpro!$H$10:$H$3010,srpro!$B$10:$B$3010,'ProjectsX (2)'!A16)</f>
        <v>234100</v>
      </c>
      <c r="F16" s="460">
        <f>SUMIFS(srpro!$E$10:$E$3010,srpro!$B$10:$B$3010,'ProjectsX (2)'!A16)</f>
        <v>151483</v>
      </c>
      <c r="G16" s="478">
        <f t="shared" si="3"/>
        <v>0.97359118319817006</v>
      </c>
      <c r="H16" s="479">
        <f t="shared" si="4"/>
        <v>0.59849802453732592</v>
      </c>
      <c r="I16" s="535"/>
      <c r="J16" s="606">
        <f t="shared" si="6"/>
        <v>84518.65</v>
      </c>
      <c r="K16" s="617">
        <f t="shared" si="7"/>
        <v>0.37000207943439384</v>
      </c>
      <c r="L16" s="526">
        <f>ProHeader!AN15</f>
        <v>0</v>
      </c>
      <c r="M16" s="525" t="str">
        <f>TEXT(  ProHeader!AJ15,"dd-mm-yy")</f>
        <v>-</v>
      </c>
      <c r="N16" s="525" t="str">
        <f>IFERROR(ProHeader!AK15 + ProHeader!AL15,"-")</f>
        <v>-</v>
      </c>
      <c r="O16" s="525" t="str">
        <f>IFERROR(ProHeader!AM15,"0")</f>
        <v>-</v>
      </c>
      <c r="P16" s="525" t="str">
        <f t="shared" si="8"/>
        <v>-</v>
      </c>
      <c r="Q16" s="619" t="str">
        <f>IF( SUMIFS(srpro!$H$10:$H$3010,srpro!$J$10:$J$3010,$R$6,srpro!$B$10:$B$3010,'ProjectsX (2)'!A16,srpro!$K$10:$K$3010,$A$6)&gt;0,SUMIFS(srpro!$H$10:$H$3010,srpro!$J$10:$J$3010,$R$6,srpro!$B$10:$B$3010,'ProjectsX (2)'!A16,srpro!$K$10:$K$3010,$A$6),"")</f>
        <v/>
      </c>
      <c r="R16" s="449">
        <f>IF( SUMIFS(srpro!$E$10:$E$3010,srpro!$J$10:$J$3010,$R$6,srpro!$B$10:$B$3010,'ProjectsX (2)'!A16,srpro!$K$10:$K$3010,$A$6)&gt;0,SUMIFS(srpro!$E$10:$E$3010,srpro!$J$10:$J$3010,$R$6,srpro!$B$10:$B$3010,'ProjectsX (2)'!A16,srpro!$K$10:$K$3010,$A$6),"")</f>
        <v>573</v>
      </c>
      <c r="S16" s="450"/>
      <c r="T16" s="619" t="str">
        <f>IF( SUMIFS(srpro!$H$10:$H$3010,srpro!$J$10:$J$3010,$U$6,srpro!$B$10:$B$3010,'ProjectsX (2)'!A16,srpro!$K$10:$K$3010,$A$6)&gt;0,SUMIFS(srpro!$H$10:$H$3010,srpro!$J$10:$J$3010,$U$6,srpro!$B$10:$B$3010,'ProjectsX (2)'!A16,srpro!$K$10:$K$3010,$A$6),"")</f>
        <v/>
      </c>
      <c r="U16" s="449">
        <f>IF( SUMIFS(srpro!$E$10:$E$3010,srpro!$J$10:$J$3010,$U$6,srpro!$B$10:$B$3010,'ProjectsX (2)'!A16,srpro!$K$10:$K$3010,$A$6)&gt;0,SUMIFS(srpro!$E$10:$E$3010,srpro!$J$10:$J$3010,$U$6,srpro!$B$10:$B$3010,'ProjectsX (2)'!A16,srpro!$K$10:$K$3010,$A$6),"")</f>
        <v>210</v>
      </c>
      <c r="V16" s="450"/>
      <c r="W16" s="619" t="str">
        <f>IF( SUMIFS(srpro!$H$10:$H$3010,srpro!$J$10:$J$3010,$X$6,srpro!$B$10:$B$3010,'ProjectsX (2)'!A16,srpro!$K$10:$K$3010,$A$6)&gt;0,SUMIFS(srpro!$H$10:$H$3010,srpro!$J$10:$J$3010,$X$6,srpro!$B$10:$B$3010,'ProjectsX (2)'!A16,srpro!$K$10:$K$3010,$A$6),"")</f>
        <v/>
      </c>
      <c r="X16" s="449" t="str">
        <f>IF( SUMIFS(srpro!$E$10:$E$3010,srpro!$J$10:$J$3010,$X$6,srpro!$B$10:$B$3010,'ProjectsX (2)'!A16,srpro!$K$10:$K$3010,$A$6)&gt;0,SUMIFS(srpro!$E$10:$E$3010,srpro!$J$10:$J$3010,$X$6,srpro!$B$10:$B$3010,'ProjectsX (2)'!A16,srpro!$K$10:$K$3010,$A$6),"")</f>
        <v/>
      </c>
      <c r="Y16" s="450"/>
      <c r="Z16" s="619" t="str">
        <f>IF( SUMIFS(srpro!$H$10:$H$3010,srpro!$J$10:$J$3010,$AA$6,srpro!$B$10:$B$3010,'ProjectsX (2)'!A16,srpro!$K$10:$K$3010,$A$6)&gt;0,SUMIFS(srpro!$H$10:$H$3010,srpro!$J$10:$J$3010,$AA$6,srpro!$B$10:$B$3010,'ProjectsX (2)'!A16,srpro!$K$10:$K$3010,$A$6),"")</f>
        <v/>
      </c>
      <c r="AA16" s="449" t="str">
        <f>IF( SUMIFS(srpro!$E$10:$E$3010,srpro!$J$10:$J$3010,$AA$6,srpro!$B$10:$B$3010,'ProjectsX (2)'!A16,srpro!$K$10:$K$3010,$A$6)&gt;0,SUMIFS(srpro!$E$10:$E$3010,srpro!$J$10:$J$3010,$AA$6,srpro!$B$10:$B$3010,'ProjectsX (2)'!A16,srpro!$K$10:$K$3010,$A$6),"")</f>
        <v/>
      </c>
      <c r="AB16" s="450"/>
      <c r="AC16" s="619" t="str">
        <f>IF( SUMIFS(srpro!$H$10:$H$3010,srpro!$J$10:$J$3010,$AD$6,srpro!$B$10:$B$3010,'ProjectsX (2)'!A16,srpro!$K$10:$K$3010,$A$6)&gt;0,SUMIFS(srpro!$H$10:$H$3010,srpro!$J$10:$J$3010,$AD$6,srpro!$B$10:$B$3010,'ProjectsX (2)'!A16,srpro!$K$10:$K$3010,$A$6),"")</f>
        <v/>
      </c>
      <c r="AD16" s="449" t="str">
        <f>IF( SUMIFS(srpro!$E$10:$E$3010,srpro!$J$10:$J$3010,$AD$6,srpro!$B$10:$B$3010,'ProjectsX (2)'!A16,srpro!$K$10:$K$3010,$A$6)&gt;0,SUMIFS(srpro!$E$10:$E$3010,srpro!$J$10:$J$3010,$AD$6,srpro!$B$10:$B$3010,'ProjectsX (2)'!A16,srpro!$K$10:$K$3010,$A$6),"")</f>
        <v/>
      </c>
      <c r="AE16" s="450"/>
      <c r="AF16" s="454" t="str">
        <f>IF( SUMIFS(srpro!$H$10:$H$3010,srpro!$J$10:$J$3010,$AG$6,srpro!$B$10:$B$3010,'ProjectsX (2)'!A16,srpro!$K$10:$K$3010,$A$6)&gt;0,SUMIFS(srpro!$H$10:$H$3010,srpro!$J$10:$J$3010,$AG$6,srpro!$B$10:$B$3010,'ProjectsX (2)'!A16,srpro!$K$10:$K$3010,$A$6),"")</f>
        <v/>
      </c>
      <c r="AG16" s="449" t="str">
        <f>IF( SUMIFS(srpro!$E$10:$E$3010,srpro!$J$10:$J$3010,$AG$6,srpro!$B$10:$B$3010,'ProjectsX (2)'!A16,srpro!$K$10:$K$3010,$A$6)&gt;0,SUMIFS(srpro!$E$10:$E$3010,srpro!$J$10:$J$3010,$AG$6,srpro!$B$10:$B$3010,'ProjectsX (2)'!A16,srpro!$K$10:$K$3010,$A$6),"")</f>
        <v/>
      </c>
      <c r="AH16" s="450"/>
      <c r="AI16" s="451"/>
      <c r="AJ16" s="451"/>
      <c r="AK16" s="450"/>
      <c r="AL16" s="615">
        <f t="shared" si="9"/>
        <v>783</v>
      </c>
      <c r="AM16" s="425"/>
      <c r="AN16" s="425"/>
      <c r="AO16" s="425"/>
      <c r="AP16" s="425"/>
      <c r="AQ16" s="425"/>
      <c r="AR16" s="425"/>
      <c r="AS16" s="425"/>
      <c r="AT16" s="425"/>
      <c r="AU16" s="425"/>
      <c r="AV16" s="425"/>
      <c r="AW16" s="425"/>
      <c r="AX16" s="425"/>
      <c r="AY16" s="425"/>
      <c r="AZ16" s="425"/>
      <c r="BA16" s="425"/>
      <c r="BB16" s="425"/>
      <c r="BC16" s="425"/>
      <c r="BD16" s="425"/>
      <c r="BE16" s="425"/>
    </row>
    <row r="17" spans="1:57" ht="19.5" customHeight="1">
      <c r="A17" s="616">
        <v>206</v>
      </c>
      <c r="B17" s="618" t="s">
        <v>187</v>
      </c>
      <c r="C17" s="458">
        <f>(ProHeader!L16+ProHeader!M16)+((ProHeader!L16+ProHeader!M16)*5%)</f>
        <v>331485</v>
      </c>
      <c r="D17" s="458">
        <f t="shared" si="5"/>
        <v>2.0999999999767169</v>
      </c>
      <c r="E17" s="459">
        <f>SUMIFS(srpro!$H$10:$H$3010,srpro!$B$10:$B$3010,'ProjectsX (2)'!A17)</f>
        <v>331482.90000000002</v>
      </c>
      <c r="F17" s="460">
        <f>SUMIFS(srpro!$E$10:$E$3010,srpro!$B$10:$B$3010,'ProjectsX (2)'!A17)</f>
        <v>230517.85</v>
      </c>
      <c r="G17" s="478">
        <f t="shared" si="3"/>
        <v>0.99999366487171371</v>
      </c>
      <c r="H17" s="479">
        <f t="shared" si="4"/>
        <v>0.66063911640044048</v>
      </c>
      <c r="I17" s="535"/>
      <c r="J17" s="606">
        <f t="shared" si="6"/>
        <v>95918.792499999981</v>
      </c>
      <c r="K17" s="617">
        <f t="shared" si="7"/>
        <v>0.30459040378900998</v>
      </c>
      <c r="L17" s="526">
        <f>ProHeader!AN16</f>
        <v>1</v>
      </c>
      <c r="M17" s="525" t="str">
        <f>TEXT(  ProHeader!AJ16,"dd-mm-yy")</f>
        <v>-</v>
      </c>
      <c r="N17" s="525">
        <f>IFERROR(ProHeader!AK16 + ProHeader!AL16,"-")</f>
        <v>36506.400000000001</v>
      </c>
      <c r="O17" s="525">
        <f>IFERROR(ProHeader!AM16,"0")</f>
        <v>36506.400000000001</v>
      </c>
      <c r="P17" s="525">
        <f t="shared" si="8"/>
        <v>0</v>
      </c>
      <c r="Q17" s="619" t="str">
        <f>IF( SUMIFS(srpro!$H$10:$H$3010,srpro!$J$10:$J$3010,$R$6,srpro!$B$10:$B$3010,'ProjectsX (2)'!A17,srpro!$K$10:$K$3010,$A$6)&gt;0,SUMIFS(srpro!$H$10:$H$3010,srpro!$J$10:$J$3010,$R$6,srpro!$B$10:$B$3010,'ProjectsX (2)'!A17,srpro!$K$10:$K$3010,$A$6),"")</f>
        <v/>
      </c>
      <c r="R17" s="449" t="str">
        <f>IF( SUMIFS(srpro!$E$10:$E$3010,srpro!$J$10:$J$3010,$R$6,srpro!$B$10:$B$3010,'ProjectsX (2)'!A17,srpro!$K$10:$K$3010,$A$6)&gt;0,SUMIFS(srpro!$E$10:$E$3010,srpro!$J$10:$J$3010,$R$6,srpro!$B$10:$B$3010,'ProjectsX (2)'!A17,srpro!$K$10:$K$3010,$A$6),"")</f>
        <v/>
      </c>
      <c r="S17" s="450"/>
      <c r="T17" s="619" t="str">
        <f>IF( SUMIFS(srpro!$H$10:$H$3010,srpro!$J$10:$J$3010,$U$6,srpro!$B$10:$B$3010,'ProjectsX (2)'!A17,srpro!$K$10:$K$3010,$A$6)&gt;0,SUMIFS(srpro!$H$10:$H$3010,srpro!$J$10:$J$3010,$U$6,srpro!$B$10:$B$3010,'ProjectsX (2)'!A17,srpro!$K$10:$K$3010,$A$6),"")</f>
        <v/>
      </c>
      <c r="U17" s="449" t="str">
        <f>IF( SUMIFS(srpro!$E$10:$E$3010,srpro!$J$10:$J$3010,$U$6,srpro!$B$10:$B$3010,'ProjectsX (2)'!A17,srpro!$K$10:$K$3010,$A$6)&gt;0,SUMIFS(srpro!$E$10:$E$3010,srpro!$J$10:$J$3010,$U$6,srpro!$B$10:$B$3010,'ProjectsX (2)'!A17,srpro!$K$10:$K$3010,$A$6),"")</f>
        <v/>
      </c>
      <c r="V17" s="450"/>
      <c r="W17" s="619" t="str">
        <f>IF( SUMIFS(srpro!$H$10:$H$3010,srpro!$J$10:$J$3010,$X$6,srpro!$B$10:$B$3010,'ProjectsX (2)'!A17,srpro!$K$10:$K$3010,$A$6)&gt;0,SUMIFS(srpro!$H$10:$H$3010,srpro!$J$10:$J$3010,$X$6,srpro!$B$10:$B$3010,'ProjectsX (2)'!A17,srpro!$K$10:$K$3010,$A$6),"")</f>
        <v/>
      </c>
      <c r="X17" s="449" t="str">
        <f>IF( SUMIFS(srpro!$E$10:$E$3010,srpro!$J$10:$J$3010,$X$6,srpro!$B$10:$B$3010,'ProjectsX (2)'!A17,srpro!$K$10:$K$3010,$A$6)&gt;0,SUMIFS(srpro!$E$10:$E$3010,srpro!$J$10:$J$3010,$X$6,srpro!$B$10:$B$3010,'ProjectsX (2)'!A17,srpro!$K$10:$K$3010,$A$6),"")</f>
        <v/>
      </c>
      <c r="Y17" s="450"/>
      <c r="Z17" s="619" t="str">
        <f>IF( SUMIFS(srpro!$H$10:$H$3010,srpro!$J$10:$J$3010,$AA$6,srpro!$B$10:$B$3010,'ProjectsX (2)'!A17,srpro!$K$10:$K$3010,$A$6)&gt;0,SUMIFS(srpro!$H$10:$H$3010,srpro!$J$10:$J$3010,$AA$6,srpro!$B$10:$B$3010,'ProjectsX (2)'!A17,srpro!$K$10:$K$3010,$A$6),"")</f>
        <v/>
      </c>
      <c r="AA17" s="449" t="str">
        <f>IF( SUMIFS(srpro!$E$10:$E$3010,srpro!$J$10:$J$3010,$AA$6,srpro!$B$10:$B$3010,'ProjectsX (2)'!A17,srpro!$K$10:$K$3010,$A$6)&gt;0,SUMIFS(srpro!$E$10:$E$3010,srpro!$J$10:$J$3010,$AA$6,srpro!$B$10:$B$3010,'ProjectsX (2)'!A17,srpro!$K$10:$K$3010,$A$6),"")</f>
        <v/>
      </c>
      <c r="AB17" s="450"/>
      <c r="AC17" s="619" t="str">
        <f>IF( SUMIFS(srpro!$H$10:$H$3010,srpro!$J$10:$J$3010,$AD$6,srpro!$B$10:$B$3010,'ProjectsX (2)'!A17,srpro!$K$10:$K$3010,$A$6)&gt;0,SUMIFS(srpro!$H$10:$H$3010,srpro!$J$10:$J$3010,$AD$6,srpro!$B$10:$B$3010,'ProjectsX (2)'!A17,srpro!$K$10:$K$3010,$A$6),"")</f>
        <v/>
      </c>
      <c r="AD17" s="449" t="str">
        <f>IF( SUMIFS(srpro!$E$10:$E$3010,srpro!$J$10:$J$3010,$AD$6,srpro!$B$10:$B$3010,'ProjectsX (2)'!A17,srpro!$K$10:$K$3010,$A$6)&gt;0,SUMIFS(srpro!$E$10:$E$3010,srpro!$J$10:$J$3010,$AD$6,srpro!$B$10:$B$3010,'ProjectsX (2)'!A17,srpro!$K$10:$K$3010,$A$6),"")</f>
        <v/>
      </c>
      <c r="AE17" s="450"/>
      <c r="AF17" s="454" t="str">
        <f>IF( SUMIFS(srpro!$H$10:$H$3010,srpro!$J$10:$J$3010,$AG$6,srpro!$B$10:$B$3010,'ProjectsX (2)'!A17,srpro!$K$10:$K$3010,$A$6)&gt;0,SUMIFS(srpro!$H$10:$H$3010,srpro!$J$10:$J$3010,$AG$6,srpro!$B$10:$B$3010,'ProjectsX (2)'!A17,srpro!$K$10:$K$3010,$A$6),"")</f>
        <v/>
      </c>
      <c r="AG17" s="449" t="str">
        <f>IF( SUMIFS(srpro!$E$10:$E$3010,srpro!$J$10:$J$3010,$AG$6,srpro!$B$10:$B$3010,'ProjectsX (2)'!A17,srpro!$K$10:$K$3010,$A$6)&gt;0,SUMIFS(srpro!$E$10:$E$3010,srpro!$J$10:$J$3010,$AG$6,srpro!$B$10:$B$3010,'ProjectsX (2)'!A17,srpro!$K$10:$K$3010,$A$6),"")</f>
        <v/>
      </c>
      <c r="AH17" s="450"/>
      <c r="AI17" s="451"/>
      <c r="AJ17" s="451"/>
      <c r="AK17" s="450"/>
      <c r="AL17" s="615">
        <f t="shared" si="9"/>
        <v>0</v>
      </c>
      <c r="AM17" s="425"/>
      <c r="AN17" s="425"/>
      <c r="AO17" s="425"/>
      <c r="AP17" s="425"/>
      <c r="AQ17" s="425"/>
      <c r="AR17" s="425"/>
      <c r="AS17" s="425"/>
      <c r="AT17" s="425"/>
      <c r="AU17" s="425"/>
      <c r="AV17" s="425"/>
      <c r="AW17" s="425"/>
      <c r="AX17" s="425"/>
      <c r="AY17" s="425"/>
      <c r="AZ17" s="425"/>
      <c r="BA17" s="425"/>
      <c r="BB17" s="425"/>
      <c r="BC17" s="425"/>
      <c r="BD17" s="425"/>
      <c r="BE17" s="425"/>
    </row>
    <row r="18" spans="1:57" ht="19.5" customHeight="1">
      <c r="A18" s="616">
        <v>210</v>
      </c>
      <c r="B18" s="618" t="s">
        <v>310</v>
      </c>
      <c r="C18" s="458">
        <f>(ProHeader!L17+ProHeader!M17)+((ProHeader!L17+ProHeader!M17)*5%)</f>
        <v>0</v>
      </c>
      <c r="D18" s="458">
        <f t="shared" si="5"/>
        <v>0</v>
      </c>
      <c r="E18" s="459">
        <f>SUMIFS(srpro!$H$10:$H$3010,srpro!$B$10:$B$3010,'ProjectsX (2)'!A18)</f>
        <v>0</v>
      </c>
      <c r="F18" s="460">
        <f>SUMIFS(srpro!$E$10:$E$3010,srpro!$B$10:$B$3010,'ProjectsX (2)'!A18)</f>
        <v>45</v>
      </c>
      <c r="G18" s="478">
        <f t="shared" si="3"/>
        <v>0</v>
      </c>
      <c r="H18" s="479">
        <f t="shared" si="4"/>
        <v>0</v>
      </c>
      <c r="I18" s="535"/>
      <c r="J18" s="606">
        <f t="shared" si="6"/>
        <v>-42.75</v>
      </c>
      <c r="K18" s="617">
        <f t="shared" si="7"/>
        <v>0</v>
      </c>
      <c r="L18" s="526">
        <f>ProHeader!AN17</f>
        <v>0</v>
      </c>
      <c r="M18" s="525" t="str">
        <f>TEXT(  ProHeader!AJ17,"dd-mm-yy")</f>
        <v>-</v>
      </c>
      <c r="N18" s="525" t="str">
        <f>IFERROR(ProHeader!AK17 + ProHeader!AL17,"-")</f>
        <v>-</v>
      </c>
      <c r="O18" s="525" t="str">
        <f>IFERROR(ProHeader!AM17,"0")</f>
        <v>-</v>
      </c>
      <c r="P18" s="525" t="str">
        <f t="shared" si="8"/>
        <v>-</v>
      </c>
      <c r="Q18" s="619" t="str">
        <f>IF( SUMIFS(srpro!$H$10:$H$3010,srpro!$J$10:$J$3010,$R$6,srpro!$B$10:$B$3010,'ProjectsX (2)'!A18,srpro!$K$10:$K$3010,$A$6)&gt;0,SUMIFS(srpro!$H$10:$H$3010,srpro!$J$10:$J$3010,$R$6,srpro!$B$10:$B$3010,'ProjectsX (2)'!A18,srpro!$K$10:$K$3010,$A$6),"")</f>
        <v/>
      </c>
      <c r="R18" s="449">
        <f>IF( SUMIFS(srpro!$E$10:$E$3010,srpro!$J$10:$J$3010,$R$6,srpro!$B$10:$B$3010,'ProjectsX (2)'!A18,srpro!$K$10:$K$3010,$A$6)&gt;0,SUMIFS(srpro!$E$10:$E$3010,srpro!$J$10:$J$3010,$R$6,srpro!$B$10:$B$3010,'ProjectsX (2)'!A18,srpro!$K$10:$K$3010,$A$6),"")</f>
        <v>45</v>
      </c>
      <c r="S18" s="450"/>
      <c r="T18" s="619" t="str">
        <f>IF( SUMIFS(srpro!$H$10:$H$3010,srpro!$J$10:$J$3010,$U$6,srpro!$B$10:$B$3010,'ProjectsX (2)'!A18,srpro!$K$10:$K$3010,$A$6)&gt;0,SUMIFS(srpro!$H$10:$H$3010,srpro!$J$10:$J$3010,$U$6,srpro!$B$10:$B$3010,'ProjectsX (2)'!A18,srpro!$K$10:$K$3010,$A$6),"")</f>
        <v/>
      </c>
      <c r="U18" s="449" t="str">
        <f>IF( SUMIFS(srpro!$E$10:$E$3010,srpro!$J$10:$J$3010,$U$6,srpro!$B$10:$B$3010,'ProjectsX (2)'!A18,srpro!$K$10:$K$3010,$A$6)&gt;0,SUMIFS(srpro!$E$10:$E$3010,srpro!$J$10:$J$3010,$U$6,srpro!$B$10:$B$3010,'ProjectsX (2)'!A18,srpro!$K$10:$K$3010,$A$6),"")</f>
        <v/>
      </c>
      <c r="V18" s="450"/>
      <c r="W18" s="619" t="str">
        <f>IF( SUMIFS(srpro!$H$10:$H$3010,srpro!$J$10:$J$3010,$X$6,srpro!$B$10:$B$3010,'ProjectsX (2)'!A18,srpro!$K$10:$K$3010,$A$6)&gt;0,SUMIFS(srpro!$H$10:$H$3010,srpro!$J$10:$J$3010,$X$6,srpro!$B$10:$B$3010,'ProjectsX (2)'!A18,srpro!$K$10:$K$3010,$A$6),"")</f>
        <v/>
      </c>
      <c r="X18" s="449" t="str">
        <f>IF( SUMIFS(srpro!$E$10:$E$3010,srpro!$J$10:$J$3010,$X$6,srpro!$B$10:$B$3010,'ProjectsX (2)'!A18,srpro!$K$10:$K$3010,$A$6)&gt;0,SUMIFS(srpro!$E$10:$E$3010,srpro!$J$10:$J$3010,$X$6,srpro!$B$10:$B$3010,'ProjectsX (2)'!A18,srpro!$K$10:$K$3010,$A$6),"")</f>
        <v/>
      </c>
      <c r="Y18" s="450"/>
      <c r="Z18" s="619" t="str">
        <f>IF( SUMIFS(srpro!$H$10:$H$3010,srpro!$J$10:$J$3010,$AA$6,srpro!$B$10:$B$3010,'ProjectsX (2)'!A18,srpro!$K$10:$K$3010,$A$6)&gt;0,SUMIFS(srpro!$H$10:$H$3010,srpro!$J$10:$J$3010,$AA$6,srpro!$B$10:$B$3010,'ProjectsX (2)'!A18,srpro!$K$10:$K$3010,$A$6),"")</f>
        <v/>
      </c>
      <c r="AA18" s="449" t="str">
        <f>IF( SUMIFS(srpro!$E$10:$E$3010,srpro!$J$10:$J$3010,$AA$6,srpro!$B$10:$B$3010,'ProjectsX (2)'!A18,srpro!$K$10:$K$3010,$A$6)&gt;0,SUMIFS(srpro!$E$10:$E$3010,srpro!$J$10:$J$3010,$AA$6,srpro!$B$10:$B$3010,'ProjectsX (2)'!A18,srpro!$K$10:$K$3010,$A$6),"")</f>
        <v/>
      </c>
      <c r="AB18" s="450"/>
      <c r="AC18" s="619" t="str">
        <f>IF( SUMIFS(srpro!$H$10:$H$3010,srpro!$J$10:$J$3010,$AD$6,srpro!$B$10:$B$3010,'ProjectsX (2)'!A18,srpro!$K$10:$K$3010,$A$6)&gt;0,SUMIFS(srpro!$H$10:$H$3010,srpro!$J$10:$J$3010,$AD$6,srpro!$B$10:$B$3010,'ProjectsX (2)'!A18,srpro!$K$10:$K$3010,$A$6),"")</f>
        <v/>
      </c>
      <c r="AD18" s="449" t="str">
        <f>IF( SUMIFS(srpro!$E$10:$E$3010,srpro!$J$10:$J$3010,$AD$6,srpro!$B$10:$B$3010,'ProjectsX (2)'!A18,srpro!$K$10:$K$3010,$A$6)&gt;0,SUMIFS(srpro!$E$10:$E$3010,srpro!$J$10:$J$3010,$AD$6,srpro!$B$10:$B$3010,'ProjectsX (2)'!A18,srpro!$K$10:$K$3010,$A$6),"")</f>
        <v/>
      </c>
      <c r="AE18" s="450"/>
      <c r="AF18" s="454" t="str">
        <f>IF( SUMIFS(srpro!$H$10:$H$3010,srpro!$J$10:$J$3010,$AG$6,srpro!$B$10:$B$3010,'ProjectsX (2)'!A18,srpro!$K$10:$K$3010,$A$6)&gt;0,SUMIFS(srpro!$H$10:$H$3010,srpro!$J$10:$J$3010,$AG$6,srpro!$B$10:$B$3010,'ProjectsX (2)'!A18,srpro!$K$10:$K$3010,$A$6),"")</f>
        <v/>
      </c>
      <c r="AG18" s="449" t="str">
        <f>IF( SUMIFS(srpro!$E$10:$E$3010,srpro!$J$10:$J$3010,$AG$6,srpro!$B$10:$B$3010,'ProjectsX (2)'!A18,srpro!$K$10:$K$3010,$A$6)&gt;0,SUMIFS(srpro!$E$10:$E$3010,srpro!$J$10:$J$3010,$AG$6,srpro!$B$10:$B$3010,'ProjectsX (2)'!A18,srpro!$K$10:$K$3010,$A$6),"")</f>
        <v/>
      </c>
      <c r="AH18" s="450"/>
      <c r="AI18" s="451"/>
      <c r="AJ18" s="451"/>
      <c r="AK18" s="450"/>
      <c r="AL18" s="615">
        <f t="shared" si="9"/>
        <v>45</v>
      </c>
      <c r="AM18" s="425"/>
      <c r="AN18" s="425"/>
      <c r="AO18" s="425"/>
      <c r="AP18" s="425"/>
      <c r="AQ18" s="425"/>
      <c r="AR18" s="425"/>
      <c r="AS18" s="425"/>
      <c r="AT18" s="425"/>
      <c r="AU18" s="425"/>
      <c r="AV18" s="425"/>
      <c r="AW18" s="425"/>
      <c r="AX18" s="425"/>
      <c r="AY18" s="425"/>
      <c r="AZ18" s="425"/>
      <c r="BA18" s="425"/>
      <c r="BB18" s="425"/>
      <c r="BC18" s="425"/>
      <c r="BD18" s="425"/>
      <c r="BE18" s="425"/>
    </row>
    <row r="19" spans="1:57" ht="19.5" customHeight="1">
      <c r="A19" s="616">
        <v>210</v>
      </c>
      <c r="B19" s="618" t="s">
        <v>311</v>
      </c>
      <c r="C19" s="458">
        <f>(ProHeader!L18+ProHeader!M18)+((ProHeader!L18+ProHeader!M18)*5%)</f>
        <v>0</v>
      </c>
      <c r="D19" s="458">
        <f t="shared" si="5"/>
        <v>0</v>
      </c>
      <c r="E19" s="459">
        <f>SUMIFS(srpro!$H$10:$H$3010,srpro!$B$10:$B$3010,'ProjectsX (2)'!A19)</f>
        <v>0</v>
      </c>
      <c r="F19" s="460">
        <f>SUMIFS(srpro!$E$10:$E$3010,srpro!$B$10:$B$3010,'ProjectsX (2)'!A19)</f>
        <v>45</v>
      </c>
      <c r="G19" s="478">
        <f t="shared" si="3"/>
        <v>0</v>
      </c>
      <c r="H19" s="479">
        <f t="shared" si="4"/>
        <v>0</v>
      </c>
      <c r="I19" s="535"/>
      <c r="J19" s="606">
        <f t="shared" si="6"/>
        <v>-42.75</v>
      </c>
      <c r="K19" s="617">
        <f t="shared" si="7"/>
        <v>0</v>
      </c>
      <c r="L19" s="526">
        <f>ProHeader!AN18</f>
        <v>0</v>
      </c>
      <c r="M19" s="525" t="str">
        <f>TEXT(  ProHeader!AJ18,"dd-mm-yy")</f>
        <v>-</v>
      </c>
      <c r="N19" s="525" t="str">
        <f>IFERROR(ProHeader!AK18 + ProHeader!AL18,"-")</f>
        <v>-</v>
      </c>
      <c r="O19" s="525" t="str">
        <f>IFERROR(ProHeader!AM18,"0")</f>
        <v>-</v>
      </c>
      <c r="P19" s="525" t="str">
        <f t="shared" si="8"/>
        <v>-</v>
      </c>
      <c r="Q19" s="619" t="str">
        <f>IF( SUMIFS(srpro!$H$10:$H$3010,srpro!$J$10:$J$3010,$R$6,srpro!$B$10:$B$3010,'ProjectsX (2)'!A19,srpro!$K$10:$K$3010,$A$6)&gt;0,SUMIFS(srpro!$H$10:$H$3010,srpro!$J$10:$J$3010,$R$6,srpro!$B$10:$B$3010,'ProjectsX (2)'!A19,srpro!$K$10:$K$3010,$A$6),"")</f>
        <v/>
      </c>
      <c r="R19" s="449">
        <f>IF( SUMIFS(srpro!$E$10:$E$3010,srpro!$J$10:$J$3010,$R$6,srpro!$B$10:$B$3010,'ProjectsX (2)'!A19,srpro!$K$10:$K$3010,$A$6)&gt;0,SUMIFS(srpro!$E$10:$E$3010,srpro!$J$10:$J$3010,$R$6,srpro!$B$10:$B$3010,'ProjectsX (2)'!A19,srpro!$K$10:$K$3010,$A$6),"")</f>
        <v>45</v>
      </c>
      <c r="S19" s="450"/>
      <c r="T19" s="619" t="str">
        <f>IF( SUMIFS(srpro!$H$10:$H$3010,srpro!$J$10:$J$3010,$U$6,srpro!$B$10:$B$3010,'ProjectsX (2)'!A19,srpro!$K$10:$K$3010,$A$6)&gt;0,SUMIFS(srpro!$H$10:$H$3010,srpro!$J$10:$J$3010,$U$6,srpro!$B$10:$B$3010,'ProjectsX (2)'!A19,srpro!$K$10:$K$3010,$A$6),"")</f>
        <v/>
      </c>
      <c r="U19" s="449" t="str">
        <f>IF( SUMIFS(srpro!$E$10:$E$3010,srpro!$J$10:$J$3010,$U$6,srpro!$B$10:$B$3010,'ProjectsX (2)'!A19,srpro!$K$10:$K$3010,$A$6)&gt;0,SUMIFS(srpro!$E$10:$E$3010,srpro!$J$10:$J$3010,$U$6,srpro!$B$10:$B$3010,'ProjectsX (2)'!A19,srpro!$K$10:$K$3010,$A$6),"")</f>
        <v/>
      </c>
      <c r="V19" s="450"/>
      <c r="W19" s="619" t="str">
        <f>IF( SUMIFS(srpro!$H$10:$H$3010,srpro!$J$10:$J$3010,$X$6,srpro!$B$10:$B$3010,'ProjectsX (2)'!A19,srpro!$K$10:$K$3010,$A$6)&gt;0,SUMIFS(srpro!$H$10:$H$3010,srpro!$J$10:$J$3010,$X$6,srpro!$B$10:$B$3010,'ProjectsX (2)'!A19,srpro!$K$10:$K$3010,$A$6),"")</f>
        <v/>
      </c>
      <c r="X19" s="449" t="str">
        <f>IF( SUMIFS(srpro!$E$10:$E$3010,srpro!$J$10:$J$3010,$X$6,srpro!$B$10:$B$3010,'ProjectsX (2)'!A19,srpro!$K$10:$K$3010,$A$6)&gt;0,SUMIFS(srpro!$E$10:$E$3010,srpro!$J$10:$J$3010,$X$6,srpro!$B$10:$B$3010,'ProjectsX (2)'!A19,srpro!$K$10:$K$3010,$A$6),"")</f>
        <v/>
      </c>
      <c r="Y19" s="450"/>
      <c r="Z19" s="619" t="str">
        <f>IF( SUMIFS(srpro!$H$10:$H$3010,srpro!$J$10:$J$3010,$AA$6,srpro!$B$10:$B$3010,'ProjectsX (2)'!A19,srpro!$K$10:$K$3010,$A$6)&gt;0,SUMIFS(srpro!$H$10:$H$3010,srpro!$J$10:$J$3010,$AA$6,srpro!$B$10:$B$3010,'ProjectsX (2)'!A19,srpro!$K$10:$K$3010,$A$6),"")</f>
        <v/>
      </c>
      <c r="AA19" s="449" t="str">
        <f>IF( SUMIFS(srpro!$E$10:$E$3010,srpro!$J$10:$J$3010,$AA$6,srpro!$B$10:$B$3010,'ProjectsX (2)'!A19,srpro!$K$10:$K$3010,$A$6)&gt;0,SUMIFS(srpro!$E$10:$E$3010,srpro!$J$10:$J$3010,$AA$6,srpro!$B$10:$B$3010,'ProjectsX (2)'!A19,srpro!$K$10:$K$3010,$A$6),"")</f>
        <v/>
      </c>
      <c r="AB19" s="450"/>
      <c r="AC19" s="619" t="str">
        <f>IF( SUMIFS(srpro!$H$10:$H$3010,srpro!$J$10:$J$3010,$AD$6,srpro!$B$10:$B$3010,'ProjectsX (2)'!A19,srpro!$K$10:$K$3010,$A$6)&gt;0,SUMIFS(srpro!$H$10:$H$3010,srpro!$J$10:$J$3010,$AD$6,srpro!$B$10:$B$3010,'ProjectsX (2)'!A19,srpro!$K$10:$K$3010,$A$6),"")</f>
        <v/>
      </c>
      <c r="AD19" s="449" t="str">
        <f>IF( SUMIFS(srpro!$E$10:$E$3010,srpro!$J$10:$J$3010,$AD$6,srpro!$B$10:$B$3010,'ProjectsX (2)'!A19,srpro!$K$10:$K$3010,$A$6)&gt;0,SUMIFS(srpro!$E$10:$E$3010,srpro!$J$10:$J$3010,$AD$6,srpro!$B$10:$B$3010,'ProjectsX (2)'!A19,srpro!$K$10:$K$3010,$A$6),"")</f>
        <v/>
      </c>
      <c r="AE19" s="450"/>
      <c r="AF19" s="454" t="str">
        <f>IF( SUMIFS(srpro!$H$10:$H$3010,srpro!$J$10:$J$3010,$AG$6,srpro!$B$10:$B$3010,'ProjectsX (2)'!A19,srpro!$K$10:$K$3010,$A$6)&gt;0,SUMIFS(srpro!$H$10:$H$3010,srpro!$J$10:$J$3010,$AG$6,srpro!$B$10:$B$3010,'ProjectsX (2)'!A19,srpro!$K$10:$K$3010,$A$6),"")</f>
        <v/>
      </c>
      <c r="AG19" s="449" t="str">
        <f>IF( SUMIFS(srpro!$E$10:$E$3010,srpro!$J$10:$J$3010,$AG$6,srpro!$B$10:$B$3010,'ProjectsX (2)'!A19,srpro!$K$10:$K$3010,$A$6)&gt;0,SUMIFS(srpro!$E$10:$E$3010,srpro!$J$10:$J$3010,$AG$6,srpro!$B$10:$B$3010,'ProjectsX (2)'!A19,srpro!$K$10:$K$3010,$A$6),"")</f>
        <v/>
      </c>
      <c r="AH19" s="450"/>
      <c r="AI19" s="451"/>
      <c r="AJ19" s="451"/>
      <c r="AK19" s="450"/>
      <c r="AL19" s="615">
        <f t="shared" si="9"/>
        <v>45</v>
      </c>
      <c r="AM19" s="425"/>
      <c r="AN19" s="425"/>
      <c r="AO19" s="425"/>
      <c r="AP19" s="425"/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</row>
    <row r="20" spans="1:57" ht="19.5" customHeight="1">
      <c r="A20" s="616">
        <v>211</v>
      </c>
      <c r="B20" s="618" t="s">
        <v>270</v>
      </c>
      <c r="C20" s="458">
        <f>(ProHeader!L19+ProHeader!M19)+((ProHeader!L19+ProHeader!M19)*5%)</f>
        <v>354375</v>
      </c>
      <c r="D20" s="458">
        <f t="shared" si="5"/>
        <v>-34.255000000004657</v>
      </c>
      <c r="E20" s="459">
        <f>SUMIFS(srpro!$H$10:$H$3010,srpro!$B$10:$B$3010,'ProjectsX (2)'!A20)</f>
        <v>354409.255</v>
      </c>
      <c r="F20" s="460">
        <f>SUMIFS(srpro!$E$10:$E$3010,srpro!$B$10:$B$3010,'ProjectsX (2)'!A20)</f>
        <v>240007.87999999998</v>
      </c>
      <c r="G20" s="478">
        <f t="shared" si="3"/>
        <v>1.0000966631393298</v>
      </c>
      <c r="H20" s="479">
        <f t="shared" si="4"/>
        <v>0.64340736790123454</v>
      </c>
      <c r="I20" s="535"/>
      <c r="J20" s="606">
        <f t="shared" si="6"/>
        <v>108648.76400000002</v>
      </c>
      <c r="K20" s="617">
        <f t="shared" si="7"/>
        <v>0.32272908641975318</v>
      </c>
      <c r="L20" s="526">
        <f>ProHeader!AN19</f>
        <v>2</v>
      </c>
      <c r="M20" s="525" t="str">
        <f>TEXT(  ProHeader!AJ19,"dd-mm-yy")</f>
        <v>-</v>
      </c>
      <c r="N20" s="525">
        <f>IFERROR(ProHeader!AK19 + ProHeader!AL19,"-")</f>
        <v>35855.4</v>
      </c>
      <c r="O20" s="525">
        <f>IFERROR(ProHeader!AM19,"0")</f>
        <v>35000</v>
      </c>
      <c r="P20" s="525">
        <f t="shared" si="8"/>
        <v>855.40000000000146</v>
      </c>
      <c r="Q20" s="619" t="str">
        <f>IF( SUMIFS(srpro!$H$10:$H$3010,srpro!$J$10:$J$3010,$R$6,srpro!$B$10:$B$3010,'ProjectsX (2)'!A20,srpro!$K$10:$K$3010,$A$6)&gt;0,SUMIFS(srpro!$H$10:$H$3010,srpro!$J$10:$J$3010,$R$6,srpro!$B$10:$B$3010,'ProjectsX (2)'!A20,srpro!$K$10:$K$3010,$A$6),"")</f>
        <v/>
      </c>
      <c r="R20" s="449" t="str">
        <f>IF( SUMIFS(srpro!$E$10:$E$3010,srpro!$J$10:$J$3010,$R$6,srpro!$B$10:$B$3010,'ProjectsX (2)'!A20,srpro!$K$10:$K$3010,$A$6)&gt;0,SUMIFS(srpro!$E$10:$E$3010,srpro!$J$10:$J$3010,$R$6,srpro!$B$10:$B$3010,'ProjectsX (2)'!A20,srpro!$K$10:$K$3010,$A$6),"")</f>
        <v/>
      </c>
      <c r="S20" s="450"/>
      <c r="T20" s="619" t="str">
        <f>IF( SUMIFS(srpro!$H$10:$H$3010,srpro!$J$10:$J$3010,$U$6,srpro!$B$10:$B$3010,'ProjectsX (2)'!A20,srpro!$K$10:$K$3010,$A$6)&gt;0,SUMIFS(srpro!$H$10:$H$3010,srpro!$J$10:$J$3010,$U$6,srpro!$B$10:$B$3010,'ProjectsX (2)'!A20,srpro!$K$10:$K$3010,$A$6),"")</f>
        <v/>
      </c>
      <c r="U20" s="449" t="str">
        <f>IF( SUMIFS(srpro!$E$10:$E$3010,srpro!$J$10:$J$3010,$U$6,srpro!$B$10:$B$3010,'ProjectsX (2)'!A20,srpro!$K$10:$K$3010,$A$6)&gt;0,SUMIFS(srpro!$E$10:$E$3010,srpro!$J$10:$J$3010,$U$6,srpro!$B$10:$B$3010,'ProjectsX (2)'!A20,srpro!$K$10:$K$3010,$A$6),"")</f>
        <v/>
      </c>
      <c r="V20" s="450"/>
      <c r="W20" s="619" t="str">
        <f>IF( SUMIFS(srpro!$H$10:$H$3010,srpro!$J$10:$J$3010,$X$6,srpro!$B$10:$B$3010,'ProjectsX (2)'!A20,srpro!$K$10:$K$3010,$A$6)&gt;0,SUMIFS(srpro!$H$10:$H$3010,srpro!$J$10:$J$3010,$X$6,srpro!$B$10:$B$3010,'ProjectsX (2)'!A20,srpro!$K$10:$K$3010,$A$6),"")</f>
        <v/>
      </c>
      <c r="X20" s="449" t="str">
        <f>IF( SUMIFS(srpro!$E$10:$E$3010,srpro!$J$10:$J$3010,$X$6,srpro!$B$10:$B$3010,'ProjectsX (2)'!A20,srpro!$K$10:$K$3010,$A$6)&gt;0,SUMIFS(srpro!$E$10:$E$3010,srpro!$J$10:$J$3010,$X$6,srpro!$B$10:$B$3010,'ProjectsX (2)'!A20,srpro!$K$10:$K$3010,$A$6),"")</f>
        <v/>
      </c>
      <c r="Y20" s="450"/>
      <c r="Z20" s="619" t="str">
        <f>IF( SUMIFS(srpro!$H$10:$H$3010,srpro!$J$10:$J$3010,$AA$6,srpro!$B$10:$B$3010,'ProjectsX (2)'!A20,srpro!$K$10:$K$3010,$A$6)&gt;0,SUMIFS(srpro!$H$10:$H$3010,srpro!$J$10:$J$3010,$AA$6,srpro!$B$10:$B$3010,'ProjectsX (2)'!A20,srpro!$K$10:$K$3010,$A$6),"")</f>
        <v/>
      </c>
      <c r="AA20" s="449">
        <f>IF( SUMIFS(srpro!$E$10:$E$3010,srpro!$J$10:$J$3010,$AA$6,srpro!$B$10:$B$3010,'ProjectsX (2)'!A20,srpro!$K$10:$K$3010,$A$6)&gt;0,SUMIFS(srpro!$E$10:$E$3010,srpro!$J$10:$J$3010,$AA$6,srpro!$B$10:$B$3010,'ProjectsX (2)'!A20,srpro!$K$10:$K$3010,$A$6),"")</f>
        <v>362.61</v>
      </c>
      <c r="AB20" s="450"/>
      <c r="AC20" s="619">
        <f>IF( SUMIFS(srpro!$H$10:$H$3010,srpro!$J$10:$J$3010,$AD$6,srpro!$B$10:$B$3010,'ProjectsX (2)'!A20,srpro!$K$10:$K$3010,$A$6)&gt;0,SUMIFS(srpro!$H$10:$H$3010,srpro!$J$10:$J$3010,$AD$6,srpro!$B$10:$B$3010,'ProjectsX (2)'!A20,srpro!$K$10:$K$3010,$A$6),"")</f>
        <v>33439.129999999997</v>
      </c>
      <c r="AD20" s="449">
        <f>IF( SUMIFS(srpro!$E$10:$E$3010,srpro!$J$10:$J$3010,$AD$6,srpro!$B$10:$B$3010,'ProjectsX (2)'!A20,srpro!$K$10:$K$3010,$A$6)&gt;0,SUMIFS(srpro!$E$10:$E$3010,srpro!$J$10:$J$3010,$AD$6,srpro!$B$10:$B$3010,'ProjectsX (2)'!A20,srpro!$K$10:$K$3010,$A$6),"")</f>
        <v>139.5</v>
      </c>
      <c r="AE20" s="450"/>
      <c r="AF20" s="454" t="str">
        <f>IF( SUMIFS(srpro!$H$10:$H$3010,srpro!$J$10:$J$3010,$AG$6,srpro!$B$10:$B$3010,'ProjectsX (2)'!A20,srpro!$K$10:$K$3010,$A$6)&gt;0,SUMIFS(srpro!$H$10:$H$3010,srpro!$J$10:$J$3010,$AG$6,srpro!$B$10:$B$3010,'ProjectsX (2)'!A20,srpro!$K$10:$K$3010,$A$6),"")</f>
        <v/>
      </c>
      <c r="AG20" s="449" t="str">
        <f>IF( SUMIFS(srpro!$E$10:$E$3010,srpro!$J$10:$J$3010,$AG$6,srpro!$B$10:$B$3010,'ProjectsX (2)'!A20,srpro!$K$10:$K$3010,$A$6)&gt;0,SUMIFS(srpro!$E$10:$E$3010,srpro!$J$10:$J$3010,$AG$6,srpro!$B$10:$B$3010,'ProjectsX (2)'!A20,srpro!$K$10:$K$3010,$A$6),"")</f>
        <v/>
      </c>
      <c r="AH20" s="450"/>
      <c r="AI20" s="451"/>
      <c r="AJ20" s="451"/>
      <c r="AK20" s="450"/>
      <c r="AL20" s="615">
        <f t="shared" si="9"/>
        <v>33941.24</v>
      </c>
      <c r="AM20" s="425"/>
      <c r="AN20" s="425"/>
      <c r="AO20" s="425"/>
      <c r="AP20" s="425"/>
      <c r="AQ20" s="425"/>
      <c r="AR20" s="425"/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</row>
    <row r="21" spans="1:57" ht="19.5" customHeight="1">
      <c r="A21" s="616">
        <v>212</v>
      </c>
      <c r="B21" s="618" t="s">
        <v>312</v>
      </c>
      <c r="C21" s="458">
        <f>(ProHeader!L20+ProHeader!M20)+((ProHeader!L20+ProHeader!M20)*5%)</f>
        <v>219765</v>
      </c>
      <c r="D21" s="458">
        <f t="shared" si="5"/>
        <v>-1.0249999999941792</v>
      </c>
      <c r="E21" s="459">
        <f>SUMIFS(srpro!$H$10:$H$3010,srpro!$B$10:$B$3010,'ProjectsX (2)'!A21)</f>
        <v>219766.02499999999</v>
      </c>
      <c r="F21" s="460">
        <f>SUMIFS(srpro!$E$10:$E$3010,srpro!$B$10:$B$3010,'ProjectsX (2)'!A21)</f>
        <v>157115.99</v>
      </c>
      <c r="G21" s="478">
        <f t="shared" si="3"/>
        <v>1.0000046640729869</v>
      </c>
      <c r="H21" s="479">
        <f t="shared" si="4"/>
        <v>0.67918090005232856</v>
      </c>
      <c r="I21" s="535"/>
      <c r="J21" s="606">
        <f t="shared" si="6"/>
        <v>59516.559500000003</v>
      </c>
      <c r="K21" s="617">
        <f t="shared" si="7"/>
        <v>0.2850727367870225</v>
      </c>
      <c r="L21" s="526">
        <f>ProHeader!AN20</f>
        <v>2</v>
      </c>
      <c r="M21" s="525" t="str">
        <f>TEXT(  ProHeader!AJ20,"dd-mm-yy")</f>
        <v>-</v>
      </c>
      <c r="N21" s="525">
        <f>IFERROR(ProHeader!AK20 + ProHeader!AL20,"-")</f>
        <v>10762.5</v>
      </c>
      <c r="O21" s="525">
        <f>IFERROR(ProHeader!AM20,"0")</f>
        <v>10762.5</v>
      </c>
      <c r="P21" s="525">
        <f t="shared" si="8"/>
        <v>0</v>
      </c>
      <c r="Q21" s="619" t="str">
        <f>IF( SUMIFS(srpro!$H$10:$H$3010,srpro!$J$10:$J$3010,$R$6,srpro!$B$10:$B$3010,'ProjectsX (2)'!A21,srpro!$K$10:$K$3010,$A$6)&gt;0,SUMIFS(srpro!$H$10:$H$3010,srpro!$J$10:$J$3010,$R$6,srpro!$B$10:$B$3010,'ProjectsX (2)'!A21,srpro!$K$10:$K$3010,$A$6),"")</f>
        <v/>
      </c>
      <c r="R21" s="449" t="str">
        <f>IF( SUMIFS(srpro!$E$10:$E$3010,srpro!$J$10:$J$3010,$R$6,srpro!$B$10:$B$3010,'ProjectsX (2)'!A21,srpro!$K$10:$K$3010,$A$6)&gt;0,SUMIFS(srpro!$E$10:$E$3010,srpro!$J$10:$J$3010,$R$6,srpro!$B$10:$B$3010,'ProjectsX (2)'!A21,srpro!$K$10:$K$3010,$A$6),"")</f>
        <v/>
      </c>
      <c r="S21" s="450"/>
      <c r="T21" s="619" t="str">
        <f>IF( SUMIFS(srpro!$H$10:$H$3010,srpro!$J$10:$J$3010,$U$6,srpro!$B$10:$B$3010,'ProjectsX (2)'!A21,srpro!$K$10:$K$3010,$A$6)&gt;0,SUMIFS(srpro!$H$10:$H$3010,srpro!$J$10:$J$3010,$U$6,srpro!$B$10:$B$3010,'ProjectsX (2)'!A21,srpro!$K$10:$K$3010,$A$6),"")</f>
        <v/>
      </c>
      <c r="U21" s="449">
        <f>IF( SUMIFS(srpro!$E$10:$E$3010,srpro!$J$10:$J$3010,$U$6,srpro!$B$10:$B$3010,'ProjectsX (2)'!A21,srpro!$K$10:$K$3010,$A$6)&gt;0,SUMIFS(srpro!$E$10:$E$3010,srpro!$J$10:$J$3010,$U$6,srpro!$B$10:$B$3010,'ProjectsX (2)'!A21,srpro!$K$10:$K$3010,$A$6),"")</f>
        <v>66</v>
      </c>
      <c r="V21" s="450"/>
      <c r="W21" s="619" t="str">
        <f>IF( SUMIFS(srpro!$H$10:$H$3010,srpro!$J$10:$J$3010,$X$6,srpro!$B$10:$B$3010,'ProjectsX (2)'!A21,srpro!$K$10:$K$3010,$A$6)&gt;0,SUMIFS(srpro!$H$10:$H$3010,srpro!$J$10:$J$3010,$X$6,srpro!$B$10:$B$3010,'ProjectsX (2)'!A21,srpro!$K$10:$K$3010,$A$6),"")</f>
        <v/>
      </c>
      <c r="X21" s="449">
        <f>IF( SUMIFS(srpro!$E$10:$E$3010,srpro!$J$10:$J$3010,$X$6,srpro!$B$10:$B$3010,'ProjectsX (2)'!A21,srpro!$K$10:$K$3010,$A$6)&gt;0,SUMIFS(srpro!$E$10:$E$3010,srpro!$J$10:$J$3010,$X$6,srpro!$B$10:$B$3010,'ProjectsX (2)'!A21,srpro!$K$10:$K$3010,$A$6),"")</f>
        <v>1276.25</v>
      </c>
      <c r="Y21" s="450"/>
      <c r="Z21" s="619" t="str">
        <f>IF( SUMIFS(srpro!$H$10:$H$3010,srpro!$J$10:$J$3010,$AA$6,srpro!$B$10:$B$3010,'ProjectsX (2)'!A21,srpro!$K$10:$K$3010,$A$6)&gt;0,SUMIFS(srpro!$H$10:$H$3010,srpro!$J$10:$J$3010,$AA$6,srpro!$B$10:$B$3010,'ProjectsX (2)'!A21,srpro!$K$10:$K$3010,$A$6),"")</f>
        <v/>
      </c>
      <c r="AA21" s="449" t="str">
        <f>IF( SUMIFS(srpro!$E$10:$E$3010,srpro!$J$10:$J$3010,$AA$6,srpro!$B$10:$B$3010,'ProjectsX (2)'!A21,srpro!$K$10:$K$3010,$A$6)&gt;0,SUMIFS(srpro!$E$10:$E$3010,srpro!$J$10:$J$3010,$AA$6,srpro!$B$10:$B$3010,'ProjectsX (2)'!A21,srpro!$K$10:$K$3010,$A$6),"")</f>
        <v/>
      </c>
      <c r="AB21" s="450"/>
      <c r="AC21" s="619" t="str">
        <f>IF( SUMIFS(srpro!$H$10:$H$3010,srpro!$J$10:$J$3010,$AD$6,srpro!$B$10:$B$3010,'ProjectsX (2)'!A21,srpro!$K$10:$K$3010,$A$6)&gt;0,SUMIFS(srpro!$H$10:$H$3010,srpro!$J$10:$J$3010,$AD$6,srpro!$B$10:$B$3010,'ProjectsX (2)'!A21,srpro!$K$10:$K$3010,$A$6),"")</f>
        <v/>
      </c>
      <c r="AD21" s="449" t="str">
        <f>IF( SUMIFS(srpro!$E$10:$E$3010,srpro!$J$10:$J$3010,$AD$6,srpro!$B$10:$B$3010,'ProjectsX (2)'!A21,srpro!$K$10:$K$3010,$A$6)&gt;0,SUMIFS(srpro!$E$10:$E$3010,srpro!$J$10:$J$3010,$AD$6,srpro!$B$10:$B$3010,'ProjectsX (2)'!A21,srpro!$K$10:$K$3010,$A$6),"")</f>
        <v/>
      </c>
      <c r="AE21" s="450"/>
      <c r="AF21" s="454" t="str">
        <f>IF( SUMIFS(srpro!$H$10:$H$3010,srpro!$J$10:$J$3010,$AG$6,srpro!$B$10:$B$3010,'ProjectsX (2)'!A21,srpro!$K$10:$K$3010,$A$6)&gt;0,SUMIFS(srpro!$H$10:$H$3010,srpro!$J$10:$J$3010,$AG$6,srpro!$B$10:$B$3010,'ProjectsX (2)'!A21,srpro!$K$10:$K$3010,$A$6),"")</f>
        <v/>
      </c>
      <c r="AG21" s="449" t="str">
        <f>IF( SUMIFS(srpro!$E$10:$E$3010,srpro!$J$10:$J$3010,$AG$6,srpro!$B$10:$B$3010,'ProjectsX (2)'!A21,srpro!$K$10:$K$3010,$A$6)&gt;0,SUMIFS(srpro!$E$10:$E$3010,srpro!$J$10:$J$3010,$AG$6,srpro!$B$10:$B$3010,'ProjectsX (2)'!A21,srpro!$K$10:$K$3010,$A$6),"")</f>
        <v/>
      </c>
      <c r="AH21" s="450"/>
      <c r="AI21" s="451"/>
      <c r="AJ21" s="451"/>
      <c r="AK21" s="450"/>
      <c r="AL21" s="615">
        <f t="shared" si="9"/>
        <v>1342.25</v>
      </c>
      <c r="AM21" s="425"/>
      <c r="AN21" s="425"/>
      <c r="AO21" s="425"/>
      <c r="AP21" s="425"/>
      <c r="AQ21" s="425"/>
      <c r="AR21" s="425"/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</row>
    <row r="22" spans="1:57" ht="19.5" customHeight="1">
      <c r="A22" s="616">
        <v>213</v>
      </c>
      <c r="B22" s="618" t="s">
        <v>298</v>
      </c>
      <c r="C22" s="458">
        <f>(ProHeader!L21+ProHeader!M21)+((ProHeader!L21+ProHeader!M21)*5%)</f>
        <v>395224.2</v>
      </c>
      <c r="D22" s="458">
        <f t="shared" si="5"/>
        <v>-1.1749999999883585</v>
      </c>
      <c r="E22" s="459">
        <f>SUMIFS(srpro!$H$10:$H$3010,srpro!$B$10:$B$3010,'ProjectsX (2)'!A22)</f>
        <v>395225.375</v>
      </c>
      <c r="F22" s="460">
        <f>SUMIFS(srpro!$E$10:$E$3010,srpro!$B$10:$B$3010,'ProjectsX (2)'!A22)</f>
        <v>229674.12</v>
      </c>
      <c r="G22" s="478">
        <f t="shared" si="3"/>
        <v>1.0000029729960866</v>
      </c>
      <c r="H22" s="479">
        <f t="shared" si="4"/>
        <v>0.55206744425063037</v>
      </c>
      <c r="I22" s="535"/>
      <c r="J22" s="606">
        <f t="shared" si="6"/>
        <v>157272.576</v>
      </c>
      <c r="K22" s="617">
        <f t="shared" si="7"/>
        <v>0.41887637447302062</v>
      </c>
      <c r="L22" s="526">
        <f>ProHeader!AN21</f>
        <v>1</v>
      </c>
      <c r="M22" s="525" t="str">
        <f>TEXT(  ProHeader!AJ21,"dd-mm-yy")</f>
        <v>-</v>
      </c>
      <c r="N22" s="525">
        <f>IFERROR(ProHeader!AK21 + ProHeader!AL21,"-")</f>
        <v>31500</v>
      </c>
      <c r="O22" s="525">
        <f>IFERROR(ProHeader!AM21,"0")</f>
        <v>31500</v>
      </c>
      <c r="P22" s="525">
        <f t="shared" si="8"/>
        <v>0</v>
      </c>
      <c r="Q22" s="619" t="str">
        <f>IF( SUMIFS(srpro!$H$10:$H$3010,srpro!$J$10:$J$3010,$R$6,srpro!$B$10:$B$3010,'ProjectsX (2)'!A22,srpro!$K$10:$K$3010,$A$6)&gt;0,SUMIFS(srpro!$H$10:$H$3010,srpro!$J$10:$J$3010,$R$6,srpro!$B$10:$B$3010,'ProjectsX (2)'!A22,srpro!$K$10:$K$3010,$A$6),"")</f>
        <v/>
      </c>
      <c r="R22" s="449" t="str">
        <f>IF( SUMIFS(srpro!$E$10:$E$3010,srpro!$J$10:$J$3010,$R$6,srpro!$B$10:$B$3010,'ProjectsX (2)'!A22,srpro!$K$10:$K$3010,$A$6)&gt;0,SUMIFS(srpro!$E$10:$E$3010,srpro!$J$10:$J$3010,$R$6,srpro!$B$10:$B$3010,'ProjectsX (2)'!A22,srpro!$K$10:$K$3010,$A$6),"")</f>
        <v/>
      </c>
      <c r="S22" s="450"/>
      <c r="T22" s="619" t="str">
        <f>IF( SUMIFS(srpro!$H$10:$H$3010,srpro!$J$10:$J$3010,$U$6,srpro!$B$10:$B$3010,'ProjectsX (2)'!A22,srpro!$K$10:$K$3010,$A$6)&gt;0,SUMIFS(srpro!$H$10:$H$3010,srpro!$J$10:$J$3010,$U$6,srpro!$B$10:$B$3010,'ProjectsX (2)'!A22,srpro!$K$10:$K$3010,$A$6),"")</f>
        <v/>
      </c>
      <c r="U22" s="449">
        <f>IF( SUMIFS(srpro!$E$10:$E$3010,srpro!$J$10:$J$3010,$U$6,srpro!$B$10:$B$3010,'ProjectsX (2)'!A22,srpro!$K$10:$K$3010,$A$6)&gt;0,SUMIFS(srpro!$E$10:$E$3010,srpro!$J$10:$J$3010,$U$6,srpro!$B$10:$B$3010,'ProjectsX (2)'!A22,srpro!$K$10:$K$3010,$A$6),"")</f>
        <v>546</v>
      </c>
      <c r="V22" s="450"/>
      <c r="W22" s="619" t="str">
        <f>IF( SUMIFS(srpro!$H$10:$H$3010,srpro!$J$10:$J$3010,$X$6,srpro!$B$10:$B$3010,'ProjectsX (2)'!A22,srpro!$K$10:$K$3010,$A$6)&gt;0,SUMIFS(srpro!$H$10:$H$3010,srpro!$J$10:$J$3010,$X$6,srpro!$B$10:$B$3010,'ProjectsX (2)'!A22,srpro!$K$10:$K$3010,$A$6),"")</f>
        <v/>
      </c>
      <c r="X22" s="449">
        <f>IF( SUMIFS(srpro!$E$10:$E$3010,srpro!$J$10:$J$3010,$X$6,srpro!$B$10:$B$3010,'ProjectsX (2)'!A22,srpro!$K$10:$K$3010,$A$6)&gt;0,SUMIFS(srpro!$E$10:$E$3010,srpro!$J$10:$J$3010,$X$6,srpro!$B$10:$B$3010,'ProjectsX (2)'!A22,srpro!$K$10:$K$3010,$A$6),"")</f>
        <v>57.5</v>
      </c>
      <c r="Y22" s="450"/>
      <c r="Z22" s="619" t="str">
        <f>IF( SUMIFS(srpro!$H$10:$H$3010,srpro!$J$10:$J$3010,$AA$6,srpro!$B$10:$B$3010,'ProjectsX (2)'!A22,srpro!$K$10:$K$3010,$A$6)&gt;0,SUMIFS(srpro!$H$10:$H$3010,srpro!$J$10:$J$3010,$AA$6,srpro!$B$10:$B$3010,'ProjectsX (2)'!A22,srpro!$K$10:$K$3010,$A$6),"")</f>
        <v/>
      </c>
      <c r="AA22" s="449" t="str">
        <f>IF( SUMIFS(srpro!$E$10:$E$3010,srpro!$J$10:$J$3010,$AA$6,srpro!$B$10:$B$3010,'ProjectsX (2)'!A22,srpro!$K$10:$K$3010,$A$6)&gt;0,SUMIFS(srpro!$E$10:$E$3010,srpro!$J$10:$J$3010,$AA$6,srpro!$B$10:$B$3010,'ProjectsX (2)'!A22,srpro!$K$10:$K$3010,$A$6),"")</f>
        <v/>
      </c>
      <c r="AB22" s="450"/>
      <c r="AC22" s="619" t="str">
        <f>IF( SUMIFS(srpro!$H$10:$H$3010,srpro!$J$10:$J$3010,$AD$6,srpro!$B$10:$B$3010,'ProjectsX (2)'!A22,srpro!$K$10:$K$3010,$A$6)&gt;0,SUMIFS(srpro!$H$10:$H$3010,srpro!$J$10:$J$3010,$AD$6,srpro!$B$10:$B$3010,'ProjectsX (2)'!A22,srpro!$K$10:$K$3010,$A$6),"")</f>
        <v/>
      </c>
      <c r="AD22" s="449" t="str">
        <f>IF( SUMIFS(srpro!$E$10:$E$3010,srpro!$J$10:$J$3010,$AD$6,srpro!$B$10:$B$3010,'ProjectsX (2)'!A22,srpro!$K$10:$K$3010,$A$6)&gt;0,SUMIFS(srpro!$E$10:$E$3010,srpro!$J$10:$J$3010,$AD$6,srpro!$B$10:$B$3010,'ProjectsX (2)'!A22,srpro!$K$10:$K$3010,$A$6),"")</f>
        <v/>
      </c>
      <c r="AE22" s="450"/>
      <c r="AF22" s="454" t="str">
        <f>IF( SUMIFS(srpro!$H$10:$H$3010,srpro!$J$10:$J$3010,$AG$6,srpro!$B$10:$B$3010,'ProjectsX (2)'!A22,srpro!$K$10:$K$3010,$A$6)&gt;0,SUMIFS(srpro!$H$10:$H$3010,srpro!$J$10:$J$3010,$AG$6,srpro!$B$10:$B$3010,'ProjectsX (2)'!A22,srpro!$K$10:$K$3010,$A$6),"")</f>
        <v/>
      </c>
      <c r="AG22" s="449" t="str">
        <f>IF( SUMIFS(srpro!$E$10:$E$3010,srpro!$J$10:$J$3010,$AG$6,srpro!$B$10:$B$3010,'ProjectsX (2)'!A22,srpro!$K$10:$K$3010,$A$6)&gt;0,SUMIFS(srpro!$E$10:$E$3010,srpro!$J$10:$J$3010,$AG$6,srpro!$B$10:$B$3010,'ProjectsX (2)'!A22,srpro!$K$10:$K$3010,$A$6),"")</f>
        <v/>
      </c>
      <c r="AH22" s="450"/>
      <c r="AI22" s="451"/>
      <c r="AJ22" s="451"/>
      <c r="AK22" s="450"/>
      <c r="AL22" s="615">
        <f t="shared" si="9"/>
        <v>603.5</v>
      </c>
      <c r="AM22" s="425"/>
      <c r="AN22" s="425"/>
      <c r="AO22" s="425"/>
      <c r="AP22" s="425"/>
      <c r="AQ22" s="425"/>
      <c r="AR22" s="425"/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</row>
    <row r="23" spans="1:57" ht="19.5" customHeight="1">
      <c r="A23" s="616">
        <v>214</v>
      </c>
      <c r="B23" s="618" t="s">
        <v>273</v>
      </c>
      <c r="C23" s="458">
        <f>(ProHeader!L22+ProHeader!M22)+((ProHeader!L22+ProHeader!M22)*5%)</f>
        <v>96724.95</v>
      </c>
      <c r="D23" s="458">
        <f t="shared" si="5"/>
        <v>964.94999999999709</v>
      </c>
      <c r="E23" s="459">
        <f>SUMIFS(srpro!$H$10:$H$3010,srpro!$B$10:$B$3010,'ProjectsX (2)'!A23)</f>
        <v>95760</v>
      </c>
      <c r="F23" s="460">
        <f>SUMIFS(srpro!$E$10:$E$3010,srpro!$B$10:$B$3010,'ProjectsX (2)'!A23)</f>
        <v>63327</v>
      </c>
      <c r="G23" s="478">
        <f t="shared" si="3"/>
        <v>0.99002377359719496</v>
      </c>
      <c r="H23" s="479">
        <f t="shared" si="4"/>
        <v>0.62197654276378533</v>
      </c>
      <c r="I23" s="535"/>
      <c r="J23" s="606">
        <f t="shared" si="6"/>
        <v>31728.052499999998</v>
      </c>
      <c r="K23" s="617">
        <f t="shared" si="7"/>
        <v>0.34528784972233117</v>
      </c>
      <c r="L23" s="526">
        <f>ProHeader!AN22</f>
        <v>0</v>
      </c>
      <c r="M23" s="525" t="str">
        <f>TEXT(  ProHeader!AJ22,"dd-mm-yy")</f>
        <v>-</v>
      </c>
      <c r="N23" s="525" t="str">
        <f>IFERROR(ProHeader!AK22 + ProHeader!AL22,"-")</f>
        <v>-</v>
      </c>
      <c r="O23" s="525" t="str">
        <f>IFERROR(ProHeader!AM22,"0")</f>
        <v>-</v>
      </c>
      <c r="P23" s="525" t="str">
        <f t="shared" si="8"/>
        <v>-</v>
      </c>
      <c r="Q23" s="619">
        <f>IF( SUMIFS(srpro!$H$10:$H$3010,srpro!$J$10:$J$3010,$R$6,srpro!$B$10:$B$3010,'ProjectsX (2)'!A23,srpro!$K$10:$K$3010,$A$6)&gt;0,SUMIFS(srpro!$H$10:$H$3010,srpro!$J$10:$J$3010,$R$6,srpro!$B$10:$B$3010,'ProjectsX (2)'!A23,srpro!$K$10:$K$3010,$A$6),"")</f>
        <v>15760</v>
      </c>
      <c r="R23" s="449" t="str">
        <f>IF( SUMIFS(srpro!$E$10:$E$3010,srpro!$J$10:$J$3010,$R$6,srpro!$B$10:$B$3010,'ProjectsX (2)'!A23,srpro!$K$10:$K$3010,$A$6)&gt;0,SUMIFS(srpro!$E$10:$E$3010,srpro!$J$10:$J$3010,$R$6,srpro!$B$10:$B$3010,'ProjectsX (2)'!A23,srpro!$K$10:$K$3010,$A$6),"")</f>
        <v/>
      </c>
      <c r="S23" s="450"/>
      <c r="T23" s="619" t="str">
        <f>IF( SUMIFS(srpro!$H$10:$H$3010,srpro!$J$10:$J$3010,$U$6,srpro!$B$10:$B$3010,'ProjectsX (2)'!A23,srpro!$K$10:$K$3010,$A$6)&gt;0,SUMIFS(srpro!$H$10:$H$3010,srpro!$J$10:$J$3010,$U$6,srpro!$B$10:$B$3010,'ProjectsX (2)'!A23,srpro!$K$10:$K$3010,$A$6),"")</f>
        <v/>
      </c>
      <c r="U23" s="449">
        <f>IF( SUMIFS(srpro!$E$10:$E$3010,srpro!$J$10:$J$3010,$U$6,srpro!$B$10:$B$3010,'ProjectsX (2)'!A23,srpro!$K$10:$K$3010,$A$6)&gt;0,SUMIFS(srpro!$E$10:$E$3010,srpro!$J$10:$J$3010,$U$6,srpro!$B$10:$B$3010,'ProjectsX (2)'!A23,srpro!$K$10:$K$3010,$A$6),"")</f>
        <v>68</v>
      </c>
      <c r="V23" s="450"/>
      <c r="W23" s="619" t="str">
        <f>IF( SUMIFS(srpro!$H$10:$H$3010,srpro!$J$10:$J$3010,$X$6,srpro!$B$10:$B$3010,'ProjectsX (2)'!A23,srpro!$K$10:$K$3010,$A$6)&gt;0,SUMIFS(srpro!$H$10:$H$3010,srpro!$J$10:$J$3010,$X$6,srpro!$B$10:$B$3010,'ProjectsX (2)'!A23,srpro!$K$10:$K$3010,$A$6),"")</f>
        <v/>
      </c>
      <c r="X23" s="449" t="str">
        <f>IF( SUMIFS(srpro!$E$10:$E$3010,srpro!$J$10:$J$3010,$X$6,srpro!$B$10:$B$3010,'ProjectsX (2)'!A23,srpro!$K$10:$K$3010,$A$6)&gt;0,SUMIFS(srpro!$E$10:$E$3010,srpro!$J$10:$J$3010,$X$6,srpro!$B$10:$B$3010,'ProjectsX (2)'!A23,srpro!$K$10:$K$3010,$A$6),"")</f>
        <v/>
      </c>
      <c r="Y23" s="450"/>
      <c r="Z23" s="619" t="str">
        <f>IF( SUMIFS(srpro!$H$10:$H$3010,srpro!$J$10:$J$3010,$AA$6,srpro!$B$10:$B$3010,'ProjectsX (2)'!A23,srpro!$K$10:$K$3010,$A$6)&gt;0,SUMIFS(srpro!$H$10:$H$3010,srpro!$J$10:$J$3010,$AA$6,srpro!$B$10:$B$3010,'ProjectsX (2)'!A23,srpro!$K$10:$K$3010,$A$6),"")</f>
        <v/>
      </c>
      <c r="AA23" s="449" t="str">
        <f>IF( SUMIFS(srpro!$E$10:$E$3010,srpro!$J$10:$J$3010,$AA$6,srpro!$B$10:$B$3010,'ProjectsX (2)'!A23,srpro!$K$10:$K$3010,$A$6)&gt;0,SUMIFS(srpro!$E$10:$E$3010,srpro!$J$10:$J$3010,$AA$6,srpro!$B$10:$B$3010,'ProjectsX (2)'!A23,srpro!$K$10:$K$3010,$A$6),"")</f>
        <v/>
      </c>
      <c r="AB23" s="450"/>
      <c r="AC23" s="619" t="str">
        <f>IF( SUMIFS(srpro!$H$10:$H$3010,srpro!$J$10:$J$3010,$AD$6,srpro!$B$10:$B$3010,'ProjectsX (2)'!A23,srpro!$K$10:$K$3010,$A$6)&gt;0,SUMIFS(srpro!$H$10:$H$3010,srpro!$J$10:$J$3010,$AD$6,srpro!$B$10:$B$3010,'ProjectsX (2)'!A23,srpro!$K$10:$K$3010,$A$6),"")</f>
        <v/>
      </c>
      <c r="AD23" s="449" t="str">
        <f>IF( SUMIFS(srpro!$E$10:$E$3010,srpro!$J$10:$J$3010,$AD$6,srpro!$B$10:$B$3010,'ProjectsX (2)'!A23,srpro!$K$10:$K$3010,$A$6)&gt;0,SUMIFS(srpro!$E$10:$E$3010,srpro!$J$10:$J$3010,$AD$6,srpro!$B$10:$B$3010,'ProjectsX (2)'!A23,srpro!$K$10:$K$3010,$A$6),"")</f>
        <v/>
      </c>
      <c r="AE23" s="450"/>
      <c r="AF23" s="454" t="str">
        <f>IF( SUMIFS(srpro!$H$10:$H$3010,srpro!$J$10:$J$3010,$AG$6,srpro!$B$10:$B$3010,'ProjectsX (2)'!A23,srpro!$K$10:$K$3010,$A$6)&gt;0,SUMIFS(srpro!$H$10:$H$3010,srpro!$J$10:$J$3010,$AG$6,srpro!$B$10:$B$3010,'ProjectsX (2)'!A23,srpro!$K$10:$K$3010,$A$6),"")</f>
        <v/>
      </c>
      <c r="AG23" s="449" t="str">
        <f>IF( SUMIFS(srpro!$E$10:$E$3010,srpro!$J$10:$J$3010,$AG$6,srpro!$B$10:$B$3010,'ProjectsX (2)'!A23,srpro!$K$10:$K$3010,$A$6)&gt;0,SUMIFS(srpro!$E$10:$E$3010,srpro!$J$10:$J$3010,$AG$6,srpro!$B$10:$B$3010,'ProjectsX (2)'!A23,srpro!$K$10:$K$3010,$A$6),"")</f>
        <v/>
      </c>
      <c r="AH23" s="450"/>
      <c r="AI23" s="451"/>
      <c r="AJ23" s="451"/>
      <c r="AK23" s="450"/>
      <c r="AL23" s="615">
        <f t="shared" si="9"/>
        <v>15828</v>
      </c>
      <c r="AM23" s="425"/>
      <c r="AN23" s="425"/>
      <c r="AO23" s="425"/>
      <c r="AP23" s="425"/>
      <c r="AQ23" s="425"/>
      <c r="AR23" s="425"/>
      <c r="AS23" s="425"/>
      <c r="AT23" s="425"/>
      <c r="AU23" s="425"/>
      <c r="AV23" s="425"/>
      <c r="AW23" s="425"/>
      <c r="AX23" s="425"/>
      <c r="AY23" s="425"/>
      <c r="AZ23" s="425"/>
      <c r="BA23" s="425"/>
      <c r="BB23" s="425"/>
      <c r="BC23" s="425"/>
      <c r="BD23" s="425"/>
      <c r="BE23" s="425"/>
    </row>
    <row r="24" spans="1:57" ht="19.5" customHeight="1">
      <c r="A24" s="616">
        <v>215</v>
      </c>
      <c r="B24" s="618" t="s">
        <v>850</v>
      </c>
      <c r="C24" s="458">
        <f>(ProHeader!L23+ProHeader!M23)+((ProHeader!L23+ProHeader!M23)*5%)</f>
        <v>446250</v>
      </c>
      <c r="D24" s="458">
        <f t="shared" si="5"/>
        <v>91874.63</v>
      </c>
      <c r="E24" s="459">
        <f>SUMIFS(srpro!$H$10:$H$3010,srpro!$B$10:$B$3010,'ProjectsX (2)'!A24)</f>
        <v>354375.37</v>
      </c>
      <c r="F24" s="460">
        <f>SUMIFS(srpro!$E$10:$E$3010,srpro!$B$10:$B$3010,'ProjectsX (2)'!A24)</f>
        <v>300709.17</v>
      </c>
      <c r="G24" s="478">
        <f t="shared" si="3"/>
        <v>0.79411847619047615</v>
      </c>
      <c r="H24" s="479">
        <f t="shared" si="4"/>
        <v>0.64016517983193277</v>
      </c>
      <c r="I24" s="535"/>
      <c r="J24" s="606">
        <f t="shared" si="6"/>
        <v>138263.78850000002</v>
      </c>
      <c r="K24" s="617">
        <f t="shared" si="7"/>
        <v>0.32614191596638659</v>
      </c>
      <c r="L24" s="526">
        <f>ProHeader!AN23</f>
        <v>1</v>
      </c>
      <c r="M24" s="525" t="str">
        <f>TEXT(  ProHeader!AJ23,"dd-mm-yy")</f>
        <v>-</v>
      </c>
      <c r="N24" s="525">
        <f>IFERROR(ProHeader!AK23 + ProHeader!AL23,"-")</f>
        <v>47250</v>
      </c>
      <c r="O24" s="525">
        <f>IFERROR(ProHeader!AM23,"0")</f>
        <v>0</v>
      </c>
      <c r="P24" s="525">
        <f t="shared" si="8"/>
        <v>47250</v>
      </c>
      <c r="Q24" s="619" t="str">
        <f>IF( SUMIFS(srpro!$H$10:$H$3010,srpro!$J$10:$J$3010,$R$6,srpro!$B$10:$B$3010,'ProjectsX (2)'!A24,srpro!$K$10:$K$3010,$A$6)&gt;0,SUMIFS(srpro!$H$10:$H$3010,srpro!$J$10:$J$3010,$R$6,srpro!$B$10:$B$3010,'ProjectsX (2)'!A24,srpro!$K$10:$K$3010,$A$6),"")</f>
        <v/>
      </c>
      <c r="R24" s="449" t="str">
        <f>IF( SUMIFS(srpro!$E$10:$E$3010,srpro!$J$10:$J$3010,$R$6,srpro!$B$10:$B$3010,'ProjectsX (2)'!A24,srpro!$K$10:$K$3010,$A$6)&gt;0,SUMIFS(srpro!$E$10:$E$3010,srpro!$J$10:$J$3010,$R$6,srpro!$B$10:$B$3010,'ProjectsX (2)'!A24,srpro!$K$10:$K$3010,$A$6),"")</f>
        <v/>
      </c>
      <c r="S24" s="450"/>
      <c r="T24" s="619" t="str">
        <f>IF( SUMIFS(srpro!$H$10:$H$3010,srpro!$J$10:$J$3010,$U$6,srpro!$B$10:$B$3010,'ProjectsX (2)'!A24,srpro!$K$10:$K$3010,$A$6)&gt;0,SUMIFS(srpro!$H$10:$H$3010,srpro!$J$10:$J$3010,$U$6,srpro!$B$10:$B$3010,'ProjectsX (2)'!A24,srpro!$K$10:$K$3010,$A$6),"")</f>
        <v/>
      </c>
      <c r="U24" s="449">
        <f>IF( SUMIFS(srpro!$E$10:$E$3010,srpro!$J$10:$J$3010,$U$6,srpro!$B$10:$B$3010,'ProjectsX (2)'!A24,srpro!$K$10:$K$3010,$A$6)&gt;0,SUMIFS(srpro!$E$10:$E$3010,srpro!$J$10:$J$3010,$U$6,srpro!$B$10:$B$3010,'ProjectsX (2)'!A24,srpro!$K$10:$K$3010,$A$6),"")</f>
        <v>1806.3</v>
      </c>
      <c r="V24" s="450"/>
      <c r="W24" s="619" t="str">
        <f>IF( SUMIFS(srpro!$H$10:$H$3010,srpro!$J$10:$J$3010,$X$6,srpro!$B$10:$B$3010,'ProjectsX (2)'!A24,srpro!$K$10:$K$3010,$A$6)&gt;0,SUMIFS(srpro!$H$10:$H$3010,srpro!$J$10:$J$3010,$X$6,srpro!$B$10:$B$3010,'ProjectsX (2)'!A24,srpro!$K$10:$K$3010,$A$6),"")</f>
        <v/>
      </c>
      <c r="X24" s="449" t="str">
        <f>IF( SUMIFS(srpro!$E$10:$E$3010,srpro!$J$10:$J$3010,$X$6,srpro!$B$10:$B$3010,'ProjectsX (2)'!A24,srpro!$K$10:$K$3010,$A$6)&gt;0,SUMIFS(srpro!$E$10:$E$3010,srpro!$J$10:$J$3010,$X$6,srpro!$B$10:$B$3010,'ProjectsX (2)'!A24,srpro!$K$10:$K$3010,$A$6),"")</f>
        <v/>
      </c>
      <c r="Y24" s="450"/>
      <c r="Z24" s="619" t="str">
        <f>IF( SUMIFS(srpro!$H$10:$H$3010,srpro!$J$10:$J$3010,$AA$6,srpro!$B$10:$B$3010,'ProjectsX (2)'!A24,srpro!$K$10:$K$3010,$A$6)&gt;0,SUMIFS(srpro!$H$10:$H$3010,srpro!$J$10:$J$3010,$AA$6,srpro!$B$10:$B$3010,'ProjectsX (2)'!A24,srpro!$K$10:$K$3010,$A$6),"")</f>
        <v/>
      </c>
      <c r="AA24" s="449">
        <f>IF( SUMIFS(srpro!$E$10:$E$3010,srpro!$J$10:$J$3010,$AA$6,srpro!$B$10:$B$3010,'ProjectsX (2)'!A24,srpro!$K$10:$K$3010,$A$6)&gt;0,SUMIFS(srpro!$E$10:$E$3010,srpro!$J$10:$J$3010,$AA$6,srpro!$B$10:$B$3010,'ProjectsX (2)'!A24,srpro!$K$10:$K$3010,$A$6),"")</f>
        <v>789</v>
      </c>
      <c r="AB24" s="450"/>
      <c r="AC24" s="619" t="str">
        <f>IF( SUMIFS(srpro!$H$10:$H$3010,srpro!$J$10:$J$3010,$AD$6,srpro!$B$10:$B$3010,'ProjectsX (2)'!A24,srpro!$K$10:$K$3010,$A$6)&gt;0,SUMIFS(srpro!$H$10:$H$3010,srpro!$J$10:$J$3010,$AD$6,srpro!$B$10:$B$3010,'ProjectsX (2)'!A24,srpro!$K$10:$K$3010,$A$6),"")</f>
        <v/>
      </c>
      <c r="AD24" s="449" t="str">
        <f>IF( SUMIFS(srpro!$E$10:$E$3010,srpro!$J$10:$J$3010,$AD$6,srpro!$B$10:$B$3010,'ProjectsX (2)'!A24,srpro!$K$10:$K$3010,$A$6)&gt;0,SUMIFS(srpro!$E$10:$E$3010,srpro!$J$10:$J$3010,$AD$6,srpro!$B$10:$B$3010,'ProjectsX (2)'!A24,srpro!$K$10:$K$3010,$A$6),"")</f>
        <v/>
      </c>
      <c r="AE24" s="450"/>
      <c r="AF24" s="454" t="str">
        <f>IF( SUMIFS(srpro!$H$10:$H$3010,srpro!$J$10:$J$3010,$AG$6,srpro!$B$10:$B$3010,'ProjectsX (2)'!A24,srpro!$K$10:$K$3010,$A$6)&gt;0,SUMIFS(srpro!$H$10:$H$3010,srpro!$J$10:$J$3010,$AG$6,srpro!$B$10:$B$3010,'ProjectsX (2)'!A24,srpro!$K$10:$K$3010,$A$6),"")</f>
        <v/>
      </c>
      <c r="AG24" s="449" t="str">
        <f>IF( SUMIFS(srpro!$E$10:$E$3010,srpro!$J$10:$J$3010,$AG$6,srpro!$B$10:$B$3010,'ProjectsX (2)'!A24,srpro!$K$10:$K$3010,$A$6)&gt;0,SUMIFS(srpro!$E$10:$E$3010,srpro!$J$10:$J$3010,$AG$6,srpro!$B$10:$B$3010,'ProjectsX (2)'!A24,srpro!$K$10:$K$3010,$A$6),"")</f>
        <v/>
      </c>
      <c r="AH24" s="450"/>
      <c r="AI24" s="451"/>
      <c r="AJ24" s="451"/>
      <c r="AK24" s="450"/>
      <c r="AL24" s="615">
        <f t="shared" si="9"/>
        <v>2595.3000000000002</v>
      </c>
      <c r="AM24" s="425"/>
      <c r="AN24" s="425"/>
      <c r="AO24" s="425"/>
      <c r="AP24" s="425"/>
      <c r="AQ24" s="425"/>
      <c r="AR24" s="425"/>
      <c r="AS24" s="425"/>
      <c r="AT24" s="425"/>
      <c r="AU24" s="425"/>
      <c r="AV24" s="425"/>
      <c r="AW24" s="425"/>
      <c r="AX24" s="425"/>
      <c r="AY24" s="425"/>
      <c r="AZ24" s="425"/>
      <c r="BA24" s="425"/>
      <c r="BB24" s="425"/>
      <c r="BC24" s="425"/>
      <c r="BD24" s="425"/>
      <c r="BE24" s="425"/>
    </row>
    <row r="25" spans="1:57" ht="19.5" customHeight="1">
      <c r="A25" s="616">
        <v>216</v>
      </c>
      <c r="B25" s="618" t="s">
        <v>300</v>
      </c>
      <c r="C25" s="458">
        <f>(ProHeader!L24+ProHeader!M24)+((ProHeader!L24+ProHeader!M24)*5%)</f>
        <v>204750</v>
      </c>
      <c r="D25" s="458">
        <f t="shared" si="5"/>
        <v>8662.5</v>
      </c>
      <c r="E25" s="459">
        <f>SUMIFS(srpro!$H$10:$H$3010,srpro!$B$10:$B$3010,'ProjectsX (2)'!A25)</f>
        <v>196087.5</v>
      </c>
      <c r="F25" s="460">
        <f>SUMIFS(srpro!$E$10:$E$3010,srpro!$B$10:$B$3010,'ProjectsX (2)'!A25)</f>
        <v>142979.09</v>
      </c>
      <c r="G25" s="478">
        <f t="shared" si="3"/>
        <v>0.95769230769230773</v>
      </c>
      <c r="H25" s="479">
        <f t="shared" si="4"/>
        <v>0.66339504517704517</v>
      </c>
      <c r="I25" s="535"/>
      <c r="J25" s="606">
        <f t="shared" si="6"/>
        <v>58682.364499999996</v>
      </c>
      <c r="K25" s="617">
        <f t="shared" si="7"/>
        <v>0.30168942612942612</v>
      </c>
      <c r="L25" s="526">
        <f>ProHeader!AN24</f>
        <v>5</v>
      </c>
      <c r="M25" s="525" t="str">
        <f>TEXT(  ProHeader!AJ24,"dd-mm-yy")</f>
        <v>-</v>
      </c>
      <c r="N25" s="525">
        <f>IFERROR(ProHeader!AK24 + ProHeader!AL24,"-")</f>
        <v>63756</v>
      </c>
      <c r="O25" s="525">
        <f>IFERROR(ProHeader!AM24,"0")</f>
        <v>63756</v>
      </c>
      <c r="P25" s="525">
        <f t="shared" si="8"/>
        <v>0</v>
      </c>
      <c r="Q25" s="619" t="str">
        <f>IF( SUMIFS(srpro!$H$10:$H$3010,srpro!$J$10:$J$3010,$R$6,srpro!$B$10:$B$3010,'ProjectsX (2)'!A25,srpro!$K$10:$K$3010,$A$6)&gt;0,SUMIFS(srpro!$H$10:$H$3010,srpro!$J$10:$J$3010,$R$6,srpro!$B$10:$B$3010,'ProjectsX (2)'!A25,srpro!$K$10:$K$3010,$A$6),"")</f>
        <v/>
      </c>
      <c r="R25" s="449" t="str">
        <f>IF( SUMIFS(srpro!$E$10:$E$3010,srpro!$J$10:$J$3010,$R$6,srpro!$B$10:$B$3010,'ProjectsX (2)'!A25,srpro!$K$10:$K$3010,$A$6)&gt;0,SUMIFS(srpro!$E$10:$E$3010,srpro!$J$10:$J$3010,$R$6,srpro!$B$10:$B$3010,'ProjectsX (2)'!A25,srpro!$K$10:$K$3010,$A$6),"")</f>
        <v/>
      </c>
      <c r="S25" s="450"/>
      <c r="T25" s="619" t="str">
        <f>IF( SUMIFS(srpro!$H$10:$H$3010,srpro!$J$10:$J$3010,$U$6,srpro!$B$10:$B$3010,'ProjectsX (2)'!A25,srpro!$K$10:$K$3010,$A$6)&gt;0,SUMIFS(srpro!$H$10:$H$3010,srpro!$J$10:$J$3010,$U$6,srpro!$B$10:$B$3010,'ProjectsX (2)'!A25,srpro!$K$10:$K$3010,$A$6),"")</f>
        <v/>
      </c>
      <c r="U25" s="449">
        <f>IF( SUMIFS(srpro!$E$10:$E$3010,srpro!$J$10:$J$3010,$U$6,srpro!$B$10:$B$3010,'ProjectsX (2)'!A25,srpro!$K$10:$K$3010,$A$6)&gt;0,SUMIFS(srpro!$E$10:$E$3010,srpro!$J$10:$J$3010,$U$6,srpro!$B$10:$B$3010,'ProjectsX (2)'!A25,srpro!$K$10:$K$3010,$A$6),"")</f>
        <v>5193.82</v>
      </c>
      <c r="V25" s="450"/>
      <c r="W25" s="619" t="str">
        <f>IF( SUMIFS(srpro!$H$10:$H$3010,srpro!$J$10:$J$3010,$X$6,srpro!$B$10:$B$3010,'ProjectsX (2)'!A25,srpro!$K$10:$K$3010,$A$6)&gt;0,SUMIFS(srpro!$H$10:$H$3010,srpro!$J$10:$J$3010,$X$6,srpro!$B$10:$B$3010,'ProjectsX (2)'!A25,srpro!$K$10:$K$3010,$A$6),"")</f>
        <v/>
      </c>
      <c r="X25" s="449">
        <f>IF( SUMIFS(srpro!$E$10:$E$3010,srpro!$J$10:$J$3010,$X$6,srpro!$B$10:$B$3010,'ProjectsX (2)'!A25,srpro!$K$10:$K$3010,$A$6)&gt;0,SUMIFS(srpro!$E$10:$E$3010,srpro!$J$10:$J$3010,$X$6,srpro!$B$10:$B$3010,'ProjectsX (2)'!A25,srpro!$K$10:$K$3010,$A$6),"")</f>
        <v>19944.2</v>
      </c>
      <c r="Y25" s="450"/>
      <c r="Z25" s="619">
        <f>IF( SUMIFS(srpro!$H$10:$H$3010,srpro!$J$10:$J$3010,$AA$6,srpro!$B$10:$B$3010,'ProjectsX (2)'!A25,srpro!$K$10:$K$3010,$A$6)&gt;0,SUMIFS(srpro!$H$10:$H$3010,srpro!$J$10:$J$3010,$AA$6,srpro!$B$10:$B$3010,'ProjectsX (2)'!A25,srpro!$K$10:$K$3010,$A$6),"")</f>
        <v>31500</v>
      </c>
      <c r="AA25" s="449">
        <f>IF( SUMIFS(srpro!$E$10:$E$3010,srpro!$J$10:$J$3010,$AA$6,srpro!$B$10:$B$3010,'ProjectsX (2)'!A25,srpro!$K$10:$K$3010,$A$6)&gt;0,SUMIFS(srpro!$E$10:$E$3010,srpro!$J$10:$J$3010,$AA$6,srpro!$B$10:$B$3010,'ProjectsX (2)'!A25,srpro!$K$10:$K$3010,$A$6),"")</f>
        <v>24825.82</v>
      </c>
      <c r="AB25" s="450"/>
      <c r="AC25" s="619">
        <f>IF( SUMIFS(srpro!$H$10:$H$3010,srpro!$J$10:$J$3010,$AD$6,srpro!$B$10:$B$3010,'ProjectsX (2)'!A25,srpro!$K$10:$K$3010,$A$6)&gt;0,SUMIFS(srpro!$H$10:$H$3010,srpro!$J$10:$J$3010,$AD$6,srpro!$B$10:$B$3010,'ProjectsX (2)'!A25,srpro!$K$10:$K$3010,$A$6),"")</f>
        <v>9702</v>
      </c>
      <c r="AD25" s="449" t="str">
        <f>IF( SUMIFS(srpro!$E$10:$E$3010,srpro!$J$10:$J$3010,$AD$6,srpro!$B$10:$B$3010,'ProjectsX (2)'!A25,srpro!$K$10:$K$3010,$A$6)&gt;0,SUMIFS(srpro!$E$10:$E$3010,srpro!$J$10:$J$3010,$AD$6,srpro!$B$10:$B$3010,'ProjectsX (2)'!A25,srpro!$K$10:$K$3010,$A$6),"")</f>
        <v/>
      </c>
      <c r="AE25" s="450"/>
      <c r="AF25" s="454" t="str">
        <f>IF( SUMIFS(srpro!$H$10:$H$3010,srpro!$J$10:$J$3010,$AG$6,srpro!$B$10:$B$3010,'ProjectsX (2)'!A25,srpro!$K$10:$K$3010,$A$6)&gt;0,SUMIFS(srpro!$H$10:$H$3010,srpro!$J$10:$J$3010,$AG$6,srpro!$B$10:$B$3010,'ProjectsX (2)'!A25,srpro!$K$10:$K$3010,$A$6),"")</f>
        <v/>
      </c>
      <c r="AG25" s="449" t="str">
        <f>IF( SUMIFS(srpro!$E$10:$E$3010,srpro!$J$10:$J$3010,$AG$6,srpro!$B$10:$B$3010,'ProjectsX (2)'!A25,srpro!$K$10:$K$3010,$A$6)&gt;0,SUMIFS(srpro!$E$10:$E$3010,srpro!$J$10:$J$3010,$AG$6,srpro!$B$10:$B$3010,'ProjectsX (2)'!A25,srpro!$K$10:$K$3010,$A$6),"")</f>
        <v/>
      </c>
      <c r="AH25" s="450"/>
      <c r="AI25" s="451"/>
      <c r="AJ25" s="451"/>
      <c r="AK25" s="450"/>
      <c r="AL25" s="615">
        <f t="shared" si="9"/>
        <v>91165.84</v>
      </c>
      <c r="AM25" s="425"/>
      <c r="AN25" s="425"/>
      <c r="AO25" s="425"/>
      <c r="AP25" s="425"/>
      <c r="AQ25" s="425"/>
      <c r="AR25" s="425"/>
      <c r="AS25" s="425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</row>
    <row r="26" spans="1:57" ht="19.5" customHeight="1">
      <c r="A26" s="616">
        <v>217</v>
      </c>
      <c r="B26" s="618" t="s">
        <v>296</v>
      </c>
      <c r="C26" s="458">
        <f>(ProHeader!L25+ProHeader!M25)+((ProHeader!L25+ProHeader!M25)*5%)</f>
        <v>186900</v>
      </c>
      <c r="D26" s="458">
        <f t="shared" si="5"/>
        <v>0</v>
      </c>
      <c r="E26" s="459">
        <f>SUMIFS(srpro!$H$10:$H$3010,srpro!$B$10:$B$3010,'ProjectsX (2)'!A26)</f>
        <v>186900</v>
      </c>
      <c r="F26" s="460">
        <f>SUMIFS(srpro!$E$10:$E$3010,srpro!$B$10:$B$3010,'ProjectsX (2)'!A26)</f>
        <v>152930.56599999999</v>
      </c>
      <c r="G26" s="478">
        <f t="shared" si="3"/>
        <v>1</v>
      </c>
      <c r="H26" s="479">
        <f t="shared" si="4"/>
        <v>0.77733567522739422</v>
      </c>
      <c r="I26" s="535"/>
      <c r="J26" s="606">
        <f t="shared" si="6"/>
        <v>32270.962300000014</v>
      </c>
      <c r="K26" s="617">
        <f t="shared" si="7"/>
        <v>0.18175192081326921</v>
      </c>
      <c r="L26" s="526">
        <f>ProHeader!AN25</f>
        <v>4</v>
      </c>
      <c r="M26" s="525" t="str">
        <f>TEXT(  ProHeader!AJ25,"dd-mm-yy")</f>
        <v>-</v>
      </c>
      <c r="N26" s="525">
        <f>IFERROR(ProHeader!AK25 + ProHeader!AL25,"-")</f>
        <v>69090</v>
      </c>
      <c r="O26" s="525">
        <f>IFERROR(ProHeader!AM25,"0")</f>
        <v>69090</v>
      </c>
      <c r="P26" s="525">
        <f t="shared" si="8"/>
        <v>0</v>
      </c>
      <c r="Q26" s="619" t="str">
        <f>IF( SUMIFS(srpro!$H$10:$H$3010,srpro!$J$10:$J$3010,$R$6,srpro!$B$10:$B$3010,'ProjectsX (2)'!A26,srpro!$K$10:$K$3010,$A$6)&gt;0,SUMIFS(srpro!$H$10:$H$3010,srpro!$J$10:$J$3010,$R$6,srpro!$B$10:$B$3010,'ProjectsX (2)'!A26,srpro!$K$10:$K$3010,$A$6),"")</f>
        <v/>
      </c>
      <c r="R26" s="449">
        <f>IF( SUMIFS(srpro!$E$10:$E$3010,srpro!$J$10:$J$3010,$R$6,srpro!$B$10:$B$3010,'ProjectsX (2)'!A26,srpro!$K$10:$K$3010,$A$6)&gt;0,SUMIFS(srpro!$E$10:$E$3010,srpro!$J$10:$J$3010,$R$6,srpro!$B$10:$B$3010,'ProjectsX (2)'!A26,srpro!$K$10:$K$3010,$A$6),"")</f>
        <v>3680</v>
      </c>
      <c r="S26" s="450"/>
      <c r="T26" s="619" t="str">
        <f>IF( SUMIFS(srpro!$H$10:$H$3010,srpro!$J$10:$J$3010,$U$6,srpro!$B$10:$B$3010,'ProjectsX (2)'!A26,srpro!$K$10:$K$3010,$A$6)&gt;0,SUMIFS(srpro!$H$10:$H$3010,srpro!$J$10:$J$3010,$U$6,srpro!$B$10:$B$3010,'ProjectsX (2)'!A26,srpro!$K$10:$K$3010,$A$6),"")</f>
        <v/>
      </c>
      <c r="U26" s="449">
        <f>IF( SUMIFS(srpro!$E$10:$E$3010,srpro!$J$10:$J$3010,$U$6,srpro!$B$10:$B$3010,'ProjectsX (2)'!A26,srpro!$K$10:$K$3010,$A$6)&gt;0,SUMIFS(srpro!$E$10:$E$3010,srpro!$J$10:$J$3010,$U$6,srpro!$B$10:$B$3010,'ProjectsX (2)'!A26,srpro!$K$10:$K$3010,$A$6),"")</f>
        <v>22463.995999999999</v>
      </c>
      <c r="V26" s="450"/>
      <c r="W26" s="619" t="str">
        <f>IF( SUMIFS(srpro!$H$10:$H$3010,srpro!$J$10:$J$3010,$X$6,srpro!$B$10:$B$3010,'ProjectsX (2)'!A26,srpro!$K$10:$K$3010,$A$6)&gt;0,SUMIFS(srpro!$H$10:$H$3010,srpro!$J$10:$J$3010,$X$6,srpro!$B$10:$B$3010,'ProjectsX (2)'!A26,srpro!$K$10:$K$3010,$A$6),"")</f>
        <v/>
      </c>
      <c r="X26" s="449">
        <f>IF( SUMIFS(srpro!$E$10:$E$3010,srpro!$J$10:$J$3010,$X$6,srpro!$B$10:$B$3010,'ProjectsX (2)'!A26,srpro!$K$10:$K$3010,$A$6)&gt;0,SUMIFS(srpro!$E$10:$E$3010,srpro!$J$10:$J$3010,$X$6,srpro!$B$10:$B$3010,'ProjectsX (2)'!A26,srpro!$K$10:$K$3010,$A$6),"")</f>
        <v>11014</v>
      </c>
      <c r="Y26" s="450"/>
      <c r="Z26" s="619">
        <f>IF( SUMIFS(srpro!$H$10:$H$3010,srpro!$J$10:$J$3010,$AA$6,srpro!$B$10:$B$3010,'ProjectsX (2)'!A26,srpro!$K$10:$K$3010,$A$6)&gt;0,SUMIFS(srpro!$H$10:$H$3010,srpro!$J$10:$J$3010,$AA$6,srpro!$B$10:$B$3010,'ProjectsX (2)'!A26,srpro!$K$10:$K$3010,$A$6),"")</f>
        <v>22627.5</v>
      </c>
      <c r="AA26" s="449">
        <f>IF( SUMIFS(srpro!$E$10:$E$3010,srpro!$J$10:$J$3010,$AA$6,srpro!$B$10:$B$3010,'ProjectsX (2)'!A26,srpro!$K$10:$K$3010,$A$6)&gt;0,SUMIFS(srpro!$E$10:$E$3010,srpro!$J$10:$J$3010,$AA$6,srpro!$B$10:$B$3010,'ProjectsX (2)'!A26,srpro!$K$10:$K$3010,$A$6),"")</f>
        <v>317.10000000000002</v>
      </c>
      <c r="AB26" s="450"/>
      <c r="AC26" s="619" t="str">
        <f>IF( SUMIFS(srpro!$H$10:$H$3010,srpro!$J$10:$J$3010,$AD$6,srpro!$B$10:$B$3010,'ProjectsX (2)'!A26,srpro!$K$10:$K$3010,$A$6)&gt;0,SUMIFS(srpro!$H$10:$H$3010,srpro!$J$10:$J$3010,$AD$6,srpro!$B$10:$B$3010,'ProjectsX (2)'!A26,srpro!$K$10:$K$3010,$A$6),"")</f>
        <v/>
      </c>
      <c r="AD26" s="449" t="str">
        <f>IF( SUMIFS(srpro!$E$10:$E$3010,srpro!$J$10:$J$3010,$AD$6,srpro!$B$10:$B$3010,'ProjectsX (2)'!A26,srpro!$K$10:$K$3010,$A$6)&gt;0,SUMIFS(srpro!$E$10:$E$3010,srpro!$J$10:$J$3010,$AD$6,srpro!$B$10:$B$3010,'ProjectsX (2)'!A26,srpro!$K$10:$K$3010,$A$6),"")</f>
        <v/>
      </c>
      <c r="AE26" s="450"/>
      <c r="AF26" s="454" t="str">
        <f>IF( SUMIFS(srpro!$H$10:$H$3010,srpro!$J$10:$J$3010,$AG$6,srpro!$B$10:$B$3010,'ProjectsX (2)'!A26,srpro!$K$10:$K$3010,$A$6)&gt;0,SUMIFS(srpro!$H$10:$H$3010,srpro!$J$10:$J$3010,$AG$6,srpro!$B$10:$B$3010,'ProjectsX (2)'!A26,srpro!$K$10:$K$3010,$A$6),"")</f>
        <v/>
      </c>
      <c r="AG26" s="449" t="str">
        <f>IF( SUMIFS(srpro!$E$10:$E$3010,srpro!$J$10:$J$3010,$AG$6,srpro!$B$10:$B$3010,'ProjectsX (2)'!A26,srpro!$K$10:$K$3010,$A$6)&gt;0,SUMIFS(srpro!$E$10:$E$3010,srpro!$J$10:$J$3010,$AG$6,srpro!$B$10:$B$3010,'ProjectsX (2)'!A26,srpro!$K$10:$K$3010,$A$6),"")</f>
        <v/>
      </c>
      <c r="AH26" s="450"/>
      <c r="AI26" s="451"/>
      <c r="AJ26" s="451"/>
      <c r="AK26" s="450"/>
      <c r="AL26" s="615">
        <f t="shared" si="9"/>
        <v>60102.595999999998</v>
      </c>
      <c r="AM26" s="425"/>
      <c r="AN26" s="425"/>
      <c r="AO26" s="425"/>
      <c r="AP26" s="425"/>
      <c r="AQ26" s="425"/>
      <c r="AR26" s="425"/>
      <c r="AS26" s="425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</row>
    <row r="27" spans="1:57" ht="19.5" customHeight="1">
      <c r="A27" s="616">
        <v>218</v>
      </c>
      <c r="B27" s="618" t="s">
        <v>153</v>
      </c>
      <c r="C27" s="458">
        <f>(ProHeader!L26+ProHeader!M26)+((ProHeader!L26+ProHeader!M26)*5%)</f>
        <v>177450</v>
      </c>
      <c r="D27" s="458">
        <f t="shared" si="5"/>
        <v>10610.502000000008</v>
      </c>
      <c r="E27" s="459">
        <f>SUMIFS(srpro!$H$10:$H$3010,srpro!$B$10:$B$3010,'ProjectsX (2)'!A27)</f>
        <v>166839.49799999999</v>
      </c>
      <c r="F27" s="460">
        <f>SUMIFS(srpro!$E$10:$E$3010,srpro!$B$10:$B$3010,'ProjectsX (2)'!A27)</f>
        <v>121187.35250000001</v>
      </c>
      <c r="G27" s="478">
        <f t="shared" si="3"/>
        <v>0.94020568047337272</v>
      </c>
      <c r="H27" s="479">
        <f t="shared" si="4"/>
        <v>0.64879112355593127</v>
      </c>
      <c r="I27" s="535"/>
      <c r="J27" s="606">
        <f t="shared" si="6"/>
        <v>53449.515124999991</v>
      </c>
      <c r="K27" s="617">
        <f t="shared" si="7"/>
        <v>0.31706197520428286</v>
      </c>
      <c r="L27" s="526">
        <f>ProHeader!AN26</f>
        <v>1</v>
      </c>
      <c r="M27" s="525" t="str">
        <f>TEXT(  ProHeader!AJ26,"dd-mm-yy")</f>
        <v>-</v>
      </c>
      <c r="N27" s="525">
        <f>IFERROR(ProHeader!AK26 + ProHeader!AL26,"-")</f>
        <v>64727.25</v>
      </c>
      <c r="O27" s="525">
        <f>IFERROR(ProHeader!AM26,"0")</f>
        <v>64727.25</v>
      </c>
      <c r="P27" s="525">
        <f t="shared" si="8"/>
        <v>0</v>
      </c>
      <c r="Q27" s="619" t="str">
        <f>IF( SUMIFS(srpro!$H$10:$H$3010,srpro!$J$10:$J$3010,$R$6,srpro!$B$10:$B$3010,'ProjectsX (2)'!A27,srpro!$K$10:$K$3010,$A$6)&gt;0,SUMIFS(srpro!$H$10:$H$3010,srpro!$J$10:$J$3010,$R$6,srpro!$B$10:$B$3010,'ProjectsX (2)'!A27,srpro!$K$10:$K$3010,$A$6),"")</f>
        <v/>
      </c>
      <c r="R27" s="449">
        <f>IF( SUMIFS(srpro!$E$10:$E$3010,srpro!$J$10:$J$3010,$R$6,srpro!$B$10:$B$3010,'ProjectsX (2)'!A27,srpro!$K$10:$K$3010,$A$6)&gt;0,SUMIFS(srpro!$E$10:$E$3010,srpro!$J$10:$J$3010,$R$6,srpro!$B$10:$B$3010,'ProjectsX (2)'!A27,srpro!$K$10:$K$3010,$A$6),"")</f>
        <v>5543.99</v>
      </c>
      <c r="S27" s="450"/>
      <c r="T27" s="619" t="str">
        <f>IF( SUMIFS(srpro!$H$10:$H$3010,srpro!$J$10:$J$3010,$U$6,srpro!$B$10:$B$3010,'ProjectsX (2)'!A27,srpro!$K$10:$K$3010,$A$6)&gt;0,SUMIFS(srpro!$H$10:$H$3010,srpro!$J$10:$J$3010,$U$6,srpro!$B$10:$B$3010,'ProjectsX (2)'!A27,srpro!$K$10:$K$3010,$A$6),"")</f>
        <v/>
      </c>
      <c r="U27" s="449">
        <f>IF( SUMIFS(srpro!$E$10:$E$3010,srpro!$J$10:$J$3010,$U$6,srpro!$B$10:$B$3010,'ProjectsX (2)'!A27,srpro!$K$10:$K$3010,$A$6)&gt;0,SUMIFS(srpro!$E$10:$E$3010,srpro!$J$10:$J$3010,$U$6,srpro!$B$10:$B$3010,'ProjectsX (2)'!A27,srpro!$K$10:$K$3010,$A$6),"")</f>
        <v>5689.1125000000002</v>
      </c>
      <c r="V27" s="450"/>
      <c r="W27" s="619" t="str">
        <f>IF( SUMIFS(srpro!$H$10:$H$3010,srpro!$J$10:$J$3010,$X$6,srpro!$B$10:$B$3010,'ProjectsX (2)'!A27,srpro!$K$10:$K$3010,$A$6)&gt;0,SUMIFS(srpro!$H$10:$H$3010,srpro!$J$10:$J$3010,$X$6,srpro!$B$10:$B$3010,'ProjectsX (2)'!A27,srpro!$K$10:$K$3010,$A$6),"")</f>
        <v/>
      </c>
      <c r="X27" s="449" t="str">
        <f>IF( SUMIFS(srpro!$E$10:$E$3010,srpro!$J$10:$J$3010,$X$6,srpro!$B$10:$B$3010,'ProjectsX (2)'!A27,srpro!$K$10:$K$3010,$A$6)&gt;0,SUMIFS(srpro!$E$10:$E$3010,srpro!$J$10:$J$3010,$X$6,srpro!$B$10:$B$3010,'ProjectsX (2)'!A27,srpro!$K$10:$K$3010,$A$6),"")</f>
        <v/>
      </c>
      <c r="Y27" s="450"/>
      <c r="Z27" s="619" t="str">
        <f>IF( SUMIFS(srpro!$H$10:$H$3010,srpro!$J$10:$J$3010,$AA$6,srpro!$B$10:$B$3010,'ProjectsX (2)'!A27,srpro!$K$10:$K$3010,$A$6)&gt;0,SUMIFS(srpro!$H$10:$H$3010,srpro!$J$10:$J$3010,$AA$6,srpro!$B$10:$B$3010,'ProjectsX (2)'!A27,srpro!$K$10:$K$3010,$A$6),"")</f>
        <v/>
      </c>
      <c r="AA27" s="449" t="str">
        <f>IF( SUMIFS(srpro!$E$10:$E$3010,srpro!$J$10:$J$3010,$AA$6,srpro!$B$10:$B$3010,'ProjectsX (2)'!A27,srpro!$K$10:$K$3010,$A$6)&gt;0,SUMIFS(srpro!$E$10:$E$3010,srpro!$J$10:$J$3010,$AA$6,srpro!$B$10:$B$3010,'ProjectsX (2)'!A27,srpro!$K$10:$K$3010,$A$6),"")</f>
        <v/>
      </c>
      <c r="AB27" s="450"/>
      <c r="AC27" s="619" t="str">
        <f>IF( SUMIFS(srpro!$H$10:$H$3010,srpro!$J$10:$J$3010,$AD$6,srpro!$B$10:$B$3010,'ProjectsX (2)'!A27,srpro!$K$10:$K$3010,$A$6)&gt;0,SUMIFS(srpro!$H$10:$H$3010,srpro!$J$10:$J$3010,$AD$6,srpro!$B$10:$B$3010,'ProjectsX (2)'!A27,srpro!$K$10:$K$3010,$A$6),"")</f>
        <v/>
      </c>
      <c r="AD27" s="449" t="str">
        <f>IF( SUMIFS(srpro!$E$10:$E$3010,srpro!$J$10:$J$3010,$AD$6,srpro!$B$10:$B$3010,'ProjectsX (2)'!A27,srpro!$K$10:$K$3010,$A$6)&gt;0,SUMIFS(srpro!$E$10:$E$3010,srpro!$J$10:$J$3010,$AD$6,srpro!$B$10:$B$3010,'ProjectsX (2)'!A27,srpro!$K$10:$K$3010,$A$6),"")</f>
        <v/>
      </c>
      <c r="AE27" s="450"/>
      <c r="AF27" s="454">
        <f>IF( SUMIFS(srpro!$H$10:$H$3010,srpro!$J$10:$J$3010,$AG$6,srpro!$B$10:$B$3010,'ProjectsX (2)'!A27,srpro!$K$10:$K$3010,$A$6)&gt;0,SUMIFS(srpro!$H$10:$H$3010,srpro!$J$10:$J$3010,$AG$6,srpro!$B$10:$B$3010,'ProjectsX (2)'!A27,srpro!$K$10:$K$3010,$A$6),"")</f>
        <v>7087.5</v>
      </c>
      <c r="AG27" s="449" t="str">
        <f>IF( SUMIFS(srpro!$E$10:$E$3010,srpro!$J$10:$J$3010,$AG$6,srpro!$B$10:$B$3010,'ProjectsX (2)'!A27,srpro!$K$10:$K$3010,$A$6)&gt;0,SUMIFS(srpro!$E$10:$E$3010,srpro!$J$10:$J$3010,$AG$6,srpro!$B$10:$B$3010,'ProjectsX (2)'!A27,srpro!$K$10:$K$3010,$A$6),"")</f>
        <v/>
      </c>
      <c r="AH27" s="450"/>
      <c r="AI27" s="451"/>
      <c r="AJ27" s="451"/>
      <c r="AK27" s="450"/>
      <c r="AL27" s="615">
        <f t="shared" si="9"/>
        <v>18320.602500000001</v>
      </c>
      <c r="AM27" s="425"/>
      <c r="AN27" s="425"/>
      <c r="AO27" s="425"/>
      <c r="AP27" s="425"/>
      <c r="AQ27" s="425"/>
      <c r="AR27" s="425"/>
      <c r="AS27" s="425"/>
      <c r="AT27" s="425"/>
      <c r="AU27" s="425"/>
      <c r="AV27" s="425"/>
      <c r="AW27" s="425"/>
      <c r="AX27" s="425"/>
      <c r="AY27" s="425"/>
      <c r="AZ27" s="425"/>
      <c r="BA27" s="425"/>
      <c r="BB27" s="425"/>
      <c r="BC27" s="425"/>
      <c r="BD27" s="425"/>
      <c r="BE27" s="425"/>
    </row>
    <row r="28" spans="1:57" ht="19.5" customHeight="1">
      <c r="A28" s="616">
        <v>219</v>
      </c>
      <c r="B28" s="618" t="s">
        <v>265</v>
      </c>
      <c r="C28" s="458">
        <f>(ProHeader!L27+ProHeader!M27)+((ProHeader!L27+ProHeader!M27)*5%)</f>
        <v>141750</v>
      </c>
      <c r="D28" s="458">
        <f t="shared" si="5"/>
        <v>12337.75</v>
      </c>
      <c r="E28" s="459">
        <f>SUMIFS(srpro!$H$10:$H$3010,srpro!$B$10:$B$3010,'ProjectsX (2)'!A28)</f>
        <v>129412.25</v>
      </c>
      <c r="F28" s="460">
        <f>SUMIFS(srpro!$E$10:$E$3010,srpro!$B$10:$B$3010,'ProjectsX (2)'!A28)</f>
        <v>96470.75</v>
      </c>
      <c r="G28" s="478">
        <f t="shared" si="3"/>
        <v>0.91296119929453268</v>
      </c>
      <c r="H28" s="479">
        <f t="shared" si="4"/>
        <v>0.64654118165784824</v>
      </c>
      <c r="I28" s="535"/>
      <c r="J28" s="606">
        <f t="shared" si="6"/>
        <v>43015.287500000006</v>
      </c>
      <c r="K28" s="617">
        <f t="shared" si="7"/>
        <v>0.31943033509700181</v>
      </c>
      <c r="L28" s="526">
        <f>ProHeader!AN27</f>
        <v>1</v>
      </c>
      <c r="M28" s="525" t="str">
        <f>TEXT(  ProHeader!AJ27,"dd-mm-yy")</f>
        <v>06-10-24</v>
      </c>
      <c r="N28" s="525">
        <f>IFERROR(ProHeader!AK27 + ProHeader!AL27,"-")</f>
        <v>7087.5</v>
      </c>
      <c r="O28" s="525">
        <f>IFERROR(ProHeader!AM27,"0")</f>
        <v>7087.5</v>
      </c>
      <c r="P28" s="525">
        <f t="shared" si="8"/>
        <v>0</v>
      </c>
      <c r="Q28" s="619" t="str">
        <f>IF( SUMIFS(srpro!$H$10:$H$3010,srpro!$J$10:$J$3010,$R$6,srpro!$B$10:$B$3010,'ProjectsX (2)'!A28,srpro!$K$10:$K$3010,$A$6)&gt;0,SUMIFS(srpro!$H$10:$H$3010,srpro!$J$10:$J$3010,$R$6,srpro!$B$10:$B$3010,'ProjectsX (2)'!A28,srpro!$K$10:$K$3010,$A$6),"")</f>
        <v/>
      </c>
      <c r="R28" s="449" t="str">
        <f>IF( SUMIFS(srpro!$E$10:$E$3010,srpro!$J$10:$J$3010,$R$6,srpro!$B$10:$B$3010,'ProjectsX (2)'!A28,srpro!$K$10:$K$3010,$A$6)&gt;0,SUMIFS(srpro!$E$10:$E$3010,srpro!$J$10:$J$3010,$R$6,srpro!$B$10:$B$3010,'ProjectsX (2)'!A28,srpro!$K$10:$K$3010,$A$6),"")</f>
        <v/>
      </c>
      <c r="S28" s="450"/>
      <c r="T28" s="619" t="str">
        <f>IF( SUMIFS(srpro!$H$10:$H$3010,srpro!$J$10:$J$3010,$U$6,srpro!$B$10:$B$3010,'ProjectsX (2)'!A28,srpro!$K$10:$K$3010,$A$6)&gt;0,SUMIFS(srpro!$H$10:$H$3010,srpro!$J$10:$J$3010,$U$6,srpro!$B$10:$B$3010,'ProjectsX (2)'!A28,srpro!$K$10:$K$3010,$A$6),"")</f>
        <v/>
      </c>
      <c r="U28" s="449" t="str">
        <f>IF( SUMIFS(srpro!$E$10:$E$3010,srpro!$J$10:$J$3010,$U$6,srpro!$B$10:$B$3010,'ProjectsX (2)'!A28,srpro!$K$10:$K$3010,$A$6)&gt;0,SUMIFS(srpro!$E$10:$E$3010,srpro!$J$10:$J$3010,$U$6,srpro!$B$10:$B$3010,'ProjectsX (2)'!A28,srpro!$K$10:$K$3010,$A$6),"")</f>
        <v/>
      </c>
      <c r="V28" s="450"/>
      <c r="W28" s="619" t="str">
        <f>IF( SUMIFS(srpro!$H$10:$H$3010,srpro!$J$10:$J$3010,$X$6,srpro!$B$10:$B$3010,'ProjectsX (2)'!A28,srpro!$K$10:$K$3010,$A$6)&gt;0,SUMIFS(srpro!$H$10:$H$3010,srpro!$J$10:$J$3010,$X$6,srpro!$B$10:$B$3010,'ProjectsX (2)'!A28,srpro!$K$10:$K$3010,$A$6),"")</f>
        <v/>
      </c>
      <c r="X28" s="449" t="str">
        <f>IF( SUMIFS(srpro!$E$10:$E$3010,srpro!$J$10:$J$3010,$X$6,srpro!$B$10:$B$3010,'ProjectsX (2)'!A28,srpro!$K$10:$K$3010,$A$6)&gt;0,SUMIFS(srpro!$E$10:$E$3010,srpro!$J$10:$J$3010,$X$6,srpro!$B$10:$B$3010,'ProjectsX (2)'!A28,srpro!$K$10:$K$3010,$A$6),"")</f>
        <v/>
      </c>
      <c r="Y28" s="450"/>
      <c r="Z28" s="619" t="str">
        <f>IF( SUMIFS(srpro!$H$10:$H$3010,srpro!$J$10:$J$3010,$AA$6,srpro!$B$10:$B$3010,'ProjectsX (2)'!A28,srpro!$K$10:$K$3010,$A$6)&gt;0,SUMIFS(srpro!$H$10:$H$3010,srpro!$J$10:$J$3010,$AA$6,srpro!$B$10:$B$3010,'ProjectsX (2)'!A28,srpro!$K$10:$K$3010,$A$6),"")</f>
        <v/>
      </c>
      <c r="AA28" s="449" t="str">
        <f>IF( SUMIFS(srpro!$E$10:$E$3010,srpro!$J$10:$J$3010,$AA$6,srpro!$B$10:$B$3010,'ProjectsX (2)'!A28,srpro!$K$10:$K$3010,$A$6)&gt;0,SUMIFS(srpro!$E$10:$E$3010,srpro!$J$10:$J$3010,$AA$6,srpro!$B$10:$B$3010,'ProjectsX (2)'!A28,srpro!$K$10:$K$3010,$A$6),"")</f>
        <v/>
      </c>
      <c r="AB28" s="450"/>
      <c r="AC28" s="619" t="str">
        <f>IF( SUMIFS(srpro!$H$10:$H$3010,srpro!$J$10:$J$3010,$AD$6,srpro!$B$10:$B$3010,'ProjectsX (2)'!A28,srpro!$K$10:$K$3010,$A$6)&gt;0,SUMIFS(srpro!$H$10:$H$3010,srpro!$J$10:$J$3010,$AD$6,srpro!$B$10:$B$3010,'ProjectsX (2)'!A28,srpro!$K$10:$K$3010,$A$6),"")</f>
        <v/>
      </c>
      <c r="AD28" s="449" t="str">
        <f>IF( SUMIFS(srpro!$E$10:$E$3010,srpro!$J$10:$J$3010,$AD$6,srpro!$B$10:$B$3010,'ProjectsX (2)'!A28,srpro!$K$10:$K$3010,$A$6)&gt;0,SUMIFS(srpro!$E$10:$E$3010,srpro!$J$10:$J$3010,$AD$6,srpro!$B$10:$B$3010,'ProjectsX (2)'!A28,srpro!$K$10:$K$3010,$A$6),"")</f>
        <v/>
      </c>
      <c r="AE28" s="450"/>
      <c r="AF28" s="454" t="str">
        <f>IF( SUMIFS(srpro!$H$10:$H$3010,srpro!$J$10:$J$3010,$AG$6,srpro!$B$10:$B$3010,'ProjectsX (2)'!A28,srpro!$K$10:$K$3010,$A$6)&gt;0,SUMIFS(srpro!$H$10:$H$3010,srpro!$J$10:$J$3010,$AG$6,srpro!$B$10:$B$3010,'ProjectsX (2)'!A28,srpro!$K$10:$K$3010,$A$6),"")</f>
        <v/>
      </c>
      <c r="AG28" s="449" t="str">
        <f>IF( SUMIFS(srpro!$E$10:$E$3010,srpro!$J$10:$J$3010,$AG$6,srpro!$B$10:$B$3010,'ProjectsX (2)'!A28,srpro!$K$10:$K$3010,$A$6)&gt;0,SUMIFS(srpro!$E$10:$E$3010,srpro!$J$10:$J$3010,$AG$6,srpro!$B$10:$B$3010,'ProjectsX (2)'!A28,srpro!$K$10:$K$3010,$A$6),"")</f>
        <v/>
      </c>
      <c r="AH28" s="450"/>
      <c r="AI28" s="451"/>
      <c r="AJ28" s="451"/>
      <c r="AK28" s="450"/>
      <c r="AL28" s="615">
        <f t="shared" si="9"/>
        <v>0</v>
      </c>
      <c r="AM28" s="425"/>
      <c r="AN28" s="425"/>
      <c r="AO28" s="425"/>
      <c r="AP28" s="425"/>
      <c r="AQ28" s="425"/>
      <c r="AR28" s="425"/>
      <c r="AS28" s="425"/>
      <c r="AT28" s="425"/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25"/>
    </row>
    <row r="29" spans="1:57" ht="19.5" customHeight="1">
      <c r="A29" s="616">
        <v>220</v>
      </c>
      <c r="B29" s="618" t="s">
        <v>290</v>
      </c>
      <c r="C29" s="458">
        <f>(ProHeader!L28+ProHeader!M28)+((ProHeader!L28+ProHeader!M28)*5%)</f>
        <v>173250</v>
      </c>
      <c r="D29" s="458">
        <f t="shared" si="5"/>
        <v>63631.25</v>
      </c>
      <c r="E29" s="459">
        <f>SUMIFS(srpro!$H$10:$H$3010,srpro!$B$10:$B$3010,'ProjectsX (2)'!A29)</f>
        <v>109618.75</v>
      </c>
      <c r="F29" s="460">
        <f>SUMIFS(srpro!$E$10:$E$3010,srpro!$B$10:$B$3010,'ProjectsX (2)'!A29)</f>
        <v>65281.450000000004</v>
      </c>
      <c r="G29" s="478">
        <f t="shared" si="3"/>
        <v>0.63272005772005768</v>
      </c>
      <c r="H29" s="479">
        <f t="shared" si="4"/>
        <v>0.35796466089466089</v>
      </c>
      <c r="I29" s="535"/>
      <c r="J29" s="606">
        <f t="shared" si="6"/>
        <v>102570.1225</v>
      </c>
      <c r="K29" s="617">
        <f t="shared" si="7"/>
        <v>0.62319509379509375</v>
      </c>
      <c r="L29" s="526">
        <f>ProHeader!AN28</f>
        <v>0</v>
      </c>
      <c r="M29" s="525" t="str">
        <f>TEXT(  ProHeader!AJ28,"dd-mm-yy")</f>
        <v>-</v>
      </c>
      <c r="N29" s="525" t="str">
        <f>IFERROR(ProHeader!AK28 + ProHeader!AL28,"-")</f>
        <v>-</v>
      </c>
      <c r="O29" s="525" t="str">
        <f>IFERROR(ProHeader!AM28,"0")</f>
        <v>-</v>
      </c>
      <c r="P29" s="525" t="str">
        <f t="shared" si="8"/>
        <v>-</v>
      </c>
      <c r="Q29" s="619" t="str">
        <f>IF( SUMIFS(srpro!$H$10:$H$3010,srpro!$J$10:$J$3010,$R$6,srpro!$B$10:$B$3010,'ProjectsX (2)'!A29,srpro!$K$10:$K$3010,$A$6)&gt;0,SUMIFS(srpro!$H$10:$H$3010,srpro!$J$10:$J$3010,$R$6,srpro!$B$10:$B$3010,'ProjectsX (2)'!A29,srpro!$K$10:$K$3010,$A$6),"")</f>
        <v/>
      </c>
      <c r="R29" s="449" t="str">
        <f>IF( SUMIFS(srpro!$E$10:$E$3010,srpro!$J$10:$J$3010,$R$6,srpro!$B$10:$B$3010,'ProjectsX (2)'!A29,srpro!$K$10:$K$3010,$A$6)&gt;0,SUMIFS(srpro!$E$10:$E$3010,srpro!$J$10:$J$3010,$R$6,srpro!$B$10:$B$3010,'ProjectsX (2)'!A29,srpro!$K$10:$K$3010,$A$6),"")</f>
        <v/>
      </c>
      <c r="S29" s="450"/>
      <c r="T29" s="619" t="str">
        <f>IF( SUMIFS(srpro!$H$10:$H$3010,srpro!$J$10:$J$3010,$U$6,srpro!$B$10:$B$3010,'ProjectsX (2)'!A29,srpro!$K$10:$K$3010,$A$6)&gt;0,SUMIFS(srpro!$H$10:$H$3010,srpro!$J$10:$J$3010,$U$6,srpro!$B$10:$B$3010,'ProjectsX (2)'!A29,srpro!$K$10:$K$3010,$A$6),"")</f>
        <v/>
      </c>
      <c r="U29" s="449">
        <f>IF( SUMIFS(srpro!$E$10:$E$3010,srpro!$J$10:$J$3010,$U$6,srpro!$B$10:$B$3010,'ProjectsX (2)'!A29,srpro!$K$10:$K$3010,$A$6)&gt;0,SUMIFS(srpro!$E$10:$E$3010,srpro!$J$10:$J$3010,$U$6,srpro!$B$10:$B$3010,'ProjectsX (2)'!A29,srpro!$K$10:$K$3010,$A$6),"")</f>
        <v>2352.66</v>
      </c>
      <c r="V29" s="450"/>
      <c r="W29" s="619" t="str">
        <f>IF( SUMIFS(srpro!$H$10:$H$3010,srpro!$J$10:$J$3010,$X$6,srpro!$B$10:$B$3010,'ProjectsX (2)'!A29,srpro!$K$10:$K$3010,$A$6)&gt;0,SUMIFS(srpro!$H$10:$H$3010,srpro!$J$10:$J$3010,$X$6,srpro!$B$10:$B$3010,'ProjectsX (2)'!A29,srpro!$K$10:$K$3010,$A$6),"")</f>
        <v/>
      </c>
      <c r="X29" s="449">
        <f>IF( SUMIFS(srpro!$E$10:$E$3010,srpro!$J$10:$J$3010,$X$6,srpro!$B$10:$B$3010,'ProjectsX (2)'!A29,srpro!$K$10:$K$3010,$A$6)&gt;0,SUMIFS(srpro!$E$10:$E$3010,srpro!$J$10:$J$3010,$X$6,srpro!$B$10:$B$3010,'ProjectsX (2)'!A29,srpro!$K$10:$K$3010,$A$6),"")</f>
        <v>1867.79</v>
      </c>
      <c r="Y29" s="450"/>
      <c r="Z29" s="619" t="str">
        <f>IF( SUMIFS(srpro!$H$10:$H$3010,srpro!$J$10:$J$3010,$AA$6,srpro!$B$10:$B$3010,'ProjectsX (2)'!A29,srpro!$K$10:$K$3010,$A$6)&gt;0,SUMIFS(srpro!$H$10:$H$3010,srpro!$J$10:$J$3010,$AA$6,srpro!$B$10:$B$3010,'ProjectsX (2)'!A29,srpro!$K$10:$K$3010,$A$6),"")</f>
        <v/>
      </c>
      <c r="AA29" s="449" t="str">
        <f>IF( SUMIFS(srpro!$E$10:$E$3010,srpro!$J$10:$J$3010,$AA$6,srpro!$B$10:$B$3010,'ProjectsX (2)'!A29,srpro!$K$10:$K$3010,$A$6)&gt;0,SUMIFS(srpro!$E$10:$E$3010,srpro!$J$10:$J$3010,$AA$6,srpro!$B$10:$B$3010,'ProjectsX (2)'!A29,srpro!$K$10:$K$3010,$A$6),"")</f>
        <v/>
      </c>
      <c r="AB29" s="450"/>
      <c r="AC29" s="619" t="str">
        <f>IF( SUMIFS(srpro!$H$10:$H$3010,srpro!$J$10:$J$3010,$AD$6,srpro!$B$10:$B$3010,'ProjectsX (2)'!A29,srpro!$K$10:$K$3010,$A$6)&gt;0,SUMIFS(srpro!$H$10:$H$3010,srpro!$J$10:$J$3010,$AD$6,srpro!$B$10:$B$3010,'ProjectsX (2)'!A29,srpro!$K$10:$K$3010,$A$6),"")</f>
        <v/>
      </c>
      <c r="AD29" s="449" t="str">
        <f>IF( SUMIFS(srpro!$E$10:$E$3010,srpro!$J$10:$J$3010,$AD$6,srpro!$B$10:$B$3010,'ProjectsX (2)'!A29,srpro!$K$10:$K$3010,$A$6)&gt;0,SUMIFS(srpro!$E$10:$E$3010,srpro!$J$10:$J$3010,$AD$6,srpro!$B$10:$B$3010,'ProjectsX (2)'!A29,srpro!$K$10:$K$3010,$A$6),"")</f>
        <v/>
      </c>
      <c r="AE29" s="450"/>
      <c r="AF29" s="454" t="str">
        <f>IF( SUMIFS(srpro!$H$10:$H$3010,srpro!$J$10:$J$3010,$AG$6,srpro!$B$10:$B$3010,'ProjectsX (2)'!A29,srpro!$K$10:$K$3010,$A$6)&gt;0,SUMIFS(srpro!$H$10:$H$3010,srpro!$J$10:$J$3010,$AG$6,srpro!$B$10:$B$3010,'ProjectsX (2)'!A29,srpro!$K$10:$K$3010,$A$6),"")</f>
        <v/>
      </c>
      <c r="AG29" s="449" t="str">
        <f>IF( SUMIFS(srpro!$E$10:$E$3010,srpro!$J$10:$J$3010,$AG$6,srpro!$B$10:$B$3010,'ProjectsX (2)'!A29,srpro!$K$10:$K$3010,$A$6)&gt;0,SUMIFS(srpro!$E$10:$E$3010,srpro!$J$10:$J$3010,$AG$6,srpro!$B$10:$B$3010,'ProjectsX (2)'!A29,srpro!$K$10:$K$3010,$A$6),"")</f>
        <v/>
      </c>
      <c r="AH29" s="450"/>
      <c r="AI29" s="451"/>
      <c r="AJ29" s="451"/>
      <c r="AK29" s="450"/>
      <c r="AL29" s="615">
        <f t="shared" si="9"/>
        <v>4220.45</v>
      </c>
      <c r="AM29" s="425"/>
      <c r="AN29" s="425"/>
      <c r="AO29" s="425"/>
      <c r="AP29" s="425"/>
      <c r="AQ29" s="425"/>
      <c r="AR29" s="425"/>
      <c r="AS29" s="425"/>
      <c r="AT29" s="425"/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25"/>
    </row>
    <row r="30" spans="1:57" ht="19.5" customHeight="1">
      <c r="A30" s="616">
        <v>221</v>
      </c>
      <c r="B30" s="618" t="s">
        <v>305</v>
      </c>
      <c r="C30" s="458">
        <f>(ProHeader!L29+ProHeader!M29)+((ProHeader!L29+ProHeader!M29)*5%)</f>
        <v>151200</v>
      </c>
      <c r="D30" s="458">
        <f t="shared" si="5"/>
        <v>-270</v>
      </c>
      <c r="E30" s="459">
        <f>SUMIFS(srpro!$H$10:$H$3010,srpro!$B$10:$B$3010,'ProjectsX (2)'!A30)</f>
        <v>151470</v>
      </c>
      <c r="F30" s="460">
        <f>SUMIFS(srpro!$E$10:$E$3010,srpro!$B$10:$B$3010,'ProjectsX (2)'!A30)</f>
        <v>117426.29750000002</v>
      </c>
      <c r="G30" s="478">
        <f t="shared" si="3"/>
        <v>1.0017857142857143</v>
      </c>
      <c r="H30" s="479">
        <f t="shared" si="4"/>
        <v>0.73779750413359801</v>
      </c>
      <c r="I30" s="535"/>
      <c r="J30" s="606">
        <f t="shared" si="6"/>
        <v>32085.017374999981</v>
      </c>
      <c r="K30" s="617">
        <f t="shared" si="7"/>
        <v>0.22337104828042315</v>
      </c>
      <c r="L30" s="526">
        <f>ProHeader!AN29</f>
        <v>3</v>
      </c>
      <c r="M30" s="525" t="str">
        <f>TEXT(  ProHeader!AJ29,"dd-mm-yy")</f>
        <v>-</v>
      </c>
      <c r="N30" s="525">
        <f>IFERROR(ProHeader!AK29 + ProHeader!AL29,"-")</f>
        <v>53203.5</v>
      </c>
      <c r="O30" s="525">
        <f>IFERROR(ProHeader!AM29,"0")</f>
        <v>53300</v>
      </c>
      <c r="P30" s="525">
        <f t="shared" si="8"/>
        <v>-96.5</v>
      </c>
      <c r="Q30" s="619" t="str">
        <f>IF( SUMIFS(srpro!$H$10:$H$3010,srpro!$J$10:$J$3010,$R$6,srpro!$B$10:$B$3010,'ProjectsX (2)'!A30,srpro!$K$10:$K$3010,$A$6)&gt;0,SUMIFS(srpro!$H$10:$H$3010,srpro!$J$10:$J$3010,$R$6,srpro!$B$10:$B$3010,'ProjectsX (2)'!A30,srpro!$K$10:$K$3010,$A$6),"")</f>
        <v/>
      </c>
      <c r="R30" s="449">
        <f>IF( SUMIFS(srpro!$E$10:$E$3010,srpro!$J$10:$J$3010,$R$6,srpro!$B$10:$B$3010,'ProjectsX (2)'!A30,srpro!$K$10:$K$3010,$A$6)&gt;0,SUMIFS(srpro!$E$10:$E$3010,srpro!$J$10:$J$3010,$R$6,srpro!$B$10:$B$3010,'ProjectsX (2)'!A30,srpro!$K$10:$K$3010,$A$6),"")</f>
        <v>129</v>
      </c>
      <c r="S30" s="450"/>
      <c r="T30" s="619" t="str">
        <f>IF( SUMIFS(srpro!$H$10:$H$3010,srpro!$J$10:$J$3010,$U$6,srpro!$B$10:$B$3010,'ProjectsX (2)'!A30,srpro!$K$10:$K$3010,$A$6)&gt;0,SUMIFS(srpro!$H$10:$H$3010,srpro!$J$10:$J$3010,$U$6,srpro!$B$10:$B$3010,'ProjectsX (2)'!A30,srpro!$K$10:$K$3010,$A$6),"")</f>
        <v/>
      </c>
      <c r="U30" s="449">
        <f>IF( SUMIFS(srpro!$E$10:$E$3010,srpro!$J$10:$J$3010,$U$6,srpro!$B$10:$B$3010,'ProjectsX (2)'!A30,srpro!$K$10:$K$3010,$A$6)&gt;0,SUMIFS(srpro!$E$10:$E$3010,srpro!$J$10:$J$3010,$U$6,srpro!$B$10:$B$3010,'ProjectsX (2)'!A30,srpro!$K$10:$K$3010,$A$6),"")</f>
        <v>6478.9475000000002</v>
      </c>
      <c r="V30" s="450"/>
      <c r="W30" s="619" t="str">
        <f>IF( SUMIFS(srpro!$H$10:$H$3010,srpro!$J$10:$J$3010,$X$6,srpro!$B$10:$B$3010,'ProjectsX (2)'!A30,srpro!$K$10:$K$3010,$A$6)&gt;0,SUMIFS(srpro!$H$10:$H$3010,srpro!$J$10:$J$3010,$X$6,srpro!$B$10:$B$3010,'ProjectsX (2)'!A30,srpro!$K$10:$K$3010,$A$6),"")</f>
        <v/>
      </c>
      <c r="X30" s="449">
        <f>IF( SUMIFS(srpro!$E$10:$E$3010,srpro!$J$10:$J$3010,$X$6,srpro!$B$10:$B$3010,'ProjectsX (2)'!A30,srpro!$K$10:$K$3010,$A$6)&gt;0,SUMIFS(srpro!$E$10:$E$3010,srpro!$J$10:$J$3010,$X$6,srpro!$B$10:$B$3010,'ProjectsX (2)'!A30,srpro!$K$10:$K$3010,$A$6),"")</f>
        <v>113.75</v>
      </c>
      <c r="Y30" s="450"/>
      <c r="Z30" s="619" t="str">
        <f>IF( SUMIFS(srpro!$H$10:$H$3010,srpro!$J$10:$J$3010,$AA$6,srpro!$B$10:$B$3010,'ProjectsX (2)'!A30,srpro!$K$10:$K$3010,$A$6)&gt;0,SUMIFS(srpro!$H$10:$H$3010,srpro!$J$10:$J$3010,$AA$6,srpro!$B$10:$B$3010,'ProjectsX (2)'!A30,srpro!$K$10:$K$3010,$A$6),"")</f>
        <v/>
      </c>
      <c r="AA30" s="449">
        <f>IF( SUMIFS(srpro!$E$10:$E$3010,srpro!$J$10:$J$3010,$AA$6,srpro!$B$10:$B$3010,'ProjectsX (2)'!A30,srpro!$K$10:$K$3010,$A$6)&gt;0,SUMIFS(srpro!$E$10:$E$3010,srpro!$J$10:$J$3010,$AA$6,srpro!$B$10:$B$3010,'ProjectsX (2)'!A30,srpro!$K$10:$K$3010,$A$6),"")</f>
        <v>265.60000000000002</v>
      </c>
      <c r="AB30" s="450"/>
      <c r="AC30" s="619">
        <f>IF( SUMIFS(srpro!$H$10:$H$3010,srpro!$J$10:$J$3010,$AD$6,srpro!$B$10:$B$3010,'ProjectsX (2)'!A30,srpro!$K$10:$K$3010,$A$6)&gt;0,SUMIFS(srpro!$H$10:$H$3010,srpro!$J$10:$J$3010,$AD$6,srpro!$B$10:$B$3010,'ProjectsX (2)'!A30,srpro!$K$10:$K$3010,$A$6),"")</f>
        <v>23752.2</v>
      </c>
      <c r="AD30" s="449" t="str">
        <f>IF( SUMIFS(srpro!$E$10:$E$3010,srpro!$J$10:$J$3010,$AD$6,srpro!$B$10:$B$3010,'ProjectsX (2)'!A30,srpro!$K$10:$K$3010,$A$6)&gt;0,SUMIFS(srpro!$E$10:$E$3010,srpro!$J$10:$J$3010,$AD$6,srpro!$B$10:$B$3010,'ProjectsX (2)'!A30,srpro!$K$10:$K$3010,$A$6),"")</f>
        <v/>
      </c>
      <c r="AE30" s="450"/>
      <c r="AF30" s="454" t="str">
        <f>IF( SUMIFS(srpro!$H$10:$H$3010,srpro!$J$10:$J$3010,$AG$6,srpro!$B$10:$B$3010,'ProjectsX (2)'!A30,srpro!$K$10:$K$3010,$A$6)&gt;0,SUMIFS(srpro!$H$10:$H$3010,srpro!$J$10:$J$3010,$AG$6,srpro!$B$10:$B$3010,'ProjectsX (2)'!A30,srpro!$K$10:$K$3010,$A$6),"")</f>
        <v/>
      </c>
      <c r="AG30" s="449" t="str">
        <f>IF( SUMIFS(srpro!$E$10:$E$3010,srpro!$J$10:$J$3010,$AG$6,srpro!$B$10:$B$3010,'ProjectsX (2)'!A30,srpro!$K$10:$K$3010,$A$6)&gt;0,SUMIFS(srpro!$E$10:$E$3010,srpro!$J$10:$J$3010,$AG$6,srpro!$B$10:$B$3010,'ProjectsX (2)'!A30,srpro!$K$10:$K$3010,$A$6),"")</f>
        <v/>
      </c>
      <c r="AH30" s="450"/>
      <c r="AI30" s="451"/>
      <c r="AJ30" s="451"/>
      <c r="AK30" s="450"/>
      <c r="AL30" s="615">
        <f t="shared" si="9"/>
        <v>30739.497500000001</v>
      </c>
      <c r="AM30" s="425"/>
      <c r="AN30" s="425"/>
      <c r="AO30" s="425"/>
      <c r="AP30" s="425"/>
      <c r="AQ30" s="425"/>
      <c r="AR30" s="425"/>
      <c r="AS30" s="425"/>
      <c r="AT30" s="425"/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25"/>
    </row>
    <row r="31" spans="1:57" ht="19.5" customHeight="1">
      <c r="A31" s="616">
        <v>207</v>
      </c>
      <c r="B31" s="618" t="s">
        <v>1349</v>
      </c>
      <c r="C31" s="458">
        <f>(ProHeader!L30+ProHeader!M30)+((ProHeader!L30+ProHeader!M30)*5%)</f>
        <v>151200</v>
      </c>
      <c r="D31" s="458">
        <f t="shared" si="5"/>
        <v>140962.5</v>
      </c>
      <c r="E31" s="459">
        <f>SUMIFS(srpro!$H$10:$H$3010,srpro!$B$10:$B$3010,'ProjectsX (2)'!A31)</f>
        <v>10237.5</v>
      </c>
      <c r="F31" s="460">
        <f>SUMIFS(srpro!$E$10:$E$3010,srpro!$B$10:$B$3010,'ProjectsX (2)'!A31)</f>
        <v>0</v>
      </c>
      <c r="G31" s="478">
        <f t="shared" si="3"/>
        <v>6.7708333333333329E-2</v>
      </c>
      <c r="H31" s="479">
        <f t="shared" si="4"/>
        <v>0</v>
      </c>
      <c r="I31" s="535"/>
      <c r="J31" s="606">
        <f t="shared" si="6"/>
        <v>143640</v>
      </c>
      <c r="K31" s="617">
        <f t="shared" si="7"/>
        <v>1</v>
      </c>
      <c r="L31" s="526">
        <f>ProHeader!AN30</f>
        <v>0</v>
      </c>
      <c r="M31" s="525" t="str">
        <f>TEXT(  ProHeader!AJ30,"dd-mm-yy")</f>
        <v>-</v>
      </c>
      <c r="N31" s="525" t="str">
        <f>IFERROR(ProHeader!AK30 + ProHeader!AL30,"-")</f>
        <v>-</v>
      </c>
      <c r="O31" s="525" t="str">
        <f>IFERROR(ProHeader!AM30,"0")</f>
        <v>-</v>
      </c>
      <c r="P31" s="525" t="str">
        <f t="shared" si="8"/>
        <v>-</v>
      </c>
      <c r="Q31" s="619" t="str">
        <f>IF( SUMIFS(srpro!$H$10:$H$3010,srpro!$J$10:$J$3010,$R$6,srpro!$B$10:$B$3010,'ProjectsX (2)'!A31,srpro!$K$10:$K$3010,$A$6)&gt;0,SUMIFS(srpro!$H$10:$H$3010,srpro!$J$10:$J$3010,$R$6,srpro!$B$10:$B$3010,'ProjectsX (2)'!A31,srpro!$K$10:$K$3010,$A$6),"")</f>
        <v/>
      </c>
      <c r="R31" s="449" t="str">
        <f>IF( SUMIFS(srpro!$E$10:$E$3010,srpro!$J$10:$J$3010,$R$6,srpro!$B$10:$B$3010,'ProjectsX (2)'!A31,srpro!$K$10:$K$3010,$A$6)&gt;0,SUMIFS(srpro!$E$10:$E$3010,srpro!$J$10:$J$3010,$R$6,srpro!$B$10:$B$3010,'ProjectsX (2)'!A31,srpro!$K$10:$K$3010,$A$6),"")</f>
        <v/>
      </c>
      <c r="S31" s="450"/>
      <c r="T31" s="619" t="str">
        <f>IF( SUMIFS(srpro!$H$10:$H$3010,srpro!$J$10:$J$3010,$U$6,srpro!$B$10:$B$3010,'ProjectsX (2)'!A31,srpro!$K$10:$K$3010,$A$6)&gt;0,SUMIFS(srpro!$H$10:$H$3010,srpro!$J$10:$J$3010,$U$6,srpro!$B$10:$B$3010,'ProjectsX (2)'!A31,srpro!$K$10:$K$3010,$A$6),"")</f>
        <v/>
      </c>
      <c r="U31" s="449" t="str">
        <f>IF( SUMIFS(srpro!$E$10:$E$3010,srpro!$J$10:$J$3010,$U$6,srpro!$B$10:$B$3010,'ProjectsX (2)'!A31,srpro!$K$10:$K$3010,$A$6)&gt;0,SUMIFS(srpro!$E$10:$E$3010,srpro!$J$10:$J$3010,$U$6,srpro!$B$10:$B$3010,'ProjectsX (2)'!A31,srpro!$K$10:$K$3010,$A$6),"")</f>
        <v/>
      </c>
      <c r="V31" s="450"/>
      <c r="W31" s="619">
        <f>IF( SUMIFS(srpro!$H$10:$H$3010,srpro!$J$10:$J$3010,$X$6,srpro!$B$10:$B$3010,'ProjectsX (2)'!A31,srpro!$K$10:$K$3010,$A$6)&gt;0,SUMIFS(srpro!$H$10:$H$3010,srpro!$J$10:$J$3010,$X$6,srpro!$B$10:$B$3010,'ProjectsX (2)'!A31,srpro!$K$10:$K$3010,$A$6),"")</f>
        <v>10237.5</v>
      </c>
      <c r="X31" s="449" t="str">
        <f>IF( SUMIFS(srpro!$E$10:$E$3010,srpro!$J$10:$J$3010,$X$6,srpro!$B$10:$B$3010,'ProjectsX (2)'!A31,srpro!$K$10:$K$3010,$A$6)&gt;0,SUMIFS(srpro!$E$10:$E$3010,srpro!$J$10:$J$3010,$X$6,srpro!$B$10:$B$3010,'ProjectsX (2)'!A31,srpro!$K$10:$K$3010,$A$6),"")</f>
        <v/>
      </c>
      <c r="Y31" s="450"/>
      <c r="Z31" s="619" t="str">
        <f>IF( SUMIFS(srpro!$H$10:$H$3010,srpro!$J$10:$J$3010,$AA$6,srpro!$B$10:$B$3010,'ProjectsX (2)'!A31,srpro!$K$10:$K$3010,$A$6)&gt;0,SUMIFS(srpro!$H$10:$H$3010,srpro!$J$10:$J$3010,$AA$6,srpro!$B$10:$B$3010,'ProjectsX (2)'!A31,srpro!$K$10:$K$3010,$A$6),"")</f>
        <v/>
      </c>
      <c r="AA31" s="449" t="str">
        <f>IF( SUMIFS(srpro!$E$10:$E$3010,srpro!$J$10:$J$3010,$AA$6,srpro!$B$10:$B$3010,'ProjectsX (2)'!A31,srpro!$K$10:$K$3010,$A$6)&gt;0,SUMIFS(srpro!$E$10:$E$3010,srpro!$J$10:$J$3010,$AA$6,srpro!$B$10:$B$3010,'ProjectsX (2)'!A31,srpro!$K$10:$K$3010,$A$6),"")</f>
        <v/>
      </c>
      <c r="AB31" s="450"/>
      <c r="AC31" s="619" t="str">
        <f>IF( SUMIFS(srpro!$H$10:$H$3010,srpro!$J$10:$J$3010,$AD$6,srpro!$B$10:$B$3010,'ProjectsX (2)'!A31,srpro!$K$10:$K$3010,$A$6)&gt;0,SUMIFS(srpro!$H$10:$H$3010,srpro!$J$10:$J$3010,$AD$6,srpro!$B$10:$B$3010,'ProjectsX (2)'!A31,srpro!$K$10:$K$3010,$A$6),"")</f>
        <v/>
      </c>
      <c r="AD31" s="449" t="str">
        <f>IF( SUMIFS(srpro!$E$10:$E$3010,srpro!$J$10:$J$3010,$AD$6,srpro!$B$10:$B$3010,'ProjectsX (2)'!A31,srpro!$K$10:$K$3010,$A$6)&gt;0,SUMIFS(srpro!$E$10:$E$3010,srpro!$J$10:$J$3010,$AD$6,srpro!$B$10:$B$3010,'ProjectsX (2)'!A31,srpro!$K$10:$K$3010,$A$6),"")</f>
        <v/>
      </c>
      <c r="AE31" s="450"/>
      <c r="AF31" s="454" t="str">
        <f>IF( SUMIFS(srpro!$H$10:$H$3010,srpro!$J$10:$J$3010,$AG$6,srpro!$B$10:$B$3010,'ProjectsX (2)'!A31,srpro!$K$10:$K$3010,$A$6)&gt;0,SUMIFS(srpro!$H$10:$H$3010,srpro!$J$10:$J$3010,$AG$6,srpro!$B$10:$B$3010,'ProjectsX (2)'!A31,srpro!$K$10:$K$3010,$A$6),"")</f>
        <v/>
      </c>
      <c r="AG31" s="449" t="str">
        <f>IF( SUMIFS(srpro!$E$10:$E$3010,srpro!$J$10:$J$3010,$AG$6,srpro!$B$10:$B$3010,'ProjectsX (2)'!A31,srpro!$K$10:$K$3010,$A$6)&gt;0,SUMIFS(srpro!$E$10:$E$3010,srpro!$J$10:$J$3010,$AG$6,srpro!$B$10:$B$3010,'ProjectsX (2)'!A31,srpro!$K$10:$K$3010,$A$6),"")</f>
        <v/>
      </c>
      <c r="AH31" s="450"/>
      <c r="AI31" s="451"/>
      <c r="AJ31" s="451"/>
      <c r="AK31" s="450"/>
      <c r="AL31" s="615">
        <f t="shared" si="9"/>
        <v>10237.5</v>
      </c>
      <c r="AM31" s="425"/>
      <c r="AN31" s="425"/>
      <c r="AO31" s="425"/>
      <c r="AP31" s="425"/>
      <c r="AQ31" s="425"/>
      <c r="AR31" s="425"/>
      <c r="AS31" s="425"/>
      <c r="AT31" s="425"/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25"/>
    </row>
    <row r="32" spans="1:57" ht="19.5" customHeight="1">
      <c r="A32" s="616">
        <v>222</v>
      </c>
      <c r="B32" s="618" t="s">
        <v>306</v>
      </c>
      <c r="C32" s="458">
        <f>(ProHeader!L31+ProHeader!M31)+((ProHeader!L31+ProHeader!M31)*5%)</f>
        <v>178500</v>
      </c>
      <c r="D32" s="458">
        <f t="shared" si="5"/>
        <v>0</v>
      </c>
      <c r="E32" s="459">
        <f>SUMIFS(srpro!$H$10:$H$3010,srpro!$B$10:$B$3010,'ProjectsX (2)'!A32)</f>
        <v>178500</v>
      </c>
      <c r="F32" s="460">
        <f>SUMIFS(srpro!$E$10:$E$3010,srpro!$B$10:$B$3010,'ProjectsX (2)'!A32)</f>
        <v>133707.19</v>
      </c>
      <c r="G32" s="478">
        <f t="shared" si="3"/>
        <v>1</v>
      </c>
      <c r="H32" s="479">
        <f t="shared" si="4"/>
        <v>0.7116068935574229</v>
      </c>
      <c r="I32" s="535"/>
      <c r="J32" s="606">
        <f t="shared" si="6"/>
        <v>42553.169500000004</v>
      </c>
      <c r="K32" s="617">
        <f t="shared" si="7"/>
        <v>0.25094011204481798</v>
      </c>
      <c r="L32" s="526">
        <f>ProHeader!AN31</f>
        <v>2</v>
      </c>
      <c r="M32" s="525" t="str">
        <f>TEXT(  ProHeader!AJ31,"dd-mm-yy")</f>
        <v>-</v>
      </c>
      <c r="N32" s="525">
        <f>IFERROR(ProHeader!AK31 + ProHeader!AL31,"-")</f>
        <v>65116.800000000003</v>
      </c>
      <c r="O32" s="525">
        <f>IFERROR(ProHeader!AM31,"0")</f>
        <v>65116.800000000003</v>
      </c>
      <c r="P32" s="525">
        <f t="shared" si="8"/>
        <v>0</v>
      </c>
      <c r="Q32" s="619" t="str">
        <f>IF( SUMIFS(srpro!$H$10:$H$3010,srpro!$J$10:$J$3010,$R$6,srpro!$B$10:$B$3010,'ProjectsX (2)'!A32,srpro!$K$10:$K$3010,$A$6)&gt;0,SUMIFS(srpro!$H$10:$H$3010,srpro!$J$10:$J$3010,$R$6,srpro!$B$10:$B$3010,'ProjectsX (2)'!A32,srpro!$K$10:$K$3010,$A$6),"")</f>
        <v/>
      </c>
      <c r="R32" s="449">
        <f>IF( SUMIFS(srpro!$E$10:$E$3010,srpro!$J$10:$J$3010,$R$6,srpro!$B$10:$B$3010,'ProjectsX (2)'!A32,srpro!$K$10:$K$3010,$A$6)&gt;0,SUMIFS(srpro!$E$10:$E$3010,srpro!$J$10:$J$3010,$R$6,srpro!$B$10:$B$3010,'ProjectsX (2)'!A32,srpro!$K$10:$K$3010,$A$6),"")</f>
        <v>785</v>
      </c>
      <c r="S32" s="450"/>
      <c r="T32" s="619">
        <f>IF( SUMIFS(srpro!$H$10:$H$3010,srpro!$J$10:$J$3010,$U$6,srpro!$B$10:$B$3010,'ProjectsX (2)'!A32,srpro!$K$10:$K$3010,$A$6)&gt;0,SUMIFS(srpro!$H$10:$H$3010,srpro!$J$10:$J$3010,$U$6,srpro!$B$10:$B$3010,'ProjectsX (2)'!A32,srpro!$K$10:$K$3010,$A$6),"")</f>
        <v>15208.2</v>
      </c>
      <c r="U32" s="449" t="str">
        <f>IF( SUMIFS(srpro!$E$10:$E$3010,srpro!$J$10:$J$3010,$U$6,srpro!$B$10:$B$3010,'ProjectsX (2)'!A32,srpro!$K$10:$K$3010,$A$6)&gt;0,SUMIFS(srpro!$E$10:$E$3010,srpro!$J$10:$J$3010,$U$6,srpro!$B$10:$B$3010,'ProjectsX (2)'!A32,srpro!$K$10:$K$3010,$A$6),"")</f>
        <v/>
      </c>
      <c r="V32" s="450"/>
      <c r="W32" s="619" t="str">
        <f>IF( SUMIFS(srpro!$H$10:$H$3010,srpro!$J$10:$J$3010,$X$6,srpro!$B$10:$B$3010,'ProjectsX (2)'!A32,srpro!$K$10:$K$3010,$A$6)&gt;0,SUMIFS(srpro!$H$10:$H$3010,srpro!$J$10:$J$3010,$X$6,srpro!$B$10:$B$3010,'ProjectsX (2)'!A32,srpro!$K$10:$K$3010,$A$6),"")</f>
        <v/>
      </c>
      <c r="X32" s="449" t="str">
        <f>IF( SUMIFS(srpro!$E$10:$E$3010,srpro!$J$10:$J$3010,$X$6,srpro!$B$10:$B$3010,'ProjectsX (2)'!A32,srpro!$K$10:$K$3010,$A$6)&gt;0,SUMIFS(srpro!$E$10:$E$3010,srpro!$J$10:$J$3010,$X$6,srpro!$B$10:$B$3010,'ProjectsX (2)'!A32,srpro!$K$10:$K$3010,$A$6),"")</f>
        <v/>
      </c>
      <c r="Y32" s="450"/>
      <c r="Z32" s="619" t="str">
        <f>IF( SUMIFS(srpro!$H$10:$H$3010,srpro!$J$10:$J$3010,$AA$6,srpro!$B$10:$B$3010,'ProjectsX (2)'!A32,srpro!$K$10:$K$3010,$A$6)&gt;0,SUMIFS(srpro!$H$10:$H$3010,srpro!$J$10:$J$3010,$AA$6,srpro!$B$10:$B$3010,'ProjectsX (2)'!A32,srpro!$K$10:$K$3010,$A$6),"")</f>
        <v/>
      </c>
      <c r="AA32" s="449">
        <f>IF( SUMIFS(srpro!$E$10:$E$3010,srpro!$J$10:$J$3010,$AA$6,srpro!$B$10:$B$3010,'ProjectsX (2)'!A32,srpro!$K$10:$K$3010,$A$6)&gt;0,SUMIFS(srpro!$E$10:$E$3010,srpro!$J$10:$J$3010,$AA$6,srpro!$B$10:$B$3010,'ProjectsX (2)'!A32,srpro!$K$10:$K$3010,$A$6),"")</f>
        <v>165</v>
      </c>
      <c r="AB32" s="450"/>
      <c r="AC32" s="619" t="str">
        <f>IF( SUMIFS(srpro!$H$10:$H$3010,srpro!$J$10:$J$3010,$AD$6,srpro!$B$10:$B$3010,'ProjectsX (2)'!A32,srpro!$K$10:$K$3010,$A$6)&gt;0,SUMIFS(srpro!$H$10:$H$3010,srpro!$J$10:$J$3010,$AD$6,srpro!$B$10:$B$3010,'ProjectsX (2)'!A32,srpro!$K$10:$K$3010,$A$6),"")</f>
        <v/>
      </c>
      <c r="AD32" s="449" t="str">
        <f>IF( SUMIFS(srpro!$E$10:$E$3010,srpro!$J$10:$J$3010,$AD$6,srpro!$B$10:$B$3010,'ProjectsX (2)'!A32,srpro!$K$10:$K$3010,$A$6)&gt;0,SUMIFS(srpro!$E$10:$E$3010,srpro!$J$10:$J$3010,$AD$6,srpro!$B$10:$B$3010,'ProjectsX (2)'!A32,srpro!$K$10:$K$3010,$A$6),"")</f>
        <v/>
      </c>
      <c r="AE32" s="450"/>
      <c r="AF32" s="454" t="str">
        <f>IF( SUMIFS(srpro!$H$10:$H$3010,srpro!$J$10:$J$3010,$AG$6,srpro!$B$10:$B$3010,'ProjectsX (2)'!A32,srpro!$K$10:$K$3010,$A$6)&gt;0,SUMIFS(srpro!$H$10:$H$3010,srpro!$J$10:$J$3010,$AG$6,srpro!$B$10:$B$3010,'ProjectsX (2)'!A32,srpro!$K$10:$K$3010,$A$6),"")</f>
        <v/>
      </c>
      <c r="AG32" s="449" t="str">
        <f>IF( SUMIFS(srpro!$E$10:$E$3010,srpro!$J$10:$J$3010,$AG$6,srpro!$B$10:$B$3010,'ProjectsX (2)'!A32,srpro!$K$10:$K$3010,$A$6)&gt;0,SUMIFS(srpro!$E$10:$E$3010,srpro!$J$10:$J$3010,$AG$6,srpro!$B$10:$B$3010,'ProjectsX (2)'!A32,srpro!$K$10:$K$3010,$A$6),"")</f>
        <v/>
      </c>
      <c r="AH32" s="450"/>
      <c r="AI32" s="451"/>
      <c r="AJ32" s="451"/>
      <c r="AK32" s="450"/>
      <c r="AL32" s="615">
        <f t="shared" si="9"/>
        <v>16158.2</v>
      </c>
      <c r="AM32" s="425"/>
      <c r="AN32" s="425"/>
      <c r="AO32" s="425"/>
      <c r="AP32" s="425"/>
      <c r="AQ32" s="425"/>
      <c r="AR32" s="425"/>
      <c r="AS32" s="425"/>
      <c r="AT32" s="425"/>
      <c r="AU32" s="425"/>
      <c r="AV32" s="425"/>
      <c r="AW32" s="425"/>
      <c r="AX32" s="425"/>
      <c r="AY32" s="425"/>
      <c r="AZ32" s="425"/>
      <c r="BA32" s="425"/>
      <c r="BB32" s="425"/>
      <c r="BC32" s="425"/>
      <c r="BD32" s="425"/>
      <c r="BE32" s="425"/>
    </row>
    <row r="33" spans="1:57" ht="19.5" customHeight="1">
      <c r="A33" s="616">
        <v>223</v>
      </c>
      <c r="B33" s="618" t="s">
        <v>292</v>
      </c>
      <c r="C33" s="458">
        <f>(ProHeader!L32+ProHeader!M32)+((ProHeader!L32+ProHeader!M32)*5%)</f>
        <v>105000</v>
      </c>
      <c r="D33" s="458">
        <f t="shared" si="5"/>
        <v>-107.10000000000582</v>
      </c>
      <c r="E33" s="459">
        <f>SUMIFS(srpro!$H$10:$H$3010,srpro!$B$10:$B$3010,'ProjectsX (2)'!A33)</f>
        <v>105107.1</v>
      </c>
      <c r="F33" s="460">
        <f>SUMIFS(srpro!$E$10:$E$3010,srpro!$B$10:$B$3010,'ProjectsX (2)'!A33)</f>
        <v>70915.75</v>
      </c>
      <c r="G33" s="478">
        <f t="shared" si="3"/>
        <v>1.00102</v>
      </c>
      <c r="H33" s="479">
        <f t="shared" si="4"/>
        <v>0.64161869047619047</v>
      </c>
      <c r="I33" s="535"/>
      <c r="J33" s="606">
        <f t="shared" si="6"/>
        <v>32380.037500000006</v>
      </c>
      <c r="K33" s="617">
        <f t="shared" si="7"/>
        <v>0.32461190476190482</v>
      </c>
      <c r="L33" s="526">
        <f>ProHeader!AN32</f>
        <v>1</v>
      </c>
      <c r="M33" s="525" t="str">
        <f>TEXT(  ProHeader!AJ32,"dd-mm-yy")</f>
        <v>-</v>
      </c>
      <c r="N33" s="525">
        <f>IFERROR(ProHeader!AK32 + ProHeader!AL32,"-")</f>
        <v>4265.7299999999996</v>
      </c>
      <c r="O33" s="525">
        <f>IFERROR(ProHeader!AM32,"0")</f>
        <v>4265.7299999999996</v>
      </c>
      <c r="P33" s="525">
        <f t="shared" si="8"/>
        <v>0</v>
      </c>
      <c r="Q33" s="619" t="str">
        <f>IF( SUMIFS(srpro!$H$10:$H$3010,srpro!$J$10:$J$3010,$R$6,srpro!$B$10:$B$3010,'ProjectsX (2)'!A33,srpro!$K$10:$K$3010,$A$6)&gt;0,SUMIFS(srpro!$H$10:$H$3010,srpro!$J$10:$J$3010,$R$6,srpro!$B$10:$B$3010,'ProjectsX (2)'!A33,srpro!$K$10:$K$3010,$A$6),"")</f>
        <v/>
      </c>
      <c r="R33" s="449" t="str">
        <f>IF( SUMIFS(srpro!$E$10:$E$3010,srpro!$J$10:$J$3010,$R$6,srpro!$B$10:$B$3010,'ProjectsX (2)'!A33,srpro!$K$10:$K$3010,$A$6)&gt;0,SUMIFS(srpro!$E$10:$E$3010,srpro!$J$10:$J$3010,$R$6,srpro!$B$10:$B$3010,'ProjectsX (2)'!A33,srpro!$K$10:$K$3010,$A$6),"")</f>
        <v/>
      </c>
      <c r="S33" s="450"/>
      <c r="T33" s="619" t="str">
        <f>IF( SUMIFS(srpro!$H$10:$H$3010,srpro!$J$10:$J$3010,$U$6,srpro!$B$10:$B$3010,'ProjectsX (2)'!A33,srpro!$K$10:$K$3010,$A$6)&gt;0,SUMIFS(srpro!$H$10:$H$3010,srpro!$J$10:$J$3010,$U$6,srpro!$B$10:$B$3010,'ProjectsX (2)'!A33,srpro!$K$10:$K$3010,$A$6),"")</f>
        <v/>
      </c>
      <c r="U33" s="449" t="str">
        <f>IF( SUMIFS(srpro!$E$10:$E$3010,srpro!$J$10:$J$3010,$U$6,srpro!$B$10:$B$3010,'ProjectsX (2)'!A33,srpro!$K$10:$K$3010,$A$6)&gt;0,SUMIFS(srpro!$E$10:$E$3010,srpro!$J$10:$J$3010,$U$6,srpro!$B$10:$B$3010,'ProjectsX (2)'!A33,srpro!$K$10:$K$3010,$A$6),"")</f>
        <v/>
      </c>
      <c r="V33" s="450"/>
      <c r="W33" s="619" t="str">
        <f>IF( SUMIFS(srpro!$H$10:$H$3010,srpro!$J$10:$J$3010,$X$6,srpro!$B$10:$B$3010,'ProjectsX (2)'!A33,srpro!$K$10:$K$3010,$A$6)&gt;0,SUMIFS(srpro!$H$10:$H$3010,srpro!$J$10:$J$3010,$X$6,srpro!$B$10:$B$3010,'ProjectsX (2)'!A33,srpro!$K$10:$K$3010,$A$6),"")</f>
        <v/>
      </c>
      <c r="X33" s="449" t="str">
        <f>IF( SUMIFS(srpro!$E$10:$E$3010,srpro!$J$10:$J$3010,$X$6,srpro!$B$10:$B$3010,'ProjectsX (2)'!A33,srpro!$K$10:$K$3010,$A$6)&gt;0,SUMIFS(srpro!$E$10:$E$3010,srpro!$J$10:$J$3010,$X$6,srpro!$B$10:$B$3010,'ProjectsX (2)'!A33,srpro!$K$10:$K$3010,$A$6),"")</f>
        <v/>
      </c>
      <c r="Y33" s="450"/>
      <c r="Z33" s="619" t="str">
        <f>IF( SUMIFS(srpro!$H$10:$H$3010,srpro!$J$10:$J$3010,$AA$6,srpro!$B$10:$B$3010,'ProjectsX (2)'!A33,srpro!$K$10:$K$3010,$A$6)&gt;0,SUMIFS(srpro!$H$10:$H$3010,srpro!$J$10:$J$3010,$AA$6,srpro!$B$10:$B$3010,'ProjectsX (2)'!A33,srpro!$K$10:$K$3010,$A$6),"")</f>
        <v/>
      </c>
      <c r="AA33" s="449" t="str">
        <f>IF( SUMIFS(srpro!$E$10:$E$3010,srpro!$J$10:$J$3010,$AA$6,srpro!$B$10:$B$3010,'ProjectsX (2)'!A33,srpro!$K$10:$K$3010,$A$6)&gt;0,SUMIFS(srpro!$E$10:$E$3010,srpro!$J$10:$J$3010,$AA$6,srpro!$B$10:$B$3010,'ProjectsX (2)'!A33,srpro!$K$10:$K$3010,$A$6),"")</f>
        <v/>
      </c>
      <c r="AB33" s="450"/>
      <c r="AC33" s="619" t="str">
        <f>IF( SUMIFS(srpro!$H$10:$H$3010,srpro!$J$10:$J$3010,$AD$6,srpro!$B$10:$B$3010,'ProjectsX (2)'!A33,srpro!$K$10:$K$3010,$A$6)&gt;0,SUMIFS(srpro!$H$10:$H$3010,srpro!$J$10:$J$3010,$AD$6,srpro!$B$10:$B$3010,'ProjectsX (2)'!A33,srpro!$K$10:$K$3010,$A$6),"")</f>
        <v/>
      </c>
      <c r="AD33" s="449" t="str">
        <f>IF( SUMIFS(srpro!$E$10:$E$3010,srpro!$J$10:$J$3010,$AD$6,srpro!$B$10:$B$3010,'ProjectsX (2)'!A33,srpro!$K$10:$K$3010,$A$6)&gt;0,SUMIFS(srpro!$E$10:$E$3010,srpro!$J$10:$J$3010,$AD$6,srpro!$B$10:$B$3010,'ProjectsX (2)'!A33,srpro!$K$10:$K$3010,$A$6),"")</f>
        <v/>
      </c>
      <c r="AE33" s="450"/>
      <c r="AF33" s="454" t="str">
        <f>IF( SUMIFS(srpro!$H$10:$H$3010,srpro!$J$10:$J$3010,$AG$6,srpro!$B$10:$B$3010,'ProjectsX (2)'!A33,srpro!$K$10:$K$3010,$A$6)&gt;0,SUMIFS(srpro!$H$10:$H$3010,srpro!$J$10:$J$3010,$AG$6,srpro!$B$10:$B$3010,'ProjectsX (2)'!A33,srpro!$K$10:$K$3010,$A$6),"")</f>
        <v/>
      </c>
      <c r="AG33" s="449" t="str">
        <f>IF( SUMIFS(srpro!$E$10:$E$3010,srpro!$J$10:$J$3010,$AG$6,srpro!$B$10:$B$3010,'ProjectsX (2)'!A33,srpro!$K$10:$K$3010,$A$6)&gt;0,SUMIFS(srpro!$E$10:$E$3010,srpro!$J$10:$J$3010,$AG$6,srpro!$B$10:$B$3010,'ProjectsX (2)'!A33,srpro!$K$10:$K$3010,$A$6),"")</f>
        <v/>
      </c>
      <c r="AH33" s="450"/>
      <c r="AI33" s="451"/>
      <c r="AJ33" s="451"/>
      <c r="AK33" s="450"/>
      <c r="AL33" s="615">
        <f t="shared" si="9"/>
        <v>0</v>
      </c>
      <c r="AM33" s="425"/>
      <c r="AN33" s="425"/>
      <c r="AO33" s="425"/>
      <c r="AP33" s="425"/>
      <c r="AQ33" s="425"/>
      <c r="AR33" s="425"/>
      <c r="AS33" s="425"/>
      <c r="AT33" s="425"/>
      <c r="AU33" s="425"/>
      <c r="AV33" s="425"/>
      <c r="AW33" s="425"/>
      <c r="AX33" s="425"/>
      <c r="AY33" s="425"/>
      <c r="AZ33" s="425"/>
      <c r="BA33" s="425"/>
      <c r="BB33" s="425"/>
      <c r="BC33" s="425"/>
      <c r="BD33" s="425"/>
      <c r="BE33" s="425"/>
    </row>
    <row r="34" spans="1:57" ht="19.5" customHeight="1">
      <c r="A34" s="616">
        <v>225</v>
      </c>
      <c r="B34" s="618" t="s">
        <v>288</v>
      </c>
      <c r="C34" s="458">
        <f>(ProHeader!L33+ProHeader!M33)+((ProHeader!L33+ProHeader!M33)*5%)</f>
        <v>173775</v>
      </c>
      <c r="D34" s="458">
        <f t="shared" si="5"/>
        <v>8138.0049999999756</v>
      </c>
      <c r="E34" s="459">
        <f>SUMIFS(srpro!$H$10:$H$3010,srpro!$B$10:$B$3010,'ProjectsX (2)'!A34)</f>
        <v>165636.99500000002</v>
      </c>
      <c r="F34" s="460">
        <f>SUMIFS(srpro!$E$10:$E$3010,srpro!$B$10:$B$3010,'ProjectsX (2)'!A34)</f>
        <v>122126.06000000001</v>
      </c>
      <c r="G34" s="478">
        <f t="shared" si="3"/>
        <v>0.95316929938138406</v>
      </c>
      <c r="H34" s="479">
        <f t="shared" si="4"/>
        <v>0.66764354481369592</v>
      </c>
      <c r="I34" s="535"/>
      <c r="J34" s="606">
        <f t="shared" si="6"/>
        <v>49066.492999999988</v>
      </c>
      <c r="K34" s="617">
        <f t="shared" si="7"/>
        <v>0.29721732124874112</v>
      </c>
      <c r="L34" s="526">
        <f>ProHeader!AN33</f>
        <v>3</v>
      </c>
      <c r="M34" s="525" t="str">
        <f>TEXT(  ProHeader!AJ33,"dd-mm-yy")</f>
        <v>-</v>
      </c>
      <c r="N34" s="525">
        <f>IFERROR(ProHeader!AK33 + ProHeader!AL33,"-")</f>
        <v>67296.600000000006</v>
      </c>
      <c r="O34" s="525">
        <f>IFERROR(ProHeader!AM33,"0")</f>
        <v>67296.600000000006</v>
      </c>
      <c r="P34" s="525">
        <f t="shared" si="8"/>
        <v>0</v>
      </c>
      <c r="Q34" s="619" t="str">
        <f>IF( SUMIFS(srpro!$H$10:$H$3010,srpro!$J$10:$J$3010,$R$6,srpro!$B$10:$B$3010,'ProjectsX (2)'!A34,srpro!$K$10:$K$3010,$A$6)&gt;0,SUMIFS(srpro!$H$10:$H$3010,srpro!$J$10:$J$3010,$R$6,srpro!$B$10:$B$3010,'ProjectsX (2)'!A34,srpro!$K$10:$K$3010,$A$6),"")</f>
        <v/>
      </c>
      <c r="R34" s="449">
        <f>IF( SUMIFS(srpro!$E$10:$E$3010,srpro!$J$10:$J$3010,$R$6,srpro!$B$10:$B$3010,'ProjectsX (2)'!A34,srpro!$K$10:$K$3010,$A$6)&gt;0,SUMIFS(srpro!$E$10:$E$3010,srpro!$J$10:$J$3010,$R$6,srpro!$B$10:$B$3010,'ProjectsX (2)'!A34,srpro!$K$10:$K$3010,$A$6),"")</f>
        <v>2835</v>
      </c>
      <c r="S34" s="450"/>
      <c r="T34" s="619" t="str">
        <f>IF( SUMIFS(srpro!$H$10:$H$3010,srpro!$J$10:$J$3010,$U$6,srpro!$B$10:$B$3010,'ProjectsX (2)'!A34,srpro!$K$10:$K$3010,$A$6)&gt;0,SUMIFS(srpro!$H$10:$H$3010,srpro!$J$10:$J$3010,$U$6,srpro!$B$10:$B$3010,'ProjectsX (2)'!A34,srpro!$K$10:$K$3010,$A$6),"")</f>
        <v/>
      </c>
      <c r="U34" s="449">
        <f>IF( SUMIFS(srpro!$E$10:$E$3010,srpro!$J$10:$J$3010,$U$6,srpro!$B$10:$B$3010,'ProjectsX (2)'!A34,srpro!$K$10:$K$3010,$A$6)&gt;0,SUMIFS(srpro!$E$10:$E$3010,srpro!$J$10:$J$3010,$U$6,srpro!$B$10:$B$3010,'ProjectsX (2)'!A34,srpro!$K$10:$K$3010,$A$6),"")</f>
        <v>3396.75</v>
      </c>
      <c r="V34" s="450"/>
      <c r="W34" s="619" t="str">
        <f>IF( SUMIFS(srpro!$H$10:$H$3010,srpro!$J$10:$J$3010,$X$6,srpro!$B$10:$B$3010,'ProjectsX (2)'!A34,srpro!$K$10:$K$3010,$A$6)&gt;0,SUMIFS(srpro!$H$10:$H$3010,srpro!$J$10:$J$3010,$X$6,srpro!$B$10:$B$3010,'ProjectsX (2)'!A34,srpro!$K$10:$K$3010,$A$6),"")</f>
        <v/>
      </c>
      <c r="X34" s="449" t="str">
        <f>IF( SUMIFS(srpro!$E$10:$E$3010,srpro!$J$10:$J$3010,$X$6,srpro!$B$10:$B$3010,'ProjectsX (2)'!A34,srpro!$K$10:$K$3010,$A$6)&gt;0,SUMIFS(srpro!$E$10:$E$3010,srpro!$J$10:$J$3010,$X$6,srpro!$B$10:$B$3010,'ProjectsX (2)'!A34,srpro!$K$10:$K$3010,$A$6),"")</f>
        <v/>
      </c>
      <c r="Y34" s="450"/>
      <c r="Z34" s="619" t="str">
        <f>IF( SUMIFS(srpro!$H$10:$H$3010,srpro!$J$10:$J$3010,$AA$6,srpro!$B$10:$B$3010,'ProjectsX (2)'!A34,srpro!$K$10:$K$3010,$A$6)&gt;0,SUMIFS(srpro!$H$10:$H$3010,srpro!$J$10:$J$3010,$AA$6,srpro!$B$10:$B$3010,'ProjectsX (2)'!A34,srpro!$K$10:$K$3010,$A$6),"")</f>
        <v/>
      </c>
      <c r="AA34" s="449">
        <f>IF( SUMIFS(srpro!$E$10:$E$3010,srpro!$J$10:$J$3010,$AA$6,srpro!$B$10:$B$3010,'ProjectsX (2)'!A34,srpro!$K$10:$K$3010,$A$6)&gt;0,SUMIFS(srpro!$E$10:$E$3010,srpro!$J$10:$J$3010,$AA$6,srpro!$B$10:$B$3010,'ProjectsX (2)'!A34,srpro!$K$10:$K$3010,$A$6),"")</f>
        <v>910.5</v>
      </c>
      <c r="AB34" s="450"/>
      <c r="AC34" s="619" t="str">
        <f>IF( SUMIFS(srpro!$H$10:$H$3010,srpro!$J$10:$J$3010,$AD$6,srpro!$B$10:$B$3010,'ProjectsX (2)'!A34,srpro!$K$10:$K$3010,$A$6)&gt;0,SUMIFS(srpro!$H$10:$H$3010,srpro!$J$10:$J$3010,$AD$6,srpro!$B$10:$B$3010,'ProjectsX (2)'!A34,srpro!$K$10:$K$3010,$A$6),"")</f>
        <v/>
      </c>
      <c r="AD34" s="449">
        <f>IF( SUMIFS(srpro!$E$10:$E$3010,srpro!$J$10:$J$3010,$AD$6,srpro!$B$10:$B$3010,'ProjectsX (2)'!A34,srpro!$K$10:$K$3010,$A$6)&gt;0,SUMIFS(srpro!$E$10:$E$3010,srpro!$J$10:$J$3010,$AD$6,srpro!$B$10:$B$3010,'ProjectsX (2)'!A34,srpro!$K$10:$K$3010,$A$6),"")</f>
        <v>5269.11</v>
      </c>
      <c r="AE34" s="450"/>
      <c r="AF34" s="454" t="str">
        <f>IF( SUMIFS(srpro!$H$10:$H$3010,srpro!$J$10:$J$3010,$AG$6,srpro!$B$10:$B$3010,'ProjectsX (2)'!A34,srpro!$K$10:$K$3010,$A$6)&gt;0,SUMIFS(srpro!$H$10:$H$3010,srpro!$J$10:$J$3010,$AG$6,srpro!$B$10:$B$3010,'ProjectsX (2)'!A34,srpro!$K$10:$K$3010,$A$6),"")</f>
        <v/>
      </c>
      <c r="AG34" s="449">
        <f>IF( SUMIFS(srpro!$E$10:$E$3010,srpro!$J$10:$J$3010,$AG$6,srpro!$B$10:$B$3010,'ProjectsX (2)'!A34,srpro!$K$10:$K$3010,$A$6)&gt;0,SUMIFS(srpro!$E$10:$E$3010,srpro!$J$10:$J$3010,$AG$6,srpro!$B$10:$B$3010,'ProjectsX (2)'!A34,srpro!$K$10:$K$3010,$A$6),"")</f>
        <v>22155</v>
      </c>
      <c r="AH34" s="450"/>
      <c r="AI34" s="451"/>
      <c r="AJ34" s="451"/>
      <c r="AK34" s="450"/>
      <c r="AL34" s="615">
        <f t="shared" si="9"/>
        <v>34566.36</v>
      </c>
      <c r="AM34" s="425"/>
      <c r="AN34" s="425"/>
      <c r="AO34" s="425"/>
      <c r="AP34" s="425"/>
      <c r="AQ34" s="425"/>
      <c r="AR34" s="425"/>
      <c r="AS34" s="425"/>
      <c r="AT34" s="425"/>
      <c r="AU34" s="425"/>
      <c r="AV34" s="425"/>
      <c r="AW34" s="425"/>
      <c r="AX34" s="425"/>
      <c r="AY34" s="425"/>
      <c r="AZ34" s="425"/>
      <c r="BA34" s="425"/>
      <c r="BB34" s="425"/>
      <c r="BC34" s="425"/>
      <c r="BD34" s="425"/>
      <c r="BE34" s="425"/>
    </row>
    <row r="35" spans="1:57" ht="19.5" customHeight="1">
      <c r="A35" s="616">
        <v>226</v>
      </c>
      <c r="B35" s="618" t="s">
        <v>809</v>
      </c>
      <c r="C35" s="458">
        <f>(ProHeader!L34+ProHeader!M34)+((ProHeader!L34+ProHeader!M34)*5%)</f>
        <v>110250</v>
      </c>
      <c r="D35" s="458">
        <f t="shared" si="5"/>
        <v>90250</v>
      </c>
      <c r="E35" s="459">
        <f>SUMIFS(srpro!$H$10:$H$3010,srpro!$B$10:$B$3010,'ProjectsX (2)'!A35)</f>
        <v>20000</v>
      </c>
      <c r="F35" s="460">
        <f>SUMIFS(srpro!$E$10:$E$3010,srpro!$B$10:$B$3010,'ProjectsX (2)'!A35)</f>
        <v>9232.24</v>
      </c>
      <c r="G35" s="478">
        <f t="shared" si="3"/>
        <v>0.18140589569160998</v>
      </c>
      <c r="H35" s="479">
        <f t="shared" si="4"/>
        <v>7.9552181405895692E-2</v>
      </c>
      <c r="I35" s="535"/>
      <c r="J35" s="606">
        <f t="shared" si="6"/>
        <v>95966.872000000003</v>
      </c>
      <c r="K35" s="617">
        <f t="shared" si="7"/>
        <v>0.91626086167800458</v>
      </c>
      <c r="L35" s="526">
        <f>ProHeader!AN34</f>
        <v>0</v>
      </c>
      <c r="M35" s="525" t="str">
        <f>TEXT(  ProHeader!AJ34,"dd-mm-yy")</f>
        <v>-</v>
      </c>
      <c r="N35" s="525" t="str">
        <f>IFERROR(ProHeader!AK34 + ProHeader!AL34,"-")</f>
        <v>-</v>
      </c>
      <c r="O35" s="525" t="str">
        <f>IFERROR(ProHeader!AM34,"0")</f>
        <v>-</v>
      </c>
      <c r="P35" s="525" t="str">
        <f t="shared" si="8"/>
        <v>-</v>
      </c>
      <c r="Q35" s="619" t="str">
        <f>IF( SUMIFS(srpro!$H$10:$H$3010,srpro!$J$10:$J$3010,$R$6,srpro!$B$10:$B$3010,'ProjectsX (2)'!A35,srpro!$K$10:$K$3010,$A$6)&gt;0,SUMIFS(srpro!$H$10:$H$3010,srpro!$J$10:$J$3010,$R$6,srpro!$B$10:$B$3010,'ProjectsX (2)'!A35,srpro!$K$10:$K$3010,$A$6),"")</f>
        <v/>
      </c>
      <c r="R35" s="449">
        <f>IF( SUMIFS(srpro!$E$10:$E$3010,srpro!$J$10:$J$3010,$R$6,srpro!$B$10:$B$3010,'ProjectsX (2)'!A35,srpro!$K$10:$K$3010,$A$6)&gt;0,SUMIFS(srpro!$E$10:$E$3010,srpro!$J$10:$J$3010,$R$6,srpro!$B$10:$B$3010,'ProjectsX (2)'!A35,srpro!$K$10:$K$3010,$A$6),"")</f>
        <v>424</v>
      </c>
      <c r="S35" s="450"/>
      <c r="T35" s="619" t="str">
        <f>IF( SUMIFS(srpro!$H$10:$H$3010,srpro!$J$10:$J$3010,$U$6,srpro!$B$10:$B$3010,'ProjectsX (2)'!A35,srpro!$K$10:$K$3010,$A$6)&gt;0,SUMIFS(srpro!$H$10:$H$3010,srpro!$J$10:$J$3010,$U$6,srpro!$B$10:$B$3010,'ProjectsX (2)'!A35,srpro!$K$10:$K$3010,$A$6),"")</f>
        <v/>
      </c>
      <c r="U35" s="449" t="str">
        <f>IF( SUMIFS(srpro!$E$10:$E$3010,srpro!$J$10:$J$3010,$U$6,srpro!$B$10:$B$3010,'ProjectsX (2)'!A35,srpro!$K$10:$K$3010,$A$6)&gt;0,SUMIFS(srpro!$E$10:$E$3010,srpro!$J$10:$J$3010,$U$6,srpro!$B$10:$B$3010,'ProjectsX (2)'!A35,srpro!$K$10:$K$3010,$A$6),"")</f>
        <v/>
      </c>
      <c r="V35" s="450"/>
      <c r="W35" s="619" t="str">
        <f>IF( SUMIFS(srpro!$H$10:$H$3010,srpro!$J$10:$J$3010,$X$6,srpro!$B$10:$B$3010,'ProjectsX (2)'!A35,srpro!$K$10:$K$3010,$A$6)&gt;0,SUMIFS(srpro!$H$10:$H$3010,srpro!$J$10:$J$3010,$X$6,srpro!$B$10:$B$3010,'ProjectsX (2)'!A35,srpro!$K$10:$K$3010,$A$6),"")</f>
        <v/>
      </c>
      <c r="X35" s="449" t="str">
        <f>IF( SUMIFS(srpro!$E$10:$E$3010,srpro!$J$10:$J$3010,$X$6,srpro!$B$10:$B$3010,'ProjectsX (2)'!A35,srpro!$K$10:$K$3010,$A$6)&gt;0,SUMIFS(srpro!$E$10:$E$3010,srpro!$J$10:$J$3010,$X$6,srpro!$B$10:$B$3010,'ProjectsX (2)'!A35,srpro!$K$10:$K$3010,$A$6),"")</f>
        <v/>
      </c>
      <c r="Y35" s="450"/>
      <c r="Z35" s="619" t="str">
        <f>IF( SUMIFS(srpro!$H$10:$H$3010,srpro!$J$10:$J$3010,$AA$6,srpro!$B$10:$B$3010,'ProjectsX (2)'!A35,srpro!$K$10:$K$3010,$A$6)&gt;0,SUMIFS(srpro!$H$10:$H$3010,srpro!$J$10:$J$3010,$AA$6,srpro!$B$10:$B$3010,'ProjectsX (2)'!A35,srpro!$K$10:$K$3010,$A$6),"")</f>
        <v/>
      </c>
      <c r="AA35" s="449" t="str">
        <f>IF( SUMIFS(srpro!$E$10:$E$3010,srpro!$J$10:$J$3010,$AA$6,srpro!$B$10:$B$3010,'ProjectsX (2)'!A35,srpro!$K$10:$K$3010,$A$6)&gt;0,SUMIFS(srpro!$E$10:$E$3010,srpro!$J$10:$J$3010,$AA$6,srpro!$B$10:$B$3010,'ProjectsX (2)'!A35,srpro!$K$10:$K$3010,$A$6),"")</f>
        <v/>
      </c>
      <c r="AB35" s="450"/>
      <c r="AC35" s="619" t="str">
        <f>IF( SUMIFS(srpro!$H$10:$H$3010,srpro!$J$10:$J$3010,$AD$6,srpro!$B$10:$B$3010,'ProjectsX (2)'!A35,srpro!$K$10:$K$3010,$A$6)&gt;0,SUMIFS(srpro!$H$10:$H$3010,srpro!$J$10:$J$3010,$AD$6,srpro!$B$10:$B$3010,'ProjectsX (2)'!A35,srpro!$K$10:$K$3010,$A$6),"")</f>
        <v/>
      </c>
      <c r="AD35" s="449" t="str">
        <f>IF( SUMIFS(srpro!$E$10:$E$3010,srpro!$J$10:$J$3010,$AD$6,srpro!$B$10:$B$3010,'ProjectsX (2)'!A35,srpro!$K$10:$K$3010,$A$6)&gt;0,SUMIFS(srpro!$E$10:$E$3010,srpro!$J$10:$J$3010,$AD$6,srpro!$B$10:$B$3010,'ProjectsX (2)'!A35,srpro!$K$10:$K$3010,$A$6),"")</f>
        <v/>
      </c>
      <c r="AE35" s="450"/>
      <c r="AF35" s="454" t="str">
        <f>IF( SUMIFS(srpro!$H$10:$H$3010,srpro!$J$10:$J$3010,$AG$6,srpro!$B$10:$B$3010,'ProjectsX (2)'!A35,srpro!$K$10:$K$3010,$A$6)&gt;0,SUMIFS(srpro!$H$10:$H$3010,srpro!$J$10:$J$3010,$AG$6,srpro!$B$10:$B$3010,'ProjectsX (2)'!A35,srpro!$K$10:$K$3010,$A$6),"")</f>
        <v/>
      </c>
      <c r="AG35" s="449" t="str">
        <f>IF( SUMIFS(srpro!$E$10:$E$3010,srpro!$J$10:$J$3010,$AG$6,srpro!$B$10:$B$3010,'ProjectsX (2)'!A35,srpro!$K$10:$K$3010,$A$6)&gt;0,SUMIFS(srpro!$E$10:$E$3010,srpro!$J$10:$J$3010,$AG$6,srpro!$B$10:$B$3010,'ProjectsX (2)'!A35,srpro!$K$10:$K$3010,$A$6),"")</f>
        <v/>
      </c>
      <c r="AH35" s="450"/>
      <c r="AI35" s="451"/>
      <c r="AJ35" s="451"/>
      <c r="AK35" s="450"/>
      <c r="AL35" s="615">
        <f t="shared" si="9"/>
        <v>424</v>
      </c>
      <c r="AM35" s="425"/>
      <c r="AN35" s="425"/>
      <c r="AO35" s="425"/>
      <c r="AP35" s="425"/>
      <c r="AQ35" s="425"/>
      <c r="AR35" s="425"/>
      <c r="AS35" s="425"/>
      <c r="AT35" s="425"/>
      <c r="AU35" s="425"/>
      <c r="AV35" s="425"/>
      <c r="AW35" s="425"/>
      <c r="AX35" s="425"/>
      <c r="AY35" s="425"/>
      <c r="AZ35" s="425"/>
      <c r="BA35" s="425"/>
      <c r="BB35" s="425"/>
      <c r="BC35" s="425"/>
      <c r="BD35" s="425"/>
      <c r="BE35" s="425"/>
    </row>
    <row r="36" spans="1:57" ht="19.5" customHeight="1">
      <c r="A36" s="616">
        <v>227</v>
      </c>
      <c r="B36" s="618" t="s">
        <v>272</v>
      </c>
      <c r="C36" s="532"/>
      <c r="D36" s="458">
        <f t="shared" ref="D36:D80" si="10">C36-E36</f>
        <v>-298351.56650000002</v>
      </c>
      <c r="E36" s="459">
        <f>SUMIFS(srpro!$H$10:$H$3010,srpro!$B$10:$B$3010,'ProjectsX (2)'!A36)</f>
        <v>298351.56650000002</v>
      </c>
      <c r="F36" s="460">
        <f>SUMIFS(srpro!$E$10:$E$3010,srpro!$B$10:$B$3010,'ProjectsX (2)'!A36)</f>
        <v>202185.33</v>
      </c>
      <c r="G36" s="478">
        <f t="shared" si="3"/>
        <v>0</v>
      </c>
      <c r="H36" s="479">
        <f t="shared" si="4"/>
        <v>0</v>
      </c>
      <c r="I36" s="535"/>
      <c r="J36" s="606">
        <f t="shared" si="6"/>
        <v>-192076.06349999999</v>
      </c>
      <c r="K36" s="617">
        <f t="shared" si="7"/>
        <v>0</v>
      </c>
      <c r="L36" s="526">
        <f>ProHeader!AN35</f>
        <v>2</v>
      </c>
      <c r="M36" s="525" t="str">
        <f>TEXT(  ProHeader!AJ35,"dd-mm-yy")</f>
        <v>-</v>
      </c>
      <c r="N36" s="525">
        <f>IFERROR(ProHeader!AK35 + ProHeader!AL35,"-")</f>
        <v>123641.175</v>
      </c>
      <c r="O36" s="525">
        <f>IFERROR(ProHeader!AM35,"0")</f>
        <v>123641.18</v>
      </c>
      <c r="P36" s="525">
        <f t="shared" si="8"/>
        <v>-4.9999999901046976E-3</v>
      </c>
      <c r="Q36" s="619" t="str">
        <f>IF( SUMIFS(srpro!$H$10:$H$3010,srpro!$J$10:$J$3010,$R$6,srpro!$B$10:$B$3010,'ProjectsX (2)'!A36,srpro!$K$10:$K$3010,$A$6)&gt;0,SUMIFS(srpro!$H$10:$H$3010,srpro!$J$10:$J$3010,$R$6,srpro!$B$10:$B$3010,'ProjectsX (2)'!A36,srpro!$K$10:$K$3010,$A$6),"")</f>
        <v/>
      </c>
      <c r="R36" s="449">
        <f>IF( SUMIFS(srpro!$E$10:$E$3010,srpro!$J$10:$J$3010,$R$6,srpro!$B$10:$B$3010,'ProjectsX (2)'!A36,srpro!$K$10:$K$3010,$A$6)&gt;0,SUMIFS(srpro!$E$10:$E$3010,srpro!$J$10:$J$3010,$R$6,srpro!$B$10:$B$3010,'ProjectsX (2)'!A36,srpro!$K$10:$K$3010,$A$6),"")</f>
        <v>9219</v>
      </c>
      <c r="S36" s="450"/>
      <c r="T36" s="619" t="str">
        <f>IF( SUMIFS(srpro!$H$10:$H$3010,srpro!$J$10:$J$3010,$U$6,srpro!$B$10:$B$3010,'ProjectsX (2)'!A36,srpro!$K$10:$K$3010,$A$6)&gt;0,SUMIFS(srpro!$H$10:$H$3010,srpro!$J$10:$J$3010,$U$6,srpro!$B$10:$B$3010,'ProjectsX (2)'!A36,srpro!$K$10:$K$3010,$A$6),"")</f>
        <v/>
      </c>
      <c r="U36" s="449">
        <f>IF( SUMIFS(srpro!$E$10:$E$3010,srpro!$J$10:$J$3010,$U$6,srpro!$B$10:$B$3010,'ProjectsX (2)'!A36,srpro!$K$10:$K$3010,$A$6)&gt;0,SUMIFS(srpro!$E$10:$E$3010,srpro!$J$10:$J$3010,$U$6,srpro!$B$10:$B$3010,'ProjectsX (2)'!A36,srpro!$K$10:$K$3010,$A$6),"")</f>
        <v>430</v>
      </c>
      <c r="V36" s="450"/>
      <c r="W36" s="619" t="str">
        <f>IF( SUMIFS(srpro!$H$10:$H$3010,srpro!$J$10:$J$3010,$X$6,srpro!$B$10:$B$3010,'ProjectsX (2)'!A36,srpro!$K$10:$K$3010,$A$6)&gt;0,SUMIFS(srpro!$H$10:$H$3010,srpro!$J$10:$J$3010,$X$6,srpro!$B$10:$B$3010,'ProjectsX (2)'!A36,srpro!$K$10:$K$3010,$A$6),"")</f>
        <v/>
      </c>
      <c r="X36" s="449">
        <f>IF( SUMIFS(srpro!$E$10:$E$3010,srpro!$J$10:$J$3010,$X$6,srpro!$B$10:$B$3010,'ProjectsX (2)'!A36,srpro!$K$10:$K$3010,$A$6)&gt;0,SUMIFS(srpro!$E$10:$E$3010,srpro!$J$10:$J$3010,$X$6,srpro!$B$10:$B$3010,'ProjectsX (2)'!A36,srpro!$K$10:$K$3010,$A$6),"")</f>
        <v>3413.55</v>
      </c>
      <c r="Y36" s="450"/>
      <c r="Z36" s="619" t="str">
        <f>IF( SUMIFS(srpro!$H$10:$H$3010,srpro!$J$10:$J$3010,$AA$6,srpro!$B$10:$B$3010,'ProjectsX (2)'!A36,srpro!$K$10:$K$3010,$A$6)&gt;0,SUMIFS(srpro!$H$10:$H$3010,srpro!$J$10:$J$3010,$AA$6,srpro!$B$10:$B$3010,'ProjectsX (2)'!A36,srpro!$K$10:$K$3010,$A$6),"")</f>
        <v/>
      </c>
      <c r="AA36" s="449" t="str">
        <f>IF( SUMIFS(srpro!$E$10:$E$3010,srpro!$J$10:$J$3010,$AA$6,srpro!$B$10:$B$3010,'ProjectsX (2)'!A36,srpro!$K$10:$K$3010,$A$6)&gt;0,SUMIFS(srpro!$E$10:$E$3010,srpro!$J$10:$J$3010,$AA$6,srpro!$B$10:$B$3010,'ProjectsX (2)'!A36,srpro!$K$10:$K$3010,$A$6),"")</f>
        <v/>
      </c>
      <c r="AB36" s="450"/>
      <c r="AC36" s="619" t="str">
        <f>IF( SUMIFS(srpro!$H$10:$H$3010,srpro!$J$10:$J$3010,$AD$6,srpro!$B$10:$B$3010,'ProjectsX (2)'!A36,srpro!$K$10:$K$3010,$A$6)&gt;0,SUMIFS(srpro!$H$10:$H$3010,srpro!$J$10:$J$3010,$AD$6,srpro!$B$10:$B$3010,'ProjectsX (2)'!A36,srpro!$K$10:$K$3010,$A$6),"")</f>
        <v/>
      </c>
      <c r="AD36" s="449" t="str">
        <f>IF( SUMIFS(srpro!$E$10:$E$3010,srpro!$J$10:$J$3010,$AD$6,srpro!$B$10:$B$3010,'ProjectsX (2)'!A36,srpro!$K$10:$K$3010,$A$6)&gt;0,SUMIFS(srpro!$E$10:$E$3010,srpro!$J$10:$J$3010,$AD$6,srpro!$B$10:$B$3010,'ProjectsX (2)'!A36,srpro!$K$10:$K$3010,$A$6),"")</f>
        <v/>
      </c>
      <c r="AE36" s="450"/>
      <c r="AF36" s="454" t="str">
        <f>IF( SUMIFS(srpro!$H$10:$H$3010,srpro!$J$10:$J$3010,$AG$6,srpro!$B$10:$B$3010,'ProjectsX (2)'!A36,srpro!$K$10:$K$3010,$A$6)&gt;0,SUMIFS(srpro!$H$10:$H$3010,srpro!$J$10:$J$3010,$AG$6,srpro!$B$10:$B$3010,'ProjectsX (2)'!A36,srpro!$K$10:$K$3010,$A$6),"")</f>
        <v/>
      </c>
      <c r="AG36" s="449" t="str">
        <f>IF( SUMIFS(srpro!$E$10:$E$3010,srpro!$J$10:$J$3010,$AG$6,srpro!$B$10:$B$3010,'ProjectsX (2)'!A36,srpro!$K$10:$K$3010,$A$6)&gt;0,SUMIFS(srpro!$E$10:$E$3010,srpro!$J$10:$J$3010,$AG$6,srpro!$B$10:$B$3010,'ProjectsX (2)'!A36,srpro!$K$10:$K$3010,$A$6),"")</f>
        <v/>
      </c>
      <c r="AH36" s="450"/>
      <c r="AI36" s="451"/>
      <c r="AJ36" s="451"/>
      <c r="AK36" s="450"/>
      <c r="AL36" s="615">
        <f t="shared" si="9"/>
        <v>13062.55</v>
      </c>
      <c r="AM36" s="425"/>
      <c r="AN36" s="425"/>
      <c r="AO36" s="425"/>
      <c r="AP36" s="425"/>
      <c r="AQ36" s="425"/>
      <c r="AR36" s="425"/>
      <c r="AS36" s="425"/>
      <c r="AT36" s="425"/>
      <c r="AU36" s="425"/>
      <c r="AV36" s="425"/>
      <c r="AW36" s="425"/>
      <c r="AX36" s="425"/>
      <c r="AY36" s="425"/>
      <c r="AZ36" s="425"/>
      <c r="BA36" s="425"/>
      <c r="BB36" s="425"/>
      <c r="BC36" s="425"/>
      <c r="BD36" s="425"/>
      <c r="BE36" s="425"/>
    </row>
    <row r="37" spans="1:57" ht="19.5" customHeight="1">
      <c r="A37" s="616">
        <v>228</v>
      </c>
      <c r="B37" s="618" t="s">
        <v>297</v>
      </c>
      <c r="C37" s="458">
        <f>(ProHeader!L36+ProHeader!M36)+((ProHeader!L36+ProHeader!M36)*5%)</f>
        <v>40950</v>
      </c>
      <c r="D37" s="458">
        <f t="shared" si="10"/>
        <v>6142.5</v>
      </c>
      <c r="E37" s="459">
        <f>SUMIFS(srpro!$H$10:$H$3010,srpro!$B$10:$B$3010,'ProjectsX (2)'!A37)</f>
        <v>34807.5</v>
      </c>
      <c r="F37" s="460">
        <f>SUMIFS(srpro!$E$10:$E$3010,srpro!$B$10:$B$3010,'ProjectsX (2)'!A37)</f>
        <v>28561.81</v>
      </c>
      <c r="G37" s="478">
        <f t="shared" si="3"/>
        <v>0.85</v>
      </c>
      <c r="H37" s="479">
        <f t="shared" si="4"/>
        <v>0.66260609279609273</v>
      </c>
      <c r="I37" s="535"/>
      <c r="J37" s="606">
        <f t="shared" si="6"/>
        <v>11768.780500000001</v>
      </c>
      <c r="K37" s="617">
        <f t="shared" si="7"/>
        <v>0.30251990231990233</v>
      </c>
      <c r="L37" s="526">
        <f>ProHeader!AN36</f>
        <v>1</v>
      </c>
      <c r="M37" s="525" t="str">
        <f>TEXT(  ProHeader!AJ36,"dd-mm-yy")</f>
        <v>-</v>
      </c>
      <c r="N37" s="525">
        <f>IFERROR(ProHeader!AK36 + ProHeader!AL36,"-")</f>
        <v>22207.5</v>
      </c>
      <c r="O37" s="525">
        <f>IFERROR(ProHeader!AM36,"0")</f>
        <v>22200</v>
      </c>
      <c r="P37" s="525">
        <f t="shared" si="8"/>
        <v>7.5</v>
      </c>
      <c r="Q37" s="619" t="str">
        <f>IF( SUMIFS(srpro!$H$10:$H$3010,srpro!$J$10:$J$3010,$R$6,srpro!$B$10:$B$3010,'ProjectsX (2)'!A37,srpro!$K$10:$K$3010,$A$6)&gt;0,SUMIFS(srpro!$H$10:$H$3010,srpro!$J$10:$J$3010,$R$6,srpro!$B$10:$B$3010,'ProjectsX (2)'!A37,srpro!$K$10:$K$3010,$A$6),"")</f>
        <v/>
      </c>
      <c r="R37" s="449" t="str">
        <f>IF( SUMIFS(srpro!$E$10:$E$3010,srpro!$J$10:$J$3010,$R$6,srpro!$B$10:$B$3010,'ProjectsX (2)'!A37,srpro!$K$10:$K$3010,$A$6)&gt;0,SUMIFS(srpro!$E$10:$E$3010,srpro!$J$10:$J$3010,$R$6,srpro!$B$10:$B$3010,'ProjectsX (2)'!A37,srpro!$K$10:$K$3010,$A$6),"")</f>
        <v/>
      </c>
      <c r="S37" s="450"/>
      <c r="T37" s="619">
        <f>IF( SUMIFS(srpro!$H$10:$H$3010,srpro!$J$10:$J$3010,$U$6,srpro!$B$10:$B$3010,'ProjectsX (2)'!A37,srpro!$K$10:$K$3010,$A$6)&gt;0,SUMIFS(srpro!$H$10:$H$3010,srpro!$J$10:$J$3010,$U$6,srpro!$B$10:$B$3010,'ProjectsX (2)'!A37,srpro!$K$10:$K$3010,$A$6),"")</f>
        <v>22207.5</v>
      </c>
      <c r="U37" s="449">
        <f>IF( SUMIFS(srpro!$E$10:$E$3010,srpro!$J$10:$J$3010,$U$6,srpro!$B$10:$B$3010,'ProjectsX (2)'!A37,srpro!$K$10:$K$3010,$A$6)&gt;0,SUMIFS(srpro!$E$10:$E$3010,srpro!$J$10:$J$3010,$U$6,srpro!$B$10:$B$3010,'ProjectsX (2)'!A37,srpro!$K$10:$K$3010,$A$6),"")</f>
        <v>25985.81</v>
      </c>
      <c r="V37" s="450"/>
      <c r="W37" s="619" t="str">
        <f>IF( SUMIFS(srpro!$H$10:$H$3010,srpro!$J$10:$J$3010,$X$6,srpro!$B$10:$B$3010,'ProjectsX (2)'!A37,srpro!$K$10:$K$3010,$A$6)&gt;0,SUMIFS(srpro!$H$10:$H$3010,srpro!$J$10:$J$3010,$X$6,srpro!$B$10:$B$3010,'ProjectsX (2)'!A37,srpro!$K$10:$K$3010,$A$6),"")</f>
        <v/>
      </c>
      <c r="X37" s="449" t="str">
        <f>IF( SUMIFS(srpro!$E$10:$E$3010,srpro!$J$10:$J$3010,$X$6,srpro!$B$10:$B$3010,'ProjectsX (2)'!A37,srpro!$K$10:$K$3010,$A$6)&gt;0,SUMIFS(srpro!$E$10:$E$3010,srpro!$J$10:$J$3010,$X$6,srpro!$B$10:$B$3010,'ProjectsX (2)'!A37,srpro!$K$10:$K$3010,$A$6),"")</f>
        <v/>
      </c>
      <c r="Y37" s="450"/>
      <c r="Z37" s="619" t="str">
        <f>IF( SUMIFS(srpro!$H$10:$H$3010,srpro!$J$10:$J$3010,$AA$6,srpro!$B$10:$B$3010,'ProjectsX (2)'!A37,srpro!$K$10:$K$3010,$A$6)&gt;0,SUMIFS(srpro!$H$10:$H$3010,srpro!$J$10:$J$3010,$AA$6,srpro!$B$10:$B$3010,'ProjectsX (2)'!A37,srpro!$K$10:$K$3010,$A$6),"")</f>
        <v/>
      </c>
      <c r="AA37" s="449" t="str">
        <f>IF( SUMIFS(srpro!$E$10:$E$3010,srpro!$J$10:$J$3010,$AA$6,srpro!$B$10:$B$3010,'ProjectsX (2)'!A37,srpro!$K$10:$K$3010,$A$6)&gt;0,SUMIFS(srpro!$E$10:$E$3010,srpro!$J$10:$J$3010,$AA$6,srpro!$B$10:$B$3010,'ProjectsX (2)'!A37,srpro!$K$10:$K$3010,$A$6),"")</f>
        <v/>
      </c>
      <c r="AB37" s="450"/>
      <c r="AC37" s="619" t="str">
        <f>IF( SUMIFS(srpro!$H$10:$H$3010,srpro!$J$10:$J$3010,$AD$6,srpro!$B$10:$B$3010,'ProjectsX (2)'!A37,srpro!$K$10:$K$3010,$A$6)&gt;0,SUMIFS(srpro!$H$10:$H$3010,srpro!$J$10:$J$3010,$AD$6,srpro!$B$10:$B$3010,'ProjectsX (2)'!A37,srpro!$K$10:$K$3010,$A$6),"")</f>
        <v/>
      </c>
      <c r="AD37" s="449" t="str">
        <f>IF( SUMIFS(srpro!$E$10:$E$3010,srpro!$J$10:$J$3010,$AD$6,srpro!$B$10:$B$3010,'ProjectsX (2)'!A37,srpro!$K$10:$K$3010,$A$6)&gt;0,SUMIFS(srpro!$E$10:$E$3010,srpro!$J$10:$J$3010,$AD$6,srpro!$B$10:$B$3010,'ProjectsX (2)'!A37,srpro!$K$10:$K$3010,$A$6),"")</f>
        <v/>
      </c>
      <c r="AE37" s="450"/>
      <c r="AF37" s="454" t="str">
        <f>IF( SUMIFS(srpro!$H$10:$H$3010,srpro!$J$10:$J$3010,$AG$6,srpro!$B$10:$B$3010,'ProjectsX (2)'!A37,srpro!$K$10:$K$3010,$A$6)&gt;0,SUMIFS(srpro!$H$10:$H$3010,srpro!$J$10:$J$3010,$AG$6,srpro!$B$10:$B$3010,'ProjectsX (2)'!A37,srpro!$K$10:$K$3010,$A$6),"")</f>
        <v/>
      </c>
      <c r="AG37" s="449" t="str">
        <f>IF( SUMIFS(srpro!$E$10:$E$3010,srpro!$J$10:$J$3010,$AG$6,srpro!$B$10:$B$3010,'ProjectsX (2)'!A37,srpro!$K$10:$K$3010,$A$6)&gt;0,SUMIFS(srpro!$E$10:$E$3010,srpro!$J$10:$J$3010,$AG$6,srpro!$B$10:$B$3010,'ProjectsX (2)'!A37,srpro!$K$10:$K$3010,$A$6),"")</f>
        <v/>
      </c>
      <c r="AH37" s="450"/>
      <c r="AI37" s="451"/>
      <c r="AJ37" s="451"/>
      <c r="AK37" s="450"/>
      <c r="AL37" s="615">
        <f t="shared" si="9"/>
        <v>48193.31</v>
      </c>
      <c r="AM37" s="425"/>
      <c r="AN37" s="425"/>
      <c r="AO37" s="425"/>
      <c r="AP37" s="425"/>
      <c r="AQ37" s="425"/>
      <c r="AR37" s="425"/>
      <c r="AS37" s="425"/>
      <c r="AT37" s="425"/>
      <c r="AU37" s="425"/>
      <c r="AV37" s="425"/>
      <c r="AW37" s="425"/>
      <c r="AX37" s="425"/>
      <c r="AY37" s="425"/>
      <c r="AZ37" s="425"/>
      <c r="BA37" s="425"/>
      <c r="BB37" s="425"/>
      <c r="BC37" s="425"/>
      <c r="BD37" s="425"/>
      <c r="BE37" s="425"/>
    </row>
    <row r="38" spans="1:57" ht="19.5" customHeight="1">
      <c r="A38" s="616">
        <v>229</v>
      </c>
      <c r="B38" s="618" t="s">
        <v>1022</v>
      </c>
      <c r="C38" s="458">
        <f>(ProHeader!L37+ProHeader!M37)+((ProHeader!L37+ProHeader!M37)*5%)</f>
        <v>222600</v>
      </c>
      <c r="D38" s="458">
        <f t="shared" si="10"/>
        <v>103661.25</v>
      </c>
      <c r="E38" s="459">
        <f>SUMIFS(srpro!$H$10:$H$3010,srpro!$B$10:$B$3010,'ProjectsX (2)'!A38)</f>
        <v>118938.75</v>
      </c>
      <c r="F38" s="460">
        <f>SUMIFS(srpro!$E$10:$E$3010,srpro!$B$10:$B$3010,'ProjectsX (2)'!A38)</f>
        <v>59384</v>
      </c>
      <c r="G38" s="478">
        <f t="shared" si="3"/>
        <v>0.53431603773584901</v>
      </c>
      <c r="H38" s="479">
        <f t="shared" si="4"/>
        <v>0.25343575920934414</v>
      </c>
      <c r="I38" s="535"/>
      <c r="J38" s="606">
        <f t="shared" si="6"/>
        <v>155055.20000000001</v>
      </c>
      <c r="K38" s="617">
        <f t="shared" si="7"/>
        <v>0.73322551662174307</v>
      </c>
      <c r="L38" s="526">
        <f>ProHeader!AN37</f>
        <v>0</v>
      </c>
      <c r="M38" s="525" t="str">
        <f>TEXT(  ProHeader!AJ37,"dd-mm-yy")</f>
        <v>-</v>
      </c>
      <c r="N38" s="525" t="str">
        <f>IFERROR(ProHeader!AK37 + ProHeader!AL37,"-")</f>
        <v>-</v>
      </c>
      <c r="O38" s="525" t="str">
        <f>IFERROR(ProHeader!AM37,"0")</f>
        <v>-</v>
      </c>
      <c r="P38" s="525" t="str">
        <f t="shared" si="8"/>
        <v>-</v>
      </c>
      <c r="Q38" s="619" t="str">
        <f>IF( SUMIFS(srpro!$H$10:$H$3010,srpro!$J$10:$J$3010,$R$6,srpro!$B$10:$B$3010,'ProjectsX (2)'!A38,srpro!$K$10:$K$3010,$A$6)&gt;0,SUMIFS(srpro!$H$10:$H$3010,srpro!$J$10:$J$3010,$R$6,srpro!$B$10:$B$3010,'ProjectsX (2)'!A38,srpro!$K$10:$K$3010,$A$6),"")</f>
        <v/>
      </c>
      <c r="R38" s="449" t="str">
        <f>IF( SUMIFS(srpro!$E$10:$E$3010,srpro!$J$10:$J$3010,$R$6,srpro!$B$10:$B$3010,'ProjectsX (2)'!A38,srpro!$K$10:$K$3010,$A$6)&gt;0,SUMIFS(srpro!$E$10:$E$3010,srpro!$J$10:$J$3010,$R$6,srpro!$B$10:$B$3010,'ProjectsX (2)'!A38,srpro!$K$10:$K$3010,$A$6),"")</f>
        <v/>
      </c>
      <c r="S38" s="450"/>
      <c r="T38" s="619" t="str">
        <f>IF( SUMIFS(srpro!$H$10:$H$3010,srpro!$J$10:$J$3010,$U$6,srpro!$B$10:$B$3010,'ProjectsX (2)'!A38,srpro!$K$10:$K$3010,$A$6)&gt;0,SUMIFS(srpro!$H$10:$H$3010,srpro!$J$10:$J$3010,$U$6,srpro!$B$10:$B$3010,'ProjectsX (2)'!A38,srpro!$K$10:$K$3010,$A$6),"")</f>
        <v/>
      </c>
      <c r="U38" s="449" t="str">
        <f>IF( SUMIFS(srpro!$E$10:$E$3010,srpro!$J$10:$J$3010,$U$6,srpro!$B$10:$B$3010,'ProjectsX (2)'!A38,srpro!$K$10:$K$3010,$A$6)&gt;0,SUMIFS(srpro!$E$10:$E$3010,srpro!$J$10:$J$3010,$U$6,srpro!$B$10:$B$3010,'ProjectsX (2)'!A38,srpro!$K$10:$K$3010,$A$6),"")</f>
        <v/>
      </c>
      <c r="V38" s="450"/>
      <c r="W38" s="619" t="str">
        <f>IF( SUMIFS(srpro!$H$10:$H$3010,srpro!$J$10:$J$3010,$X$6,srpro!$B$10:$B$3010,'ProjectsX (2)'!A38,srpro!$K$10:$K$3010,$A$6)&gt;0,SUMIFS(srpro!$H$10:$H$3010,srpro!$J$10:$J$3010,$X$6,srpro!$B$10:$B$3010,'ProjectsX (2)'!A38,srpro!$K$10:$K$3010,$A$6),"")</f>
        <v/>
      </c>
      <c r="X38" s="449" t="str">
        <f>IF( SUMIFS(srpro!$E$10:$E$3010,srpro!$J$10:$J$3010,$X$6,srpro!$B$10:$B$3010,'ProjectsX (2)'!A38,srpro!$K$10:$K$3010,$A$6)&gt;0,SUMIFS(srpro!$E$10:$E$3010,srpro!$J$10:$J$3010,$X$6,srpro!$B$10:$B$3010,'ProjectsX (2)'!A38,srpro!$K$10:$K$3010,$A$6),"")</f>
        <v/>
      </c>
      <c r="Y38" s="450"/>
      <c r="Z38" s="619" t="str">
        <f>IF( SUMIFS(srpro!$H$10:$H$3010,srpro!$J$10:$J$3010,$AA$6,srpro!$B$10:$B$3010,'ProjectsX (2)'!A38,srpro!$K$10:$K$3010,$A$6)&gt;0,SUMIFS(srpro!$H$10:$H$3010,srpro!$J$10:$J$3010,$AA$6,srpro!$B$10:$B$3010,'ProjectsX (2)'!A38,srpro!$K$10:$K$3010,$A$6),"")</f>
        <v/>
      </c>
      <c r="AA38" s="449" t="str">
        <f>IF( SUMIFS(srpro!$E$10:$E$3010,srpro!$J$10:$J$3010,$AA$6,srpro!$B$10:$B$3010,'ProjectsX (2)'!A38,srpro!$K$10:$K$3010,$A$6)&gt;0,SUMIFS(srpro!$E$10:$E$3010,srpro!$J$10:$J$3010,$AA$6,srpro!$B$10:$B$3010,'ProjectsX (2)'!A38,srpro!$K$10:$K$3010,$A$6),"")</f>
        <v/>
      </c>
      <c r="AB38" s="450"/>
      <c r="AC38" s="619" t="str">
        <f>IF( SUMIFS(srpro!$H$10:$H$3010,srpro!$J$10:$J$3010,$AD$6,srpro!$B$10:$B$3010,'ProjectsX (2)'!A38,srpro!$K$10:$K$3010,$A$6)&gt;0,SUMIFS(srpro!$H$10:$H$3010,srpro!$J$10:$J$3010,$AD$6,srpro!$B$10:$B$3010,'ProjectsX (2)'!A38,srpro!$K$10:$K$3010,$A$6),"")</f>
        <v/>
      </c>
      <c r="AD38" s="449" t="str">
        <f>IF( SUMIFS(srpro!$E$10:$E$3010,srpro!$J$10:$J$3010,$AD$6,srpro!$B$10:$B$3010,'ProjectsX (2)'!A38,srpro!$K$10:$K$3010,$A$6)&gt;0,SUMIFS(srpro!$E$10:$E$3010,srpro!$J$10:$J$3010,$AD$6,srpro!$B$10:$B$3010,'ProjectsX (2)'!A38,srpro!$K$10:$K$3010,$A$6),"")</f>
        <v/>
      </c>
      <c r="AE38" s="450"/>
      <c r="AF38" s="454" t="str">
        <f>IF( SUMIFS(srpro!$H$10:$H$3010,srpro!$J$10:$J$3010,$AG$6,srpro!$B$10:$B$3010,'ProjectsX (2)'!A38,srpro!$K$10:$K$3010,$A$6)&gt;0,SUMIFS(srpro!$H$10:$H$3010,srpro!$J$10:$J$3010,$AG$6,srpro!$B$10:$B$3010,'ProjectsX (2)'!A38,srpro!$K$10:$K$3010,$A$6),"")</f>
        <v/>
      </c>
      <c r="AG38" s="449" t="str">
        <f>IF( SUMIFS(srpro!$E$10:$E$3010,srpro!$J$10:$J$3010,$AG$6,srpro!$B$10:$B$3010,'ProjectsX (2)'!A38,srpro!$K$10:$K$3010,$A$6)&gt;0,SUMIFS(srpro!$E$10:$E$3010,srpro!$J$10:$J$3010,$AG$6,srpro!$B$10:$B$3010,'ProjectsX (2)'!A38,srpro!$K$10:$K$3010,$A$6),"")</f>
        <v/>
      </c>
      <c r="AH38" s="450"/>
      <c r="AI38" s="451"/>
      <c r="AJ38" s="451"/>
      <c r="AK38" s="450"/>
      <c r="AL38" s="615">
        <f t="shared" si="9"/>
        <v>0</v>
      </c>
      <c r="AM38" s="425"/>
      <c r="AN38" s="425"/>
      <c r="AO38" s="425"/>
      <c r="AP38" s="425"/>
      <c r="AQ38" s="425"/>
      <c r="AR38" s="425"/>
      <c r="AS38" s="425"/>
      <c r="AT38" s="425"/>
      <c r="AU38" s="425"/>
      <c r="AV38" s="425"/>
      <c r="AW38" s="425"/>
      <c r="AX38" s="425"/>
      <c r="AY38" s="425"/>
      <c r="AZ38" s="425"/>
      <c r="BA38" s="425"/>
      <c r="BB38" s="425"/>
      <c r="BC38" s="425"/>
      <c r="BD38" s="425"/>
      <c r="BE38" s="425"/>
    </row>
    <row r="39" spans="1:57" ht="19.5" customHeight="1">
      <c r="A39" s="616">
        <v>230</v>
      </c>
      <c r="B39" s="618" t="s">
        <v>281</v>
      </c>
      <c r="C39" s="458">
        <f>(ProHeader!L38+ProHeader!M38)+((ProHeader!L38+ProHeader!M38)*5%)</f>
        <v>158550</v>
      </c>
      <c r="D39" s="458">
        <f t="shared" si="10"/>
        <v>67383.75</v>
      </c>
      <c r="E39" s="459">
        <f>SUMIFS(srpro!$H$10:$H$3010,srpro!$B$10:$B$3010,'ProjectsX (2)'!A39)</f>
        <v>91166.25</v>
      </c>
      <c r="F39" s="460">
        <f>SUMIFS(srpro!$E$10:$E$3010,srpro!$B$10:$B$3010,'ProjectsX (2)'!A39)</f>
        <v>59944.47</v>
      </c>
      <c r="G39" s="478">
        <f t="shared" si="3"/>
        <v>0.57499999999999996</v>
      </c>
      <c r="H39" s="479">
        <f t="shared" si="4"/>
        <v>0.35917531693472093</v>
      </c>
      <c r="I39" s="535"/>
      <c r="J39" s="606">
        <f t="shared" si="6"/>
        <v>93675.253499999992</v>
      </c>
      <c r="K39" s="617">
        <f t="shared" si="7"/>
        <v>0.62192071901608315</v>
      </c>
      <c r="L39" s="526">
        <f>ProHeader!AN38</f>
        <v>0</v>
      </c>
      <c r="M39" s="525" t="str">
        <f>TEXT(  ProHeader!AJ38,"dd-mm-yy")</f>
        <v>-</v>
      </c>
      <c r="N39" s="525" t="str">
        <f>IFERROR(ProHeader!AK38 + ProHeader!AL38,"-")</f>
        <v>-</v>
      </c>
      <c r="O39" s="525" t="str">
        <f>IFERROR(ProHeader!AM38,"0")</f>
        <v>-</v>
      </c>
      <c r="P39" s="525" t="str">
        <f t="shared" si="8"/>
        <v>-</v>
      </c>
      <c r="Q39" s="619" t="str">
        <f>IF( SUMIFS(srpro!$H$10:$H$3010,srpro!$J$10:$J$3010,$R$6,srpro!$B$10:$B$3010,'ProjectsX (2)'!A39,srpro!$K$10:$K$3010,$A$6)&gt;0,SUMIFS(srpro!$H$10:$H$3010,srpro!$J$10:$J$3010,$R$6,srpro!$B$10:$B$3010,'ProjectsX (2)'!A39,srpro!$K$10:$K$3010,$A$6),"")</f>
        <v/>
      </c>
      <c r="R39" s="449" t="str">
        <f>IF( SUMIFS(srpro!$E$10:$E$3010,srpro!$J$10:$J$3010,$R$6,srpro!$B$10:$B$3010,'ProjectsX (2)'!A39,srpro!$K$10:$K$3010,$A$6)&gt;0,SUMIFS(srpro!$E$10:$E$3010,srpro!$J$10:$J$3010,$R$6,srpro!$B$10:$B$3010,'ProjectsX (2)'!A39,srpro!$K$10:$K$3010,$A$6),"")</f>
        <v/>
      </c>
      <c r="S39" s="450"/>
      <c r="T39" s="619" t="str">
        <f>IF( SUMIFS(srpro!$H$10:$H$3010,srpro!$J$10:$J$3010,$U$6,srpro!$B$10:$B$3010,'ProjectsX (2)'!A39,srpro!$K$10:$K$3010,$A$6)&gt;0,SUMIFS(srpro!$H$10:$H$3010,srpro!$J$10:$J$3010,$U$6,srpro!$B$10:$B$3010,'ProjectsX (2)'!A39,srpro!$K$10:$K$3010,$A$6),"")</f>
        <v/>
      </c>
      <c r="U39" s="449" t="str">
        <f>IF( SUMIFS(srpro!$E$10:$E$3010,srpro!$J$10:$J$3010,$U$6,srpro!$B$10:$B$3010,'ProjectsX (2)'!A39,srpro!$K$10:$K$3010,$A$6)&gt;0,SUMIFS(srpro!$E$10:$E$3010,srpro!$J$10:$J$3010,$U$6,srpro!$B$10:$B$3010,'ProjectsX (2)'!A39,srpro!$K$10:$K$3010,$A$6),"")</f>
        <v/>
      </c>
      <c r="V39" s="450"/>
      <c r="W39" s="619" t="str">
        <f>IF( SUMIFS(srpro!$H$10:$H$3010,srpro!$J$10:$J$3010,$X$6,srpro!$B$10:$B$3010,'ProjectsX (2)'!A39,srpro!$K$10:$K$3010,$A$6)&gt;0,SUMIFS(srpro!$H$10:$H$3010,srpro!$J$10:$J$3010,$X$6,srpro!$B$10:$B$3010,'ProjectsX (2)'!A39,srpro!$K$10:$K$3010,$A$6),"")</f>
        <v/>
      </c>
      <c r="X39" s="449" t="str">
        <f>IF( SUMIFS(srpro!$E$10:$E$3010,srpro!$J$10:$J$3010,$X$6,srpro!$B$10:$B$3010,'ProjectsX (2)'!A39,srpro!$K$10:$K$3010,$A$6)&gt;0,SUMIFS(srpro!$E$10:$E$3010,srpro!$J$10:$J$3010,$X$6,srpro!$B$10:$B$3010,'ProjectsX (2)'!A39,srpro!$K$10:$K$3010,$A$6),"")</f>
        <v/>
      </c>
      <c r="Y39" s="450"/>
      <c r="Z39" s="619" t="str">
        <f>IF( SUMIFS(srpro!$H$10:$H$3010,srpro!$J$10:$J$3010,$AA$6,srpro!$B$10:$B$3010,'ProjectsX (2)'!A39,srpro!$K$10:$K$3010,$A$6)&gt;0,SUMIFS(srpro!$H$10:$H$3010,srpro!$J$10:$J$3010,$AA$6,srpro!$B$10:$B$3010,'ProjectsX (2)'!A39,srpro!$K$10:$K$3010,$A$6),"")</f>
        <v/>
      </c>
      <c r="AA39" s="449" t="str">
        <f>IF( SUMIFS(srpro!$E$10:$E$3010,srpro!$J$10:$J$3010,$AA$6,srpro!$B$10:$B$3010,'ProjectsX (2)'!A39,srpro!$K$10:$K$3010,$A$6)&gt;0,SUMIFS(srpro!$E$10:$E$3010,srpro!$J$10:$J$3010,$AA$6,srpro!$B$10:$B$3010,'ProjectsX (2)'!A39,srpro!$K$10:$K$3010,$A$6),"")</f>
        <v/>
      </c>
      <c r="AB39" s="450"/>
      <c r="AC39" s="619" t="str">
        <f>IF( SUMIFS(srpro!$H$10:$H$3010,srpro!$J$10:$J$3010,$AD$6,srpro!$B$10:$B$3010,'ProjectsX (2)'!A39,srpro!$K$10:$K$3010,$A$6)&gt;0,SUMIFS(srpro!$H$10:$H$3010,srpro!$J$10:$J$3010,$AD$6,srpro!$B$10:$B$3010,'ProjectsX (2)'!A39,srpro!$K$10:$K$3010,$A$6),"")</f>
        <v/>
      </c>
      <c r="AD39" s="449">
        <f>IF( SUMIFS(srpro!$E$10:$E$3010,srpro!$J$10:$J$3010,$AD$6,srpro!$B$10:$B$3010,'ProjectsX (2)'!A39,srpro!$K$10:$K$3010,$A$6)&gt;0,SUMIFS(srpro!$E$10:$E$3010,srpro!$J$10:$J$3010,$AD$6,srpro!$B$10:$B$3010,'ProjectsX (2)'!A39,srpro!$K$10:$K$3010,$A$6),"")</f>
        <v>6681.47</v>
      </c>
      <c r="AE39" s="450"/>
      <c r="AF39" s="454" t="str">
        <f>IF( SUMIFS(srpro!$H$10:$H$3010,srpro!$J$10:$J$3010,$AG$6,srpro!$B$10:$B$3010,'ProjectsX (2)'!A39,srpro!$K$10:$K$3010,$A$6)&gt;0,SUMIFS(srpro!$H$10:$H$3010,srpro!$J$10:$J$3010,$AG$6,srpro!$B$10:$B$3010,'ProjectsX (2)'!A39,srpro!$K$10:$K$3010,$A$6),"")</f>
        <v/>
      </c>
      <c r="AG39" s="449" t="str">
        <f>IF( SUMIFS(srpro!$E$10:$E$3010,srpro!$J$10:$J$3010,$AG$6,srpro!$B$10:$B$3010,'ProjectsX (2)'!A39,srpro!$K$10:$K$3010,$A$6)&gt;0,SUMIFS(srpro!$E$10:$E$3010,srpro!$J$10:$J$3010,$AG$6,srpro!$B$10:$B$3010,'ProjectsX (2)'!A39,srpro!$K$10:$K$3010,$A$6),"")</f>
        <v/>
      </c>
      <c r="AH39" s="450"/>
      <c r="AI39" s="451"/>
      <c r="AJ39" s="451"/>
      <c r="AK39" s="450"/>
      <c r="AL39" s="615">
        <f t="shared" si="9"/>
        <v>6681.47</v>
      </c>
      <c r="AM39" s="425"/>
      <c r="AN39" s="425"/>
      <c r="AO39" s="425"/>
      <c r="AP39" s="425"/>
      <c r="AQ39" s="425"/>
      <c r="AR39" s="425"/>
      <c r="AS39" s="425"/>
      <c r="AT39" s="425"/>
      <c r="AU39" s="425"/>
      <c r="AV39" s="425"/>
      <c r="AW39" s="425"/>
      <c r="AX39" s="425"/>
      <c r="AY39" s="425"/>
      <c r="AZ39" s="425"/>
      <c r="BA39" s="425"/>
      <c r="BB39" s="425"/>
      <c r="BC39" s="425"/>
      <c r="BD39" s="425"/>
      <c r="BE39" s="425"/>
    </row>
    <row r="40" spans="1:57" ht="19.5" customHeight="1">
      <c r="A40" s="616">
        <v>231</v>
      </c>
      <c r="B40" s="618" t="s">
        <v>186</v>
      </c>
      <c r="C40" s="458">
        <f>(ProHeader!L39+ProHeader!M39)+((ProHeader!L39+ProHeader!M39)*5%)</f>
        <v>142012.5</v>
      </c>
      <c r="D40" s="458">
        <f t="shared" si="10"/>
        <v>0</v>
      </c>
      <c r="E40" s="459">
        <f>SUMIFS(srpro!$H$10:$H$3010,srpro!$B$10:$B$3010,'ProjectsX (2)'!A40)</f>
        <v>142012.5</v>
      </c>
      <c r="F40" s="460">
        <f>SUMIFS(srpro!$E$10:$E$3010,srpro!$B$10:$B$3010,'ProjectsX (2)'!A40)</f>
        <v>101227.06</v>
      </c>
      <c r="G40" s="478">
        <f t="shared" si="3"/>
        <v>1</v>
      </c>
      <c r="H40" s="479">
        <f t="shared" si="4"/>
        <v>0.67716367925358678</v>
      </c>
      <c r="I40" s="535"/>
      <c r="J40" s="606">
        <f t="shared" si="6"/>
        <v>38746.168000000005</v>
      </c>
      <c r="K40" s="617">
        <f t="shared" si="7"/>
        <v>0.28719612710148756</v>
      </c>
      <c r="L40" s="526">
        <f>ProHeader!AN39</f>
        <v>1</v>
      </c>
      <c r="M40" s="525" t="str">
        <f>TEXT(  ProHeader!AJ39,"dd-mm-yy")</f>
        <v>-</v>
      </c>
      <c r="N40" s="525">
        <f>IFERROR(ProHeader!AK39 + ProHeader!AL39,"-")</f>
        <v>16842</v>
      </c>
      <c r="O40" s="525">
        <f>IFERROR(ProHeader!AM39,"0")</f>
        <v>16842</v>
      </c>
      <c r="P40" s="525">
        <f t="shared" si="8"/>
        <v>0</v>
      </c>
      <c r="Q40" s="619" t="str">
        <f>IF( SUMIFS(srpro!$H$10:$H$3010,srpro!$J$10:$J$3010,$R$6,srpro!$B$10:$B$3010,'ProjectsX (2)'!A40,srpro!$K$10:$K$3010,$A$6)&gt;0,SUMIFS(srpro!$H$10:$H$3010,srpro!$J$10:$J$3010,$R$6,srpro!$B$10:$B$3010,'ProjectsX (2)'!A40,srpro!$K$10:$K$3010,$A$6),"")</f>
        <v/>
      </c>
      <c r="R40" s="449" t="str">
        <f>IF( SUMIFS(srpro!$E$10:$E$3010,srpro!$J$10:$J$3010,$R$6,srpro!$B$10:$B$3010,'ProjectsX (2)'!A40,srpro!$K$10:$K$3010,$A$6)&gt;0,SUMIFS(srpro!$E$10:$E$3010,srpro!$J$10:$J$3010,$R$6,srpro!$B$10:$B$3010,'ProjectsX (2)'!A40,srpro!$K$10:$K$3010,$A$6),"")</f>
        <v/>
      </c>
      <c r="S40" s="450"/>
      <c r="T40" s="619" t="str">
        <f>IF( SUMIFS(srpro!$H$10:$H$3010,srpro!$J$10:$J$3010,$U$6,srpro!$B$10:$B$3010,'ProjectsX (2)'!A40,srpro!$K$10:$K$3010,$A$6)&gt;0,SUMIFS(srpro!$H$10:$H$3010,srpro!$J$10:$J$3010,$U$6,srpro!$B$10:$B$3010,'ProjectsX (2)'!A40,srpro!$K$10:$K$3010,$A$6),"")</f>
        <v/>
      </c>
      <c r="U40" s="449" t="str">
        <f>IF( SUMIFS(srpro!$E$10:$E$3010,srpro!$J$10:$J$3010,$U$6,srpro!$B$10:$B$3010,'ProjectsX (2)'!A40,srpro!$K$10:$K$3010,$A$6)&gt;0,SUMIFS(srpro!$E$10:$E$3010,srpro!$J$10:$J$3010,$U$6,srpro!$B$10:$B$3010,'ProjectsX (2)'!A40,srpro!$K$10:$K$3010,$A$6),"")</f>
        <v/>
      </c>
      <c r="V40" s="450"/>
      <c r="W40" s="619" t="str">
        <f>IF( SUMIFS(srpro!$H$10:$H$3010,srpro!$J$10:$J$3010,$X$6,srpro!$B$10:$B$3010,'ProjectsX (2)'!A40,srpro!$K$10:$K$3010,$A$6)&gt;0,SUMIFS(srpro!$H$10:$H$3010,srpro!$J$10:$J$3010,$X$6,srpro!$B$10:$B$3010,'ProjectsX (2)'!A40,srpro!$K$10:$K$3010,$A$6),"")</f>
        <v/>
      </c>
      <c r="X40" s="449" t="str">
        <f>IF( SUMIFS(srpro!$E$10:$E$3010,srpro!$J$10:$J$3010,$X$6,srpro!$B$10:$B$3010,'ProjectsX (2)'!A40,srpro!$K$10:$K$3010,$A$6)&gt;0,SUMIFS(srpro!$E$10:$E$3010,srpro!$J$10:$J$3010,$X$6,srpro!$B$10:$B$3010,'ProjectsX (2)'!A40,srpro!$K$10:$K$3010,$A$6),"")</f>
        <v/>
      </c>
      <c r="Y40" s="450"/>
      <c r="Z40" s="619" t="str">
        <f>IF( SUMIFS(srpro!$H$10:$H$3010,srpro!$J$10:$J$3010,$AA$6,srpro!$B$10:$B$3010,'ProjectsX (2)'!A40,srpro!$K$10:$K$3010,$A$6)&gt;0,SUMIFS(srpro!$H$10:$H$3010,srpro!$J$10:$J$3010,$AA$6,srpro!$B$10:$B$3010,'ProjectsX (2)'!A40,srpro!$K$10:$K$3010,$A$6),"")</f>
        <v/>
      </c>
      <c r="AA40" s="449" t="str">
        <f>IF( SUMIFS(srpro!$E$10:$E$3010,srpro!$J$10:$J$3010,$AA$6,srpro!$B$10:$B$3010,'ProjectsX (2)'!A40,srpro!$K$10:$K$3010,$A$6)&gt;0,SUMIFS(srpro!$E$10:$E$3010,srpro!$J$10:$J$3010,$AA$6,srpro!$B$10:$B$3010,'ProjectsX (2)'!A40,srpro!$K$10:$K$3010,$A$6),"")</f>
        <v/>
      </c>
      <c r="AB40" s="450"/>
      <c r="AC40" s="619" t="str">
        <f>IF( SUMIFS(srpro!$H$10:$H$3010,srpro!$J$10:$J$3010,$AD$6,srpro!$B$10:$B$3010,'ProjectsX (2)'!A40,srpro!$K$10:$K$3010,$A$6)&gt;0,SUMIFS(srpro!$H$10:$H$3010,srpro!$J$10:$J$3010,$AD$6,srpro!$B$10:$B$3010,'ProjectsX (2)'!A40,srpro!$K$10:$K$3010,$A$6),"")</f>
        <v/>
      </c>
      <c r="AD40" s="449" t="str">
        <f>IF( SUMIFS(srpro!$E$10:$E$3010,srpro!$J$10:$J$3010,$AD$6,srpro!$B$10:$B$3010,'ProjectsX (2)'!A40,srpro!$K$10:$K$3010,$A$6)&gt;0,SUMIFS(srpro!$E$10:$E$3010,srpro!$J$10:$J$3010,$AD$6,srpro!$B$10:$B$3010,'ProjectsX (2)'!A40,srpro!$K$10:$K$3010,$A$6),"")</f>
        <v/>
      </c>
      <c r="AE40" s="450"/>
      <c r="AF40" s="454" t="str">
        <f>IF( SUMIFS(srpro!$H$10:$H$3010,srpro!$J$10:$J$3010,$AG$6,srpro!$B$10:$B$3010,'ProjectsX (2)'!A40,srpro!$K$10:$K$3010,$A$6)&gt;0,SUMIFS(srpro!$H$10:$H$3010,srpro!$J$10:$J$3010,$AG$6,srpro!$B$10:$B$3010,'ProjectsX (2)'!A40,srpro!$K$10:$K$3010,$A$6),"")</f>
        <v/>
      </c>
      <c r="AG40" s="449" t="str">
        <f>IF( SUMIFS(srpro!$E$10:$E$3010,srpro!$J$10:$J$3010,$AG$6,srpro!$B$10:$B$3010,'ProjectsX (2)'!A40,srpro!$K$10:$K$3010,$A$6)&gt;0,SUMIFS(srpro!$E$10:$E$3010,srpro!$J$10:$J$3010,$AG$6,srpro!$B$10:$B$3010,'ProjectsX (2)'!A40,srpro!$K$10:$K$3010,$A$6),"")</f>
        <v/>
      </c>
      <c r="AH40" s="450"/>
      <c r="AI40" s="451"/>
      <c r="AJ40" s="451"/>
      <c r="AK40" s="450"/>
      <c r="AL40" s="615">
        <f t="shared" si="9"/>
        <v>0</v>
      </c>
      <c r="AM40" s="425"/>
      <c r="AN40" s="425"/>
      <c r="AO40" s="425"/>
      <c r="AP40" s="425"/>
      <c r="AQ40" s="425"/>
      <c r="AR40" s="425"/>
      <c r="AS40" s="425"/>
      <c r="AT40" s="425"/>
      <c r="AU40" s="425"/>
      <c r="AV40" s="425"/>
      <c r="AW40" s="425"/>
      <c r="AX40" s="425"/>
      <c r="AY40" s="425"/>
      <c r="AZ40" s="425"/>
      <c r="BA40" s="425"/>
      <c r="BB40" s="425"/>
      <c r="BC40" s="425"/>
      <c r="BD40" s="425"/>
      <c r="BE40" s="425"/>
    </row>
    <row r="41" spans="1:57" ht="19.5" customHeight="1">
      <c r="A41" s="616">
        <v>233</v>
      </c>
      <c r="B41" s="618" t="s">
        <v>299</v>
      </c>
      <c r="C41" s="458">
        <f>(ProHeader!L40+ProHeader!M40)+((ProHeader!L40+ProHeader!M40)*5%)</f>
        <v>241500</v>
      </c>
      <c r="D41" s="458">
        <f t="shared" si="10"/>
        <v>0.79999999998835847</v>
      </c>
      <c r="E41" s="459">
        <f>SUMIFS(srpro!$H$10:$H$3010,srpro!$B$10:$B$3010,'ProjectsX (2)'!A41)</f>
        <v>241499.2</v>
      </c>
      <c r="F41" s="460">
        <f>SUMIFS(srpro!$E$10:$E$3010,srpro!$B$10:$B$3010,'ProjectsX (2)'!A41)</f>
        <v>187050.36</v>
      </c>
      <c r="G41" s="478">
        <f t="shared" si="3"/>
        <v>0.99999668737060043</v>
      </c>
      <c r="H41" s="479">
        <f t="shared" si="4"/>
        <v>0.73580886956521729</v>
      </c>
      <c r="I41" s="535"/>
      <c r="J41" s="606">
        <f t="shared" si="6"/>
        <v>51727.158000000025</v>
      </c>
      <c r="K41" s="617">
        <f t="shared" si="7"/>
        <v>0.22546434782608707</v>
      </c>
      <c r="L41" s="526">
        <f>ProHeader!AN40</f>
        <v>2</v>
      </c>
      <c r="M41" s="525" t="str">
        <f>TEXT(  ProHeader!AJ40,"dd-mm-yy")</f>
        <v>-</v>
      </c>
      <c r="N41" s="525">
        <f>IFERROR(ProHeader!AK40 + ProHeader!AL40,"-")</f>
        <v>88099.199999999997</v>
      </c>
      <c r="O41" s="525">
        <f>IFERROR(ProHeader!AM40,"0")</f>
        <v>88100</v>
      </c>
      <c r="P41" s="525">
        <f t="shared" si="8"/>
        <v>-0.80000000000291038</v>
      </c>
      <c r="Q41" s="619" t="str">
        <f>IF( SUMIFS(srpro!$H$10:$H$3010,srpro!$J$10:$J$3010,$R$6,srpro!$B$10:$B$3010,'ProjectsX (2)'!A41,srpro!$K$10:$K$3010,$A$6)&gt;0,SUMIFS(srpro!$H$10:$H$3010,srpro!$J$10:$J$3010,$R$6,srpro!$B$10:$B$3010,'ProjectsX (2)'!A41,srpro!$K$10:$K$3010,$A$6),"")</f>
        <v/>
      </c>
      <c r="R41" s="449" t="str">
        <f>IF( SUMIFS(srpro!$E$10:$E$3010,srpro!$J$10:$J$3010,$R$6,srpro!$B$10:$B$3010,'ProjectsX (2)'!A41,srpro!$K$10:$K$3010,$A$6)&gt;0,SUMIFS(srpro!$E$10:$E$3010,srpro!$J$10:$J$3010,$R$6,srpro!$B$10:$B$3010,'ProjectsX (2)'!A41,srpro!$K$10:$K$3010,$A$6),"")</f>
        <v/>
      </c>
      <c r="S41" s="450"/>
      <c r="T41" s="619" t="str">
        <f>IF( SUMIFS(srpro!$H$10:$H$3010,srpro!$J$10:$J$3010,$U$6,srpro!$B$10:$B$3010,'ProjectsX (2)'!A41,srpro!$K$10:$K$3010,$A$6)&gt;0,SUMIFS(srpro!$H$10:$H$3010,srpro!$J$10:$J$3010,$U$6,srpro!$B$10:$B$3010,'ProjectsX (2)'!A41,srpro!$K$10:$K$3010,$A$6),"")</f>
        <v/>
      </c>
      <c r="U41" s="449">
        <f>IF( SUMIFS(srpro!$E$10:$E$3010,srpro!$J$10:$J$3010,$U$6,srpro!$B$10:$B$3010,'ProjectsX (2)'!A41,srpro!$K$10:$K$3010,$A$6)&gt;0,SUMIFS(srpro!$E$10:$E$3010,srpro!$J$10:$J$3010,$U$6,srpro!$B$10:$B$3010,'ProjectsX (2)'!A41,srpro!$K$10:$K$3010,$A$6),"")</f>
        <v>440.90999999999997</v>
      </c>
      <c r="V41" s="450"/>
      <c r="W41" s="619" t="str">
        <f>IF( SUMIFS(srpro!$H$10:$H$3010,srpro!$J$10:$J$3010,$X$6,srpro!$B$10:$B$3010,'ProjectsX (2)'!A41,srpro!$K$10:$K$3010,$A$6)&gt;0,SUMIFS(srpro!$H$10:$H$3010,srpro!$J$10:$J$3010,$X$6,srpro!$B$10:$B$3010,'ProjectsX (2)'!A41,srpro!$K$10:$K$3010,$A$6),"")</f>
        <v/>
      </c>
      <c r="X41" s="449">
        <f>IF( SUMIFS(srpro!$E$10:$E$3010,srpro!$J$10:$J$3010,$X$6,srpro!$B$10:$B$3010,'ProjectsX (2)'!A41,srpro!$K$10:$K$3010,$A$6)&gt;0,SUMIFS(srpro!$E$10:$E$3010,srpro!$J$10:$J$3010,$X$6,srpro!$B$10:$B$3010,'ProjectsX (2)'!A41,srpro!$K$10:$K$3010,$A$6),"")</f>
        <v>254.6</v>
      </c>
      <c r="Y41" s="450"/>
      <c r="Z41" s="619">
        <f>IF( SUMIFS(srpro!$H$10:$H$3010,srpro!$J$10:$J$3010,$AA$6,srpro!$B$10:$B$3010,'ProjectsX (2)'!A41,srpro!$K$10:$K$3010,$A$6)&gt;0,SUMIFS(srpro!$H$10:$H$3010,srpro!$J$10:$J$3010,$AA$6,srpro!$B$10:$B$3010,'ProjectsX (2)'!A41,srpro!$K$10:$K$3010,$A$6),"")</f>
        <v>20575</v>
      </c>
      <c r="AA41" s="449" t="str">
        <f>IF( SUMIFS(srpro!$E$10:$E$3010,srpro!$J$10:$J$3010,$AA$6,srpro!$B$10:$B$3010,'ProjectsX (2)'!A41,srpro!$K$10:$K$3010,$A$6)&gt;0,SUMIFS(srpro!$E$10:$E$3010,srpro!$J$10:$J$3010,$AA$6,srpro!$B$10:$B$3010,'ProjectsX (2)'!A41,srpro!$K$10:$K$3010,$A$6),"")</f>
        <v/>
      </c>
      <c r="AB41" s="450"/>
      <c r="AC41" s="619" t="str">
        <f>IF( SUMIFS(srpro!$H$10:$H$3010,srpro!$J$10:$J$3010,$AD$6,srpro!$B$10:$B$3010,'ProjectsX (2)'!A41,srpro!$K$10:$K$3010,$A$6)&gt;0,SUMIFS(srpro!$H$10:$H$3010,srpro!$J$10:$J$3010,$AD$6,srpro!$B$10:$B$3010,'ProjectsX (2)'!A41,srpro!$K$10:$K$3010,$A$6),"")</f>
        <v/>
      </c>
      <c r="AD41" s="449">
        <f>IF( SUMIFS(srpro!$E$10:$E$3010,srpro!$J$10:$J$3010,$AD$6,srpro!$B$10:$B$3010,'ProjectsX (2)'!A41,srpro!$K$10:$K$3010,$A$6)&gt;0,SUMIFS(srpro!$E$10:$E$3010,srpro!$J$10:$J$3010,$AD$6,srpro!$B$10:$B$3010,'ProjectsX (2)'!A41,srpro!$K$10:$K$3010,$A$6),"")</f>
        <v>60.58</v>
      </c>
      <c r="AE41" s="450"/>
      <c r="AF41" s="454" t="str">
        <f>IF( SUMIFS(srpro!$H$10:$H$3010,srpro!$J$10:$J$3010,$AG$6,srpro!$B$10:$B$3010,'ProjectsX (2)'!A41,srpro!$K$10:$K$3010,$A$6)&gt;0,SUMIFS(srpro!$H$10:$H$3010,srpro!$J$10:$J$3010,$AG$6,srpro!$B$10:$B$3010,'ProjectsX (2)'!A41,srpro!$K$10:$K$3010,$A$6),"")</f>
        <v/>
      </c>
      <c r="AG41" s="449" t="str">
        <f>IF( SUMIFS(srpro!$E$10:$E$3010,srpro!$J$10:$J$3010,$AG$6,srpro!$B$10:$B$3010,'ProjectsX (2)'!A41,srpro!$K$10:$K$3010,$A$6)&gt;0,SUMIFS(srpro!$E$10:$E$3010,srpro!$J$10:$J$3010,$AG$6,srpro!$B$10:$B$3010,'ProjectsX (2)'!A41,srpro!$K$10:$K$3010,$A$6),"")</f>
        <v/>
      </c>
      <c r="AH41" s="450"/>
      <c r="AI41" s="451"/>
      <c r="AJ41" s="451"/>
      <c r="AK41" s="450"/>
      <c r="AL41" s="615">
        <f t="shared" si="9"/>
        <v>21331.09</v>
      </c>
      <c r="AM41" s="425"/>
      <c r="AN41" s="425"/>
      <c r="AO41" s="425"/>
      <c r="AP41" s="425"/>
      <c r="AQ41" s="425"/>
      <c r="AR41" s="425"/>
      <c r="AS41" s="425"/>
      <c r="AT41" s="425"/>
      <c r="AU41" s="425"/>
      <c r="AV41" s="425"/>
      <c r="AW41" s="425"/>
      <c r="AX41" s="425"/>
      <c r="AY41" s="425"/>
      <c r="AZ41" s="425"/>
      <c r="BA41" s="425"/>
      <c r="BB41" s="425"/>
      <c r="BC41" s="425"/>
      <c r="BD41" s="425"/>
      <c r="BE41" s="425"/>
    </row>
    <row r="42" spans="1:57" ht="19.5" customHeight="1">
      <c r="A42" s="616">
        <v>234</v>
      </c>
      <c r="B42" s="618" t="s">
        <v>286</v>
      </c>
      <c r="C42" s="458">
        <f>(ProHeader!L41+ProHeader!M41)+((ProHeader!L41+ProHeader!M41)*5%)</f>
        <v>141225</v>
      </c>
      <c r="D42" s="458">
        <f t="shared" si="10"/>
        <v>-0.5</v>
      </c>
      <c r="E42" s="459">
        <f>SUMIFS(srpro!$H$10:$H$3010,srpro!$B$10:$B$3010,'ProjectsX (2)'!A42)</f>
        <v>141225.5</v>
      </c>
      <c r="F42" s="460">
        <f>SUMIFS(srpro!$E$10:$E$3010,srpro!$B$10:$B$3010,'ProjectsX (2)'!A42)</f>
        <v>101865.81999999999</v>
      </c>
      <c r="G42" s="478">
        <f t="shared" ref="G42:G73" si="11">IFERROR((E42)/(C42),0)</f>
        <v>1.000003540449637</v>
      </c>
      <c r="H42" s="479">
        <f t="shared" ref="H42:H73" si="12">IFERROR((F42-(F42*5%))/(C42),0)</f>
        <v>0.68523653035935561</v>
      </c>
      <c r="I42" s="535"/>
      <c r="J42" s="606">
        <f t="shared" si="6"/>
        <v>37391.221000000005</v>
      </c>
      <c r="K42" s="617">
        <f t="shared" si="7"/>
        <v>0.27869838909541517</v>
      </c>
      <c r="L42" s="526">
        <f>ProHeader!AN41</f>
        <v>3</v>
      </c>
      <c r="M42" s="525" t="str">
        <f>TEXT(  ProHeader!AJ41,"dd-mm-yy")</f>
        <v>-</v>
      </c>
      <c r="N42" s="525">
        <f>IFERROR(ProHeader!AK41 + ProHeader!AL41,"-")</f>
        <v>46683</v>
      </c>
      <c r="O42" s="525">
        <f>IFERROR(ProHeader!AM41,"0")</f>
        <v>46683</v>
      </c>
      <c r="P42" s="525">
        <f t="shared" si="8"/>
        <v>0</v>
      </c>
      <c r="Q42" s="619" t="str">
        <f>IF( SUMIFS(srpro!$H$10:$H$3010,srpro!$J$10:$J$3010,$R$6,srpro!$B$10:$B$3010,'ProjectsX (2)'!A42,srpro!$K$10:$K$3010,$A$6)&gt;0,SUMIFS(srpro!$H$10:$H$3010,srpro!$J$10:$J$3010,$R$6,srpro!$B$10:$B$3010,'ProjectsX (2)'!A42,srpro!$K$10:$K$3010,$A$6),"")</f>
        <v/>
      </c>
      <c r="R42" s="449" t="str">
        <f>IF( SUMIFS(srpro!$E$10:$E$3010,srpro!$J$10:$J$3010,$R$6,srpro!$B$10:$B$3010,'ProjectsX (2)'!A42,srpro!$K$10:$K$3010,$A$6)&gt;0,SUMIFS(srpro!$E$10:$E$3010,srpro!$J$10:$J$3010,$R$6,srpro!$B$10:$B$3010,'ProjectsX (2)'!A42,srpro!$K$10:$K$3010,$A$6),"")</f>
        <v/>
      </c>
      <c r="S42" s="450"/>
      <c r="T42" s="619" t="str">
        <f>IF( SUMIFS(srpro!$H$10:$H$3010,srpro!$J$10:$J$3010,$U$6,srpro!$B$10:$B$3010,'ProjectsX (2)'!A42,srpro!$K$10:$K$3010,$A$6)&gt;0,SUMIFS(srpro!$H$10:$H$3010,srpro!$J$10:$J$3010,$U$6,srpro!$B$10:$B$3010,'ProjectsX (2)'!A42,srpro!$K$10:$K$3010,$A$6),"")</f>
        <v/>
      </c>
      <c r="U42" s="449">
        <f>IF( SUMIFS(srpro!$E$10:$E$3010,srpro!$J$10:$J$3010,$U$6,srpro!$B$10:$B$3010,'ProjectsX (2)'!A42,srpro!$K$10:$K$3010,$A$6)&gt;0,SUMIFS(srpro!$E$10:$E$3010,srpro!$J$10:$J$3010,$U$6,srpro!$B$10:$B$3010,'ProjectsX (2)'!A42,srpro!$K$10:$K$3010,$A$6),"")</f>
        <v>4000</v>
      </c>
      <c r="V42" s="450"/>
      <c r="W42" s="619" t="str">
        <f>IF( SUMIFS(srpro!$H$10:$H$3010,srpro!$J$10:$J$3010,$X$6,srpro!$B$10:$B$3010,'ProjectsX (2)'!A42,srpro!$K$10:$K$3010,$A$6)&gt;0,SUMIFS(srpro!$H$10:$H$3010,srpro!$J$10:$J$3010,$X$6,srpro!$B$10:$B$3010,'ProjectsX (2)'!A42,srpro!$K$10:$K$3010,$A$6),"")</f>
        <v/>
      </c>
      <c r="X42" s="449" t="str">
        <f>IF( SUMIFS(srpro!$E$10:$E$3010,srpro!$J$10:$J$3010,$X$6,srpro!$B$10:$B$3010,'ProjectsX (2)'!A42,srpro!$K$10:$K$3010,$A$6)&gt;0,SUMIFS(srpro!$E$10:$E$3010,srpro!$J$10:$J$3010,$X$6,srpro!$B$10:$B$3010,'ProjectsX (2)'!A42,srpro!$K$10:$K$3010,$A$6),"")</f>
        <v/>
      </c>
      <c r="Y42" s="450"/>
      <c r="Z42" s="619" t="str">
        <f>IF( SUMIFS(srpro!$H$10:$H$3010,srpro!$J$10:$J$3010,$AA$6,srpro!$B$10:$B$3010,'ProjectsX (2)'!A42,srpro!$K$10:$K$3010,$A$6)&gt;0,SUMIFS(srpro!$H$10:$H$3010,srpro!$J$10:$J$3010,$AA$6,srpro!$B$10:$B$3010,'ProjectsX (2)'!A42,srpro!$K$10:$K$3010,$A$6),"")</f>
        <v/>
      </c>
      <c r="AA42" s="449" t="str">
        <f>IF( SUMIFS(srpro!$E$10:$E$3010,srpro!$J$10:$J$3010,$AA$6,srpro!$B$10:$B$3010,'ProjectsX (2)'!A42,srpro!$K$10:$K$3010,$A$6)&gt;0,SUMIFS(srpro!$E$10:$E$3010,srpro!$J$10:$J$3010,$AA$6,srpro!$B$10:$B$3010,'ProjectsX (2)'!A42,srpro!$K$10:$K$3010,$A$6),"")</f>
        <v/>
      </c>
      <c r="AB42" s="450"/>
      <c r="AC42" s="619">
        <f>IF( SUMIFS(srpro!$H$10:$H$3010,srpro!$J$10:$J$3010,$AD$6,srpro!$B$10:$B$3010,'ProjectsX (2)'!A42,srpro!$K$10:$K$3010,$A$6)&gt;0,SUMIFS(srpro!$H$10:$H$3010,srpro!$J$10:$J$3010,$AD$6,srpro!$B$10:$B$3010,'ProjectsX (2)'!A42,srpro!$K$10:$K$3010,$A$6),"")</f>
        <v>16054.5</v>
      </c>
      <c r="AD42" s="449" t="str">
        <f>IF( SUMIFS(srpro!$E$10:$E$3010,srpro!$J$10:$J$3010,$AD$6,srpro!$B$10:$B$3010,'ProjectsX (2)'!A42,srpro!$K$10:$K$3010,$A$6)&gt;0,SUMIFS(srpro!$E$10:$E$3010,srpro!$J$10:$J$3010,$AD$6,srpro!$B$10:$B$3010,'ProjectsX (2)'!A42,srpro!$K$10:$K$3010,$A$6),"")</f>
        <v/>
      </c>
      <c r="AE42" s="450"/>
      <c r="AF42" s="454" t="str">
        <f>IF( SUMIFS(srpro!$H$10:$H$3010,srpro!$J$10:$J$3010,$AG$6,srpro!$B$10:$B$3010,'ProjectsX (2)'!A42,srpro!$K$10:$K$3010,$A$6)&gt;0,SUMIFS(srpro!$H$10:$H$3010,srpro!$J$10:$J$3010,$AG$6,srpro!$B$10:$B$3010,'ProjectsX (2)'!A42,srpro!$K$10:$K$3010,$A$6),"")</f>
        <v/>
      </c>
      <c r="AG42" s="449" t="str">
        <f>IF( SUMIFS(srpro!$E$10:$E$3010,srpro!$J$10:$J$3010,$AG$6,srpro!$B$10:$B$3010,'ProjectsX (2)'!A42,srpro!$K$10:$K$3010,$A$6)&gt;0,SUMIFS(srpro!$E$10:$E$3010,srpro!$J$10:$J$3010,$AG$6,srpro!$B$10:$B$3010,'ProjectsX (2)'!A42,srpro!$K$10:$K$3010,$A$6),"")</f>
        <v/>
      </c>
      <c r="AH42" s="450"/>
      <c r="AI42" s="451"/>
      <c r="AJ42" s="451"/>
      <c r="AK42" s="450"/>
      <c r="AL42" s="615">
        <f t="shared" si="9"/>
        <v>20054.5</v>
      </c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5"/>
      <c r="BC42" s="425"/>
      <c r="BD42" s="425"/>
      <c r="BE42" s="425"/>
    </row>
    <row r="43" spans="1:57" ht="19.5" customHeight="1">
      <c r="A43" s="616">
        <v>235</v>
      </c>
      <c r="B43" s="618" t="s">
        <v>271</v>
      </c>
      <c r="C43" s="458">
        <f>(ProHeader!L42+ProHeader!M42)+((ProHeader!L42+ProHeader!M42)*5%)</f>
        <v>290325</v>
      </c>
      <c r="D43" s="458">
        <f t="shared" si="10"/>
        <v>264075</v>
      </c>
      <c r="E43" s="459">
        <f>SUMIFS(srpro!$H$10:$H$3010,srpro!$B$10:$B$3010,'ProjectsX (2)'!A43)</f>
        <v>26250</v>
      </c>
      <c r="F43" s="460">
        <f>SUMIFS(srpro!$E$10:$E$3010,srpro!$B$10:$B$3010,'ProjectsX (2)'!A43)</f>
        <v>10626</v>
      </c>
      <c r="G43" s="478">
        <f t="shared" si="11"/>
        <v>9.0415913200723327E-2</v>
      </c>
      <c r="H43" s="479">
        <f t="shared" si="12"/>
        <v>3.4770343580470167E-2</v>
      </c>
      <c r="I43" s="535"/>
      <c r="J43" s="606">
        <f t="shared" si="6"/>
        <v>265714.05</v>
      </c>
      <c r="K43" s="617">
        <f t="shared" si="7"/>
        <v>0.96339963833634712</v>
      </c>
      <c r="L43" s="526">
        <f>ProHeader!AN42</f>
        <v>0</v>
      </c>
      <c r="M43" s="525" t="str">
        <f>TEXT(  ProHeader!AJ42,"dd-mm-yy")</f>
        <v>-</v>
      </c>
      <c r="N43" s="525" t="str">
        <f>IFERROR(ProHeader!AK42 + ProHeader!AL42,"-")</f>
        <v>-</v>
      </c>
      <c r="O43" s="525" t="str">
        <f>IFERROR(ProHeader!AM42,"0")</f>
        <v>-</v>
      </c>
      <c r="P43" s="525" t="str">
        <f t="shared" si="8"/>
        <v>-</v>
      </c>
      <c r="Q43" s="619" t="str">
        <f>IF( SUMIFS(srpro!$H$10:$H$3010,srpro!$J$10:$J$3010,$R$6,srpro!$B$10:$B$3010,'ProjectsX (2)'!A43,srpro!$K$10:$K$3010,$A$6)&gt;0,SUMIFS(srpro!$H$10:$H$3010,srpro!$J$10:$J$3010,$R$6,srpro!$B$10:$B$3010,'ProjectsX (2)'!A43,srpro!$K$10:$K$3010,$A$6),"")</f>
        <v/>
      </c>
      <c r="R43" s="449" t="str">
        <f>IF( SUMIFS(srpro!$E$10:$E$3010,srpro!$J$10:$J$3010,$R$6,srpro!$B$10:$B$3010,'ProjectsX (2)'!A43,srpro!$K$10:$K$3010,$A$6)&gt;0,SUMIFS(srpro!$E$10:$E$3010,srpro!$J$10:$J$3010,$R$6,srpro!$B$10:$B$3010,'ProjectsX (2)'!A43,srpro!$K$10:$K$3010,$A$6),"")</f>
        <v/>
      </c>
      <c r="S43" s="450"/>
      <c r="T43" s="619" t="str">
        <f>IF( SUMIFS(srpro!$H$10:$H$3010,srpro!$J$10:$J$3010,$U$6,srpro!$B$10:$B$3010,'ProjectsX (2)'!A43,srpro!$K$10:$K$3010,$A$6)&gt;0,SUMIFS(srpro!$H$10:$H$3010,srpro!$J$10:$J$3010,$U$6,srpro!$B$10:$B$3010,'ProjectsX (2)'!A43,srpro!$K$10:$K$3010,$A$6),"")</f>
        <v/>
      </c>
      <c r="U43" s="449" t="str">
        <f>IF( SUMIFS(srpro!$E$10:$E$3010,srpro!$J$10:$J$3010,$U$6,srpro!$B$10:$B$3010,'ProjectsX (2)'!A43,srpro!$K$10:$K$3010,$A$6)&gt;0,SUMIFS(srpro!$E$10:$E$3010,srpro!$J$10:$J$3010,$U$6,srpro!$B$10:$B$3010,'ProjectsX (2)'!A43,srpro!$K$10:$K$3010,$A$6),"")</f>
        <v/>
      </c>
      <c r="V43" s="450"/>
      <c r="W43" s="619" t="str">
        <f>IF( SUMIFS(srpro!$H$10:$H$3010,srpro!$J$10:$J$3010,$X$6,srpro!$B$10:$B$3010,'ProjectsX (2)'!A43,srpro!$K$10:$K$3010,$A$6)&gt;0,SUMIFS(srpro!$H$10:$H$3010,srpro!$J$10:$J$3010,$X$6,srpro!$B$10:$B$3010,'ProjectsX (2)'!A43,srpro!$K$10:$K$3010,$A$6),"")</f>
        <v/>
      </c>
      <c r="X43" s="449" t="str">
        <f>IF( SUMIFS(srpro!$E$10:$E$3010,srpro!$J$10:$J$3010,$X$6,srpro!$B$10:$B$3010,'ProjectsX (2)'!A43,srpro!$K$10:$K$3010,$A$6)&gt;0,SUMIFS(srpro!$E$10:$E$3010,srpro!$J$10:$J$3010,$X$6,srpro!$B$10:$B$3010,'ProjectsX (2)'!A43,srpro!$K$10:$K$3010,$A$6),"")</f>
        <v/>
      </c>
      <c r="Y43" s="450"/>
      <c r="Z43" s="619" t="str">
        <f>IF( SUMIFS(srpro!$H$10:$H$3010,srpro!$J$10:$J$3010,$AA$6,srpro!$B$10:$B$3010,'ProjectsX (2)'!A43,srpro!$K$10:$K$3010,$A$6)&gt;0,SUMIFS(srpro!$H$10:$H$3010,srpro!$J$10:$J$3010,$AA$6,srpro!$B$10:$B$3010,'ProjectsX (2)'!A43,srpro!$K$10:$K$3010,$A$6),"")</f>
        <v/>
      </c>
      <c r="AA43" s="449" t="str">
        <f>IF( SUMIFS(srpro!$E$10:$E$3010,srpro!$J$10:$J$3010,$AA$6,srpro!$B$10:$B$3010,'ProjectsX (2)'!A43,srpro!$K$10:$K$3010,$A$6)&gt;0,SUMIFS(srpro!$E$10:$E$3010,srpro!$J$10:$J$3010,$AA$6,srpro!$B$10:$B$3010,'ProjectsX (2)'!A43,srpro!$K$10:$K$3010,$A$6),"")</f>
        <v/>
      </c>
      <c r="AB43" s="450"/>
      <c r="AC43" s="619" t="str">
        <f>IF( SUMIFS(srpro!$H$10:$H$3010,srpro!$J$10:$J$3010,$AD$6,srpro!$B$10:$B$3010,'ProjectsX (2)'!A43,srpro!$K$10:$K$3010,$A$6)&gt;0,SUMIFS(srpro!$H$10:$H$3010,srpro!$J$10:$J$3010,$AD$6,srpro!$B$10:$B$3010,'ProjectsX (2)'!A43,srpro!$K$10:$K$3010,$A$6),"")</f>
        <v/>
      </c>
      <c r="AD43" s="449" t="str">
        <f>IF( SUMIFS(srpro!$E$10:$E$3010,srpro!$J$10:$J$3010,$AD$6,srpro!$B$10:$B$3010,'ProjectsX (2)'!A43,srpro!$K$10:$K$3010,$A$6)&gt;0,SUMIFS(srpro!$E$10:$E$3010,srpro!$J$10:$J$3010,$AD$6,srpro!$B$10:$B$3010,'ProjectsX (2)'!A43,srpro!$K$10:$K$3010,$A$6),"")</f>
        <v/>
      </c>
      <c r="AE43" s="450"/>
      <c r="AF43" s="454" t="str">
        <f>IF( SUMIFS(srpro!$H$10:$H$3010,srpro!$J$10:$J$3010,$AG$6,srpro!$B$10:$B$3010,'ProjectsX (2)'!A43,srpro!$K$10:$K$3010,$A$6)&gt;0,SUMIFS(srpro!$H$10:$H$3010,srpro!$J$10:$J$3010,$AG$6,srpro!$B$10:$B$3010,'ProjectsX (2)'!A43,srpro!$K$10:$K$3010,$A$6),"")</f>
        <v/>
      </c>
      <c r="AG43" s="449" t="str">
        <f>IF( SUMIFS(srpro!$E$10:$E$3010,srpro!$J$10:$J$3010,$AG$6,srpro!$B$10:$B$3010,'ProjectsX (2)'!A43,srpro!$K$10:$K$3010,$A$6)&gt;0,SUMIFS(srpro!$E$10:$E$3010,srpro!$J$10:$J$3010,$AG$6,srpro!$B$10:$B$3010,'ProjectsX (2)'!A43,srpro!$K$10:$K$3010,$A$6),"")</f>
        <v/>
      </c>
      <c r="AH43" s="450"/>
      <c r="AI43" s="451"/>
      <c r="AJ43" s="451"/>
      <c r="AK43" s="450"/>
      <c r="AL43" s="615">
        <f t="shared" si="9"/>
        <v>0</v>
      </c>
      <c r="AM43" s="425"/>
      <c r="AN43" s="425"/>
      <c r="AO43" s="425"/>
      <c r="AP43" s="425"/>
      <c r="AQ43" s="425"/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5"/>
    </row>
    <row r="44" spans="1:57" ht="19.5" customHeight="1">
      <c r="A44" s="616">
        <v>236</v>
      </c>
      <c r="B44" s="618" t="s">
        <v>157</v>
      </c>
      <c r="C44" s="458">
        <f>(ProHeader!L43+ProHeader!M43)+((ProHeader!L43+ProHeader!M43)*5%)</f>
        <v>141750</v>
      </c>
      <c r="D44" s="458">
        <f t="shared" si="10"/>
        <v>113400</v>
      </c>
      <c r="E44" s="459">
        <f>SUMIFS(srpro!$H$10:$H$3010,srpro!$B$10:$B$3010,'ProjectsX (2)'!A44)</f>
        <v>28350</v>
      </c>
      <c r="F44" s="460">
        <f>SUMIFS(srpro!$E$10:$E$3010,srpro!$B$10:$B$3010,'ProjectsX (2)'!A44)</f>
        <v>19528</v>
      </c>
      <c r="G44" s="478">
        <f t="shared" si="11"/>
        <v>0.2</v>
      </c>
      <c r="H44" s="479">
        <f t="shared" si="12"/>
        <v>0.13087548500881832</v>
      </c>
      <c r="I44" s="535"/>
      <c r="J44" s="606">
        <f t="shared" si="6"/>
        <v>116110.9</v>
      </c>
      <c r="K44" s="617">
        <f t="shared" si="7"/>
        <v>0.86223633156966484</v>
      </c>
      <c r="L44" s="526">
        <f>ProHeader!AN43</f>
        <v>0</v>
      </c>
      <c r="M44" s="525" t="str">
        <f>TEXT(  ProHeader!AJ43,"dd-mm-yy")</f>
        <v>-</v>
      </c>
      <c r="N44" s="525" t="str">
        <f>IFERROR(ProHeader!AK43 + ProHeader!AL43,"-")</f>
        <v>-</v>
      </c>
      <c r="O44" s="525" t="str">
        <f>IFERROR(ProHeader!AM43,"0")</f>
        <v>-</v>
      </c>
      <c r="P44" s="525" t="str">
        <f t="shared" si="8"/>
        <v>-</v>
      </c>
      <c r="Q44" s="619" t="str">
        <f>IF( SUMIFS(srpro!$H$10:$H$3010,srpro!$J$10:$J$3010,$R$6,srpro!$B$10:$B$3010,'ProjectsX (2)'!A44,srpro!$K$10:$K$3010,$A$6)&gt;0,SUMIFS(srpro!$H$10:$H$3010,srpro!$J$10:$J$3010,$R$6,srpro!$B$10:$B$3010,'ProjectsX (2)'!A44,srpro!$K$10:$K$3010,$A$6),"")</f>
        <v/>
      </c>
      <c r="R44" s="449" t="str">
        <f>IF( SUMIFS(srpro!$E$10:$E$3010,srpro!$J$10:$J$3010,$R$6,srpro!$B$10:$B$3010,'ProjectsX (2)'!A44,srpro!$K$10:$K$3010,$A$6)&gt;0,SUMIFS(srpro!$E$10:$E$3010,srpro!$J$10:$J$3010,$R$6,srpro!$B$10:$B$3010,'ProjectsX (2)'!A44,srpro!$K$10:$K$3010,$A$6),"")</f>
        <v/>
      </c>
      <c r="S44" s="450"/>
      <c r="T44" s="619" t="str">
        <f>IF( SUMIFS(srpro!$H$10:$H$3010,srpro!$J$10:$J$3010,$U$6,srpro!$B$10:$B$3010,'ProjectsX (2)'!A44,srpro!$K$10:$K$3010,$A$6)&gt;0,SUMIFS(srpro!$H$10:$H$3010,srpro!$J$10:$J$3010,$U$6,srpro!$B$10:$B$3010,'ProjectsX (2)'!A44,srpro!$K$10:$K$3010,$A$6),"")</f>
        <v/>
      </c>
      <c r="U44" s="449" t="str">
        <f>IF( SUMIFS(srpro!$E$10:$E$3010,srpro!$J$10:$J$3010,$U$6,srpro!$B$10:$B$3010,'ProjectsX (2)'!A44,srpro!$K$10:$K$3010,$A$6)&gt;0,SUMIFS(srpro!$E$10:$E$3010,srpro!$J$10:$J$3010,$U$6,srpro!$B$10:$B$3010,'ProjectsX (2)'!A44,srpro!$K$10:$K$3010,$A$6),"")</f>
        <v/>
      </c>
      <c r="V44" s="450"/>
      <c r="W44" s="619" t="str">
        <f>IF( SUMIFS(srpro!$H$10:$H$3010,srpro!$J$10:$J$3010,$X$6,srpro!$B$10:$B$3010,'ProjectsX (2)'!A44,srpro!$K$10:$K$3010,$A$6)&gt;0,SUMIFS(srpro!$H$10:$H$3010,srpro!$J$10:$J$3010,$X$6,srpro!$B$10:$B$3010,'ProjectsX (2)'!A44,srpro!$K$10:$K$3010,$A$6),"")</f>
        <v/>
      </c>
      <c r="X44" s="449" t="str">
        <f>IF( SUMIFS(srpro!$E$10:$E$3010,srpro!$J$10:$J$3010,$X$6,srpro!$B$10:$B$3010,'ProjectsX (2)'!A44,srpro!$K$10:$K$3010,$A$6)&gt;0,SUMIFS(srpro!$E$10:$E$3010,srpro!$J$10:$J$3010,$X$6,srpro!$B$10:$B$3010,'ProjectsX (2)'!A44,srpro!$K$10:$K$3010,$A$6),"")</f>
        <v/>
      </c>
      <c r="Y44" s="450"/>
      <c r="Z44" s="619" t="str">
        <f>IF( SUMIFS(srpro!$H$10:$H$3010,srpro!$J$10:$J$3010,$AA$6,srpro!$B$10:$B$3010,'ProjectsX (2)'!A44,srpro!$K$10:$K$3010,$A$6)&gt;0,SUMIFS(srpro!$H$10:$H$3010,srpro!$J$10:$J$3010,$AA$6,srpro!$B$10:$B$3010,'ProjectsX (2)'!A44,srpro!$K$10:$K$3010,$A$6),"")</f>
        <v/>
      </c>
      <c r="AA44" s="449" t="str">
        <f>IF( SUMIFS(srpro!$E$10:$E$3010,srpro!$J$10:$J$3010,$AA$6,srpro!$B$10:$B$3010,'ProjectsX (2)'!A44,srpro!$K$10:$K$3010,$A$6)&gt;0,SUMIFS(srpro!$E$10:$E$3010,srpro!$J$10:$J$3010,$AA$6,srpro!$B$10:$B$3010,'ProjectsX (2)'!A44,srpro!$K$10:$K$3010,$A$6),"")</f>
        <v/>
      </c>
      <c r="AB44" s="450"/>
      <c r="AC44" s="619" t="str">
        <f>IF( SUMIFS(srpro!$H$10:$H$3010,srpro!$J$10:$J$3010,$AD$6,srpro!$B$10:$B$3010,'ProjectsX (2)'!A44,srpro!$K$10:$K$3010,$A$6)&gt;0,SUMIFS(srpro!$H$10:$H$3010,srpro!$J$10:$J$3010,$AD$6,srpro!$B$10:$B$3010,'ProjectsX (2)'!A44,srpro!$K$10:$K$3010,$A$6),"")</f>
        <v/>
      </c>
      <c r="AD44" s="449" t="str">
        <f>IF( SUMIFS(srpro!$E$10:$E$3010,srpro!$J$10:$J$3010,$AD$6,srpro!$B$10:$B$3010,'ProjectsX (2)'!A44,srpro!$K$10:$K$3010,$A$6)&gt;0,SUMIFS(srpro!$E$10:$E$3010,srpro!$J$10:$J$3010,$AD$6,srpro!$B$10:$B$3010,'ProjectsX (2)'!A44,srpro!$K$10:$K$3010,$A$6),"")</f>
        <v/>
      </c>
      <c r="AE44" s="450"/>
      <c r="AF44" s="454" t="str">
        <f>IF( SUMIFS(srpro!$H$10:$H$3010,srpro!$J$10:$J$3010,$AG$6,srpro!$B$10:$B$3010,'ProjectsX (2)'!A44,srpro!$K$10:$K$3010,$A$6)&gt;0,SUMIFS(srpro!$H$10:$H$3010,srpro!$J$10:$J$3010,$AG$6,srpro!$B$10:$B$3010,'ProjectsX (2)'!A44,srpro!$K$10:$K$3010,$A$6),"")</f>
        <v/>
      </c>
      <c r="AG44" s="449" t="str">
        <f>IF( SUMIFS(srpro!$E$10:$E$3010,srpro!$J$10:$J$3010,$AG$6,srpro!$B$10:$B$3010,'ProjectsX (2)'!A44,srpro!$K$10:$K$3010,$A$6)&gt;0,SUMIFS(srpro!$E$10:$E$3010,srpro!$J$10:$J$3010,$AG$6,srpro!$B$10:$B$3010,'ProjectsX (2)'!A44,srpro!$K$10:$K$3010,$A$6),"")</f>
        <v/>
      </c>
      <c r="AH44" s="450"/>
      <c r="AI44" s="451"/>
      <c r="AJ44" s="451"/>
      <c r="AK44" s="450"/>
      <c r="AL44" s="615">
        <f t="shared" si="9"/>
        <v>0</v>
      </c>
      <c r="AM44" s="425"/>
      <c r="AN44" s="425"/>
      <c r="AO44" s="425"/>
      <c r="AP44" s="425"/>
      <c r="AQ44" s="425"/>
      <c r="AR44" s="425"/>
      <c r="AS44" s="425"/>
      <c r="AT44" s="425"/>
      <c r="AU44" s="425"/>
      <c r="AV44" s="425"/>
      <c r="AW44" s="425"/>
      <c r="AX44" s="425"/>
      <c r="AY44" s="425"/>
      <c r="AZ44" s="425"/>
      <c r="BA44" s="425"/>
      <c r="BB44" s="425"/>
      <c r="BC44" s="425"/>
      <c r="BD44" s="425"/>
      <c r="BE44" s="425"/>
    </row>
    <row r="45" spans="1:57" ht="19.5" customHeight="1">
      <c r="A45" s="616">
        <v>237</v>
      </c>
      <c r="B45" s="618" t="s">
        <v>284</v>
      </c>
      <c r="C45" s="458">
        <f>(ProHeader!L44+ProHeader!M44)+((ProHeader!L44+ProHeader!M44)*5%)</f>
        <v>168000</v>
      </c>
      <c r="D45" s="458">
        <f t="shared" si="10"/>
        <v>20511.75</v>
      </c>
      <c r="E45" s="459">
        <f>SUMIFS(srpro!$H$10:$H$3010,srpro!$B$10:$B$3010,'ProjectsX (2)'!A45)</f>
        <v>147488.25</v>
      </c>
      <c r="F45" s="460">
        <f>SUMIFS(srpro!$E$10:$E$3010,srpro!$B$10:$B$3010,'ProjectsX (2)'!A45)</f>
        <v>115519.94000000002</v>
      </c>
      <c r="G45" s="478">
        <f t="shared" si="11"/>
        <v>0.87790625</v>
      </c>
      <c r="H45" s="479">
        <f t="shared" si="12"/>
        <v>0.65323775595238098</v>
      </c>
      <c r="I45" s="535"/>
      <c r="J45" s="606">
        <f t="shared" si="6"/>
        <v>49856.056999999986</v>
      </c>
      <c r="K45" s="617">
        <f t="shared" si="7"/>
        <v>0.31238130952380944</v>
      </c>
      <c r="L45" s="526">
        <f>ProHeader!AN44</f>
        <v>3</v>
      </c>
      <c r="M45" s="525" t="str">
        <f>TEXT(  ProHeader!AJ44,"dd-mm-yy")</f>
        <v>-</v>
      </c>
      <c r="N45" s="525">
        <f>IFERROR(ProHeader!AK44 + ProHeader!AL44,"-")</f>
        <v>57093.75</v>
      </c>
      <c r="O45" s="525">
        <f>IFERROR(ProHeader!AM44,"0")</f>
        <v>57003</v>
      </c>
      <c r="P45" s="525">
        <f t="shared" si="8"/>
        <v>90.75</v>
      </c>
      <c r="Q45" s="619" t="str">
        <f>IF( SUMIFS(srpro!$H$10:$H$3010,srpro!$J$10:$J$3010,$R$6,srpro!$B$10:$B$3010,'ProjectsX (2)'!A45,srpro!$K$10:$K$3010,$A$6)&gt;0,SUMIFS(srpro!$H$10:$H$3010,srpro!$J$10:$J$3010,$R$6,srpro!$B$10:$B$3010,'ProjectsX (2)'!A45,srpro!$K$10:$K$3010,$A$6),"")</f>
        <v/>
      </c>
      <c r="R45" s="449" t="str">
        <f>IF( SUMIFS(srpro!$E$10:$E$3010,srpro!$J$10:$J$3010,$R$6,srpro!$B$10:$B$3010,'ProjectsX (2)'!A45,srpro!$K$10:$K$3010,$A$6)&gt;0,SUMIFS(srpro!$E$10:$E$3010,srpro!$J$10:$J$3010,$R$6,srpro!$B$10:$B$3010,'ProjectsX (2)'!A45,srpro!$K$10:$K$3010,$A$6),"")</f>
        <v/>
      </c>
      <c r="S45" s="450"/>
      <c r="T45" s="619" t="str">
        <f>IF( SUMIFS(srpro!$H$10:$H$3010,srpro!$J$10:$J$3010,$U$6,srpro!$B$10:$B$3010,'ProjectsX (2)'!A45,srpro!$K$10:$K$3010,$A$6)&gt;0,SUMIFS(srpro!$H$10:$H$3010,srpro!$J$10:$J$3010,$U$6,srpro!$B$10:$B$3010,'ProjectsX (2)'!A45,srpro!$K$10:$K$3010,$A$6),"")</f>
        <v/>
      </c>
      <c r="U45" s="449" t="str">
        <f>IF( SUMIFS(srpro!$E$10:$E$3010,srpro!$J$10:$J$3010,$U$6,srpro!$B$10:$B$3010,'ProjectsX (2)'!A45,srpro!$K$10:$K$3010,$A$6)&gt;0,SUMIFS(srpro!$E$10:$E$3010,srpro!$J$10:$J$3010,$U$6,srpro!$B$10:$B$3010,'ProjectsX (2)'!A45,srpro!$K$10:$K$3010,$A$6),"")</f>
        <v/>
      </c>
      <c r="V45" s="450"/>
      <c r="W45" s="619" t="str">
        <f>IF( SUMIFS(srpro!$H$10:$H$3010,srpro!$J$10:$J$3010,$X$6,srpro!$B$10:$B$3010,'ProjectsX (2)'!A45,srpro!$K$10:$K$3010,$A$6)&gt;0,SUMIFS(srpro!$H$10:$H$3010,srpro!$J$10:$J$3010,$X$6,srpro!$B$10:$B$3010,'ProjectsX (2)'!A45,srpro!$K$10:$K$3010,$A$6),"")</f>
        <v/>
      </c>
      <c r="X45" s="449">
        <f>IF( SUMIFS(srpro!$E$10:$E$3010,srpro!$J$10:$J$3010,$X$6,srpro!$B$10:$B$3010,'ProjectsX (2)'!A45,srpro!$K$10:$K$3010,$A$6)&gt;0,SUMIFS(srpro!$E$10:$E$3010,srpro!$J$10:$J$3010,$X$6,srpro!$B$10:$B$3010,'ProjectsX (2)'!A45,srpro!$K$10:$K$3010,$A$6),"")</f>
        <v>693</v>
      </c>
      <c r="Y45" s="450"/>
      <c r="Z45" s="619" t="str">
        <f>IF( SUMIFS(srpro!$H$10:$H$3010,srpro!$J$10:$J$3010,$AA$6,srpro!$B$10:$B$3010,'ProjectsX (2)'!A45,srpro!$K$10:$K$3010,$A$6)&gt;0,SUMIFS(srpro!$H$10:$H$3010,srpro!$J$10:$J$3010,$AA$6,srpro!$B$10:$B$3010,'ProjectsX (2)'!A45,srpro!$K$10:$K$3010,$A$6),"")</f>
        <v/>
      </c>
      <c r="AA45" s="449">
        <f>IF( SUMIFS(srpro!$E$10:$E$3010,srpro!$J$10:$J$3010,$AA$6,srpro!$B$10:$B$3010,'ProjectsX (2)'!A45,srpro!$K$10:$K$3010,$A$6)&gt;0,SUMIFS(srpro!$E$10:$E$3010,srpro!$J$10:$J$3010,$AA$6,srpro!$B$10:$B$3010,'ProjectsX (2)'!A45,srpro!$K$10:$K$3010,$A$6),"")</f>
        <v>6597.34</v>
      </c>
      <c r="AB45" s="450"/>
      <c r="AC45" s="619" t="str">
        <f>IF( SUMIFS(srpro!$H$10:$H$3010,srpro!$J$10:$J$3010,$AD$6,srpro!$B$10:$B$3010,'ProjectsX (2)'!A45,srpro!$K$10:$K$3010,$A$6)&gt;0,SUMIFS(srpro!$H$10:$H$3010,srpro!$J$10:$J$3010,$AD$6,srpro!$B$10:$B$3010,'ProjectsX (2)'!A45,srpro!$K$10:$K$3010,$A$6),"")</f>
        <v/>
      </c>
      <c r="AD45" s="449" t="str">
        <f>IF( SUMIFS(srpro!$E$10:$E$3010,srpro!$J$10:$J$3010,$AD$6,srpro!$B$10:$B$3010,'ProjectsX (2)'!A45,srpro!$K$10:$K$3010,$A$6)&gt;0,SUMIFS(srpro!$E$10:$E$3010,srpro!$J$10:$J$3010,$AD$6,srpro!$B$10:$B$3010,'ProjectsX (2)'!A45,srpro!$K$10:$K$3010,$A$6),"")</f>
        <v/>
      </c>
      <c r="AE45" s="450"/>
      <c r="AF45" s="454" t="str">
        <f>IF( SUMIFS(srpro!$H$10:$H$3010,srpro!$J$10:$J$3010,$AG$6,srpro!$B$10:$B$3010,'ProjectsX (2)'!A45,srpro!$K$10:$K$3010,$A$6)&gt;0,SUMIFS(srpro!$H$10:$H$3010,srpro!$J$10:$J$3010,$AG$6,srpro!$B$10:$B$3010,'ProjectsX (2)'!A45,srpro!$K$10:$K$3010,$A$6),"")</f>
        <v/>
      </c>
      <c r="AG45" s="449" t="str">
        <f>IF( SUMIFS(srpro!$E$10:$E$3010,srpro!$J$10:$J$3010,$AG$6,srpro!$B$10:$B$3010,'ProjectsX (2)'!A45,srpro!$K$10:$K$3010,$A$6)&gt;0,SUMIFS(srpro!$E$10:$E$3010,srpro!$J$10:$J$3010,$AG$6,srpro!$B$10:$B$3010,'ProjectsX (2)'!A45,srpro!$K$10:$K$3010,$A$6),"")</f>
        <v/>
      </c>
      <c r="AH45" s="450"/>
      <c r="AI45" s="451"/>
      <c r="AJ45" s="451"/>
      <c r="AK45" s="450"/>
      <c r="AL45" s="615">
        <f t="shared" si="9"/>
        <v>7290.34</v>
      </c>
      <c r="AM45" s="425"/>
      <c r="AN45" s="425"/>
      <c r="AO45" s="425"/>
      <c r="AP45" s="425"/>
      <c r="AQ45" s="425"/>
      <c r="AR45" s="425"/>
      <c r="AS45" s="425"/>
      <c r="AT45" s="425"/>
      <c r="AU45" s="425"/>
      <c r="AV45" s="425"/>
      <c r="AW45" s="425"/>
      <c r="AX45" s="425"/>
      <c r="AY45" s="425"/>
      <c r="AZ45" s="425"/>
      <c r="BA45" s="425"/>
      <c r="BB45" s="425"/>
      <c r="BC45" s="425"/>
      <c r="BD45" s="425"/>
      <c r="BE45" s="425"/>
    </row>
    <row r="46" spans="1:57" ht="19.5" customHeight="1">
      <c r="A46" s="616">
        <v>238</v>
      </c>
      <c r="B46" s="618" t="s">
        <v>285</v>
      </c>
      <c r="C46" s="458">
        <f>(ProHeader!L45+ProHeader!M45)+((ProHeader!L45+ProHeader!M45)*5%)</f>
        <v>231000</v>
      </c>
      <c r="D46" s="458">
        <f t="shared" si="10"/>
        <v>103950</v>
      </c>
      <c r="E46" s="459">
        <f>SUMIFS(srpro!$H$10:$H$3010,srpro!$B$10:$B$3010,'ProjectsX (2)'!A46)</f>
        <v>127050</v>
      </c>
      <c r="F46" s="460">
        <f>SUMIFS(srpro!$E$10:$E$3010,srpro!$B$10:$B$3010,'ProjectsX (2)'!A46)</f>
        <v>61059.53</v>
      </c>
      <c r="G46" s="478">
        <f t="shared" si="11"/>
        <v>0.55000000000000004</v>
      </c>
      <c r="H46" s="479">
        <f t="shared" si="12"/>
        <v>0.25111062121212124</v>
      </c>
      <c r="I46" s="535"/>
      <c r="J46" s="606">
        <f t="shared" si="6"/>
        <v>161443.44649999999</v>
      </c>
      <c r="K46" s="617">
        <f t="shared" si="7"/>
        <v>0.73567303030303022</v>
      </c>
      <c r="L46" s="526">
        <f>ProHeader!AN45</f>
        <v>3</v>
      </c>
      <c r="M46" s="525" t="str">
        <f>TEXT(  ProHeader!AJ45,"dd-mm-yy")</f>
        <v>-</v>
      </c>
      <c r="N46" s="525">
        <f>IFERROR(ProHeader!AK45 + ProHeader!AL45,"-")</f>
        <v>23100</v>
      </c>
      <c r="O46" s="525">
        <f>IFERROR(ProHeader!AM45,"0")</f>
        <v>23100</v>
      </c>
      <c r="P46" s="525">
        <f t="shared" si="8"/>
        <v>0</v>
      </c>
      <c r="Q46" s="619" t="str">
        <f>IF( SUMIFS(srpro!$H$10:$H$3010,srpro!$J$10:$J$3010,$R$6,srpro!$B$10:$B$3010,'ProjectsX (2)'!A46,srpro!$K$10:$K$3010,$A$6)&gt;0,SUMIFS(srpro!$H$10:$H$3010,srpro!$J$10:$J$3010,$R$6,srpro!$B$10:$B$3010,'ProjectsX (2)'!A46,srpro!$K$10:$K$3010,$A$6),"")</f>
        <v/>
      </c>
      <c r="R46" s="449" t="str">
        <f>IF( SUMIFS(srpro!$E$10:$E$3010,srpro!$J$10:$J$3010,$R$6,srpro!$B$10:$B$3010,'ProjectsX (2)'!A46,srpro!$K$10:$K$3010,$A$6)&gt;0,SUMIFS(srpro!$E$10:$E$3010,srpro!$J$10:$J$3010,$R$6,srpro!$B$10:$B$3010,'ProjectsX (2)'!A46,srpro!$K$10:$K$3010,$A$6),"")</f>
        <v/>
      </c>
      <c r="S46" s="450"/>
      <c r="T46" s="619" t="str">
        <f>IF( SUMIFS(srpro!$H$10:$H$3010,srpro!$J$10:$J$3010,$U$6,srpro!$B$10:$B$3010,'ProjectsX (2)'!A46,srpro!$K$10:$K$3010,$A$6)&gt;0,SUMIFS(srpro!$H$10:$H$3010,srpro!$J$10:$J$3010,$U$6,srpro!$B$10:$B$3010,'ProjectsX (2)'!A46,srpro!$K$10:$K$3010,$A$6),"")</f>
        <v/>
      </c>
      <c r="U46" s="449" t="str">
        <f>IF( SUMIFS(srpro!$E$10:$E$3010,srpro!$J$10:$J$3010,$U$6,srpro!$B$10:$B$3010,'ProjectsX (2)'!A46,srpro!$K$10:$K$3010,$A$6)&gt;0,SUMIFS(srpro!$E$10:$E$3010,srpro!$J$10:$J$3010,$U$6,srpro!$B$10:$B$3010,'ProjectsX (2)'!A46,srpro!$K$10:$K$3010,$A$6),"")</f>
        <v/>
      </c>
      <c r="V46" s="450"/>
      <c r="W46" s="619" t="str">
        <f>IF( SUMIFS(srpro!$H$10:$H$3010,srpro!$J$10:$J$3010,$X$6,srpro!$B$10:$B$3010,'ProjectsX (2)'!A46,srpro!$K$10:$K$3010,$A$6)&gt;0,SUMIFS(srpro!$H$10:$H$3010,srpro!$J$10:$J$3010,$X$6,srpro!$B$10:$B$3010,'ProjectsX (2)'!A46,srpro!$K$10:$K$3010,$A$6),"")</f>
        <v/>
      </c>
      <c r="X46" s="449" t="str">
        <f>IF( SUMIFS(srpro!$E$10:$E$3010,srpro!$J$10:$J$3010,$X$6,srpro!$B$10:$B$3010,'ProjectsX (2)'!A46,srpro!$K$10:$K$3010,$A$6)&gt;0,SUMIFS(srpro!$E$10:$E$3010,srpro!$J$10:$J$3010,$X$6,srpro!$B$10:$B$3010,'ProjectsX (2)'!A46,srpro!$K$10:$K$3010,$A$6),"")</f>
        <v/>
      </c>
      <c r="Y46" s="450"/>
      <c r="Z46" s="619" t="str">
        <f>IF( SUMIFS(srpro!$H$10:$H$3010,srpro!$J$10:$J$3010,$AA$6,srpro!$B$10:$B$3010,'ProjectsX (2)'!A46,srpro!$K$10:$K$3010,$A$6)&gt;0,SUMIFS(srpro!$H$10:$H$3010,srpro!$J$10:$J$3010,$AA$6,srpro!$B$10:$B$3010,'ProjectsX (2)'!A46,srpro!$K$10:$K$3010,$A$6),"")</f>
        <v/>
      </c>
      <c r="AA46" s="449" t="str">
        <f>IF( SUMIFS(srpro!$E$10:$E$3010,srpro!$J$10:$J$3010,$AA$6,srpro!$B$10:$B$3010,'ProjectsX (2)'!A46,srpro!$K$10:$K$3010,$A$6)&gt;0,SUMIFS(srpro!$E$10:$E$3010,srpro!$J$10:$J$3010,$AA$6,srpro!$B$10:$B$3010,'ProjectsX (2)'!A46,srpro!$K$10:$K$3010,$A$6),"")</f>
        <v/>
      </c>
      <c r="AB46" s="450"/>
      <c r="AC46" s="619" t="str">
        <f>IF( SUMIFS(srpro!$H$10:$H$3010,srpro!$J$10:$J$3010,$AD$6,srpro!$B$10:$B$3010,'ProjectsX (2)'!A46,srpro!$K$10:$K$3010,$A$6)&gt;0,SUMIFS(srpro!$H$10:$H$3010,srpro!$J$10:$J$3010,$AD$6,srpro!$B$10:$B$3010,'ProjectsX (2)'!A46,srpro!$K$10:$K$3010,$A$6),"")</f>
        <v/>
      </c>
      <c r="AD46" s="449" t="str">
        <f>IF( SUMIFS(srpro!$E$10:$E$3010,srpro!$J$10:$J$3010,$AD$6,srpro!$B$10:$B$3010,'ProjectsX (2)'!A46,srpro!$K$10:$K$3010,$A$6)&gt;0,SUMIFS(srpro!$E$10:$E$3010,srpro!$J$10:$J$3010,$AD$6,srpro!$B$10:$B$3010,'ProjectsX (2)'!A46,srpro!$K$10:$K$3010,$A$6),"")</f>
        <v/>
      </c>
      <c r="AE46" s="450"/>
      <c r="AF46" s="454" t="str">
        <f>IF( SUMIFS(srpro!$H$10:$H$3010,srpro!$J$10:$J$3010,$AG$6,srpro!$B$10:$B$3010,'ProjectsX (2)'!A46,srpro!$K$10:$K$3010,$A$6)&gt;0,SUMIFS(srpro!$H$10:$H$3010,srpro!$J$10:$J$3010,$AG$6,srpro!$B$10:$B$3010,'ProjectsX (2)'!A46,srpro!$K$10:$K$3010,$A$6),"")</f>
        <v/>
      </c>
      <c r="AG46" s="449" t="str">
        <f>IF( SUMIFS(srpro!$E$10:$E$3010,srpro!$J$10:$J$3010,$AG$6,srpro!$B$10:$B$3010,'ProjectsX (2)'!A46,srpro!$K$10:$K$3010,$A$6)&gt;0,SUMIFS(srpro!$E$10:$E$3010,srpro!$J$10:$J$3010,$AG$6,srpro!$B$10:$B$3010,'ProjectsX (2)'!A46,srpro!$K$10:$K$3010,$A$6),"")</f>
        <v/>
      </c>
      <c r="AH46" s="450"/>
      <c r="AI46" s="451"/>
      <c r="AJ46" s="451"/>
      <c r="AK46" s="450"/>
      <c r="AL46" s="615">
        <f t="shared" si="9"/>
        <v>0</v>
      </c>
      <c r="AM46" s="425"/>
      <c r="AN46" s="425"/>
      <c r="AO46" s="425"/>
      <c r="AP46" s="425"/>
      <c r="AQ46" s="425"/>
      <c r="AR46" s="425"/>
      <c r="AS46" s="425"/>
      <c r="AT46" s="425"/>
      <c r="AU46" s="425"/>
      <c r="AV46" s="425"/>
      <c r="AW46" s="425"/>
      <c r="AX46" s="425"/>
      <c r="AY46" s="425"/>
      <c r="AZ46" s="425"/>
      <c r="BA46" s="425"/>
      <c r="BB46" s="425"/>
      <c r="BC46" s="425"/>
      <c r="BD46" s="425"/>
      <c r="BE46" s="425"/>
    </row>
    <row r="47" spans="1:57" ht="19.5" customHeight="1">
      <c r="A47" s="616">
        <v>239</v>
      </c>
      <c r="B47" s="618" t="s">
        <v>280</v>
      </c>
      <c r="C47" s="458">
        <f>(ProHeader!L46+ProHeader!M46)+((ProHeader!L46+ProHeader!M46)*5%)</f>
        <v>110250</v>
      </c>
      <c r="D47" s="458">
        <f t="shared" si="10"/>
        <v>500</v>
      </c>
      <c r="E47" s="459">
        <f>SUMIFS(srpro!$H$10:$H$3010,srpro!$B$10:$B$3010,'ProjectsX (2)'!A47)</f>
        <v>109750</v>
      </c>
      <c r="F47" s="460">
        <f>SUMIFS(srpro!$E$10:$E$3010,srpro!$B$10:$B$3010,'ProjectsX (2)'!A47)</f>
        <v>74580</v>
      </c>
      <c r="G47" s="478">
        <f t="shared" si="11"/>
        <v>0.99546485260770978</v>
      </c>
      <c r="H47" s="479">
        <f t="shared" si="12"/>
        <v>0.64263945578231296</v>
      </c>
      <c r="I47" s="535"/>
      <c r="J47" s="606">
        <f t="shared" si="6"/>
        <v>33886.5</v>
      </c>
      <c r="K47" s="617">
        <f t="shared" si="7"/>
        <v>0.32353741496598637</v>
      </c>
      <c r="L47" s="526">
        <f>ProHeader!AN46</f>
        <v>0</v>
      </c>
      <c r="M47" s="525" t="str">
        <f>TEXT(  ProHeader!AJ46,"dd-mm-yy")</f>
        <v>-</v>
      </c>
      <c r="N47" s="525" t="str">
        <f>IFERROR(ProHeader!AK46 + ProHeader!AL46,"-")</f>
        <v>-</v>
      </c>
      <c r="O47" s="525" t="str">
        <f>IFERROR(ProHeader!AM46,"0")</f>
        <v>-</v>
      </c>
      <c r="P47" s="525" t="str">
        <f t="shared" si="8"/>
        <v>-</v>
      </c>
      <c r="Q47" s="619" t="str">
        <f>IF( SUMIFS(srpro!$H$10:$H$3010,srpro!$J$10:$J$3010,$R$6,srpro!$B$10:$B$3010,'ProjectsX (2)'!A47,srpro!$K$10:$K$3010,$A$6)&gt;0,SUMIFS(srpro!$H$10:$H$3010,srpro!$J$10:$J$3010,$R$6,srpro!$B$10:$B$3010,'ProjectsX (2)'!A47,srpro!$K$10:$K$3010,$A$6),"")</f>
        <v/>
      </c>
      <c r="R47" s="449" t="str">
        <f>IF( SUMIFS(srpro!$E$10:$E$3010,srpro!$J$10:$J$3010,$R$6,srpro!$B$10:$B$3010,'ProjectsX (2)'!A47,srpro!$K$10:$K$3010,$A$6)&gt;0,SUMIFS(srpro!$E$10:$E$3010,srpro!$J$10:$J$3010,$R$6,srpro!$B$10:$B$3010,'ProjectsX (2)'!A47,srpro!$K$10:$K$3010,$A$6),"")</f>
        <v/>
      </c>
      <c r="S47" s="450"/>
      <c r="T47" s="619">
        <f>IF( SUMIFS(srpro!$H$10:$H$3010,srpro!$J$10:$J$3010,$U$6,srpro!$B$10:$B$3010,'ProjectsX (2)'!A47,srpro!$K$10:$K$3010,$A$6)&gt;0,SUMIFS(srpro!$H$10:$H$3010,srpro!$J$10:$J$3010,$U$6,srpro!$B$10:$B$3010,'ProjectsX (2)'!A47,srpro!$K$10:$K$3010,$A$6),"")</f>
        <v>19975</v>
      </c>
      <c r="U47" s="449" t="str">
        <f>IF( SUMIFS(srpro!$E$10:$E$3010,srpro!$J$10:$J$3010,$U$6,srpro!$B$10:$B$3010,'ProjectsX (2)'!A47,srpro!$K$10:$K$3010,$A$6)&gt;0,SUMIFS(srpro!$E$10:$E$3010,srpro!$J$10:$J$3010,$U$6,srpro!$B$10:$B$3010,'ProjectsX (2)'!A47,srpro!$K$10:$K$3010,$A$6),"")</f>
        <v/>
      </c>
      <c r="V47" s="450"/>
      <c r="W47" s="619" t="str">
        <f>IF( SUMIFS(srpro!$H$10:$H$3010,srpro!$J$10:$J$3010,$X$6,srpro!$B$10:$B$3010,'ProjectsX (2)'!A47,srpro!$K$10:$K$3010,$A$6)&gt;0,SUMIFS(srpro!$H$10:$H$3010,srpro!$J$10:$J$3010,$X$6,srpro!$B$10:$B$3010,'ProjectsX (2)'!A47,srpro!$K$10:$K$3010,$A$6),"")</f>
        <v/>
      </c>
      <c r="X47" s="449" t="str">
        <f>IF( SUMIFS(srpro!$E$10:$E$3010,srpro!$J$10:$J$3010,$X$6,srpro!$B$10:$B$3010,'ProjectsX (2)'!A47,srpro!$K$10:$K$3010,$A$6)&gt;0,SUMIFS(srpro!$E$10:$E$3010,srpro!$J$10:$J$3010,$X$6,srpro!$B$10:$B$3010,'ProjectsX (2)'!A47,srpro!$K$10:$K$3010,$A$6),"")</f>
        <v/>
      </c>
      <c r="Y47" s="450"/>
      <c r="Z47" s="619" t="str">
        <f>IF( SUMIFS(srpro!$H$10:$H$3010,srpro!$J$10:$J$3010,$AA$6,srpro!$B$10:$B$3010,'ProjectsX (2)'!A47,srpro!$K$10:$K$3010,$A$6)&gt;0,SUMIFS(srpro!$H$10:$H$3010,srpro!$J$10:$J$3010,$AA$6,srpro!$B$10:$B$3010,'ProjectsX (2)'!A47,srpro!$K$10:$K$3010,$A$6),"")</f>
        <v/>
      </c>
      <c r="AA47" s="449" t="str">
        <f>IF( SUMIFS(srpro!$E$10:$E$3010,srpro!$J$10:$J$3010,$AA$6,srpro!$B$10:$B$3010,'ProjectsX (2)'!A47,srpro!$K$10:$K$3010,$A$6)&gt;0,SUMIFS(srpro!$E$10:$E$3010,srpro!$J$10:$J$3010,$AA$6,srpro!$B$10:$B$3010,'ProjectsX (2)'!A47,srpro!$K$10:$K$3010,$A$6),"")</f>
        <v/>
      </c>
      <c r="AB47" s="450"/>
      <c r="AC47" s="619" t="str">
        <f>IF( SUMIFS(srpro!$H$10:$H$3010,srpro!$J$10:$J$3010,$AD$6,srpro!$B$10:$B$3010,'ProjectsX (2)'!A47,srpro!$K$10:$K$3010,$A$6)&gt;0,SUMIFS(srpro!$H$10:$H$3010,srpro!$J$10:$J$3010,$AD$6,srpro!$B$10:$B$3010,'ProjectsX (2)'!A47,srpro!$K$10:$K$3010,$A$6),"")</f>
        <v/>
      </c>
      <c r="AD47" s="449" t="str">
        <f>IF( SUMIFS(srpro!$E$10:$E$3010,srpro!$J$10:$J$3010,$AD$6,srpro!$B$10:$B$3010,'ProjectsX (2)'!A47,srpro!$K$10:$K$3010,$A$6)&gt;0,SUMIFS(srpro!$E$10:$E$3010,srpro!$J$10:$J$3010,$AD$6,srpro!$B$10:$B$3010,'ProjectsX (2)'!A47,srpro!$K$10:$K$3010,$A$6),"")</f>
        <v/>
      </c>
      <c r="AE47" s="450"/>
      <c r="AF47" s="454" t="str">
        <f>IF( SUMIFS(srpro!$H$10:$H$3010,srpro!$J$10:$J$3010,$AG$6,srpro!$B$10:$B$3010,'ProjectsX (2)'!A47,srpro!$K$10:$K$3010,$A$6)&gt;0,SUMIFS(srpro!$H$10:$H$3010,srpro!$J$10:$J$3010,$AG$6,srpro!$B$10:$B$3010,'ProjectsX (2)'!A47,srpro!$K$10:$K$3010,$A$6),"")</f>
        <v/>
      </c>
      <c r="AG47" s="449" t="str">
        <f>IF( SUMIFS(srpro!$E$10:$E$3010,srpro!$J$10:$J$3010,$AG$6,srpro!$B$10:$B$3010,'ProjectsX (2)'!A47,srpro!$K$10:$K$3010,$A$6)&gt;0,SUMIFS(srpro!$E$10:$E$3010,srpro!$J$10:$J$3010,$AG$6,srpro!$B$10:$B$3010,'ProjectsX (2)'!A47,srpro!$K$10:$K$3010,$A$6),"")</f>
        <v/>
      </c>
      <c r="AH47" s="450"/>
      <c r="AI47" s="451"/>
      <c r="AJ47" s="451"/>
      <c r="AK47" s="450"/>
      <c r="AL47" s="615">
        <f t="shared" si="9"/>
        <v>19975</v>
      </c>
      <c r="AM47" s="425"/>
      <c r="AN47" s="425"/>
      <c r="AO47" s="425"/>
      <c r="AP47" s="425"/>
      <c r="AQ47" s="425"/>
      <c r="AR47" s="425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</row>
    <row r="48" spans="1:57" ht="19.5" customHeight="1">
      <c r="A48" s="616">
        <v>241</v>
      </c>
      <c r="B48" s="618" t="s">
        <v>158</v>
      </c>
      <c r="C48" s="458">
        <f>(ProHeader!L47+ProHeader!M47)+((ProHeader!L47+ProHeader!M47)*5%)</f>
        <v>178500</v>
      </c>
      <c r="D48" s="458">
        <f t="shared" si="10"/>
        <v>80325</v>
      </c>
      <c r="E48" s="459">
        <f>SUMIFS(srpro!$H$10:$H$3010,srpro!$B$10:$B$3010,'ProjectsX (2)'!A48)</f>
        <v>98175</v>
      </c>
      <c r="F48" s="460">
        <f>SUMIFS(srpro!$E$10:$E$3010,srpro!$B$10:$B$3010,'ProjectsX (2)'!A48)</f>
        <v>68691.264999999985</v>
      </c>
      <c r="G48" s="478">
        <f t="shared" si="11"/>
        <v>0.55000000000000004</v>
      </c>
      <c r="H48" s="479">
        <f t="shared" si="12"/>
        <v>0.36558376330532205</v>
      </c>
      <c r="I48" s="535"/>
      <c r="J48" s="606">
        <f t="shared" si="6"/>
        <v>104318.29825000002</v>
      </c>
      <c r="K48" s="617">
        <f t="shared" si="7"/>
        <v>0.6151749859943979</v>
      </c>
      <c r="L48" s="526">
        <f>ProHeader!AN47</f>
        <v>1</v>
      </c>
      <c r="M48" s="525" t="str">
        <f>TEXT(  ProHeader!AJ47,"dd-mm-yy")</f>
        <v>-</v>
      </c>
      <c r="N48" s="525">
        <f>IFERROR(ProHeader!AK47 + ProHeader!AL47,"-")</f>
        <v>71400</v>
      </c>
      <c r="O48" s="525">
        <f>IFERROR(ProHeader!AM47,"0")</f>
        <v>65000</v>
      </c>
      <c r="P48" s="525">
        <f t="shared" si="8"/>
        <v>6400</v>
      </c>
      <c r="Q48" s="619" t="str">
        <f>IF( SUMIFS(srpro!$H$10:$H$3010,srpro!$J$10:$J$3010,$R$6,srpro!$B$10:$B$3010,'ProjectsX (2)'!A48,srpro!$K$10:$K$3010,$A$6)&gt;0,SUMIFS(srpro!$H$10:$H$3010,srpro!$J$10:$J$3010,$R$6,srpro!$B$10:$B$3010,'ProjectsX (2)'!A48,srpro!$K$10:$K$3010,$A$6),"")</f>
        <v/>
      </c>
      <c r="R48" s="449">
        <f>IF( SUMIFS(srpro!$E$10:$E$3010,srpro!$J$10:$J$3010,$R$6,srpro!$B$10:$B$3010,'ProjectsX (2)'!A48,srpro!$K$10:$K$3010,$A$6)&gt;0,SUMIFS(srpro!$E$10:$E$3010,srpro!$J$10:$J$3010,$R$6,srpro!$B$10:$B$3010,'ProjectsX (2)'!A48,srpro!$K$10:$K$3010,$A$6),"")</f>
        <v>2869</v>
      </c>
      <c r="S48" s="450"/>
      <c r="T48" s="619" t="str">
        <f>IF( SUMIFS(srpro!$H$10:$H$3010,srpro!$J$10:$J$3010,$U$6,srpro!$B$10:$B$3010,'ProjectsX (2)'!A48,srpro!$K$10:$K$3010,$A$6)&gt;0,SUMIFS(srpro!$H$10:$H$3010,srpro!$J$10:$J$3010,$U$6,srpro!$B$10:$B$3010,'ProjectsX (2)'!A48,srpro!$K$10:$K$3010,$A$6),"")</f>
        <v/>
      </c>
      <c r="U48" s="449" t="str">
        <f>IF( SUMIFS(srpro!$E$10:$E$3010,srpro!$J$10:$J$3010,$U$6,srpro!$B$10:$B$3010,'ProjectsX (2)'!A48,srpro!$K$10:$K$3010,$A$6)&gt;0,SUMIFS(srpro!$E$10:$E$3010,srpro!$J$10:$J$3010,$U$6,srpro!$B$10:$B$3010,'ProjectsX (2)'!A48,srpro!$K$10:$K$3010,$A$6),"")</f>
        <v/>
      </c>
      <c r="V48" s="450"/>
      <c r="W48" s="619" t="str">
        <f>IF( SUMIFS(srpro!$H$10:$H$3010,srpro!$J$10:$J$3010,$X$6,srpro!$B$10:$B$3010,'ProjectsX (2)'!A48,srpro!$K$10:$K$3010,$A$6)&gt;0,SUMIFS(srpro!$H$10:$H$3010,srpro!$J$10:$J$3010,$X$6,srpro!$B$10:$B$3010,'ProjectsX (2)'!A48,srpro!$K$10:$K$3010,$A$6),"")</f>
        <v/>
      </c>
      <c r="X48" s="449" t="str">
        <f>IF( SUMIFS(srpro!$E$10:$E$3010,srpro!$J$10:$J$3010,$X$6,srpro!$B$10:$B$3010,'ProjectsX (2)'!A48,srpro!$K$10:$K$3010,$A$6)&gt;0,SUMIFS(srpro!$E$10:$E$3010,srpro!$J$10:$J$3010,$X$6,srpro!$B$10:$B$3010,'ProjectsX (2)'!A48,srpro!$K$10:$K$3010,$A$6),"")</f>
        <v/>
      </c>
      <c r="Y48" s="450"/>
      <c r="Z48" s="619" t="str">
        <f>IF( SUMIFS(srpro!$H$10:$H$3010,srpro!$J$10:$J$3010,$AA$6,srpro!$B$10:$B$3010,'ProjectsX (2)'!A48,srpro!$K$10:$K$3010,$A$6)&gt;0,SUMIFS(srpro!$H$10:$H$3010,srpro!$J$10:$J$3010,$AA$6,srpro!$B$10:$B$3010,'ProjectsX (2)'!A48,srpro!$K$10:$K$3010,$A$6),"")</f>
        <v/>
      </c>
      <c r="AA48" s="449" t="str">
        <f>IF( SUMIFS(srpro!$E$10:$E$3010,srpro!$J$10:$J$3010,$AA$6,srpro!$B$10:$B$3010,'ProjectsX (2)'!A48,srpro!$K$10:$K$3010,$A$6)&gt;0,SUMIFS(srpro!$E$10:$E$3010,srpro!$J$10:$J$3010,$AA$6,srpro!$B$10:$B$3010,'ProjectsX (2)'!A48,srpro!$K$10:$K$3010,$A$6),"")</f>
        <v/>
      </c>
      <c r="AB48" s="450"/>
      <c r="AC48" s="619" t="str">
        <f>IF( SUMIFS(srpro!$H$10:$H$3010,srpro!$J$10:$J$3010,$AD$6,srpro!$B$10:$B$3010,'ProjectsX (2)'!A48,srpro!$K$10:$K$3010,$A$6)&gt;0,SUMIFS(srpro!$H$10:$H$3010,srpro!$J$10:$J$3010,$AD$6,srpro!$B$10:$B$3010,'ProjectsX (2)'!A48,srpro!$K$10:$K$3010,$A$6),"")</f>
        <v/>
      </c>
      <c r="AD48" s="449" t="str">
        <f>IF( SUMIFS(srpro!$E$10:$E$3010,srpro!$J$10:$J$3010,$AD$6,srpro!$B$10:$B$3010,'ProjectsX (2)'!A48,srpro!$K$10:$K$3010,$A$6)&gt;0,SUMIFS(srpro!$E$10:$E$3010,srpro!$J$10:$J$3010,$AD$6,srpro!$B$10:$B$3010,'ProjectsX (2)'!A48,srpro!$K$10:$K$3010,$A$6),"")</f>
        <v/>
      </c>
      <c r="AE48" s="450"/>
      <c r="AF48" s="454" t="str">
        <f>IF( SUMIFS(srpro!$H$10:$H$3010,srpro!$J$10:$J$3010,$AG$6,srpro!$B$10:$B$3010,'ProjectsX (2)'!A48,srpro!$K$10:$K$3010,$A$6)&gt;0,SUMIFS(srpro!$H$10:$H$3010,srpro!$J$10:$J$3010,$AG$6,srpro!$B$10:$B$3010,'ProjectsX (2)'!A48,srpro!$K$10:$K$3010,$A$6),"")</f>
        <v/>
      </c>
      <c r="AG48" s="449">
        <f>IF( SUMIFS(srpro!$E$10:$E$3010,srpro!$J$10:$J$3010,$AG$6,srpro!$B$10:$B$3010,'ProjectsX (2)'!A48,srpro!$K$10:$K$3010,$A$6)&gt;0,SUMIFS(srpro!$E$10:$E$3010,srpro!$J$10:$J$3010,$AG$6,srpro!$B$10:$B$3010,'ProjectsX (2)'!A48,srpro!$K$10:$K$3010,$A$6),"")</f>
        <v>1928.5350000000001</v>
      </c>
      <c r="AH48" s="450"/>
      <c r="AI48" s="451"/>
      <c r="AJ48" s="451"/>
      <c r="AK48" s="450"/>
      <c r="AL48" s="615">
        <f t="shared" si="9"/>
        <v>4797.5349999999999</v>
      </c>
      <c r="AM48" s="425"/>
      <c r="AN48" s="425"/>
      <c r="AO48" s="425"/>
      <c r="AP48" s="425"/>
      <c r="AQ48" s="425"/>
      <c r="AR48" s="425"/>
      <c r="AS48" s="425"/>
      <c r="AT48" s="425"/>
      <c r="AU48" s="425"/>
      <c r="AV48" s="425"/>
      <c r="AW48" s="425"/>
      <c r="AX48" s="425"/>
      <c r="AY48" s="425"/>
      <c r="AZ48" s="425"/>
      <c r="BA48" s="425"/>
      <c r="BB48" s="425"/>
      <c r="BC48" s="425"/>
      <c r="BD48" s="425"/>
      <c r="BE48" s="425"/>
    </row>
    <row r="49" spans="1:57" ht="19.5" customHeight="1">
      <c r="A49" s="616">
        <v>242</v>
      </c>
      <c r="B49" s="618" t="s">
        <v>274</v>
      </c>
      <c r="C49" s="458">
        <f>(ProHeader!L48+ProHeader!M48)+((ProHeader!L48+ProHeader!M48)*5%)</f>
        <v>238350</v>
      </c>
      <c r="D49" s="458">
        <f t="shared" si="10"/>
        <v>26774.5</v>
      </c>
      <c r="E49" s="459">
        <f>SUMIFS(srpro!$H$10:$H$3010,srpro!$B$10:$B$3010,'ProjectsX (2)'!A49)</f>
        <v>211575.5</v>
      </c>
      <c r="F49" s="460">
        <f>SUMIFS(srpro!$E$10:$E$3010,srpro!$B$10:$B$3010,'ProjectsX (2)'!A49)</f>
        <v>171087.4155</v>
      </c>
      <c r="G49" s="478">
        <f t="shared" si="11"/>
        <v>0.8876672959932872</v>
      </c>
      <c r="H49" s="479">
        <f t="shared" si="12"/>
        <v>0.68190914505978606</v>
      </c>
      <c r="I49" s="535"/>
      <c r="J49" s="606">
        <f t="shared" si="6"/>
        <v>63899.455274999986</v>
      </c>
      <c r="K49" s="617">
        <f t="shared" si="7"/>
        <v>0.28220089993706726</v>
      </c>
      <c r="L49" s="526">
        <f>ProHeader!AN48</f>
        <v>8</v>
      </c>
      <c r="M49" s="525" t="str">
        <f>TEXT(  ProHeader!AJ48,"dd-mm-yy")</f>
        <v>-</v>
      </c>
      <c r="N49" s="525">
        <f>IFERROR(ProHeader!AK48 + ProHeader!AL48,"-")</f>
        <v>84892.5</v>
      </c>
      <c r="O49" s="525">
        <f>IFERROR(ProHeader!AM48,"0")</f>
        <v>84892.5</v>
      </c>
      <c r="P49" s="525">
        <f t="shared" si="8"/>
        <v>0</v>
      </c>
      <c r="Q49" s="619" t="str">
        <f>IF( SUMIFS(srpro!$H$10:$H$3010,srpro!$J$10:$J$3010,$R$6,srpro!$B$10:$B$3010,'ProjectsX (2)'!A49,srpro!$K$10:$K$3010,$A$6)&gt;0,SUMIFS(srpro!$H$10:$H$3010,srpro!$J$10:$J$3010,$R$6,srpro!$B$10:$B$3010,'ProjectsX (2)'!A49,srpro!$K$10:$K$3010,$A$6),"")</f>
        <v/>
      </c>
      <c r="R49" s="449">
        <f>IF( SUMIFS(srpro!$E$10:$E$3010,srpro!$J$10:$J$3010,$R$6,srpro!$B$10:$B$3010,'ProjectsX (2)'!A49,srpro!$K$10:$K$3010,$A$6)&gt;0,SUMIFS(srpro!$E$10:$E$3010,srpro!$J$10:$J$3010,$R$6,srpro!$B$10:$B$3010,'ProjectsX (2)'!A49,srpro!$K$10:$K$3010,$A$6),"")</f>
        <v>10009</v>
      </c>
      <c r="S49" s="450"/>
      <c r="T49" s="619">
        <f>IF( SUMIFS(srpro!$H$10:$H$3010,srpro!$J$10:$J$3010,$U$6,srpro!$B$10:$B$3010,'ProjectsX (2)'!A49,srpro!$K$10:$K$3010,$A$6)&gt;0,SUMIFS(srpro!$H$10:$H$3010,srpro!$J$10:$J$3010,$U$6,srpro!$B$10:$B$3010,'ProjectsX (2)'!A49,srpro!$K$10:$K$3010,$A$6),"")</f>
        <v>75915</v>
      </c>
      <c r="U49" s="449">
        <f>IF( SUMIFS(srpro!$E$10:$E$3010,srpro!$J$10:$J$3010,$U$6,srpro!$B$10:$B$3010,'ProjectsX (2)'!A49,srpro!$K$10:$K$3010,$A$6)&gt;0,SUMIFS(srpro!$E$10:$E$3010,srpro!$J$10:$J$3010,$U$6,srpro!$B$10:$B$3010,'ProjectsX (2)'!A49,srpro!$K$10:$K$3010,$A$6),"")</f>
        <v>34520.870000000003</v>
      </c>
      <c r="V49" s="450"/>
      <c r="W49" s="619">
        <f>IF( SUMIFS(srpro!$H$10:$H$3010,srpro!$J$10:$J$3010,$X$6,srpro!$B$10:$B$3010,'ProjectsX (2)'!A49,srpro!$K$10:$K$3010,$A$6)&gt;0,SUMIFS(srpro!$H$10:$H$3010,srpro!$J$10:$J$3010,$X$6,srpro!$B$10:$B$3010,'ProjectsX (2)'!A49,srpro!$K$10:$K$3010,$A$6),"")</f>
        <v>17325</v>
      </c>
      <c r="X49" s="449">
        <f>IF( SUMIFS(srpro!$E$10:$E$3010,srpro!$J$10:$J$3010,$X$6,srpro!$B$10:$B$3010,'ProjectsX (2)'!A49,srpro!$K$10:$K$3010,$A$6)&gt;0,SUMIFS(srpro!$E$10:$E$3010,srpro!$J$10:$J$3010,$X$6,srpro!$B$10:$B$3010,'ProjectsX (2)'!A49,srpro!$K$10:$K$3010,$A$6),"")</f>
        <v>60853.36</v>
      </c>
      <c r="Y49" s="450"/>
      <c r="Z49" s="619" t="str">
        <f>IF( SUMIFS(srpro!$H$10:$H$3010,srpro!$J$10:$J$3010,$AA$6,srpro!$B$10:$B$3010,'ProjectsX (2)'!A49,srpro!$K$10:$K$3010,$A$6)&gt;0,SUMIFS(srpro!$H$10:$H$3010,srpro!$J$10:$J$3010,$AA$6,srpro!$B$10:$B$3010,'ProjectsX (2)'!A49,srpro!$K$10:$K$3010,$A$6),"")</f>
        <v/>
      </c>
      <c r="AA49" s="449">
        <f>IF( SUMIFS(srpro!$E$10:$E$3010,srpro!$J$10:$J$3010,$AA$6,srpro!$B$10:$B$3010,'ProjectsX (2)'!A49,srpro!$K$10:$K$3010,$A$6)&gt;0,SUMIFS(srpro!$E$10:$E$3010,srpro!$J$10:$J$3010,$AA$6,srpro!$B$10:$B$3010,'ProjectsX (2)'!A49,srpro!$K$10:$K$3010,$A$6),"")</f>
        <v>1000</v>
      </c>
      <c r="AB49" s="450"/>
      <c r="AC49" s="619">
        <f>IF( SUMIFS(srpro!$H$10:$H$3010,srpro!$J$10:$J$3010,$AD$6,srpro!$B$10:$B$3010,'ProjectsX (2)'!A49,srpro!$K$10:$K$3010,$A$6)&gt;0,SUMIFS(srpro!$H$10:$H$3010,srpro!$J$10:$J$3010,$AD$6,srpro!$B$10:$B$3010,'ProjectsX (2)'!A49,srpro!$K$10:$K$3010,$A$6),"")</f>
        <v>9293</v>
      </c>
      <c r="AD49" s="449" t="str">
        <f>IF( SUMIFS(srpro!$E$10:$E$3010,srpro!$J$10:$J$3010,$AD$6,srpro!$B$10:$B$3010,'ProjectsX (2)'!A49,srpro!$K$10:$K$3010,$A$6)&gt;0,SUMIFS(srpro!$E$10:$E$3010,srpro!$J$10:$J$3010,$AD$6,srpro!$B$10:$B$3010,'ProjectsX (2)'!A49,srpro!$K$10:$K$3010,$A$6),"")</f>
        <v/>
      </c>
      <c r="AE49" s="450"/>
      <c r="AF49" s="454">
        <f>IF( SUMIFS(srpro!$H$10:$H$3010,srpro!$J$10:$J$3010,$AG$6,srpro!$B$10:$B$3010,'ProjectsX (2)'!A49,srpro!$K$10:$K$3010,$A$6)&gt;0,SUMIFS(srpro!$H$10:$H$3010,srpro!$J$10:$J$3010,$AG$6,srpro!$B$10:$B$3010,'ProjectsX (2)'!A49,srpro!$K$10:$K$3010,$A$6),"")</f>
        <v>2100</v>
      </c>
      <c r="AG49" s="449">
        <f>IF( SUMIFS(srpro!$E$10:$E$3010,srpro!$J$10:$J$3010,$AG$6,srpro!$B$10:$B$3010,'ProjectsX (2)'!A49,srpro!$K$10:$K$3010,$A$6)&gt;0,SUMIFS(srpro!$E$10:$E$3010,srpro!$J$10:$J$3010,$AG$6,srpro!$B$10:$B$3010,'ProjectsX (2)'!A49,srpro!$K$10:$K$3010,$A$6),"")</f>
        <v>1000.01</v>
      </c>
      <c r="AH49" s="450"/>
      <c r="AI49" s="451"/>
      <c r="AJ49" s="451"/>
      <c r="AK49" s="450"/>
      <c r="AL49" s="615">
        <f t="shared" si="9"/>
        <v>212016.24</v>
      </c>
      <c r="AM49" s="425"/>
      <c r="AN49" s="425"/>
      <c r="AO49" s="425"/>
      <c r="AP49" s="425"/>
      <c r="AQ49" s="425"/>
      <c r="AR49" s="425"/>
      <c r="AS49" s="425"/>
      <c r="AT49" s="425"/>
      <c r="AU49" s="425"/>
      <c r="AV49" s="425"/>
      <c r="AW49" s="425"/>
      <c r="AX49" s="425"/>
      <c r="AY49" s="425"/>
      <c r="AZ49" s="425"/>
      <c r="BA49" s="425"/>
      <c r="BB49" s="425"/>
      <c r="BC49" s="425"/>
      <c r="BD49" s="425"/>
      <c r="BE49" s="425"/>
    </row>
    <row r="50" spans="1:57" ht="19.5" customHeight="1">
      <c r="A50" s="616">
        <v>243</v>
      </c>
      <c r="B50" s="618" t="s">
        <v>308</v>
      </c>
      <c r="C50" s="458">
        <f>(ProHeader!L49+ProHeader!M49)+((ProHeader!L49+ProHeader!M49)*5%)</f>
        <v>136500</v>
      </c>
      <c r="D50" s="458">
        <f t="shared" si="10"/>
        <v>0</v>
      </c>
      <c r="E50" s="459">
        <f>SUMIFS(srpro!$H$10:$H$3010,srpro!$B$10:$B$3010,'ProjectsX (2)'!A50)</f>
        <v>136500</v>
      </c>
      <c r="F50" s="460">
        <f>SUMIFS(srpro!$E$10:$E$3010,srpro!$B$10:$B$3010,'ProjectsX (2)'!A50)</f>
        <v>93685.36</v>
      </c>
      <c r="G50" s="478">
        <f t="shared" si="11"/>
        <v>1</v>
      </c>
      <c r="H50" s="479">
        <f t="shared" si="12"/>
        <v>0.65202265201465204</v>
      </c>
      <c r="I50" s="535"/>
      <c r="J50" s="606">
        <f t="shared" si="6"/>
        <v>40673.907999999996</v>
      </c>
      <c r="K50" s="617">
        <f t="shared" si="7"/>
        <v>0.31366036630036626</v>
      </c>
      <c r="L50" s="526">
        <f>ProHeader!AN49</f>
        <v>3</v>
      </c>
      <c r="M50" s="525" t="str">
        <f>TEXT(  ProHeader!AJ49,"dd-mm-yy")</f>
        <v>-</v>
      </c>
      <c r="N50" s="525">
        <f>IFERROR(ProHeader!AK49 + ProHeader!AL49,"-")</f>
        <v>54600</v>
      </c>
      <c r="O50" s="525">
        <f>IFERROR(ProHeader!AM49,"0")</f>
        <v>54600</v>
      </c>
      <c r="P50" s="525">
        <f t="shared" si="8"/>
        <v>0</v>
      </c>
      <c r="Q50" s="619" t="str">
        <f>IF( SUMIFS(srpro!$H$10:$H$3010,srpro!$J$10:$J$3010,$R$6,srpro!$B$10:$B$3010,'ProjectsX (2)'!A50,srpro!$K$10:$K$3010,$A$6)&gt;0,SUMIFS(srpro!$H$10:$H$3010,srpro!$J$10:$J$3010,$R$6,srpro!$B$10:$B$3010,'ProjectsX (2)'!A50,srpro!$K$10:$K$3010,$A$6),"")</f>
        <v/>
      </c>
      <c r="R50" s="449" t="str">
        <f>IF( SUMIFS(srpro!$E$10:$E$3010,srpro!$J$10:$J$3010,$R$6,srpro!$B$10:$B$3010,'ProjectsX (2)'!A50,srpro!$K$10:$K$3010,$A$6)&gt;0,SUMIFS(srpro!$E$10:$E$3010,srpro!$J$10:$J$3010,$R$6,srpro!$B$10:$B$3010,'ProjectsX (2)'!A50,srpro!$K$10:$K$3010,$A$6),"")</f>
        <v/>
      </c>
      <c r="S50" s="450"/>
      <c r="T50" s="619">
        <f>IF( SUMIFS(srpro!$H$10:$H$3010,srpro!$J$10:$J$3010,$U$6,srpro!$B$10:$B$3010,'ProjectsX (2)'!A50,srpro!$K$10:$K$3010,$A$6)&gt;0,SUMIFS(srpro!$H$10:$H$3010,srpro!$J$10:$J$3010,$U$6,srpro!$B$10:$B$3010,'ProjectsX (2)'!A50,srpro!$K$10:$K$3010,$A$6),"")</f>
        <v>49795.199999999997</v>
      </c>
      <c r="U50" s="449">
        <f>IF( SUMIFS(srpro!$E$10:$E$3010,srpro!$J$10:$J$3010,$U$6,srpro!$B$10:$B$3010,'ProjectsX (2)'!A50,srpro!$K$10:$K$3010,$A$6)&gt;0,SUMIFS(srpro!$E$10:$E$3010,srpro!$J$10:$J$3010,$U$6,srpro!$B$10:$B$3010,'ProjectsX (2)'!A50,srpro!$K$10:$K$3010,$A$6),"")</f>
        <v>27043</v>
      </c>
      <c r="V50" s="450"/>
      <c r="W50" s="619" t="str">
        <f>IF( SUMIFS(srpro!$H$10:$H$3010,srpro!$J$10:$J$3010,$X$6,srpro!$B$10:$B$3010,'ProjectsX (2)'!A50,srpro!$K$10:$K$3010,$A$6)&gt;0,SUMIFS(srpro!$H$10:$H$3010,srpro!$J$10:$J$3010,$X$6,srpro!$B$10:$B$3010,'ProjectsX (2)'!A50,srpro!$K$10:$K$3010,$A$6),"")</f>
        <v/>
      </c>
      <c r="X50" s="449">
        <f>IF( SUMIFS(srpro!$E$10:$E$3010,srpro!$J$10:$J$3010,$X$6,srpro!$B$10:$B$3010,'ProjectsX (2)'!A50,srpro!$K$10:$K$3010,$A$6)&gt;0,SUMIFS(srpro!$E$10:$E$3010,srpro!$J$10:$J$3010,$X$6,srpro!$B$10:$B$3010,'ProjectsX (2)'!A50,srpro!$K$10:$K$3010,$A$6),"")</f>
        <v>27176.79</v>
      </c>
      <c r="Y50" s="450"/>
      <c r="Z50" s="619" t="str">
        <f>IF( SUMIFS(srpro!$H$10:$H$3010,srpro!$J$10:$J$3010,$AA$6,srpro!$B$10:$B$3010,'ProjectsX (2)'!A50,srpro!$K$10:$K$3010,$A$6)&gt;0,SUMIFS(srpro!$H$10:$H$3010,srpro!$J$10:$J$3010,$AA$6,srpro!$B$10:$B$3010,'ProjectsX (2)'!A50,srpro!$K$10:$K$3010,$A$6),"")</f>
        <v/>
      </c>
      <c r="AA50" s="449">
        <f>IF( SUMIFS(srpro!$E$10:$E$3010,srpro!$J$10:$J$3010,$AA$6,srpro!$B$10:$B$3010,'ProjectsX (2)'!A50,srpro!$K$10:$K$3010,$A$6)&gt;0,SUMIFS(srpro!$E$10:$E$3010,srpro!$J$10:$J$3010,$AA$6,srpro!$B$10:$B$3010,'ProjectsX (2)'!A50,srpro!$K$10:$K$3010,$A$6),"")</f>
        <v>4731.6900000000005</v>
      </c>
      <c r="AB50" s="450"/>
      <c r="AC50" s="619" t="str">
        <f>IF( SUMIFS(srpro!$H$10:$H$3010,srpro!$J$10:$J$3010,$AD$6,srpro!$B$10:$B$3010,'ProjectsX (2)'!A50,srpro!$K$10:$K$3010,$A$6)&gt;0,SUMIFS(srpro!$H$10:$H$3010,srpro!$J$10:$J$3010,$AD$6,srpro!$B$10:$B$3010,'ProjectsX (2)'!A50,srpro!$K$10:$K$3010,$A$6),"")</f>
        <v/>
      </c>
      <c r="AD50" s="449" t="str">
        <f>IF( SUMIFS(srpro!$E$10:$E$3010,srpro!$J$10:$J$3010,$AD$6,srpro!$B$10:$B$3010,'ProjectsX (2)'!A50,srpro!$K$10:$K$3010,$A$6)&gt;0,SUMIFS(srpro!$E$10:$E$3010,srpro!$J$10:$J$3010,$AD$6,srpro!$B$10:$B$3010,'ProjectsX (2)'!A50,srpro!$K$10:$K$3010,$A$6),"")</f>
        <v/>
      </c>
      <c r="AE50" s="450"/>
      <c r="AF50" s="454">
        <f>IF( SUMIFS(srpro!$H$10:$H$3010,srpro!$J$10:$J$3010,$AG$6,srpro!$B$10:$B$3010,'ProjectsX (2)'!A50,srpro!$K$10:$K$3010,$A$6)&gt;0,SUMIFS(srpro!$H$10:$H$3010,srpro!$J$10:$J$3010,$AG$6,srpro!$B$10:$B$3010,'ProjectsX (2)'!A50,srpro!$K$10:$K$3010,$A$6),"")</f>
        <v>11629.8</v>
      </c>
      <c r="AG50" s="449" t="str">
        <f>IF( SUMIFS(srpro!$E$10:$E$3010,srpro!$J$10:$J$3010,$AG$6,srpro!$B$10:$B$3010,'ProjectsX (2)'!A50,srpro!$K$10:$K$3010,$A$6)&gt;0,SUMIFS(srpro!$E$10:$E$3010,srpro!$J$10:$J$3010,$AG$6,srpro!$B$10:$B$3010,'ProjectsX (2)'!A50,srpro!$K$10:$K$3010,$A$6),"")</f>
        <v/>
      </c>
      <c r="AH50" s="450"/>
      <c r="AI50" s="451"/>
      <c r="AJ50" s="451"/>
      <c r="AK50" s="450"/>
      <c r="AL50" s="615">
        <f t="shared" si="9"/>
        <v>120376.48</v>
      </c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5"/>
      <c r="BC50" s="425"/>
      <c r="BD50" s="425"/>
      <c r="BE50" s="425"/>
    </row>
    <row r="51" spans="1:57" ht="19.5" customHeight="1">
      <c r="A51" s="616">
        <v>245</v>
      </c>
      <c r="B51" s="618" t="s">
        <v>192</v>
      </c>
      <c r="C51" s="458">
        <f>(ProHeader!L51+ProHeader!M51)+((ProHeader!L51+ProHeader!M51)*5%)</f>
        <v>218820</v>
      </c>
      <c r="D51" s="458">
        <f t="shared" si="10"/>
        <v>113820</v>
      </c>
      <c r="E51" s="459">
        <f>SUMIFS(srpro!$H$10:$H$3010,srpro!$B$10:$B$3010,'ProjectsX (2)'!A51)</f>
        <v>105000</v>
      </c>
      <c r="F51" s="460">
        <f>SUMIFS(srpro!$E$10:$E$3010,srpro!$B$10:$B$3010,'ProjectsX (2)'!A51)</f>
        <v>63736.28</v>
      </c>
      <c r="G51" s="478">
        <f t="shared" si="11"/>
        <v>0.47984644913627639</v>
      </c>
      <c r="H51" s="479">
        <f t="shared" si="12"/>
        <v>0.27670901197331138</v>
      </c>
      <c r="I51" s="535"/>
      <c r="J51" s="606">
        <f t="shared" si="6"/>
        <v>147329.53399999999</v>
      </c>
      <c r="K51" s="617">
        <f t="shared" si="7"/>
        <v>0.70872735581756685</v>
      </c>
      <c r="L51" s="526">
        <f>ProHeader!AN51</f>
        <v>2</v>
      </c>
      <c r="M51" s="525" t="str">
        <f>TEXT(  ProHeader!AJ51,"dd-mm-yy")</f>
        <v>-</v>
      </c>
      <c r="N51" s="525">
        <f>IFERROR(ProHeader!AK51 + ProHeader!AL51,"-")</f>
        <v>63000</v>
      </c>
      <c r="O51" s="525">
        <f>IFERROR(ProHeader!AM51,"0")</f>
        <v>63000</v>
      </c>
      <c r="P51" s="525">
        <f t="shared" si="8"/>
        <v>0</v>
      </c>
      <c r="Q51" s="619" t="str">
        <f>IF( SUMIFS(srpro!$H$10:$H$3010,srpro!$J$10:$J$3010,$R$6,srpro!$B$10:$B$3010,'ProjectsX (2)'!A51,srpro!$K$10:$K$3010,$A$6)&gt;0,SUMIFS(srpro!$H$10:$H$3010,srpro!$J$10:$J$3010,$R$6,srpro!$B$10:$B$3010,'ProjectsX (2)'!A51,srpro!$K$10:$K$3010,$A$6),"")</f>
        <v/>
      </c>
      <c r="R51" s="449">
        <f>IF( SUMIFS(srpro!$E$10:$E$3010,srpro!$J$10:$J$3010,$R$6,srpro!$B$10:$B$3010,'ProjectsX (2)'!A51,srpro!$K$10:$K$3010,$A$6)&gt;0,SUMIFS(srpro!$E$10:$E$3010,srpro!$J$10:$J$3010,$R$6,srpro!$B$10:$B$3010,'ProjectsX (2)'!A51,srpro!$K$10:$K$3010,$A$6),"")</f>
        <v>32496</v>
      </c>
      <c r="S51" s="450"/>
      <c r="T51" s="619" t="str">
        <f>IF( SUMIFS(srpro!$H$10:$H$3010,srpro!$J$10:$J$3010,$U$6,srpro!$B$10:$B$3010,'ProjectsX (2)'!A51,srpro!$K$10:$K$3010,$A$6)&gt;0,SUMIFS(srpro!$H$10:$H$3010,srpro!$J$10:$J$3010,$U$6,srpro!$B$10:$B$3010,'ProjectsX (2)'!A51,srpro!$K$10:$K$3010,$A$6),"")</f>
        <v/>
      </c>
      <c r="U51" s="449" t="str">
        <f>IF( SUMIFS(srpro!$E$10:$E$3010,srpro!$J$10:$J$3010,$U$6,srpro!$B$10:$B$3010,'ProjectsX (2)'!A51,srpro!$K$10:$K$3010,$A$6)&gt;0,SUMIFS(srpro!$E$10:$E$3010,srpro!$J$10:$J$3010,$U$6,srpro!$B$10:$B$3010,'ProjectsX (2)'!A51,srpro!$K$10:$K$3010,$A$6),"")</f>
        <v/>
      </c>
      <c r="V51" s="450"/>
      <c r="W51" s="619" t="str">
        <f>IF( SUMIFS(srpro!$H$10:$H$3010,srpro!$J$10:$J$3010,$X$6,srpro!$B$10:$B$3010,'ProjectsX (2)'!A51,srpro!$K$10:$K$3010,$A$6)&gt;0,SUMIFS(srpro!$H$10:$H$3010,srpro!$J$10:$J$3010,$X$6,srpro!$B$10:$B$3010,'ProjectsX (2)'!A51,srpro!$K$10:$K$3010,$A$6),"")</f>
        <v/>
      </c>
      <c r="X51" s="449" t="str">
        <f>IF( SUMIFS(srpro!$E$10:$E$3010,srpro!$J$10:$J$3010,$X$6,srpro!$B$10:$B$3010,'ProjectsX (2)'!A51,srpro!$K$10:$K$3010,$A$6)&gt;0,SUMIFS(srpro!$E$10:$E$3010,srpro!$J$10:$J$3010,$X$6,srpro!$B$10:$B$3010,'ProjectsX (2)'!A51,srpro!$K$10:$K$3010,$A$6),"")</f>
        <v/>
      </c>
      <c r="Y51" s="450"/>
      <c r="Z51" s="619" t="str">
        <f>IF( SUMIFS(srpro!$H$10:$H$3010,srpro!$J$10:$J$3010,$AA$6,srpro!$B$10:$B$3010,'ProjectsX (2)'!A51,srpro!$K$10:$K$3010,$A$6)&gt;0,SUMIFS(srpro!$H$10:$H$3010,srpro!$J$10:$J$3010,$AA$6,srpro!$B$10:$B$3010,'ProjectsX (2)'!A51,srpro!$K$10:$K$3010,$A$6),"")</f>
        <v/>
      </c>
      <c r="AA51" s="449" t="str">
        <f>IF( SUMIFS(srpro!$E$10:$E$3010,srpro!$J$10:$J$3010,$AA$6,srpro!$B$10:$B$3010,'ProjectsX (2)'!A51,srpro!$K$10:$K$3010,$A$6)&gt;0,SUMIFS(srpro!$E$10:$E$3010,srpro!$J$10:$J$3010,$AA$6,srpro!$B$10:$B$3010,'ProjectsX (2)'!A51,srpro!$K$10:$K$3010,$A$6),"")</f>
        <v/>
      </c>
      <c r="AB51" s="450"/>
      <c r="AC51" s="619" t="str">
        <f>IF( SUMIFS(srpro!$H$10:$H$3010,srpro!$J$10:$J$3010,$AD$6,srpro!$B$10:$B$3010,'ProjectsX (2)'!A51,srpro!$K$10:$K$3010,$A$6)&gt;0,SUMIFS(srpro!$H$10:$H$3010,srpro!$J$10:$J$3010,$AD$6,srpro!$B$10:$B$3010,'ProjectsX (2)'!A51,srpro!$K$10:$K$3010,$A$6),"")</f>
        <v/>
      </c>
      <c r="AD51" s="449" t="str">
        <f>IF( SUMIFS(srpro!$E$10:$E$3010,srpro!$J$10:$J$3010,$AD$6,srpro!$B$10:$B$3010,'ProjectsX (2)'!A51,srpro!$K$10:$K$3010,$A$6)&gt;0,SUMIFS(srpro!$E$10:$E$3010,srpro!$J$10:$J$3010,$AD$6,srpro!$B$10:$B$3010,'ProjectsX (2)'!A51,srpro!$K$10:$K$3010,$A$6),"")</f>
        <v/>
      </c>
      <c r="AE51" s="450"/>
      <c r="AF51" s="454" t="str">
        <f>IF( SUMIFS(srpro!$H$10:$H$3010,srpro!$J$10:$J$3010,$AG$6,srpro!$B$10:$B$3010,'ProjectsX (2)'!A51,srpro!$K$10:$K$3010,$A$6)&gt;0,SUMIFS(srpro!$H$10:$H$3010,srpro!$J$10:$J$3010,$AG$6,srpro!$B$10:$B$3010,'ProjectsX (2)'!A51,srpro!$K$10:$K$3010,$A$6),"")</f>
        <v/>
      </c>
      <c r="AG51" s="449" t="str">
        <f>IF( SUMIFS(srpro!$E$10:$E$3010,srpro!$J$10:$J$3010,$AG$6,srpro!$B$10:$B$3010,'ProjectsX (2)'!A51,srpro!$K$10:$K$3010,$A$6)&gt;0,SUMIFS(srpro!$E$10:$E$3010,srpro!$J$10:$J$3010,$AG$6,srpro!$B$10:$B$3010,'ProjectsX (2)'!A51,srpro!$K$10:$K$3010,$A$6),"")</f>
        <v/>
      </c>
      <c r="AH51" s="450"/>
      <c r="AI51" s="451"/>
      <c r="AJ51" s="451"/>
      <c r="AK51" s="450"/>
      <c r="AL51" s="615">
        <f t="shared" si="9"/>
        <v>32496</v>
      </c>
      <c r="AM51" s="425"/>
      <c r="AN51" s="425"/>
      <c r="AO51" s="425"/>
      <c r="AP51" s="425"/>
      <c r="AQ51" s="425"/>
      <c r="AR51" s="425"/>
      <c r="AS51" s="425"/>
      <c r="AT51" s="425"/>
      <c r="AU51" s="425"/>
      <c r="AV51" s="425"/>
      <c r="AW51" s="425"/>
      <c r="AX51" s="425"/>
      <c r="AY51" s="425"/>
      <c r="AZ51" s="425"/>
      <c r="BA51" s="425"/>
      <c r="BB51" s="425"/>
      <c r="BC51" s="425"/>
      <c r="BD51" s="425"/>
      <c r="BE51" s="425"/>
    </row>
    <row r="52" spans="1:57" ht="19.5" customHeight="1">
      <c r="A52" s="616">
        <v>246</v>
      </c>
      <c r="B52" s="618" t="s">
        <v>293</v>
      </c>
      <c r="C52" s="458">
        <f>(ProHeader!L52+ProHeader!M52)+((ProHeader!L52+ProHeader!M52)*5%)</f>
        <v>207900</v>
      </c>
      <c r="D52" s="458">
        <f t="shared" si="10"/>
        <v>32950</v>
      </c>
      <c r="E52" s="459">
        <f>SUMIFS(srpro!$H$10:$H$3010,srpro!$B$10:$B$3010,'ProjectsX (2)'!A52)</f>
        <v>174950</v>
      </c>
      <c r="F52" s="460">
        <f>SUMIFS(srpro!$E$10:$E$3010,srpro!$B$10:$B$3010,'ProjectsX (2)'!A52)</f>
        <v>80599.550000000017</v>
      </c>
      <c r="G52" s="478">
        <f t="shared" si="11"/>
        <v>0.84151034151034154</v>
      </c>
      <c r="H52" s="479">
        <f t="shared" si="12"/>
        <v>0.36830001202501206</v>
      </c>
      <c r="I52" s="535"/>
      <c r="J52" s="606">
        <f t="shared" si="6"/>
        <v>120935.42749999999</v>
      </c>
      <c r="K52" s="617">
        <f t="shared" si="7"/>
        <v>0.61231577681577676</v>
      </c>
      <c r="L52" s="526">
        <f>ProHeader!AN52</f>
        <v>2</v>
      </c>
      <c r="M52" s="525" t="str">
        <f>TEXT(  ProHeader!AJ52,"dd-mm-yy")</f>
        <v>-</v>
      </c>
      <c r="N52" s="525">
        <f>IFERROR(ProHeader!AK52 + ProHeader!AL52,"-")</f>
        <v>75600</v>
      </c>
      <c r="O52" s="525">
        <f>IFERROR(ProHeader!AM52,"0")</f>
        <v>75600</v>
      </c>
      <c r="P52" s="525">
        <f t="shared" si="8"/>
        <v>0</v>
      </c>
      <c r="Q52" s="619" t="str">
        <f>IF( SUMIFS(srpro!$H$10:$H$3010,srpro!$J$10:$J$3010,$R$6,srpro!$B$10:$B$3010,'ProjectsX (2)'!A52,srpro!$K$10:$K$3010,$A$6)&gt;0,SUMIFS(srpro!$H$10:$H$3010,srpro!$J$10:$J$3010,$R$6,srpro!$B$10:$B$3010,'ProjectsX (2)'!A52,srpro!$K$10:$K$3010,$A$6),"")</f>
        <v/>
      </c>
      <c r="R52" s="449">
        <f>IF( SUMIFS(srpro!$E$10:$E$3010,srpro!$J$10:$J$3010,$R$6,srpro!$B$10:$B$3010,'ProjectsX (2)'!A52,srpro!$K$10:$K$3010,$A$6)&gt;0,SUMIFS(srpro!$E$10:$E$3010,srpro!$J$10:$J$3010,$R$6,srpro!$B$10:$B$3010,'ProjectsX (2)'!A52,srpro!$K$10:$K$3010,$A$6),"")</f>
        <v>3862</v>
      </c>
      <c r="S52" s="450"/>
      <c r="T52" s="619" t="str">
        <f>IF( SUMIFS(srpro!$H$10:$H$3010,srpro!$J$10:$J$3010,$U$6,srpro!$B$10:$B$3010,'ProjectsX (2)'!A52,srpro!$K$10:$K$3010,$A$6)&gt;0,SUMIFS(srpro!$H$10:$H$3010,srpro!$J$10:$J$3010,$U$6,srpro!$B$10:$B$3010,'ProjectsX (2)'!A52,srpro!$K$10:$K$3010,$A$6),"")</f>
        <v/>
      </c>
      <c r="U52" s="449">
        <f>IF( SUMIFS(srpro!$E$10:$E$3010,srpro!$J$10:$J$3010,$U$6,srpro!$B$10:$B$3010,'ProjectsX (2)'!A52,srpro!$K$10:$K$3010,$A$6)&gt;0,SUMIFS(srpro!$E$10:$E$3010,srpro!$J$10:$J$3010,$U$6,srpro!$B$10:$B$3010,'ProjectsX (2)'!A52,srpro!$K$10:$K$3010,$A$6),"")</f>
        <v>298</v>
      </c>
      <c r="V52" s="450"/>
      <c r="W52" s="619" t="str">
        <f>IF( SUMIFS(srpro!$H$10:$H$3010,srpro!$J$10:$J$3010,$X$6,srpro!$B$10:$B$3010,'ProjectsX (2)'!A52,srpro!$K$10:$K$3010,$A$6)&gt;0,SUMIFS(srpro!$H$10:$H$3010,srpro!$J$10:$J$3010,$X$6,srpro!$B$10:$B$3010,'ProjectsX (2)'!A52,srpro!$K$10:$K$3010,$A$6),"")</f>
        <v/>
      </c>
      <c r="X52" s="449">
        <f>IF( SUMIFS(srpro!$E$10:$E$3010,srpro!$J$10:$J$3010,$X$6,srpro!$B$10:$B$3010,'ProjectsX (2)'!A52,srpro!$K$10:$K$3010,$A$6)&gt;0,SUMIFS(srpro!$E$10:$E$3010,srpro!$J$10:$J$3010,$X$6,srpro!$B$10:$B$3010,'ProjectsX (2)'!A52,srpro!$K$10:$K$3010,$A$6),"")</f>
        <v>10829.91</v>
      </c>
      <c r="Y52" s="450"/>
      <c r="Z52" s="619" t="str">
        <f>IF( SUMIFS(srpro!$H$10:$H$3010,srpro!$J$10:$J$3010,$AA$6,srpro!$B$10:$B$3010,'ProjectsX (2)'!A52,srpro!$K$10:$K$3010,$A$6)&gt;0,SUMIFS(srpro!$H$10:$H$3010,srpro!$J$10:$J$3010,$AA$6,srpro!$B$10:$B$3010,'ProjectsX (2)'!A52,srpro!$K$10:$K$3010,$A$6),"")</f>
        <v/>
      </c>
      <c r="AA52" s="449">
        <f>IF( SUMIFS(srpro!$E$10:$E$3010,srpro!$J$10:$J$3010,$AA$6,srpro!$B$10:$B$3010,'ProjectsX (2)'!A52,srpro!$K$10:$K$3010,$A$6)&gt;0,SUMIFS(srpro!$E$10:$E$3010,srpro!$J$10:$J$3010,$AA$6,srpro!$B$10:$B$3010,'ProjectsX (2)'!A52,srpro!$K$10:$K$3010,$A$6),"")</f>
        <v>1497.38</v>
      </c>
      <c r="AB52" s="450"/>
      <c r="AC52" s="619" t="str">
        <f>IF( SUMIFS(srpro!$H$10:$H$3010,srpro!$J$10:$J$3010,$AD$6,srpro!$B$10:$B$3010,'ProjectsX (2)'!A52,srpro!$K$10:$K$3010,$A$6)&gt;0,SUMIFS(srpro!$H$10:$H$3010,srpro!$J$10:$J$3010,$AD$6,srpro!$B$10:$B$3010,'ProjectsX (2)'!A52,srpro!$K$10:$K$3010,$A$6),"")</f>
        <v/>
      </c>
      <c r="AD52" s="449" t="str">
        <f>IF( SUMIFS(srpro!$E$10:$E$3010,srpro!$J$10:$J$3010,$AD$6,srpro!$B$10:$B$3010,'ProjectsX (2)'!A52,srpro!$K$10:$K$3010,$A$6)&gt;0,SUMIFS(srpro!$E$10:$E$3010,srpro!$J$10:$J$3010,$AD$6,srpro!$B$10:$B$3010,'ProjectsX (2)'!A52,srpro!$K$10:$K$3010,$A$6),"")</f>
        <v/>
      </c>
      <c r="AE52" s="450"/>
      <c r="AF52" s="454" t="str">
        <f>IF( SUMIFS(srpro!$H$10:$H$3010,srpro!$J$10:$J$3010,$AG$6,srpro!$B$10:$B$3010,'ProjectsX (2)'!A52,srpro!$K$10:$K$3010,$A$6)&gt;0,SUMIFS(srpro!$H$10:$H$3010,srpro!$J$10:$J$3010,$AG$6,srpro!$B$10:$B$3010,'ProjectsX (2)'!A52,srpro!$K$10:$K$3010,$A$6),"")</f>
        <v/>
      </c>
      <c r="AG52" s="449" t="str">
        <f>IF( SUMIFS(srpro!$E$10:$E$3010,srpro!$J$10:$J$3010,$AG$6,srpro!$B$10:$B$3010,'ProjectsX (2)'!A52,srpro!$K$10:$K$3010,$A$6)&gt;0,SUMIFS(srpro!$E$10:$E$3010,srpro!$J$10:$J$3010,$AG$6,srpro!$B$10:$B$3010,'ProjectsX (2)'!A52,srpro!$K$10:$K$3010,$A$6),"")</f>
        <v/>
      </c>
      <c r="AH52" s="450"/>
      <c r="AI52" s="451"/>
      <c r="AJ52" s="451"/>
      <c r="AK52" s="450"/>
      <c r="AL52" s="615">
        <f t="shared" si="9"/>
        <v>16487.29</v>
      </c>
      <c r="AM52" s="425"/>
      <c r="AN52" s="425"/>
      <c r="AO52" s="425"/>
      <c r="AP52" s="425"/>
      <c r="AQ52" s="425"/>
      <c r="AR52" s="425"/>
      <c r="AS52" s="425"/>
      <c r="AT52" s="425"/>
      <c r="AU52" s="425"/>
      <c r="AV52" s="425"/>
      <c r="AW52" s="425"/>
      <c r="AX52" s="425"/>
      <c r="AY52" s="425"/>
      <c r="AZ52" s="425"/>
      <c r="BA52" s="425"/>
      <c r="BB52" s="425"/>
      <c r="BC52" s="425"/>
      <c r="BD52" s="425"/>
      <c r="BE52" s="425"/>
    </row>
    <row r="53" spans="1:57" ht="19.5" customHeight="1">
      <c r="A53" s="616">
        <v>247</v>
      </c>
      <c r="B53" s="618" t="s">
        <v>267</v>
      </c>
      <c r="C53" s="458">
        <f>(ProHeader!L53+ProHeader!M53)+((ProHeader!L53+ProHeader!M53)*5%)</f>
        <v>168000</v>
      </c>
      <c r="D53" s="458">
        <f t="shared" si="10"/>
        <v>75600</v>
      </c>
      <c r="E53" s="459">
        <f>SUMIFS(srpro!$H$10:$H$3010,srpro!$B$10:$B$3010,'ProjectsX (2)'!A53)</f>
        <v>92400</v>
      </c>
      <c r="F53" s="460">
        <f>SUMIFS(srpro!$E$10:$E$3010,srpro!$B$10:$B$3010,'ProjectsX (2)'!A53)</f>
        <v>23469.879999999997</v>
      </c>
      <c r="G53" s="478">
        <f t="shared" si="11"/>
        <v>0.55000000000000004</v>
      </c>
      <c r="H53" s="479">
        <f t="shared" si="12"/>
        <v>0.13271658333333333</v>
      </c>
      <c r="I53" s="535"/>
      <c r="J53" s="606">
        <f t="shared" si="6"/>
        <v>137303.614</v>
      </c>
      <c r="K53" s="617">
        <f t="shared" si="7"/>
        <v>0.86029833333333339</v>
      </c>
      <c r="L53" s="526">
        <f>ProHeader!AN53</f>
        <v>2</v>
      </c>
      <c r="M53" s="525" t="str">
        <f>TEXT(  ProHeader!AJ53,"dd-mm-yy")</f>
        <v>-</v>
      </c>
      <c r="N53" s="525">
        <f>IFERROR(ProHeader!AK53 + ProHeader!AL53,"-")</f>
        <v>25200</v>
      </c>
      <c r="O53" s="525">
        <f>IFERROR(ProHeader!AM53,"0")</f>
        <v>25200</v>
      </c>
      <c r="P53" s="525">
        <f t="shared" si="8"/>
        <v>0</v>
      </c>
      <c r="Q53" s="619" t="str">
        <f>IF( SUMIFS(srpro!$H$10:$H$3010,srpro!$J$10:$J$3010,$R$6,srpro!$B$10:$B$3010,'ProjectsX (2)'!A53,srpro!$K$10:$K$3010,$A$6)&gt;0,SUMIFS(srpro!$H$10:$H$3010,srpro!$J$10:$J$3010,$R$6,srpro!$B$10:$B$3010,'ProjectsX (2)'!A53,srpro!$K$10:$K$3010,$A$6),"")</f>
        <v/>
      </c>
      <c r="R53" s="449">
        <f>IF( SUMIFS(srpro!$E$10:$E$3010,srpro!$J$10:$J$3010,$R$6,srpro!$B$10:$B$3010,'ProjectsX (2)'!A53,srpro!$K$10:$K$3010,$A$6)&gt;0,SUMIFS(srpro!$E$10:$E$3010,srpro!$J$10:$J$3010,$R$6,srpro!$B$10:$B$3010,'ProjectsX (2)'!A53,srpro!$K$10:$K$3010,$A$6),"")</f>
        <v>14256</v>
      </c>
      <c r="S53" s="450"/>
      <c r="T53" s="619" t="str">
        <f>IF( SUMIFS(srpro!$H$10:$H$3010,srpro!$J$10:$J$3010,$U$6,srpro!$B$10:$B$3010,'ProjectsX (2)'!A53,srpro!$K$10:$K$3010,$A$6)&gt;0,SUMIFS(srpro!$H$10:$H$3010,srpro!$J$10:$J$3010,$U$6,srpro!$B$10:$B$3010,'ProjectsX (2)'!A53,srpro!$K$10:$K$3010,$A$6),"")</f>
        <v/>
      </c>
      <c r="U53" s="449" t="str">
        <f>IF( SUMIFS(srpro!$E$10:$E$3010,srpro!$J$10:$J$3010,$U$6,srpro!$B$10:$B$3010,'ProjectsX (2)'!A53,srpro!$K$10:$K$3010,$A$6)&gt;0,SUMIFS(srpro!$E$10:$E$3010,srpro!$J$10:$J$3010,$U$6,srpro!$B$10:$B$3010,'ProjectsX (2)'!A53,srpro!$K$10:$K$3010,$A$6),"")</f>
        <v/>
      </c>
      <c r="V53" s="450"/>
      <c r="W53" s="619" t="str">
        <f>IF( SUMIFS(srpro!$H$10:$H$3010,srpro!$J$10:$J$3010,$X$6,srpro!$B$10:$B$3010,'ProjectsX (2)'!A53,srpro!$K$10:$K$3010,$A$6)&gt;0,SUMIFS(srpro!$H$10:$H$3010,srpro!$J$10:$J$3010,$X$6,srpro!$B$10:$B$3010,'ProjectsX (2)'!A53,srpro!$K$10:$K$3010,$A$6),"")</f>
        <v/>
      </c>
      <c r="X53" s="449" t="str">
        <f>IF( SUMIFS(srpro!$E$10:$E$3010,srpro!$J$10:$J$3010,$X$6,srpro!$B$10:$B$3010,'ProjectsX (2)'!A53,srpro!$K$10:$K$3010,$A$6)&gt;0,SUMIFS(srpro!$E$10:$E$3010,srpro!$J$10:$J$3010,$X$6,srpro!$B$10:$B$3010,'ProjectsX (2)'!A53,srpro!$K$10:$K$3010,$A$6),"")</f>
        <v/>
      </c>
      <c r="Y53" s="450"/>
      <c r="Z53" s="619" t="str">
        <f>IF( SUMIFS(srpro!$H$10:$H$3010,srpro!$J$10:$J$3010,$AA$6,srpro!$B$10:$B$3010,'ProjectsX (2)'!A53,srpro!$K$10:$K$3010,$A$6)&gt;0,SUMIFS(srpro!$H$10:$H$3010,srpro!$J$10:$J$3010,$AA$6,srpro!$B$10:$B$3010,'ProjectsX (2)'!A53,srpro!$K$10:$K$3010,$A$6),"")</f>
        <v/>
      </c>
      <c r="AA53" s="449" t="str">
        <f>IF( SUMIFS(srpro!$E$10:$E$3010,srpro!$J$10:$J$3010,$AA$6,srpro!$B$10:$B$3010,'ProjectsX (2)'!A53,srpro!$K$10:$K$3010,$A$6)&gt;0,SUMIFS(srpro!$E$10:$E$3010,srpro!$J$10:$J$3010,$AA$6,srpro!$B$10:$B$3010,'ProjectsX (2)'!A53,srpro!$K$10:$K$3010,$A$6),"")</f>
        <v/>
      </c>
      <c r="AB53" s="450"/>
      <c r="AC53" s="619" t="str">
        <f>IF( SUMIFS(srpro!$H$10:$H$3010,srpro!$J$10:$J$3010,$AD$6,srpro!$B$10:$B$3010,'ProjectsX (2)'!A53,srpro!$K$10:$K$3010,$A$6)&gt;0,SUMIFS(srpro!$H$10:$H$3010,srpro!$J$10:$J$3010,$AD$6,srpro!$B$10:$B$3010,'ProjectsX (2)'!A53,srpro!$K$10:$K$3010,$A$6),"")</f>
        <v/>
      </c>
      <c r="AD53" s="449">
        <f>IF( SUMIFS(srpro!$E$10:$E$3010,srpro!$J$10:$J$3010,$AD$6,srpro!$B$10:$B$3010,'ProjectsX (2)'!A53,srpro!$K$10:$K$3010,$A$6)&gt;0,SUMIFS(srpro!$E$10:$E$3010,srpro!$J$10:$J$3010,$AD$6,srpro!$B$10:$B$3010,'ProjectsX (2)'!A53,srpro!$K$10:$K$3010,$A$6),"")</f>
        <v>8713.880000000001</v>
      </c>
      <c r="AE53" s="450"/>
      <c r="AF53" s="454">
        <f>IF( SUMIFS(srpro!$H$10:$H$3010,srpro!$J$10:$J$3010,$AG$6,srpro!$B$10:$B$3010,'ProjectsX (2)'!A53,srpro!$K$10:$K$3010,$A$6)&gt;0,SUMIFS(srpro!$H$10:$H$3010,srpro!$J$10:$J$3010,$AG$6,srpro!$B$10:$B$3010,'ProjectsX (2)'!A53,srpro!$K$10:$K$3010,$A$6),"")</f>
        <v>67200</v>
      </c>
      <c r="AG53" s="449" t="str">
        <f>IF( SUMIFS(srpro!$E$10:$E$3010,srpro!$J$10:$J$3010,$AG$6,srpro!$B$10:$B$3010,'ProjectsX (2)'!A53,srpro!$K$10:$K$3010,$A$6)&gt;0,SUMIFS(srpro!$E$10:$E$3010,srpro!$J$10:$J$3010,$AG$6,srpro!$B$10:$B$3010,'ProjectsX (2)'!A53,srpro!$K$10:$K$3010,$A$6),"")</f>
        <v/>
      </c>
      <c r="AH53" s="450"/>
      <c r="AI53" s="451"/>
      <c r="AJ53" s="451"/>
      <c r="AK53" s="450"/>
      <c r="AL53" s="615">
        <f t="shared" si="9"/>
        <v>90169.88</v>
      </c>
      <c r="AM53" s="425"/>
      <c r="AN53" s="425"/>
      <c r="AO53" s="425"/>
      <c r="AP53" s="425"/>
      <c r="AQ53" s="425"/>
      <c r="AR53" s="425"/>
      <c r="AS53" s="425"/>
      <c r="AT53" s="425"/>
      <c r="AU53" s="425"/>
      <c r="AV53" s="425"/>
      <c r="AW53" s="425"/>
      <c r="AX53" s="425"/>
      <c r="AY53" s="425"/>
      <c r="AZ53" s="425"/>
      <c r="BA53" s="425"/>
      <c r="BB53" s="425"/>
      <c r="BC53" s="425"/>
      <c r="BD53" s="425"/>
      <c r="BE53" s="425"/>
    </row>
    <row r="54" spans="1:57" ht="19.5" customHeight="1">
      <c r="A54" s="616">
        <v>249</v>
      </c>
      <c r="B54" s="618" t="s">
        <v>282</v>
      </c>
      <c r="C54" s="458">
        <f>(ProHeader!L54+ProHeader!M54)+((ProHeader!L54+ProHeader!M54)*5%)</f>
        <v>252000</v>
      </c>
      <c r="D54" s="458">
        <f t="shared" si="10"/>
        <v>20916</v>
      </c>
      <c r="E54" s="459">
        <f>SUMIFS(srpro!$H$10:$H$3010,srpro!$B$10:$B$3010,'ProjectsX (2)'!A54)</f>
        <v>231084</v>
      </c>
      <c r="F54" s="460">
        <f>SUMIFS(srpro!$E$10:$E$3010,srpro!$B$10:$B$3010,'ProjectsX (2)'!A54)</f>
        <v>193054.14</v>
      </c>
      <c r="G54" s="478">
        <f t="shared" si="11"/>
        <v>0.91700000000000004</v>
      </c>
      <c r="H54" s="479">
        <f t="shared" si="12"/>
        <v>0.72778346428571439</v>
      </c>
      <c r="I54" s="535"/>
      <c r="J54" s="606">
        <f t="shared" si="6"/>
        <v>55998.566999999981</v>
      </c>
      <c r="K54" s="617">
        <f t="shared" si="7"/>
        <v>0.23391214285714279</v>
      </c>
      <c r="L54" s="526">
        <f>ProHeader!AN54</f>
        <v>2</v>
      </c>
      <c r="M54" s="525" t="str">
        <f>TEXT(  ProHeader!AJ54,"dd-mm-yy")</f>
        <v>-</v>
      </c>
      <c r="N54" s="525">
        <f>IFERROR(ProHeader!AK54 + ProHeader!AL54,"-")</f>
        <v>94500</v>
      </c>
      <c r="O54" s="525">
        <f>IFERROR(ProHeader!AM54,"0")</f>
        <v>94500</v>
      </c>
      <c r="P54" s="525">
        <f t="shared" si="8"/>
        <v>0</v>
      </c>
      <c r="Q54" s="619" t="str">
        <f>IF( SUMIFS(srpro!$H$10:$H$3010,srpro!$J$10:$J$3010,$R$6,srpro!$B$10:$B$3010,'ProjectsX (2)'!A54,srpro!$K$10:$K$3010,$A$6)&gt;0,SUMIFS(srpro!$H$10:$H$3010,srpro!$J$10:$J$3010,$R$6,srpro!$B$10:$B$3010,'ProjectsX (2)'!A54,srpro!$K$10:$K$3010,$A$6),"")</f>
        <v/>
      </c>
      <c r="R54" s="449">
        <f>IF( SUMIFS(srpro!$E$10:$E$3010,srpro!$J$10:$J$3010,$R$6,srpro!$B$10:$B$3010,'ProjectsX (2)'!A54,srpro!$K$10:$K$3010,$A$6)&gt;0,SUMIFS(srpro!$E$10:$E$3010,srpro!$J$10:$J$3010,$R$6,srpro!$B$10:$B$3010,'ProjectsX (2)'!A54,srpro!$K$10:$K$3010,$A$6),"")</f>
        <v>3787</v>
      </c>
      <c r="S54" s="450"/>
      <c r="T54" s="619" t="str">
        <f>IF( SUMIFS(srpro!$H$10:$H$3010,srpro!$J$10:$J$3010,$U$6,srpro!$B$10:$B$3010,'ProjectsX (2)'!A54,srpro!$K$10:$K$3010,$A$6)&gt;0,SUMIFS(srpro!$H$10:$H$3010,srpro!$J$10:$J$3010,$U$6,srpro!$B$10:$B$3010,'ProjectsX (2)'!A54,srpro!$K$10:$K$3010,$A$6),"")</f>
        <v/>
      </c>
      <c r="U54" s="449">
        <f>IF( SUMIFS(srpro!$E$10:$E$3010,srpro!$J$10:$J$3010,$U$6,srpro!$B$10:$B$3010,'ProjectsX (2)'!A54,srpro!$K$10:$K$3010,$A$6)&gt;0,SUMIFS(srpro!$E$10:$E$3010,srpro!$J$10:$J$3010,$U$6,srpro!$B$10:$B$3010,'ProjectsX (2)'!A54,srpro!$K$10:$K$3010,$A$6),"")</f>
        <v>307.11</v>
      </c>
      <c r="V54" s="450"/>
      <c r="W54" s="619" t="str">
        <f>IF( SUMIFS(srpro!$H$10:$H$3010,srpro!$J$10:$J$3010,$X$6,srpro!$B$10:$B$3010,'ProjectsX (2)'!A54,srpro!$K$10:$K$3010,$A$6)&gt;0,SUMIFS(srpro!$H$10:$H$3010,srpro!$J$10:$J$3010,$X$6,srpro!$B$10:$B$3010,'ProjectsX (2)'!A54,srpro!$K$10:$K$3010,$A$6),"")</f>
        <v/>
      </c>
      <c r="X54" s="449">
        <f>IF( SUMIFS(srpro!$E$10:$E$3010,srpro!$J$10:$J$3010,$X$6,srpro!$B$10:$B$3010,'ProjectsX (2)'!A54,srpro!$K$10:$K$3010,$A$6)&gt;0,SUMIFS(srpro!$E$10:$E$3010,srpro!$J$10:$J$3010,$X$6,srpro!$B$10:$B$3010,'ProjectsX (2)'!A54,srpro!$K$10:$K$3010,$A$6),"")</f>
        <v>166.8</v>
      </c>
      <c r="Y54" s="450"/>
      <c r="Z54" s="619" t="str">
        <f>IF( SUMIFS(srpro!$H$10:$H$3010,srpro!$J$10:$J$3010,$AA$6,srpro!$B$10:$B$3010,'ProjectsX (2)'!A54,srpro!$K$10:$K$3010,$A$6)&gt;0,SUMIFS(srpro!$H$10:$H$3010,srpro!$J$10:$J$3010,$AA$6,srpro!$B$10:$B$3010,'ProjectsX (2)'!A54,srpro!$K$10:$K$3010,$A$6),"")</f>
        <v/>
      </c>
      <c r="AA54" s="449">
        <f>IF( SUMIFS(srpro!$E$10:$E$3010,srpro!$J$10:$J$3010,$AA$6,srpro!$B$10:$B$3010,'ProjectsX (2)'!A54,srpro!$K$10:$K$3010,$A$6)&gt;0,SUMIFS(srpro!$E$10:$E$3010,srpro!$J$10:$J$3010,$AA$6,srpro!$B$10:$B$3010,'ProjectsX (2)'!A54,srpro!$K$10:$K$3010,$A$6),"")</f>
        <v>7944.83</v>
      </c>
      <c r="AB54" s="450"/>
      <c r="AC54" s="619">
        <f>IF( SUMIFS(srpro!$H$10:$H$3010,srpro!$J$10:$J$3010,$AD$6,srpro!$B$10:$B$3010,'ProjectsX (2)'!A54,srpro!$K$10:$K$3010,$A$6)&gt;0,SUMIFS(srpro!$H$10:$H$3010,srpro!$J$10:$J$3010,$AD$6,srpro!$B$10:$B$3010,'ProjectsX (2)'!A54,srpro!$K$10:$K$3010,$A$6),"")</f>
        <v>86184</v>
      </c>
      <c r="AD54" s="449">
        <f>IF( SUMIFS(srpro!$E$10:$E$3010,srpro!$J$10:$J$3010,$AD$6,srpro!$B$10:$B$3010,'ProjectsX (2)'!A54,srpro!$K$10:$K$3010,$A$6)&gt;0,SUMIFS(srpro!$E$10:$E$3010,srpro!$J$10:$J$3010,$AD$6,srpro!$B$10:$B$3010,'ProjectsX (2)'!A54,srpro!$K$10:$K$3010,$A$6),"")</f>
        <v>89167.19</v>
      </c>
      <c r="AE54" s="450"/>
      <c r="AF54" s="454" t="str">
        <f>IF( SUMIFS(srpro!$H$10:$H$3010,srpro!$J$10:$J$3010,$AG$6,srpro!$B$10:$B$3010,'ProjectsX (2)'!A54,srpro!$K$10:$K$3010,$A$6)&gt;0,SUMIFS(srpro!$H$10:$H$3010,srpro!$J$10:$J$3010,$AG$6,srpro!$B$10:$B$3010,'ProjectsX (2)'!A54,srpro!$K$10:$K$3010,$A$6),"")</f>
        <v/>
      </c>
      <c r="AG54" s="449" t="str">
        <f>IF( SUMIFS(srpro!$E$10:$E$3010,srpro!$J$10:$J$3010,$AG$6,srpro!$B$10:$B$3010,'ProjectsX (2)'!A54,srpro!$K$10:$K$3010,$A$6)&gt;0,SUMIFS(srpro!$E$10:$E$3010,srpro!$J$10:$J$3010,$AG$6,srpro!$B$10:$B$3010,'ProjectsX (2)'!A54,srpro!$K$10:$K$3010,$A$6),"")</f>
        <v/>
      </c>
      <c r="AH54" s="450"/>
      <c r="AI54" s="451"/>
      <c r="AJ54" s="451"/>
      <c r="AK54" s="450"/>
      <c r="AL54" s="615">
        <f t="shared" si="9"/>
        <v>187556.93</v>
      </c>
      <c r="AM54" s="425"/>
      <c r="AN54" s="425"/>
      <c r="AO54" s="425"/>
      <c r="AP54" s="425"/>
      <c r="AQ54" s="425"/>
      <c r="AR54" s="425"/>
      <c r="AS54" s="425"/>
      <c r="AT54" s="425"/>
      <c r="AU54" s="425"/>
      <c r="AV54" s="425"/>
      <c r="AW54" s="425"/>
      <c r="AX54" s="425"/>
      <c r="AY54" s="425"/>
      <c r="AZ54" s="425"/>
      <c r="BA54" s="425"/>
      <c r="BB54" s="425"/>
      <c r="BC54" s="425"/>
      <c r="BD54" s="425"/>
      <c r="BE54" s="425"/>
    </row>
    <row r="55" spans="1:57" ht="19.5" customHeight="1">
      <c r="A55" s="616">
        <v>250</v>
      </c>
      <c r="B55" s="618" t="s">
        <v>295</v>
      </c>
      <c r="C55" s="458">
        <f>(ProHeader!L55+ProHeader!M55)+((ProHeader!L55+ProHeader!M55)*5%)</f>
        <v>97650</v>
      </c>
      <c r="D55" s="458">
        <f t="shared" si="10"/>
        <v>0.94999999999708962</v>
      </c>
      <c r="E55" s="459">
        <f>SUMIFS(srpro!$H$10:$H$3010,srpro!$B$10:$B$3010,'ProjectsX (2)'!A55)</f>
        <v>97649.05</v>
      </c>
      <c r="F55" s="460">
        <f>SUMIFS(srpro!$E$10:$E$3010,srpro!$B$10:$B$3010,'ProjectsX (2)'!A55)</f>
        <v>66666.66</v>
      </c>
      <c r="G55" s="478">
        <f t="shared" si="11"/>
        <v>0.99999027137736818</v>
      </c>
      <c r="H55" s="479">
        <f t="shared" si="12"/>
        <v>0.64857477726574508</v>
      </c>
      <c r="I55" s="535"/>
      <c r="J55" s="606">
        <f t="shared" si="6"/>
        <v>29434.172999999995</v>
      </c>
      <c r="K55" s="617">
        <f t="shared" si="7"/>
        <v>0.31728970814132101</v>
      </c>
      <c r="L55" s="526">
        <f>ProHeader!AN55</f>
        <v>2</v>
      </c>
      <c r="M55" s="525" t="str">
        <f>TEXT(  ProHeader!AJ55,"dd-mm-yy")</f>
        <v>-</v>
      </c>
      <c r="N55" s="525">
        <f>IFERROR(ProHeader!AK55 + ProHeader!AL55,"-")</f>
        <v>42131.25</v>
      </c>
      <c r="O55" s="525">
        <f>IFERROR(ProHeader!AM55,"0")</f>
        <v>42131.25</v>
      </c>
      <c r="P55" s="525">
        <f t="shared" si="8"/>
        <v>0</v>
      </c>
      <c r="Q55" s="619" t="str">
        <f>IF( SUMIFS(srpro!$H$10:$H$3010,srpro!$J$10:$J$3010,$R$6,srpro!$B$10:$B$3010,'ProjectsX (2)'!A55,srpro!$K$10:$K$3010,$A$6)&gt;0,SUMIFS(srpro!$H$10:$H$3010,srpro!$J$10:$J$3010,$R$6,srpro!$B$10:$B$3010,'ProjectsX (2)'!A55,srpro!$K$10:$K$3010,$A$6),"")</f>
        <v/>
      </c>
      <c r="R55" s="449">
        <f>IF( SUMIFS(srpro!$E$10:$E$3010,srpro!$J$10:$J$3010,$R$6,srpro!$B$10:$B$3010,'ProjectsX (2)'!A55,srpro!$K$10:$K$3010,$A$6)&gt;0,SUMIFS(srpro!$E$10:$E$3010,srpro!$J$10:$J$3010,$R$6,srpro!$B$10:$B$3010,'ProjectsX (2)'!A55,srpro!$K$10:$K$3010,$A$6),"")</f>
        <v>3491</v>
      </c>
      <c r="S55" s="450"/>
      <c r="T55" s="619">
        <f>IF( SUMIFS(srpro!$H$10:$H$3010,srpro!$J$10:$J$3010,$U$6,srpro!$B$10:$B$3010,'ProjectsX (2)'!A55,srpro!$K$10:$K$3010,$A$6)&gt;0,SUMIFS(srpro!$H$10:$H$3010,srpro!$J$10:$J$3010,$U$6,srpro!$B$10:$B$3010,'ProjectsX (2)'!A55,srpro!$K$10:$K$3010,$A$6),"")</f>
        <v>7537</v>
      </c>
      <c r="U55" s="449">
        <f>IF( SUMIFS(srpro!$E$10:$E$3010,srpro!$J$10:$J$3010,$U$6,srpro!$B$10:$B$3010,'ProjectsX (2)'!A55,srpro!$K$10:$K$3010,$A$6)&gt;0,SUMIFS(srpro!$E$10:$E$3010,srpro!$J$10:$J$3010,$U$6,srpro!$B$10:$B$3010,'ProjectsX (2)'!A55,srpro!$K$10:$K$3010,$A$6),"")</f>
        <v>693.75</v>
      </c>
      <c r="V55" s="450"/>
      <c r="W55" s="619">
        <f>IF( SUMIFS(srpro!$H$10:$H$3010,srpro!$J$10:$J$3010,$X$6,srpro!$B$10:$B$3010,'ProjectsX (2)'!A55,srpro!$K$10:$K$3010,$A$6)&gt;0,SUMIFS(srpro!$H$10:$H$3010,srpro!$J$10:$J$3010,$X$6,srpro!$B$10:$B$3010,'ProjectsX (2)'!A55,srpro!$K$10:$K$3010,$A$6),"")</f>
        <v>4462.5</v>
      </c>
      <c r="X55" s="449">
        <f>IF( SUMIFS(srpro!$E$10:$E$3010,srpro!$J$10:$J$3010,$X$6,srpro!$B$10:$B$3010,'ProjectsX (2)'!A55,srpro!$K$10:$K$3010,$A$6)&gt;0,SUMIFS(srpro!$E$10:$E$3010,srpro!$J$10:$J$3010,$X$6,srpro!$B$10:$B$3010,'ProjectsX (2)'!A55,srpro!$K$10:$K$3010,$A$6),"")</f>
        <v>11415.6</v>
      </c>
      <c r="Y55" s="450"/>
      <c r="Z55" s="619" t="str">
        <f>IF( SUMIFS(srpro!$H$10:$H$3010,srpro!$J$10:$J$3010,$AA$6,srpro!$B$10:$B$3010,'ProjectsX (2)'!A55,srpro!$K$10:$K$3010,$A$6)&gt;0,SUMIFS(srpro!$H$10:$H$3010,srpro!$J$10:$J$3010,$AA$6,srpro!$B$10:$B$3010,'ProjectsX (2)'!A55,srpro!$K$10:$K$3010,$A$6),"")</f>
        <v/>
      </c>
      <c r="AA55" s="449" t="str">
        <f>IF( SUMIFS(srpro!$E$10:$E$3010,srpro!$J$10:$J$3010,$AA$6,srpro!$B$10:$B$3010,'ProjectsX (2)'!A55,srpro!$K$10:$K$3010,$A$6)&gt;0,SUMIFS(srpro!$E$10:$E$3010,srpro!$J$10:$J$3010,$AA$6,srpro!$B$10:$B$3010,'ProjectsX (2)'!A55,srpro!$K$10:$K$3010,$A$6),"")</f>
        <v/>
      </c>
      <c r="AB55" s="450"/>
      <c r="AC55" s="619" t="str">
        <f>IF( SUMIFS(srpro!$H$10:$H$3010,srpro!$J$10:$J$3010,$AD$6,srpro!$B$10:$B$3010,'ProjectsX (2)'!A55,srpro!$K$10:$K$3010,$A$6)&gt;0,SUMIFS(srpro!$H$10:$H$3010,srpro!$J$10:$J$3010,$AD$6,srpro!$B$10:$B$3010,'ProjectsX (2)'!A55,srpro!$K$10:$K$3010,$A$6),"")</f>
        <v/>
      </c>
      <c r="AD55" s="449" t="str">
        <f>IF( SUMIFS(srpro!$E$10:$E$3010,srpro!$J$10:$J$3010,$AD$6,srpro!$B$10:$B$3010,'ProjectsX (2)'!A55,srpro!$K$10:$K$3010,$A$6)&gt;0,SUMIFS(srpro!$E$10:$E$3010,srpro!$J$10:$J$3010,$AD$6,srpro!$B$10:$B$3010,'ProjectsX (2)'!A55,srpro!$K$10:$K$3010,$A$6),"")</f>
        <v/>
      </c>
      <c r="AE55" s="450"/>
      <c r="AF55" s="454" t="str">
        <f>IF( SUMIFS(srpro!$H$10:$H$3010,srpro!$J$10:$J$3010,$AG$6,srpro!$B$10:$B$3010,'ProjectsX (2)'!A55,srpro!$K$10:$K$3010,$A$6)&gt;0,SUMIFS(srpro!$H$10:$H$3010,srpro!$J$10:$J$3010,$AG$6,srpro!$B$10:$B$3010,'ProjectsX (2)'!A55,srpro!$K$10:$K$3010,$A$6),"")</f>
        <v/>
      </c>
      <c r="AG55" s="449" t="str">
        <f>IF( SUMIFS(srpro!$E$10:$E$3010,srpro!$J$10:$J$3010,$AG$6,srpro!$B$10:$B$3010,'ProjectsX (2)'!A55,srpro!$K$10:$K$3010,$A$6)&gt;0,SUMIFS(srpro!$E$10:$E$3010,srpro!$J$10:$J$3010,$AG$6,srpro!$B$10:$B$3010,'ProjectsX (2)'!A55,srpro!$K$10:$K$3010,$A$6),"")</f>
        <v/>
      </c>
      <c r="AH55" s="450"/>
      <c r="AI55" s="451"/>
      <c r="AJ55" s="451"/>
      <c r="AK55" s="450"/>
      <c r="AL55" s="615">
        <f t="shared" si="9"/>
        <v>27599.85</v>
      </c>
      <c r="AM55" s="425"/>
      <c r="AN55" s="425"/>
      <c r="AO55" s="425"/>
      <c r="AP55" s="425"/>
      <c r="AQ55" s="425"/>
      <c r="AR55" s="425"/>
      <c r="AS55" s="425"/>
      <c r="AT55" s="425"/>
      <c r="AU55" s="425"/>
      <c r="AV55" s="425"/>
      <c r="AW55" s="425"/>
      <c r="AX55" s="425"/>
      <c r="AY55" s="425"/>
      <c r="AZ55" s="425"/>
      <c r="BA55" s="425"/>
      <c r="BB55" s="425"/>
      <c r="BC55" s="425"/>
      <c r="BD55" s="425"/>
      <c r="BE55" s="425"/>
    </row>
    <row r="56" spans="1:57" ht="19.5" customHeight="1">
      <c r="A56" s="616">
        <v>251</v>
      </c>
      <c r="B56" s="618" t="s">
        <v>304</v>
      </c>
      <c r="C56" s="458">
        <f>(ProHeader!L56+ProHeader!M56)+((ProHeader!L56+ProHeader!M56)*5%)</f>
        <v>178500</v>
      </c>
      <c r="D56" s="458">
        <f t="shared" si="10"/>
        <v>89250</v>
      </c>
      <c r="E56" s="459">
        <f>SUMIFS(srpro!$H$10:$H$3010,srpro!$B$10:$B$3010,'ProjectsX (2)'!A56)</f>
        <v>89250</v>
      </c>
      <c r="F56" s="460">
        <f>SUMIFS(srpro!$E$10:$E$3010,srpro!$B$10:$B$3010,'ProjectsX (2)'!A56)</f>
        <v>57848.76</v>
      </c>
      <c r="G56" s="478">
        <f t="shared" si="11"/>
        <v>0.5</v>
      </c>
      <c r="H56" s="479">
        <f t="shared" si="12"/>
        <v>0.30787855462184877</v>
      </c>
      <c r="I56" s="535"/>
      <c r="J56" s="606">
        <f t="shared" si="6"/>
        <v>114618.678</v>
      </c>
      <c r="K56" s="617">
        <f t="shared" si="7"/>
        <v>0.6759173109243698</v>
      </c>
      <c r="L56" s="526">
        <f>ProHeader!AN56</f>
        <v>2</v>
      </c>
      <c r="M56" s="525" t="str">
        <f>TEXT(  ProHeader!AJ56,"dd-mm-yy")</f>
        <v>-</v>
      </c>
      <c r="N56" s="525">
        <f>IFERROR(ProHeader!AK56 + ProHeader!AL56,"-")</f>
        <v>53550</v>
      </c>
      <c r="O56" s="525">
        <f>IFERROR(ProHeader!AM56,"0")</f>
        <v>53550</v>
      </c>
      <c r="P56" s="525">
        <f t="shared" si="8"/>
        <v>0</v>
      </c>
      <c r="Q56" s="619" t="str">
        <f>IF( SUMIFS(srpro!$H$10:$H$3010,srpro!$J$10:$J$3010,$R$6,srpro!$B$10:$B$3010,'ProjectsX (2)'!A56,srpro!$K$10:$K$3010,$A$6)&gt;0,SUMIFS(srpro!$H$10:$H$3010,srpro!$J$10:$J$3010,$R$6,srpro!$B$10:$B$3010,'ProjectsX (2)'!A56,srpro!$K$10:$K$3010,$A$6),"")</f>
        <v/>
      </c>
      <c r="R56" s="449">
        <f>IF( SUMIFS(srpro!$E$10:$E$3010,srpro!$J$10:$J$3010,$R$6,srpro!$B$10:$B$3010,'ProjectsX (2)'!A56,srpro!$K$10:$K$3010,$A$6)&gt;0,SUMIFS(srpro!$E$10:$E$3010,srpro!$J$10:$J$3010,$R$6,srpro!$B$10:$B$3010,'ProjectsX (2)'!A56,srpro!$K$10:$K$3010,$A$6),"")</f>
        <v>34294</v>
      </c>
      <c r="S56" s="450"/>
      <c r="T56" s="619" t="str">
        <f>IF( SUMIFS(srpro!$H$10:$H$3010,srpro!$J$10:$J$3010,$U$6,srpro!$B$10:$B$3010,'ProjectsX (2)'!A56,srpro!$K$10:$K$3010,$A$6)&gt;0,SUMIFS(srpro!$H$10:$H$3010,srpro!$J$10:$J$3010,$U$6,srpro!$B$10:$B$3010,'ProjectsX (2)'!A56,srpro!$K$10:$K$3010,$A$6),"")</f>
        <v/>
      </c>
      <c r="U56" s="449">
        <f>IF( SUMIFS(srpro!$E$10:$E$3010,srpro!$J$10:$J$3010,$U$6,srpro!$B$10:$B$3010,'ProjectsX (2)'!A56,srpro!$K$10:$K$3010,$A$6)&gt;0,SUMIFS(srpro!$E$10:$E$3010,srpro!$J$10:$J$3010,$U$6,srpro!$B$10:$B$3010,'ProjectsX (2)'!A56,srpro!$K$10:$K$3010,$A$6),"")</f>
        <v>891.75</v>
      </c>
      <c r="V56" s="450"/>
      <c r="W56" s="619" t="str">
        <f>IF( SUMIFS(srpro!$H$10:$H$3010,srpro!$J$10:$J$3010,$X$6,srpro!$B$10:$B$3010,'ProjectsX (2)'!A56,srpro!$K$10:$K$3010,$A$6)&gt;0,SUMIFS(srpro!$H$10:$H$3010,srpro!$J$10:$J$3010,$X$6,srpro!$B$10:$B$3010,'ProjectsX (2)'!A56,srpro!$K$10:$K$3010,$A$6),"")</f>
        <v/>
      </c>
      <c r="X56" s="449" t="str">
        <f>IF( SUMIFS(srpro!$E$10:$E$3010,srpro!$J$10:$J$3010,$X$6,srpro!$B$10:$B$3010,'ProjectsX (2)'!A56,srpro!$K$10:$K$3010,$A$6)&gt;0,SUMIFS(srpro!$E$10:$E$3010,srpro!$J$10:$J$3010,$X$6,srpro!$B$10:$B$3010,'ProjectsX (2)'!A56,srpro!$K$10:$K$3010,$A$6),"")</f>
        <v/>
      </c>
      <c r="Y56" s="450"/>
      <c r="Z56" s="619" t="str">
        <f>IF( SUMIFS(srpro!$H$10:$H$3010,srpro!$J$10:$J$3010,$AA$6,srpro!$B$10:$B$3010,'ProjectsX (2)'!A56,srpro!$K$10:$K$3010,$A$6)&gt;0,SUMIFS(srpro!$H$10:$H$3010,srpro!$J$10:$J$3010,$AA$6,srpro!$B$10:$B$3010,'ProjectsX (2)'!A56,srpro!$K$10:$K$3010,$A$6),"")</f>
        <v/>
      </c>
      <c r="AA56" s="449" t="str">
        <f>IF( SUMIFS(srpro!$E$10:$E$3010,srpro!$J$10:$J$3010,$AA$6,srpro!$B$10:$B$3010,'ProjectsX (2)'!A56,srpro!$K$10:$K$3010,$A$6)&gt;0,SUMIFS(srpro!$E$10:$E$3010,srpro!$J$10:$J$3010,$AA$6,srpro!$B$10:$B$3010,'ProjectsX (2)'!A56,srpro!$K$10:$K$3010,$A$6),"")</f>
        <v/>
      </c>
      <c r="AB56" s="450"/>
      <c r="AC56" s="619" t="str">
        <f>IF( SUMIFS(srpro!$H$10:$H$3010,srpro!$J$10:$J$3010,$AD$6,srpro!$B$10:$B$3010,'ProjectsX (2)'!A56,srpro!$K$10:$K$3010,$A$6)&gt;0,SUMIFS(srpro!$H$10:$H$3010,srpro!$J$10:$J$3010,$AD$6,srpro!$B$10:$B$3010,'ProjectsX (2)'!A56,srpro!$K$10:$K$3010,$A$6),"")</f>
        <v/>
      </c>
      <c r="AD56" s="449" t="str">
        <f>IF( SUMIFS(srpro!$E$10:$E$3010,srpro!$J$10:$J$3010,$AD$6,srpro!$B$10:$B$3010,'ProjectsX (2)'!A56,srpro!$K$10:$K$3010,$A$6)&gt;0,SUMIFS(srpro!$E$10:$E$3010,srpro!$J$10:$J$3010,$AD$6,srpro!$B$10:$B$3010,'ProjectsX (2)'!A56,srpro!$K$10:$K$3010,$A$6),"")</f>
        <v/>
      </c>
      <c r="AE56" s="450"/>
      <c r="AF56" s="454" t="str">
        <f>IF( SUMIFS(srpro!$H$10:$H$3010,srpro!$J$10:$J$3010,$AG$6,srpro!$B$10:$B$3010,'ProjectsX (2)'!A56,srpro!$K$10:$K$3010,$A$6)&gt;0,SUMIFS(srpro!$H$10:$H$3010,srpro!$J$10:$J$3010,$AG$6,srpro!$B$10:$B$3010,'ProjectsX (2)'!A56,srpro!$K$10:$K$3010,$A$6),"")</f>
        <v/>
      </c>
      <c r="AG56" s="449" t="str">
        <f>IF( SUMIFS(srpro!$E$10:$E$3010,srpro!$J$10:$J$3010,$AG$6,srpro!$B$10:$B$3010,'ProjectsX (2)'!A56,srpro!$K$10:$K$3010,$A$6)&gt;0,SUMIFS(srpro!$E$10:$E$3010,srpro!$J$10:$J$3010,$AG$6,srpro!$B$10:$B$3010,'ProjectsX (2)'!A56,srpro!$K$10:$K$3010,$A$6),"")</f>
        <v/>
      </c>
      <c r="AH56" s="450"/>
      <c r="AI56" s="451"/>
      <c r="AJ56" s="451"/>
      <c r="AK56" s="450"/>
      <c r="AL56" s="615">
        <f t="shared" si="9"/>
        <v>35185.75</v>
      </c>
      <c r="AM56" s="425"/>
      <c r="AN56" s="425"/>
      <c r="AO56" s="425"/>
      <c r="AP56" s="425"/>
      <c r="AQ56" s="425"/>
      <c r="AR56" s="425"/>
      <c r="AS56" s="425"/>
      <c r="AT56" s="425"/>
      <c r="AU56" s="425"/>
      <c r="AV56" s="425"/>
      <c r="AW56" s="425"/>
      <c r="AX56" s="425"/>
      <c r="AY56" s="425"/>
      <c r="AZ56" s="425"/>
      <c r="BA56" s="425"/>
      <c r="BB56" s="425"/>
      <c r="BC56" s="425"/>
      <c r="BD56" s="425"/>
      <c r="BE56" s="425"/>
    </row>
    <row r="57" spans="1:57" ht="19.5" customHeight="1">
      <c r="A57" s="616">
        <v>252</v>
      </c>
      <c r="B57" s="618" t="s">
        <v>287</v>
      </c>
      <c r="C57" s="458">
        <f>(ProHeader!L57+ProHeader!M57)+((ProHeader!L57+ProHeader!M57)*5%)</f>
        <v>229425</v>
      </c>
      <c r="D57" s="458">
        <f t="shared" si="10"/>
        <v>22574.994999999995</v>
      </c>
      <c r="E57" s="459">
        <f>SUMIFS(srpro!$H$10:$H$3010,srpro!$B$10:$B$3010,'ProjectsX (2)'!A57)</f>
        <v>206850.005</v>
      </c>
      <c r="F57" s="460">
        <f>SUMIFS(srpro!$E$10:$E$3010,srpro!$B$10:$B$3010,'ProjectsX (2)'!A57)</f>
        <v>154116.9325</v>
      </c>
      <c r="G57" s="478">
        <f t="shared" si="11"/>
        <v>0.90160185245723001</v>
      </c>
      <c r="H57" s="479">
        <f t="shared" si="12"/>
        <v>0.63816535196687363</v>
      </c>
      <c r="I57" s="535"/>
      <c r="J57" s="606">
        <f t="shared" si="6"/>
        <v>71542.66412500001</v>
      </c>
      <c r="K57" s="617">
        <f t="shared" si="7"/>
        <v>0.32824699792960665</v>
      </c>
      <c r="L57" s="526">
        <f>ProHeader!AN57</f>
        <v>4</v>
      </c>
      <c r="M57" s="525" t="str">
        <f>TEXT(  ProHeader!AJ57,"dd-mm-yy")</f>
        <v>-</v>
      </c>
      <c r="N57" s="525">
        <f>IFERROR(ProHeader!AK57 + ProHeader!AL57,"-")</f>
        <v>22575</v>
      </c>
      <c r="O57" s="525">
        <f>IFERROR(ProHeader!AM57,"0")</f>
        <v>22575</v>
      </c>
      <c r="P57" s="525">
        <f t="shared" si="8"/>
        <v>0</v>
      </c>
      <c r="Q57" s="619" t="str">
        <f>IF( SUMIFS(srpro!$H$10:$H$3010,srpro!$J$10:$J$3010,$R$6,srpro!$B$10:$B$3010,'ProjectsX (2)'!A57,srpro!$K$10:$K$3010,$A$6)&gt;0,SUMIFS(srpro!$H$10:$H$3010,srpro!$J$10:$J$3010,$R$6,srpro!$B$10:$B$3010,'ProjectsX (2)'!A57,srpro!$K$10:$K$3010,$A$6),"")</f>
        <v/>
      </c>
      <c r="R57" s="449">
        <f>IF( SUMIFS(srpro!$E$10:$E$3010,srpro!$J$10:$J$3010,$R$6,srpro!$B$10:$B$3010,'ProjectsX (2)'!A57,srpro!$K$10:$K$3010,$A$6)&gt;0,SUMIFS(srpro!$E$10:$E$3010,srpro!$J$10:$J$3010,$R$6,srpro!$B$10:$B$3010,'ProjectsX (2)'!A57,srpro!$K$10:$K$3010,$A$6),"")</f>
        <v>1159</v>
      </c>
      <c r="S57" s="450"/>
      <c r="T57" s="619">
        <f>IF( SUMIFS(srpro!$H$10:$H$3010,srpro!$J$10:$J$3010,$U$6,srpro!$B$10:$B$3010,'ProjectsX (2)'!A57,srpro!$K$10:$K$3010,$A$6)&gt;0,SUMIFS(srpro!$H$10:$H$3010,srpro!$J$10:$J$3010,$U$6,srpro!$B$10:$B$3010,'ProjectsX (2)'!A57,srpro!$K$10:$K$3010,$A$6),"")</f>
        <v>83640.375</v>
      </c>
      <c r="U57" s="449">
        <f>IF( SUMIFS(srpro!$E$10:$E$3010,srpro!$J$10:$J$3010,$U$6,srpro!$B$10:$B$3010,'ProjectsX (2)'!A57,srpro!$K$10:$K$3010,$A$6)&gt;0,SUMIFS(srpro!$E$10:$E$3010,srpro!$J$10:$J$3010,$U$6,srpro!$B$10:$B$3010,'ProjectsX (2)'!A57,srpro!$K$10:$K$3010,$A$6),"")</f>
        <v>44636.612500000003</v>
      </c>
      <c r="V57" s="450"/>
      <c r="W57" s="619" t="str">
        <f>IF( SUMIFS(srpro!$H$10:$H$3010,srpro!$J$10:$J$3010,$X$6,srpro!$B$10:$B$3010,'ProjectsX (2)'!A57,srpro!$K$10:$K$3010,$A$6)&gt;0,SUMIFS(srpro!$H$10:$H$3010,srpro!$J$10:$J$3010,$X$6,srpro!$B$10:$B$3010,'ProjectsX (2)'!A57,srpro!$K$10:$K$3010,$A$6),"")</f>
        <v/>
      </c>
      <c r="X57" s="449">
        <f>IF( SUMIFS(srpro!$E$10:$E$3010,srpro!$J$10:$J$3010,$X$6,srpro!$B$10:$B$3010,'ProjectsX (2)'!A57,srpro!$K$10:$K$3010,$A$6)&gt;0,SUMIFS(srpro!$E$10:$E$3010,srpro!$J$10:$J$3010,$X$6,srpro!$B$10:$B$3010,'ProjectsX (2)'!A57,srpro!$K$10:$K$3010,$A$6),"")</f>
        <v>36435.019999999997</v>
      </c>
      <c r="Y57" s="450"/>
      <c r="Z57" s="619" t="str">
        <f>IF( SUMIFS(srpro!$H$10:$H$3010,srpro!$J$10:$J$3010,$AA$6,srpro!$B$10:$B$3010,'ProjectsX (2)'!A57,srpro!$K$10:$K$3010,$A$6)&gt;0,SUMIFS(srpro!$H$10:$H$3010,srpro!$J$10:$J$3010,$AA$6,srpro!$B$10:$B$3010,'ProjectsX (2)'!A57,srpro!$K$10:$K$3010,$A$6),"")</f>
        <v/>
      </c>
      <c r="AA57" s="449">
        <f>IF( SUMIFS(srpro!$E$10:$E$3010,srpro!$J$10:$J$3010,$AA$6,srpro!$B$10:$B$3010,'ProjectsX (2)'!A57,srpro!$K$10:$K$3010,$A$6)&gt;0,SUMIFS(srpro!$E$10:$E$3010,srpro!$J$10:$J$3010,$AA$6,srpro!$B$10:$B$3010,'ProjectsX (2)'!A57,srpro!$K$10:$K$3010,$A$6),"")</f>
        <v>780.88</v>
      </c>
      <c r="AB57" s="450"/>
      <c r="AC57" s="619">
        <f>IF( SUMIFS(srpro!$H$10:$H$3010,srpro!$J$10:$J$3010,$AD$6,srpro!$B$10:$B$3010,'ProjectsX (2)'!A57,srpro!$K$10:$K$3010,$A$6)&gt;0,SUMIFS(srpro!$H$10:$H$3010,srpro!$J$10:$J$3010,$AD$6,srpro!$B$10:$B$3010,'ProjectsX (2)'!A57,srpro!$K$10:$K$3010,$A$6),"")</f>
        <v>13833.75</v>
      </c>
      <c r="AD57" s="449">
        <f>IF( SUMIFS(srpro!$E$10:$E$3010,srpro!$J$10:$J$3010,$AD$6,srpro!$B$10:$B$3010,'ProjectsX (2)'!A57,srpro!$K$10:$K$3010,$A$6)&gt;0,SUMIFS(srpro!$E$10:$E$3010,srpro!$J$10:$J$3010,$AD$6,srpro!$B$10:$B$3010,'ProjectsX (2)'!A57,srpro!$K$10:$K$3010,$A$6),"")</f>
        <v>132.30000000000001</v>
      </c>
      <c r="AE57" s="450"/>
      <c r="AF57" s="454" t="str">
        <f>IF( SUMIFS(srpro!$H$10:$H$3010,srpro!$J$10:$J$3010,$AG$6,srpro!$B$10:$B$3010,'ProjectsX (2)'!A57,srpro!$K$10:$K$3010,$A$6)&gt;0,SUMIFS(srpro!$H$10:$H$3010,srpro!$J$10:$J$3010,$AG$6,srpro!$B$10:$B$3010,'ProjectsX (2)'!A57,srpro!$K$10:$K$3010,$A$6),"")</f>
        <v/>
      </c>
      <c r="AG57" s="449" t="str">
        <f>IF( SUMIFS(srpro!$E$10:$E$3010,srpro!$J$10:$J$3010,$AG$6,srpro!$B$10:$B$3010,'ProjectsX (2)'!A57,srpro!$K$10:$K$3010,$A$6)&gt;0,SUMIFS(srpro!$E$10:$E$3010,srpro!$J$10:$J$3010,$AG$6,srpro!$B$10:$B$3010,'ProjectsX (2)'!A57,srpro!$K$10:$K$3010,$A$6),"")</f>
        <v/>
      </c>
      <c r="AH57" s="450"/>
      <c r="AI57" s="451"/>
      <c r="AJ57" s="451"/>
      <c r="AK57" s="450"/>
      <c r="AL57" s="615">
        <f t="shared" si="9"/>
        <v>180617.9375</v>
      </c>
      <c r="AM57" s="425"/>
      <c r="AN57" s="425"/>
      <c r="AO57" s="425"/>
      <c r="AP57" s="425"/>
      <c r="AQ57" s="425"/>
      <c r="AR57" s="425"/>
      <c r="AS57" s="425"/>
      <c r="AT57" s="425"/>
      <c r="AU57" s="425"/>
      <c r="AV57" s="425"/>
      <c r="AW57" s="425"/>
      <c r="AX57" s="425"/>
      <c r="AY57" s="425"/>
      <c r="AZ57" s="425"/>
      <c r="BA57" s="425"/>
      <c r="BB57" s="425"/>
      <c r="BC57" s="425"/>
      <c r="BD57" s="425"/>
      <c r="BE57" s="425"/>
    </row>
    <row r="58" spans="1:57" ht="19.5" customHeight="1">
      <c r="A58" s="616">
        <v>253</v>
      </c>
      <c r="B58" s="618" t="s">
        <v>309</v>
      </c>
      <c r="C58" s="458">
        <f>(ProHeader!L58+ProHeader!M58)+((ProHeader!L58+ProHeader!M58)*5%)</f>
        <v>51450</v>
      </c>
      <c r="D58" s="458">
        <f t="shared" si="10"/>
        <v>22156.25</v>
      </c>
      <c r="E58" s="459">
        <f>SUMIFS(srpro!$H$10:$H$3010,srpro!$B$10:$B$3010,'ProjectsX (2)'!A58)</f>
        <v>29293.75</v>
      </c>
      <c r="F58" s="460">
        <f>SUMIFS(srpro!$E$10:$E$3010,srpro!$B$10:$B$3010,'ProjectsX (2)'!A58)</f>
        <v>12544.85</v>
      </c>
      <c r="G58" s="478">
        <f t="shared" si="11"/>
        <v>0.56936345966958213</v>
      </c>
      <c r="H58" s="479">
        <f t="shared" si="12"/>
        <v>0.23163474246841595</v>
      </c>
      <c r="I58" s="535"/>
      <c r="J58" s="606">
        <f t="shared" si="6"/>
        <v>36959.892500000002</v>
      </c>
      <c r="K58" s="617">
        <f t="shared" si="7"/>
        <v>0.7561739552964043</v>
      </c>
      <c r="L58" s="526">
        <f>ProHeader!AN58</f>
        <v>2</v>
      </c>
      <c r="M58" s="525" t="str">
        <f>TEXT(  ProHeader!AJ58,"dd-mm-yy")</f>
        <v>-</v>
      </c>
      <c r="N58" s="525">
        <f>IFERROR(ProHeader!AK58 + ProHeader!AL58,"-")</f>
        <v>10290</v>
      </c>
      <c r="O58" s="525">
        <f>IFERROR(ProHeader!AM58,"0")</f>
        <v>10000</v>
      </c>
      <c r="P58" s="525">
        <f t="shared" si="8"/>
        <v>290</v>
      </c>
      <c r="Q58" s="619" t="str">
        <f>IF( SUMIFS(srpro!$H$10:$H$3010,srpro!$J$10:$J$3010,$R$6,srpro!$B$10:$B$3010,'ProjectsX (2)'!A58,srpro!$K$10:$K$3010,$A$6)&gt;0,SUMIFS(srpro!$H$10:$H$3010,srpro!$J$10:$J$3010,$R$6,srpro!$B$10:$B$3010,'ProjectsX (2)'!A58,srpro!$K$10:$K$3010,$A$6),"")</f>
        <v/>
      </c>
      <c r="R58" s="449" t="str">
        <f>IF( SUMIFS(srpro!$E$10:$E$3010,srpro!$J$10:$J$3010,$R$6,srpro!$B$10:$B$3010,'ProjectsX (2)'!A58,srpro!$K$10:$K$3010,$A$6)&gt;0,SUMIFS(srpro!$E$10:$E$3010,srpro!$J$10:$J$3010,$R$6,srpro!$B$10:$B$3010,'ProjectsX (2)'!A58,srpro!$K$10:$K$3010,$A$6),"")</f>
        <v/>
      </c>
      <c r="S58" s="450"/>
      <c r="T58" s="619" t="str">
        <f>IF( SUMIFS(srpro!$H$10:$H$3010,srpro!$J$10:$J$3010,$U$6,srpro!$B$10:$B$3010,'ProjectsX (2)'!A58,srpro!$K$10:$K$3010,$A$6)&gt;0,SUMIFS(srpro!$H$10:$H$3010,srpro!$J$10:$J$3010,$U$6,srpro!$B$10:$B$3010,'ProjectsX (2)'!A58,srpro!$K$10:$K$3010,$A$6),"")</f>
        <v/>
      </c>
      <c r="U58" s="449" t="str">
        <f>IF( SUMIFS(srpro!$E$10:$E$3010,srpro!$J$10:$J$3010,$U$6,srpro!$B$10:$B$3010,'ProjectsX (2)'!A58,srpro!$K$10:$K$3010,$A$6)&gt;0,SUMIFS(srpro!$E$10:$E$3010,srpro!$J$10:$J$3010,$U$6,srpro!$B$10:$B$3010,'ProjectsX (2)'!A58,srpro!$K$10:$K$3010,$A$6),"")</f>
        <v/>
      </c>
      <c r="V58" s="450"/>
      <c r="W58" s="619" t="str">
        <f>IF( SUMIFS(srpro!$H$10:$H$3010,srpro!$J$10:$J$3010,$X$6,srpro!$B$10:$B$3010,'ProjectsX (2)'!A58,srpro!$K$10:$K$3010,$A$6)&gt;0,SUMIFS(srpro!$H$10:$H$3010,srpro!$J$10:$J$3010,$X$6,srpro!$B$10:$B$3010,'ProjectsX (2)'!A58,srpro!$K$10:$K$3010,$A$6),"")</f>
        <v/>
      </c>
      <c r="X58" s="449" t="str">
        <f>IF( SUMIFS(srpro!$E$10:$E$3010,srpro!$J$10:$J$3010,$X$6,srpro!$B$10:$B$3010,'ProjectsX (2)'!A58,srpro!$K$10:$K$3010,$A$6)&gt;0,SUMIFS(srpro!$E$10:$E$3010,srpro!$J$10:$J$3010,$X$6,srpro!$B$10:$B$3010,'ProjectsX (2)'!A58,srpro!$K$10:$K$3010,$A$6),"")</f>
        <v/>
      </c>
      <c r="Y58" s="450"/>
      <c r="Z58" s="619" t="str">
        <f>IF( SUMIFS(srpro!$H$10:$H$3010,srpro!$J$10:$J$3010,$AA$6,srpro!$B$10:$B$3010,'ProjectsX (2)'!A58,srpro!$K$10:$K$3010,$A$6)&gt;0,SUMIFS(srpro!$H$10:$H$3010,srpro!$J$10:$J$3010,$AA$6,srpro!$B$10:$B$3010,'ProjectsX (2)'!A58,srpro!$K$10:$K$3010,$A$6),"")</f>
        <v/>
      </c>
      <c r="AA58" s="449" t="str">
        <f>IF( SUMIFS(srpro!$E$10:$E$3010,srpro!$J$10:$J$3010,$AA$6,srpro!$B$10:$B$3010,'ProjectsX (2)'!A58,srpro!$K$10:$K$3010,$A$6)&gt;0,SUMIFS(srpro!$E$10:$E$3010,srpro!$J$10:$J$3010,$AA$6,srpro!$B$10:$B$3010,'ProjectsX (2)'!A58,srpro!$K$10:$K$3010,$A$6),"")</f>
        <v/>
      </c>
      <c r="AB58" s="450"/>
      <c r="AC58" s="619" t="str">
        <f>IF( SUMIFS(srpro!$H$10:$H$3010,srpro!$J$10:$J$3010,$AD$6,srpro!$B$10:$B$3010,'ProjectsX (2)'!A58,srpro!$K$10:$K$3010,$A$6)&gt;0,SUMIFS(srpro!$H$10:$H$3010,srpro!$J$10:$J$3010,$AD$6,srpro!$B$10:$B$3010,'ProjectsX (2)'!A58,srpro!$K$10:$K$3010,$A$6),"")</f>
        <v/>
      </c>
      <c r="AD58" s="449" t="str">
        <f>IF( SUMIFS(srpro!$E$10:$E$3010,srpro!$J$10:$J$3010,$AD$6,srpro!$B$10:$B$3010,'ProjectsX (2)'!A58,srpro!$K$10:$K$3010,$A$6)&gt;0,SUMIFS(srpro!$E$10:$E$3010,srpro!$J$10:$J$3010,$AD$6,srpro!$B$10:$B$3010,'ProjectsX (2)'!A58,srpro!$K$10:$K$3010,$A$6),"")</f>
        <v/>
      </c>
      <c r="AE58" s="450"/>
      <c r="AF58" s="454" t="str">
        <f>IF( SUMIFS(srpro!$H$10:$H$3010,srpro!$J$10:$J$3010,$AG$6,srpro!$B$10:$B$3010,'ProjectsX (2)'!A58,srpro!$K$10:$K$3010,$A$6)&gt;0,SUMIFS(srpro!$H$10:$H$3010,srpro!$J$10:$J$3010,$AG$6,srpro!$B$10:$B$3010,'ProjectsX (2)'!A58,srpro!$K$10:$K$3010,$A$6),"")</f>
        <v/>
      </c>
      <c r="AG58" s="449" t="str">
        <f>IF( SUMIFS(srpro!$E$10:$E$3010,srpro!$J$10:$J$3010,$AG$6,srpro!$B$10:$B$3010,'ProjectsX (2)'!A58,srpro!$K$10:$K$3010,$A$6)&gt;0,SUMIFS(srpro!$E$10:$E$3010,srpro!$J$10:$J$3010,$AG$6,srpro!$B$10:$B$3010,'ProjectsX (2)'!A58,srpro!$K$10:$K$3010,$A$6),"")</f>
        <v/>
      </c>
      <c r="AH58" s="450"/>
      <c r="AI58" s="451"/>
      <c r="AJ58" s="451"/>
      <c r="AK58" s="450"/>
      <c r="AL58" s="615">
        <f t="shared" si="9"/>
        <v>0</v>
      </c>
      <c r="AM58" s="425"/>
      <c r="AN58" s="425"/>
      <c r="AO58" s="425"/>
      <c r="AP58" s="425"/>
      <c r="AQ58" s="425"/>
      <c r="AR58" s="425"/>
      <c r="AS58" s="425"/>
      <c r="AT58" s="425"/>
      <c r="AU58" s="425"/>
      <c r="AV58" s="425"/>
      <c r="AW58" s="425"/>
      <c r="AX58" s="425"/>
      <c r="AY58" s="425"/>
      <c r="AZ58" s="425"/>
      <c r="BA58" s="425"/>
      <c r="BB58" s="425"/>
      <c r="BC58" s="425"/>
      <c r="BD58" s="425"/>
      <c r="BE58" s="425"/>
    </row>
    <row r="59" spans="1:57" ht="19.5" customHeight="1">
      <c r="A59" s="616">
        <v>254</v>
      </c>
      <c r="B59" s="618" t="s">
        <v>1338</v>
      </c>
      <c r="C59" s="458">
        <f>(ProHeader!L59+ProHeader!M59)+((ProHeader!L59+ProHeader!M59)*5%)</f>
        <v>241500</v>
      </c>
      <c r="D59" s="458">
        <f t="shared" si="10"/>
        <v>114712.5</v>
      </c>
      <c r="E59" s="459">
        <f>SUMIFS(srpro!$H$10:$H$3010,srpro!$B$10:$B$3010,'ProjectsX (2)'!A59)</f>
        <v>126787.5</v>
      </c>
      <c r="F59" s="460">
        <f>SUMIFS(srpro!$E$10:$E$3010,srpro!$B$10:$B$3010,'ProjectsX (2)'!A59)</f>
        <v>71060.219999999987</v>
      </c>
      <c r="G59" s="478">
        <f t="shared" si="11"/>
        <v>0.52500000000000002</v>
      </c>
      <c r="H59" s="479">
        <f t="shared" si="12"/>
        <v>0.2795329565217391</v>
      </c>
      <c r="I59" s="535"/>
      <c r="J59" s="606">
        <f t="shared" si="6"/>
        <v>161917.79100000003</v>
      </c>
      <c r="K59" s="617">
        <f t="shared" si="7"/>
        <v>0.70575478260869573</v>
      </c>
      <c r="L59" s="526">
        <f>ProHeader!AN59</f>
        <v>2</v>
      </c>
      <c r="M59" s="525" t="str">
        <f>TEXT(  ProHeader!AJ59,"dd-mm-yy")</f>
        <v>-</v>
      </c>
      <c r="N59" s="525">
        <f>IFERROR(ProHeader!AK59 + ProHeader!AL59,"-")</f>
        <v>102637.5</v>
      </c>
      <c r="O59" s="525">
        <f>IFERROR(ProHeader!AM59,"0")</f>
        <v>102637.5</v>
      </c>
      <c r="P59" s="525">
        <f t="shared" si="8"/>
        <v>0</v>
      </c>
      <c r="Q59" s="619" t="str">
        <f>IF( SUMIFS(srpro!$H$10:$H$3010,srpro!$J$10:$J$3010,$R$6,srpro!$B$10:$B$3010,'ProjectsX (2)'!A59,srpro!$K$10:$K$3010,$A$6)&gt;0,SUMIFS(srpro!$H$10:$H$3010,srpro!$J$10:$J$3010,$R$6,srpro!$B$10:$B$3010,'ProjectsX (2)'!A59,srpro!$K$10:$K$3010,$A$6),"")</f>
        <v/>
      </c>
      <c r="R59" s="449" t="str">
        <f>IF( SUMIFS(srpro!$E$10:$E$3010,srpro!$J$10:$J$3010,$R$6,srpro!$B$10:$B$3010,'ProjectsX (2)'!A59,srpro!$K$10:$K$3010,$A$6)&gt;0,SUMIFS(srpro!$E$10:$E$3010,srpro!$J$10:$J$3010,$R$6,srpro!$B$10:$B$3010,'ProjectsX (2)'!A59,srpro!$K$10:$K$3010,$A$6),"")</f>
        <v/>
      </c>
      <c r="S59" s="450"/>
      <c r="T59" s="619" t="str">
        <f>IF( SUMIFS(srpro!$H$10:$H$3010,srpro!$J$10:$J$3010,$U$6,srpro!$B$10:$B$3010,'ProjectsX (2)'!A59,srpro!$K$10:$K$3010,$A$6)&gt;0,SUMIFS(srpro!$H$10:$H$3010,srpro!$J$10:$J$3010,$U$6,srpro!$B$10:$B$3010,'ProjectsX (2)'!A59,srpro!$K$10:$K$3010,$A$6),"")</f>
        <v/>
      </c>
      <c r="U59" s="449">
        <f>IF( SUMIFS(srpro!$E$10:$E$3010,srpro!$J$10:$J$3010,$U$6,srpro!$B$10:$B$3010,'ProjectsX (2)'!A59,srpro!$K$10:$K$3010,$A$6)&gt;0,SUMIFS(srpro!$E$10:$E$3010,srpro!$J$10:$J$3010,$U$6,srpro!$B$10:$B$3010,'ProjectsX (2)'!A59,srpro!$K$10:$K$3010,$A$6),"")</f>
        <v>5552.3899999999985</v>
      </c>
      <c r="V59" s="450"/>
      <c r="W59" s="619" t="str">
        <f>IF( SUMIFS(srpro!$H$10:$H$3010,srpro!$J$10:$J$3010,$X$6,srpro!$B$10:$B$3010,'ProjectsX (2)'!A59,srpro!$K$10:$K$3010,$A$6)&gt;0,SUMIFS(srpro!$H$10:$H$3010,srpro!$J$10:$J$3010,$X$6,srpro!$B$10:$B$3010,'ProjectsX (2)'!A59,srpro!$K$10:$K$3010,$A$6),"")</f>
        <v/>
      </c>
      <c r="X59" s="449" t="str">
        <f>IF( SUMIFS(srpro!$E$10:$E$3010,srpro!$J$10:$J$3010,$X$6,srpro!$B$10:$B$3010,'ProjectsX (2)'!A59,srpro!$K$10:$K$3010,$A$6)&gt;0,SUMIFS(srpro!$E$10:$E$3010,srpro!$J$10:$J$3010,$X$6,srpro!$B$10:$B$3010,'ProjectsX (2)'!A59,srpro!$K$10:$K$3010,$A$6),"")</f>
        <v/>
      </c>
      <c r="Y59" s="450"/>
      <c r="Z59" s="619" t="str">
        <f>IF( SUMIFS(srpro!$H$10:$H$3010,srpro!$J$10:$J$3010,$AA$6,srpro!$B$10:$B$3010,'ProjectsX (2)'!A59,srpro!$K$10:$K$3010,$A$6)&gt;0,SUMIFS(srpro!$H$10:$H$3010,srpro!$J$10:$J$3010,$AA$6,srpro!$B$10:$B$3010,'ProjectsX (2)'!A59,srpro!$K$10:$K$3010,$A$6),"")</f>
        <v/>
      </c>
      <c r="AA59" s="449">
        <f>IF( SUMIFS(srpro!$E$10:$E$3010,srpro!$J$10:$J$3010,$AA$6,srpro!$B$10:$B$3010,'ProjectsX (2)'!A59,srpro!$K$10:$K$3010,$A$6)&gt;0,SUMIFS(srpro!$E$10:$E$3010,srpro!$J$10:$J$3010,$AA$6,srpro!$B$10:$B$3010,'ProjectsX (2)'!A59,srpro!$K$10:$K$3010,$A$6),"")</f>
        <v>2186.59</v>
      </c>
      <c r="AB59" s="450"/>
      <c r="AC59" s="619" t="str">
        <f>IF( SUMIFS(srpro!$H$10:$H$3010,srpro!$J$10:$J$3010,$AD$6,srpro!$B$10:$B$3010,'ProjectsX (2)'!A59,srpro!$K$10:$K$3010,$A$6)&gt;0,SUMIFS(srpro!$H$10:$H$3010,srpro!$J$10:$J$3010,$AD$6,srpro!$B$10:$B$3010,'ProjectsX (2)'!A59,srpro!$K$10:$K$3010,$A$6),"")</f>
        <v/>
      </c>
      <c r="AD59" s="449" t="str">
        <f>IF( SUMIFS(srpro!$E$10:$E$3010,srpro!$J$10:$J$3010,$AD$6,srpro!$B$10:$B$3010,'ProjectsX (2)'!A59,srpro!$K$10:$K$3010,$A$6)&gt;0,SUMIFS(srpro!$E$10:$E$3010,srpro!$J$10:$J$3010,$AD$6,srpro!$B$10:$B$3010,'ProjectsX (2)'!A59,srpro!$K$10:$K$3010,$A$6),"")</f>
        <v/>
      </c>
      <c r="AE59" s="450"/>
      <c r="AF59" s="454" t="str">
        <f>IF( SUMIFS(srpro!$H$10:$H$3010,srpro!$J$10:$J$3010,$AG$6,srpro!$B$10:$B$3010,'ProjectsX (2)'!A59,srpro!$K$10:$K$3010,$A$6)&gt;0,SUMIFS(srpro!$H$10:$H$3010,srpro!$J$10:$J$3010,$AG$6,srpro!$B$10:$B$3010,'ProjectsX (2)'!A59,srpro!$K$10:$K$3010,$A$6),"")</f>
        <v/>
      </c>
      <c r="AG59" s="449" t="str">
        <f>IF( SUMIFS(srpro!$E$10:$E$3010,srpro!$J$10:$J$3010,$AG$6,srpro!$B$10:$B$3010,'ProjectsX (2)'!A59,srpro!$K$10:$K$3010,$A$6)&gt;0,SUMIFS(srpro!$E$10:$E$3010,srpro!$J$10:$J$3010,$AG$6,srpro!$B$10:$B$3010,'ProjectsX (2)'!A59,srpro!$K$10:$K$3010,$A$6),"")</f>
        <v/>
      </c>
      <c r="AH59" s="450"/>
      <c r="AI59" s="451"/>
      <c r="AJ59" s="451"/>
      <c r="AK59" s="450"/>
      <c r="AL59" s="615">
        <f t="shared" si="9"/>
        <v>7738.9799999999987</v>
      </c>
      <c r="AM59" s="425"/>
      <c r="AN59" s="425"/>
      <c r="AO59" s="425"/>
      <c r="AP59" s="425"/>
      <c r="AQ59" s="425"/>
      <c r="AR59" s="425"/>
      <c r="AS59" s="425"/>
      <c r="AT59" s="425"/>
      <c r="AU59" s="425"/>
      <c r="AV59" s="425"/>
      <c r="AW59" s="425"/>
      <c r="AX59" s="425"/>
      <c r="AY59" s="425"/>
      <c r="AZ59" s="425"/>
      <c r="BA59" s="425"/>
      <c r="BB59" s="425"/>
      <c r="BC59" s="425"/>
      <c r="BD59" s="425"/>
      <c r="BE59" s="425"/>
    </row>
    <row r="60" spans="1:57" ht="19.5" customHeight="1">
      <c r="A60" s="616">
        <v>255</v>
      </c>
      <c r="B60" s="618" t="s">
        <v>278</v>
      </c>
      <c r="C60" s="458">
        <f>(ProHeader!L60+ProHeader!M60)+((ProHeader!L60+ProHeader!M60)*5%)</f>
        <v>152250</v>
      </c>
      <c r="D60" s="458">
        <f t="shared" si="10"/>
        <v>9119</v>
      </c>
      <c r="E60" s="459">
        <f>SUMIFS(srpro!$H$10:$H$3010,srpro!$B$10:$B$3010,'ProjectsX (2)'!A60)</f>
        <v>143131</v>
      </c>
      <c r="F60" s="460">
        <f>SUMIFS(srpro!$E$10:$E$3010,srpro!$B$10:$B$3010,'ProjectsX (2)'!A60)</f>
        <v>69759.67</v>
      </c>
      <c r="G60" s="478">
        <f t="shared" si="11"/>
        <v>0.94010509031198686</v>
      </c>
      <c r="H60" s="479">
        <f t="shared" si="12"/>
        <v>0.43528201313628895</v>
      </c>
      <c r="I60" s="535"/>
      <c r="J60" s="606">
        <f t="shared" si="6"/>
        <v>78365.813500000004</v>
      </c>
      <c r="K60" s="617">
        <f t="shared" si="7"/>
        <v>0.54180840722495893</v>
      </c>
      <c r="L60" s="526">
        <f>ProHeader!AN60</f>
        <v>3</v>
      </c>
      <c r="M60" s="525" t="str">
        <f>TEXT(  ProHeader!AJ60,"dd-mm-yy")</f>
        <v>-</v>
      </c>
      <c r="N60" s="525">
        <f>IFERROR(ProHeader!AK60 + ProHeader!AL60,"-")</f>
        <v>30450</v>
      </c>
      <c r="O60" s="525">
        <f>IFERROR(ProHeader!AM60,"0")</f>
        <v>30450</v>
      </c>
      <c r="P60" s="525">
        <f t="shared" si="8"/>
        <v>0</v>
      </c>
      <c r="Q60" s="619" t="str">
        <f>IF( SUMIFS(srpro!$H$10:$H$3010,srpro!$J$10:$J$3010,$R$6,srpro!$B$10:$B$3010,'ProjectsX (2)'!A60,srpro!$K$10:$K$3010,$A$6)&gt;0,SUMIFS(srpro!$H$10:$H$3010,srpro!$J$10:$J$3010,$R$6,srpro!$B$10:$B$3010,'ProjectsX (2)'!A60,srpro!$K$10:$K$3010,$A$6),"")</f>
        <v/>
      </c>
      <c r="R60" s="449" t="str">
        <f>IF( SUMIFS(srpro!$E$10:$E$3010,srpro!$J$10:$J$3010,$R$6,srpro!$B$10:$B$3010,'ProjectsX (2)'!A60,srpro!$K$10:$K$3010,$A$6)&gt;0,SUMIFS(srpro!$E$10:$E$3010,srpro!$J$10:$J$3010,$R$6,srpro!$B$10:$B$3010,'ProjectsX (2)'!A60,srpro!$K$10:$K$3010,$A$6),"")</f>
        <v/>
      </c>
      <c r="S60" s="450"/>
      <c r="T60" s="619" t="str">
        <f>IF( SUMIFS(srpro!$H$10:$H$3010,srpro!$J$10:$J$3010,$U$6,srpro!$B$10:$B$3010,'ProjectsX (2)'!A60,srpro!$K$10:$K$3010,$A$6)&gt;0,SUMIFS(srpro!$H$10:$H$3010,srpro!$J$10:$J$3010,$U$6,srpro!$B$10:$B$3010,'ProjectsX (2)'!A60,srpro!$K$10:$K$3010,$A$6),"")</f>
        <v/>
      </c>
      <c r="U60" s="449">
        <f>IF( SUMIFS(srpro!$E$10:$E$3010,srpro!$J$10:$J$3010,$U$6,srpro!$B$10:$B$3010,'ProjectsX (2)'!A60,srpro!$K$10:$K$3010,$A$6)&gt;0,SUMIFS(srpro!$E$10:$E$3010,srpro!$J$10:$J$3010,$U$6,srpro!$B$10:$B$3010,'ProjectsX (2)'!A60,srpro!$K$10:$K$3010,$A$6),"")</f>
        <v>9440.99</v>
      </c>
      <c r="V60" s="450"/>
      <c r="W60" s="619">
        <f>IF( SUMIFS(srpro!$H$10:$H$3010,srpro!$J$10:$J$3010,$X$6,srpro!$B$10:$B$3010,'ProjectsX (2)'!A60,srpro!$K$10:$K$3010,$A$6)&gt;0,SUMIFS(srpro!$H$10:$H$3010,srpro!$J$10:$J$3010,$X$6,srpro!$B$10:$B$3010,'ProjectsX (2)'!A60,srpro!$K$10:$K$3010,$A$6),"")</f>
        <v>53287.5</v>
      </c>
      <c r="X60" s="449">
        <f>IF( SUMIFS(srpro!$E$10:$E$3010,srpro!$J$10:$J$3010,$X$6,srpro!$B$10:$B$3010,'ProjectsX (2)'!A60,srpro!$K$10:$K$3010,$A$6)&gt;0,SUMIFS(srpro!$E$10:$E$3010,srpro!$J$10:$J$3010,$X$6,srpro!$B$10:$B$3010,'ProjectsX (2)'!A60,srpro!$K$10:$K$3010,$A$6),"")</f>
        <v>37296.01</v>
      </c>
      <c r="Y60" s="450"/>
      <c r="Z60" s="619" t="str">
        <f>IF( SUMIFS(srpro!$H$10:$H$3010,srpro!$J$10:$J$3010,$AA$6,srpro!$B$10:$B$3010,'ProjectsX (2)'!A60,srpro!$K$10:$K$3010,$A$6)&gt;0,SUMIFS(srpro!$H$10:$H$3010,srpro!$J$10:$J$3010,$AA$6,srpro!$B$10:$B$3010,'ProjectsX (2)'!A60,srpro!$K$10:$K$3010,$A$6),"")</f>
        <v/>
      </c>
      <c r="AA60" s="449">
        <f>IF( SUMIFS(srpro!$E$10:$E$3010,srpro!$J$10:$J$3010,$AA$6,srpro!$B$10:$B$3010,'ProjectsX (2)'!A60,srpro!$K$10:$K$3010,$A$6)&gt;0,SUMIFS(srpro!$E$10:$E$3010,srpro!$J$10:$J$3010,$AA$6,srpro!$B$10:$B$3010,'ProjectsX (2)'!A60,srpro!$K$10:$K$3010,$A$6),"")</f>
        <v>4830.67</v>
      </c>
      <c r="AB60" s="450"/>
      <c r="AC60" s="619" t="str">
        <f>IF( SUMIFS(srpro!$H$10:$H$3010,srpro!$J$10:$J$3010,$AD$6,srpro!$B$10:$B$3010,'ProjectsX (2)'!A60,srpro!$K$10:$K$3010,$A$6)&gt;0,SUMIFS(srpro!$H$10:$H$3010,srpro!$J$10:$J$3010,$AD$6,srpro!$B$10:$B$3010,'ProjectsX (2)'!A60,srpro!$K$10:$K$3010,$A$6),"")</f>
        <v/>
      </c>
      <c r="AD60" s="449" t="str">
        <f>IF( SUMIFS(srpro!$E$10:$E$3010,srpro!$J$10:$J$3010,$AD$6,srpro!$B$10:$B$3010,'ProjectsX (2)'!A60,srpro!$K$10:$K$3010,$A$6)&gt;0,SUMIFS(srpro!$E$10:$E$3010,srpro!$J$10:$J$3010,$AD$6,srpro!$B$10:$B$3010,'ProjectsX (2)'!A60,srpro!$K$10:$K$3010,$A$6),"")</f>
        <v/>
      </c>
      <c r="AE60" s="450"/>
      <c r="AF60" s="454" t="str">
        <f>IF( SUMIFS(srpro!$H$10:$H$3010,srpro!$J$10:$J$3010,$AG$6,srpro!$B$10:$B$3010,'ProjectsX (2)'!A60,srpro!$K$10:$K$3010,$A$6)&gt;0,SUMIFS(srpro!$H$10:$H$3010,srpro!$J$10:$J$3010,$AG$6,srpro!$B$10:$B$3010,'ProjectsX (2)'!A60,srpro!$K$10:$K$3010,$A$6),"")</f>
        <v/>
      </c>
      <c r="AG60" s="449" t="str">
        <f>IF( SUMIFS(srpro!$E$10:$E$3010,srpro!$J$10:$J$3010,$AG$6,srpro!$B$10:$B$3010,'ProjectsX (2)'!A60,srpro!$K$10:$K$3010,$A$6)&gt;0,SUMIFS(srpro!$E$10:$E$3010,srpro!$J$10:$J$3010,$AG$6,srpro!$B$10:$B$3010,'ProjectsX (2)'!A60,srpro!$K$10:$K$3010,$A$6),"")</f>
        <v/>
      </c>
      <c r="AH60" s="450"/>
      <c r="AI60" s="451"/>
      <c r="AJ60" s="451"/>
      <c r="AK60" s="450"/>
      <c r="AL60" s="615">
        <f t="shared" si="9"/>
        <v>104855.17</v>
      </c>
      <c r="AM60" s="425"/>
      <c r="AN60" s="425"/>
      <c r="AO60" s="425"/>
      <c r="AP60" s="425"/>
      <c r="AQ60" s="425"/>
      <c r="AR60" s="425"/>
      <c r="AS60" s="425"/>
      <c r="AT60" s="425"/>
      <c r="AU60" s="425"/>
      <c r="AV60" s="425"/>
      <c r="AW60" s="425"/>
      <c r="AX60" s="425"/>
      <c r="AY60" s="425"/>
      <c r="AZ60" s="425"/>
      <c r="BA60" s="425"/>
      <c r="BB60" s="425"/>
      <c r="BC60" s="425"/>
      <c r="BD60" s="425"/>
      <c r="BE60" s="425"/>
    </row>
    <row r="61" spans="1:57" ht="19.5" customHeight="1">
      <c r="A61" s="616">
        <v>256</v>
      </c>
      <c r="B61" s="618" t="s">
        <v>269</v>
      </c>
      <c r="C61" s="458">
        <f>(ProHeader!L61+ProHeader!M61)+((ProHeader!L61+ProHeader!M61)*5%)</f>
        <v>477750</v>
      </c>
      <c r="D61" s="458">
        <f t="shared" si="10"/>
        <v>269068.79999999999</v>
      </c>
      <c r="E61" s="459">
        <f>SUMIFS(srpro!$H$10:$H$3010,srpro!$B$10:$B$3010,'ProjectsX (2)'!A61)</f>
        <v>208681.2</v>
      </c>
      <c r="F61" s="460">
        <f>SUMIFS(srpro!$E$10:$E$3010,srpro!$B$10:$B$3010,'ProjectsX (2)'!A61)</f>
        <v>160237.02905000001</v>
      </c>
      <c r="G61" s="478">
        <f t="shared" si="11"/>
        <v>0.43680000000000002</v>
      </c>
      <c r="H61" s="479">
        <f t="shared" si="12"/>
        <v>0.31862936179487178</v>
      </c>
      <c r="I61" s="535"/>
      <c r="J61" s="606">
        <f t="shared" si="6"/>
        <v>301637.32240249997</v>
      </c>
      <c r="K61" s="617">
        <f t="shared" si="7"/>
        <v>0.6646006717948717</v>
      </c>
      <c r="L61" s="526">
        <f>ProHeader!AN61</f>
        <v>1</v>
      </c>
      <c r="M61" s="525" t="str">
        <f>TEXT(  ProHeader!AJ61,"dd-mm-yy")</f>
        <v>14-08-24</v>
      </c>
      <c r="N61" s="525">
        <f>IFERROR(ProHeader!AK61 + ProHeader!AL61,"-")</f>
        <v>160906.20000000001</v>
      </c>
      <c r="O61" s="525">
        <f>IFERROR(ProHeader!AM61,"0")</f>
        <v>160906</v>
      </c>
      <c r="P61" s="525">
        <f t="shared" si="8"/>
        <v>0.20000000001164153</v>
      </c>
      <c r="Q61" s="619" t="str">
        <f>IF( SUMIFS(srpro!$H$10:$H$3010,srpro!$J$10:$J$3010,$R$6,srpro!$B$10:$B$3010,'ProjectsX (2)'!A61,srpro!$K$10:$K$3010,$A$6)&gt;0,SUMIFS(srpro!$H$10:$H$3010,srpro!$J$10:$J$3010,$R$6,srpro!$B$10:$B$3010,'ProjectsX (2)'!A61,srpro!$K$10:$K$3010,$A$6),"")</f>
        <v/>
      </c>
      <c r="R61" s="449">
        <f>IF( SUMIFS(srpro!$E$10:$E$3010,srpro!$J$10:$J$3010,$R$6,srpro!$B$10:$B$3010,'ProjectsX (2)'!A61,srpro!$K$10:$K$3010,$A$6)&gt;0,SUMIFS(srpro!$E$10:$E$3010,srpro!$J$10:$J$3010,$R$6,srpro!$B$10:$B$3010,'ProjectsX (2)'!A61,srpro!$K$10:$K$3010,$A$6),"")</f>
        <v>208</v>
      </c>
      <c r="S61" s="450"/>
      <c r="T61" s="619" t="str">
        <f>IF( SUMIFS(srpro!$H$10:$H$3010,srpro!$J$10:$J$3010,$U$6,srpro!$B$10:$B$3010,'ProjectsX (2)'!A61,srpro!$K$10:$K$3010,$A$6)&gt;0,SUMIFS(srpro!$H$10:$H$3010,srpro!$J$10:$J$3010,$U$6,srpro!$B$10:$B$3010,'ProjectsX (2)'!A61,srpro!$K$10:$K$3010,$A$6),"")</f>
        <v/>
      </c>
      <c r="U61" s="449">
        <f>IF( SUMIFS(srpro!$E$10:$E$3010,srpro!$J$10:$J$3010,$U$6,srpro!$B$10:$B$3010,'ProjectsX (2)'!A61,srpro!$K$10:$K$3010,$A$6)&gt;0,SUMIFS(srpro!$E$10:$E$3010,srpro!$J$10:$J$3010,$U$6,srpro!$B$10:$B$3010,'ProjectsX (2)'!A61,srpro!$K$10:$K$3010,$A$6),"")</f>
        <v>20779.646000000001</v>
      </c>
      <c r="V61" s="450"/>
      <c r="W61" s="619" t="str">
        <f>IF( SUMIFS(srpro!$H$10:$H$3010,srpro!$J$10:$J$3010,$X$6,srpro!$B$10:$B$3010,'ProjectsX (2)'!A61,srpro!$K$10:$K$3010,$A$6)&gt;0,SUMIFS(srpro!$H$10:$H$3010,srpro!$J$10:$J$3010,$X$6,srpro!$B$10:$B$3010,'ProjectsX (2)'!A61,srpro!$K$10:$K$3010,$A$6),"")</f>
        <v/>
      </c>
      <c r="X61" s="449">
        <f>IF( SUMIFS(srpro!$E$10:$E$3010,srpro!$J$10:$J$3010,$X$6,srpro!$B$10:$B$3010,'ProjectsX (2)'!A61,srpro!$K$10:$K$3010,$A$6)&gt;0,SUMIFS(srpro!$E$10:$E$3010,srpro!$J$10:$J$3010,$X$6,srpro!$B$10:$B$3010,'ProjectsX (2)'!A61,srpro!$K$10:$K$3010,$A$6),"")</f>
        <v>6379.0999999999995</v>
      </c>
      <c r="Y61" s="450"/>
      <c r="Z61" s="619">
        <f>IF( SUMIFS(srpro!$H$10:$H$3010,srpro!$J$10:$J$3010,$AA$6,srpro!$B$10:$B$3010,'ProjectsX (2)'!A61,srpro!$K$10:$K$3010,$A$6)&gt;0,SUMIFS(srpro!$H$10:$H$3010,srpro!$J$10:$J$3010,$AA$6,srpro!$B$10:$B$3010,'ProjectsX (2)'!A61,srpro!$K$10:$K$3010,$A$6),"")</f>
        <v>160906.20000000001</v>
      </c>
      <c r="AA61" s="449">
        <f>IF( SUMIFS(srpro!$E$10:$E$3010,srpro!$J$10:$J$3010,$AA$6,srpro!$B$10:$B$3010,'ProjectsX (2)'!A61,srpro!$K$10:$K$3010,$A$6)&gt;0,SUMIFS(srpro!$E$10:$E$3010,srpro!$J$10:$J$3010,$AA$6,srpro!$B$10:$B$3010,'ProjectsX (2)'!A61,srpro!$K$10:$K$3010,$A$6),"")</f>
        <v>61442.229999999996</v>
      </c>
      <c r="AB61" s="450"/>
      <c r="AC61" s="619" t="str">
        <f>IF( SUMIFS(srpro!$H$10:$H$3010,srpro!$J$10:$J$3010,$AD$6,srpro!$B$10:$B$3010,'ProjectsX (2)'!A61,srpro!$K$10:$K$3010,$A$6)&gt;0,SUMIFS(srpro!$H$10:$H$3010,srpro!$J$10:$J$3010,$AD$6,srpro!$B$10:$B$3010,'ProjectsX (2)'!A61,srpro!$K$10:$K$3010,$A$6),"")</f>
        <v/>
      </c>
      <c r="AD61" s="449">
        <f>IF( SUMIFS(srpro!$E$10:$E$3010,srpro!$J$10:$J$3010,$AD$6,srpro!$B$10:$B$3010,'ProjectsX (2)'!A61,srpro!$K$10:$K$3010,$A$6)&gt;0,SUMIFS(srpro!$E$10:$E$3010,srpro!$J$10:$J$3010,$AD$6,srpro!$B$10:$B$3010,'ProjectsX (2)'!A61,srpro!$K$10:$K$3010,$A$6),"")</f>
        <v>48128.55</v>
      </c>
      <c r="AE61" s="450"/>
      <c r="AF61" s="454" t="str">
        <f>IF( SUMIFS(srpro!$H$10:$H$3010,srpro!$J$10:$J$3010,$AG$6,srpro!$B$10:$B$3010,'ProjectsX (2)'!A61,srpro!$K$10:$K$3010,$A$6)&gt;0,SUMIFS(srpro!$H$10:$H$3010,srpro!$J$10:$J$3010,$AG$6,srpro!$B$10:$B$3010,'ProjectsX (2)'!A61,srpro!$K$10:$K$3010,$A$6),"")</f>
        <v/>
      </c>
      <c r="AG61" s="449">
        <f>IF( SUMIFS(srpro!$E$10:$E$3010,srpro!$J$10:$J$3010,$AG$6,srpro!$B$10:$B$3010,'ProjectsX (2)'!A61,srpro!$K$10:$K$3010,$A$6)&gt;0,SUMIFS(srpro!$E$10:$E$3010,srpro!$J$10:$J$3010,$AG$6,srpro!$B$10:$B$3010,'ProjectsX (2)'!A61,srpro!$K$10:$K$3010,$A$6),"")</f>
        <v>1996.30305</v>
      </c>
      <c r="AH61" s="450"/>
      <c r="AI61" s="451"/>
      <c r="AJ61" s="451"/>
      <c r="AK61" s="450"/>
      <c r="AL61" s="615">
        <f t="shared" si="9"/>
        <v>299840.02904999995</v>
      </c>
      <c r="AM61" s="425"/>
      <c r="AN61" s="425"/>
      <c r="AO61" s="425"/>
      <c r="AP61" s="425"/>
      <c r="AQ61" s="425"/>
      <c r="AR61" s="425"/>
      <c r="AS61" s="425"/>
      <c r="AT61" s="425"/>
      <c r="AU61" s="425"/>
      <c r="AV61" s="425"/>
      <c r="AW61" s="425"/>
      <c r="AX61" s="425"/>
      <c r="AY61" s="425"/>
      <c r="AZ61" s="425"/>
      <c r="BA61" s="425"/>
      <c r="BB61" s="425"/>
      <c r="BC61" s="425"/>
      <c r="BD61" s="425"/>
      <c r="BE61" s="425"/>
    </row>
    <row r="62" spans="1:57" ht="19.5" customHeight="1">
      <c r="A62" s="616">
        <v>257</v>
      </c>
      <c r="B62" s="618" t="s">
        <v>301</v>
      </c>
      <c r="C62" s="458">
        <f>(ProHeader!L62+ProHeader!M62)+((ProHeader!L62+ProHeader!M62)*5%)</f>
        <v>183225</v>
      </c>
      <c r="D62" s="458">
        <f t="shared" si="10"/>
        <v>19313</v>
      </c>
      <c r="E62" s="459">
        <f>SUMIFS(srpro!$H$10:$H$3010,srpro!$B$10:$B$3010,'ProjectsX (2)'!A62)</f>
        <v>163912</v>
      </c>
      <c r="F62" s="460">
        <f>SUMIFS(srpro!$E$10:$E$3010,srpro!$B$10:$B$3010,'ProjectsX (2)'!A62)</f>
        <v>137097.81</v>
      </c>
      <c r="G62" s="478">
        <f t="shared" si="11"/>
        <v>0.89459407831900672</v>
      </c>
      <c r="H62" s="479">
        <f t="shared" si="12"/>
        <v>0.71083596397871474</v>
      </c>
      <c r="I62" s="535"/>
      <c r="J62" s="606">
        <f t="shared" si="6"/>
        <v>43820.830499999996</v>
      </c>
      <c r="K62" s="617">
        <f t="shared" si="7"/>
        <v>0.25175161686451081</v>
      </c>
      <c r="L62" s="526">
        <f>ProHeader!AN62</f>
        <v>3</v>
      </c>
      <c r="M62" s="525" t="str">
        <f>TEXT(  ProHeader!AJ62,"dd-mm-yy")</f>
        <v>-</v>
      </c>
      <c r="N62" s="525">
        <f>IFERROR(ProHeader!AK62 + ProHeader!AL62,"-")</f>
        <v>26145</v>
      </c>
      <c r="O62" s="525">
        <f>IFERROR(ProHeader!AM62,"0")</f>
        <v>26145</v>
      </c>
      <c r="P62" s="525">
        <f t="shared" si="8"/>
        <v>0</v>
      </c>
      <c r="Q62" s="619" t="str">
        <f>IF( SUMIFS(srpro!$H$10:$H$3010,srpro!$J$10:$J$3010,$R$6,srpro!$B$10:$B$3010,'ProjectsX (2)'!A62,srpro!$K$10:$K$3010,$A$6)&gt;0,SUMIFS(srpro!$H$10:$H$3010,srpro!$J$10:$J$3010,$R$6,srpro!$B$10:$B$3010,'ProjectsX (2)'!A62,srpro!$K$10:$K$3010,$A$6),"")</f>
        <v/>
      </c>
      <c r="R62" s="449">
        <f>IF( SUMIFS(srpro!$E$10:$E$3010,srpro!$J$10:$J$3010,$R$6,srpro!$B$10:$B$3010,'ProjectsX (2)'!A62,srpro!$K$10:$K$3010,$A$6)&gt;0,SUMIFS(srpro!$E$10:$E$3010,srpro!$J$10:$J$3010,$R$6,srpro!$B$10:$B$3010,'ProjectsX (2)'!A62,srpro!$K$10:$K$3010,$A$6),"")</f>
        <v>11362</v>
      </c>
      <c r="S62" s="450"/>
      <c r="T62" s="619" t="str">
        <f>IF( SUMIFS(srpro!$H$10:$H$3010,srpro!$J$10:$J$3010,$U$6,srpro!$B$10:$B$3010,'ProjectsX (2)'!A62,srpro!$K$10:$K$3010,$A$6)&gt;0,SUMIFS(srpro!$H$10:$H$3010,srpro!$J$10:$J$3010,$U$6,srpro!$B$10:$B$3010,'ProjectsX (2)'!A62,srpro!$K$10:$K$3010,$A$6),"")</f>
        <v/>
      </c>
      <c r="U62" s="449">
        <f>IF( SUMIFS(srpro!$E$10:$E$3010,srpro!$J$10:$J$3010,$U$6,srpro!$B$10:$B$3010,'ProjectsX (2)'!A62,srpro!$K$10:$K$3010,$A$6)&gt;0,SUMIFS(srpro!$E$10:$E$3010,srpro!$J$10:$J$3010,$U$6,srpro!$B$10:$B$3010,'ProjectsX (2)'!A62,srpro!$K$10:$K$3010,$A$6),"")</f>
        <v>5490.73</v>
      </c>
      <c r="V62" s="450"/>
      <c r="W62" s="619">
        <f>IF( SUMIFS(srpro!$H$10:$H$3010,srpro!$J$10:$J$3010,$X$6,srpro!$B$10:$B$3010,'ProjectsX (2)'!A62,srpro!$K$10:$K$3010,$A$6)&gt;0,SUMIFS(srpro!$H$10:$H$3010,srpro!$J$10:$J$3010,$X$6,srpro!$B$10:$B$3010,'ProjectsX (2)'!A62,srpro!$K$10:$K$3010,$A$6),"")</f>
        <v>68047</v>
      </c>
      <c r="X62" s="449">
        <f>IF( SUMIFS(srpro!$E$10:$E$3010,srpro!$J$10:$J$3010,$X$6,srpro!$B$10:$B$3010,'ProjectsX (2)'!A62,srpro!$K$10:$K$3010,$A$6)&gt;0,SUMIFS(srpro!$E$10:$E$3010,srpro!$J$10:$J$3010,$X$6,srpro!$B$10:$B$3010,'ProjectsX (2)'!A62,srpro!$K$10:$K$3010,$A$6),"")</f>
        <v>22328.25</v>
      </c>
      <c r="Y62" s="450"/>
      <c r="Z62" s="619" t="str">
        <f>IF( SUMIFS(srpro!$H$10:$H$3010,srpro!$J$10:$J$3010,$AA$6,srpro!$B$10:$B$3010,'ProjectsX (2)'!A62,srpro!$K$10:$K$3010,$A$6)&gt;0,SUMIFS(srpro!$H$10:$H$3010,srpro!$J$10:$J$3010,$AA$6,srpro!$B$10:$B$3010,'ProjectsX (2)'!A62,srpro!$K$10:$K$3010,$A$6),"")</f>
        <v/>
      </c>
      <c r="AA62" s="449">
        <f>IF( SUMIFS(srpro!$E$10:$E$3010,srpro!$J$10:$J$3010,$AA$6,srpro!$B$10:$B$3010,'ProjectsX (2)'!A62,srpro!$K$10:$K$3010,$A$6)&gt;0,SUMIFS(srpro!$E$10:$E$3010,srpro!$J$10:$J$3010,$AA$6,srpro!$B$10:$B$3010,'ProjectsX (2)'!A62,srpro!$K$10:$K$3010,$A$6),"")</f>
        <v>3117.75</v>
      </c>
      <c r="AB62" s="450"/>
      <c r="AC62" s="619" t="str">
        <f>IF( SUMIFS(srpro!$H$10:$H$3010,srpro!$J$10:$J$3010,$AD$6,srpro!$B$10:$B$3010,'ProjectsX (2)'!A62,srpro!$K$10:$K$3010,$A$6)&gt;0,SUMIFS(srpro!$H$10:$H$3010,srpro!$J$10:$J$3010,$AD$6,srpro!$B$10:$B$3010,'ProjectsX (2)'!A62,srpro!$K$10:$K$3010,$A$6),"")</f>
        <v/>
      </c>
      <c r="AD62" s="449">
        <f>IF( SUMIFS(srpro!$E$10:$E$3010,srpro!$J$10:$J$3010,$AD$6,srpro!$B$10:$B$3010,'ProjectsX (2)'!A62,srpro!$K$10:$K$3010,$A$6)&gt;0,SUMIFS(srpro!$E$10:$E$3010,srpro!$J$10:$J$3010,$AD$6,srpro!$B$10:$B$3010,'ProjectsX (2)'!A62,srpro!$K$10:$K$3010,$A$6),"")</f>
        <v>32658.68</v>
      </c>
      <c r="AE62" s="450"/>
      <c r="AF62" s="454" t="str">
        <f>IF( SUMIFS(srpro!$H$10:$H$3010,srpro!$J$10:$J$3010,$AG$6,srpro!$B$10:$B$3010,'ProjectsX (2)'!A62,srpro!$K$10:$K$3010,$A$6)&gt;0,SUMIFS(srpro!$H$10:$H$3010,srpro!$J$10:$J$3010,$AG$6,srpro!$B$10:$B$3010,'ProjectsX (2)'!A62,srpro!$K$10:$K$3010,$A$6),"")</f>
        <v/>
      </c>
      <c r="AG62" s="449">
        <f>IF( SUMIFS(srpro!$E$10:$E$3010,srpro!$J$10:$J$3010,$AG$6,srpro!$B$10:$B$3010,'ProjectsX (2)'!A62,srpro!$K$10:$K$3010,$A$6)&gt;0,SUMIFS(srpro!$E$10:$E$3010,srpro!$J$10:$J$3010,$AG$6,srpro!$B$10:$B$3010,'ProjectsX (2)'!A62,srpro!$K$10:$K$3010,$A$6),"")</f>
        <v>15755.64</v>
      </c>
      <c r="AH62" s="450"/>
      <c r="AI62" s="451"/>
      <c r="AJ62" s="451"/>
      <c r="AK62" s="450"/>
      <c r="AL62" s="615">
        <f t="shared" si="9"/>
        <v>158760.04999999999</v>
      </c>
      <c r="AM62" s="425"/>
      <c r="AN62" s="425"/>
      <c r="AO62" s="425"/>
      <c r="AP62" s="425"/>
      <c r="AQ62" s="425"/>
      <c r="AR62" s="425"/>
      <c r="AS62" s="425"/>
      <c r="AT62" s="425"/>
      <c r="AU62" s="425"/>
      <c r="AV62" s="425"/>
      <c r="AW62" s="425"/>
      <c r="AX62" s="425"/>
      <c r="AY62" s="425"/>
      <c r="AZ62" s="425"/>
      <c r="BA62" s="425"/>
      <c r="BB62" s="425"/>
      <c r="BC62" s="425"/>
      <c r="BD62" s="425"/>
      <c r="BE62" s="425"/>
    </row>
    <row r="63" spans="1:57" ht="19.5" customHeight="1">
      <c r="A63" s="616">
        <v>258</v>
      </c>
      <c r="B63" s="618" t="s">
        <v>291</v>
      </c>
      <c r="C63" s="458">
        <f>(ProHeader!L63+ProHeader!M63)+((ProHeader!L63+ProHeader!M63)*5%)</f>
        <v>142800</v>
      </c>
      <c r="D63" s="458">
        <f t="shared" si="10"/>
        <v>64260</v>
      </c>
      <c r="E63" s="459">
        <f>SUMIFS(srpro!$H$10:$H$3010,srpro!$B$10:$B$3010,'ProjectsX (2)'!A63)</f>
        <v>78540</v>
      </c>
      <c r="F63" s="460">
        <f>SUMIFS(srpro!$E$10:$E$3010,srpro!$B$10:$B$3010,'ProjectsX (2)'!A63)</f>
        <v>54143.607499999998</v>
      </c>
      <c r="G63" s="478">
        <f t="shared" si="11"/>
        <v>0.55000000000000004</v>
      </c>
      <c r="H63" s="479">
        <f t="shared" si="12"/>
        <v>0.36019906950280112</v>
      </c>
      <c r="I63" s="535"/>
      <c r="J63" s="606">
        <f t="shared" si="6"/>
        <v>84223.572874999998</v>
      </c>
      <c r="K63" s="617">
        <f t="shared" si="7"/>
        <v>0.62084308473389349</v>
      </c>
      <c r="L63" s="526">
        <f>ProHeader!AN63</f>
        <v>3</v>
      </c>
      <c r="M63" s="525" t="str">
        <f>TEXT(  ProHeader!AJ63,"dd-mm-yy")</f>
        <v>-</v>
      </c>
      <c r="N63" s="525">
        <f>IFERROR(ProHeader!AK63 + ProHeader!AL63,"-")</f>
        <v>21420</v>
      </c>
      <c r="O63" s="525">
        <f>IFERROR(ProHeader!AM63,"0")</f>
        <v>21420</v>
      </c>
      <c r="P63" s="525">
        <f t="shared" si="8"/>
        <v>0</v>
      </c>
      <c r="Q63" s="619" t="str">
        <f>IF( SUMIFS(srpro!$H$10:$H$3010,srpro!$J$10:$J$3010,$R$6,srpro!$B$10:$B$3010,'ProjectsX (2)'!A63,srpro!$K$10:$K$3010,$A$6)&gt;0,SUMIFS(srpro!$H$10:$H$3010,srpro!$J$10:$J$3010,$R$6,srpro!$B$10:$B$3010,'ProjectsX (2)'!A63,srpro!$K$10:$K$3010,$A$6),"")</f>
        <v/>
      </c>
      <c r="R63" s="449">
        <f>IF( SUMIFS(srpro!$E$10:$E$3010,srpro!$J$10:$J$3010,$R$6,srpro!$B$10:$B$3010,'ProjectsX (2)'!A63,srpro!$K$10:$K$3010,$A$6)&gt;0,SUMIFS(srpro!$E$10:$E$3010,srpro!$J$10:$J$3010,$R$6,srpro!$B$10:$B$3010,'ProjectsX (2)'!A63,srpro!$K$10:$K$3010,$A$6),"")</f>
        <v>1671</v>
      </c>
      <c r="S63" s="450"/>
      <c r="T63" s="619" t="str">
        <f>IF( SUMIFS(srpro!$H$10:$H$3010,srpro!$J$10:$J$3010,$U$6,srpro!$B$10:$B$3010,'ProjectsX (2)'!A63,srpro!$K$10:$K$3010,$A$6)&gt;0,SUMIFS(srpro!$H$10:$H$3010,srpro!$J$10:$J$3010,$U$6,srpro!$B$10:$B$3010,'ProjectsX (2)'!A63,srpro!$K$10:$K$3010,$A$6),"")</f>
        <v/>
      </c>
      <c r="U63" s="449">
        <f>IF( SUMIFS(srpro!$E$10:$E$3010,srpro!$J$10:$J$3010,$U$6,srpro!$B$10:$B$3010,'ProjectsX (2)'!A63,srpro!$K$10:$K$3010,$A$6)&gt;0,SUMIFS(srpro!$E$10:$E$3010,srpro!$J$10:$J$3010,$U$6,srpro!$B$10:$B$3010,'ProjectsX (2)'!A63,srpro!$K$10:$K$3010,$A$6),"")</f>
        <v>8613.2574999999997</v>
      </c>
      <c r="V63" s="450"/>
      <c r="W63" s="619" t="str">
        <f>IF( SUMIFS(srpro!$H$10:$H$3010,srpro!$J$10:$J$3010,$X$6,srpro!$B$10:$B$3010,'ProjectsX (2)'!A63,srpro!$K$10:$K$3010,$A$6)&gt;0,SUMIFS(srpro!$H$10:$H$3010,srpro!$J$10:$J$3010,$X$6,srpro!$B$10:$B$3010,'ProjectsX (2)'!A63,srpro!$K$10:$K$3010,$A$6),"")</f>
        <v/>
      </c>
      <c r="X63" s="449" t="str">
        <f>IF( SUMIFS(srpro!$E$10:$E$3010,srpro!$J$10:$J$3010,$X$6,srpro!$B$10:$B$3010,'ProjectsX (2)'!A63,srpro!$K$10:$K$3010,$A$6)&gt;0,SUMIFS(srpro!$E$10:$E$3010,srpro!$J$10:$J$3010,$X$6,srpro!$B$10:$B$3010,'ProjectsX (2)'!A63,srpro!$K$10:$K$3010,$A$6),"")</f>
        <v/>
      </c>
      <c r="Y63" s="450"/>
      <c r="Z63" s="619">
        <f>IF( SUMIFS(srpro!$H$10:$H$3010,srpro!$J$10:$J$3010,$AA$6,srpro!$B$10:$B$3010,'ProjectsX (2)'!A63,srpro!$K$10:$K$3010,$A$6)&gt;0,SUMIFS(srpro!$H$10:$H$3010,srpro!$J$10:$J$3010,$AA$6,srpro!$B$10:$B$3010,'ProjectsX (2)'!A63,srpro!$K$10:$K$3010,$A$6),"")</f>
        <v>57120</v>
      </c>
      <c r="AA63" s="449">
        <f>IF( SUMIFS(srpro!$E$10:$E$3010,srpro!$J$10:$J$3010,$AA$6,srpro!$B$10:$B$3010,'ProjectsX (2)'!A63,srpro!$K$10:$K$3010,$A$6)&gt;0,SUMIFS(srpro!$E$10:$E$3010,srpro!$J$10:$J$3010,$AA$6,srpro!$B$10:$B$3010,'ProjectsX (2)'!A63,srpro!$K$10:$K$3010,$A$6),"")</f>
        <v>409.84999999999997</v>
      </c>
      <c r="AB63" s="450"/>
      <c r="AC63" s="619" t="str">
        <f>IF( SUMIFS(srpro!$H$10:$H$3010,srpro!$J$10:$J$3010,$AD$6,srpro!$B$10:$B$3010,'ProjectsX (2)'!A63,srpro!$K$10:$K$3010,$A$6)&gt;0,SUMIFS(srpro!$H$10:$H$3010,srpro!$J$10:$J$3010,$AD$6,srpro!$B$10:$B$3010,'ProjectsX (2)'!A63,srpro!$K$10:$K$3010,$A$6),"")</f>
        <v/>
      </c>
      <c r="AD63" s="449">
        <f>IF( SUMIFS(srpro!$E$10:$E$3010,srpro!$J$10:$J$3010,$AD$6,srpro!$B$10:$B$3010,'ProjectsX (2)'!A63,srpro!$K$10:$K$3010,$A$6)&gt;0,SUMIFS(srpro!$E$10:$E$3010,srpro!$J$10:$J$3010,$AD$6,srpro!$B$10:$B$3010,'ProjectsX (2)'!A63,srpro!$K$10:$K$3010,$A$6),"")</f>
        <v>35844.5</v>
      </c>
      <c r="AE63" s="450"/>
      <c r="AF63" s="454" t="str">
        <f>IF( SUMIFS(srpro!$H$10:$H$3010,srpro!$J$10:$J$3010,$AG$6,srpro!$B$10:$B$3010,'ProjectsX (2)'!A63,srpro!$K$10:$K$3010,$A$6)&gt;0,SUMIFS(srpro!$H$10:$H$3010,srpro!$J$10:$J$3010,$AG$6,srpro!$B$10:$B$3010,'ProjectsX (2)'!A63,srpro!$K$10:$K$3010,$A$6),"")</f>
        <v/>
      </c>
      <c r="AG63" s="449" t="str">
        <f>IF( SUMIFS(srpro!$E$10:$E$3010,srpro!$J$10:$J$3010,$AG$6,srpro!$B$10:$B$3010,'ProjectsX (2)'!A63,srpro!$K$10:$K$3010,$A$6)&gt;0,SUMIFS(srpro!$E$10:$E$3010,srpro!$J$10:$J$3010,$AG$6,srpro!$B$10:$B$3010,'ProjectsX (2)'!A63,srpro!$K$10:$K$3010,$A$6),"")</f>
        <v/>
      </c>
      <c r="AH63" s="450"/>
      <c r="AI63" s="451"/>
      <c r="AJ63" s="451"/>
      <c r="AK63" s="450"/>
      <c r="AL63" s="615">
        <f t="shared" si="9"/>
        <v>103658.60750000001</v>
      </c>
      <c r="AM63" s="425"/>
      <c r="AN63" s="425"/>
      <c r="AO63" s="425"/>
      <c r="AP63" s="425"/>
      <c r="AQ63" s="425"/>
      <c r="AR63" s="425"/>
      <c r="AS63" s="425"/>
      <c r="AT63" s="425"/>
      <c r="AU63" s="425"/>
      <c r="AV63" s="425"/>
      <c r="AW63" s="425"/>
      <c r="AX63" s="425"/>
      <c r="AY63" s="425"/>
      <c r="AZ63" s="425"/>
      <c r="BA63" s="425"/>
      <c r="BB63" s="425"/>
      <c r="BC63" s="425"/>
      <c r="BD63" s="425"/>
      <c r="BE63" s="425"/>
    </row>
    <row r="64" spans="1:57" ht="19.5" customHeight="1">
      <c r="A64" s="616">
        <v>259</v>
      </c>
      <c r="B64" s="618" t="s">
        <v>264</v>
      </c>
      <c r="C64" s="458">
        <f>(ProHeader!L64+ProHeader!M64)+((ProHeader!L64+ProHeader!M64)*5%)</f>
        <v>204750</v>
      </c>
      <c r="D64" s="458">
        <f t="shared" si="10"/>
        <v>174037.5</v>
      </c>
      <c r="E64" s="459">
        <f>SUMIFS(srpro!$H$10:$H$3010,srpro!$B$10:$B$3010,'ProjectsX (2)'!A64)</f>
        <v>30712.5</v>
      </c>
      <c r="F64" s="460">
        <f>SUMIFS(srpro!$E$10:$E$3010,srpro!$B$10:$B$3010,'ProjectsX (2)'!A64)</f>
        <v>13089</v>
      </c>
      <c r="G64" s="478">
        <f t="shared" si="11"/>
        <v>0.15</v>
      </c>
      <c r="H64" s="479">
        <f t="shared" si="12"/>
        <v>6.0730402930402924E-2</v>
      </c>
      <c r="I64" s="535"/>
      <c r="J64" s="606">
        <f t="shared" si="6"/>
        <v>182077.95</v>
      </c>
      <c r="K64" s="617">
        <f t="shared" si="7"/>
        <v>0.93607326007326008</v>
      </c>
      <c r="L64" s="526">
        <f>ProHeader!AN64</f>
        <v>1</v>
      </c>
      <c r="M64" s="525" t="str">
        <f>TEXT(  ProHeader!AJ64,"dd-mm-yy")</f>
        <v>-</v>
      </c>
      <c r="N64" s="525">
        <f>IFERROR(ProHeader!AK64 + ProHeader!AL64,"-")</f>
        <v>30712.5</v>
      </c>
      <c r="O64" s="525">
        <f>IFERROR(ProHeader!AM64,"0")</f>
        <v>30712.5</v>
      </c>
      <c r="P64" s="525">
        <f t="shared" si="8"/>
        <v>0</v>
      </c>
      <c r="Q64" s="619" t="str">
        <f>IF( SUMIFS(srpro!$H$10:$H$3010,srpro!$J$10:$J$3010,$R$6,srpro!$B$10:$B$3010,'ProjectsX (2)'!A64,srpro!$K$10:$K$3010,$A$6)&gt;0,SUMIFS(srpro!$H$10:$H$3010,srpro!$J$10:$J$3010,$R$6,srpro!$B$10:$B$3010,'ProjectsX (2)'!A64,srpro!$K$10:$K$3010,$A$6),"")</f>
        <v/>
      </c>
      <c r="R64" s="449" t="str">
        <f>IF( SUMIFS(srpro!$E$10:$E$3010,srpro!$J$10:$J$3010,$R$6,srpro!$B$10:$B$3010,'ProjectsX (2)'!A64,srpro!$K$10:$K$3010,$A$6)&gt;0,SUMIFS(srpro!$E$10:$E$3010,srpro!$J$10:$J$3010,$R$6,srpro!$B$10:$B$3010,'ProjectsX (2)'!A64,srpro!$K$10:$K$3010,$A$6),"")</f>
        <v/>
      </c>
      <c r="S64" s="450"/>
      <c r="T64" s="619" t="str">
        <f>IF( SUMIFS(srpro!$H$10:$H$3010,srpro!$J$10:$J$3010,$U$6,srpro!$B$10:$B$3010,'ProjectsX (2)'!A64,srpro!$K$10:$K$3010,$A$6)&gt;0,SUMIFS(srpro!$H$10:$H$3010,srpro!$J$10:$J$3010,$U$6,srpro!$B$10:$B$3010,'ProjectsX (2)'!A64,srpro!$K$10:$K$3010,$A$6),"")</f>
        <v/>
      </c>
      <c r="U64" s="449" t="str">
        <f>IF( SUMIFS(srpro!$E$10:$E$3010,srpro!$J$10:$J$3010,$U$6,srpro!$B$10:$B$3010,'ProjectsX (2)'!A64,srpro!$K$10:$K$3010,$A$6)&gt;0,SUMIFS(srpro!$E$10:$E$3010,srpro!$J$10:$J$3010,$U$6,srpro!$B$10:$B$3010,'ProjectsX (2)'!A64,srpro!$K$10:$K$3010,$A$6),"")</f>
        <v/>
      </c>
      <c r="V64" s="450"/>
      <c r="W64" s="619" t="str">
        <f>IF( SUMIFS(srpro!$H$10:$H$3010,srpro!$J$10:$J$3010,$X$6,srpro!$B$10:$B$3010,'ProjectsX (2)'!A64,srpro!$K$10:$K$3010,$A$6)&gt;0,SUMIFS(srpro!$H$10:$H$3010,srpro!$J$10:$J$3010,$X$6,srpro!$B$10:$B$3010,'ProjectsX (2)'!A64,srpro!$K$10:$K$3010,$A$6),"")</f>
        <v/>
      </c>
      <c r="X64" s="449" t="str">
        <f>IF( SUMIFS(srpro!$E$10:$E$3010,srpro!$J$10:$J$3010,$X$6,srpro!$B$10:$B$3010,'ProjectsX (2)'!A64,srpro!$K$10:$K$3010,$A$6)&gt;0,SUMIFS(srpro!$E$10:$E$3010,srpro!$J$10:$J$3010,$X$6,srpro!$B$10:$B$3010,'ProjectsX (2)'!A64,srpro!$K$10:$K$3010,$A$6),"")</f>
        <v/>
      </c>
      <c r="Y64" s="450"/>
      <c r="Z64" s="619" t="str">
        <f>IF( SUMIFS(srpro!$H$10:$H$3010,srpro!$J$10:$J$3010,$AA$6,srpro!$B$10:$B$3010,'ProjectsX (2)'!A64,srpro!$K$10:$K$3010,$A$6)&gt;0,SUMIFS(srpro!$H$10:$H$3010,srpro!$J$10:$J$3010,$AA$6,srpro!$B$10:$B$3010,'ProjectsX (2)'!A64,srpro!$K$10:$K$3010,$A$6),"")</f>
        <v/>
      </c>
      <c r="AA64" s="449">
        <f>IF( SUMIFS(srpro!$E$10:$E$3010,srpro!$J$10:$J$3010,$AA$6,srpro!$B$10:$B$3010,'ProjectsX (2)'!A64,srpro!$K$10:$K$3010,$A$6)&gt;0,SUMIFS(srpro!$E$10:$E$3010,srpro!$J$10:$J$3010,$AA$6,srpro!$B$10:$B$3010,'ProjectsX (2)'!A64,srpro!$K$10:$K$3010,$A$6),"")</f>
        <v>89</v>
      </c>
      <c r="AB64" s="450"/>
      <c r="AC64" s="619" t="str">
        <f>IF( SUMIFS(srpro!$H$10:$H$3010,srpro!$J$10:$J$3010,$AD$6,srpro!$B$10:$B$3010,'ProjectsX (2)'!A64,srpro!$K$10:$K$3010,$A$6)&gt;0,SUMIFS(srpro!$H$10:$H$3010,srpro!$J$10:$J$3010,$AD$6,srpro!$B$10:$B$3010,'ProjectsX (2)'!A64,srpro!$K$10:$K$3010,$A$6),"")</f>
        <v/>
      </c>
      <c r="AD64" s="449" t="str">
        <f>IF( SUMIFS(srpro!$E$10:$E$3010,srpro!$J$10:$J$3010,$AD$6,srpro!$B$10:$B$3010,'ProjectsX (2)'!A64,srpro!$K$10:$K$3010,$A$6)&gt;0,SUMIFS(srpro!$E$10:$E$3010,srpro!$J$10:$J$3010,$AD$6,srpro!$B$10:$B$3010,'ProjectsX (2)'!A64,srpro!$K$10:$K$3010,$A$6),"")</f>
        <v/>
      </c>
      <c r="AE64" s="450"/>
      <c r="AF64" s="454" t="str">
        <f>IF( SUMIFS(srpro!$H$10:$H$3010,srpro!$J$10:$J$3010,$AG$6,srpro!$B$10:$B$3010,'ProjectsX (2)'!A64,srpro!$K$10:$K$3010,$A$6)&gt;0,SUMIFS(srpro!$H$10:$H$3010,srpro!$J$10:$J$3010,$AG$6,srpro!$B$10:$B$3010,'ProjectsX (2)'!A64,srpro!$K$10:$K$3010,$A$6),"")</f>
        <v/>
      </c>
      <c r="AG64" s="449" t="str">
        <f>IF( SUMIFS(srpro!$E$10:$E$3010,srpro!$J$10:$J$3010,$AG$6,srpro!$B$10:$B$3010,'ProjectsX (2)'!A64,srpro!$K$10:$K$3010,$A$6)&gt;0,SUMIFS(srpro!$E$10:$E$3010,srpro!$J$10:$J$3010,$AG$6,srpro!$B$10:$B$3010,'ProjectsX (2)'!A64,srpro!$K$10:$K$3010,$A$6),"")</f>
        <v/>
      </c>
      <c r="AH64" s="450"/>
      <c r="AI64" s="451"/>
      <c r="AJ64" s="451"/>
      <c r="AK64" s="450"/>
      <c r="AL64" s="615">
        <f t="shared" si="9"/>
        <v>89</v>
      </c>
      <c r="AM64" s="425"/>
      <c r="AN64" s="425"/>
      <c r="AO64" s="425"/>
      <c r="AP64" s="425"/>
      <c r="AQ64" s="425"/>
      <c r="AR64" s="425"/>
      <c r="AS64" s="425"/>
      <c r="AT64" s="425"/>
      <c r="AU64" s="425"/>
      <c r="AV64" s="425"/>
      <c r="AW64" s="425"/>
      <c r="AX64" s="425"/>
      <c r="AY64" s="425"/>
      <c r="AZ64" s="425"/>
      <c r="BA64" s="425"/>
      <c r="BB64" s="425"/>
      <c r="BC64" s="425"/>
      <c r="BD64" s="425"/>
      <c r="BE64" s="425"/>
    </row>
    <row r="65" spans="1:57" ht="19.5" customHeight="1">
      <c r="A65" s="616">
        <v>260</v>
      </c>
      <c r="B65" s="618" t="s">
        <v>1339</v>
      </c>
      <c r="C65" s="458">
        <f>(ProHeader!L65+ProHeader!M65)+((ProHeader!L65+ProHeader!M65)*5%)</f>
        <v>273000</v>
      </c>
      <c r="D65" s="458">
        <f t="shared" si="10"/>
        <v>232050</v>
      </c>
      <c r="E65" s="459">
        <f>SUMIFS(srpro!$H$10:$H$3010,srpro!$B$10:$B$3010,'ProjectsX (2)'!A65)</f>
        <v>40950</v>
      </c>
      <c r="F65" s="460">
        <f>SUMIFS(srpro!$E$10:$E$3010,srpro!$B$10:$B$3010,'ProjectsX (2)'!A65)</f>
        <v>15962</v>
      </c>
      <c r="G65" s="478">
        <f t="shared" si="11"/>
        <v>0.15</v>
      </c>
      <c r="H65" s="479">
        <f t="shared" si="12"/>
        <v>5.5545421245421243E-2</v>
      </c>
      <c r="I65" s="535"/>
      <c r="J65" s="606">
        <f t="shared" si="6"/>
        <v>244186.1</v>
      </c>
      <c r="K65" s="617">
        <f t="shared" si="7"/>
        <v>0.94153113553113554</v>
      </c>
      <c r="L65" s="526">
        <f>ProHeader!AN65</f>
        <v>1</v>
      </c>
      <c r="M65" s="525" t="str">
        <f>TEXT(  ProHeader!AJ65,"dd-mm-yy")</f>
        <v>-</v>
      </c>
      <c r="N65" s="525">
        <f>IFERROR(ProHeader!AK65 + ProHeader!AL65,"-")</f>
        <v>40950</v>
      </c>
      <c r="O65" s="525">
        <f>IFERROR(ProHeader!AM65,"0")</f>
        <v>40950</v>
      </c>
      <c r="P65" s="525">
        <f t="shared" si="8"/>
        <v>0</v>
      </c>
      <c r="Q65" s="619" t="str">
        <f>IF( SUMIFS(srpro!$H$10:$H$3010,srpro!$J$10:$J$3010,$R$6,srpro!$B$10:$B$3010,'ProjectsX (2)'!A65,srpro!$K$10:$K$3010,$A$6)&gt;0,SUMIFS(srpro!$H$10:$H$3010,srpro!$J$10:$J$3010,$R$6,srpro!$B$10:$B$3010,'ProjectsX (2)'!A65,srpro!$K$10:$K$3010,$A$6),"")</f>
        <v/>
      </c>
      <c r="R65" s="449" t="str">
        <f>IF( SUMIFS(srpro!$E$10:$E$3010,srpro!$J$10:$J$3010,$R$6,srpro!$B$10:$B$3010,'ProjectsX (2)'!A65,srpro!$K$10:$K$3010,$A$6)&gt;0,SUMIFS(srpro!$E$10:$E$3010,srpro!$J$10:$J$3010,$R$6,srpro!$B$10:$B$3010,'ProjectsX (2)'!A65,srpro!$K$10:$K$3010,$A$6),"")</f>
        <v/>
      </c>
      <c r="S65" s="450"/>
      <c r="T65" s="619" t="str">
        <f>IF( SUMIFS(srpro!$H$10:$H$3010,srpro!$J$10:$J$3010,$U$6,srpro!$B$10:$B$3010,'ProjectsX (2)'!A65,srpro!$K$10:$K$3010,$A$6)&gt;0,SUMIFS(srpro!$H$10:$H$3010,srpro!$J$10:$J$3010,$U$6,srpro!$B$10:$B$3010,'ProjectsX (2)'!A65,srpro!$K$10:$K$3010,$A$6),"")</f>
        <v/>
      </c>
      <c r="U65" s="449">
        <f>IF( SUMIFS(srpro!$E$10:$E$3010,srpro!$J$10:$J$3010,$U$6,srpro!$B$10:$B$3010,'ProjectsX (2)'!A65,srpro!$K$10:$K$3010,$A$6)&gt;0,SUMIFS(srpro!$E$10:$E$3010,srpro!$J$10:$J$3010,$U$6,srpro!$B$10:$B$3010,'ProjectsX (2)'!A65,srpro!$K$10:$K$3010,$A$6),"")</f>
        <v>212</v>
      </c>
      <c r="V65" s="450"/>
      <c r="W65" s="619" t="str">
        <f>IF( SUMIFS(srpro!$H$10:$H$3010,srpro!$J$10:$J$3010,$X$6,srpro!$B$10:$B$3010,'ProjectsX (2)'!A65,srpro!$K$10:$K$3010,$A$6)&gt;0,SUMIFS(srpro!$H$10:$H$3010,srpro!$J$10:$J$3010,$X$6,srpro!$B$10:$B$3010,'ProjectsX (2)'!A65,srpro!$K$10:$K$3010,$A$6),"")</f>
        <v/>
      </c>
      <c r="X65" s="449" t="str">
        <f>IF( SUMIFS(srpro!$E$10:$E$3010,srpro!$J$10:$J$3010,$X$6,srpro!$B$10:$B$3010,'ProjectsX (2)'!A65,srpro!$K$10:$K$3010,$A$6)&gt;0,SUMIFS(srpro!$E$10:$E$3010,srpro!$J$10:$J$3010,$X$6,srpro!$B$10:$B$3010,'ProjectsX (2)'!A65,srpro!$K$10:$K$3010,$A$6),"")</f>
        <v/>
      </c>
      <c r="Y65" s="450"/>
      <c r="Z65" s="619" t="str">
        <f>IF( SUMIFS(srpro!$H$10:$H$3010,srpro!$J$10:$J$3010,$AA$6,srpro!$B$10:$B$3010,'ProjectsX (2)'!A65,srpro!$K$10:$K$3010,$A$6)&gt;0,SUMIFS(srpro!$H$10:$H$3010,srpro!$J$10:$J$3010,$AA$6,srpro!$B$10:$B$3010,'ProjectsX (2)'!A65,srpro!$K$10:$K$3010,$A$6),"")</f>
        <v/>
      </c>
      <c r="AA65" s="449" t="str">
        <f>IF( SUMIFS(srpro!$E$10:$E$3010,srpro!$J$10:$J$3010,$AA$6,srpro!$B$10:$B$3010,'ProjectsX (2)'!A65,srpro!$K$10:$K$3010,$A$6)&gt;0,SUMIFS(srpro!$E$10:$E$3010,srpro!$J$10:$J$3010,$AA$6,srpro!$B$10:$B$3010,'ProjectsX (2)'!A65,srpro!$K$10:$K$3010,$A$6),"")</f>
        <v/>
      </c>
      <c r="AB65" s="450"/>
      <c r="AC65" s="619" t="str">
        <f>IF( SUMIFS(srpro!$H$10:$H$3010,srpro!$J$10:$J$3010,$AD$6,srpro!$B$10:$B$3010,'ProjectsX (2)'!A65,srpro!$K$10:$K$3010,$A$6)&gt;0,SUMIFS(srpro!$H$10:$H$3010,srpro!$J$10:$J$3010,$AD$6,srpro!$B$10:$B$3010,'ProjectsX (2)'!A65,srpro!$K$10:$K$3010,$A$6),"")</f>
        <v/>
      </c>
      <c r="AD65" s="449" t="str">
        <f>IF( SUMIFS(srpro!$E$10:$E$3010,srpro!$J$10:$J$3010,$AD$6,srpro!$B$10:$B$3010,'ProjectsX (2)'!A65,srpro!$K$10:$K$3010,$A$6)&gt;0,SUMIFS(srpro!$E$10:$E$3010,srpro!$J$10:$J$3010,$AD$6,srpro!$B$10:$B$3010,'ProjectsX (2)'!A65,srpro!$K$10:$K$3010,$A$6),"")</f>
        <v/>
      </c>
      <c r="AE65" s="450"/>
      <c r="AF65" s="454" t="str">
        <f>IF( SUMIFS(srpro!$H$10:$H$3010,srpro!$J$10:$J$3010,$AG$6,srpro!$B$10:$B$3010,'ProjectsX (2)'!A65,srpro!$K$10:$K$3010,$A$6)&gt;0,SUMIFS(srpro!$H$10:$H$3010,srpro!$J$10:$J$3010,$AG$6,srpro!$B$10:$B$3010,'ProjectsX (2)'!A65,srpro!$K$10:$K$3010,$A$6),"")</f>
        <v/>
      </c>
      <c r="AG65" s="449" t="str">
        <f>IF( SUMIFS(srpro!$E$10:$E$3010,srpro!$J$10:$J$3010,$AG$6,srpro!$B$10:$B$3010,'ProjectsX (2)'!A65,srpro!$K$10:$K$3010,$A$6)&gt;0,SUMIFS(srpro!$E$10:$E$3010,srpro!$J$10:$J$3010,$AG$6,srpro!$B$10:$B$3010,'ProjectsX (2)'!A65,srpro!$K$10:$K$3010,$A$6),"")</f>
        <v/>
      </c>
      <c r="AH65" s="450"/>
      <c r="AI65" s="451"/>
      <c r="AJ65" s="451"/>
      <c r="AK65" s="450"/>
      <c r="AL65" s="615">
        <f t="shared" si="9"/>
        <v>212</v>
      </c>
      <c r="AM65" s="425"/>
      <c r="AN65" s="425"/>
      <c r="AO65" s="425"/>
      <c r="AP65" s="425"/>
      <c r="AQ65" s="425"/>
      <c r="AR65" s="425"/>
      <c r="AS65" s="425"/>
      <c r="AT65" s="425"/>
      <c r="AU65" s="425"/>
      <c r="AV65" s="425"/>
      <c r="AW65" s="425"/>
      <c r="AX65" s="425"/>
      <c r="AY65" s="425"/>
      <c r="AZ65" s="425"/>
      <c r="BA65" s="425"/>
      <c r="BB65" s="425"/>
      <c r="BC65" s="425"/>
      <c r="BD65" s="425"/>
      <c r="BE65" s="425"/>
    </row>
    <row r="66" spans="1:57" ht="19.5" customHeight="1">
      <c r="A66" s="616">
        <v>261</v>
      </c>
      <c r="B66" s="618" t="s">
        <v>276</v>
      </c>
      <c r="C66" s="458">
        <f>(ProHeader!L66+ProHeader!M66)+((ProHeader!L66+ProHeader!M66)*5%)</f>
        <v>241500</v>
      </c>
      <c r="D66" s="458">
        <f t="shared" si="10"/>
        <v>205275</v>
      </c>
      <c r="E66" s="459">
        <f>SUMIFS(srpro!$H$10:$H$3010,srpro!$B$10:$B$3010,'ProjectsX (2)'!A66)</f>
        <v>36225</v>
      </c>
      <c r="F66" s="460">
        <f>SUMIFS(srpro!$E$10:$E$3010,srpro!$B$10:$B$3010,'ProjectsX (2)'!A66)</f>
        <v>18267.689999999999</v>
      </c>
      <c r="G66" s="478">
        <f t="shared" si="11"/>
        <v>0.15</v>
      </c>
      <c r="H66" s="479">
        <f t="shared" si="12"/>
        <v>7.1860478260869554E-2</v>
      </c>
      <c r="I66" s="535"/>
      <c r="J66" s="606">
        <f t="shared" si="6"/>
        <v>212070.69450000001</v>
      </c>
      <c r="K66" s="617">
        <f t="shared" si="7"/>
        <v>0.92435739130434791</v>
      </c>
      <c r="L66" s="526">
        <f>ProHeader!AN66</f>
        <v>1</v>
      </c>
      <c r="M66" s="525" t="str">
        <f>TEXT(  ProHeader!AJ66,"dd-mm-yy")</f>
        <v>-</v>
      </c>
      <c r="N66" s="525">
        <f>IFERROR(ProHeader!AK66 + ProHeader!AL66,"-")</f>
        <v>36225</v>
      </c>
      <c r="O66" s="525">
        <f>IFERROR(ProHeader!AM66,"0")</f>
        <v>36225</v>
      </c>
      <c r="P66" s="525">
        <f t="shared" si="8"/>
        <v>0</v>
      </c>
      <c r="Q66" s="619" t="str">
        <f>IF( SUMIFS(srpro!$H$10:$H$3010,srpro!$J$10:$J$3010,$R$6,srpro!$B$10:$B$3010,'ProjectsX (2)'!A66,srpro!$K$10:$K$3010,$A$6)&gt;0,SUMIFS(srpro!$H$10:$H$3010,srpro!$J$10:$J$3010,$R$6,srpro!$B$10:$B$3010,'ProjectsX (2)'!A66,srpro!$K$10:$K$3010,$A$6),"")</f>
        <v/>
      </c>
      <c r="R66" s="449" t="str">
        <f>IF( SUMIFS(srpro!$E$10:$E$3010,srpro!$J$10:$J$3010,$R$6,srpro!$B$10:$B$3010,'ProjectsX (2)'!A66,srpro!$K$10:$K$3010,$A$6)&gt;0,SUMIFS(srpro!$E$10:$E$3010,srpro!$J$10:$J$3010,$R$6,srpro!$B$10:$B$3010,'ProjectsX (2)'!A66,srpro!$K$10:$K$3010,$A$6),"")</f>
        <v/>
      </c>
      <c r="S66" s="450"/>
      <c r="T66" s="619" t="str">
        <f>IF( SUMIFS(srpro!$H$10:$H$3010,srpro!$J$10:$J$3010,$U$6,srpro!$B$10:$B$3010,'ProjectsX (2)'!A66,srpro!$K$10:$K$3010,$A$6)&gt;0,SUMIFS(srpro!$H$10:$H$3010,srpro!$J$10:$J$3010,$U$6,srpro!$B$10:$B$3010,'ProjectsX (2)'!A66,srpro!$K$10:$K$3010,$A$6),"")</f>
        <v/>
      </c>
      <c r="U66" s="449" t="str">
        <f>IF( SUMIFS(srpro!$E$10:$E$3010,srpro!$J$10:$J$3010,$U$6,srpro!$B$10:$B$3010,'ProjectsX (2)'!A66,srpro!$K$10:$K$3010,$A$6)&gt;0,SUMIFS(srpro!$E$10:$E$3010,srpro!$J$10:$J$3010,$U$6,srpro!$B$10:$B$3010,'ProjectsX (2)'!A66,srpro!$K$10:$K$3010,$A$6),"")</f>
        <v/>
      </c>
      <c r="V66" s="450"/>
      <c r="W66" s="619" t="str">
        <f>IF( SUMIFS(srpro!$H$10:$H$3010,srpro!$J$10:$J$3010,$X$6,srpro!$B$10:$B$3010,'ProjectsX (2)'!A66,srpro!$K$10:$K$3010,$A$6)&gt;0,SUMIFS(srpro!$H$10:$H$3010,srpro!$J$10:$J$3010,$X$6,srpro!$B$10:$B$3010,'ProjectsX (2)'!A66,srpro!$K$10:$K$3010,$A$6),"")</f>
        <v/>
      </c>
      <c r="X66" s="449" t="str">
        <f>IF( SUMIFS(srpro!$E$10:$E$3010,srpro!$J$10:$J$3010,$X$6,srpro!$B$10:$B$3010,'ProjectsX (2)'!A66,srpro!$K$10:$K$3010,$A$6)&gt;0,SUMIFS(srpro!$E$10:$E$3010,srpro!$J$10:$J$3010,$X$6,srpro!$B$10:$B$3010,'ProjectsX (2)'!A66,srpro!$K$10:$K$3010,$A$6),"")</f>
        <v/>
      </c>
      <c r="Y66" s="450"/>
      <c r="Z66" s="619" t="str">
        <f>IF( SUMIFS(srpro!$H$10:$H$3010,srpro!$J$10:$J$3010,$AA$6,srpro!$B$10:$B$3010,'ProjectsX (2)'!A66,srpro!$K$10:$K$3010,$A$6)&gt;0,SUMIFS(srpro!$H$10:$H$3010,srpro!$J$10:$J$3010,$AA$6,srpro!$B$10:$B$3010,'ProjectsX (2)'!A66,srpro!$K$10:$K$3010,$A$6),"")</f>
        <v/>
      </c>
      <c r="AA66" s="449" t="str">
        <f>IF( SUMIFS(srpro!$E$10:$E$3010,srpro!$J$10:$J$3010,$AA$6,srpro!$B$10:$B$3010,'ProjectsX (2)'!A66,srpro!$K$10:$K$3010,$A$6)&gt;0,SUMIFS(srpro!$E$10:$E$3010,srpro!$J$10:$J$3010,$AA$6,srpro!$B$10:$B$3010,'ProjectsX (2)'!A66,srpro!$K$10:$K$3010,$A$6),"")</f>
        <v/>
      </c>
      <c r="AB66" s="450"/>
      <c r="AC66" s="619" t="str">
        <f>IF( SUMIFS(srpro!$H$10:$H$3010,srpro!$J$10:$J$3010,$AD$6,srpro!$B$10:$B$3010,'ProjectsX (2)'!A66,srpro!$K$10:$K$3010,$A$6)&gt;0,SUMIFS(srpro!$H$10:$H$3010,srpro!$J$10:$J$3010,$AD$6,srpro!$B$10:$B$3010,'ProjectsX (2)'!A66,srpro!$K$10:$K$3010,$A$6),"")</f>
        <v/>
      </c>
      <c r="AD66" s="449">
        <f>IF( SUMIFS(srpro!$E$10:$E$3010,srpro!$J$10:$J$3010,$AD$6,srpro!$B$10:$B$3010,'ProjectsX (2)'!A66,srpro!$K$10:$K$3010,$A$6)&gt;0,SUMIFS(srpro!$E$10:$E$3010,srpro!$J$10:$J$3010,$AD$6,srpro!$B$10:$B$3010,'ProjectsX (2)'!A66,srpro!$K$10:$K$3010,$A$6),"")</f>
        <v>2517.69</v>
      </c>
      <c r="AE66" s="450"/>
      <c r="AF66" s="454" t="str">
        <f>IF( SUMIFS(srpro!$H$10:$H$3010,srpro!$J$10:$J$3010,$AG$6,srpro!$B$10:$B$3010,'ProjectsX (2)'!A66,srpro!$K$10:$K$3010,$A$6)&gt;0,SUMIFS(srpro!$H$10:$H$3010,srpro!$J$10:$J$3010,$AG$6,srpro!$B$10:$B$3010,'ProjectsX (2)'!A66,srpro!$K$10:$K$3010,$A$6),"")</f>
        <v/>
      </c>
      <c r="AG66" s="449" t="str">
        <f>IF( SUMIFS(srpro!$E$10:$E$3010,srpro!$J$10:$J$3010,$AG$6,srpro!$B$10:$B$3010,'ProjectsX (2)'!A66,srpro!$K$10:$K$3010,$A$6)&gt;0,SUMIFS(srpro!$E$10:$E$3010,srpro!$J$10:$J$3010,$AG$6,srpro!$B$10:$B$3010,'ProjectsX (2)'!A66,srpro!$K$10:$K$3010,$A$6),"")</f>
        <v/>
      </c>
      <c r="AH66" s="450"/>
      <c r="AI66" s="451"/>
      <c r="AJ66" s="451"/>
      <c r="AK66" s="450"/>
      <c r="AL66" s="615">
        <f t="shared" si="9"/>
        <v>2517.69</v>
      </c>
      <c r="AM66" s="425"/>
      <c r="AN66" s="425"/>
      <c r="AO66" s="425"/>
      <c r="AP66" s="425"/>
      <c r="AQ66" s="425"/>
      <c r="AR66" s="425"/>
      <c r="AS66" s="425"/>
      <c r="AT66" s="425"/>
      <c r="AU66" s="425"/>
      <c r="AV66" s="425"/>
      <c r="AW66" s="425"/>
      <c r="AX66" s="425"/>
      <c r="AY66" s="425"/>
      <c r="AZ66" s="425"/>
      <c r="BA66" s="425"/>
      <c r="BB66" s="425"/>
      <c r="BC66" s="425"/>
      <c r="BD66" s="425"/>
      <c r="BE66" s="425"/>
    </row>
    <row r="67" spans="1:57" ht="19.5" customHeight="1">
      <c r="A67" s="616">
        <v>262</v>
      </c>
      <c r="B67" s="618" t="s">
        <v>275</v>
      </c>
      <c r="C67" s="458">
        <f>(ProHeader!L67+ProHeader!M67)+((ProHeader!L67+ProHeader!M67)*5%)</f>
        <v>160650</v>
      </c>
      <c r="D67" s="458">
        <f t="shared" si="10"/>
        <v>7650</v>
      </c>
      <c r="E67" s="459">
        <f>SUMIFS(srpro!$H$10:$H$3010,srpro!$B$10:$B$3010,'ProjectsX (2)'!A67)</f>
        <v>153000</v>
      </c>
      <c r="F67" s="460">
        <f>SUMIFS(srpro!$E$10:$E$3010,srpro!$B$10:$B$3010,'ProjectsX (2)'!A67)</f>
        <v>70125.703999999998</v>
      </c>
      <c r="G67" s="478">
        <f t="shared" si="11"/>
        <v>0.95238095238095233</v>
      </c>
      <c r="H67" s="479">
        <f t="shared" si="12"/>
        <v>0.41468670276999686</v>
      </c>
      <c r="I67" s="535"/>
      <c r="J67" s="606">
        <f t="shared" si="6"/>
        <v>85998.081200000001</v>
      </c>
      <c r="K67" s="617">
        <f t="shared" si="7"/>
        <v>0.56348768129474014</v>
      </c>
      <c r="L67" s="526">
        <f>ProHeader!AN67</f>
        <v>1</v>
      </c>
      <c r="M67" s="525" t="str">
        <f>TEXT(  ProHeader!AJ67,"dd-mm-yy")</f>
        <v>-</v>
      </c>
      <c r="N67" s="525">
        <f>IFERROR(ProHeader!AK67 + ProHeader!AL67,"-")</f>
        <v>16065</v>
      </c>
      <c r="O67" s="525">
        <f>IFERROR(ProHeader!AM67,"0")</f>
        <v>16065</v>
      </c>
      <c r="P67" s="525">
        <f t="shared" si="8"/>
        <v>0</v>
      </c>
      <c r="Q67" s="619" t="str">
        <f>IF( SUMIFS(srpro!$H$10:$H$3010,srpro!$J$10:$J$3010,$R$6,srpro!$B$10:$B$3010,'ProjectsX (2)'!A67,srpro!$K$10:$K$3010,$A$6)&gt;0,SUMIFS(srpro!$H$10:$H$3010,srpro!$J$10:$J$3010,$R$6,srpro!$B$10:$B$3010,'ProjectsX (2)'!A67,srpro!$K$10:$K$3010,$A$6),"")</f>
        <v/>
      </c>
      <c r="R67" s="449">
        <f>IF( SUMIFS(srpro!$E$10:$E$3010,srpro!$J$10:$J$3010,$R$6,srpro!$B$10:$B$3010,'ProjectsX (2)'!A67,srpro!$K$10:$K$3010,$A$6)&gt;0,SUMIFS(srpro!$E$10:$E$3010,srpro!$J$10:$J$3010,$R$6,srpro!$B$10:$B$3010,'ProjectsX (2)'!A67,srpro!$K$10:$K$3010,$A$6),"")</f>
        <v>26056</v>
      </c>
      <c r="S67" s="450"/>
      <c r="T67" s="619" t="str">
        <f>IF( SUMIFS(srpro!$H$10:$H$3010,srpro!$J$10:$J$3010,$U$6,srpro!$B$10:$B$3010,'ProjectsX (2)'!A67,srpro!$K$10:$K$3010,$A$6)&gt;0,SUMIFS(srpro!$H$10:$H$3010,srpro!$J$10:$J$3010,$U$6,srpro!$B$10:$B$3010,'ProjectsX (2)'!A67,srpro!$K$10:$K$3010,$A$6),"")</f>
        <v/>
      </c>
      <c r="U67" s="449">
        <f>IF( SUMIFS(srpro!$E$10:$E$3010,srpro!$J$10:$J$3010,$U$6,srpro!$B$10:$B$3010,'ProjectsX (2)'!A67,srpro!$K$10:$K$3010,$A$6)&gt;0,SUMIFS(srpro!$E$10:$E$3010,srpro!$J$10:$J$3010,$U$6,srpro!$B$10:$B$3010,'ProjectsX (2)'!A67,srpro!$K$10:$K$3010,$A$6),"")</f>
        <v>9741.2400000000016</v>
      </c>
      <c r="V67" s="450"/>
      <c r="W67" s="619" t="str">
        <f>IF( SUMIFS(srpro!$H$10:$H$3010,srpro!$J$10:$J$3010,$X$6,srpro!$B$10:$B$3010,'ProjectsX (2)'!A67,srpro!$K$10:$K$3010,$A$6)&gt;0,SUMIFS(srpro!$H$10:$H$3010,srpro!$J$10:$J$3010,$X$6,srpro!$B$10:$B$3010,'ProjectsX (2)'!A67,srpro!$K$10:$K$3010,$A$6),"")</f>
        <v/>
      </c>
      <c r="X67" s="449">
        <f>IF( SUMIFS(srpro!$E$10:$E$3010,srpro!$J$10:$J$3010,$X$6,srpro!$B$10:$B$3010,'ProjectsX (2)'!A67,srpro!$K$10:$K$3010,$A$6)&gt;0,SUMIFS(srpro!$E$10:$E$3010,srpro!$J$10:$J$3010,$X$6,srpro!$B$10:$B$3010,'ProjectsX (2)'!A67,srpro!$K$10:$K$3010,$A$6),"")</f>
        <v>1183.3700000000001</v>
      </c>
      <c r="Y67" s="450"/>
      <c r="Z67" s="619" t="str">
        <f>IF( SUMIFS(srpro!$H$10:$H$3010,srpro!$J$10:$J$3010,$AA$6,srpro!$B$10:$B$3010,'ProjectsX (2)'!A67,srpro!$K$10:$K$3010,$A$6)&gt;0,SUMIFS(srpro!$H$10:$H$3010,srpro!$J$10:$J$3010,$AA$6,srpro!$B$10:$B$3010,'ProjectsX (2)'!A67,srpro!$K$10:$K$3010,$A$6),"")</f>
        <v/>
      </c>
      <c r="AA67" s="449">
        <f>IF( SUMIFS(srpro!$E$10:$E$3010,srpro!$J$10:$J$3010,$AA$6,srpro!$B$10:$B$3010,'ProjectsX (2)'!A67,srpro!$K$10:$K$3010,$A$6)&gt;0,SUMIFS(srpro!$E$10:$E$3010,srpro!$J$10:$J$3010,$AA$6,srpro!$B$10:$B$3010,'ProjectsX (2)'!A67,srpro!$K$10:$K$3010,$A$6),"")</f>
        <v>311.44</v>
      </c>
      <c r="AB67" s="450"/>
      <c r="AC67" s="619" t="str">
        <f>IF( SUMIFS(srpro!$H$10:$H$3010,srpro!$J$10:$J$3010,$AD$6,srpro!$B$10:$B$3010,'ProjectsX (2)'!A67,srpro!$K$10:$K$3010,$A$6)&gt;0,SUMIFS(srpro!$H$10:$H$3010,srpro!$J$10:$J$3010,$AD$6,srpro!$B$10:$B$3010,'ProjectsX (2)'!A67,srpro!$K$10:$K$3010,$A$6),"")</f>
        <v/>
      </c>
      <c r="AD67" s="449" t="str">
        <f>IF( SUMIFS(srpro!$E$10:$E$3010,srpro!$J$10:$J$3010,$AD$6,srpro!$B$10:$B$3010,'ProjectsX (2)'!A67,srpro!$K$10:$K$3010,$A$6)&gt;0,SUMIFS(srpro!$E$10:$E$3010,srpro!$J$10:$J$3010,$AD$6,srpro!$B$10:$B$3010,'ProjectsX (2)'!A67,srpro!$K$10:$K$3010,$A$6),"")</f>
        <v/>
      </c>
      <c r="AE67" s="450"/>
      <c r="AF67" s="454" t="str">
        <f>IF( SUMIFS(srpro!$H$10:$H$3010,srpro!$J$10:$J$3010,$AG$6,srpro!$B$10:$B$3010,'ProjectsX (2)'!A67,srpro!$K$10:$K$3010,$A$6)&gt;0,SUMIFS(srpro!$H$10:$H$3010,srpro!$J$10:$J$3010,$AG$6,srpro!$B$10:$B$3010,'ProjectsX (2)'!A67,srpro!$K$10:$K$3010,$A$6),"")</f>
        <v/>
      </c>
      <c r="AG67" s="449">
        <f>IF( SUMIFS(srpro!$E$10:$E$3010,srpro!$J$10:$J$3010,$AG$6,srpro!$B$10:$B$3010,'ProjectsX (2)'!A67,srpro!$K$10:$K$3010,$A$6)&gt;0,SUMIFS(srpro!$E$10:$E$3010,srpro!$J$10:$J$3010,$AG$6,srpro!$B$10:$B$3010,'ProjectsX (2)'!A67,srpro!$K$10:$K$3010,$A$6),"")</f>
        <v>8301.7739999999994</v>
      </c>
      <c r="AH67" s="450"/>
      <c r="AI67" s="451"/>
      <c r="AJ67" s="451"/>
      <c r="AK67" s="450"/>
      <c r="AL67" s="615">
        <f t="shared" si="9"/>
        <v>45593.824000000008</v>
      </c>
      <c r="AM67" s="425"/>
      <c r="AN67" s="425"/>
      <c r="AO67" s="425"/>
      <c r="AP67" s="425"/>
      <c r="AQ67" s="425"/>
      <c r="AR67" s="425"/>
      <c r="AS67" s="425"/>
      <c r="AT67" s="425"/>
      <c r="AU67" s="425"/>
      <c r="AV67" s="425"/>
      <c r="AW67" s="425"/>
      <c r="AX67" s="425"/>
      <c r="AY67" s="425"/>
      <c r="AZ67" s="425"/>
      <c r="BA67" s="425"/>
      <c r="BB67" s="425"/>
      <c r="BC67" s="425"/>
      <c r="BD67" s="425"/>
      <c r="BE67" s="425"/>
    </row>
    <row r="68" spans="1:57" ht="19.5" customHeight="1">
      <c r="A68" s="616">
        <v>264</v>
      </c>
      <c r="B68" s="618" t="s">
        <v>303</v>
      </c>
      <c r="C68" s="458">
        <f>(ProHeader!L68+ProHeader!M68)+((ProHeader!L68+ProHeader!M68)*5%)</f>
        <v>217350</v>
      </c>
      <c r="D68" s="458">
        <f t="shared" si="10"/>
        <v>105449.9985</v>
      </c>
      <c r="E68" s="459">
        <f>SUMIFS(srpro!$H$10:$H$3010,srpro!$B$10:$B$3010,'ProjectsX (2)'!A68)</f>
        <v>111900.0015</v>
      </c>
      <c r="F68" s="460">
        <f>SUMIFS(srpro!$E$10:$E$3010,srpro!$B$10:$B$3010,'ProjectsX (2)'!A68)</f>
        <v>48746.06</v>
      </c>
      <c r="G68" s="478">
        <f t="shared" si="11"/>
        <v>0.5148378260869565</v>
      </c>
      <c r="H68" s="479">
        <f t="shared" si="12"/>
        <v>0.21306076374511157</v>
      </c>
      <c r="I68" s="535"/>
      <c r="J68" s="606">
        <f t="shared" si="6"/>
        <v>160173.74300000002</v>
      </c>
      <c r="K68" s="617">
        <f t="shared" si="7"/>
        <v>0.77572551184725103</v>
      </c>
      <c r="L68" s="526">
        <f>ProHeader!AN68</f>
        <v>2</v>
      </c>
      <c r="M68" s="525" t="str">
        <f>TEXT(  ProHeader!AJ68,"dd-mm-yy")</f>
        <v>-</v>
      </c>
      <c r="N68" s="525">
        <f>IFERROR(ProHeader!AK68 + ProHeader!AL68,"-")</f>
        <v>30000.001499999998</v>
      </c>
      <c r="O68" s="525">
        <f>IFERROR(ProHeader!AM68,"0")</f>
        <v>30000</v>
      </c>
      <c r="P68" s="525">
        <f t="shared" si="8"/>
        <v>1.4999999984866008E-3</v>
      </c>
      <c r="Q68" s="619" t="str">
        <f>IF( SUMIFS(srpro!$H$10:$H$3010,srpro!$J$10:$J$3010,$R$6,srpro!$B$10:$B$3010,'ProjectsX (2)'!A68,srpro!$K$10:$K$3010,$A$6)&gt;0,SUMIFS(srpro!$H$10:$H$3010,srpro!$J$10:$J$3010,$R$6,srpro!$B$10:$B$3010,'ProjectsX (2)'!A68,srpro!$K$10:$K$3010,$A$6),"")</f>
        <v/>
      </c>
      <c r="R68" s="449" t="str">
        <f>IF( SUMIFS(srpro!$E$10:$E$3010,srpro!$J$10:$J$3010,$R$6,srpro!$B$10:$B$3010,'ProjectsX (2)'!A68,srpro!$K$10:$K$3010,$A$6)&gt;0,SUMIFS(srpro!$E$10:$E$3010,srpro!$J$10:$J$3010,$R$6,srpro!$B$10:$B$3010,'ProjectsX (2)'!A68,srpro!$K$10:$K$3010,$A$6),"")</f>
        <v/>
      </c>
      <c r="S68" s="450"/>
      <c r="T68" s="619" t="str">
        <f>IF( SUMIFS(srpro!$H$10:$H$3010,srpro!$J$10:$J$3010,$U$6,srpro!$B$10:$B$3010,'ProjectsX (2)'!A68,srpro!$K$10:$K$3010,$A$6)&gt;0,SUMIFS(srpro!$H$10:$H$3010,srpro!$J$10:$J$3010,$U$6,srpro!$B$10:$B$3010,'ProjectsX (2)'!A68,srpro!$K$10:$K$3010,$A$6),"")</f>
        <v/>
      </c>
      <c r="U68" s="449">
        <f>IF( SUMIFS(srpro!$E$10:$E$3010,srpro!$J$10:$J$3010,$U$6,srpro!$B$10:$B$3010,'ProjectsX (2)'!A68,srpro!$K$10:$K$3010,$A$6)&gt;0,SUMIFS(srpro!$E$10:$E$3010,srpro!$J$10:$J$3010,$U$6,srpro!$B$10:$B$3010,'ProjectsX (2)'!A68,srpro!$K$10:$K$3010,$A$6),"")</f>
        <v>374</v>
      </c>
      <c r="V68" s="450"/>
      <c r="W68" s="619" t="str">
        <f>IF( SUMIFS(srpro!$H$10:$H$3010,srpro!$J$10:$J$3010,$X$6,srpro!$B$10:$B$3010,'ProjectsX (2)'!A68,srpro!$K$10:$K$3010,$A$6)&gt;0,SUMIFS(srpro!$H$10:$H$3010,srpro!$J$10:$J$3010,$X$6,srpro!$B$10:$B$3010,'ProjectsX (2)'!A68,srpro!$K$10:$K$3010,$A$6),"")</f>
        <v/>
      </c>
      <c r="X68" s="449" t="str">
        <f>IF( SUMIFS(srpro!$E$10:$E$3010,srpro!$J$10:$J$3010,$X$6,srpro!$B$10:$B$3010,'ProjectsX (2)'!A68,srpro!$K$10:$K$3010,$A$6)&gt;0,SUMIFS(srpro!$E$10:$E$3010,srpro!$J$10:$J$3010,$X$6,srpro!$B$10:$B$3010,'ProjectsX (2)'!A68,srpro!$K$10:$K$3010,$A$6),"")</f>
        <v/>
      </c>
      <c r="Y68" s="450"/>
      <c r="Z68" s="619" t="str">
        <f>IF( SUMIFS(srpro!$H$10:$H$3010,srpro!$J$10:$J$3010,$AA$6,srpro!$B$10:$B$3010,'ProjectsX (2)'!A68,srpro!$K$10:$K$3010,$A$6)&gt;0,SUMIFS(srpro!$H$10:$H$3010,srpro!$J$10:$J$3010,$AA$6,srpro!$B$10:$B$3010,'ProjectsX (2)'!A68,srpro!$K$10:$K$3010,$A$6),"")</f>
        <v/>
      </c>
      <c r="AA68" s="449" t="str">
        <f>IF( SUMIFS(srpro!$E$10:$E$3010,srpro!$J$10:$J$3010,$AA$6,srpro!$B$10:$B$3010,'ProjectsX (2)'!A68,srpro!$K$10:$K$3010,$A$6)&gt;0,SUMIFS(srpro!$E$10:$E$3010,srpro!$J$10:$J$3010,$AA$6,srpro!$B$10:$B$3010,'ProjectsX (2)'!A68,srpro!$K$10:$K$3010,$A$6),"")</f>
        <v/>
      </c>
      <c r="AB68" s="450"/>
      <c r="AC68" s="619" t="str">
        <f>IF( SUMIFS(srpro!$H$10:$H$3010,srpro!$J$10:$J$3010,$AD$6,srpro!$B$10:$B$3010,'ProjectsX (2)'!A68,srpro!$K$10:$K$3010,$A$6)&gt;0,SUMIFS(srpro!$H$10:$H$3010,srpro!$J$10:$J$3010,$AD$6,srpro!$B$10:$B$3010,'ProjectsX (2)'!A68,srpro!$K$10:$K$3010,$A$6),"")</f>
        <v/>
      </c>
      <c r="AD68" s="449">
        <f>IF( SUMIFS(srpro!$E$10:$E$3010,srpro!$J$10:$J$3010,$AD$6,srpro!$B$10:$B$3010,'ProjectsX (2)'!A68,srpro!$K$10:$K$3010,$A$6)&gt;0,SUMIFS(srpro!$E$10:$E$3010,srpro!$J$10:$J$3010,$AD$6,srpro!$B$10:$B$3010,'ProjectsX (2)'!A68,srpro!$K$10:$K$3010,$A$6),"")</f>
        <v>12676.059999999998</v>
      </c>
      <c r="AE68" s="450"/>
      <c r="AF68" s="454">
        <f>IF( SUMIFS(srpro!$H$10:$H$3010,srpro!$J$10:$J$3010,$AG$6,srpro!$B$10:$B$3010,'ProjectsX (2)'!A68,srpro!$K$10:$K$3010,$A$6)&gt;0,SUMIFS(srpro!$H$10:$H$3010,srpro!$J$10:$J$3010,$AG$6,srpro!$B$10:$B$3010,'ProjectsX (2)'!A68,srpro!$K$10:$K$3010,$A$6),"")</f>
        <v>81900</v>
      </c>
      <c r="AG68" s="449">
        <f>IF( SUMIFS(srpro!$E$10:$E$3010,srpro!$J$10:$J$3010,$AG$6,srpro!$B$10:$B$3010,'ProjectsX (2)'!A68,srpro!$K$10:$K$3010,$A$6)&gt;0,SUMIFS(srpro!$E$10:$E$3010,srpro!$J$10:$J$3010,$AG$6,srpro!$B$10:$B$3010,'ProjectsX (2)'!A68,srpro!$K$10:$K$3010,$A$6),"")</f>
        <v>35196</v>
      </c>
      <c r="AH68" s="450"/>
      <c r="AI68" s="451"/>
      <c r="AJ68" s="451"/>
      <c r="AK68" s="450"/>
      <c r="AL68" s="615">
        <f t="shared" si="9"/>
        <v>130146.06</v>
      </c>
      <c r="AM68" s="425"/>
      <c r="AN68" s="425"/>
      <c r="AO68" s="425"/>
      <c r="AP68" s="425"/>
      <c r="AQ68" s="425"/>
      <c r="AR68" s="425"/>
      <c r="AS68" s="425"/>
      <c r="AT68" s="425"/>
      <c r="AU68" s="425"/>
      <c r="AV68" s="425"/>
      <c r="AW68" s="425"/>
      <c r="AX68" s="425"/>
      <c r="AY68" s="425"/>
      <c r="AZ68" s="425"/>
      <c r="BA68" s="425"/>
      <c r="BB68" s="425"/>
      <c r="BC68" s="425"/>
      <c r="BD68" s="425"/>
      <c r="BE68" s="425"/>
    </row>
    <row r="69" spans="1:57" ht="19.5" customHeight="1">
      <c r="A69" s="616">
        <v>265</v>
      </c>
      <c r="B69" s="618" t="s">
        <v>193</v>
      </c>
      <c r="C69" s="458">
        <f>(ProHeader!L69+ProHeader!M69)+((ProHeader!L69+ProHeader!M69)*5%)</f>
        <v>246750</v>
      </c>
      <c r="D69" s="458">
        <f t="shared" si="10"/>
        <v>234675</v>
      </c>
      <c r="E69" s="459">
        <f>SUMIFS(srpro!$H$10:$H$3010,srpro!$B$10:$B$3010,'ProjectsX (2)'!A69)</f>
        <v>12075</v>
      </c>
      <c r="F69" s="460">
        <f>SUMIFS(srpro!$E$10:$E$3010,srpro!$B$10:$B$3010,'ProjectsX (2)'!A69)</f>
        <v>778.53</v>
      </c>
      <c r="G69" s="478">
        <f t="shared" si="11"/>
        <v>4.8936170212765959E-2</v>
      </c>
      <c r="H69" s="479">
        <f t="shared" si="12"/>
        <v>2.9973799392097262E-3</v>
      </c>
      <c r="I69" s="535"/>
      <c r="J69" s="606">
        <f t="shared" si="6"/>
        <v>233672.8965</v>
      </c>
      <c r="K69" s="617">
        <f t="shared" si="7"/>
        <v>0.99684486322188448</v>
      </c>
      <c r="L69" s="526">
        <f>ProHeader!AN69</f>
        <v>3</v>
      </c>
      <c r="M69" s="525" t="str">
        <f>TEXT(  ProHeader!AJ69,"dd-mm-yy")</f>
        <v>-</v>
      </c>
      <c r="N69" s="525">
        <f>IFERROR(ProHeader!AK69 + ProHeader!AL69,"-")</f>
        <v>37012.5</v>
      </c>
      <c r="O69" s="525">
        <f>IFERROR(ProHeader!AM69,"0")</f>
        <v>37012.5</v>
      </c>
      <c r="P69" s="525">
        <f t="shared" si="8"/>
        <v>0</v>
      </c>
      <c r="Q69" s="619" t="str">
        <f>IF( SUMIFS(srpro!$H$10:$H$3010,srpro!$J$10:$J$3010,$R$6,srpro!$B$10:$B$3010,'ProjectsX (2)'!A69,srpro!$K$10:$K$3010,$A$6)&gt;0,SUMIFS(srpro!$H$10:$H$3010,srpro!$J$10:$J$3010,$R$6,srpro!$B$10:$B$3010,'ProjectsX (2)'!A69,srpro!$K$10:$K$3010,$A$6),"")</f>
        <v/>
      </c>
      <c r="R69" s="449">
        <f>IF( SUMIFS(srpro!$E$10:$E$3010,srpro!$J$10:$J$3010,$R$6,srpro!$B$10:$B$3010,'ProjectsX (2)'!A69,srpro!$K$10:$K$3010,$A$6)&gt;0,SUMIFS(srpro!$E$10:$E$3010,srpro!$J$10:$J$3010,$R$6,srpro!$B$10:$B$3010,'ProjectsX (2)'!A69,srpro!$K$10:$K$3010,$A$6),"")</f>
        <v>26</v>
      </c>
      <c r="S69" s="450"/>
      <c r="T69" s="619" t="str">
        <f>IF( SUMIFS(srpro!$H$10:$H$3010,srpro!$J$10:$J$3010,$U$6,srpro!$B$10:$B$3010,'ProjectsX (2)'!A69,srpro!$K$10:$K$3010,$A$6)&gt;0,SUMIFS(srpro!$H$10:$H$3010,srpro!$J$10:$J$3010,$U$6,srpro!$B$10:$B$3010,'ProjectsX (2)'!A69,srpro!$K$10:$K$3010,$A$6),"")</f>
        <v/>
      </c>
      <c r="U69" s="449">
        <f>IF( SUMIFS(srpro!$E$10:$E$3010,srpro!$J$10:$J$3010,$U$6,srpro!$B$10:$B$3010,'ProjectsX (2)'!A69,srpro!$K$10:$K$3010,$A$6)&gt;0,SUMIFS(srpro!$E$10:$E$3010,srpro!$J$10:$J$3010,$U$6,srpro!$B$10:$B$3010,'ProjectsX (2)'!A69,srpro!$K$10:$K$3010,$A$6),"")</f>
        <v>126.53</v>
      </c>
      <c r="V69" s="450"/>
      <c r="W69" s="619" t="str">
        <f>IF( SUMIFS(srpro!$H$10:$H$3010,srpro!$J$10:$J$3010,$X$6,srpro!$B$10:$B$3010,'ProjectsX (2)'!A69,srpro!$K$10:$K$3010,$A$6)&gt;0,SUMIFS(srpro!$H$10:$H$3010,srpro!$J$10:$J$3010,$X$6,srpro!$B$10:$B$3010,'ProjectsX (2)'!A69,srpro!$K$10:$K$3010,$A$6),"")</f>
        <v/>
      </c>
      <c r="X69" s="449" t="str">
        <f>IF( SUMIFS(srpro!$E$10:$E$3010,srpro!$J$10:$J$3010,$X$6,srpro!$B$10:$B$3010,'ProjectsX (2)'!A69,srpro!$K$10:$K$3010,$A$6)&gt;0,SUMIFS(srpro!$E$10:$E$3010,srpro!$J$10:$J$3010,$X$6,srpro!$B$10:$B$3010,'ProjectsX (2)'!A69,srpro!$K$10:$K$3010,$A$6),"")</f>
        <v/>
      </c>
      <c r="Y69" s="450"/>
      <c r="Z69" s="619" t="str">
        <f>IF( SUMIFS(srpro!$H$10:$H$3010,srpro!$J$10:$J$3010,$AA$6,srpro!$B$10:$B$3010,'ProjectsX (2)'!A69,srpro!$K$10:$K$3010,$A$6)&gt;0,SUMIFS(srpro!$H$10:$H$3010,srpro!$J$10:$J$3010,$AA$6,srpro!$B$10:$B$3010,'ProjectsX (2)'!A69,srpro!$K$10:$K$3010,$A$6),"")</f>
        <v/>
      </c>
      <c r="AA69" s="449">
        <f>IF( SUMIFS(srpro!$E$10:$E$3010,srpro!$J$10:$J$3010,$AA$6,srpro!$B$10:$B$3010,'ProjectsX (2)'!A69,srpro!$K$10:$K$3010,$A$6)&gt;0,SUMIFS(srpro!$E$10:$E$3010,srpro!$J$10:$J$3010,$AA$6,srpro!$B$10:$B$3010,'ProjectsX (2)'!A69,srpro!$K$10:$K$3010,$A$6),"")</f>
        <v>26</v>
      </c>
      <c r="AB69" s="450"/>
      <c r="AC69" s="619" t="str">
        <f>IF( SUMIFS(srpro!$H$10:$H$3010,srpro!$J$10:$J$3010,$AD$6,srpro!$B$10:$B$3010,'ProjectsX (2)'!A69,srpro!$K$10:$K$3010,$A$6)&gt;0,SUMIFS(srpro!$H$10:$H$3010,srpro!$J$10:$J$3010,$AD$6,srpro!$B$10:$B$3010,'ProjectsX (2)'!A69,srpro!$K$10:$K$3010,$A$6),"")</f>
        <v/>
      </c>
      <c r="AD69" s="449" t="str">
        <f>IF( SUMIFS(srpro!$E$10:$E$3010,srpro!$J$10:$J$3010,$AD$6,srpro!$B$10:$B$3010,'ProjectsX (2)'!A69,srpro!$K$10:$K$3010,$A$6)&gt;0,SUMIFS(srpro!$E$10:$E$3010,srpro!$J$10:$J$3010,$AD$6,srpro!$B$10:$B$3010,'ProjectsX (2)'!A69,srpro!$K$10:$K$3010,$A$6),"")</f>
        <v/>
      </c>
      <c r="AE69" s="450"/>
      <c r="AF69" s="454" t="str">
        <f>IF( SUMIFS(srpro!$H$10:$H$3010,srpro!$J$10:$J$3010,$AG$6,srpro!$B$10:$B$3010,'ProjectsX (2)'!A69,srpro!$K$10:$K$3010,$A$6)&gt;0,SUMIFS(srpro!$H$10:$H$3010,srpro!$J$10:$J$3010,$AG$6,srpro!$B$10:$B$3010,'ProjectsX (2)'!A69,srpro!$K$10:$K$3010,$A$6),"")</f>
        <v/>
      </c>
      <c r="AG69" s="449" t="str">
        <f>IF( SUMIFS(srpro!$E$10:$E$3010,srpro!$J$10:$J$3010,$AG$6,srpro!$B$10:$B$3010,'ProjectsX (2)'!A69,srpro!$K$10:$K$3010,$A$6)&gt;0,SUMIFS(srpro!$E$10:$E$3010,srpro!$J$10:$J$3010,$AG$6,srpro!$B$10:$B$3010,'ProjectsX (2)'!A69,srpro!$K$10:$K$3010,$A$6),"")</f>
        <v/>
      </c>
      <c r="AH69" s="450"/>
      <c r="AI69" s="451"/>
      <c r="AJ69" s="451"/>
      <c r="AK69" s="450"/>
      <c r="AL69" s="615">
        <f t="shared" si="9"/>
        <v>178.53</v>
      </c>
      <c r="AM69" s="425"/>
      <c r="AN69" s="425"/>
      <c r="AO69" s="425"/>
      <c r="AP69" s="425"/>
      <c r="AQ69" s="425"/>
      <c r="AR69" s="425"/>
      <c r="AS69" s="425"/>
      <c r="AT69" s="425"/>
      <c r="AU69" s="425"/>
      <c r="AV69" s="425"/>
      <c r="AW69" s="425"/>
      <c r="AX69" s="425"/>
      <c r="AY69" s="425"/>
      <c r="AZ69" s="425"/>
      <c r="BA69" s="425"/>
      <c r="BB69" s="425"/>
      <c r="BC69" s="425"/>
      <c r="BD69" s="425"/>
      <c r="BE69" s="425"/>
    </row>
    <row r="70" spans="1:57" ht="19.5" customHeight="1">
      <c r="A70" s="616">
        <v>275</v>
      </c>
      <c r="B70" s="618" t="s">
        <v>294</v>
      </c>
      <c r="C70" s="458">
        <f>(ProHeader!L70+ProHeader!M70)+((ProHeader!L70+ProHeader!M70)*5%)</f>
        <v>133927.5</v>
      </c>
      <c r="D70" s="458">
        <f t="shared" si="10"/>
        <v>59232.5</v>
      </c>
      <c r="E70" s="459">
        <f>SUMIFS(srpro!$H$10:$H$3010,srpro!$B$10:$B$3010,'ProjectsX (2)'!A70)</f>
        <v>74695</v>
      </c>
      <c r="F70" s="460">
        <f>SUMIFS(srpro!$E$10:$E$3010,srpro!$B$10:$B$3010,'ProjectsX (2)'!A70)</f>
        <v>39685.880000000005</v>
      </c>
      <c r="G70" s="478">
        <f t="shared" si="11"/>
        <v>0.55772712848369455</v>
      </c>
      <c r="H70" s="479">
        <f t="shared" si="12"/>
        <v>0.28150742752608687</v>
      </c>
      <c r="I70" s="535"/>
      <c r="J70" s="606">
        <f t="shared" si="6"/>
        <v>89529.53899999999</v>
      </c>
      <c r="K70" s="617">
        <f t="shared" si="7"/>
        <v>0.70367639207780319</v>
      </c>
      <c r="L70" s="526">
        <f>ProHeader!AN70</f>
        <v>3</v>
      </c>
      <c r="M70" s="525" t="str">
        <f>TEXT(  ProHeader!AJ70,"dd-mm-yy")</f>
        <v>-</v>
      </c>
      <c r="N70" s="525">
        <f>IFERROR(ProHeader!AK70 + ProHeader!AL70,"-")</f>
        <v>18585</v>
      </c>
      <c r="O70" s="525">
        <f>IFERROR(ProHeader!AM70,"0")</f>
        <v>18585</v>
      </c>
      <c r="P70" s="525">
        <f t="shared" si="8"/>
        <v>0</v>
      </c>
      <c r="Q70" s="619" t="str">
        <f>IF( SUMIFS(srpro!$H$10:$H$3010,srpro!$J$10:$J$3010,$R$6,srpro!$B$10:$B$3010,'ProjectsX (2)'!A70,srpro!$K$10:$K$3010,$A$6)&gt;0,SUMIFS(srpro!$H$10:$H$3010,srpro!$J$10:$J$3010,$R$6,srpro!$B$10:$B$3010,'ProjectsX (2)'!A70,srpro!$K$10:$K$3010,$A$6),"")</f>
        <v/>
      </c>
      <c r="R70" s="449">
        <f>IF( SUMIFS(srpro!$E$10:$E$3010,srpro!$J$10:$J$3010,$R$6,srpro!$B$10:$B$3010,'ProjectsX (2)'!A70,srpro!$K$10:$K$3010,$A$6)&gt;0,SUMIFS(srpro!$E$10:$E$3010,srpro!$J$10:$J$3010,$R$6,srpro!$B$10:$B$3010,'ProjectsX (2)'!A70,srpro!$K$10:$K$3010,$A$6),"")</f>
        <v>55</v>
      </c>
      <c r="S70" s="450"/>
      <c r="T70" s="619" t="str">
        <f>IF( SUMIFS(srpro!$H$10:$H$3010,srpro!$J$10:$J$3010,$U$6,srpro!$B$10:$B$3010,'ProjectsX (2)'!A70,srpro!$K$10:$K$3010,$A$6)&gt;0,SUMIFS(srpro!$H$10:$H$3010,srpro!$J$10:$J$3010,$U$6,srpro!$B$10:$B$3010,'ProjectsX (2)'!A70,srpro!$K$10:$K$3010,$A$6),"")</f>
        <v/>
      </c>
      <c r="U70" s="449">
        <f>IF( SUMIFS(srpro!$E$10:$E$3010,srpro!$J$10:$J$3010,$U$6,srpro!$B$10:$B$3010,'ProjectsX (2)'!A70,srpro!$K$10:$K$3010,$A$6)&gt;0,SUMIFS(srpro!$E$10:$E$3010,srpro!$J$10:$J$3010,$U$6,srpro!$B$10:$B$3010,'ProjectsX (2)'!A70,srpro!$K$10:$K$3010,$A$6),"")</f>
        <v>70</v>
      </c>
      <c r="V70" s="450"/>
      <c r="W70" s="619">
        <f>IF( SUMIFS(srpro!$H$10:$H$3010,srpro!$J$10:$J$3010,$X$6,srpro!$B$10:$B$3010,'ProjectsX (2)'!A70,srpro!$K$10:$K$3010,$A$6)&gt;0,SUMIFS(srpro!$H$10:$H$3010,srpro!$J$10:$J$3010,$X$6,srpro!$B$10:$B$3010,'ProjectsX (2)'!A70,srpro!$K$10:$K$3010,$A$6),"")</f>
        <v>18585</v>
      </c>
      <c r="X70" s="449">
        <f>IF( SUMIFS(srpro!$E$10:$E$3010,srpro!$J$10:$J$3010,$X$6,srpro!$B$10:$B$3010,'ProjectsX (2)'!A70,srpro!$K$10:$K$3010,$A$6)&gt;0,SUMIFS(srpro!$E$10:$E$3010,srpro!$J$10:$J$3010,$X$6,srpro!$B$10:$B$3010,'ProjectsX (2)'!A70,srpro!$K$10:$K$3010,$A$6),"")</f>
        <v>8981.7099999999991</v>
      </c>
      <c r="Y70" s="450"/>
      <c r="Z70" s="619">
        <f>IF( SUMIFS(srpro!$H$10:$H$3010,srpro!$J$10:$J$3010,$AA$6,srpro!$B$10:$B$3010,'ProjectsX (2)'!A70,srpro!$K$10:$K$3010,$A$6)&gt;0,SUMIFS(srpro!$H$10:$H$3010,srpro!$J$10:$J$3010,$AA$6,srpro!$B$10:$B$3010,'ProjectsX (2)'!A70,srpro!$K$10:$K$3010,$A$6),"")</f>
        <v>49560</v>
      </c>
      <c r="AA70" s="449">
        <f>IF( SUMIFS(srpro!$E$10:$E$3010,srpro!$J$10:$J$3010,$AA$6,srpro!$B$10:$B$3010,'ProjectsX (2)'!A70,srpro!$K$10:$K$3010,$A$6)&gt;0,SUMIFS(srpro!$E$10:$E$3010,srpro!$J$10:$J$3010,$AA$6,srpro!$B$10:$B$3010,'ProjectsX (2)'!A70,srpro!$K$10:$K$3010,$A$6),"")</f>
        <v>26317.52</v>
      </c>
      <c r="AB70" s="450"/>
      <c r="AC70" s="619">
        <f>IF( SUMIFS(srpro!$H$10:$H$3010,srpro!$J$10:$J$3010,$AD$6,srpro!$B$10:$B$3010,'ProjectsX (2)'!A70,srpro!$K$10:$K$3010,$A$6)&gt;0,SUMIFS(srpro!$H$10:$H$3010,srpro!$J$10:$J$3010,$AD$6,srpro!$B$10:$B$3010,'ProjectsX (2)'!A70,srpro!$K$10:$K$3010,$A$6),"")</f>
        <v>6550</v>
      </c>
      <c r="AD70" s="449">
        <f>IF( SUMIFS(srpro!$E$10:$E$3010,srpro!$J$10:$J$3010,$AD$6,srpro!$B$10:$B$3010,'ProjectsX (2)'!A70,srpro!$K$10:$K$3010,$A$6)&gt;0,SUMIFS(srpro!$E$10:$E$3010,srpro!$J$10:$J$3010,$AD$6,srpro!$B$10:$B$3010,'ProjectsX (2)'!A70,srpro!$K$10:$K$3010,$A$6),"")</f>
        <v>4204.95</v>
      </c>
      <c r="AE70" s="450"/>
      <c r="AF70" s="454" t="str">
        <f>IF( SUMIFS(srpro!$H$10:$H$3010,srpro!$J$10:$J$3010,$AG$6,srpro!$B$10:$B$3010,'ProjectsX (2)'!A70,srpro!$K$10:$K$3010,$A$6)&gt;0,SUMIFS(srpro!$H$10:$H$3010,srpro!$J$10:$J$3010,$AG$6,srpro!$B$10:$B$3010,'ProjectsX (2)'!A70,srpro!$K$10:$K$3010,$A$6),"")</f>
        <v/>
      </c>
      <c r="AG70" s="449" t="str">
        <f>IF( SUMIFS(srpro!$E$10:$E$3010,srpro!$J$10:$J$3010,$AG$6,srpro!$B$10:$B$3010,'ProjectsX (2)'!A70,srpro!$K$10:$K$3010,$A$6)&gt;0,SUMIFS(srpro!$E$10:$E$3010,srpro!$J$10:$J$3010,$AG$6,srpro!$B$10:$B$3010,'ProjectsX (2)'!A70,srpro!$K$10:$K$3010,$A$6),"")</f>
        <v/>
      </c>
      <c r="AH70" s="450"/>
      <c r="AI70" s="451"/>
      <c r="AJ70" s="451"/>
      <c r="AK70" s="450"/>
      <c r="AL70" s="615">
        <f t="shared" si="9"/>
        <v>114324.18</v>
      </c>
      <c r="AM70" s="425"/>
      <c r="AN70" s="425"/>
      <c r="AO70" s="425"/>
      <c r="AP70" s="425"/>
      <c r="AQ70" s="425"/>
      <c r="AR70" s="425"/>
      <c r="AS70" s="425"/>
      <c r="AT70" s="425"/>
      <c r="AU70" s="425"/>
      <c r="AV70" s="425"/>
      <c r="AW70" s="425"/>
      <c r="AX70" s="425"/>
      <c r="AY70" s="425"/>
      <c r="AZ70" s="425"/>
      <c r="BA70" s="425"/>
      <c r="BB70" s="425"/>
      <c r="BC70" s="425"/>
      <c r="BD70" s="425"/>
      <c r="BE70" s="425"/>
    </row>
    <row r="71" spans="1:57" ht="19.5" customHeight="1">
      <c r="A71" s="616">
        <v>276</v>
      </c>
      <c r="B71" s="618" t="s">
        <v>283</v>
      </c>
      <c r="C71" s="458">
        <f>(ProHeader!L71+ProHeader!M71)+((ProHeader!L71+ProHeader!M71)*5%)</f>
        <v>106050</v>
      </c>
      <c r="D71" s="458">
        <f t="shared" si="10"/>
        <v>52920</v>
      </c>
      <c r="E71" s="459">
        <f>SUMIFS(srpro!$H$10:$H$3010,srpro!$B$10:$B$3010,'ProjectsX (2)'!A71)</f>
        <v>53130</v>
      </c>
      <c r="F71" s="460">
        <f>SUMIFS(srpro!$E$10:$E$3010,srpro!$B$10:$B$3010,'ProjectsX (2)'!A71)</f>
        <v>28779.29</v>
      </c>
      <c r="G71" s="478">
        <f t="shared" si="11"/>
        <v>0.50099009900990099</v>
      </c>
      <c r="H71" s="479">
        <f t="shared" si="12"/>
        <v>0.25780599245638847</v>
      </c>
      <c r="I71" s="535"/>
      <c r="J71" s="606">
        <f t="shared" si="6"/>
        <v>73407.174499999994</v>
      </c>
      <c r="K71" s="617">
        <f t="shared" si="7"/>
        <v>0.72862527109853836</v>
      </c>
      <c r="L71" s="526">
        <f>ProHeader!AN71</f>
        <v>3</v>
      </c>
      <c r="M71" s="525" t="str">
        <f>TEXT(  ProHeader!AJ71,"dd-mm-yy")</f>
        <v>-</v>
      </c>
      <c r="N71" s="525">
        <f>IFERROR(ProHeader!AK71 + ProHeader!AL71,"-")</f>
        <v>4830</v>
      </c>
      <c r="O71" s="525">
        <f>IFERROR(ProHeader!AM71,"0")</f>
        <v>4830</v>
      </c>
      <c r="P71" s="525">
        <f t="shared" si="8"/>
        <v>0</v>
      </c>
      <c r="Q71" s="619">
        <f>IF( SUMIFS(srpro!$H$10:$H$3010,srpro!$J$10:$J$3010,$R$6,srpro!$B$10:$B$3010,'ProjectsX (2)'!A71,srpro!$K$10:$K$3010,$A$6)&gt;0,SUMIFS(srpro!$H$10:$H$3010,srpro!$J$10:$J$3010,$R$6,srpro!$B$10:$B$3010,'ProjectsX (2)'!A71,srpro!$K$10:$K$3010,$A$6),"")</f>
        <v>4830</v>
      </c>
      <c r="R71" s="449">
        <f>IF( SUMIFS(srpro!$E$10:$E$3010,srpro!$J$10:$J$3010,$R$6,srpro!$B$10:$B$3010,'ProjectsX (2)'!A71,srpro!$K$10:$K$3010,$A$6)&gt;0,SUMIFS(srpro!$E$10:$E$3010,srpro!$J$10:$J$3010,$R$6,srpro!$B$10:$B$3010,'ProjectsX (2)'!A71,srpro!$K$10:$K$3010,$A$6),"")</f>
        <v>4600</v>
      </c>
      <c r="S71" s="450"/>
      <c r="T71" s="619" t="str">
        <f>IF( SUMIFS(srpro!$H$10:$H$3010,srpro!$J$10:$J$3010,$U$6,srpro!$B$10:$B$3010,'ProjectsX (2)'!A71,srpro!$K$10:$K$3010,$A$6)&gt;0,SUMIFS(srpro!$H$10:$H$3010,srpro!$J$10:$J$3010,$U$6,srpro!$B$10:$B$3010,'ProjectsX (2)'!A71,srpro!$K$10:$K$3010,$A$6),"")</f>
        <v/>
      </c>
      <c r="U71" s="449">
        <f>IF( SUMIFS(srpro!$E$10:$E$3010,srpro!$J$10:$J$3010,$U$6,srpro!$B$10:$B$3010,'ProjectsX (2)'!A71,srpro!$K$10:$K$3010,$A$6)&gt;0,SUMIFS(srpro!$E$10:$E$3010,srpro!$J$10:$J$3010,$U$6,srpro!$B$10:$B$3010,'ProjectsX (2)'!A71,srpro!$K$10:$K$3010,$A$6),"")</f>
        <v>318</v>
      </c>
      <c r="V71" s="450"/>
      <c r="W71" s="619" t="str">
        <f>IF( SUMIFS(srpro!$H$10:$H$3010,srpro!$J$10:$J$3010,$X$6,srpro!$B$10:$B$3010,'ProjectsX (2)'!A71,srpro!$K$10:$K$3010,$A$6)&gt;0,SUMIFS(srpro!$H$10:$H$3010,srpro!$J$10:$J$3010,$X$6,srpro!$B$10:$B$3010,'ProjectsX (2)'!A71,srpro!$K$10:$K$3010,$A$6),"")</f>
        <v/>
      </c>
      <c r="X71" s="449" t="str">
        <f>IF( SUMIFS(srpro!$E$10:$E$3010,srpro!$J$10:$J$3010,$X$6,srpro!$B$10:$B$3010,'ProjectsX (2)'!A71,srpro!$K$10:$K$3010,$A$6)&gt;0,SUMIFS(srpro!$E$10:$E$3010,srpro!$J$10:$J$3010,$X$6,srpro!$B$10:$B$3010,'ProjectsX (2)'!A71,srpro!$K$10:$K$3010,$A$6),"")</f>
        <v/>
      </c>
      <c r="Y71" s="450"/>
      <c r="Z71" s="619" t="str">
        <f>IF( SUMIFS(srpro!$H$10:$H$3010,srpro!$J$10:$J$3010,$AA$6,srpro!$B$10:$B$3010,'ProjectsX (2)'!A71,srpro!$K$10:$K$3010,$A$6)&gt;0,SUMIFS(srpro!$H$10:$H$3010,srpro!$J$10:$J$3010,$AA$6,srpro!$B$10:$B$3010,'ProjectsX (2)'!A71,srpro!$K$10:$K$3010,$A$6),"")</f>
        <v/>
      </c>
      <c r="AA71" s="449" t="str">
        <f>IF( SUMIFS(srpro!$E$10:$E$3010,srpro!$J$10:$J$3010,$AA$6,srpro!$B$10:$B$3010,'ProjectsX (2)'!A71,srpro!$K$10:$K$3010,$A$6)&gt;0,SUMIFS(srpro!$E$10:$E$3010,srpro!$J$10:$J$3010,$AA$6,srpro!$B$10:$B$3010,'ProjectsX (2)'!A71,srpro!$K$10:$K$3010,$A$6),"")</f>
        <v/>
      </c>
      <c r="AB71" s="450"/>
      <c r="AC71" s="619">
        <f>IF( SUMIFS(srpro!$H$10:$H$3010,srpro!$J$10:$J$3010,$AD$6,srpro!$B$10:$B$3010,'ProjectsX (2)'!A71,srpro!$K$10:$K$3010,$A$6)&gt;0,SUMIFS(srpro!$H$10:$H$3010,srpro!$J$10:$J$3010,$AD$6,srpro!$B$10:$B$3010,'ProjectsX (2)'!A71,srpro!$K$10:$K$3010,$A$6),"")</f>
        <v>19320</v>
      </c>
      <c r="AD71" s="449">
        <f>IF( SUMIFS(srpro!$E$10:$E$3010,srpro!$J$10:$J$3010,$AD$6,srpro!$B$10:$B$3010,'ProjectsX (2)'!A71,srpro!$K$10:$K$3010,$A$6)&gt;0,SUMIFS(srpro!$E$10:$E$3010,srpro!$J$10:$J$3010,$AD$6,srpro!$B$10:$B$3010,'ProjectsX (2)'!A71,srpro!$K$10:$K$3010,$A$6),"")</f>
        <v>266</v>
      </c>
      <c r="AE71" s="450"/>
      <c r="AF71" s="454">
        <f>IF( SUMIFS(srpro!$H$10:$H$3010,srpro!$J$10:$J$3010,$AG$6,srpro!$B$10:$B$3010,'ProjectsX (2)'!A71,srpro!$K$10:$K$3010,$A$6)&gt;0,SUMIFS(srpro!$H$10:$H$3010,srpro!$J$10:$J$3010,$AG$6,srpro!$B$10:$B$3010,'ProjectsX (2)'!A71,srpro!$K$10:$K$3010,$A$6),"")</f>
        <v>28980</v>
      </c>
      <c r="AG71" s="449">
        <f>IF( SUMIFS(srpro!$E$10:$E$3010,srpro!$J$10:$J$3010,$AG$6,srpro!$B$10:$B$3010,'ProjectsX (2)'!A71,srpro!$K$10:$K$3010,$A$6)&gt;0,SUMIFS(srpro!$E$10:$E$3010,srpro!$J$10:$J$3010,$AG$6,srpro!$B$10:$B$3010,'ProjectsX (2)'!A71,srpro!$K$10:$K$3010,$A$6),"")</f>
        <v>23595.29</v>
      </c>
      <c r="AH71" s="450"/>
      <c r="AI71" s="451"/>
      <c r="AJ71" s="451"/>
      <c r="AK71" s="450"/>
      <c r="AL71" s="615">
        <f t="shared" si="9"/>
        <v>81909.290000000008</v>
      </c>
      <c r="AM71" s="425"/>
      <c r="AN71" s="425"/>
      <c r="AO71" s="425"/>
      <c r="AP71" s="425"/>
      <c r="AQ71" s="425"/>
      <c r="AR71" s="425"/>
      <c r="AS71" s="425"/>
      <c r="AT71" s="425"/>
      <c r="AU71" s="425"/>
      <c r="AV71" s="425"/>
      <c r="AW71" s="425"/>
      <c r="AX71" s="425"/>
      <c r="AY71" s="425"/>
      <c r="AZ71" s="425"/>
      <c r="BA71" s="425"/>
      <c r="BB71" s="425"/>
      <c r="BC71" s="425"/>
      <c r="BD71" s="425"/>
      <c r="BE71" s="425"/>
    </row>
    <row r="72" spans="1:57" ht="19.5" customHeight="1">
      <c r="A72" s="616">
        <v>277</v>
      </c>
      <c r="B72" s="618" t="s">
        <v>268</v>
      </c>
      <c r="C72" s="458">
        <f>(ProHeader!L72+ProHeader!M72)+((ProHeader!L72+ProHeader!M72)*5%)</f>
        <v>155400</v>
      </c>
      <c r="D72" s="458">
        <f t="shared" si="10"/>
        <v>77437.5</v>
      </c>
      <c r="E72" s="459">
        <f>SUMIFS(srpro!$H$10:$H$3010,srpro!$B$10:$B$3010,'ProjectsX (2)'!A72)</f>
        <v>77962.5</v>
      </c>
      <c r="F72" s="460">
        <f>SUMIFS(srpro!$E$10:$E$3010,srpro!$B$10:$B$3010,'ProjectsX (2)'!A72)</f>
        <v>39713.68</v>
      </c>
      <c r="G72" s="478">
        <f t="shared" si="11"/>
        <v>0.50168918918918914</v>
      </c>
      <c r="H72" s="479">
        <f t="shared" si="12"/>
        <v>0.24277989703989702</v>
      </c>
      <c r="I72" s="535"/>
      <c r="J72" s="606">
        <f t="shared" si="6"/>
        <v>109902.004</v>
      </c>
      <c r="K72" s="617">
        <f t="shared" si="7"/>
        <v>0.74444221364221363</v>
      </c>
      <c r="L72" s="526">
        <f>ProHeader!AN72</f>
        <v>2</v>
      </c>
      <c r="M72" s="525" t="str">
        <f>TEXT(  ProHeader!AJ72,"dd-mm-yy")</f>
        <v>-</v>
      </c>
      <c r="N72" s="525">
        <f>IFERROR(ProHeader!AK72 + ProHeader!AL72,"-")</f>
        <v>7087.5</v>
      </c>
      <c r="O72" s="525">
        <f>IFERROR(ProHeader!AM72,"0")</f>
        <v>7087.5</v>
      </c>
      <c r="P72" s="525">
        <f t="shared" si="8"/>
        <v>0</v>
      </c>
      <c r="Q72" s="619">
        <f>IF( SUMIFS(srpro!$H$10:$H$3010,srpro!$J$10:$J$3010,$R$6,srpro!$B$10:$B$3010,'ProjectsX (2)'!A72,srpro!$K$10:$K$3010,$A$6)&gt;0,SUMIFS(srpro!$H$10:$H$3010,srpro!$J$10:$J$3010,$R$6,srpro!$B$10:$B$3010,'ProjectsX (2)'!A72,srpro!$K$10:$K$3010,$A$6),"")</f>
        <v>7087.5</v>
      </c>
      <c r="R72" s="449" t="str">
        <f>IF( SUMIFS(srpro!$E$10:$E$3010,srpro!$J$10:$J$3010,$R$6,srpro!$B$10:$B$3010,'ProjectsX (2)'!A72,srpro!$K$10:$K$3010,$A$6)&gt;0,SUMIFS(srpro!$E$10:$E$3010,srpro!$J$10:$J$3010,$R$6,srpro!$B$10:$B$3010,'ProjectsX (2)'!A72,srpro!$K$10:$K$3010,$A$6),"")</f>
        <v/>
      </c>
      <c r="S72" s="450"/>
      <c r="T72" s="619" t="str">
        <f>IF( SUMIFS(srpro!$H$10:$H$3010,srpro!$J$10:$J$3010,$U$6,srpro!$B$10:$B$3010,'ProjectsX (2)'!A72,srpro!$K$10:$K$3010,$A$6)&gt;0,SUMIFS(srpro!$H$10:$H$3010,srpro!$J$10:$J$3010,$U$6,srpro!$B$10:$B$3010,'ProjectsX (2)'!A72,srpro!$K$10:$K$3010,$A$6),"")</f>
        <v/>
      </c>
      <c r="U72" s="449">
        <f>IF( SUMIFS(srpro!$E$10:$E$3010,srpro!$J$10:$J$3010,$U$6,srpro!$B$10:$B$3010,'ProjectsX (2)'!A72,srpro!$K$10:$K$3010,$A$6)&gt;0,SUMIFS(srpro!$E$10:$E$3010,srpro!$J$10:$J$3010,$U$6,srpro!$B$10:$B$3010,'ProjectsX (2)'!A72,srpro!$K$10:$K$3010,$A$6),"")</f>
        <v>560</v>
      </c>
      <c r="V72" s="450"/>
      <c r="W72" s="619" t="str">
        <f>IF( SUMIFS(srpro!$H$10:$H$3010,srpro!$J$10:$J$3010,$X$6,srpro!$B$10:$B$3010,'ProjectsX (2)'!A72,srpro!$K$10:$K$3010,$A$6)&gt;0,SUMIFS(srpro!$H$10:$H$3010,srpro!$J$10:$J$3010,$X$6,srpro!$B$10:$B$3010,'ProjectsX (2)'!A72,srpro!$K$10:$K$3010,$A$6),"")</f>
        <v/>
      </c>
      <c r="X72" s="449">
        <f>IF( SUMIFS(srpro!$E$10:$E$3010,srpro!$J$10:$J$3010,$X$6,srpro!$B$10:$B$3010,'ProjectsX (2)'!A72,srpro!$K$10:$K$3010,$A$6)&gt;0,SUMIFS(srpro!$E$10:$E$3010,srpro!$J$10:$J$3010,$X$6,srpro!$B$10:$B$3010,'ProjectsX (2)'!A72,srpro!$K$10:$K$3010,$A$6),"")</f>
        <v>223.45</v>
      </c>
      <c r="Y72" s="450"/>
      <c r="Z72" s="619" t="str">
        <f>IF( SUMIFS(srpro!$H$10:$H$3010,srpro!$J$10:$J$3010,$AA$6,srpro!$B$10:$B$3010,'ProjectsX (2)'!A72,srpro!$K$10:$K$3010,$A$6)&gt;0,SUMIFS(srpro!$H$10:$H$3010,srpro!$J$10:$J$3010,$AA$6,srpro!$B$10:$B$3010,'ProjectsX (2)'!A72,srpro!$K$10:$K$3010,$A$6),"")</f>
        <v/>
      </c>
      <c r="AA72" s="449">
        <f>IF( SUMIFS(srpro!$E$10:$E$3010,srpro!$J$10:$J$3010,$AA$6,srpro!$B$10:$B$3010,'ProjectsX (2)'!A72,srpro!$K$10:$K$3010,$A$6)&gt;0,SUMIFS(srpro!$E$10:$E$3010,srpro!$J$10:$J$3010,$AA$6,srpro!$B$10:$B$3010,'ProjectsX (2)'!A72,srpro!$K$10:$K$3010,$A$6),"")</f>
        <v>53.029999999999994</v>
      </c>
      <c r="AB72" s="450"/>
      <c r="AC72" s="619">
        <f>IF( SUMIFS(srpro!$H$10:$H$3010,srpro!$J$10:$J$3010,$AD$6,srpro!$B$10:$B$3010,'ProjectsX (2)'!A72,srpro!$K$10:$K$3010,$A$6)&gt;0,SUMIFS(srpro!$H$10:$H$3010,srpro!$J$10:$J$3010,$AD$6,srpro!$B$10:$B$3010,'ProjectsX (2)'!A72,srpro!$K$10:$K$3010,$A$6),"")</f>
        <v>70875</v>
      </c>
      <c r="AD72" s="449">
        <f>IF( SUMIFS(srpro!$E$10:$E$3010,srpro!$J$10:$J$3010,$AD$6,srpro!$B$10:$B$3010,'ProjectsX (2)'!A72,srpro!$K$10:$K$3010,$A$6)&gt;0,SUMIFS(srpro!$E$10:$E$3010,srpro!$J$10:$J$3010,$AD$6,srpro!$B$10:$B$3010,'ProjectsX (2)'!A72,srpro!$K$10:$K$3010,$A$6),"")</f>
        <v>10695.2</v>
      </c>
      <c r="AE72" s="450"/>
      <c r="AF72" s="454" t="str">
        <f>IF( SUMIFS(srpro!$H$10:$H$3010,srpro!$J$10:$J$3010,$AG$6,srpro!$B$10:$B$3010,'ProjectsX (2)'!A72,srpro!$K$10:$K$3010,$A$6)&gt;0,SUMIFS(srpro!$H$10:$H$3010,srpro!$J$10:$J$3010,$AG$6,srpro!$B$10:$B$3010,'ProjectsX (2)'!A72,srpro!$K$10:$K$3010,$A$6),"")</f>
        <v/>
      </c>
      <c r="AG72" s="449">
        <f>IF( SUMIFS(srpro!$E$10:$E$3010,srpro!$J$10:$J$3010,$AG$6,srpro!$B$10:$B$3010,'ProjectsX (2)'!A72,srpro!$K$10:$K$3010,$A$6)&gt;0,SUMIFS(srpro!$E$10:$E$3010,srpro!$J$10:$J$3010,$AG$6,srpro!$B$10:$B$3010,'ProjectsX (2)'!A72,srpro!$K$10:$K$3010,$A$6),"")</f>
        <v>28182</v>
      </c>
      <c r="AH72" s="450"/>
      <c r="AI72" s="451"/>
      <c r="AJ72" s="451"/>
      <c r="AK72" s="450"/>
      <c r="AL72" s="615">
        <f t="shared" si="9"/>
        <v>117676.18</v>
      </c>
      <c r="AM72" s="425"/>
      <c r="AN72" s="425"/>
      <c r="AO72" s="425"/>
      <c r="AP72" s="425"/>
      <c r="AQ72" s="425"/>
      <c r="AR72" s="425"/>
      <c r="AS72" s="425"/>
      <c r="AT72" s="425"/>
      <c r="AU72" s="425"/>
      <c r="AV72" s="425"/>
      <c r="AW72" s="425"/>
      <c r="AX72" s="425"/>
      <c r="AY72" s="425"/>
      <c r="AZ72" s="425"/>
      <c r="BA72" s="425"/>
      <c r="BB72" s="425"/>
      <c r="BC72" s="425"/>
      <c r="BD72" s="425"/>
      <c r="BE72" s="425"/>
    </row>
    <row r="73" spans="1:57" ht="19.5" customHeight="1">
      <c r="A73" s="616">
        <v>278</v>
      </c>
      <c r="B73" s="618" t="s">
        <v>302</v>
      </c>
      <c r="C73" s="458">
        <f>(ProHeader!L73+ProHeader!M73)+((ProHeader!L73+ProHeader!M73)*5%)</f>
        <v>252000</v>
      </c>
      <c r="D73" s="458">
        <f t="shared" si="10"/>
        <v>173350</v>
      </c>
      <c r="E73" s="459">
        <f>SUMIFS(srpro!$H$10:$H$3010,srpro!$B$10:$B$3010,'ProjectsX (2)'!A73)</f>
        <v>78650</v>
      </c>
      <c r="F73" s="460">
        <f>SUMIFS(srpro!$E$10:$E$3010,srpro!$B$10:$B$3010,'ProjectsX (2)'!A73)</f>
        <v>30184.62545</v>
      </c>
      <c r="G73" s="478">
        <f t="shared" si="11"/>
        <v>0.3121031746031746</v>
      </c>
      <c r="H73" s="479">
        <f t="shared" si="12"/>
        <v>0.1137912467361111</v>
      </c>
      <c r="I73" s="535"/>
      <c r="J73" s="606">
        <f t="shared" si="6"/>
        <v>210724.60582250002</v>
      </c>
      <c r="K73" s="617">
        <f t="shared" si="7"/>
        <v>0.88021974027777783</v>
      </c>
      <c r="L73" s="526">
        <f>ProHeader!AN73</f>
        <v>1</v>
      </c>
      <c r="M73" s="525" t="str">
        <f>TEXT(  ProHeader!AJ73,"dd-mm-yy")</f>
        <v>06-10-24</v>
      </c>
      <c r="N73" s="525">
        <f>IFERROR(ProHeader!AK73 + ProHeader!AL73,"-")</f>
        <v>86625</v>
      </c>
      <c r="O73" s="525">
        <f>IFERROR(ProHeader!AM73,"0")</f>
        <v>44000</v>
      </c>
      <c r="P73" s="525">
        <f t="shared" si="8"/>
        <v>42625</v>
      </c>
      <c r="Q73" s="619" t="str">
        <f>IF( SUMIFS(srpro!$H$10:$H$3010,srpro!$J$10:$J$3010,$R$6,srpro!$B$10:$B$3010,'ProjectsX (2)'!A73,srpro!$K$10:$K$3010,$A$6)&gt;0,SUMIFS(srpro!$H$10:$H$3010,srpro!$J$10:$J$3010,$R$6,srpro!$B$10:$B$3010,'ProjectsX (2)'!A73,srpro!$K$10:$K$3010,$A$6),"")</f>
        <v/>
      </c>
      <c r="R73" s="449" t="str">
        <f>IF( SUMIFS(srpro!$E$10:$E$3010,srpro!$J$10:$J$3010,$R$6,srpro!$B$10:$B$3010,'ProjectsX (2)'!A73,srpro!$K$10:$K$3010,$A$6)&gt;0,SUMIFS(srpro!$E$10:$E$3010,srpro!$J$10:$J$3010,$R$6,srpro!$B$10:$B$3010,'ProjectsX (2)'!A73,srpro!$K$10:$K$3010,$A$6),"")</f>
        <v/>
      </c>
      <c r="S73" s="450"/>
      <c r="T73" s="619">
        <f>IF( SUMIFS(srpro!$H$10:$H$3010,srpro!$J$10:$J$3010,$U$6,srpro!$B$10:$B$3010,'ProjectsX (2)'!A73,srpro!$K$10:$K$3010,$A$6)&gt;0,SUMIFS(srpro!$H$10:$H$3010,srpro!$J$10:$J$3010,$U$6,srpro!$B$10:$B$3010,'ProjectsX (2)'!A73,srpro!$K$10:$K$3010,$A$6),"")</f>
        <v>34650</v>
      </c>
      <c r="U73" s="449">
        <f>IF( SUMIFS(srpro!$E$10:$E$3010,srpro!$J$10:$J$3010,$U$6,srpro!$B$10:$B$3010,'ProjectsX (2)'!A73,srpro!$K$10:$K$3010,$A$6)&gt;0,SUMIFS(srpro!$E$10:$E$3010,srpro!$J$10:$J$3010,$U$6,srpro!$B$10:$B$3010,'ProjectsX (2)'!A73,srpro!$K$10:$K$3010,$A$6),"")</f>
        <v>12271.9</v>
      </c>
      <c r="V73" s="450"/>
      <c r="W73" s="619" t="str">
        <f>IF( SUMIFS(srpro!$H$10:$H$3010,srpro!$J$10:$J$3010,$X$6,srpro!$B$10:$B$3010,'ProjectsX (2)'!A73,srpro!$K$10:$K$3010,$A$6)&gt;0,SUMIFS(srpro!$H$10:$H$3010,srpro!$J$10:$J$3010,$X$6,srpro!$B$10:$B$3010,'ProjectsX (2)'!A73,srpro!$K$10:$K$3010,$A$6),"")</f>
        <v/>
      </c>
      <c r="X73" s="449" t="str">
        <f>IF( SUMIFS(srpro!$E$10:$E$3010,srpro!$J$10:$J$3010,$X$6,srpro!$B$10:$B$3010,'ProjectsX (2)'!A73,srpro!$K$10:$K$3010,$A$6)&gt;0,SUMIFS(srpro!$E$10:$E$3010,srpro!$J$10:$J$3010,$X$6,srpro!$B$10:$B$3010,'ProjectsX (2)'!A73,srpro!$K$10:$K$3010,$A$6),"")</f>
        <v/>
      </c>
      <c r="Y73" s="450"/>
      <c r="Z73" s="619" t="str">
        <f>IF( SUMIFS(srpro!$H$10:$H$3010,srpro!$J$10:$J$3010,$AA$6,srpro!$B$10:$B$3010,'ProjectsX (2)'!A73,srpro!$K$10:$K$3010,$A$6)&gt;0,SUMIFS(srpro!$H$10:$H$3010,srpro!$J$10:$J$3010,$AA$6,srpro!$B$10:$B$3010,'ProjectsX (2)'!A73,srpro!$K$10:$K$3010,$A$6),"")</f>
        <v/>
      </c>
      <c r="AA73" s="449">
        <f>IF( SUMIFS(srpro!$E$10:$E$3010,srpro!$J$10:$J$3010,$AA$6,srpro!$B$10:$B$3010,'ProjectsX (2)'!A73,srpro!$K$10:$K$3010,$A$6)&gt;0,SUMIFS(srpro!$E$10:$E$3010,srpro!$J$10:$J$3010,$AA$6,srpro!$B$10:$B$3010,'ProjectsX (2)'!A73,srpro!$K$10:$K$3010,$A$6),"")</f>
        <v>16254.43</v>
      </c>
      <c r="AB73" s="450"/>
      <c r="AC73" s="619" t="str">
        <f>IF( SUMIFS(srpro!$H$10:$H$3010,srpro!$J$10:$J$3010,$AD$6,srpro!$B$10:$B$3010,'ProjectsX (2)'!A73,srpro!$K$10:$K$3010,$A$6)&gt;0,SUMIFS(srpro!$H$10:$H$3010,srpro!$J$10:$J$3010,$AD$6,srpro!$B$10:$B$3010,'ProjectsX (2)'!A73,srpro!$K$10:$K$3010,$A$6),"")</f>
        <v/>
      </c>
      <c r="AD73" s="449" t="str">
        <f>IF( SUMIFS(srpro!$E$10:$E$3010,srpro!$J$10:$J$3010,$AD$6,srpro!$B$10:$B$3010,'ProjectsX (2)'!A73,srpro!$K$10:$K$3010,$A$6)&gt;0,SUMIFS(srpro!$E$10:$E$3010,srpro!$J$10:$J$3010,$AD$6,srpro!$B$10:$B$3010,'ProjectsX (2)'!A73,srpro!$K$10:$K$3010,$A$6),"")</f>
        <v/>
      </c>
      <c r="AE73" s="450"/>
      <c r="AF73" s="454">
        <f>IF( SUMIFS(srpro!$H$10:$H$3010,srpro!$J$10:$J$3010,$AG$6,srpro!$B$10:$B$3010,'ProjectsX (2)'!A73,srpro!$K$10:$K$3010,$A$6)&gt;0,SUMIFS(srpro!$H$10:$H$3010,srpro!$J$10:$J$3010,$AG$6,srpro!$B$10:$B$3010,'ProjectsX (2)'!A73,srpro!$K$10:$K$3010,$A$6),"")</f>
        <v>44000</v>
      </c>
      <c r="AG73" s="449">
        <f>IF( SUMIFS(srpro!$E$10:$E$3010,srpro!$J$10:$J$3010,$AG$6,srpro!$B$10:$B$3010,'ProjectsX (2)'!A73,srpro!$K$10:$K$3010,$A$6)&gt;0,SUMIFS(srpro!$E$10:$E$3010,srpro!$J$10:$J$3010,$AG$6,srpro!$B$10:$B$3010,'ProjectsX (2)'!A73,srpro!$K$10:$K$3010,$A$6),"")</f>
        <v>1658.2954499999996</v>
      </c>
      <c r="AH73" s="450"/>
      <c r="AI73" s="451"/>
      <c r="AJ73" s="451"/>
      <c r="AK73" s="450"/>
      <c r="AL73" s="615">
        <f t="shared" si="9"/>
        <v>108834.62545000001</v>
      </c>
      <c r="AM73" s="425"/>
      <c r="AN73" s="425"/>
      <c r="AO73" s="425"/>
      <c r="AP73" s="425"/>
      <c r="AQ73" s="425"/>
      <c r="AR73" s="425"/>
      <c r="AS73" s="425"/>
      <c r="AT73" s="425"/>
      <c r="AU73" s="425"/>
      <c r="AV73" s="425"/>
      <c r="AW73" s="425"/>
      <c r="AX73" s="425"/>
      <c r="AY73" s="425"/>
      <c r="AZ73" s="425"/>
      <c r="BA73" s="425"/>
      <c r="BB73" s="425"/>
      <c r="BC73" s="425"/>
      <c r="BD73" s="425"/>
      <c r="BE73" s="425"/>
    </row>
    <row r="74" spans="1:57" ht="19.5" customHeight="1">
      <c r="A74" s="616">
        <v>279</v>
      </c>
      <c r="B74" s="618" t="s">
        <v>307</v>
      </c>
      <c r="C74" s="458">
        <f>(ProHeader!L74+ProHeader!M74)+((ProHeader!L74+ProHeader!M74)*5%)</f>
        <v>117600</v>
      </c>
      <c r="D74" s="458">
        <f t="shared" si="10"/>
        <v>5040</v>
      </c>
      <c r="E74" s="459">
        <f>SUMIFS(srpro!$H$10:$H$3010,srpro!$B$10:$B$3010,'ProjectsX (2)'!A74)</f>
        <v>112560</v>
      </c>
      <c r="F74" s="460">
        <f>SUMIFS(srpro!$E$10:$E$3010,srpro!$B$10:$B$3010,'ProjectsX (2)'!A74)</f>
        <v>77028.160000000003</v>
      </c>
      <c r="G74" s="478">
        <f t="shared" ref="G74:G80" si="13">IFERROR((E74)/(C74),0)</f>
        <v>0.95714285714285718</v>
      </c>
      <c r="H74" s="479">
        <f t="shared" ref="H74:H80" si="14">IFERROR((F74-(F74*5%))/(C74),0)</f>
        <v>0.62225129251700684</v>
      </c>
      <c r="I74" s="535"/>
      <c r="J74" s="606">
        <f t="shared" si="6"/>
        <v>38543.247999999992</v>
      </c>
      <c r="K74" s="617">
        <f t="shared" si="7"/>
        <v>0.34499863945578224</v>
      </c>
      <c r="L74" s="526">
        <f>ProHeader!AN74</f>
        <v>3</v>
      </c>
      <c r="M74" s="525" t="str">
        <f>TEXT(  ProHeader!AJ74,"dd-mm-yy")</f>
        <v>-</v>
      </c>
      <c r="N74" s="525">
        <f>IFERROR(ProHeader!AK74 + ProHeader!AL74,"-")</f>
        <v>20160</v>
      </c>
      <c r="O74" s="525">
        <f>IFERROR(ProHeader!AM74,"0")</f>
        <v>20160</v>
      </c>
      <c r="P74" s="525">
        <f t="shared" si="8"/>
        <v>0</v>
      </c>
      <c r="Q74" s="619" t="str">
        <f>IF( SUMIFS(srpro!$H$10:$H$3010,srpro!$J$10:$J$3010,$R$6,srpro!$B$10:$B$3010,'ProjectsX (2)'!A74,srpro!$K$10:$K$3010,$A$6)&gt;0,SUMIFS(srpro!$H$10:$H$3010,srpro!$J$10:$J$3010,$R$6,srpro!$B$10:$B$3010,'ProjectsX (2)'!A74,srpro!$K$10:$K$3010,$A$6),"")</f>
        <v/>
      </c>
      <c r="R74" s="449" t="str">
        <f>IF( SUMIFS(srpro!$E$10:$E$3010,srpro!$J$10:$J$3010,$R$6,srpro!$B$10:$B$3010,'ProjectsX (2)'!A74,srpro!$K$10:$K$3010,$A$6)&gt;0,SUMIFS(srpro!$E$10:$E$3010,srpro!$J$10:$J$3010,$R$6,srpro!$B$10:$B$3010,'ProjectsX (2)'!A74,srpro!$K$10:$K$3010,$A$6),"")</f>
        <v/>
      </c>
      <c r="S74" s="450"/>
      <c r="T74" s="619">
        <f>IF( SUMIFS(srpro!$H$10:$H$3010,srpro!$J$10:$J$3010,$U$6,srpro!$B$10:$B$3010,'ProjectsX (2)'!A74,srpro!$K$10:$K$3010,$A$6)&gt;0,SUMIFS(srpro!$H$10:$H$3010,srpro!$J$10:$J$3010,$U$6,srpro!$B$10:$B$3010,'ProjectsX (2)'!A74,srpro!$K$10:$K$3010,$A$6),"")</f>
        <v>88620</v>
      </c>
      <c r="U74" s="449">
        <f>IF( SUMIFS(srpro!$E$10:$E$3010,srpro!$J$10:$J$3010,$U$6,srpro!$B$10:$B$3010,'ProjectsX (2)'!A74,srpro!$K$10:$K$3010,$A$6)&gt;0,SUMIFS(srpro!$E$10:$E$3010,srpro!$J$10:$J$3010,$U$6,srpro!$B$10:$B$3010,'ProjectsX (2)'!A74,srpro!$K$10:$K$3010,$A$6),"")</f>
        <v>34565.229999999996</v>
      </c>
      <c r="V74" s="450"/>
      <c r="W74" s="619" t="str">
        <f>IF( SUMIFS(srpro!$H$10:$H$3010,srpro!$J$10:$J$3010,$X$6,srpro!$B$10:$B$3010,'ProjectsX (2)'!A74,srpro!$K$10:$K$3010,$A$6)&gt;0,SUMIFS(srpro!$H$10:$H$3010,srpro!$J$10:$J$3010,$X$6,srpro!$B$10:$B$3010,'ProjectsX (2)'!A74,srpro!$K$10:$K$3010,$A$6),"")</f>
        <v/>
      </c>
      <c r="X74" s="449">
        <f>IF( SUMIFS(srpro!$E$10:$E$3010,srpro!$J$10:$J$3010,$X$6,srpro!$B$10:$B$3010,'ProjectsX (2)'!A74,srpro!$K$10:$K$3010,$A$6)&gt;0,SUMIFS(srpro!$E$10:$E$3010,srpro!$J$10:$J$3010,$X$6,srpro!$B$10:$B$3010,'ProjectsX (2)'!A74,srpro!$K$10:$K$3010,$A$6),"")</f>
        <v>13254.8</v>
      </c>
      <c r="Y74" s="450"/>
      <c r="Z74" s="619" t="str">
        <f>IF( SUMIFS(srpro!$H$10:$H$3010,srpro!$J$10:$J$3010,$AA$6,srpro!$B$10:$B$3010,'ProjectsX (2)'!A74,srpro!$K$10:$K$3010,$A$6)&gt;0,SUMIFS(srpro!$H$10:$H$3010,srpro!$J$10:$J$3010,$AA$6,srpro!$B$10:$B$3010,'ProjectsX (2)'!A74,srpro!$K$10:$K$3010,$A$6),"")</f>
        <v/>
      </c>
      <c r="AA74" s="449" t="str">
        <f>IF( SUMIFS(srpro!$E$10:$E$3010,srpro!$J$10:$J$3010,$AA$6,srpro!$B$10:$B$3010,'ProjectsX (2)'!A74,srpro!$K$10:$K$3010,$A$6)&gt;0,SUMIFS(srpro!$E$10:$E$3010,srpro!$J$10:$J$3010,$AA$6,srpro!$B$10:$B$3010,'ProjectsX (2)'!A74,srpro!$K$10:$K$3010,$A$6),"")</f>
        <v/>
      </c>
      <c r="AB74" s="450"/>
      <c r="AC74" s="619">
        <f>IF( SUMIFS(srpro!$H$10:$H$3010,srpro!$J$10:$J$3010,$AD$6,srpro!$B$10:$B$3010,'ProjectsX (2)'!A74,srpro!$K$10:$K$3010,$A$6)&gt;0,SUMIFS(srpro!$H$10:$H$3010,srpro!$J$10:$J$3010,$AD$6,srpro!$B$10:$B$3010,'ProjectsX (2)'!A74,srpro!$K$10:$K$3010,$A$6),"")</f>
        <v>23940</v>
      </c>
      <c r="AD74" s="449">
        <f>IF( SUMIFS(srpro!$E$10:$E$3010,srpro!$J$10:$J$3010,$AD$6,srpro!$B$10:$B$3010,'ProjectsX (2)'!A74,srpro!$K$10:$K$3010,$A$6)&gt;0,SUMIFS(srpro!$E$10:$E$3010,srpro!$J$10:$J$3010,$AD$6,srpro!$B$10:$B$3010,'ProjectsX (2)'!A74,srpro!$K$10:$K$3010,$A$6),"")</f>
        <v>29208.13</v>
      </c>
      <c r="AE74" s="450"/>
      <c r="AF74" s="454" t="str">
        <f>IF( SUMIFS(srpro!$H$10:$H$3010,srpro!$J$10:$J$3010,$AG$6,srpro!$B$10:$B$3010,'ProjectsX (2)'!A74,srpro!$K$10:$K$3010,$A$6)&gt;0,SUMIFS(srpro!$H$10:$H$3010,srpro!$J$10:$J$3010,$AG$6,srpro!$B$10:$B$3010,'ProjectsX (2)'!A74,srpro!$K$10:$K$3010,$A$6),"")</f>
        <v/>
      </c>
      <c r="AG74" s="449" t="str">
        <f>IF( SUMIFS(srpro!$E$10:$E$3010,srpro!$J$10:$J$3010,$AG$6,srpro!$B$10:$B$3010,'ProjectsX (2)'!A74,srpro!$K$10:$K$3010,$A$6)&gt;0,SUMIFS(srpro!$E$10:$E$3010,srpro!$J$10:$J$3010,$AG$6,srpro!$B$10:$B$3010,'ProjectsX (2)'!A74,srpro!$K$10:$K$3010,$A$6),"")</f>
        <v/>
      </c>
      <c r="AH74" s="450"/>
      <c r="AI74" s="451"/>
      <c r="AJ74" s="451"/>
      <c r="AK74" s="450"/>
      <c r="AL74" s="615">
        <f t="shared" si="9"/>
        <v>189588.16</v>
      </c>
      <c r="AM74" s="425"/>
      <c r="AN74" s="425"/>
      <c r="AO74" s="425"/>
      <c r="AP74" s="425"/>
      <c r="AQ74" s="425"/>
      <c r="AR74" s="425"/>
      <c r="AS74" s="425"/>
      <c r="AT74" s="425"/>
      <c r="AU74" s="425"/>
      <c r="AV74" s="425"/>
      <c r="AW74" s="425"/>
      <c r="AX74" s="425"/>
      <c r="AY74" s="425"/>
      <c r="AZ74" s="425"/>
      <c r="BA74" s="425"/>
      <c r="BB74" s="425"/>
      <c r="BC74" s="425"/>
      <c r="BD74" s="425"/>
      <c r="BE74" s="425"/>
    </row>
    <row r="75" spans="1:57" ht="19.5" customHeight="1">
      <c r="A75" s="616">
        <v>280</v>
      </c>
      <c r="B75" s="618" t="s">
        <v>869</v>
      </c>
      <c r="C75" s="458">
        <f>(ProHeader!L75+ProHeader!M75)+((ProHeader!L75+ProHeader!M75)*5%)</f>
        <v>147000</v>
      </c>
      <c r="D75" s="458">
        <f t="shared" si="10"/>
        <v>132300</v>
      </c>
      <c r="E75" s="459">
        <f>SUMIFS(srpro!$H$10:$H$3010,srpro!$B$10:$B$3010,'ProjectsX (2)'!A75)</f>
        <v>14700</v>
      </c>
      <c r="F75" s="460">
        <f>SUMIFS(srpro!$E$10:$E$3010,srpro!$B$10:$B$3010,'ProjectsX (2)'!A75)</f>
        <v>4469.8500000000004</v>
      </c>
      <c r="G75" s="478">
        <f t="shared" si="13"/>
        <v>0.1</v>
      </c>
      <c r="H75" s="479">
        <f t="shared" si="14"/>
        <v>2.8886785714285716E-2</v>
      </c>
      <c r="I75" s="535"/>
      <c r="J75" s="606">
        <f t="shared" ref="J75:J80" si="15">(C75-(C75*5%))-(F75-F75*5%)-I75</f>
        <v>135403.64249999999</v>
      </c>
      <c r="K75" s="617">
        <f t="shared" ref="K75:K80" si="16">IFERROR(J75/(C75-(C75*5%)),0)</f>
        <v>0.96959285714285703</v>
      </c>
      <c r="L75" s="526">
        <f>ProHeader!AN75</f>
        <v>2</v>
      </c>
      <c r="M75" s="525" t="str">
        <f>TEXT(  ProHeader!AJ75,"dd-mm-yy")</f>
        <v>-</v>
      </c>
      <c r="N75" s="525">
        <f>IFERROR(ProHeader!AK75 + ProHeader!AL75,"-")</f>
        <v>14700</v>
      </c>
      <c r="O75" s="525">
        <f>IFERROR(ProHeader!AM75,"0")</f>
        <v>14700</v>
      </c>
      <c r="P75" s="525">
        <f t="shared" ref="P75:P80" si="17">IFERROR(N75-O75,"-")</f>
        <v>0</v>
      </c>
      <c r="Q75" s="619" t="str">
        <f>IF( SUMIFS(srpro!$H$10:$H$3010,srpro!$J$10:$J$3010,$R$6,srpro!$B$10:$B$3010,'ProjectsX (2)'!A75,srpro!$K$10:$K$3010,$A$6)&gt;0,SUMIFS(srpro!$H$10:$H$3010,srpro!$J$10:$J$3010,$R$6,srpro!$B$10:$B$3010,'ProjectsX (2)'!A75,srpro!$K$10:$K$3010,$A$6),"")</f>
        <v/>
      </c>
      <c r="R75" s="449" t="str">
        <f>IF( SUMIFS(srpro!$E$10:$E$3010,srpro!$J$10:$J$3010,$R$6,srpro!$B$10:$B$3010,'ProjectsX (2)'!A75,srpro!$K$10:$K$3010,$A$6)&gt;0,SUMIFS(srpro!$E$10:$E$3010,srpro!$J$10:$J$3010,$R$6,srpro!$B$10:$B$3010,'ProjectsX (2)'!A75,srpro!$K$10:$K$3010,$A$6),"")</f>
        <v/>
      </c>
      <c r="S75" s="450"/>
      <c r="T75" s="619">
        <f>IF( SUMIFS(srpro!$H$10:$H$3010,srpro!$J$10:$J$3010,$U$6,srpro!$B$10:$B$3010,'ProjectsX (2)'!A75,srpro!$K$10:$K$3010,$A$6)&gt;0,SUMIFS(srpro!$H$10:$H$3010,srpro!$J$10:$J$3010,$U$6,srpro!$B$10:$B$3010,'ProjectsX (2)'!A75,srpro!$K$10:$K$3010,$A$6),"")</f>
        <v>14700</v>
      </c>
      <c r="U75" s="449">
        <f>IF( SUMIFS(srpro!$E$10:$E$3010,srpro!$J$10:$J$3010,$U$6,srpro!$B$10:$B$3010,'ProjectsX (2)'!A75,srpro!$K$10:$K$3010,$A$6)&gt;0,SUMIFS(srpro!$E$10:$E$3010,srpro!$J$10:$J$3010,$U$6,srpro!$B$10:$B$3010,'ProjectsX (2)'!A75,srpro!$K$10:$K$3010,$A$6),"")</f>
        <v>569</v>
      </c>
      <c r="V75" s="450"/>
      <c r="W75" s="619" t="str">
        <f>IF( SUMIFS(srpro!$H$10:$H$3010,srpro!$J$10:$J$3010,$X$6,srpro!$B$10:$B$3010,'ProjectsX (2)'!A75,srpro!$K$10:$K$3010,$A$6)&gt;0,SUMIFS(srpro!$H$10:$H$3010,srpro!$J$10:$J$3010,$X$6,srpro!$B$10:$B$3010,'ProjectsX (2)'!A75,srpro!$K$10:$K$3010,$A$6),"")</f>
        <v/>
      </c>
      <c r="X75" s="449" t="str">
        <f>IF( SUMIFS(srpro!$E$10:$E$3010,srpro!$J$10:$J$3010,$X$6,srpro!$B$10:$B$3010,'ProjectsX (2)'!A75,srpro!$K$10:$K$3010,$A$6)&gt;0,SUMIFS(srpro!$E$10:$E$3010,srpro!$J$10:$J$3010,$X$6,srpro!$B$10:$B$3010,'ProjectsX (2)'!A75,srpro!$K$10:$K$3010,$A$6),"")</f>
        <v/>
      </c>
      <c r="Y75" s="450"/>
      <c r="Z75" s="619" t="str">
        <f>IF( SUMIFS(srpro!$H$10:$H$3010,srpro!$J$10:$J$3010,$AA$6,srpro!$B$10:$B$3010,'ProjectsX (2)'!A75,srpro!$K$10:$K$3010,$A$6)&gt;0,SUMIFS(srpro!$H$10:$H$3010,srpro!$J$10:$J$3010,$AA$6,srpro!$B$10:$B$3010,'ProjectsX (2)'!A75,srpro!$K$10:$K$3010,$A$6),"")</f>
        <v/>
      </c>
      <c r="AA75" s="449" t="str">
        <f>IF( SUMIFS(srpro!$E$10:$E$3010,srpro!$J$10:$J$3010,$AA$6,srpro!$B$10:$B$3010,'ProjectsX (2)'!A75,srpro!$K$10:$K$3010,$A$6)&gt;0,SUMIFS(srpro!$E$10:$E$3010,srpro!$J$10:$J$3010,$AA$6,srpro!$B$10:$B$3010,'ProjectsX (2)'!A75,srpro!$K$10:$K$3010,$A$6),"")</f>
        <v/>
      </c>
      <c r="AB75" s="450"/>
      <c r="AC75" s="619" t="str">
        <f>IF( SUMIFS(srpro!$H$10:$H$3010,srpro!$J$10:$J$3010,$AD$6,srpro!$B$10:$B$3010,'ProjectsX (2)'!A75,srpro!$K$10:$K$3010,$A$6)&gt;0,SUMIFS(srpro!$H$10:$H$3010,srpro!$J$10:$J$3010,$AD$6,srpro!$B$10:$B$3010,'ProjectsX (2)'!A75,srpro!$K$10:$K$3010,$A$6),"")</f>
        <v/>
      </c>
      <c r="AD75" s="449" t="str">
        <f>IF( SUMIFS(srpro!$E$10:$E$3010,srpro!$J$10:$J$3010,$AD$6,srpro!$B$10:$B$3010,'ProjectsX (2)'!A75,srpro!$K$10:$K$3010,$A$6)&gt;0,SUMIFS(srpro!$E$10:$E$3010,srpro!$J$10:$J$3010,$AD$6,srpro!$B$10:$B$3010,'ProjectsX (2)'!A75,srpro!$K$10:$K$3010,$A$6),"")</f>
        <v/>
      </c>
      <c r="AE75" s="450"/>
      <c r="AF75" s="454" t="str">
        <f>IF( SUMIFS(srpro!$H$10:$H$3010,srpro!$J$10:$J$3010,$AG$6,srpro!$B$10:$B$3010,'ProjectsX (2)'!A75,srpro!$K$10:$K$3010,$A$6)&gt;0,SUMIFS(srpro!$H$10:$H$3010,srpro!$J$10:$J$3010,$AG$6,srpro!$B$10:$B$3010,'ProjectsX (2)'!A75,srpro!$K$10:$K$3010,$A$6),"")</f>
        <v/>
      </c>
      <c r="AG75" s="449">
        <f>IF( SUMIFS(srpro!$E$10:$E$3010,srpro!$J$10:$J$3010,$AG$6,srpro!$B$10:$B$3010,'ProjectsX (2)'!A75,srpro!$K$10:$K$3010,$A$6)&gt;0,SUMIFS(srpro!$E$10:$E$3010,srpro!$J$10:$J$3010,$AG$6,srpro!$B$10:$B$3010,'ProjectsX (2)'!A75,srpro!$K$10:$K$3010,$A$6),"")</f>
        <v>3900.85</v>
      </c>
      <c r="AH75" s="450"/>
      <c r="AI75" s="451"/>
      <c r="AJ75" s="451"/>
      <c r="AK75" s="450"/>
      <c r="AL75" s="615">
        <f t="shared" ref="AL75:AL81" si="18">SUM(Q75:AK75)</f>
        <v>19169.849999999999</v>
      </c>
      <c r="AM75" s="425"/>
      <c r="AN75" s="425"/>
      <c r="AO75" s="425"/>
      <c r="AP75" s="425"/>
      <c r="AQ75" s="425"/>
      <c r="AR75" s="425"/>
      <c r="AS75" s="425"/>
      <c r="AT75" s="425"/>
      <c r="AU75" s="425"/>
      <c r="AV75" s="425"/>
      <c r="AW75" s="425"/>
      <c r="AX75" s="425"/>
      <c r="AY75" s="425"/>
      <c r="AZ75" s="425"/>
      <c r="BA75" s="425"/>
      <c r="BB75" s="425"/>
      <c r="BC75" s="425"/>
      <c r="BD75" s="425"/>
      <c r="BE75" s="425"/>
    </row>
    <row r="76" spans="1:57" ht="19.5" customHeight="1">
      <c r="A76" s="616">
        <v>281</v>
      </c>
      <c r="B76" s="618" t="s">
        <v>866</v>
      </c>
      <c r="C76" s="458">
        <f>(ProHeader!L76+ProHeader!M76)+((ProHeader!L76+ProHeader!M76)*5%)</f>
        <v>133350</v>
      </c>
      <c r="D76" s="458">
        <f t="shared" si="10"/>
        <v>126682.5</v>
      </c>
      <c r="E76" s="459">
        <f>SUMIFS(srpro!$H$10:$H$3010,srpro!$B$10:$B$3010,'ProjectsX (2)'!A76)</f>
        <v>6667.5</v>
      </c>
      <c r="F76" s="460">
        <f>SUMIFS(srpro!$E$10:$E$3010,srpro!$B$10:$B$3010,'ProjectsX (2)'!A76)</f>
        <v>1980.5</v>
      </c>
      <c r="G76" s="478">
        <f t="shared" si="13"/>
        <v>0.05</v>
      </c>
      <c r="H76" s="479">
        <f t="shared" si="14"/>
        <v>1.4109298837645294E-2</v>
      </c>
      <c r="I76" s="535"/>
      <c r="J76" s="606">
        <f t="shared" si="15"/>
        <v>124801.02499999999</v>
      </c>
      <c r="K76" s="617">
        <f t="shared" si="16"/>
        <v>0.98514810648668916</v>
      </c>
      <c r="L76" s="526">
        <f>ProHeader!AN76</f>
        <v>0</v>
      </c>
      <c r="M76" s="525" t="str">
        <f>TEXT(  ProHeader!AJ76,"dd-mm-yy")</f>
        <v>-</v>
      </c>
      <c r="N76" s="525" t="str">
        <f>IFERROR(ProHeader!AK76 + ProHeader!AL76,"-")</f>
        <v>-</v>
      </c>
      <c r="O76" s="525" t="str">
        <f>IFERROR(ProHeader!AM76,"0")</f>
        <v>-</v>
      </c>
      <c r="P76" s="525" t="str">
        <f t="shared" si="17"/>
        <v>-</v>
      </c>
      <c r="Q76" s="619" t="str">
        <f>IF( SUMIFS(srpro!$H$10:$H$3010,srpro!$J$10:$J$3010,$R$6,srpro!$B$10:$B$3010,'ProjectsX (2)'!A76,srpro!$K$10:$K$3010,$A$6)&gt;0,SUMIFS(srpro!$H$10:$H$3010,srpro!$J$10:$J$3010,$R$6,srpro!$B$10:$B$3010,'ProjectsX (2)'!A76,srpro!$K$10:$K$3010,$A$6),"")</f>
        <v/>
      </c>
      <c r="R76" s="449" t="str">
        <f>IF( SUMIFS(srpro!$E$10:$E$3010,srpro!$J$10:$J$3010,$R$6,srpro!$B$10:$B$3010,'ProjectsX (2)'!A76,srpro!$K$10:$K$3010,$A$6)&gt;0,SUMIFS(srpro!$E$10:$E$3010,srpro!$J$10:$J$3010,$R$6,srpro!$B$10:$B$3010,'ProjectsX (2)'!A76,srpro!$K$10:$K$3010,$A$6),"")</f>
        <v/>
      </c>
      <c r="S76" s="450"/>
      <c r="T76" s="619">
        <f>IF( SUMIFS(srpro!$H$10:$H$3010,srpro!$J$10:$J$3010,$U$6,srpro!$B$10:$B$3010,'ProjectsX (2)'!A76,srpro!$K$10:$K$3010,$A$6)&gt;0,SUMIFS(srpro!$H$10:$H$3010,srpro!$J$10:$J$3010,$U$6,srpro!$B$10:$B$3010,'ProjectsX (2)'!A76,srpro!$K$10:$K$3010,$A$6),"")</f>
        <v>6667.5</v>
      </c>
      <c r="U76" s="449">
        <f>IF( SUMIFS(srpro!$E$10:$E$3010,srpro!$J$10:$J$3010,$U$6,srpro!$B$10:$B$3010,'ProjectsX (2)'!A76,srpro!$K$10:$K$3010,$A$6)&gt;0,SUMIFS(srpro!$E$10:$E$3010,srpro!$J$10:$J$3010,$U$6,srpro!$B$10:$B$3010,'ProjectsX (2)'!A76,srpro!$K$10:$K$3010,$A$6),"")</f>
        <v>1980.5</v>
      </c>
      <c r="V76" s="450"/>
      <c r="W76" s="619" t="str">
        <f>IF( SUMIFS(srpro!$H$10:$H$3010,srpro!$J$10:$J$3010,$X$6,srpro!$B$10:$B$3010,'ProjectsX (2)'!A76,srpro!$K$10:$K$3010,$A$6)&gt;0,SUMIFS(srpro!$H$10:$H$3010,srpro!$J$10:$J$3010,$X$6,srpro!$B$10:$B$3010,'ProjectsX (2)'!A76,srpro!$K$10:$K$3010,$A$6),"")</f>
        <v/>
      </c>
      <c r="X76" s="449" t="str">
        <f>IF( SUMIFS(srpro!$E$10:$E$3010,srpro!$J$10:$J$3010,$X$6,srpro!$B$10:$B$3010,'ProjectsX (2)'!A76,srpro!$K$10:$K$3010,$A$6)&gt;0,SUMIFS(srpro!$E$10:$E$3010,srpro!$J$10:$J$3010,$X$6,srpro!$B$10:$B$3010,'ProjectsX (2)'!A76,srpro!$K$10:$K$3010,$A$6),"")</f>
        <v/>
      </c>
      <c r="Y76" s="450"/>
      <c r="Z76" s="619" t="str">
        <f>IF( SUMIFS(srpro!$H$10:$H$3010,srpro!$J$10:$J$3010,$AA$6,srpro!$B$10:$B$3010,'ProjectsX (2)'!A76,srpro!$K$10:$K$3010,$A$6)&gt;0,SUMIFS(srpro!$H$10:$H$3010,srpro!$J$10:$J$3010,$AA$6,srpro!$B$10:$B$3010,'ProjectsX (2)'!A76,srpro!$K$10:$K$3010,$A$6),"")</f>
        <v/>
      </c>
      <c r="AA76" s="449" t="str">
        <f>IF( SUMIFS(srpro!$E$10:$E$3010,srpro!$J$10:$J$3010,$AA$6,srpro!$B$10:$B$3010,'ProjectsX (2)'!A76,srpro!$K$10:$K$3010,$A$6)&gt;0,SUMIFS(srpro!$E$10:$E$3010,srpro!$J$10:$J$3010,$AA$6,srpro!$B$10:$B$3010,'ProjectsX (2)'!A76,srpro!$K$10:$K$3010,$A$6),"")</f>
        <v/>
      </c>
      <c r="AB76" s="450"/>
      <c r="AC76" s="619" t="str">
        <f>IF( SUMIFS(srpro!$H$10:$H$3010,srpro!$J$10:$J$3010,$AD$6,srpro!$B$10:$B$3010,'ProjectsX (2)'!A76,srpro!$K$10:$K$3010,$A$6)&gt;0,SUMIFS(srpro!$H$10:$H$3010,srpro!$J$10:$J$3010,$AD$6,srpro!$B$10:$B$3010,'ProjectsX (2)'!A76,srpro!$K$10:$K$3010,$A$6),"")</f>
        <v/>
      </c>
      <c r="AD76" s="449" t="str">
        <f>IF( SUMIFS(srpro!$E$10:$E$3010,srpro!$J$10:$J$3010,$AD$6,srpro!$B$10:$B$3010,'ProjectsX (2)'!A76,srpro!$K$10:$K$3010,$A$6)&gt;0,SUMIFS(srpro!$E$10:$E$3010,srpro!$J$10:$J$3010,$AD$6,srpro!$B$10:$B$3010,'ProjectsX (2)'!A76,srpro!$K$10:$K$3010,$A$6),"")</f>
        <v/>
      </c>
      <c r="AE76" s="450"/>
      <c r="AF76" s="454" t="str">
        <f>IF( SUMIFS(srpro!$H$10:$H$3010,srpro!$J$10:$J$3010,$AG$6,srpro!$B$10:$B$3010,'ProjectsX (2)'!A76,srpro!$K$10:$K$3010,$A$6)&gt;0,SUMIFS(srpro!$H$10:$H$3010,srpro!$J$10:$J$3010,$AG$6,srpro!$B$10:$B$3010,'ProjectsX (2)'!A76,srpro!$K$10:$K$3010,$A$6),"")</f>
        <v/>
      </c>
      <c r="AG76" s="449" t="str">
        <f>IF( SUMIFS(srpro!$E$10:$E$3010,srpro!$J$10:$J$3010,$AG$6,srpro!$B$10:$B$3010,'ProjectsX (2)'!A76,srpro!$K$10:$K$3010,$A$6)&gt;0,SUMIFS(srpro!$E$10:$E$3010,srpro!$J$10:$J$3010,$AG$6,srpro!$B$10:$B$3010,'ProjectsX (2)'!A76,srpro!$K$10:$K$3010,$A$6),"")</f>
        <v/>
      </c>
      <c r="AH76" s="450"/>
      <c r="AI76" s="451"/>
      <c r="AJ76" s="451"/>
      <c r="AK76" s="450"/>
      <c r="AL76" s="615">
        <f t="shared" si="18"/>
        <v>8648</v>
      </c>
      <c r="AM76" s="425"/>
      <c r="AN76" s="425"/>
      <c r="AO76" s="425"/>
      <c r="AP76" s="425"/>
      <c r="AQ76" s="425"/>
      <c r="AR76" s="425"/>
      <c r="AS76" s="425"/>
      <c r="AT76" s="425"/>
      <c r="AU76" s="425"/>
      <c r="AV76" s="425"/>
      <c r="AW76" s="425"/>
      <c r="AX76" s="425"/>
      <c r="AY76" s="425"/>
      <c r="AZ76" s="425"/>
      <c r="BA76" s="425"/>
      <c r="BB76" s="425"/>
      <c r="BC76" s="425"/>
      <c r="BD76" s="425"/>
      <c r="BE76" s="425"/>
    </row>
    <row r="77" spans="1:57" ht="19.5" customHeight="1">
      <c r="A77" s="616">
        <v>284</v>
      </c>
      <c r="B77" s="618" t="s">
        <v>997</v>
      </c>
      <c r="C77" s="458">
        <f>(ProHeader!L77+ProHeader!M77)+((ProHeader!L77+ProHeader!M77)*5%)</f>
        <v>78750</v>
      </c>
      <c r="D77" s="458">
        <f t="shared" si="10"/>
        <v>63000</v>
      </c>
      <c r="E77" s="459">
        <f>SUMIFS(srpro!$H$10:$H$3010,srpro!$B$10:$B$3010,'ProjectsX (2)'!A77)</f>
        <v>15750</v>
      </c>
      <c r="F77" s="460">
        <f>SUMIFS(srpro!$E$10:$E$3010,srpro!$B$10:$B$3010,'ProjectsX (2)'!A77)</f>
        <v>4278.33</v>
      </c>
      <c r="G77" s="478">
        <f t="shared" si="13"/>
        <v>0.2</v>
      </c>
      <c r="H77" s="479">
        <f t="shared" si="14"/>
        <v>5.1611600000000001E-2</v>
      </c>
      <c r="I77" s="535"/>
      <c r="J77" s="606">
        <f t="shared" si="15"/>
        <v>70748.086500000005</v>
      </c>
      <c r="K77" s="617">
        <f t="shared" si="16"/>
        <v>0.94567200000000007</v>
      </c>
      <c r="L77" s="526">
        <f>ProHeader!AN77</f>
        <v>2</v>
      </c>
      <c r="M77" s="525" t="str">
        <f>TEXT(  ProHeader!AJ77,"dd-mm-yy")</f>
        <v>07-08-24</v>
      </c>
      <c r="N77" s="525">
        <f>IFERROR(ProHeader!AK77 + ProHeader!AL77,"-")</f>
        <v>15750</v>
      </c>
      <c r="O77" s="525">
        <f>IFERROR(ProHeader!AM77,"0")</f>
        <v>15750</v>
      </c>
      <c r="P77" s="525">
        <f t="shared" si="17"/>
        <v>0</v>
      </c>
      <c r="Q77" s="619" t="str">
        <f>IF( SUMIFS(srpro!$H$10:$H$3010,srpro!$J$10:$J$3010,$R$6,srpro!$B$10:$B$3010,'ProjectsX (2)'!A77,srpro!$K$10:$K$3010,$A$6)&gt;0,SUMIFS(srpro!$H$10:$H$3010,srpro!$J$10:$J$3010,$R$6,srpro!$B$10:$B$3010,'ProjectsX (2)'!A77,srpro!$K$10:$K$3010,$A$6),"")</f>
        <v/>
      </c>
      <c r="R77" s="449" t="str">
        <f>IF( SUMIFS(srpro!$E$10:$E$3010,srpro!$J$10:$J$3010,$R$6,srpro!$B$10:$B$3010,'ProjectsX (2)'!A77,srpro!$K$10:$K$3010,$A$6)&gt;0,SUMIFS(srpro!$E$10:$E$3010,srpro!$J$10:$J$3010,$R$6,srpro!$B$10:$B$3010,'ProjectsX (2)'!A77,srpro!$K$10:$K$3010,$A$6),"")</f>
        <v/>
      </c>
      <c r="S77" s="450"/>
      <c r="T77" s="619" t="str">
        <f>IF( SUMIFS(srpro!$H$10:$H$3010,srpro!$J$10:$J$3010,$U$6,srpro!$B$10:$B$3010,'ProjectsX (2)'!A77,srpro!$K$10:$K$3010,$A$6)&gt;0,SUMIFS(srpro!$H$10:$H$3010,srpro!$J$10:$J$3010,$U$6,srpro!$B$10:$B$3010,'ProjectsX (2)'!A77,srpro!$K$10:$K$3010,$A$6),"")</f>
        <v/>
      </c>
      <c r="U77" s="449">
        <f>IF( SUMIFS(srpro!$E$10:$E$3010,srpro!$J$10:$J$3010,$U$6,srpro!$B$10:$B$3010,'ProjectsX (2)'!A77,srpro!$K$10:$K$3010,$A$6)&gt;0,SUMIFS(srpro!$E$10:$E$3010,srpro!$J$10:$J$3010,$U$6,srpro!$B$10:$B$3010,'ProjectsX (2)'!A77,srpro!$K$10:$K$3010,$A$6),"")</f>
        <v>3707.66</v>
      </c>
      <c r="V77" s="450"/>
      <c r="W77" s="619">
        <f>IF( SUMIFS(srpro!$H$10:$H$3010,srpro!$J$10:$J$3010,$X$6,srpro!$B$10:$B$3010,'ProjectsX (2)'!A77,srpro!$K$10:$K$3010,$A$6)&gt;0,SUMIFS(srpro!$H$10:$H$3010,srpro!$J$10:$J$3010,$X$6,srpro!$B$10:$B$3010,'ProjectsX (2)'!A77,srpro!$K$10:$K$3010,$A$6),"")</f>
        <v>15750</v>
      </c>
      <c r="X77" s="449" t="str">
        <f>IF( SUMIFS(srpro!$E$10:$E$3010,srpro!$J$10:$J$3010,$X$6,srpro!$B$10:$B$3010,'ProjectsX (2)'!A77,srpro!$K$10:$K$3010,$A$6)&gt;0,SUMIFS(srpro!$E$10:$E$3010,srpro!$J$10:$J$3010,$X$6,srpro!$B$10:$B$3010,'ProjectsX (2)'!A77,srpro!$K$10:$K$3010,$A$6),"")</f>
        <v/>
      </c>
      <c r="Y77" s="450"/>
      <c r="Z77" s="619" t="str">
        <f>IF( SUMIFS(srpro!$H$10:$H$3010,srpro!$J$10:$J$3010,$AA$6,srpro!$B$10:$B$3010,'ProjectsX (2)'!A77,srpro!$K$10:$K$3010,$A$6)&gt;0,SUMIFS(srpro!$H$10:$H$3010,srpro!$J$10:$J$3010,$AA$6,srpro!$B$10:$B$3010,'ProjectsX (2)'!A77,srpro!$K$10:$K$3010,$A$6),"")</f>
        <v/>
      </c>
      <c r="AA77" s="449">
        <f>IF( SUMIFS(srpro!$E$10:$E$3010,srpro!$J$10:$J$3010,$AA$6,srpro!$B$10:$B$3010,'ProjectsX (2)'!A77,srpro!$K$10:$K$3010,$A$6)&gt;0,SUMIFS(srpro!$E$10:$E$3010,srpro!$J$10:$J$3010,$AA$6,srpro!$B$10:$B$3010,'ProjectsX (2)'!A77,srpro!$K$10:$K$3010,$A$6),"")</f>
        <v>570.66999999999996</v>
      </c>
      <c r="AB77" s="450"/>
      <c r="AC77" s="619" t="str">
        <f>IF( SUMIFS(srpro!$H$10:$H$3010,srpro!$J$10:$J$3010,$AD$6,srpro!$B$10:$B$3010,'ProjectsX (2)'!A77,srpro!$K$10:$K$3010,$A$6)&gt;0,SUMIFS(srpro!$H$10:$H$3010,srpro!$J$10:$J$3010,$AD$6,srpro!$B$10:$B$3010,'ProjectsX (2)'!A77,srpro!$K$10:$K$3010,$A$6),"")</f>
        <v/>
      </c>
      <c r="AD77" s="449" t="str">
        <f>IF( SUMIFS(srpro!$E$10:$E$3010,srpro!$J$10:$J$3010,$AD$6,srpro!$B$10:$B$3010,'ProjectsX (2)'!A77,srpro!$K$10:$K$3010,$A$6)&gt;0,SUMIFS(srpro!$E$10:$E$3010,srpro!$J$10:$J$3010,$AD$6,srpro!$B$10:$B$3010,'ProjectsX (2)'!A77,srpro!$K$10:$K$3010,$A$6),"")</f>
        <v/>
      </c>
      <c r="AE77" s="450"/>
      <c r="AF77" s="454" t="str">
        <f>IF( SUMIFS(srpro!$H$10:$H$3010,srpro!$J$10:$J$3010,$AG$6,srpro!$B$10:$B$3010,'ProjectsX (2)'!A77,srpro!$K$10:$K$3010,$A$6)&gt;0,SUMIFS(srpro!$H$10:$H$3010,srpro!$J$10:$J$3010,$AG$6,srpro!$B$10:$B$3010,'ProjectsX (2)'!A77,srpro!$K$10:$K$3010,$A$6),"")</f>
        <v/>
      </c>
      <c r="AG77" s="449" t="str">
        <f>IF( SUMIFS(srpro!$E$10:$E$3010,srpro!$J$10:$J$3010,$AG$6,srpro!$B$10:$B$3010,'ProjectsX (2)'!A77,srpro!$K$10:$K$3010,$A$6)&gt;0,SUMIFS(srpro!$E$10:$E$3010,srpro!$J$10:$J$3010,$AG$6,srpro!$B$10:$B$3010,'ProjectsX (2)'!A77,srpro!$K$10:$K$3010,$A$6),"")</f>
        <v/>
      </c>
      <c r="AH77" s="450"/>
      <c r="AI77" s="451"/>
      <c r="AJ77" s="451"/>
      <c r="AK77" s="450"/>
      <c r="AL77" s="615">
        <f t="shared" si="18"/>
        <v>20028.329999999998</v>
      </c>
      <c r="AM77" s="425"/>
      <c r="AN77" s="425"/>
      <c r="AO77" s="425"/>
      <c r="AP77" s="425"/>
      <c r="AQ77" s="425"/>
      <c r="AR77" s="425"/>
      <c r="AS77" s="425"/>
      <c r="AT77" s="425"/>
      <c r="AU77" s="425"/>
      <c r="AV77" s="425"/>
      <c r="AW77" s="425"/>
      <c r="AX77" s="425"/>
      <c r="AY77" s="425"/>
      <c r="AZ77" s="425"/>
      <c r="BA77" s="425"/>
      <c r="BB77" s="425"/>
      <c r="BC77" s="425"/>
      <c r="BD77" s="425"/>
      <c r="BE77" s="425"/>
    </row>
    <row r="78" spans="1:57" ht="19.5" customHeight="1">
      <c r="A78" s="616">
        <v>282</v>
      </c>
      <c r="B78" s="618" t="s">
        <v>1213</v>
      </c>
      <c r="C78" s="458">
        <f>(ProHeader!L78+ProHeader!M78)+((ProHeader!L78+ProHeader!M78)*5%)</f>
        <v>252000</v>
      </c>
      <c r="D78" s="458">
        <f t="shared" si="10"/>
        <v>214200</v>
      </c>
      <c r="E78" s="459">
        <f>SUMIFS(srpro!$H$10:$H$3010,srpro!$B$10:$B$3010,'ProjectsX (2)'!A78)</f>
        <v>37800</v>
      </c>
      <c r="F78" s="460">
        <f>SUMIFS(srpro!$E$10:$E$3010,srpro!$B$10:$B$3010,'ProjectsX (2)'!A78)</f>
        <v>15901.23</v>
      </c>
      <c r="G78" s="478">
        <f t="shared" si="13"/>
        <v>0.15</v>
      </c>
      <c r="H78" s="479">
        <f t="shared" si="14"/>
        <v>5.9945113095238096E-2</v>
      </c>
      <c r="I78" s="535"/>
      <c r="J78" s="606">
        <f t="shared" si="15"/>
        <v>224293.8315</v>
      </c>
      <c r="K78" s="617">
        <f t="shared" si="16"/>
        <v>0.93689988095238097</v>
      </c>
      <c r="L78" s="526">
        <f>ProHeader!AN78</f>
        <v>1</v>
      </c>
      <c r="M78" s="525" t="str">
        <f>TEXT(  ProHeader!AJ78,"dd-mm-yy")</f>
        <v>04-08-24</v>
      </c>
      <c r="N78" s="525">
        <f>IFERROR(ProHeader!AK78 + ProHeader!AL78,"-")</f>
        <v>37800</v>
      </c>
      <c r="O78" s="525">
        <f>IFERROR(ProHeader!AM78,"0")</f>
        <v>37800</v>
      </c>
      <c r="P78" s="525">
        <f t="shared" si="17"/>
        <v>0</v>
      </c>
      <c r="Q78" s="619" t="str">
        <f>IF( SUMIFS(srpro!$H$10:$H$3010,srpro!$J$10:$J$3010,$R$6,srpro!$B$10:$B$3010,'ProjectsX (2)'!A78,srpro!$K$10:$K$3010,$A$6)&gt;0,SUMIFS(srpro!$H$10:$H$3010,srpro!$J$10:$J$3010,$R$6,srpro!$B$10:$B$3010,'ProjectsX (2)'!A78,srpro!$K$10:$K$3010,$A$6),"")</f>
        <v/>
      </c>
      <c r="R78" s="449" t="str">
        <f>IF( SUMIFS(srpro!$E$10:$E$3010,srpro!$J$10:$J$3010,$R$6,srpro!$B$10:$B$3010,'ProjectsX (2)'!A78,srpro!$K$10:$K$3010,$A$6)&gt;0,SUMIFS(srpro!$E$10:$E$3010,srpro!$J$10:$J$3010,$R$6,srpro!$B$10:$B$3010,'ProjectsX (2)'!A78,srpro!$K$10:$K$3010,$A$6),"")</f>
        <v/>
      </c>
      <c r="S78" s="450"/>
      <c r="T78" s="619" t="str">
        <f>IF( SUMIFS(srpro!$H$10:$H$3010,srpro!$J$10:$J$3010,$U$6,srpro!$B$10:$B$3010,'ProjectsX (2)'!A78,srpro!$K$10:$K$3010,$A$6)&gt;0,SUMIFS(srpro!$H$10:$H$3010,srpro!$J$10:$J$3010,$U$6,srpro!$B$10:$B$3010,'ProjectsX (2)'!A78,srpro!$K$10:$K$3010,$A$6),"")</f>
        <v/>
      </c>
      <c r="U78" s="449" t="str">
        <f>IF( SUMIFS(srpro!$E$10:$E$3010,srpro!$J$10:$J$3010,$U$6,srpro!$B$10:$B$3010,'ProjectsX (2)'!A78,srpro!$K$10:$K$3010,$A$6)&gt;0,SUMIFS(srpro!$E$10:$E$3010,srpro!$J$10:$J$3010,$U$6,srpro!$B$10:$B$3010,'ProjectsX (2)'!A78,srpro!$K$10:$K$3010,$A$6),"")</f>
        <v/>
      </c>
      <c r="V78" s="450"/>
      <c r="W78" s="619">
        <f>IF( SUMIFS(srpro!$H$10:$H$3010,srpro!$J$10:$J$3010,$X$6,srpro!$B$10:$B$3010,'ProjectsX (2)'!A78,srpro!$K$10:$K$3010,$A$6)&gt;0,SUMIFS(srpro!$H$10:$H$3010,srpro!$J$10:$J$3010,$X$6,srpro!$B$10:$B$3010,'ProjectsX (2)'!A78,srpro!$K$10:$K$3010,$A$6),"")</f>
        <v>37800</v>
      </c>
      <c r="X78" s="449">
        <f>IF( SUMIFS(srpro!$E$10:$E$3010,srpro!$J$10:$J$3010,$X$6,srpro!$B$10:$B$3010,'ProjectsX (2)'!A78,srpro!$K$10:$K$3010,$A$6)&gt;0,SUMIFS(srpro!$E$10:$E$3010,srpro!$J$10:$J$3010,$X$6,srpro!$B$10:$B$3010,'ProjectsX (2)'!A78,srpro!$K$10:$K$3010,$A$6),"")</f>
        <v>15000</v>
      </c>
      <c r="Y78" s="450"/>
      <c r="Z78" s="619" t="str">
        <f>IF( SUMIFS(srpro!$H$10:$H$3010,srpro!$J$10:$J$3010,$AA$6,srpro!$B$10:$B$3010,'ProjectsX (2)'!A78,srpro!$K$10:$K$3010,$A$6)&gt;0,SUMIFS(srpro!$H$10:$H$3010,srpro!$J$10:$J$3010,$AA$6,srpro!$B$10:$B$3010,'ProjectsX (2)'!A78,srpro!$K$10:$K$3010,$A$6),"")</f>
        <v/>
      </c>
      <c r="AA78" s="449">
        <f>IF( SUMIFS(srpro!$E$10:$E$3010,srpro!$J$10:$J$3010,$AA$6,srpro!$B$10:$B$3010,'ProjectsX (2)'!A78,srpro!$K$10:$K$3010,$A$6)&gt;0,SUMIFS(srpro!$E$10:$E$3010,srpro!$J$10:$J$3010,$AA$6,srpro!$B$10:$B$3010,'ProjectsX (2)'!A78,srpro!$K$10:$K$3010,$A$6),"")</f>
        <v>94.25</v>
      </c>
      <c r="AB78" s="450"/>
      <c r="AC78" s="619" t="str">
        <f>IF( SUMIFS(srpro!$H$10:$H$3010,srpro!$J$10:$J$3010,$AD$6,srpro!$B$10:$B$3010,'ProjectsX (2)'!A78,srpro!$K$10:$K$3010,$A$6)&gt;0,SUMIFS(srpro!$H$10:$H$3010,srpro!$J$10:$J$3010,$AD$6,srpro!$B$10:$B$3010,'ProjectsX (2)'!A78,srpro!$K$10:$K$3010,$A$6),"")</f>
        <v/>
      </c>
      <c r="AD78" s="449">
        <f>IF( SUMIFS(srpro!$E$10:$E$3010,srpro!$J$10:$J$3010,$AD$6,srpro!$B$10:$B$3010,'ProjectsX (2)'!A78,srpro!$K$10:$K$3010,$A$6)&gt;0,SUMIFS(srpro!$E$10:$E$3010,srpro!$J$10:$J$3010,$AD$6,srpro!$B$10:$B$3010,'ProjectsX (2)'!A78,srpro!$K$10:$K$3010,$A$6),"")</f>
        <v>806.98</v>
      </c>
      <c r="AE78" s="450"/>
      <c r="AF78" s="454" t="str">
        <f>IF( SUMIFS(srpro!$H$10:$H$3010,srpro!$J$10:$J$3010,$AG$6,srpro!$B$10:$B$3010,'ProjectsX (2)'!A78,srpro!$K$10:$K$3010,$A$6)&gt;0,SUMIFS(srpro!$H$10:$H$3010,srpro!$J$10:$J$3010,$AG$6,srpro!$B$10:$B$3010,'ProjectsX (2)'!A78,srpro!$K$10:$K$3010,$A$6),"")</f>
        <v/>
      </c>
      <c r="AG78" s="449" t="str">
        <f>IF( SUMIFS(srpro!$E$10:$E$3010,srpro!$J$10:$J$3010,$AG$6,srpro!$B$10:$B$3010,'ProjectsX (2)'!A78,srpro!$K$10:$K$3010,$A$6)&gt;0,SUMIFS(srpro!$E$10:$E$3010,srpro!$J$10:$J$3010,$AG$6,srpro!$B$10:$B$3010,'ProjectsX (2)'!A78,srpro!$K$10:$K$3010,$A$6),"")</f>
        <v/>
      </c>
      <c r="AH78" s="450"/>
      <c r="AI78" s="451"/>
      <c r="AJ78" s="451"/>
      <c r="AK78" s="450"/>
      <c r="AL78" s="615">
        <f t="shared" si="18"/>
        <v>53701.23</v>
      </c>
      <c r="AM78" s="425"/>
      <c r="AN78" s="425"/>
      <c r="AO78" s="425"/>
      <c r="AP78" s="425"/>
      <c r="AQ78" s="425"/>
      <c r="AR78" s="425"/>
      <c r="AS78" s="425"/>
      <c r="AT78" s="425"/>
      <c r="AU78" s="425"/>
      <c r="AV78" s="425"/>
      <c r="AW78" s="425"/>
      <c r="AX78" s="425"/>
      <c r="AY78" s="425"/>
      <c r="AZ78" s="425"/>
      <c r="BA78" s="425"/>
      <c r="BB78" s="425"/>
      <c r="BC78" s="425"/>
      <c r="BD78" s="425"/>
      <c r="BE78" s="425"/>
    </row>
    <row r="79" spans="1:57" ht="19.5" customHeight="1">
      <c r="A79" s="616">
        <v>283</v>
      </c>
      <c r="B79" s="618" t="s">
        <v>1262</v>
      </c>
      <c r="C79" s="458">
        <f>(ProHeader!L79+ProHeader!M79)+((ProHeader!L79+ProHeader!M79)*5%)</f>
        <v>0</v>
      </c>
      <c r="D79" s="458">
        <f t="shared" si="10"/>
        <v>-29137.5</v>
      </c>
      <c r="E79" s="459">
        <f>SUMIFS(srpro!$H$10:$H$3010,srpro!$B$10:$B$3010,'ProjectsX (2)'!A79)</f>
        <v>29137.5</v>
      </c>
      <c r="F79" s="460">
        <f>SUMIFS(srpro!$E$10:$E$3010,srpro!$B$10:$B$3010,'ProjectsX (2)'!A79)</f>
        <v>27617.5</v>
      </c>
      <c r="G79" s="478">
        <f t="shared" si="13"/>
        <v>0</v>
      </c>
      <c r="H79" s="479">
        <f t="shared" si="14"/>
        <v>0</v>
      </c>
      <c r="I79" s="535"/>
      <c r="J79" s="606">
        <f t="shared" si="15"/>
        <v>-26236.625</v>
      </c>
      <c r="K79" s="617">
        <f t="shared" si="16"/>
        <v>0</v>
      </c>
      <c r="L79" s="526">
        <f>ProHeader!AN79</f>
        <v>1</v>
      </c>
      <c r="M79" s="525" t="str">
        <f>TEXT(  ProHeader!AJ79,"dd-mm-yy")</f>
        <v>04-12-24</v>
      </c>
      <c r="N79" s="525">
        <f>IFERROR(ProHeader!AK79 + ProHeader!AL79,"-")</f>
        <v>29137.5</v>
      </c>
      <c r="O79" s="525">
        <f>IFERROR(ProHeader!AM79,"0")</f>
        <v>29137.5</v>
      </c>
      <c r="P79" s="525">
        <f t="shared" si="17"/>
        <v>0</v>
      </c>
      <c r="Q79" s="619" t="str">
        <f>IF( SUMIFS(srpro!$H$10:$H$3010,srpro!$J$10:$J$3010,$R$6,srpro!$B$10:$B$3010,'ProjectsX (2)'!A79,srpro!$K$10:$K$3010,$A$6)&gt;0,SUMIFS(srpro!$H$10:$H$3010,srpro!$J$10:$J$3010,$R$6,srpro!$B$10:$B$3010,'ProjectsX (2)'!A79,srpro!$K$10:$K$3010,$A$6),"")</f>
        <v/>
      </c>
      <c r="R79" s="449" t="str">
        <f>IF( SUMIFS(srpro!$E$10:$E$3010,srpro!$J$10:$J$3010,$R$6,srpro!$B$10:$B$3010,'ProjectsX (2)'!A79,srpro!$K$10:$K$3010,$A$6)&gt;0,SUMIFS(srpro!$E$10:$E$3010,srpro!$J$10:$J$3010,$R$6,srpro!$B$10:$B$3010,'ProjectsX (2)'!A79,srpro!$K$10:$K$3010,$A$6),"")</f>
        <v/>
      </c>
      <c r="S79" s="450"/>
      <c r="T79" s="619" t="str">
        <f>IF( SUMIFS(srpro!$H$10:$H$3010,srpro!$J$10:$J$3010,$U$6,srpro!$B$10:$B$3010,'ProjectsX (2)'!A79,srpro!$K$10:$K$3010,$A$6)&gt;0,SUMIFS(srpro!$H$10:$H$3010,srpro!$J$10:$J$3010,$U$6,srpro!$B$10:$B$3010,'ProjectsX (2)'!A79,srpro!$K$10:$K$3010,$A$6),"")</f>
        <v/>
      </c>
      <c r="U79" s="449" t="str">
        <f>IF( SUMIFS(srpro!$E$10:$E$3010,srpro!$J$10:$J$3010,$U$6,srpro!$B$10:$B$3010,'ProjectsX (2)'!A79,srpro!$K$10:$K$3010,$A$6)&gt;0,SUMIFS(srpro!$E$10:$E$3010,srpro!$J$10:$J$3010,$U$6,srpro!$B$10:$B$3010,'ProjectsX (2)'!A79,srpro!$K$10:$K$3010,$A$6),"")</f>
        <v/>
      </c>
      <c r="V79" s="450"/>
      <c r="W79" s="619" t="str">
        <f>IF( SUMIFS(srpro!$H$10:$H$3010,srpro!$J$10:$J$3010,$X$6,srpro!$B$10:$B$3010,'ProjectsX (2)'!A79,srpro!$K$10:$K$3010,$A$6)&gt;0,SUMIFS(srpro!$H$10:$H$3010,srpro!$J$10:$J$3010,$X$6,srpro!$B$10:$B$3010,'ProjectsX (2)'!A79,srpro!$K$10:$K$3010,$A$6),"")</f>
        <v/>
      </c>
      <c r="X79" s="449" t="str">
        <f>IF( SUMIFS(srpro!$E$10:$E$3010,srpro!$J$10:$J$3010,$X$6,srpro!$B$10:$B$3010,'ProjectsX (2)'!A79,srpro!$K$10:$K$3010,$A$6)&gt;0,SUMIFS(srpro!$E$10:$E$3010,srpro!$J$10:$J$3010,$X$6,srpro!$B$10:$B$3010,'ProjectsX (2)'!A79,srpro!$K$10:$K$3010,$A$6),"")</f>
        <v/>
      </c>
      <c r="Y79" s="450"/>
      <c r="Z79" s="619" t="str">
        <f>IF( SUMIFS(srpro!$H$10:$H$3010,srpro!$J$10:$J$3010,$AA$6,srpro!$B$10:$B$3010,'ProjectsX (2)'!A79,srpro!$K$10:$K$3010,$A$6)&gt;0,SUMIFS(srpro!$H$10:$H$3010,srpro!$J$10:$J$3010,$AA$6,srpro!$B$10:$B$3010,'ProjectsX (2)'!A79,srpro!$K$10:$K$3010,$A$6),"")</f>
        <v/>
      </c>
      <c r="AA79" s="449" t="str">
        <f>IF( SUMIFS(srpro!$E$10:$E$3010,srpro!$J$10:$J$3010,$AA$6,srpro!$B$10:$B$3010,'ProjectsX (2)'!A79,srpro!$K$10:$K$3010,$A$6)&gt;0,SUMIFS(srpro!$E$10:$E$3010,srpro!$J$10:$J$3010,$AA$6,srpro!$B$10:$B$3010,'ProjectsX (2)'!A79,srpro!$K$10:$K$3010,$A$6),"")</f>
        <v/>
      </c>
      <c r="AB79" s="450"/>
      <c r="AC79" s="619" t="str">
        <f>IF( SUMIFS(srpro!$H$10:$H$3010,srpro!$J$10:$J$3010,$AD$6,srpro!$B$10:$B$3010,'ProjectsX (2)'!A79,srpro!$K$10:$K$3010,$A$6)&gt;0,SUMIFS(srpro!$H$10:$H$3010,srpro!$J$10:$J$3010,$AD$6,srpro!$B$10:$B$3010,'ProjectsX (2)'!A79,srpro!$K$10:$K$3010,$A$6),"")</f>
        <v/>
      </c>
      <c r="AD79" s="449" t="str">
        <f>IF( SUMIFS(srpro!$E$10:$E$3010,srpro!$J$10:$J$3010,$AD$6,srpro!$B$10:$B$3010,'ProjectsX (2)'!A79,srpro!$K$10:$K$3010,$A$6)&gt;0,SUMIFS(srpro!$E$10:$E$3010,srpro!$J$10:$J$3010,$AD$6,srpro!$B$10:$B$3010,'ProjectsX (2)'!A79,srpro!$K$10:$K$3010,$A$6),"")</f>
        <v/>
      </c>
      <c r="AE79" s="450"/>
      <c r="AF79" s="454" t="str">
        <f>IF( SUMIFS(srpro!$H$10:$H$3010,srpro!$J$10:$J$3010,$AG$6,srpro!$B$10:$B$3010,'ProjectsX (2)'!A79,srpro!$K$10:$K$3010,$A$6)&gt;0,SUMIFS(srpro!$H$10:$H$3010,srpro!$J$10:$J$3010,$AG$6,srpro!$B$10:$B$3010,'ProjectsX (2)'!A79,srpro!$K$10:$K$3010,$A$6),"")</f>
        <v/>
      </c>
      <c r="AG79" s="449" t="str">
        <f>IF( SUMIFS(srpro!$E$10:$E$3010,srpro!$J$10:$J$3010,$AG$6,srpro!$B$10:$B$3010,'ProjectsX (2)'!A79,srpro!$K$10:$K$3010,$A$6)&gt;0,SUMIFS(srpro!$E$10:$E$3010,srpro!$J$10:$J$3010,$AG$6,srpro!$B$10:$B$3010,'ProjectsX (2)'!A79,srpro!$K$10:$K$3010,$A$6),"")</f>
        <v/>
      </c>
      <c r="AH79" s="450"/>
      <c r="AI79" s="451"/>
      <c r="AJ79" s="451"/>
      <c r="AK79" s="450"/>
      <c r="AL79" s="615">
        <f t="shared" si="18"/>
        <v>0</v>
      </c>
      <c r="AM79" s="425"/>
      <c r="AN79" s="425"/>
      <c r="AO79" s="425"/>
      <c r="AP79" s="425"/>
      <c r="AQ79" s="425"/>
      <c r="AR79" s="425"/>
      <c r="AS79" s="425"/>
      <c r="AT79" s="425"/>
      <c r="AU79" s="425"/>
      <c r="AV79" s="425"/>
      <c r="AW79" s="425"/>
      <c r="AX79" s="425"/>
      <c r="AY79" s="425"/>
      <c r="AZ79" s="425"/>
      <c r="BA79" s="425"/>
      <c r="BB79" s="425"/>
      <c r="BC79" s="425"/>
      <c r="BD79" s="425"/>
      <c r="BE79" s="425"/>
    </row>
    <row r="80" spans="1:57" ht="19.5" customHeight="1">
      <c r="A80" s="616">
        <v>285</v>
      </c>
      <c r="B80" s="618" t="s">
        <v>1356</v>
      </c>
      <c r="C80" s="458">
        <f>(ProHeader!L80+ProHeader!M80)+((ProHeader!L80+ProHeader!M80)*5%)</f>
        <v>105000</v>
      </c>
      <c r="D80" s="458">
        <f t="shared" si="10"/>
        <v>89250</v>
      </c>
      <c r="E80" s="459">
        <f>SUMIFS(srpro!$H$10:$H$3010,srpro!$B$10:$B$3010,'ProjectsX (2)'!A80)</f>
        <v>15750</v>
      </c>
      <c r="F80" s="460">
        <f>SUMIFS(srpro!$E$10:$E$3010,srpro!$B$10:$B$3010,'ProjectsX (2)'!A80)</f>
        <v>400</v>
      </c>
      <c r="G80" s="478">
        <f t="shared" si="13"/>
        <v>0.15</v>
      </c>
      <c r="H80" s="479">
        <f t="shared" si="14"/>
        <v>3.619047619047619E-3</v>
      </c>
      <c r="I80" s="535"/>
      <c r="J80" s="606">
        <f t="shared" si="15"/>
        <v>99370</v>
      </c>
      <c r="K80" s="617">
        <f t="shared" si="16"/>
        <v>0.99619047619047618</v>
      </c>
      <c r="L80" s="526">
        <f>ProHeader!AN80</f>
        <v>1</v>
      </c>
      <c r="M80" s="525" t="str">
        <f>TEXT(  ProHeader!AJ80,"dd-mm-yy")</f>
        <v>15-08-24</v>
      </c>
      <c r="N80" s="525">
        <f>IFERROR(ProHeader!AK80 + ProHeader!AL80,"-")</f>
        <v>15750</v>
      </c>
      <c r="O80" s="525">
        <f>IFERROR(ProHeader!AM80,"0")</f>
        <v>15750</v>
      </c>
      <c r="P80" s="525">
        <f t="shared" si="17"/>
        <v>0</v>
      </c>
      <c r="Q80" s="619" t="str">
        <f>IF( SUMIFS(srpro!$H$10:$H$3010,srpro!$J$10:$J$3010,$R$6,srpro!$B$10:$B$3010,'ProjectsX (2)'!A80,srpro!$K$10:$K$3010,$A$6)&gt;0,SUMIFS(srpro!$H$10:$H$3010,srpro!$J$10:$J$3010,$R$6,srpro!$B$10:$B$3010,'ProjectsX (2)'!A80,srpro!$K$10:$K$3010,$A$6),"")</f>
        <v/>
      </c>
      <c r="R80" s="449" t="str">
        <f>IF( SUMIFS(srpro!$E$10:$E$3010,srpro!$J$10:$J$3010,$R$6,srpro!$B$10:$B$3010,'ProjectsX (2)'!A80,srpro!$K$10:$K$3010,$A$6)&gt;0,SUMIFS(srpro!$E$10:$E$3010,srpro!$J$10:$J$3010,$R$6,srpro!$B$10:$B$3010,'ProjectsX (2)'!A80,srpro!$K$10:$K$3010,$A$6),"")</f>
        <v/>
      </c>
      <c r="S80" s="450"/>
      <c r="T80" s="619" t="str">
        <f>IF( SUMIFS(srpro!$H$10:$H$3010,srpro!$J$10:$J$3010,$U$6,srpro!$B$10:$B$3010,'ProjectsX (2)'!A80,srpro!$K$10:$K$3010,$A$6)&gt;0,SUMIFS(srpro!$H$10:$H$3010,srpro!$J$10:$J$3010,$U$6,srpro!$B$10:$B$3010,'ProjectsX (2)'!A80,srpro!$K$10:$K$3010,$A$6),"")</f>
        <v/>
      </c>
      <c r="U80" s="449" t="str">
        <f>IF( SUMIFS(srpro!$E$10:$E$3010,srpro!$J$10:$J$3010,$U$6,srpro!$B$10:$B$3010,'ProjectsX (2)'!A80,srpro!$K$10:$K$3010,$A$6)&gt;0,SUMIFS(srpro!$E$10:$E$3010,srpro!$J$10:$J$3010,$U$6,srpro!$B$10:$B$3010,'ProjectsX (2)'!A80,srpro!$K$10:$K$3010,$A$6),"")</f>
        <v/>
      </c>
      <c r="V80" s="450"/>
      <c r="W80" s="619" t="str">
        <f>IF( SUMIFS(srpro!$H$10:$H$3010,srpro!$J$10:$J$3010,$X$6,srpro!$B$10:$B$3010,'ProjectsX (2)'!A80,srpro!$K$10:$K$3010,$A$6)&gt;0,SUMIFS(srpro!$H$10:$H$3010,srpro!$J$10:$J$3010,$X$6,srpro!$B$10:$B$3010,'ProjectsX (2)'!A80,srpro!$K$10:$K$3010,$A$6),"")</f>
        <v/>
      </c>
      <c r="X80" s="449" t="str">
        <f>IF( SUMIFS(srpro!$E$10:$E$3010,srpro!$J$10:$J$3010,$X$6,srpro!$B$10:$B$3010,'ProjectsX (2)'!A80,srpro!$K$10:$K$3010,$A$6)&gt;0,SUMIFS(srpro!$E$10:$E$3010,srpro!$J$10:$J$3010,$X$6,srpro!$B$10:$B$3010,'ProjectsX (2)'!A80,srpro!$K$10:$K$3010,$A$6),"")</f>
        <v/>
      </c>
      <c r="Y80" s="450"/>
      <c r="Z80" s="619">
        <f>IF( SUMIFS(srpro!$H$10:$H$3010,srpro!$J$10:$J$3010,$AA$6,srpro!$B$10:$B$3010,'ProjectsX (2)'!A80,srpro!$K$10:$K$3010,$A$6)&gt;0,SUMIFS(srpro!$H$10:$H$3010,srpro!$J$10:$J$3010,$AA$6,srpro!$B$10:$B$3010,'ProjectsX (2)'!A80,srpro!$K$10:$K$3010,$A$6),"")</f>
        <v>15750</v>
      </c>
      <c r="AA80" s="449" t="str">
        <f>IF( SUMIFS(srpro!$E$10:$E$3010,srpro!$J$10:$J$3010,$AA$6,srpro!$B$10:$B$3010,'ProjectsX (2)'!A80,srpro!$K$10:$K$3010,$A$6)&gt;0,SUMIFS(srpro!$E$10:$E$3010,srpro!$J$10:$J$3010,$AA$6,srpro!$B$10:$B$3010,'ProjectsX (2)'!A80,srpro!$K$10:$K$3010,$A$6),"")</f>
        <v/>
      </c>
      <c r="AB80" s="450"/>
      <c r="AC80" s="619" t="str">
        <f>IF( SUMIFS(srpro!$H$10:$H$3010,srpro!$J$10:$J$3010,$AD$6,srpro!$B$10:$B$3010,'ProjectsX (2)'!A80,srpro!$K$10:$K$3010,$A$6)&gt;0,SUMIFS(srpro!$H$10:$H$3010,srpro!$J$10:$J$3010,$AD$6,srpro!$B$10:$B$3010,'ProjectsX (2)'!A80,srpro!$K$10:$K$3010,$A$6),"")</f>
        <v/>
      </c>
      <c r="AD80" s="449">
        <f>IF( SUMIFS(srpro!$E$10:$E$3010,srpro!$J$10:$J$3010,$AD$6,srpro!$B$10:$B$3010,'ProjectsX (2)'!A80,srpro!$K$10:$K$3010,$A$6)&gt;0,SUMIFS(srpro!$E$10:$E$3010,srpro!$J$10:$J$3010,$AD$6,srpro!$B$10:$B$3010,'ProjectsX (2)'!A80,srpro!$K$10:$K$3010,$A$6),"")</f>
        <v>400</v>
      </c>
      <c r="AE80" s="450"/>
      <c r="AF80" s="454" t="str">
        <f>IF( SUMIFS(srpro!$H$10:$H$3010,srpro!$J$10:$J$3010,$AG$6,srpro!$B$10:$B$3010,'ProjectsX (2)'!A80,srpro!$K$10:$K$3010,$A$6)&gt;0,SUMIFS(srpro!$H$10:$H$3010,srpro!$J$10:$J$3010,$AG$6,srpro!$B$10:$B$3010,'ProjectsX (2)'!A80,srpro!$K$10:$K$3010,$A$6),"")</f>
        <v/>
      </c>
      <c r="AG80" s="449" t="str">
        <f>IF( SUMIFS(srpro!$E$10:$E$3010,srpro!$J$10:$J$3010,$AG$6,srpro!$B$10:$B$3010,'ProjectsX (2)'!A80,srpro!$K$10:$K$3010,$A$6)&gt;0,SUMIFS(srpro!$E$10:$E$3010,srpro!$J$10:$J$3010,$AG$6,srpro!$B$10:$B$3010,'ProjectsX (2)'!A80,srpro!$K$10:$K$3010,$A$6),"")</f>
        <v/>
      </c>
      <c r="AH80" s="450"/>
      <c r="AI80" s="451"/>
      <c r="AJ80" s="451"/>
      <c r="AK80" s="450"/>
      <c r="AL80" s="615">
        <f t="shared" si="18"/>
        <v>16150</v>
      </c>
      <c r="AM80" s="425"/>
      <c r="AN80" s="425"/>
      <c r="AO80" s="425"/>
      <c r="AP80" s="425"/>
      <c r="AQ80" s="425"/>
      <c r="AR80" s="425"/>
      <c r="AS80" s="425"/>
      <c r="AT80" s="425"/>
      <c r="AU80" s="425"/>
      <c r="AV80" s="425"/>
      <c r="AW80" s="425"/>
      <c r="AX80" s="425"/>
      <c r="AY80" s="425"/>
      <c r="AZ80" s="425"/>
      <c r="BA80" s="425"/>
      <c r="BB80" s="425"/>
      <c r="BC80" s="425"/>
      <c r="BD80" s="425"/>
      <c r="BE80" s="425"/>
    </row>
    <row r="81" spans="1:57" ht="19.5" customHeight="1">
      <c r="A81" s="616">
        <v>286</v>
      </c>
      <c r="B81" s="618" t="s">
        <v>978</v>
      </c>
      <c r="C81" s="458">
        <f>(ProHeader!L81+ProHeader!M81)+((ProHeader!L81+ProHeader!M81)*5%)</f>
        <v>157500</v>
      </c>
      <c r="D81" s="458">
        <f>C81-E81</f>
        <v>133875</v>
      </c>
      <c r="E81" s="459">
        <f>SUMIFS(srpro!$H$10:$H$3010,srpro!$B$10:$B$3010,'ProjectsX (2)'!A81)</f>
        <v>23625</v>
      </c>
      <c r="F81" s="460">
        <f>SUMIFS(srpro!$E$10:$E$3010,srpro!$B$10:$B$3010,'ProjectsX (2)'!A81)</f>
        <v>589.32999999999993</v>
      </c>
      <c r="G81" s="478">
        <f>IFERROR((E81)/(C81),0)</f>
        <v>0.15</v>
      </c>
      <c r="H81" s="479">
        <f>IFERROR((F81-(F81*5%))/(C81),0)</f>
        <v>3.5546888888888886E-3</v>
      </c>
      <c r="I81" s="535"/>
      <c r="J81" s="606">
        <f>(C81-(C81*5%))-(F81-F81*5%)-I81</f>
        <v>149065.13649999999</v>
      </c>
      <c r="K81" s="617">
        <f>IFERROR(J81/(C81-(C81*5%)),0)</f>
        <v>0.99625822222222216</v>
      </c>
      <c r="L81" s="526">
        <f>ProHeader!AN81</f>
        <v>2</v>
      </c>
      <c r="M81" s="525" t="str">
        <f>TEXT(  ProHeader!AJ81,"dd-mm-yy")</f>
        <v>14-09-24</v>
      </c>
      <c r="N81" s="525">
        <f>IFERROR(ProHeader!AK81 + ProHeader!AL81,"-")</f>
        <v>23625</v>
      </c>
      <c r="O81" s="525">
        <f>IFERROR(ProHeader!AM81,"0")</f>
        <v>23625</v>
      </c>
      <c r="P81" s="525">
        <f>IFERROR(N81-O81,"-")</f>
        <v>0</v>
      </c>
      <c r="Q81" s="619" t="str">
        <f>IF( SUMIFS(srpro!$H$10:$H$3010,srpro!$J$10:$J$3010,$R$6,srpro!$B$10:$B$3010,'ProjectsX (2)'!A81,srpro!$K$10:$K$3010,$A$6)&gt;0,SUMIFS(srpro!$H$10:$H$3010,srpro!$J$10:$J$3010,$R$6,srpro!$B$10:$B$3010,'ProjectsX (2)'!A81,srpro!$K$10:$K$3010,$A$6),"")</f>
        <v/>
      </c>
      <c r="R81" s="449" t="str">
        <f>IF( SUMIFS(srpro!$E$10:$E$3010,srpro!$J$10:$J$3010,$R$6,srpro!$B$10:$B$3010,'ProjectsX (2)'!A81,srpro!$K$10:$K$3010,$A$6)&gt;0,SUMIFS(srpro!$E$10:$E$3010,srpro!$J$10:$J$3010,$R$6,srpro!$B$10:$B$3010,'ProjectsX (2)'!A81,srpro!$K$10:$K$3010,$A$6),"")</f>
        <v/>
      </c>
      <c r="S81" s="450"/>
      <c r="T81" s="619" t="str">
        <f>IF( SUMIFS(srpro!$H$10:$H$3010,srpro!$J$10:$J$3010,$U$6,srpro!$B$10:$B$3010,'ProjectsX (2)'!A81,srpro!$K$10:$K$3010,$A$6)&gt;0,SUMIFS(srpro!$H$10:$H$3010,srpro!$J$10:$J$3010,$U$6,srpro!$B$10:$B$3010,'ProjectsX (2)'!A81,srpro!$K$10:$K$3010,$A$6),"")</f>
        <v/>
      </c>
      <c r="U81" s="449" t="str">
        <f>IF( SUMIFS(srpro!$E$10:$E$3010,srpro!$J$10:$J$3010,$U$6,srpro!$B$10:$B$3010,'ProjectsX (2)'!A81,srpro!$K$10:$K$3010,$A$6)&gt;0,SUMIFS(srpro!$E$10:$E$3010,srpro!$J$10:$J$3010,$U$6,srpro!$B$10:$B$3010,'ProjectsX (2)'!A81,srpro!$K$10:$K$3010,$A$6),"")</f>
        <v/>
      </c>
      <c r="V81" s="450"/>
      <c r="W81" s="619" t="str">
        <f>IF( SUMIFS(srpro!$H$10:$H$3010,srpro!$J$10:$J$3010,$X$6,srpro!$B$10:$B$3010,'ProjectsX (2)'!A81,srpro!$K$10:$K$3010,$A$6)&gt;0,SUMIFS(srpro!$H$10:$H$3010,srpro!$J$10:$J$3010,$X$6,srpro!$B$10:$B$3010,'ProjectsX (2)'!A81,srpro!$K$10:$K$3010,$A$6),"")</f>
        <v/>
      </c>
      <c r="X81" s="449" t="str">
        <f>IF( SUMIFS(srpro!$E$10:$E$3010,srpro!$J$10:$J$3010,$X$6,srpro!$B$10:$B$3010,'ProjectsX (2)'!A81,srpro!$K$10:$K$3010,$A$6)&gt;0,SUMIFS(srpro!$E$10:$E$3010,srpro!$J$10:$J$3010,$X$6,srpro!$B$10:$B$3010,'ProjectsX (2)'!A81,srpro!$K$10:$K$3010,$A$6),"")</f>
        <v/>
      </c>
      <c r="Y81" s="450"/>
      <c r="Z81" s="619">
        <f>IF( SUMIFS(srpro!$H$10:$H$3010,srpro!$J$10:$J$3010,$AA$6,srpro!$B$10:$B$3010,'ProjectsX (2)'!A81,srpro!$K$10:$K$3010,$A$6)&gt;0,SUMIFS(srpro!$H$10:$H$3010,srpro!$J$10:$J$3010,$AA$6,srpro!$B$10:$B$3010,'ProjectsX (2)'!A81,srpro!$K$10:$K$3010,$A$6),"")</f>
        <v>23625</v>
      </c>
      <c r="AA81" s="449">
        <f>IF( SUMIFS(srpro!$E$10:$E$3010,srpro!$J$10:$J$3010,$AA$6,srpro!$B$10:$B$3010,'ProjectsX (2)'!A81,srpro!$K$10:$K$3010,$A$6)&gt;0,SUMIFS(srpro!$E$10:$E$3010,srpro!$J$10:$J$3010,$AA$6,srpro!$B$10:$B$3010,'ProjectsX (2)'!A81,srpro!$K$10:$K$3010,$A$6),"")</f>
        <v>37.799999999999997</v>
      </c>
      <c r="AB81" s="450"/>
      <c r="AC81" s="619" t="str">
        <f>IF( SUMIFS(srpro!$H$10:$H$3010,srpro!$J$10:$J$3010,$AD$6,srpro!$B$10:$B$3010,'ProjectsX (2)'!A81,srpro!$K$10:$K$3010,$A$6)&gt;0,SUMIFS(srpro!$H$10:$H$3010,srpro!$J$10:$J$3010,$AD$6,srpro!$B$10:$B$3010,'ProjectsX (2)'!A81,srpro!$K$10:$K$3010,$A$6),"")</f>
        <v/>
      </c>
      <c r="AD81" s="449">
        <f>IF( SUMIFS(srpro!$E$10:$E$3010,srpro!$J$10:$J$3010,$AD$6,srpro!$B$10:$B$3010,'ProjectsX (2)'!A81,srpro!$K$10:$K$3010,$A$6)&gt;0,SUMIFS(srpro!$E$10:$E$3010,srpro!$J$10:$J$3010,$AD$6,srpro!$B$10:$B$3010,'ProjectsX (2)'!A81,srpro!$K$10:$K$3010,$A$6),"")</f>
        <v>551.53</v>
      </c>
      <c r="AE81" s="450"/>
      <c r="AF81" s="454" t="str">
        <f>IF( SUMIFS(srpro!$H$10:$H$3010,srpro!$J$10:$J$3010,$AG$6,srpro!$B$10:$B$3010,'ProjectsX (2)'!A81,srpro!$K$10:$K$3010,$A$6)&gt;0,SUMIFS(srpro!$H$10:$H$3010,srpro!$J$10:$J$3010,$AG$6,srpro!$B$10:$B$3010,'ProjectsX (2)'!A81,srpro!$K$10:$K$3010,$A$6),"")</f>
        <v/>
      </c>
      <c r="AG81" s="449" t="str">
        <f>IF( SUMIFS(srpro!$E$10:$E$3010,srpro!$J$10:$J$3010,$AG$6,srpro!$B$10:$B$3010,'ProjectsX (2)'!A81,srpro!$K$10:$K$3010,$A$6)&gt;0,SUMIFS(srpro!$E$10:$E$3010,srpro!$J$10:$J$3010,$AG$6,srpro!$B$10:$B$3010,'ProjectsX (2)'!A81,srpro!$K$10:$K$3010,$A$6),"")</f>
        <v/>
      </c>
      <c r="AH81" s="450"/>
      <c r="AI81" s="451"/>
      <c r="AJ81" s="451"/>
      <c r="AK81" s="450"/>
      <c r="AL81" s="615">
        <f t="shared" si="18"/>
        <v>24214.329999999998</v>
      </c>
      <c r="AM81" s="425"/>
      <c r="AN81" s="425"/>
      <c r="AO81" s="425"/>
      <c r="AP81" s="425"/>
      <c r="AQ81" s="425"/>
      <c r="AR81" s="425"/>
      <c r="AS81" s="425"/>
      <c r="AT81" s="425"/>
      <c r="AU81" s="425"/>
      <c r="AV81" s="425"/>
      <c r="AW81" s="425"/>
      <c r="AX81" s="425"/>
      <c r="AY81" s="425"/>
      <c r="AZ81" s="425"/>
      <c r="BA81" s="425"/>
      <c r="BB81" s="425"/>
      <c r="BC81" s="425"/>
      <c r="BD81" s="425"/>
      <c r="BE81" s="425"/>
    </row>
    <row r="82" spans="1:57" ht="19.5" customHeight="1">
      <c r="A82" s="616">
        <v>287</v>
      </c>
      <c r="B82" s="618" t="s">
        <v>5005</v>
      </c>
      <c r="C82" s="458"/>
      <c r="D82" s="458"/>
      <c r="E82" s="459"/>
      <c r="F82" s="460"/>
      <c r="G82" s="478"/>
      <c r="H82" s="479"/>
      <c r="I82" s="535"/>
      <c r="J82" s="606"/>
      <c r="K82" s="617"/>
      <c r="L82" s="526"/>
      <c r="M82" s="525"/>
      <c r="N82" s="525"/>
      <c r="O82" s="525"/>
      <c r="P82" s="525"/>
      <c r="Q82" s="619"/>
      <c r="R82" s="449"/>
      <c r="S82" s="450"/>
      <c r="T82" s="619"/>
      <c r="U82" s="449"/>
      <c r="V82" s="450"/>
      <c r="W82" s="619"/>
      <c r="X82" s="449"/>
      <c r="Y82" s="450"/>
      <c r="Z82" s="619" t="str">
        <f>IF( SUMIFS(srpro!$H$10:$H$3010,srpro!$J$10:$J$3010,$AA$6,srpro!$B$10:$B$3010,'ProjectsX (2)'!A82,srpro!$K$10:$K$3010,$A$6)&gt;0,SUMIFS(srpro!$H$10:$H$3010,srpro!$J$10:$J$3010,$AA$6,srpro!$B$10:$B$3010,'ProjectsX (2)'!A82,srpro!$K$10:$K$3010,$A$6),"")</f>
        <v/>
      </c>
      <c r="AA82" s="449" t="str">
        <f>IF( SUMIFS(srpro!$E$10:$E$3010,srpro!$J$10:$J$3010,$AA$6,srpro!$B$10:$B$3010,'ProjectsX (2)'!A82,srpro!$K$10:$K$3010,$A$6)&gt;0,SUMIFS(srpro!$E$10:$E$3010,srpro!$J$10:$J$3010,$AA$6,srpro!$B$10:$B$3010,'ProjectsX (2)'!A82,srpro!$K$10:$K$3010,$A$6),"")</f>
        <v/>
      </c>
      <c r="AB82" s="450"/>
      <c r="AC82" s="619" t="str">
        <f>IF( SUMIFS(srpro!$H$10:$H$3010,srpro!$J$10:$J$3010,$AD$6,srpro!$B$10:$B$3010,'ProjectsX (2)'!A82,srpro!$K$10:$K$3010,$A$6)&gt;0,SUMIFS(srpro!$H$10:$H$3010,srpro!$J$10:$J$3010,$AD$6,srpro!$B$10:$B$3010,'ProjectsX (2)'!A82,srpro!$K$10:$K$3010,$A$6),"")</f>
        <v/>
      </c>
      <c r="AD82" s="449" t="str">
        <f>IF( SUMIFS(srpro!$E$10:$E$3010,srpro!$J$10:$J$3010,$AD$6,srpro!$B$10:$B$3010,'ProjectsX (2)'!A82,srpro!$K$10:$K$3010,$A$6)&gt;0,SUMIFS(srpro!$E$10:$E$3010,srpro!$J$10:$J$3010,$AD$6,srpro!$B$10:$B$3010,'ProjectsX (2)'!A82,srpro!$K$10:$K$3010,$A$6),"")</f>
        <v/>
      </c>
      <c r="AE82" s="450"/>
      <c r="AF82" s="454" t="str">
        <f>IF( SUMIFS(srpro!$H$10:$H$3010,srpro!$J$10:$J$3010,$AG$6,srpro!$B$10:$B$3010,'ProjectsX (2)'!A82,srpro!$K$10:$K$3010,$A$6)&gt;0,SUMIFS(srpro!$H$10:$H$3010,srpro!$J$10:$J$3010,$AG$6,srpro!$B$10:$B$3010,'ProjectsX (2)'!A82,srpro!$K$10:$K$3010,$A$6),"")</f>
        <v/>
      </c>
      <c r="AG82" s="449" t="str">
        <f>IF( SUMIFS(srpro!$E$10:$E$3010,srpro!$J$10:$J$3010,$AG$6,srpro!$B$10:$B$3010,'ProjectsX (2)'!A82,srpro!$K$10:$K$3010,$A$6)&gt;0,SUMIFS(srpro!$E$10:$E$3010,srpro!$J$10:$J$3010,$AG$6,srpro!$B$10:$B$3010,'ProjectsX (2)'!A82,srpro!$K$10:$K$3010,$A$6),"")</f>
        <v/>
      </c>
      <c r="AH82" s="450"/>
      <c r="AI82" s="451"/>
      <c r="AJ82" s="451"/>
      <c r="AK82" s="450"/>
      <c r="AL82" s="615"/>
      <c r="AM82" s="425"/>
      <c r="AN82" s="425"/>
      <c r="AO82" s="425"/>
      <c r="AP82" s="425"/>
      <c r="AQ82" s="425"/>
      <c r="AR82" s="425"/>
      <c r="AS82" s="425"/>
      <c r="AT82" s="425"/>
      <c r="AU82" s="425"/>
      <c r="AV82" s="425"/>
      <c r="AW82" s="425"/>
      <c r="AX82" s="425"/>
      <c r="AY82" s="425"/>
      <c r="AZ82" s="425"/>
      <c r="BA82" s="425"/>
      <c r="BB82" s="425"/>
      <c r="BC82" s="425"/>
      <c r="BD82" s="425"/>
      <c r="BE82" s="425"/>
    </row>
    <row r="83" spans="1:57" ht="19.5" customHeight="1">
      <c r="A83" s="616">
        <v>288</v>
      </c>
      <c r="B83" s="618" t="s">
        <v>5045</v>
      </c>
      <c r="C83" s="458"/>
      <c r="D83" s="458"/>
      <c r="E83" s="459"/>
      <c r="F83" s="460"/>
      <c r="G83" s="478"/>
      <c r="H83" s="479"/>
      <c r="I83" s="535"/>
      <c r="J83" s="606"/>
      <c r="K83" s="617"/>
      <c r="L83" s="526"/>
      <c r="M83" s="525"/>
      <c r="N83" s="525"/>
      <c r="O83" s="525"/>
      <c r="P83" s="525"/>
      <c r="Q83" s="619"/>
      <c r="R83" s="449"/>
      <c r="S83" s="450"/>
      <c r="T83" s="619"/>
      <c r="U83" s="449"/>
      <c r="V83" s="450"/>
      <c r="W83" s="619"/>
      <c r="X83" s="449"/>
      <c r="Y83" s="450"/>
      <c r="Z83" s="619" t="str">
        <f>IF( SUMIFS(srpro!$H$10:$H$3010,srpro!$J$10:$J$3010,$AA$6,srpro!$B$10:$B$3010,'ProjectsX (2)'!A83,srpro!$K$10:$K$3010,$A$6)&gt;0,SUMIFS(srpro!$H$10:$H$3010,srpro!$J$10:$J$3010,$AA$6,srpro!$B$10:$B$3010,'ProjectsX (2)'!A83,srpro!$K$10:$K$3010,$A$6),"")</f>
        <v/>
      </c>
      <c r="AA83" s="449" t="str">
        <f>IF( SUMIFS(srpro!$E$10:$E$3010,srpro!$J$10:$J$3010,$AA$6,srpro!$B$10:$B$3010,'ProjectsX (2)'!A83,srpro!$K$10:$K$3010,$A$6)&gt;0,SUMIFS(srpro!$E$10:$E$3010,srpro!$J$10:$J$3010,$AA$6,srpro!$B$10:$B$3010,'ProjectsX (2)'!A83,srpro!$K$10:$K$3010,$A$6),"")</f>
        <v/>
      </c>
      <c r="AB83" s="450"/>
      <c r="AC83" s="619" t="str">
        <f>IF( SUMIFS(srpro!$H$10:$H$3010,srpro!$J$10:$J$3010,$AD$6,srpro!$B$10:$B$3010,'ProjectsX (2)'!A83,srpro!$K$10:$K$3010,$A$6)&gt;0,SUMIFS(srpro!$H$10:$H$3010,srpro!$J$10:$J$3010,$AD$6,srpro!$B$10:$B$3010,'ProjectsX (2)'!A83,srpro!$K$10:$K$3010,$A$6),"")</f>
        <v/>
      </c>
      <c r="AD83" s="449" t="str">
        <f>IF( SUMIFS(srpro!$E$10:$E$3010,srpro!$J$10:$J$3010,$AD$6,srpro!$B$10:$B$3010,'ProjectsX (2)'!A83,srpro!$K$10:$K$3010,$A$6)&gt;0,SUMIFS(srpro!$E$10:$E$3010,srpro!$J$10:$J$3010,$AD$6,srpro!$B$10:$B$3010,'ProjectsX (2)'!A83,srpro!$K$10:$K$3010,$A$6),"")</f>
        <v/>
      </c>
      <c r="AE83" s="450"/>
      <c r="AF83" s="454">
        <f>IF( SUMIFS(srpro!$H$10:$H$3010,srpro!$J$10:$J$3010,$AG$6,srpro!$B$10:$B$3010,'ProjectsX (2)'!A83,srpro!$K$10:$K$3010,$A$6)&gt;0,SUMIFS(srpro!$H$10:$H$3010,srpro!$J$10:$J$3010,$AG$6,srpro!$B$10:$B$3010,'ProjectsX (2)'!A83,srpro!$K$10:$K$3010,$A$6),"")</f>
        <v>10000</v>
      </c>
      <c r="AG83" s="449" t="str">
        <f>IF( SUMIFS(srpro!$E$10:$E$3010,srpro!$J$10:$J$3010,$AG$6,srpro!$B$10:$B$3010,'ProjectsX (2)'!A83,srpro!$K$10:$K$3010,$A$6)&gt;0,SUMIFS(srpro!$E$10:$E$3010,srpro!$J$10:$J$3010,$AG$6,srpro!$B$10:$B$3010,'ProjectsX (2)'!A83,srpro!$K$10:$K$3010,$A$6),"")</f>
        <v/>
      </c>
      <c r="AH83" s="450"/>
      <c r="AI83" s="451"/>
      <c r="AJ83" s="451"/>
      <c r="AK83" s="450"/>
      <c r="AL83" s="615"/>
      <c r="AM83" s="425"/>
      <c r="AN83" s="425"/>
      <c r="AO83" s="425"/>
      <c r="AP83" s="425"/>
      <c r="AQ83" s="425"/>
      <c r="AR83" s="425"/>
      <c r="AS83" s="425"/>
      <c r="AT83" s="425"/>
      <c r="AU83" s="425"/>
      <c r="AV83" s="425"/>
      <c r="AW83" s="425"/>
      <c r="AX83" s="425"/>
      <c r="AY83" s="425"/>
      <c r="AZ83" s="425"/>
      <c r="BA83" s="425"/>
      <c r="BB83" s="425"/>
      <c r="BC83" s="425"/>
      <c r="BD83" s="425"/>
      <c r="BE83" s="425"/>
    </row>
    <row r="84" spans="1:57" ht="19.5" customHeight="1">
      <c r="A84" s="616">
        <v>289</v>
      </c>
      <c r="B84" s="618" t="s">
        <v>5260</v>
      </c>
      <c r="C84" s="458"/>
      <c r="D84" s="458"/>
      <c r="E84" s="459"/>
      <c r="F84" s="460"/>
      <c r="G84" s="478"/>
      <c r="H84" s="479"/>
      <c r="I84" s="535"/>
      <c r="J84" s="606"/>
      <c r="K84" s="617"/>
      <c r="L84" s="526"/>
      <c r="M84" s="525"/>
      <c r="N84" s="525"/>
      <c r="O84" s="525"/>
      <c r="P84" s="525"/>
      <c r="Q84" s="619"/>
      <c r="R84" s="449"/>
      <c r="S84" s="450"/>
      <c r="T84" s="619"/>
      <c r="U84" s="449"/>
      <c r="V84" s="450"/>
      <c r="W84" s="619"/>
      <c r="X84" s="449"/>
      <c r="Y84" s="450"/>
      <c r="Z84" s="619" t="str">
        <f>IF( SUMIFS(srpro!$H$10:$H$3010,srpro!$J$10:$J$3010,$AA$6,srpro!$B$10:$B$3010,'ProjectsX (2)'!A84,srpro!$K$10:$K$3010,$A$6)&gt;0,SUMIFS(srpro!$H$10:$H$3010,srpro!$J$10:$J$3010,$AA$6,srpro!$B$10:$B$3010,'ProjectsX (2)'!A84,srpro!$K$10:$K$3010,$A$6),"")</f>
        <v/>
      </c>
      <c r="AA84" s="449" t="str">
        <f>IF( SUMIFS(srpro!$E$10:$E$3010,srpro!$J$10:$J$3010,$AA$6,srpro!$B$10:$B$3010,'ProjectsX (2)'!A84,srpro!$K$10:$K$3010,$A$6)&gt;0,SUMIFS(srpro!$E$10:$E$3010,srpro!$J$10:$J$3010,$AA$6,srpro!$B$10:$B$3010,'ProjectsX (2)'!A84,srpro!$K$10:$K$3010,$A$6),"")</f>
        <v/>
      </c>
      <c r="AB84" s="450"/>
      <c r="AC84" s="619" t="str">
        <f>IF( SUMIFS(srpro!$H$10:$H$3010,srpro!$J$10:$J$3010,$AD$6,srpro!$B$10:$B$3010,'ProjectsX (2)'!A84,srpro!$K$10:$K$3010,$A$6)&gt;0,SUMIFS(srpro!$H$10:$H$3010,srpro!$J$10:$J$3010,$AD$6,srpro!$B$10:$B$3010,'ProjectsX (2)'!A84,srpro!$K$10:$K$3010,$A$6),"")</f>
        <v/>
      </c>
      <c r="AD84" s="449" t="str">
        <f>IF( SUMIFS(srpro!$E$10:$E$3010,srpro!$J$10:$J$3010,$AD$6,srpro!$B$10:$B$3010,'ProjectsX (2)'!A84,srpro!$K$10:$K$3010,$A$6)&gt;0,SUMIFS(srpro!$E$10:$E$3010,srpro!$J$10:$J$3010,$AD$6,srpro!$B$10:$B$3010,'ProjectsX (2)'!A84,srpro!$K$10:$K$3010,$A$6),"")</f>
        <v/>
      </c>
      <c r="AE84" s="450"/>
      <c r="AF84" s="454" t="str">
        <f>IF( SUMIFS(srpro!$H$10:$H$3010,srpro!$J$10:$J$3010,$AG$6,srpro!$B$10:$B$3010,'ProjectsX (2)'!A84,srpro!$K$10:$K$3010,$A$6)&gt;0,SUMIFS(srpro!$H$10:$H$3010,srpro!$J$10:$J$3010,$AG$6,srpro!$B$10:$B$3010,'ProjectsX (2)'!A84,srpro!$K$10:$K$3010,$A$6),"")</f>
        <v/>
      </c>
      <c r="AG84" s="449">
        <f>IF( SUMIFS(srpro!$E$10:$E$3010,srpro!$J$10:$J$3010,$AG$6,srpro!$B$10:$B$3010,'ProjectsX (2)'!A84,srpro!$K$10:$K$3010,$A$6)&gt;0,SUMIFS(srpro!$E$10:$E$3010,srpro!$J$10:$J$3010,$AG$6,srpro!$B$10:$B$3010,'ProjectsX (2)'!A84,srpro!$K$10:$K$3010,$A$6),"")</f>
        <v>500</v>
      </c>
      <c r="AH84" s="450"/>
      <c r="AI84" s="451"/>
      <c r="AJ84" s="451"/>
      <c r="AK84" s="450"/>
      <c r="AL84" s="615"/>
      <c r="AM84" s="425"/>
      <c r="AN84" s="425"/>
      <c r="AO84" s="425"/>
      <c r="AP84" s="425"/>
      <c r="AQ84" s="425"/>
      <c r="AR84" s="425"/>
      <c r="AS84" s="425"/>
      <c r="AT84" s="425"/>
      <c r="AU84" s="425"/>
      <c r="AV84" s="425"/>
      <c r="AW84" s="425"/>
      <c r="AX84" s="425"/>
      <c r="AY84" s="425"/>
      <c r="AZ84" s="425"/>
      <c r="BA84" s="425"/>
      <c r="BB84" s="425"/>
      <c r="BC84" s="425"/>
      <c r="BD84" s="425"/>
      <c r="BE84" s="425"/>
    </row>
    <row r="85" spans="1:57" ht="19.5" customHeight="1">
      <c r="A85" s="616">
        <v>290</v>
      </c>
      <c r="B85" s="618" t="s">
        <v>5367</v>
      </c>
      <c r="C85" s="458"/>
      <c r="D85" s="458"/>
      <c r="E85" s="459"/>
      <c r="F85" s="460"/>
      <c r="G85" s="478"/>
      <c r="H85" s="479"/>
      <c r="I85" s="535"/>
      <c r="J85" s="606"/>
      <c r="K85" s="617"/>
      <c r="L85" s="526"/>
      <c r="M85" s="525"/>
      <c r="N85" s="525"/>
      <c r="O85" s="525"/>
      <c r="P85" s="525"/>
      <c r="Q85" s="619"/>
      <c r="R85" s="449"/>
      <c r="S85" s="450"/>
      <c r="T85" s="619"/>
      <c r="U85" s="449"/>
      <c r="V85" s="450"/>
      <c r="W85" s="619"/>
      <c r="X85" s="449"/>
      <c r="Y85" s="450"/>
      <c r="Z85" s="619" t="str">
        <f>IF( SUMIFS(srpro!$H$10:$H$3010,srpro!$J$10:$J$3010,$AA$6,srpro!$B$10:$B$3010,'ProjectsX (2)'!A85,srpro!$K$10:$K$3010,$A$6)&gt;0,SUMIFS(srpro!$H$10:$H$3010,srpro!$J$10:$J$3010,$AA$6,srpro!$B$10:$B$3010,'ProjectsX (2)'!A85,srpro!$K$10:$K$3010,$A$6),"")</f>
        <v/>
      </c>
      <c r="AA85" s="449" t="str">
        <f>IF( SUMIFS(srpro!$E$10:$E$3010,srpro!$J$10:$J$3010,$AA$6,srpro!$B$10:$B$3010,'ProjectsX (2)'!A85,srpro!$K$10:$K$3010,$A$6)&gt;0,SUMIFS(srpro!$E$10:$E$3010,srpro!$J$10:$J$3010,$AA$6,srpro!$B$10:$B$3010,'ProjectsX (2)'!A85,srpro!$K$10:$K$3010,$A$6),"")</f>
        <v/>
      </c>
      <c r="AB85" s="450"/>
      <c r="AC85" s="619" t="str">
        <f>IF( SUMIFS(srpro!$H$10:$H$3010,srpro!$J$10:$J$3010,$AD$6,srpro!$B$10:$B$3010,'ProjectsX (2)'!A85,srpro!$K$10:$K$3010,$A$6)&gt;0,SUMIFS(srpro!$H$10:$H$3010,srpro!$J$10:$J$3010,$AD$6,srpro!$B$10:$B$3010,'ProjectsX (2)'!A85,srpro!$K$10:$K$3010,$A$6),"")</f>
        <v/>
      </c>
      <c r="AD85" s="449" t="str">
        <f>IF( SUMIFS(srpro!$E$10:$E$3010,srpro!$J$10:$J$3010,$AD$6,srpro!$B$10:$B$3010,'ProjectsX (2)'!A85,srpro!$K$10:$K$3010,$A$6)&gt;0,SUMIFS(srpro!$E$10:$E$3010,srpro!$J$10:$J$3010,$AD$6,srpro!$B$10:$B$3010,'ProjectsX (2)'!A85,srpro!$K$10:$K$3010,$A$6),"")</f>
        <v/>
      </c>
      <c r="AE85" s="450"/>
      <c r="AF85" s="454">
        <f>IF( SUMIFS(srpro!$H$10:$H$3010,srpro!$J$10:$J$3010,$AG$6,srpro!$B$10:$B$3010,'ProjectsX (2)'!A85,srpro!$K$10:$K$3010,$A$6)&gt;0,SUMIFS(srpro!$H$10:$H$3010,srpro!$J$10:$J$3010,$AG$6,srpro!$B$10:$B$3010,'ProjectsX (2)'!A85,srpro!$K$10:$K$3010,$A$6),"")</f>
        <v>14175</v>
      </c>
      <c r="AG85" s="449">
        <f>IF( SUMIFS(srpro!$E$10:$E$3010,srpro!$J$10:$J$3010,$AG$6,srpro!$B$10:$B$3010,'ProjectsX (2)'!A85,srpro!$K$10:$K$3010,$A$6)&gt;0,SUMIFS(srpro!$E$10:$E$3010,srpro!$J$10:$J$3010,$AG$6,srpro!$B$10:$B$3010,'ProjectsX (2)'!A85,srpro!$K$10:$K$3010,$A$6),"")</f>
        <v>7300</v>
      </c>
      <c r="AH85" s="450"/>
      <c r="AI85" s="451"/>
      <c r="AJ85" s="451"/>
      <c r="AK85" s="450"/>
      <c r="AL85" s="615"/>
      <c r="AM85" s="425"/>
      <c r="AN85" s="425"/>
      <c r="AO85" s="425"/>
      <c r="AP85" s="425"/>
      <c r="AQ85" s="425"/>
      <c r="AR85" s="425"/>
      <c r="AS85" s="425"/>
      <c r="AT85" s="425"/>
      <c r="AU85" s="425"/>
      <c r="AV85" s="425"/>
      <c r="AW85" s="425"/>
      <c r="AX85" s="425"/>
      <c r="AY85" s="425"/>
      <c r="AZ85" s="425"/>
      <c r="BA85" s="425"/>
      <c r="BB85" s="425"/>
      <c r="BC85" s="425"/>
      <c r="BD85" s="425"/>
      <c r="BE85" s="425"/>
    </row>
    <row r="86" spans="1:57" ht="19.5" customHeight="1">
      <c r="A86" s="616">
        <v>291</v>
      </c>
      <c r="B86" s="618" t="s">
        <v>5362</v>
      </c>
      <c r="C86" s="458"/>
      <c r="D86" s="458"/>
      <c r="E86" s="459"/>
      <c r="F86" s="460"/>
      <c r="G86" s="478"/>
      <c r="H86" s="479"/>
      <c r="I86" s="535"/>
      <c r="J86" s="606"/>
      <c r="K86" s="617"/>
      <c r="L86" s="526"/>
      <c r="M86" s="525"/>
      <c r="N86" s="525"/>
      <c r="O86" s="525"/>
      <c r="P86" s="525"/>
      <c r="Q86" s="619"/>
      <c r="R86" s="449"/>
      <c r="S86" s="450"/>
      <c r="T86" s="619"/>
      <c r="U86" s="449"/>
      <c r="V86" s="450"/>
      <c r="W86" s="619"/>
      <c r="X86" s="449"/>
      <c r="Y86" s="450"/>
      <c r="Z86" s="619" t="str">
        <f>IF( SUMIFS(srpro!$H$10:$H$3010,srpro!$J$10:$J$3010,$AA$6,srpro!$B$10:$B$3010,'ProjectsX (2)'!A86,srpro!$K$10:$K$3010,$A$6)&gt;0,SUMIFS(srpro!$H$10:$H$3010,srpro!$J$10:$J$3010,$AA$6,srpro!$B$10:$B$3010,'ProjectsX (2)'!A86,srpro!$K$10:$K$3010,$A$6),"")</f>
        <v/>
      </c>
      <c r="AA86" s="449" t="str">
        <f>IF( SUMIFS(srpro!$E$10:$E$3010,srpro!$J$10:$J$3010,$AA$6,srpro!$B$10:$B$3010,'ProjectsX (2)'!A86,srpro!$K$10:$K$3010,$A$6)&gt;0,SUMIFS(srpro!$E$10:$E$3010,srpro!$J$10:$J$3010,$AA$6,srpro!$B$10:$B$3010,'ProjectsX (2)'!A86,srpro!$K$10:$K$3010,$A$6),"")</f>
        <v/>
      </c>
      <c r="AB86" s="450"/>
      <c r="AC86" s="619" t="str">
        <f>IF( SUMIFS(srpro!$H$10:$H$3010,srpro!$J$10:$J$3010,$AD$6,srpro!$B$10:$B$3010,'ProjectsX (2)'!A86,srpro!$K$10:$K$3010,$A$6)&gt;0,SUMIFS(srpro!$H$10:$H$3010,srpro!$J$10:$J$3010,$AD$6,srpro!$B$10:$B$3010,'ProjectsX (2)'!A86,srpro!$K$10:$K$3010,$A$6),"")</f>
        <v/>
      </c>
      <c r="AD86" s="449" t="str">
        <f>IF( SUMIFS(srpro!$E$10:$E$3010,srpro!$J$10:$J$3010,$AD$6,srpro!$B$10:$B$3010,'ProjectsX (2)'!A86,srpro!$K$10:$K$3010,$A$6)&gt;0,SUMIFS(srpro!$E$10:$E$3010,srpro!$J$10:$J$3010,$AD$6,srpro!$B$10:$B$3010,'ProjectsX (2)'!A86,srpro!$K$10:$K$3010,$A$6),"")</f>
        <v/>
      </c>
      <c r="AE86" s="450"/>
      <c r="AF86" s="454">
        <f>IF( SUMIFS(srpro!$H$10:$H$3010,srpro!$J$10:$J$3010,$AG$6,srpro!$B$10:$B$3010,'ProjectsX (2)'!A86,srpro!$K$10:$K$3010,$A$6)&gt;0,SUMIFS(srpro!$H$10:$H$3010,srpro!$J$10:$J$3010,$AG$6,srpro!$B$10:$B$3010,'ProjectsX (2)'!A86,srpro!$K$10:$K$3010,$A$6),"")</f>
        <v>35700</v>
      </c>
      <c r="AG86" s="449">
        <f>IF( SUMIFS(srpro!$E$10:$E$3010,srpro!$J$10:$J$3010,$AG$6,srpro!$B$10:$B$3010,'ProjectsX (2)'!A86,srpro!$K$10:$K$3010,$A$6)&gt;0,SUMIFS(srpro!$E$10:$E$3010,srpro!$J$10:$J$3010,$AG$6,srpro!$B$10:$B$3010,'ProjectsX (2)'!A86,srpro!$K$10:$K$3010,$A$6),"")</f>
        <v>9000</v>
      </c>
      <c r="AH86" s="450"/>
      <c r="AI86" s="451"/>
      <c r="AJ86" s="451"/>
      <c r="AK86" s="450"/>
      <c r="AL86" s="615"/>
      <c r="AM86" s="425"/>
      <c r="AN86" s="425"/>
      <c r="AO86" s="425"/>
      <c r="AP86" s="425"/>
      <c r="AQ86" s="425"/>
      <c r="AR86" s="425"/>
      <c r="AS86" s="425"/>
      <c r="AT86" s="425"/>
      <c r="AU86" s="425"/>
      <c r="AV86" s="425"/>
      <c r="AW86" s="425"/>
      <c r="AX86" s="425"/>
      <c r="AY86" s="425"/>
      <c r="AZ86" s="425"/>
      <c r="BA86" s="425"/>
      <c r="BB86" s="425"/>
      <c r="BC86" s="425"/>
      <c r="BD86" s="425"/>
      <c r="BE86" s="425"/>
    </row>
    <row r="87" spans="1:57" ht="19.5" customHeight="1">
      <c r="A87" s="616"/>
      <c r="B87" s="618"/>
      <c r="C87" s="458"/>
      <c r="D87" s="458"/>
      <c r="E87" s="459"/>
      <c r="F87" s="460"/>
      <c r="G87" s="478"/>
      <c r="H87" s="479"/>
      <c r="I87" s="535"/>
      <c r="J87" s="606"/>
      <c r="K87" s="617"/>
      <c r="L87" s="526"/>
      <c r="M87" s="525"/>
      <c r="N87" s="525"/>
      <c r="O87" s="525"/>
      <c r="P87" s="525"/>
      <c r="Q87" s="619"/>
      <c r="R87" s="449"/>
      <c r="S87" s="450"/>
      <c r="T87" s="619"/>
      <c r="U87" s="449"/>
      <c r="V87" s="450"/>
      <c r="W87" s="619"/>
      <c r="X87" s="449"/>
      <c r="Y87" s="450"/>
      <c r="Z87" s="619" t="str">
        <f>IF( SUMIFS(srpro!$H$10:$H$3010,srpro!$J$10:$J$3010,$AA$6,srpro!$B$10:$B$3010,'ProjectsX (2)'!A87,srpro!$K$10:$K$3010,$A$6)&gt;0,SUMIFS(srpro!$H$10:$H$3010,srpro!$J$10:$J$3010,$AA$6,srpro!$B$10:$B$3010,'ProjectsX (2)'!A87,srpro!$K$10:$K$3010,$A$6),"")</f>
        <v/>
      </c>
      <c r="AA87" s="449" t="str">
        <f>IF( SUMIFS(srpro!$E$10:$E$3010,srpro!$J$10:$J$3010,$AA$6,srpro!$B$10:$B$3010,'ProjectsX (2)'!A87,srpro!$K$10:$K$3010,$A$6)&gt;0,SUMIFS(srpro!$E$10:$E$3010,srpro!$J$10:$J$3010,$AA$6,srpro!$B$10:$B$3010,'ProjectsX (2)'!A87,srpro!$K$10:$K$3010,$A$6),"")</f>
        <v/>
      </c>
      <c r="AB87" s="450"/>
      <c r="AC87" s="619" t="str">
        <f>IF( SUMIFS(srpro!$H$10:$H$3010,srpro!$J$10:$J$3010,$AD$6,srpro!$B$10:$B$3010,'ProjectsX (2)'!A87,srpro!$K$10:$K$3010,$A$6)&gt;0,SUMIFS(srpro!$H$10:$H$3010,srpro!$J$10:$J$3010,$AD$6,srpro!$B$10:$B$3010,'ProjectsX (2)'!A87,srpro!$K$10:$K$3010,$A$6),"")</f>
        <v/>
      </c>
      <c r="AD87" s="449" t="str">
        <f>IF( SUMIFS(srpro!$E$10:$E$3010,srpro!$J$10:$J$3010,$AD$6,srpro!$B$10:$B$3010,'ProjectsX (2)'!A87,srpro!$K$10:$K$3010,$A$6)&gt;0,SUMIFS(srpro!$E$10:$E$3010,srpro!$J$10:$J$3010,$AD$6,srpro!$B$10:$B$3010,'ProjectsX (2)'!A87,srpro!$K$10:$K$3010,$A$6),"")</f>
        <v/>
      </c>
      <c r="AE87" s="450"/>
      <c r="AF87" s="454" t="str">
        <f>IF( SUMIFS(srpro!$H$10:$H$3010,srpro!$J$10:$J$3010,$AG$6,srpro!$B$10:$B$3010,'ProjectsX (2)'!A87,srpro!$K$10:$K$3010,$A$6)&gt;0,SUMIFS(srpro!$H$10:$H$3010,srpro!$J$10:$J$3010,$AG$6,srpro!$B$10:$B$3010,'ProjectsX (2)'!A87,srpro!$K$10:$K$3010,$A$6),"")</f>
        <v/>
      </c>
      <c r="AG87" s="449" t="str">
        <f>IF( SUMIFS(srpro!$E$10:$E$3010,srpro!$J$10:$J$3010,$AG$6,srpro!$B$10:$B$3010,'ProjectsX (2)'!A87,srpro!$K$10:$K$3010,$A$6)&gt;0,SUMIFS(srpro!$E$10:$E$3010,srpro!$J$10:$J$3010,$AG$6,srpro!$B$10:$B$3010,'ProjectsX (2)'!A87,srpro!$K$10:$K$3010,$A$6),"")</f>
        <v/>
      </c>
      <c r="AH87" s="450"/>
      <c r="AI87" s="451"/>
      <c r="AJ87" s="451"/>
      <c r="AK87" s="450"/>
      <c r="AL87" s="615"/>
      <c r="AM87" s="425"/>
      <c r="AN87" s="425"/>
      <c r="AO87" s="425"/>
      <c r="AP87" s="425"/>
      <c r="AQ87" s="425"/>
      <c r="AR87" s="425"/>
      <c r="AS87" s="425"/>
      <c r="AT87" s="425"/>
      <c r="AU87" s="425"/>
      <c r="AV87" s="425"/>
      <c r="AW87" s="425"/>
      <c r="AX87" s="425"/>
      <c r="AY87" s="425"/>
      <c r="AZ87" s="425"/>
      <c r="BA87" s="425"/>
      <c r="BB87" s="425"/>
      <c r="BC87" s="425"/>
      <c r="BD87" s="425"/>
      <c r="BE87" s="425"/>
    </row>
    <row r="88" spans="1:57" ht="19.5" customHeight="1">
      <c r="A88" s="616"/>
      <c r="B88" s="618"/>
      <c r="C88" s="458"/>
      <c r="D88" s="458"/>
      <c r="E88" s="459"/>
      <c r="F88" s="460"/>
      <c r="G88" s="478"/>
      <c r="H88" s="479"/>
      <c r="I88" s="535"/>
      <c r="J88" s="606"/>
      <c r="K88" s="617"/>
      <c r="L88" s="526"/>
      <c r="M88" s="525"/>
      <c r="N88" s="525"/>
      <c r="O88" s="525"/>
      <c r="P88" s="525"/>
      <c r="Q88" s="619"/>
      <c r="R88" s="449"/>
      <c r="S88" s="450"/>
      <c r="T88" s="619"/>
      <c r="U88" s="449"/>
      <c r="V88" s="450"/>
      <c r="W88" s="619"/>
      <c r="X88" s="449"/>
      <c r="Y88" s="450"/>
      <c r="Z88" s="619" t="str">
        <f>IF( SUMIFS(srpro!$H$10:$H$3010,srpro!$J$10:$J$3010,$AA$6,srpro!$B$10:$B$3010,'ProjectsX (2)'!A88,srpro!$K$10:$K$3010,$A$6)&gt;0,SUMIFS(srpro!$H$10:$H$3010,srpro!$J$10:$J$3010,$AA$6,srpro!$B$10:$B$3010,'ProjectsX (2)'!A88,srpro!$K$10:$K$3010,$A$6),"")</f>
        <v/>
      </c>
      <c r="AA88" s="449" t="str">
        <f>IF( SUMIFS(srpro!$E$10:$E$3010,srpro!$J$10:$J$3010,$AA$6,srpro!$B$10:$B$3010,'ProjectsX (2)'!A88,srpro!$K$10:$K$3010,$A$6)&gt;0,SUMIFS(srpro!$E$10:$E$3010,srpro!$J$10:$J$3010,$AA$6,srpro!$B$10:$B$3010,'ProjectsX (2)'!A88,srpro!$K$10:$K$3010,$A$6),"")</f>
        <v/>
      </c>
      <c r="AB88" s="450"/>
      <c r="AC88" s="619" t="str">
        <f>IF( SUMIFS(srpro!$H$10:$H$3010,srpro!$J$10:$J$3010,$AD$6,srpro!$B$10:$B$3010,'ProjectsX (2)'!A88,srpro!$K$10:$K$3010,$A$6)&gt;0,SUMIFS(srpro!$H$10:$H$3010,srpro!$J$10:$J$3010,$AD$6,srpro!$B$10:$B$3010,'ProjectsX (2)'!A88,srpro!$K$10:$K$3010,$A$6),"")</f>
        <v/>
      </c>
      <c r="AD88" s="449" t="str">
        <f>IF( SUMIFS(srpro!$E$10:$E$3010,srpro!$J$10:$J$3010,$AD$6,srpro!$B$10:$B$3010,'ProjectsX (2)'!A88,srpro!$K$10:$K$3010,$A$6)&gt;0,SUMIFS(srpro!$E$10:$E$3010,srpro!$J$10:$J$3010,$AD$6,srpro!$B$10:$B$3010,'ProjectsX (2)'!A88,srpro!$K$10:$K$3010,$A$6),"")</f>
        <v/>
      </c>
      <c r="AE88" s="450"/>
      <c r="AF88" s="454" t="str">
        <f>IF( SUMIFS(srpro!$H$10:$H$3010,srpro!$J$10:$J$3010,$AG$6,srpro!$B$10:$B$3010,'ProjectsX (2)'!A88,srpro!$K$10:$K$3010,$A$6)&gt;0,SUMIFS(srpro!$H$10:$H$3010,srpro!$J$10:$J$3010,$AG$6,srpro!$B$10:$B$3010,'ProjectsX (2)'!A88,srpro!$K$10:$K$3010,$A$6),"")</f>
        <v/>
      </c>
      <c r="AG88" s="449" t="str">
        <f>IF( SUMIFS(srpro!$E$10:$E$3010,srpro!$J$10:$J$3010,$AG$6,srpro!$B$10:$B$3010,'ProjectsX (2)'!A88,srpro!$K$10:$K$3010,$A$6)&gt;0,SUMIFS(srpro!$E$10:$E$3010,srpro!$J$10:$J$3010,$AG$6,srpro!$B$10:$B$3010,'ProjectsX (2)'!A88,srpro!$K$10:$K$3010,$A$6),"")</f>
        <v/>
      </c>
      <c r="AH88" s="450"/>
      <c r="AI88" s="451"/>
      <c r="AJ88" s="451"/>
      <c r="AK88" s="450"/>
      <c r="AL88" s="615"/>
      <c r="AM88" s="425"/>
      <c r="AN88" s="425"/>
      <c r="AO88" s="425"/>
      <c r="AP88" s="425"/>
      <c r="AQ88" s="425"/>
      <c r="AR88" s="425"/>
      <c r="AS88" s="425"/>
      <c r="AT88" s="425"/>
      <c r="AU88" s="425"/>
      <c r="AV88" s="425"/>
      <c r="AW88" s="425"/>
      <c r="AX88" s="425"/>
      <c r="AY88" s="425"/>
      <c r="AZ88" s="425"/>
      <c r="BA88" s="425"/>
      <c r="BB88" s="425"/>
      <c r="BC88" s="425"/>
      <c r="BD88" s="425"/>
      <c r="BE88" s="425"/>
    </row>
    <row r="89" spans="1:57" ht="19.5" customHeight="1">
      <c r="A89" s="616"/>
      <c r="B89" s="618"/>
      <c r="C89" s="458"/>
      <c r="D89" s="458"/>
      <c r="E89" s="459"/>
      <c r="F89" s="460"/>
      <c r="G89" s="478"/>
      <c r="H89" s="479"/>
      <c r="I89" s="535"/>
      <c r="J89" s="606"/>
      <c r="K89" s="617"/>
      <c r="L89" s="526"/>
      <c r="M89" s="525"/>
      <c r="N89" s="525"/>
      <c r="O89" s="525"/>
      <c r="P89" s="525"/>
      <c r="Q89" s="619"/>
      <c r="R89" s="449"/>
      <c r="S89" s="450"/>
      <c r="T89" s="619"/>
      <c r="U89" s="449"/>
      <c r="V89" s="450"/>
      <c r="W89" s="619"/>
      <c r="X89" s="449"/>
      <c r="Y89" s="450"/>
      <c r="Z89" s="619" t="str">
        <f>IF( SUMIFS(srpro!$H$10:$H$3010,srpro!$J$10:$J$3010,$AA$6,srpro!$B$10:$B$3010,'ProjectsX (2)'!A89,srpro!$K$10:$K$3010,$A$6)&gt;0,SUMIFS(srpro!$H$10:$H$3010,srpro!$J$10:$J$3010,$AA$6,srpro!$B$10:$B$3010,'ProjectsX (2)'!A89,srpro!$K$10:$K$3010,$A$6),"")</f>
        <v/>
      </c>
      <c r="AA89" s="449" t="str">
        <f>IF( SUMIFS(srpro!$E$10:$E$3010,srpro!$J$10:$J$3010,$AA$6,srpro!$B$10:$B$3010,'ProjectsX (2)'!A89,srpro!$K$10:$K$3010,$A$6)&gt;0,SUMIFS(srpro!$E$10:$E$3010,srpro!$J$10:$J$3010,$AA$6,srpro!$B$10:$B$3010,'ProjectsX (2)'!A89,srpro!$K$10:$K$3010,$A$6),"")</f>
        <v/>
      </c>
      <c r="AB89" s="450"/>
      <c r="AC89" s="619" t="str">
        <f>IF( SUMIFS(srpro!$H$10:$H$3010,srpro!$J$10:$J$3010,$AD$6,srpro!$B$10:$B$3010,'ProjectsX (2)'!A89,srpro!$K$10:$K$3010,$A$6)&gt;0,SUMIFS(srpro!$H$10:$H$3010,srpro!$J$10:$J$3010,$AD$6,srpro!$B$10:$B$3010,'ProjectsX (2)'!A89,srpro!$K$10:$K$3010,$A$6),"")</f>
        <v/>
      </c>
      <c r="AD89" s="449" t="str">
        <f>IF( SUMIFS(srpro!$E$10:$E$3010,srpro!$J$10:$J$3010,$AD$6,srpro!$B$10:$B$3010,'ProjectsX (2)'!A89,srpro!$K$10:$K$3010,$A$6)&gt;0,SUMIFS(srpro!$E$10:$E$3010,srpro!$J$10:$J$3010,$AD$6,srpro!$B$10:$B$3010,'ProjectsX (2)'!A89,srpro!$K$10:$K$3010,$A$6),"")</f>
        <v/>
      </c>
      <c r="AE89" s="450"/>
      <c r="AF89" s="454" t="str">
        <f>IF( SUMIFS(srpro!$H$10:$H$3010,srpro!$J$10:$J$3010,$AG$6,srpro!$B$10:$B$3010,'ProjectsX (2)'!A89,srpro!$K$10:$K$3010,$A$6)&gt;0,SUMIFS(srpro!$H$10:$H$3010,srpro!$J$10:$J$3010,$AG$6,srpro!$B$10:$B$3010,'ProjectsX (2)'!A89,srpro!$K$10:$K$3010,$A$6),"")</f>
        <v/>
      </c>
      <c r="AG89" s="449" t="str">
        <f>IF( SUMIFS(srpro!$E$10:$E$3010,srpro!$J$10:$J$3010,$AG$6,srpro!$B$10:$B$3010,'ProjectsX (2)'!A89,srpro!$K$10:$K$3010,$A$6)&gt;0,SUMIFS(srpro!$E$10:$E$3010,srpro!$J$10:$J$3010,$AG$6,srpro!$B$10:$B$3010,'ProjectsX (2)'!A89,srpro!$K$10:$K$3010,$A$6),"")</f>
        <v/>
      </c>
      <c r="AH89" s="450"/>
      <c r="AI89" s="451"/>
      <c r="AJ89" s="451"/>
      <c r="AK89" s="450"/>
      <c r="AL89" s="615"/>
      <c r="AM89" s="425"/>
      <c r="AN89" s="425"/>
      <c r="AO89" s="425"/>
      <c r="AP89" s="425"/>
      <c r="AQ89" s="425"/>
      <c r="AR89" s="425"/>
      <c r="AS89" s="425"/>
      <c r="AT89" s="425"/>
      <c r="AU89" s="425"/>
      <c r="AV89" s="425"/>
      <c r="AW89" s="425"/>
      <c r="AX89" s="425"/>
      <c r="AY89" s="425"/>
      <c r="AZ89" s="425"/>
      <c r="BA89" s="425"/>
      <c r="BB89" s="425"/>
      <c r="BC89" s="425"/>
      <c r="BD89" s="425"/>
      <c r="BE89" s="425"/>
    </row>
    <row r="90" spans="1:57">
      <c r="A90" s="483"/>
      <c r="B90" s="484"/>
      <c r="C90" s="484"/>
      <c r="D90" s="484"/>
      <c r="E90" s="485"/>
      <c r="F90" s="485"/>
      <c r="G90" s="485"/>
      <c r="H90" s="485"/>
      <c r="I90" s="485"/>
      <c r="J90" s="484"/>
      <c r="K90" s="484"/>
      <c r="L90" s="484"/>
      <c r="M90" s="486"/>
      <c r="N90" s="486"/>
      <c r="O90" s="486"/>
      <c r="P90" s="486"/>
      <c r="Q90" s="486"/>
      <c r="R90" s="486"/>
      <c r="S90" s="486"/>
      <c r="T90" s="486"/>
      <c r="U90" s="486"/>
      <c r="V90" s="486"/>
      <c r="W90" s="486"/>
      <c r="X90" s="486"/>
      <c r="Y90" s="486"/>
      <c r="Z90" s="486"/>
      <c r="AA90" s="486"/>
      <c r="AB90" s="486"/>
      <c r="AC90" s="486"/>
    </row>
    <row r="91" spans="1:57">
      <c r="A91" s="483"/>
      <c r="B91" s="484"/>
      <c r="C91" s="484"/>
      <c r="D91" s="484"/>
      <c r="E91" s="485"/>
      <c r="F91" s="485"/>
      <c r="G91" s="485"/>
      <c r="H91" s="485"/>
      <c r="I91" s="485"/>
      <c r="J91" s="484"/>
      <c r="K91" s="484"/>
      <c r="L91" s="484"/>
      <c r="M91" s="486"/>
      <c r="N91" s="486"/>
      <c r="O91" s="486"/>
      <c r="P91" s="486"/>
      <c r="Q91" s="486"/>
      <c r="R91" s="486"/>
      <c r="S91" s="486"/>
      <c r="T91" s="486"/>
      <c r="U91" s="486"/>
      <c r="V91" s="486"/>
      <c r="W91" s="486"/>
      <c r="X91" s="486"/>
      <c r="Y91" s="486"/>
      <c r="Z91" s="486"/>
      <c r="AA91" s="486"/>
      <c r="AB91" s="486"/>
      <c r="AC91" s="486"/>
    </row>
    <row r="92" spans="1:57">
      <c r="A92" s="483"/>
      <c r="B92" s="484"/>
      <c r="C92" s="484"/>
      <c r="D92" s="484"/>
      <c r="E92" s="485"/>
      <c r="F92" s="485"/>
      <c r="G92" s="485"/>
      <c r="H92" s="485"/>
      <c r="I92" s="485"/>
      <c r="J92" s="484"/>
      <c r="K92" s="484"/>
      <c r="L92" s="484"/>
      <c r="M92" s="486"/>
      <c r="N92" s="486"/>
      <c r="O92" s="486"/>
      <c r="P92" s="486"/>
      <c r="Q92" s="486"/>
      <c r="R92" s="486"/>
      <c r="S92" s="486"/>
      <c r="T92" s="486"/>
      <c r="U92" s="486"/>
      <c r="V92" s="486"/>
      <c r="W92" s="486"/>
      <c r="X92" s="486"/>
      <c r="Y92" s="486"/>
      <c r="Z92" s="486"/>
      <c r="AA92" s="486"/>
      <c r="AB92" s="486"/>
      <c r="AC92" s="486"/>
    </row>
    <row r="93" spans="1:57">
      <c r="A93" s="483"/>
      <c r="B93" s="484"/>
      <c r="C93" s="484"/>
      <c r="D93" s="484"/>
      <c r="E93" s="485"/>
      <c r="F93" s="485"/>
      <c r="G93" s="485"/>
      <c r="H93" s="485"/>
      <c r="I93" s="485"/>
      <c r="J93" s="484"/>
      <c r="K93" s="484"/>
      <c r="L93" s="484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</row>
    <row r="94" spans="1:57">
      <c r="A94" s="483"/>
      <c r="B94" s="484"/>
      <c r="C94" s="484"/>
      <c r="D94" s="484"/>
      <c r="E94" s="485"/>
      <c r="F94" s="485"/>
      <c r="G94" s="485"/>
      <c r="H94" s="485"/>
      <c r="I94" s="485"/>
      <c r="J94" s="484"/>
      <c r="K94" s="484"/>
      <c r="L94" s="484"/>
      <c r="M94" s="486"/>
      <c r="N94" s="486"/>
      <c r="O94" s="486"/>
      <c r="P94" s="486"/>
      <c r="Q94" s="486"/>
      <c r="R94" s="486"/>
      <c r="S94" s="486"/>
      <c r="T94" s="486"/>
      <c r="U94" s="486"/>
      <c r="V94" s="486"/>
      <c r="W94" s="486"/>
      <c r="X94" s="486"/>
      <c r="Y94" s="486"/>
      <c r="Z94" s="486"/>
      <c r="AA94" s="486"/>
      <c r="AB94" s="486"/>
      <c r="AC94" s="486"/>
    </row>
    <row r="95" spans="1:57">
      <c r="A95" s="483"/>
      <c r="B95" s="484"/>
      <c r="C95" s="484"/>
      <c r="D95" s="484"/>
      <c r="E95" s="485"/>
      <c r="F95" s="485"/>
      <c r="G95" s="485"/>
      <c r="H95" s="485"/>
      <c r="I95" s="485"/>
      <c r="J95" s="484"/>
      <c r="K95" s="484"/>
      <c r="L95" s="484"/>
      <c r="M95" s="486"/>
      <c r="N95" s="486"/>
      <c r="O95" s="486"/>
      <c r="P95" s="486"/>
      <c r="Q95" s="486"/>
      <c r="R95" s="486"/>
      <c r="S95" s="486"/>
      <c r="T95" s="486"/>
      <c r="U95" s="486"/>
      <c r="V95" s="486"/>
      <c r="W95" s="486"/>
      <c r="X95" s="486"/>
      <c r="Y95" s="486"/>
      <c r="Z95" s="486"/>
      <c r="AA95" s="486"/>
      <c r="AB95" s="486"/>
      <c r="AC95" s="486"/>
    </row>
    <row r="96" spans="1:57">
      <c r="A96" s="483"/>
      <c r="B96" s="484"/>
      <c r="C96" s="484"/>
      <c r="D96" s="484"/>
      <c r="E96" s="485"/>
      <c r="F96" s="485"/>
      <c r="G96" s="485"/>
      <c r="H96" s="485"/>
      <c r="I96" s="485"/>
      <c r="J96" s="484"/>
      <c r="K96" s="484"/>
      <c r="L96" s="484"/>
      <c r="M96" s="486"/>
      <c r="N96" s="486"/>
      <c r="O96" s="486"/>
      <c r="P96" s="486"/>
      <c r="Q96" s="486"/>
      <c r="R96" s="486"/>
      <c r="S96" s="486"/>
      <c r="T96" s="486"/>
      <c r="U96" s="486"/>
      <c r="V96" s="486"/>
      <c r="W96" s="486"/>
      <c r="X96" s="486"/>
      <c r="Y96" s="486"/>
      <c r="Z96" s="486"/>
      <c r="AA96" s="486"/>
      <c r="AB96" s="486"/>
      <c r="AC96" s="486"/>
    </row>
    <row r="97" spans="1:29">
      <c r="A97" s="483"/>
      <c r="B97" s="484"/>
      <c r="C97" s="484"/>
      <c r="D97" s="484"/>
      <c r="E97" s="485"/>
      <c r="F97" s="485"/>
      <c r="G97" s="485"/>
      <c r="H97" s="485"/>
      <c r="I97" s="485"/>
      <c r="J97" s="484"/>
      <c r="K97" s="484"/>
      <c r="L97" s="484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</row>
    <row r="98" spans="1:29">
      <c r="A98" s="483"/>
      <c r="B98" s="484"/>
      <c r="C98" s="484"/>
      <c r="D98" s="484"/>
      <c r="E98" s="485"/>
      <c r="F98" s="485"/>
      <c r="G98" s="485"/>
      <c r="H98" s="485"/>
      <c r="I98" s="485"/>
      <c r="J98" s="484"/>
      <c r="K98" s="484"/>
      <c r="L98" s="484"/>
      <c r="M98" s="486"/>
      <c r="N98" s="486"/>
      <c r="O98" s="486"/>
      <c r="P98" s="486"/>
      <c r="Q98" s="486"/>
      <c r="R98" s="486"/>
      <c r="S98" s="486"/>
      <c r="T98" s="486"/>
      <c r="U98" s="486"/>
      <c r="V98" s="486"/>
      <c r="W98" s="486"/>
      <c r="X98" s="486"/>
      <c r="Y98" s="486"/>
      <c r="Z98" s="486"/>
      <c r="AA98" s="486"/>
      <c r="AB98" s="486"/>
      <c r="AC98" s="486"/>
    </row>
    <row r="99" spans="1:29">
      <c r="A99" s="483"/>
      <c r="B99" s="484"/>
      <c r="C99" s="484"/>
      <c r="D99" s="484"/>
      <c r="E99" s="485"/>
      <c r="F99" s="485"/>
      <c r="G99" s="485"/>
      <c r="H99" s="485"/>
      <c r="I99" s="485"/>
      <c r="J99" s="484"/>
      <c r="K99" s="484"/>
      <c r="L99" s="484"/>
      <c r="M99" s="486"/>
      <c r="N99" s="486"/>
      <c r="O99" s="486"/>
      <c r="P99" s="486"/>
      <c r="Q99" s="486"/>
      <c r="R99" s="486"/>
      <c r="S99" s="486"/>
      <c r="T99" s="486"/>
      <c r="U99" s="486"/>
      <c r="V99" s="486"/>
      <c r="W99" s="486"/>
      <c r="X99" s="486"/>
      <c r="Y99" s="486"/>
      <c r="Z99" s="486"/>
      <c r="AA99" s="486"/>
      <c r="AB99" s="486"/>
      <c r="AC99" s="486"/>
    </row>
    <row r="100" spans="1:29">
      <c r="A100" s="483"/>
      <c r="B100" s="484"/>
      <c r="C100" s="484"/>
      <c r="D100" s="484"/>
      <c r="E100" s="485"/>
      <c r="F100" s="485"/>
      <c r="G100" s="485"/>
      <c r="H100" s="485"/>
      <c r="I100" s="485"/>
      <c r="J100" s="484"/>
      <c r="K100" s="484"/>
      <c r="L100" s="484"/>
      <c r="M100" s="486"/>
      <c r="N100" s="486"/>
      <c r="O100" s="486"/>
      <c r="P100" s="486"/>
      <c r="Q100" s="486"/>
      <c r="R100" s="486"/>
      <c r="S100" s="486"/>
      <c r="T100" s="486"/>
      <c r="U100" s="486"/>
      <c r="V100" s="486"/>
      <c r="W100" s="486"/>
      <c r="X100" s="486"/>
      <c r="Y100" s="486"/>
      <c r="Z100" s="486"/>
      <c r="AA100" s="486"/>
      <c r="AB100" s="486"/>
      <c r="AC100" s="486"/>
    </row>
    <row r="101" spans="1:29">
      <c r="A101" s="483"/>
      <c r="B101" s="484"/>
      <c r="C101" s="484"/>
      <c r="D101" s="484"/>
      <c r="E101" s="485"/>
      <c r="F101" s="485"/>
      <c r="G101" s="485"/>
      <c r="H101" s="485"/>
      <c r="I101" s="485"/>
      <c r="J101" s="484"/>
      <c r="K101" s="484"/>
      <c r="L101" s="484"/>
      <c r="M101" s="486"/>
      <c r="N101" s="486"/>
      <c r="O101" s="486"/>
      <c r="P101" s="486"/>
      <c r="Q101" s="486"/>
      <c r="R101" s="486"/>
      <c r="S101" s="486"/>
      <c r="T101" s="486"/>
      <c r="U101" s="486"/>
      <c r="V101" s="486"/>
      <c r="W101" s="486"/>
      <c r="X101" s="486"/>
      <c r="Y101" s="486"/>
      <c r="Z101" s="486"/>
      <c r="AA101" s="486"/>
      <c r="AB101" s="486"/>
      <c r="AC101" s="486"/>
    </row>
    <row r="102" spans="1:29">
      <c r="A102" s="483"/>
      <c r="B102" s="484"/>
      <c r="C102" s="484"/>
      <c r="D102" s="484"/>
      <c r="E102" s="485"/>
      <c r="F102" s="485"/>
      <c r="G102" s="485"/>
      <c r="H102" s="485"/>
      <c r="I102" s="485"/>
      <c r="J102" s="484"/>
      <c r="K102" s="484"/>
      <c r="L102" s="484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</row>
    <row r="103" spans="1:29">
      <c r="A103" s="483"/>
      <c r="B103" s="484"/>
      <c r="C103" s="484"/>
      <c r="D103" s="484"/>
      <c r="E103" s="485"/>
      <c r="F103" s="485"/>
      <c r="G103" s="485"/>
      <c r="H103" s="485"/>
      <c r="I103" s="485"/>
      <c r="J103" s="484"/>
      <c r="K103" s="484"/>
      <c r="L103" s="484"/>
      <c r="M103" s="486"/>
      <c r="N103" s="486"/>
      <c r="O103" s="486"/>
      <c r="P103" s="486"/>
      <c r="Q103" s="486"/>
      <c r="R103" s="486"/>
      <c r="S103" s="486"/>
      <c r="T103" s="486"/>
      <c r="U103" s="486"/>
      <c r="V103" s="486"/>
      <c r="W103" s="486"/>
      <c r="X103" s="486"/>
      <c r="Y103" s="486"/>
      <c r="Z103" s="486"/>
      <c r="AA103" s="486"/>
      <c r="AB103" s="486"/>
      <c r="AC103" s="486"/>
    </row>
    <row r="104" spans="1:29">
      <c r="A104" s="483"/>
      <c r="B104" s="484"/>
      <c r="C104" s="484"/>
      <c r="D104" s="484"/>
      <c r="E104" s="485"/>
      <c r="F104" s="485"/>
      <c r="G104" s="485"/>
      <c r="H104" s="485"/>
      <c r="I104" s="485"/>
      <c r="J104" s="484"/>
      <c r="K104" s="484"/>
      <c r="L104" s="484"/>
      <c r="M104" s="486"/>
      <c r="N104" s="486"/>
      <c r="O104" s="486"/>
      <c r="P104" s="486"/>
      <c r="Q104" s="486"/>
      <c r="R104" s="486"/>
      <c r="S104" s="486"/>
      <c r="T104" s="486"/>
      <c r="U104" s="486"/>
      <c r="V104" s="486"/>
      <c r="W104" s="486"/>
      <c r="X104" s="486"/>
      <c r="Y104" s="486"/>
      <c r="Z104" s="486"/>
      <c r="AA104" s="486"/>
      <c r="AB104" s="486"/>
      <c r="AC104" s="486"/>
    </row>
    <row r="105" spans="1:29">
      <c r="A105" s="483"/>
      <c r="B105" s="484"/>
      <c r="C105" s="484"/>
      <c r="D105" s="484"/>
      <c r="E105" s="485"/>
      <c r="F105" s="485"/>
      <c r="G105" s="485"/>
      <c r="H105" s="485"/>
      <c r="I105" s="485"/>
      <c r="J105" s="484"/>
      <c r="K105" s="484"/>
      <c r="L105" s="484"/>
      <c r="M105" s="486"/>
      <c r="N105" s="486"/>
      <c r="O105" s="486"/>
      <c r="P105" s="486"/>
      <c r="Q105" s="486"/>
      <c r="R105" s="486"/>
      <c r="S105" s="486"/>
      <c r="T105" s="486"/>
      <c r="U105" s="486"/>
      <c r="V105" s="486"/>
      <c r="W105" s="486"/>
      <c r="X105" s="486"/>
      <c r="Y105" s="486"/>
      <c r="Z105" s="486"/>
      <c r="AA105" s="486"/>
      <c r="AB105" s="486"/>
      <c r="AC105" s="486"/>
    </row>
    <row r="106" spans="1:29">
      <c r="A106" s="487"/>
      <c r="B106" s="488"/>
      <c r="C106" s="484"/>
      <c r="D106" s="484"/>
      <c r="E106" s="485"/>
      <c r="F106" s="485"/>
      <c r="G106" s="485"/>
      <c r="H106" s="485"/>
      <c r="I106" s="485"/>
      <c r="J106" s="484"/>
      <c r="K106" s="489"/>
      <c r="L106" s="490"/>
      <c r="M106" s="491"/>
      <c r="N106" s="491"/>
      <c r="O106" s="491"/>
      <c r="P106" s="491"/>
      <c r="Q106" s="491"/>
      <c r="R106" s="491"/>
      <c r="S106" s="491"/>
      <c r="T106" s="491"/>
      <c r="U106" s="491"/>
      <c r="V106" s="491"/>
      <c r="W106" s="491"/>
      <c r="X106" s="491"/>
      <c r="Y106" s="491"/>
      <c r="Z106" s="491"/>
      <c r="AA106" s="491"/>
      <c r="AB106" s="491"/>
      <c r="AC106" s="491"/>
    </row>
    <row r="107" spans="1:29">
      <c r="A107" s="492"/>
      <c r="B107" s="488"/>
      <c r="C107" s="484"/>
      <c r="D107" s="484"/>
      <c r="E107" s="484"/>
      <c r="F107" s="484"/>
      <c r="G107" s="484"/>
      <c r="H107" s="484"/>
      <c r="I107" s="483"/>
      <c r="J107" s="484"/>
      <c r="K107" s="489"/>
      <c r="L107" s="490"/>
      <c r="M107" s="491"/>
      <c r="N107" s="491"/>
      <c r="O107" s="491"/>
      <c r="P107" s="491"/>
      <c r="Q107" s="491"/>
      <c r="R107" s="491"/>
      <c r="S107" s="491"/>
      <c r="T107" s="491"/>
      <c r="U107" s="491"/>
      <c r="V107" s="491"/>
      <c r="W107" s="491"/>
      <c r="X107" s="491"/>
      <c r="Y107" s="491"/>
      <c r="Z107" s="491"/>
      <c r="AA107" s="491"/>
      <c r="AB107" s="491"/>
      <c r="AC107" s="491"/>
    </row>
    <row r="108" spans="1:29">
      <c r="A108" s="492"/>
      <c r="B108" s="488"/>
      <c r="C108" s="484"/>
      <c r="D108" s="484"/>
      <c r="E108" s="484"/>
      <c r="F108" s="484"/>
      <c r="G108" s="484"/>
      <c r="H108" s="484"/>
      <c r="I108" s="483"/>
      <c r="J108" s="484"/>
      <c r="K108" s="489"/>
      <c r="L108" s="490"/>
      <c r="M108" s="491"/>
      <c r="N108" s="491"/>
      <c r="O108" s="491"/>
      <c r="P108" s="491"/>
      <c r="Q108" s="491"/>
      <c r="R108" s="491"/>
      <c r="S108" s="491"/>
      <c r="T108" s="491"/>
      <c r="U108" s="491"/>
      <c r="V108" s="491"/>
      <c r="W108" s="491"/>
      <c r="X108" s="491"/>
      <c r="Y108" s="491"/>
      <c r="Z108" s="491"/>
      <c r="AA108" s="491"/>
      <c r="AB108" s="491"/>
      <c r="AC108" s="491"/>
    </row>
    <row r="109" spans="1:29">
      <c r="A109" s="492"/>
      <c r="B109" s="488"/>
      <c r="C109" s="484"/>
      <c r="D109" s="484"/>
      <c r="E109" s="484"/>
      <c r="F109" s="484"/>
      <c r="G109" s="484"/>
      <c r="H109" s="484"/>
      <c r="I109" s="483"/>
      <c r="J109" s="484"/>
      <c r="K109" s="489"/>
      <c r="L109" s="490"/>
      <c r="M109" s="491"/>
      <c r="N109" s="491"/>
      <c r="O109" s="491"/>
      <c r="P109" s="491"/>
      <c r="Q109" s="491"/>
      <c r="R109" s="491"/>
      <c r="S109" s="491"/>
      <c r="T109" s="491"/>
      <c r="U109" s="491"/>
      <c r="V109" s="491"/>
      <c r="W109" s="491"/>
      <c r="X109" s="491"/>
      <c r="Y109" s="491"/>
      <c r="Z109" s="491"/>
      <c r="AA109" s="491"/>
      <c r="AB109" s="491"/>
      <c r="AC109" s="491"/>
    </row>
    <row r="110" spans="1:29">
      <c r="A110" s="492"/>
      <c r="B110" s="488"/>
      <c r="C110" s="484"/>
      <c r="D110" s="484"/>
      <c r="E110" s="484"/>
      <c r="F110" s="484"/>
      <c r="G110" s="484"/>
      <c r="H110" s="484"/>
      <c r="I110" s="483"/>
      <c r="J110" s="484"/>
      <c r="K110" s="489"/>
      <c r="L110" s="490"/>
      <c r="M110" s="491"/>
      <c r="N110" s="491"/>
      <c r="O110" s="491"/>
      <c r="P110" s="491"/>
      <c r="Q110" s="491"/>
      <c r="R110" s="491"/>
      <c r="S110" s="491"/>
      <c r="T110" s="491"/>
      <c r="U110" s="491"/>
      <c r="V110" s="491"/>
      <c r="W110" s="491"/>
      <c r="X110" s="491"/>
      <c r="Y110" s="491"/>
      <c r="Z110" s="491"/>
      <c r="AA110" s="491"/>
      <c r="AB110" s="491"/>
      <c r="AC110" s="491"/>
    </row>
    <row r="111" spans="1:29">
      <c r="A111" s="492"/>
      <c r="B111" s="488"/>
      <c r="C111" s="484"/>
      <c r="D111" s="484"/>
      <c r="E111" s="484"/>
      <c r="F111" s="484"/>
      <c r="G111" s="484"/>
      <c r="H111" s="484"/>
      <c r="I111" s="483"/>
      <c r="J111" s="484"/>
      <c r="K111" s="489"/>
      <c r="L111" s="490"/>
      <c r="M111" s="491"/>
      <c r="N111" s="491"/>
      <c r="O111" s="491"/>
      <c r="P111" s="491"/>
      <c r="Q111" s="491"/>
      <c r="R111" s="491"/>
      <c r="S111" s="491"/>
      <c r="T111" s="491"/>
      <c r="U111" s="491"/>
      <c r="V111" s="491"/>
      <c r="W111" s="491"/>
      <c r="X111" s="491"/>
      <c r="Y111" s="491"/>
      <c r="Z111" s="491"/>
      <c r="AA111" s="491"/>
      <c r="AB111" s="491"/>
      <c r="AC111" s="491"/>
    </row>
    <row r="112" spans="1:29">
      <c r="A112" s="492"/>
      <c r="B112" s="488"/>
      <c r="C112" s="484"/>
      <c r="D112" s="484"/>
      <c r="E112" s="484"/>
      <c r="F112" s="484"/>
      <c r="G112" s="484"/>
      <c r="H112" s="484"/>
      <c r="I112" s="483"/>
      <c r="J112" s="484"/>
      <c r="K112" s="489"/>
      <c r="L112" s="490"/>
      <c r="M112" s="491"/>
      <c r="N112" s="491"/>
      <c r="O112" s="491"/>
      <c r="P112" s="491"/>
      <c r="Q112" s="491"/>
      <c r="R112" s="491"/>
      <c r="S112" s="491"/>
      <c r="T112" s="491"/>
      <c r="U112" s="491"/>
      <c r="V112" s="491"/>
      <c r="W112" s="491"/>
      <c r="X112" s="491"/>
      <c r="Y112" s="491"/>
      <c r="Z112" s="491"/>
      <c r="AA112" s="491"/>
      <c r="AB112" s="491"/>
      <c r="AC112" s="491"/>
    </row>
    <row r="113" spans="1:29">
      <c r="A113" s="492"/>
      <c r="B113" s="488"/>
      <c r="C113" s="484"/>
      <c r="D113" s="484"/>
      <c r="E113" s="484"/>
      <c r="F113" s="484"/>
      <c r="G113" s="484"/>
      <c r="H113" s="484"/>
      <c r="I113" s="483"/>
      <c r="J113" s="484"/>
      <c r="K113" s="489"/>
      <c r="L113" s="490"/>
      <c r="M113" s="491"/>
      <c r="N113" s="491"/>
      <c r="O113" s="491"/>
      <c r="P113" s="491"/>
      <c r="Q113" s="491"/>
      <c r="R113" s="491"/>
      <c r="S113" s="491"/>
      <c r="T113" s="491"/>
      <c r="U113" s="491"/>
      <c r="V113" s="491"/>
      <c r="W113" s="491"/>
      <c r="X113" s="491"/>
      <c r="Y113" s="491"/>
      <c r="Z113" s="491"/>
      <c r="AA113" s="491"/>
      <c r="AB113" s="491"/>
      <c r="AC113" s="491"/>
    </row>
    <row r="114" spans="1:29">
      <c r="A114" s="492"/>
      <c r="B114" s="488"/>
      <c r="C114" s="484"/>
      <c r="D114" s="484"/>
      <c r="E114" s="484"/>
      <c r="F114" s="484"/>
      <c r="G114" s="484"/>
      <c r="H114" s="484"/>
      <c r="I114" s="483"/>
      <c r="J114" s="484"/>
      <c r="K114" s="489"/>
      <c r="L114" s="490"/>
      <c r="M114" s="491"/>
      <c r="N114" s="491"/>
      <c r="O114" s="491"/>
      <c r="P114" s="491"/>
      <c r="Q114" s="491"/>
      <c r="R114" s="491"/>
      <c r="S114" s="491"/>
      <c r="T114" s="491"/>
      <c r="U114" s="491"/>
      <c r="V114" s="491"/>
      <c r="W114" s="491"/>
      <c r="X114" s="491"/>
      <c r="Y114" s="491"/>
      <c r="Z114" s="491"/>
      <c r="AA114" s="491"/>
      <c r="AB114" s="491"/>
      <c r="AC114" s="491"/>
    </row>
    <row r="115" spans="1:29">
      <c r="A115" s="492"/>
      <c r="B115" s="488"/>
      <c r="C115" s="484"/>
      <c r="D115" s="484"/>
      <c r="E115" s="484"/>
      <c r="F115" s="484"/>
      <c r="G115" s="484"/>
      <c r="H115" s="484"/>
      <c r="I115" s="483"/>
      <c r="J115" s="484"/>
      <c r="K115" s="489"/>
      <c r="L115" s="490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491"/>
      <c r="X115" s="491"/>
      <c r="Y115" s="491"/>
      <c r="Z115" s="491"/>
      <c r="AA115" s="491"/>
      <c r="AB115" s="491"/>
      <c r="AC115" s="491"/>
    </row>
    <row r="116" spans="1:29">
      <c r="A116" s="492"/>
      <c r="B116" s="488"/>
      <c r="C116" s="484"/>
      <c r="D116" s="484"/>
      <c r="E116" s="484"/>
      <c r="F116" s="484"/>
      <c r="G116" s="484"/>
      <c r="H116" s="484"/>
      <c r="I116" s="483"/>
      <c r="J116" s="484"/>
      <c r="K116" s="489"/>
      <c r="L116" s="490"/>
      <c r="M116" s="491"/>
      <c r="N116" s="491"/>
      <c r="O116" s="491"/>
      <c r="P116" s="491"/>
      <c r="Q116" s="491"/>
      <c r="R116" s="491"/>
      <c r="S116" s="491"/>
      <c r="T116" s="491"/>
      <c r="U116" s="491"/>
      <c r="V116" s="491"/>
      <c r="W116" s="491"/>
      <c r="X116" s="491"/>
      <c r="Y116" s="491"/>
      <c r="Z116" s="491"/>
      <c r="AA116" s="491"/>
      <c r="AB116" s="491"/>
      <c r="AC116" s="491"/>
    </row>
    <row r="117" spans="1:29">
      <c r="K117"/>
      <c r="L117" s="79"/>
      <c r="M117" s="455"/>
      <c r="N117" s="446"/>
      <c r="O117" s="446"/>
      <c r="P117" s="446"/>
      <c r="Q117" s="446"/>
      <c r="R117" s="446"/>
      <c r="S117" s="446"/>
      <c r="T117" s="446"/>
      <c r="U117" s="446"/>
      <c r="V117" s="446"/>
      <c r="W117" s="446"/>
      <c r="X117" s="446"/>
      <c r="Y117" s="446"/>
      <c r="Z117" s="446"/>
      <c r="AA117" s="446"/>
      <c r="AB117" s="446"/>
      <c r="AC117" s="446"/>
    </row>
    <row r="118" spans="1:29">
      <c r="K118"/>
      <c r="L118" s="79"/>
      <c r="M118" s="455"/>
      <c r="N118" s="446"/>
      <c r="O118" s="446"/>
      <c r="P118" s="446"/>
      <c r="Q118" s="446"/>
      <c r="R118" s="446"/>
      <c r="S118" s="446"/>
      <c r="T118" s="446"/>
      <c r="U118" s="446"/>
      <c r="V118" s="446"/>
      <c r="W118" s="446"/>
      <c r="X118" s="446"/>
      <c r="Y118" s="446"/>
      <c r="Z118" s="446"/>
      <c r="AA118" s="446"/>
      <c r="AB118" s="446"/>
      <c r="AC118" s="446"/>
    </row>
    <row r="119" spans="1:29">
      <c r="K119"/>
      <c r="L119" s="79"/>
      <c r="M119" s="455"/>
      <c r="N119" s="446"/>
      <c r="O119" s="446"/>
      <c r="P119" s="446"/>
      <c r="Q119" s="446"/>
      <c r="R119" s="446"/>
      <c r="S119" s="446"/>
      <c r="T119" s="446"/>
      <c r="U119" s="446"/>
      <c r="V119" s="446"/>
      <c r="W119" s="446"/>
      <c r="X119" s="446"/>
      <c r="Y119" s="446"/>
      <c r="Z119" s="446"/>
      <c r="AA119" s="446"/>
      <c r="AB119" s="446"/>
      <c r="AC119" s="446"/>
    </row>
    <row r="120" spans="1:29">
      <c r="K120"/>
      <c r="L120" s="79"/>
      <c r="M120" s="455"/>
      <c r="N120" s="446"/>
      <c r="O120" s="446"/>
      <c r="P120" s="446"/>
      <c r="Q120" s="446"/>
      <c r="R120" s="446"/>
      <c r="S120" s="446"/>
      <c r="T120" s="446"/>
      <c r="U120" s="446"/>
      <c r="V120" s="446"/>
      <c r="W120" s="446"/>
      <c r="X120" s="446"/>
      <c r="Y120" s="446"/>
      <c r="Z120" s="446"/>
      <c r="AA120" s="446"/>
      <c r="AB120" s="446"/>
      <c r="AC120" s="446"/>
    </row>
    <row r="121" spans="1:29">
      <c r="K121"/>
      <c r="L121" s="79"/>
      <c r="M121" s="455"/>
      <c r="N121" s="446"/>
      <c r="O121" s="446"/>
      <c r="P121" s="446"/>
      <c r="Q121" s="446"/>
      <c r="R121" s="446"/>
      <c r="S121" s="446"/>
      <c r="T121" s="446"/>
      <c r="U121" s="446"/>
      <c r="V121" s="446"/>
      <c r="W121" s="446"/>
      <c r="X121" s="446"/>
      <c r="Y121" s="446"/>
      <c r="Z121" s="446"/>
      <c r="AA121" s="446"/>
      <c r="AB121" s="446"/>
      <c r="AC121" s="446"/>
    </row>
    <row r="122" spans="1:29">
      <c r="K122"/>
      <c r="L122" s="79"/>
      <c r="M122" s="455"/>
      <c r="N122" s="446"/>
      <c r="O122" s="446"/>
      <c r="P122" s="446"/>
      <c r="Q122" s="446"/>
      <c r="R122" s="446"/>
      <c r="S122" s="446"/>
      <c r="T122" s="446"/>
      <c r="U122" s="446"/>
      <c r="V122" s="446"/>
      <c r="W122" s="446"/>
      <c r="X122" s="446"/>
      <c r="Y122" s="446"/>
      <c r="Z122" s="446"/>
      <c r="AA122" s="446"/>
      <c r="AB122" s="446"/>
      <c r="AC122" s="446"/>
    </row>
    <row r="123" spans="1:29">
      <c r="O123" s="455"/>
      <c r="P123" s="446"/>
      <c r="Q123" s="446"/>
      <c r="R123" s="446"/>
      <c r="S123" s="446"/>
      <c r="T123" s="446"/>
      <c r="U123" s="446"/>
      <c r="V123" s="446"/>
      <c r="W123" s="446"/>
      <c r="X123" s="446"/>
      <c r="Y123" s="446"/>
      <c r="Z123" s="446"/>
      <c r="AA123" s="446"/>
      <c r="AB123" s="446"/>
      <c r="AC123" s="446"/>
    </row>
    <row r="124" spans="1:29">
      <c r="O124" s="455"/>
      <c r="P124" s="446"/>
      <c r="Q124" s="446"/>
      <c r="R124" s="446"/>
      <c r="S124" s="446"/>
      <c r="T124" s="446"/>
      <c r="U124" s="446"/>
      <c r="V124" s="446"/>
      <c r="W124" s="446"/>
      <c r="X124" s="446"/>
      <c r="Y124" s="446"/>
      <c r="Z124" s="446"/>
      <c r="AA124" s="446"/>
      <c r="AB124" s="446"/>
      <c r="AC124" s="446"/>
    </row>
    <row r="125" spans="1:29">
      <c r="O125" s="455"/>
      <c r="P125" s="446"/>
      <c r="Q125" s="446"/>
      <c r="R125" s="446"/>
      <c r="S125" s="446"/>
      <c r="T125" s="446"/>
      <c r="U125" s="446"/>
      <c r="V125" s="446"/>
      <c r="W125" s="446"/>
      <c r="X125" s="446"/>
      <c r="Y125" s="446"/>
      <c r="Z125" s="446"/>
      <c r="AA125" s="446"/>
      <c r="AB125" s="446"/>
      <c r="AC125" s="446"/>
    </row>
    <row r="126" spans="1:29">
      <c r="O126" s="455"/>
      <c r="P126" s="446"/>
      <c r="Q126" s="446"/>
      <c r="R126" s="446"/>
      <c r="S126" s="446"/>
      <c r="T126" s="446"/>
      <c r="U126" s="446"/>
      <c r="V126" s="446"/>
      <c r="W126" s="446"/>
      <c r="X126" s="446"/>
      <c r="Y126" s="446"/>
      <c r="Z126" s="446"/>
      <c r="AA126" s="446"/>
      <c r="AB126" s="446"/>
      <c r="AC126" s="446"/>
    </row>
    <row r="127" spans="1:29">
      <c r="O127" s="455"/>
      <c r="P127" s="446"/>
      <c r="Q127" s="446"/>
      <c r="R127" s="446"/>
      <c r="S127" s="446"/>
      <c r="T127" s="446"/>
      <c r="U127" s="446"/>
      <c r="V127" s="446"/>
      <c r="W127" s="446"/>
      <c r="X127" s="446"/>
      <c r="Y127" s="446"/>
      <c r="Z127" s="446"/>
      <c r="AA127" s="446"/>
      <c r="AB127" s="446"/>
      <c r="AC127" s="446"/>
    </row>
    <row r="128" spans="1:29">
      <c r="O128" s="455"/>
      <c r="P128" s="446"/>
      <c r="Q128" s="446"/>
      <c r="R128" s="446"/>
      <c r="S128" s="446"/>
      <c r="T128" s="446"/>
      <c r="U128" s="446"/>
      <c r="V128" s="446"/>
      <c r="W128" s="446"/>
      <c r="X128" s="446"/>
      <c r="Y128" s="446"/>
      <c r="Z128" s="446"/>
      <c r="AA128" s="446"/>
      <c r="AB128" s="446"/>
      <c r="AC128" s="446"/>
    </row>
    <row r="129" spans="15:29">
      <c r="O129" s="455"/>
      <c r="P129" s="446"/>
      <c r="Q129" s="446"/>
      <c r="R129" s="446"/>
      <c r="S129" s="446"/>
      <c r="T129" s="446"/>
      <c r="U129" s="446"/>
      <c r="V129" s="446"/>
      <c r="W129" s="446"/>
      <c r="X129" s="446"/>
      <c r="Y129" s="446"/>
      <c r="Z129" s="446"/>
      <c r="AA129" s="446"/>
      <c r="AB129" s="446"/>
      <c r="AC129" s="446"/>
    </row>
    <row r="130" spans="15:29">
      <c r="O130" s="455"/>
      <c r="P130" s="446"/>
      <c r="Q130" s="446"/>
      <c r="R130" s="446"/>
      <c r="S130" s="446"/>
      <c r="T130" s="446"/>
      <c r="U130" s="446"/>
      <c r="V130" s="446"/>
      <c r="W130" s="446"/>
      <c r="X130" s="446"/>
      <c r="Y130" s="446"/>
      <c r="Z130" s="446"/>
      <c r="AA130" s="446"/>
      <c r="AB130" s="446"/>
      <c r="AC130" s="446"/>
    </row>
    <row r="131" spans="15:29">
      <c r="O131" s="455"/>
      <c r="P131" s="446"/>
      <c r="Q131" s="446"/>
      <c r="R131" s="446"/>
      <c r="S131" s="446"/>
      <c r="T131" s="446"/>
      <c r="U131" s="446"/>
      <c r="V131" s="446"/>
      <c r="W131" s="446"/>
      <c r="X131" s="446"/>
      <c r="Y131" s="446"/>
      <c r="Z131" s="446"/>
      <c r="AA131" s="446"/>
      <c r="AB131" s="446"/>
      <c r="AC131" s="446"/>
    </row>
    <row r="132" spans="15:29">
      <c r="O132" s="455"/>
      <c r="P132" s="446"/>
      <c r="Q132" s="446"/>
      <c r="R132" s="446"/>
      <c r="S132" s="446"/>
      <c r="T132" s="446"/>
      <c r="U132" s="446"/>
      <c r="V132" s="446"/>
      <c r="W132" s="446"/>
      <c r="X132" s="446"/>
      <c r="Y132" s="446"/>
      <c r="Z132" s="446"/>
      <c r="AA132" s="446"/>
      <c r="AB132" s="446"/>
      <c r="AC132" s="446"/>
    </row>
    <row r="133" spans="15:29">
      <c r="O133" s="455"/>
      <c r="P133" s="446"/>
      <c r="Q133" s="446"/>
      <c r="R133" s="446"/>
      <c r="S133" s="446"/>
      <c r="T133" s="446"/>
      <c r="U133" s="446"/>
      <c r="V133" s="446"/>
      <c r="W133" s="446"/>
      <c r="X133" s="446"/>
      <c r="Y133" s="446"/>
      <c r="Z133" s="446"/>
      <c r="AA133" s="446"/>
      <c r="AB133" s="446"/>
      <c r="AC133" s="446"/>
    </row>
    <row r="134" spans="15:29">
      <c r="O134" s="455"/>
      <c r="P134" s="446"/>
      <c r="Q134" s="446"/>
      <c r="R134" s="446"/>
      <c r="S134" s="446"/>
      <c r="T134" s="446"/>
      <c r="U134" s="446"/>
      <c r="V134" s="446"/>
      <c r="W134" s="446"/>
      <c r="X134" s="446"/>
      <c r="Y134" s="446"/>
      <c r="Z134" s="446"/>
      <c r="AA134" s="446"/>
      <c r="AB134" s="446"/>
      <c r="AC134" s="446"/>
    </row>
  </sheetData>
  <customSheetViews>
    <customSheetView guid="{CE7484BD-F9E2-4C03-AA0F-F7057FD8E6EF}" fitToPage="1" topLeftCell="H1">
      <pane ySplit="9" topLeftCell="A10" activePane="bottomLeft" state="frozen"/>
      <selection pane="bottomLeft" activeCell="AB25" sqref="AB25"/>
      <pageMargins left="0.15748031496062992" right="0.11811023622047245" top="0.19685039370078741" bottom="0.15748031496062992" header="0.31496062992125984" footer="0.31496062992125984"/>
      <pageSetup paperSize="9" scale="31" fitToHeight="0" orientation="landscape" r:id="rId1"/>
    </customSheetView>
  </customSheetViews>
  <mergeCells count="11">
    <mergeCell ref="C7:D7"/>
    <mergeCell ref="F7:G7"/>
    <mergeCell ref="J7:K7"/>
    <mergeCell ref="Q7:S7"/>
    <mergeCell ref="G2:H2"/>
    <mergeCell ref="AF7:AH7"/>
    <mergeCell ref="AI7:AK7"/>
    <mergeCell ref="T7:V7"/>
    <mergeCell ref="W7:Y7"/>
    <mergeCell ref="Z7:AB7"/>
    <mergeCell ref="AC7:AE7"/>
  </mergeCells>
  <conditionalFormatting sqref="U4:U5">
    <cfRule type="duplicateValues" dxfId="2" priority="18"/>
  </conditionalFormatting>
  <conditionalFormatting sqref="H10:H8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{9B260AB9-23C2-4D32-BB45-A8F8E73BD2F7}</x14:id>
        </ext>
      </extLst>
    </cfRule>
  </conditionalFormatting>
  <conditionalFormatting sqref="H81:H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{3C0C8A89-0947-4F64-903D-FC68A6E8715B}</x14:id>
        </ext>
      </extLst>
    </cfRule>
  </conditionalFormatting>
  <conditionalFormatting sqref="A1:A1048576">
    <cfRule type="duplicateValues" dxfId="1" priority="1"/>
  </conditionalFormatting>
  <hyperlinks>
    <hyperlink ref="N5" location="'ProjectsX (2)'!A1" display="'ProjectsX (2)'!A1" xr:uid="{EEB8AD1D-8558-43EB-87E5-4CEB087FAF35}"/>
    <hyperlink ref="O5" location="'ProjectsX (2)'!A1" display="'ProjectsX (2)'!A1" xr:uid="{4BDB78CD-F736-482F-9FDD-4EEC75E0FDB8}"/>
    <hyperlink ref="P5" location="'ProjectsX (2)'!A1" display="'ProjectsX (2)'!A1" xr:uid="{69F43049-1887-4054-A0C6-CC635D7B07DB}"/>
    <hyperlink ref="Q5" location="'ProjectsX (2)'!A1" display="'ProjectsX (2)'!A1" xr:uid="{66C0B956-6825-44DD-9068-7F2E143B35B7}"/>
    <hyperlink ref="R5" location="'ProjectsX (2)'!A1" display="'ProjectsX (2)'!A1" xr:uid="{8DC0A816-1946-4377-ACA7-6B8B20B5D68D}"/>
    <hyperlink ref="S5" location="'ProjectsX (2)'!A1" display="'ProjectsX (2)'!A1" xr:uid="{EB1C75DE-3420-47EB-88F6-67450106F438}"/>
    <hyperlink ref="T5" location="'ProjectsX (2)'!A1" display="'ProjectsX (2)'!A1" xr:uid="{2466CD1C-9151-48D1-AF36-4725F88C89A7}"/>
    <hyperlink ref="A7" location="'ProjectsX (2)'!A1" display="Show&amp;Hide" xr:uid="{142E1196-196C-4707-AA0E-D4413554A953}"/>
  </hyperlinks>
  <pageMargins left="0.15748031496062992" right="0.11811023622047245" top="0.19685039370078741" bottom="0.15748031496062992" header="0.31496062992125984" footer="0.31496062992125984"/>
  <pageSetup paperSize="9" scale="31" fitToHeight="0" orientation="landscape" r:id="rId2"/>
  <customProperties>
    <customPr name="LastActive" r:id="rId3"/>
  </customProperties>
  <ignoredErrors>
    <ignoredError sqref="K9" formula="1"/>
  </ignoredErrors>
  <drawing r:id="rId4"/>
  <legacyDrawing r:id="rId5"/>
  <controls>
    <mc:AlternateContent xmlns:mc="http://schemas.openxmlformats.org/markup-compatibility/2006">
      <mc:Choice Requires="x14">
        <control shapeId="311298" r:id="rId6" name="CommandButton2">
          <controlPr defaultSize="0" autoLine="0" r:id="rId7">
            <anchor moveWithCells="1">
              <from>
                <xdr:col>24</xdr:col>
                <xdr:colOff>180975</xdr:colOff>
                <xdr:row>0</xdr:row>
                <xdr:rowOff>228600</xdr:rowOff>
              </from>
              <to>
                <xdr:col>25</xdr:col>
                <xdr:colOff>371475</xdr:colOff>
                <xdr:row>2</xdr:row>
                <xdr:rowOff>47625</xdr:rowOff>
              </to>
            </anchor>
          </controlPr>
        </control>
      </mc:Choice>
      <mc:Fallback>
        <control shapeId="311298" r:id="rId6" name="CommandButton2"/>
      </mc:Fallback>
    </mc:AlternateContent>
    <mc:AlternateContent xmlns:mc="http://schemas.openxmlformats.org/markup-compatibility/2006">
      <mc:Choice Requires="x14">
        <control shapeId="311297" r:id="rId8" name="CommandButton1">
          <controlPr defaultSize="0" autoLine="0" r:id="rId9">
            <anchor moveWithCells="1">
              <from>
                <xdr:col>50</xdr:col>
                <xdr:colOff>19050</xdr:colOff>
                <xdr:row>0</xdr:row>
                <xdr:rowOff>190500</xdr:rowOff>
              </from>
              <to>
                <xdr:col>51</xdr:col>
                <xdr:colOff>447675</xdr:colOff>
                <xdr:row>2</xdr:row>
                <xdr:rowOff>76200</xdr:rowOff>
              </to>
            </anchor>
          </controlPr>
        </control>
      </mc:Choice>
      <mc:Fallback>
        <control shapeId="311297" r:id="rId8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260AB9-23C2-4D32-BB45-A8F8E73BD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H10:H80</xm:sqref>
        </x14:conditionalFormatting>
        <x14:conditionalFormatting xmlns:xm="http://schemas.microsoft.com/office/excel/2006/main">
          <x14:cfRule type="dataBar" id="{3C0C8A89-0947-4F64-903D-FC68A6E871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H81:H89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95CD7-926A-456E-A473-BB6C8F964BBE}">
  <sheetPr codeName="Sheet35">
    <tabColor rgb="FFFFC000"/>
  </sheetPr>
  <dimension ref="A1:Y113"/>
  <sheetViews>
    <sheetView zoomScaleNormal="100" zoomScaleSheetLayoutView="115" workbookViewId="0">
      <selection activeCell="F3" sqref="F3"/>
    </sheetView>
  </sheetViews>
  <sheetFormatPr defaultColWidth="9" defaultRowHeight="15"/>
  <cols>
    <col min="1" max="1" width="5.5703125" customWidth="1"/>
    <col min="2" max="2" width="23.7109375" customWidth="1"/>
    <col min="3" max="3" width="23.85546875" customWidth="1"/>
    <col min="4" max="4" width="9.140625" customWidth="1"/>
    <col min="5" max="5" width="17.5703125" bestFit="1" customWidth="1"/>
    <col min="6" max="6" width="15" style="12" customWidth="1"/>
    <col min="7" max="7" width="11.28515625" style="269" customWidth="1"/>
    <col min="8" max="10" width="15" style="269" customWidth="1"/>
    <col min="11" max="11" width="16.7109375" style="269" customWidth="1"/>
    <col min="12" max="13" width="15" style="269" customWidth="1"/>
    <col min="14" max="14" width="11" style="269" customWidth="1"/>
    <col min="15" max="25" width="6.7109375" style="269" customWidth="1"/>
  </cols>
  <sheetData>
    <row r="1" spans="1:25" ht="26.25" customHeight="1">
      <c r="A1" s="1071" t="s">
        <v>8</v>
      </c>
      <c r="B1" s="1071"/>
      <c r="C1" s="1071"/>
      <c r="D1" s="1"/>
      <c r="E1" s="1"/>
      <c r="F1" s="16"/>
      <c r="G1" s="278"/>
      <c r="H1" s="277"/>
      <c r="I1" s="277"/>
      <c r="N1" s="278" t="s">
        <v>168</v>
      </c>
      <c r="O1" s="278">
        <v>225</v>
      </c>
      <c r="P1" s="278">
        <v>1128</v>
      </c>
      <c r="Q1" s="278">
        <v>124</v>
      </c>
      <c r="R1" s="278"/>
      <c r="S1" s="278"/>
      <c r="T1" s="278"/>
      <c r="U1" s="278"/>
      <c r="V1" s="278"/>
      <c r="W1" s="278"/>
      <c r="X1" s="278"/>
      <c r="Y1" s="278"/>
    </row>
    <row r="2" spans="1:25" ht="15.75" customHeight="1" thickBot="1">
      <c r="A2" s="1071"/>
      <c r="B2" s="1071"/>
      <c r="C2" s="1071"/>
      <c r="D2" s="1"/>
      <c r="E2" s="17" t="s">
        <v>9</v>
      </c>
      <c r="F2" s="18" t="s">
        <v>9</v>
      </c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</row>
    <row r="3" spans="1:25" ht="21">
      <c r="A3" s="1064" t="s">
        <v>10</v>
      </c>
      <c r="B3" s="1065"/>
      <c r="C3" s="1066"/>
      <c r="D3" s="699"/>
      <c r="E3" s="700" t="s">
        <v>9</v>
      </c>
      <c r="F3" s="733" t="s">
        <v>9</v>
      </c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</row>
    <row r="4" spans="1:25" ht="15" customHeight="1">
      <c r="A4" s="1875" t="str">
        <f>VLOOKUP(N1,Mychart!$A$10:$B$811,2,FALSE)</f>
        <v>UTS Carrier</v>
      </c>
      <c r="B4" s="1876"/>
      <c r="C4" s="1067"/>
      <c r="D4" s="699"/>
      <c r="E4" s="700"/>
      <c r="F4" s="733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</row>
    <row r="5" spans="1:25" ht="15.75" customHeight="1" thickBot="1">
      <c r="A5" s="701">
        <f>VLOOKUP(N1,Mychart!$A$10:$O$811,9,FALSE)</f>
        <v>0</v>
      </c>
      <c r="B5" s="702"/>
      <c r="C5" s="1070"/>
      <c r="D5" s="699"/>
      <c r="E5" s="703"/>
      <c r="F5" s="734"/>
    </row>
    <row r="6" spans="1:25" ht="15" customHeight="1" thickBot="1">
      <c r="A6" s="1068" t="str">
        <f>VLOOKUP(N1,Mychart!$A$10:$O$811,10,FALSE)</f>
        <v>Dubai- UAE / Tel: 04-4199197</v>
      </c>
      <c r="B6" s="1069"/>
      <c r="C6" s="1070"/>
      <c r="D6" s="699"/>
      <c r="E6" s="1800" t="s">
        <v>4</v>
      </c>
      <c r="F6" s="1800" t="s">
        <v>12</v>
      </c>
      <c r="G6" s="272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</row>
    <row r="7" spans="1:25" ht="27.75" customHeight="1" thickBot="1">
      <c r="A7" s="704" t="s">
        <v>212</v>
      </c>
      <c r="B7" s="705"/>
      <c r="C7" s="1028" t="s">
        <v>5505</v>
      </c>
      <c r="D7" s="699"/>
      <c r="E7" s="1801"/>
      <c r="F7" s="1801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</row>
    <row r="8" spans="1:25" ht="15" customHeight="1" thickBot="1">
      <c r="A8" s="1027" t="s">
        <v>211</v>
      </c>
      <c r="B8" s="706"/>
      <c r="C8" s="707"/>
      <c r="D8" s="699"/>
      <c r="E8" s="1880">
        <v>45638</v>
      </c>
      <c r="F8" s="1880" t="s">
        <v>6174</v>
      </c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</row>
    <row r="9" spans="1:25" ht="27" customHeight="1" thickBot="1">
      <c r="A9" s="1713">
        <f>O1</f>
        <v>225</v>
      </c>
      <c r="B9" s="1882" t="s">
        <v>6175</v>
      </c>
      <c r="C9" s="1883"/>
      <c r="D9" s="699"/>
      <c r="E9" s="1881"/>
      <c r="F9" s="1881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</row>
    <row r="10" spans="1:25" ht="15.75">
      <c r="A10" s="1886" t="s">
        <v>13</v>
      </c>
      <c r="B10" s="1888" t="s">
        <v>14</v>
      </c>
      <c r="C10" s="1889"/>
      <c r="D10" s="1892" t="s">
        <v>15</v>
      </c>
      <c r="E10" s="1892" t="s">
        <v>16</v>
      </c>
      <c r="F10" s="1892" t="s">
        <v>17</v>
      </c>
      <c r="G10" s="1878" t="s">
        <v>1205</v>
      </c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</row>
    <row r="11" spans="1:25" ht="15" customHeight="1">
      <c r="A11" s="1887"/>
      <c r="B11" s="1890"/>
      <c r="C11" s="1891"/>
      <c r="D11" s="1887"/>
      <c r="E11" s="1887"/>
      <c r="F11" s="1887"/>
      <c r="G11" s="1879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</row>
    <row r="12" spans="1:25" ht="15" customHeight="1">
      <c r="A12" s="53">
        <v>1</v>
      </c>
      <c r="B12" s="1884"/>
      <c r="C12" s="1885"/>
      <c r="D12" s="62"/>
      <c r="E12" s="61"/>
      <c r="F12" s="64">
        <f>D12*E12</f>
        <v>0</v>
      </c>
      <c r="G12" s="290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</row>
    <row r="13" spans="1:25">
      <c r="A13" s="50">
        <v>2</v>
      </c>
      <c r="B13" s="1884"/>
      <c r="C13" s="1885"/>
      <c r="D13" s="62"/>
      <c r="E13" s="61"/>
      <c r="F13" s="64">
        <f t="shared" ref="F13:F31" si="0">D13*E13</f>
        <v>0</v>
      </c>
      <c r="G13" s="290"/>
      <c r="H13" s="274"/>
      <c r="I13" s="274"/>
      <c r="J13" s="274"/>
      <c r="K13" s="274"/>
      <c r="L13" s="274"/>
      <c r="M13" s="274"/>
      <c r="N13" s="274"/>
      <c r="O13" s="274"/>
      <c r="P13" s="274"/>
      <c r="Q13" s="274"/>
      <c r="R13" s="274"/>
      <c r="S13" s="274"/>
      <c r="T13" s="274"/>
      <c r="U13" s="274"/>
      <c r="V13" s="274"/>
      <c r="W13" s="274"/>
      <c r="X13" s="274"/>
      <c r="Y13" s="274"/>
    </row>
    <row r="14" spans="1:25">
      <c r="A14" s="50">
        <v>3</v>
      </c>
      <c r="B14" s="1884"/>
      <c r="C14" s="1885"/>
      <c r="D14" s="62"/>
      <c r="E14" s="61"/>
      <c r="F14" s="64">
        <f t="shared" si="0"/>
        <v>0</v>
      </c>
      <c r="G14" s="290"/>
      <c r="H14" s="274"/>
      <c r="I14" s="274"/>
      <c r="J14" s="274"/>
      <c r="K14" s="274"/>
      <c r="L14" s="274"/>
      <c r="M14" s="274"/>
      <c r="N14" s="274"/>
      <c r="O14" s="274"/>
      <c r="P14" s="274"/>
      <c r="Q14" s="274"/>
      <c r="R14" s="274"/>
      <c r="S14" s="274"/>
      <c r="T14" s="274"/>
      <c r="U14" s="274"/>
      <c r="V14" s="274"/>
      <c r="W14" s="274"/>
      <c r="X14" s="274"/>
      <c r="Y14" s="274"/>
    </row>
    <row r="15" spans="1:25" ht="15" customHeight="1">
      <c r="A15" s="50">
        <v>4</v>
      </c>
      <c r="B15" s="1884"/>
      <c r="C15" s="1885"/>
      <c r="D15" s="62"/>
      <c r="E15" s="61"/>
      <c r="F15" s="64">
        <f t="shared" si="0"/>
        <v>0</v>
      </c>
      <c r="G15" s="290"/>
      <c r="H15" s="274"/>
      <c r="I15" s="274"/>
      <c r="J15" s="274"/>
      <c r="K15" s="274"/>
      <c r="L15" s="274"/>
      <c r="M15" s="274"/>
      <c r="N15" s="274"/>
      <c r="O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</row>
    <row r="16" spans="1:25" ht="15.75" customHeight="1">
      <c r="A16" s="50">
        <v>5</v>
      </c>
      <c r="B16" s="1884"/>
      <c r="C16" s="1885"/>
      <c r="D16" s="62"/>
      <c r="E16" s="61"/>
      <c r="F16" s="64">
        <f t="shared" si="0"/>
        <v>0</v>
      </c>
      <c r="G16" s="290"/>
      <c r="H16" s="274"/>
      <c r="I16" s="274"/>
      <c r="J16" s="274"/>
      <c r="K16" s="274"/>
      <c r="L16" s="274"/>
      <c r="M16" s="274"/>
      <c r="N16" s="274"/>
      <c r="O16" s="274"/>
      <c r="P16" s="274"/>
      <c r="Q16" s="274"/>
      <c r="R16" s="274"/>
      <c r="S16" s="274"/>
      <c r="T16" s="274"/>
      <c r="U16" s="274"/>
      <c r="V16" s="274"/>
      <c r="W16" s="274"/>
      <c r="X16" s="274"/>
      <c r="Y16" s="274"/>
    </row>
    <row r="17" spans="1:25">
      <c r="A17" s="50">
        <v>6</v>
      </c>
      <c r="B17" s="1884"/>
      <c r="C17" s="1885"/>
      <c r="D17" s="62"/>
      <c r="E17" s="61"/>
      <c r="F17" s="64">
        <f t="shared" si="0"/>
        <v>0</v>
      </c>
      <c r="G17" s="290"/>
      <c r="H17" s="274"/>
      <c r="I17" s="274"/>
      <c r="J17" s="274"/>
      <c r="K17" s="274"/>
      <c r="L17" s="274"/>
      <c r="M17" s="274"/>
      <c r="N17" s="274"/>
      <c r="O17" s="274"/>
      <c r="P17" s="274"/>
      <c r="Q17" s="274"/>
      <c r="R17" s="274"/>
      <c r="S17" s="274"/>
      <c r="T17" s="274"/>
      <c r="U17" s="274"/>
      <c r="V17" s="274"/>
      <c r="W17" s="274"/>
      <c r="X17" s="274"/>
      <c r="Y17" s="274"/>
    </row>
    <row r="18" spans="1:25">
      <c r="A18" s="50">
        <v>7</v>
      </c>
      <c r="B18" s="1884"/>
      <c r="C18" s="1885"/>
      <c r="D18" s="62"/>
      <c r="E18" s="61"/>
      <c r="F18" s="64">
        <f t="shared" si="0"/>
        <v>0</v>
      </c>
      <c r="G18" s="290"/>
      <c r="H18" s="274"/>
      <c r="I18" s="274"/>
      <c r="J18" s="274"/>
      <c r="K18" s="274"/>
      <c r="L18" s="274"/>
      <c r="M18" s="274"/>
      <c r="N18" s="274"/>
      <c r="O18" s="274"/>
      <c r="P18" s="274"/>
      <c r="Q18" s="274"/>
      <c r="R18" s="274"/>
      <c r="S18" s="274"/>
      <c r="T18" s="274"/>
      <c r="U18" s="274"/>
      <c r="V18" s="274"/>
      <c r="W18" s="274"/>
      <c r="X18" s="274"/>
      <c r="Y18" s="274"/>
    </row>
    <row r="19" spans="1:25">
      <c r="A19" s="50">
        <v>8</v>
      </c>
      <c r="B19" s="1884"/>
      <c r="C19" s="1885"/>
      <c r="D19" s="62"/>
      <c r="E19" s="62"/>
      <c r="F19" s="64">
        <f t="shared" si="0"/>
        <v>0</v>
      </c>
      <c r="G19" s="290"/>
      <c r="H19" s="274"/>
      <c r="I19" s="274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</row>
    <row r="20" spans="1:25" ht="17.25" customHeight="1">
      <c r="A20" s="53">
        <v>9</v>
      </c>
      <c r="B20" s="1897"/>
      <c r="C20" s="1898"/>
      <c r="D20" s="1641"/>
      <c r="E20" s="62"/>
      <c r="F20" s="64">
        <f t="shared" si="0"/>
        <v>0</v>
      </c>
      <c r="G20" s="290"/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4"/>
      <c r="U20" s="274"/>
      <c r="V20" s="274"/>
      <c r="W20" s="274"/>
      <c r="X20" s="274"/>
      <c r="Y20" s="274"/>
    </row>
    <row r="21" spans="1:25" ht="17.25" customHeight="1">
      <c r="A21" s="50">
        <v>10</v>
      </c>
      <c r="B21" s="1884"/>
      <c r="C21" s="1885"/>
      <c r="D21" s="62"/>
      <c r="E21" s="62"/>
      <c r="F21" s="64">
        <f t="shared" si="0"/>
        <v>0</v>
      </c>
      <c r="G21" s="290"/>
      <c r="H21" s="296"/>
      <c r="I21" s="297" t="str">
        <f>F8</f>
        <v>H/M/994/2024</v>
      </c>
      <c r="J21" s="296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274"/>
      <c r="V21" s="274"/>
      <c r="W21" s="274"/>
      <c r="X21" s="274"/>
      <c r="Y21" s="274"/>
    </row>
    <row r="22" spans="1:25" ht="17.25" customHeight="1">
      <c r="A22" s="50">
        <v>11</v>
      </c>
      <c r="B22" s="1884"/>
      <c r="C22" s="1885"/>
      <c r="D22" s="62"/>
      <c r="E22" s="62"/>
      <c r="F22" s="64">
        <f t="shared" si="0"/>
        <v>0</v>
      </c>
      <c r="G22" s="290"/>
      <c r="H22" s="296" t="s">
        <v>1123</v>
      </c>
      <c r="I22" s="1877"/>
      <c r="J22" s="1877"/>
      <c r="K22" s="1877"/>
      <c r="L22" s="1877"/>
      <c r="M22" s="1877"/>
      <c r="N22" s="1877"/>
      <c r="O22" s="274"/>
      <c r="P22" s="274"/>
      <c r="Q22" s="274"/>
      <c r="R22" s="274"/>
      <c r="S22" s="274"/>
      <c r="T22" s="274"/>
      <c r="U22" s="274"/>
      <c r="V22" s="274"/>
      <c r="W22" s="274"/>
      <c r="X22" s="274"/>
      <c r="Y22" s="274"/>
    </row>
    <row r="23" spans="1:25">
      <c r="A23" s="50">
        <v>12</v>
      </c>
      <c r="B23" s="1884"/>
      <c r="C23" s="1885"/>
      <c r="D23" s="62"/>
      <c r="E23" s="62"/>
      <c r="F23" s="64">
        <f t="shared" si="0"/>
        <v>0</v>
      </c>
      <c r="G23" s="290"/>
      <c r="H23" s="296"/>
      <c r="I23" s="1877"/>
      <c r="J23" s="1877"/>
      <c r="K23" s="1877"/>
      <c r="L23" s="1877"/>
      <c r="M23" s="1877"/>
      <c r="N23" s="1877"/>
      <c r="O23" s="274"/>
      <c r="P23" s="274"/>
      <c r="Q23" s="274"/>
      <c r="R23" s="274"/>
      <c r="S23" s="274"/>
      <c r="T23" s="274"/>
      <c r="U23" s="274"/>
      <c r="V23" s="274"/>
      <c r="W23" s="274"/>
      <c r="X23" s="274"/>
      <c r="Y23" s="274"/>
    </row>
    <row r="24" spans="1:25">
      <c r="A24" s="50">
        <v>13</v>
      </c>
      <c r="B24" s="1884"/>
      <c r="C24" s="1885"/>
      <c r="D24" s="62"/>
      <c r="E24" s="62"/>
      <c r="F24" s="64">
        <f t="shared" si="0"/>
        <v>0</v>
      </c>
      <c r="G24" s="290"/>
      <c r="H24" s="296"/>
      <c r="I24" s="1877"/>
      <c r="J24" s="1877"/>
      <c r="K24" s="1877"/>
      <c r="L24" s="1877"/>
      <c r="M24" s="1877"/>
      <c r="N24" s="1877"/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4"/>
    </row>
    <row r="25" spans="1:25">
      <c r="A25" s="50">
        <v>14</v>
      </c>
      <c r="B25" s="1884"/>
      <c r="C25" s="1885"/>
      <c r="D25" s="62"/>
      <c r="E25" s="62"/>
      <c r="F25" s="64">
        <f t="shared" si="0"/>
        <v>0</v>
      </c>
      <c r="G25" s="290"/>
      <c r="H25" s="607" t="s">
        <v>1797</v>
      </c>
      <c r="I25" s="299"/>
      <c r="J25" s="279"/>
      <c r="K25" s="279"/>
      <c r="L25" s="279"/>
      <c r="M25" s="296" t="s">
        <v>1208</v>
      </c>
      <c r="N25" s="299">
        <v>27431.25</v>
      </c>
      <c r="O25" s="274"/>
      <c r="P25" s="274"/>
      <c r="Q25" s="274"/>
      <c r="R25" s="274"/>
      <c r="S25" s="274"/>
      <c r="T25" s="274"/>
      <c r="U25" s="274"/>
      <c r="V25" s="274"/>
      <c r="W25" s="274"/>
      <c r="X25" s="274"/>
      <c r="Y25" s="274"/>
    </row>
    <row r="26" spans="1:25">
      <c r="A26" s="50">
        <v>15</v>
      </c>
      <c r="B26" s="1884"/>
      <c r="C26" s="1885"/>
      <c r="D26" s="62"/>
      <c r="E26" s="62"/>
      <c r="F26" s="64">
        <f t="shared" si="0"/>
        <v>0</v>
      </c>
      <c r="G26" s="290"/>
      <c r="H26" s="296" t="s">
        <v>1798</v>
      </c>
      <c r="I26" s="299"/>
      <c r="J26" s="279"/>
      <c r="K26" s="607" t="s">
        <v>1799</v>
      </c>
      <c r="L26" s="299">
        <f>I26-I25</f>
        <v>0</v>
      </c>
      <c r="M26" s="296" t="s">
        <v>1209</v>
      </c>
      <c r="N26" s="299">
        <f>N25-I25</f>
        <v>27431.25</v>
      </c>
      <c r="O26" s="274"/>
      <c r="P26" s="274"/>
      <c r="Q26" s="274"/>
      <c r="R26" s="274"/>
      <c r="S26" s="274"/>
      <c r="T26" s="274"/>
      <c r="U26" s="274"/>
      <c r="V26" s="274"/>
      <c r="W26" s="274"/>
      <c r="X26" s="274"/>
      <c r="Y26" s="274"/>
    </row>
    <row r="27" spans="1:25">
      <c r="A27" s="50">
        <v>16</v>
      </c>
      <c r="B27" s="1884"/>
      <c r="C27" s="1885"/>
      <c r="D27" s="62"/>
      <c r="E27" s="62"/>
      <c r="F27" s="64">
        <f t="shared" si="0"/>
        <v>0</v>
      </c>
      <c r="G27" s="290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</row>
    <row r="28" spans="1:25">
      <c r="A28" s="50">
        <v>17</v>
      </c>
      <c r="B28" s="1884"/>
      <c r="C28" s="1885"/>
      <c r="D28" s="62"/>
      <c r="E28" s="62"/>
      <c r="F28" s="64">
        <f t="shared" si="0"/>
        <v>0</v>
      </c>
      <c r="G28" s="290"/>
      <c r="H28" s="274"/>
      <c r="I28" s="274"/>
      <c r="J28" s="274"/>
      <c r="K28" s="274"/>
      <c r="L28" s="274"/>
      <c r="M28" s="274"/>
      <c r="N28" s="274"/>
      <c r="O28" s="274"/>
      <c r="P28" s="274"/>
      <c r="Q28" s="274"/>
      <c r="R28" s="274"/>
      <c r="S28" s="274"/>
      <c r="T28" s="274"/>
      <c r="U28" s="274"/>
      <c r="V28" s="274"/>
      <c r="W28" s="274"/>
      <c r="X28" s="274"/>
      <c r="Y28" s="274"/>
    </row>
    <row r="29" spans="1:25">
      <c r="A29" s="50">
        <v>18</v>
      </c>
      <c r="B29" s="1884"/>
      <c r="C29" s="1885"/>
      <c r="D29" s="62"/>
      <c r="E29" s="62"/>
      <c r="F29" s="64">
        <f t="shared" si="0"/>
        <v>0</v>
      </c>
      <c r="G29" s="290"/>
      <c r="H29" s="274"/>
      <c r="I29" s="274"/>
      <c r="J29" s="589"/>
      <c r="K29" s="274"/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</row>
    <row r="30" spans="1:25">
      <c r="A30" s="50">
        <v>19</v>
      </c>
      <c r="B30" s="1884"/>
      <c r="C30" s="1885"/>
      <c r="D30" s="62"/>
      <c r="E30" s="62"/>
      <c r="F30" s="64">
        <f t="shared" si="0"/>
        <v>0</v>
      </c>
      <c r="G30" s="290"/>
      <c r="H30" s="274"/>
      <c r="I30" s="274"/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</row>
    <row r="31" spans="1:25">
      <c r="A31" s="51">
        <v>20</v>
      </c>
      <c r="B31" s="1895"/>
      <c r="C31" s="1896"/>
      <c r="D31" s="1642"/>
      <c r="E31" s="63"/>
      <c r="F31" s="64">
        <f t="shared" si="0"/>
        <v>0</v>
      </c>
      <c r="G31" s="290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</row>
    <row r="32" spans="1:25" ht="15.75">
      <c r="A32" s="1893" t="str">
        <f>SpellNum_Dirham(F32)</f>
        <v>No Dirham and No Fils</v>
      </c>
      <c r="B32" s="1893"/>
      <c r="C32" s="1893"/>
      <c r="D32" s="1893"/>
      <c r="E32" s="193" t="s">
        <v>18</v>
      </c>
      <c r="F32" s="52">
        <f>SUM(F12:F31)</f>
        <v>0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</row>
    <row r="33" spans="1:25" ht="15.75">
      <c r="A33" s="1893" t="str">
        <f>SpellNum_Dirham(F33)</f>
        <v>No Dirham and No Fils</v>
      </c>
      <c r="B33" s="1893"/>
      <c r="C33" s="1893"/>
      <c r="D33" s="1893"/>
      <c r="E33" s="193" t="s">
        <v>19</v>
      </c>
      <c r="F33" s="52">
        <f>F32*5%</f>
        <v>0</v>
      </c>
      <c r="G33" s="275"/>
      <c r="H33" s="275"/>
      <c r="I33" s="275"/>
      <c r="J33" s="275"/>
      <c r="K33" s="275"/>
      <c r="L33" s="275"/>
      <c r="M33" s="275"/>
      <c r="N33" s="275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</row>
    <row r="34" spans="1:25" ht="15.75">
      <c r="A34" s="1893" t="str">
        <f>SpellNum_Dirham(F34)</f>
        <v>No Dirham and No Fils</v>
      </c>
      <c r="B34" s="1893"/>
      <c r="C34" s="1893"/>
      <c r="D34" s="1893"/>
      <c r="E34" s="193" t="s">
        <v>20</v>
      </c>
      <c r="F34" s="52">
        <f>F33+F32</f>
        <v>0</v>
      </c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</row>
    <row r="35" spans="1:25" ht="15.75">
      <c r="A35" s="19"/>
      <c r="B35" s="19"/>
      <c r="C35" s="19"/>
      <c r="D35" s="19" t="s">
        <v>6168</v>
      </c>
      <c r="E35" s="20"/>
      <c r="F35" s="21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</row>
    <row r="36" spans="1:25" ht="18.75">
      <c r="A36" s="22" t="s">
        <v>9</v>
      </c>
      <c r="B36" s="23" t="s">
        <v>21</v>
      </c>
      <c r="C36" s="22"/>
      <c r="D36" s="1640" t="s">
        <v>6169</v>
      </c>
      <c r="E36" s="1"/>
      <c r="F36" s="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</row>
    <row r="37" spans="1:25">
      <c r="A37" s="1894" t="s">
        <v>22</v>
      </c>
      <c r="B37" s="1894"/>
      <c r="C37" s="1894"/>
      <c r="D37" s="1894"/>
      <c r="E37" s="1894"/>
      <c r="F37" s="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</row>
    <row r="38" spans="1:25" ht="18.75">
      <c r="A38" s="22"/>
      <c r="B38" s="23"/>
      <c r="C38" s="22"/>
      <c r="D38" s="1"/>
      <c r="E38" s="1"/>
      <c r="F38" s="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</row>
    <row r="39" spans="1:25">
      <c r="A39" s="1894"/>
      <c r="B39" s="1894"/>
      <c r="C39" s="1894"/>
      <c r="D39" s="1894"/>
      <c r="E39" s="1894"/>
      <c r="F39" s="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</row>
    <row r="40" spans="1:25">
      <c r="A40" s="194"/>
      <c r="B40" s="194"/>
      <c r="C40" s="194"/>
      <c r="D40" s="194"/>
      <c r="E40" s="194"/>
      <c r="F40" s="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>
      <c r="A41" s="194"/>
      <c r="B41" s="194"/>
      <c r="C41" s="194"/>
      <c r="D41" s="194"/>
      <c r="E41" s="194"/>
      <c r="F41" s="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  <row r="42" spans="1:25" ht="15.75">
      <c r="A42" s="1"/>
      <c r="B42" s="24"/>
      <c r="C42" s="24"/>
      <c r="D42" s="28"/>
      <c r="E42" s="1"/>
      <c r="F42" s="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</row>
    <row r="43" spans="1:25" ht="21.75" customHeight="1">
      <c r="A43" s="1"/>
      <c r="B43" s="24"/>
      <c r="C43" s="25"/>
      <c r="D43" s="28"/>
      <c r="E43" s="1"/>
      <c r="F43" s="16"/>
    </row>
    <row r="44" spans="1:25" ht="21.75" customHeight="1">
      <c r="A44" s="1"/>
      <c r="B44" s="25" t="s">
        <v>23</v>
      </c>
      <c r="C44" s="25"/>
      <c r="D44" s="1"/>
      <c r="E44" s="1"/>
      <c r="F44" s="16"/>
    </row>
    <row r="45" spans="1:25" ht="21.75" customHeight="1">
      <c r="A45" s="1"/>
      <c r="B45" s="1"/>
      <c r="C45" s="1"/>
      <c r="D45" s="1"/>
      <c r="E45" s="1"/>
      <c r="F45" s="16"/>
    </row>
    <row r="46" spans="1:25" ht="21.75" customHeight="1">
      <c r="A46" s="1"/>
      <c r="B46" s="1"/>
      <c r="C46" s="1"/>
      <c r="D46" s="1"/>
      <c r="E46" s="1"/>
      <c r="F46" s="16"/>
    </row>
    <row r="47" spans="1:25" ht="21.75" customHeight="1">
      <c r="A47" s="65"/>
      <c r="B47" s="65"/>
      <c r="C47" s="65"/>
      <c r="D47" s="65"/>
      <c r="E47" s="65"/>
      <c r="F47" s="67"/>
    </row>
    <row r="48" spans="1:25">
      <c r="A48" s="65"/>
      <c r="B48" s="65"/>
      <c r="C48" s="65"/>
      <c r="D48" s="65"/>
      <c r="E48" s="65"/>
      <c r="F48" s="67"/>
    </row>
    <row r="49" spans="1:6">
      <c r="A49" s="65"/>
      <c r="B49" s="65"/>
      <c r="C49" s="65"/>
      <c r="D49" s="65"/>
      <c r="E49" s="65"/>
      <c r="F49" s="67"/>
    </row>
    <row r="50" spans="1:6">
      <c r="A50" s="65"/>
      <c r="B50" s="65"/>
      <c r="C50" s="65"/>
      <c r="D50" s="65"/>
      <c r="E50" s="65"/>
      <c r="F50" s="67"/>
    </row>
    <row r="51" spans="1:6">
      <c r="A51" s="65"/>
      <c r="B51" s="65"/>
      <c r="C51" s="65"/>
      <c r="D51" s="65"/>
      <c r="E51" s="65"/>
      <c r="F51" s="67"/>
    </row>
    <row r="52" spans="1:6">
      <c r="A52" s="65"/>
      <c r="B52" s="65"/>
      <c r="C52" s="65"/>
      <c r="D52" s="65"/>
      <c r="E52" s="65"/>
      <c r="F52" s="67"/>
    </row>
    <row r="53" spans="1:6">
      <c r="A53" s="65"/>
      <c r="B53" s="65"/>
      <c r="C53" s="65"/>
      <c r="D53" s="65"/>
      <c r="E53" s="65"/>
      <c r="F53" s="67"/>
    </row>
    <row r="54" spans="1:6">
      <c r="A54" s="65"/>
      <c r="B54" s="65"/>
      <c r="C54" s="65"/>
      <c r="D54" s="65"/>
      <c r="E54" s="65"/>
      <c r="F54" s="67"/>
    </row>
    <row r="55" spans="1:6">
      <c r="A55" s="65"/>
      <c r="B55" s="65"/>
      <c r="C55" s="65"/>
      <c r="D55" s="65"/>
      <c r="E55" s="65"/>
      <c r="F55" s="67"/>
    </row>
    <row r="56" spans="1:6">
      <c r="A56" s="65"/>
      <c r="B56" s="65"/>
      <c r="C56" s="65"/>
      <c r="D56" s="65"/>
      <c r="E56" s="65"/>
      <c r="F56" s="67"/>
    </row>
    <row r="57" spans="1:6">
      <c r="A57" s="65"/>
      <c r="B57" s="65"/>
      <c r="C57" s="65"/>
      <c r="D57" s="65"/>
      <c r="E57" s="65"/>
      <c r="F57" s="67"/>
    </row>
    <row r="58" spans="1:6">
      <c r="A58" s="65"/>
      <c r="B58" s="65"/>
      <c r="C58" s="65"/>
      <c r="D58" s="65"/>
      <c r="E58" s="65"/>
      <c r="F58" s="67"/>
    </row>
    <row r="59" spans="1:6">
      <c r="A59" s="65"/>
      <c r="B59" s="65"/>
      <c r="C59" s="65"/>
      <c r="D59" s="65"/>
      <c r="E59" s="65"/>
      <c r="F59" s="67"/>
    </row>
    <row r="60" spans="1:6">
      <c r="A60" s="65"/>
      <c r="B60" s="65"/>
      <c r="C60" s="65"/>
      <c r="D60" s="65"/>
      <c r="E60" s="65"/>
      <c r="F60" s="67"/>
    </row>
    <row r="61" spans="1:6">
      <c r="A61" s="65"/>
      <c r="B61" s="65"/>
      <c r="C61" s="65"/>
      <c r="D61" s="65"/>
      <c r="E61" s="65"/>
      <c r="F61" s="67"/>
    </row>
    <row r="62" spans="1:6">
      <c r="A62" s="65"/>
      <c r="B62" s="65"/>
      <c r="C62" s="65"/>
      <c r="D62" s="65"/>
      <c r="E62" s="65"/>
      <c r="F62" s="67"/>
    </row>
    <row r="63" spans="1:6">
      <c r="A63" s="65"/>
      <c r="B63" s="65"/>
      <c r="C63" s="65"/>
      <c r="D63" s="65"/>
      <c r="E63" s="65"/>
      <c r="F63" s="67"/>
    </row>
    <row r="64" spans="1:6">
      <c r="A64" s="65"/>
      <c r="B64" s="65"/>
      <c r="C64" s="65"/>
      <c r="D64" s="65"/>
      <c r="E64" s="65"/>
      <c r="F64" s="67"/>
    </row>
    <row r="65" spans="1:6">
      <c r="A65" s="65"/>
      <c r="B65" s="65"/>
      <c r="C65" s="65"/>
      <c r="D65" s="65"/>
      <c r="E65" s="65"/>
      <c r="F65" s="67"/>
    </row>
    <row r="66" spans="1:6">
      <c r="A66" s="65"/>
      <c r="B66" s="65"/>
      <c r="C66" s="65"/>
      <c r="D66" s="65"/>
      <c r="E66" s="65"/>
      <c r="F66" s="67"/>
    </row>
    <row r="67" spans="1:6">
      <c r="A67" s="65"/>
      <c r="B67" s="65"/>
      <c r="C67" s="65"/>
      <c r="D67" s="65"/>
      <c r="E67" s="65"/>
      <c r="F67" s="67"/>
    </row>
    <row r="68" spans="1:6">
      <c r="A68" s="65"/>
      <c r="B68" s="65"/>
      <c r="C68" s="65"/>
      <c r="D68" s="65"/>
      <c r="E68" s="65"/>
      <c r="F68" s="67"/>
    </row>
    <row r="69" spans="1:6">
      <c r="A69" s="65"/>
      <c r="B69" s="65"/>
      <c r="C69" s="65"/>
      <c r="D69" s="65"/>
      <c r="E69" s="65"/>
      <c r="F69" s="67"/>
    </row>
    <row r="70" spans="1:6">
      <c r="A70" s="65"/>
      <c r="B70" s="65"/>
      <c r="C70" s="65"/>
      <c r="D70" s="65"/>
      <c r="E70" s="65"/>
      <c r="F70" s="67"/>
    </row>
    <row r="71" spans="1:6">
      <c r="A71" s="65"/>
      <c r="B71" s="65"/>
      <c r="C71" s="65"/>
      <c r="D71" s="65"/>
      <c r="E71" s="65"/>
      <c r="F71" s="67"/>
    </row>
    <row r="72" spans="1:6">
      <c r="A72" s="65"/>
      <c r="B72" s="65"/>
      <c r="C72" s="65"/>
      <c r="D72" s="65"/>
      <c r="E72" s="65"/>
      <c r="F72" s="67"/>
    </row>
    <row r="73" spans="1:6">
      <c r="A73" s="65"/>
      <c r="B73" s="65"/>
      <c r="C73" s="65"/>
      <c r="D73" s="65"/>
      <c r="E73" s="65"/>
      <c r="F73" s="67"/>
    </row>
    <row r="74" spans="1:6">
      <c r="A74" s="65"/>
      <c r="B74" s="65"/>
      <c r="C74" s="65"/>
      <c r="D74" s="65"/>
      <c r="E74" s="65"/>
      <c r="F74" s="67"/>
    </row>
    <row r="75" spans="1:6">
      <c r="A75" s="65"/>
      <c r="B75" s="65"/>
      <c r="C75" s="65"/>
      <c r="D75" s="65"/>
      <c r="E75" s="65"/>
      <c r="F75" s="67"/>
    </row>
    <row r="76" spans="1:6">
      <c r="A76" s="65"/>
      <c r="B76" s="65"/>
      <c r="C76" s="65"/>
      <c r="D76" s="65"/>
      <c r="E76" s="65"/>
      <c r="F76" s="67"/>
    </row>
    <row r="77" spans="1:6">
      <c r="A77" s="65"/>
      <c r="B77" s="65"/>
      <c r="C77" s="65"/>
      <c r="D77" s="65"/>
      <c r="E77" s="65"/>
      <c r="F77" s="67"/>
    </row>
    <row r="78" spans="1:6">
      <c r="A78" s="65"/>
      <c r="B78" s="65"/>
      <c r="C78" s="65"/>
      <c r="D78" s="65"/>
      <c r="E78" s="65"/>
      <c r="F78" s="67"/>
    </row>
    <row r="79" spans="1:6">
      <c r="A79" s="65"/>
      <c r="B79" s="65"/>
      <c r="C79" s="65"/>
      <c r="D79" s="65"/>
      <c r="E79" s="65"/>
      <c r="F79" s="67"/>
    </row>
    <row r="80" spans="1:6">
      <c r="A80" s="65"/>
      <c r="B80" s="65"/>
      <c r="C80" s="65"/>
      <c r="D80" s="65"/>
      <c r="E80" s="65"/>
      <c r="F80" s="67"/>
    </row>
    <row r="81" spans="1:6">
      <c r="A81" s="65"/>
      <c r="B81" s="65"/>
      <c r="C81" s="65"/>
      <c r="D81" s="65"/>
      <c r="E81" s="65"/>
      <c r="F81" s="67"/>
    </row>
    <row r="82" spans="1:6">
      <c r="A82" s="65"/>
      <c r="B82" s="65"/>
      <c r="C82" s="65"/>
      <c r="D82" s="65"/>
      <c r="E82" s="65"/>
      <c r="F82" s="67"/>
    </row>
    <row r="83" spans="1:6">
      <c r="A83" s="65"/>
      <c r="B83" s="65"/>
      <c r="C83" s="65"/>
      <c r="D83" s="65"/>
      <c r="E83" s="65"/>
      <c r="F83" s="67"/>
    </row>
    <row r="84" spans="1:6">
      <c r="A84" s="65"/>
      <c r="B84" s="65"/>
      <c r="C84" s="65"/>
      <c r="D84" s="65"/>
      <c r="E84" s="65"/>
      <c r="F84" s="67"/>
    </row>
    <row r="85" spans="1:6">
      <c r="A85" s="65"/>
      <c r="B85" s="65"/>
      <c r="C85" s="65"/>
      <c r="D85" s="65"/>
      <c r="E85" s="65"/>
      <c r="F85" s="67"/>
    </row>
    <row r="86" spans="1:6">
      <c r="A86" s="65"/>
      <c r="B86" s="65"/>
      <c r="C86" s="65"/>
      <c r="D86" s="65"/>
      <c r="E86" s="65"/>
      <c r="F86" s="67"/>
    </row>
    <row r="87" spans="1:6">
      <c r="A87" s="65"/>
      <c r="B87" s="65"/>
      <c r="C87" s="65"/>
      <c r="D87" s="65"/>
      <c r="E87" s="65"/>
      <c r="F87" s="67"/>
    </row>
    <row r="88" spans="1:6">
      <c r="A88" s="65"/>
      <c r="B88" s="65"/>
      <c r="C88" s="65"/>
      <c r="D88" s="65"/>
      <c r="E88" s="65"/>
      <c r="F88" s="67"/>
    </row>
    <row r="89" spans="1:6">
      <c r="A89" s="65"/>
      <c r="B89" s="65"/>
      <c r="C89" s="65"/>
      <c r="D89" s="65"/>
      <c r="E89" s="65"/>
      <c r="F89" s="67"/>
    </row>
    <row r="90" spans="1:6">
      <c r="A90" s="65"/>
      <c r="B90" s="65"/>
      <c r="C90" s="65"/>
      <c r="D90" s="65"/>
      <c r="E90" s="65"/>
      <c r="F90" s="67"/>
    </row>
    <row r="91" spans="1:6">
      <c r="A91" s="65"/>
      <c r="B91" s="65"/>
      <c r="C91" s="65"/>
      <c r="D91" s="65"/>
      <c r="E91" s="65"/>
      <c r="F91" s="67"/>
    </row>
    <row r="92" spans="1:6">
      <c r="A92" s="65"/>
      <c r="B92" s="65"/>
      <c r="C92" s="65"/>
      <c r="D92" s="65"/>
      <c r="E92" s="65"/>
      <c r="F92" s="67"/>
    </row>
    <row r="93" spans="1:6">
      <c r="A93" s="65"/>
      <c r="B93" s="65"/>
      <c r="C93" s="65"/>
      <c r="D93" s="65"/>
      <c r="E93" s="65"/>
      <c r="F93" s="67"/>
    </row>
    <row r="94" spans="1:6">
      <c r="A94" s="65"/>
      <c r="B94" s="65"/>
      <c r="C94" s="65"/>
      <c r="D94" s="65"/>
      <c r="E94" s="65"/>
      <c r="F94" s="67"/>
    </row>
    <row r="95" spans="1:6">
      <c r="A95" s="65"/>
      <c r="B95" s="65"/>
      <c r="C95" s="65"/>
      <c r="D95" s="65"/>
      <c r="E95" s="65"/>
      <c r="F95" s="67"/>
    </row>
    <row r="96" spans="1:6">
      <c r="A96" s="65"/>
      <c r="B96" s="65"/>
      <c r="C96" s="65"/>
      <c r="D96" s="65"/>
      <c r="E96" s="65"/>
      <c r="F96" s="67"/>
    </row>
    <row r="97" spans="1:6">
      <c r="A97" s="65"/>
      <c r="B97" s="65"/>
      <c r="C97" s="65"/>
      <c r="D97" s="65"/>
      <c r="E97" s="65"/>
      <c r="F97" s="67"/>
    </row>
    <row r="98" spans="1:6">
      <c r="A98" s="65"/>
      <c r="B98" s="65"/>
      <c r="C98" s="65"/>
      <c r="D98" s="65"/>
      <c r="E98" s="65"/>
      <c r="F98" s="67"/>
    </row>
    <row r="99" spans="1:6">
      <c r="A99" s="65"/>
      <c r="B99" s="65"/>
      <c r="C99" s="65"/>
      <c r="D99" s="65"/>
      <c r="E99" s="65"/>
      <c r="F99" s="67"/>
    </row>
    <row r="100" spans="1:6">
      <c r="A100" s="65"/>
      <c r="B100" s="65"/>
      <c r="C100" s="65"/>
      <c r="D100" s="65"/>
      <c r="E100" s="65"/>
      <c r="F100" s="67"/>
    </row>
    <row r="101" spans="1:6">
      <c r="A101" s="65"/>
      <c r="B101" s="65"/>
      <c r="C101" s="65"/>
      <c r="D101" s="65"/>
      <c r="E101" s="65"/>
      <c r="F101" s="67"/>
    </row>
    <row r="102" spans="1:6">
      <c r="A102" s="65"/>
      <c r="B102" s="65"/>
      <c r="C102" s="65"/>
      <c r="D102" s="65"/>
      <c r="E102" s="65"/>
      <c r="F102" s="67"/>
    </row>
    <row r="103" spans="1:6">
      <c r="A103" s="65"/>
      <c r="B103" s="65"/>
      <c r="C103" s="65"/>
      <c r="D103" s="65"/>
      <c r="E103" s="65"/>
      <c r="F103" s="67"/>
    </row>
    <row r="104" spans="1:6">
      <c r="A104" s="65"/>
      <c r="B104" s="65"/>
      <c r="C104" s="65"/>
      <c r="D104" s="65"/>
      <c r="E104" s="65"/>
      <c r="F104" s="67"/>
    </row>
    <row r="105" spans="1:6">
      <c r="A105" s="65"/>
      <c r="B105" s="65"/>
      <c r="C105" s="65"/>
      <c r="D105" s="65"/>
      <c r="E105" s="65"/>
      <c r="F105" s="67"/>
    </row>
    <row r="106" spans="1:6">
      <c r="A106" s="65"/>
      <c r="B106" s="65"/>
      <c r="C106" s="65"/>
      <c r="D106" s="65"/>
      <c r="E106" s="65"/>
      <c r="F106" s="67"/>
    </row>
    <row r="107" spans="1:6">
      <c r="A107" s="65"/>
      <c r="B107" s="65"/>
      <c r="C107" s="65"/>
      <c r="D107" s="65"/>
      <c r="E107" s="65"/>
      <c r="F107" s="67"/>
    </row>
    <row r="108" spans="1:6">
      <c r="A108" s="65"/>
      <c r="B108" s="65"/>
      <c r="C108" s="65"/>
      <c r="D108" s="65"/>
      <c r="E108" s="65"/>
      <c r="F108" s="67"/>
    </row>
    <row r="109" spans="1:6">
      <c r="A109" s="65"/>
      <c r="B109" s="65"/>
      <c r="C109" s="65"/>
      <c r="D109" s="65"/>
      <c r="E109" s="65"/>
      <c r="F109" s="67"/>
    </row>
    <row r="110" spans="1:6">
      <c r="A110" s="65"/>
      <c r="B110" s="65"/>
      <c r="C110" s="65"/>
      <c r="D110" s="65"/>
      <c r="E110" s="65"/>
      <c r="F110" s="67"/>
    </row>
    <row r="111" spans="1:6">
      <c r="A111" s="65"/>
      <c r="B111" s="65"/>
      <c r="C111" s="65"/>
      <c r="D111" s="65"/>
      <c r="E111" s="65"/>
      <c r="F111" s="67"/>
    </row>
    <row r="112" spans="1:6">
      <c r="A112" s="65"/>
      <c r="B112" s="65"/>
      <c r="C112" s="65"/>
      <c r="D112" s="65"/>
      <c r="E112" s="65"/>
      <c r="F112" s="67"/>
    </row>
    <row r="113" spans="1:6">
      <c r="A113" s="65"/>
      <c r="B113" s="65"/>
      <c r="C113" s="65"/>
      <c r="D113" s="65"/>
      <c r="E113" s="65"/>
      <c r="F113" s="67"/>
    </row>
  </sheetData>
  <customSheetViews>
    <customSheetView guid="{CE7484BD-F9E2-4C03-AA0F-F7057FD8E6EF}">
      <selection sqref="A1:C2"/>
      <pageMargins left="0" right="0" top="1.1811023622047245" bottom="0" header="0" footer="0"/>
      <pageSetup paperSize="9" orientation="portrait" r:id="rId1"/>
      <headerFooter>
        <oddHeader>&amp;L&amp;G</oddHeader>
        <oddFooter>&amp;L&amp;G</oddFooter>
      </headerFooter>
    </customSheetView>
  </customSheetViews>
  <mergeCells count="38">
    <mergeCell ref="B30:C30"/>
    <mergeCell ref="B23:C23"/>
    <mergeCell ref="B24:C24"/>
    <mergeCell ref="B25:C25"/>
    <mergeCell ref="B26:C26"/>
    <mergeCell ref="B27:C27"/>
    <mergeCell ref="E6:E7"/>
    <mergeCell ref="A34:D34"/>
    <mergeCell ref="A37:E37"/>
    <mergeCell ref="A39:E39"/>
    <mergeCell ref="A32:D32"/>
    <mergeCell ref="A33:D33"/>
    <mergeCell ref="B31:C31"/>
    <mergeCell ref="B16:C16"/>
    <mergeCell ref="B17:C17"/>
    <mergeCell ref="B20:C20"/>
    <mergeCell ref="B21:C21"/>
    <mergeCell ref="B22:C22"/>
    <mergeCell ref="B28:C28"/>
    <mergeCell ref="B18:C18"/>
    <mergeCell ref="B19:C19"/>
    <mergeCell ref="B29:C29"/>
    <mergeCell ref="F6:F7"/>
    <mergeCell ref="A4:B4"/>
    <mergeCell ref="I22:N24"/>
    <mergeCell ref="G10:G11"/>
    <mergeCell ref="E8:E9"/>
    <mergeCell ref="F8:F9"/>
    <mergeCell ref="B9:C9"/>
    <mergeCell ref="B12:C12"/>
    <mergeCell ref="A10:A11"/>
    <mergeCell ref="B10:C11"/>
    <mergeCell ref="D10:D11"/>
    <mergeCell ref="E10:E11"/>
    <mergeCell ref="F10:F11"/>
    <mergeCell ref="B13:C13"/>
    <mergeCell ref="B15:C15"/>
    <mergeCell ref="B14:C14"/>
  </mergeCells>
  <pageMargins left="0" right="0" top="1.1811023622047245" bottom="0" header="0" footer="0"/>
  <pageSetup paperSize="9" orientation="portrait" r:id="rId2"/>
  <headerFooter>
    <oddHeader>&amp;L&amp;G</oddHeader>
    <oddFooter>&amp;L&amp;G</oddFooter>
  </headerFooter>
  <customProperties>
    <customPr name="LastActive" r:id="rId3"/>
  </customProperties>
  <drawing r:id="rId4"/>
  <legacyDrawing r:id="rId5"/>
  <legacyDrawingHF r:id="rId6"/>
  <controls>
    <mc:AlternateContent xmlns:mc="http://schemas.openxmlformats.org/markup-compatibility/2006">
      <mc:Choice Requires="x14">
        <control shapeId="234527" r:id="rId7" name="CommandButton9">
          <controlPr defaultSize="0" autoLine="0" r:id="rId8">
            <anchor moveWithCells="1">
              <from>
                <xdr:col>6</xdr:col>
                <xdr:colOff>504825</xdr:colOff>
                <xdr:row>0</xdr:row>
                <xdr:rowOff>247650</xdr:rowOff>
              </from>
              <to>
                <xdr:col>7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234527" r:id="rId7" name="CommandButton9"/>
      </mc:Fallback>
    </mc:AlternateContent>
    <mc:AlternateContent xmlns:mc="http://schemas.openxmlformats.org/markup-compatibility/2006">
      <mc:Choice Requires="x14">
        <control shapeId="234526" r:id="rId9" name="CommandButton8">
          <controlPr defaultSize="0" autoLine="0" r:id="rId10">
            <anchor moveWithCells="1">
              <from>
                <xdr:col>14</xdr:col>
                <xdr:colOff>371475</xdr:colOff>
                <xdr:row>17</xdr:row>
                <xdr:rowOff>171450</xdr:rowOff>
              </from>
              <to>
                <xdr:col>16</xdr:col>
                <xdr:colOff>381000</xdr:colOff>
                <xdr:row>21</xdr:row>
                <xdr:rowOff>95250</xdr:rowOff>
              </to>
            </anchor>
          </controlPr>
        </control>
      </mc:Choice>
      <mc:Fallback>
        <control shapeId="234526" r:id="rId9" name="CommandButton8"/>
      </mc:Fallback>
    </mc:AlternateContent>
    <mc:AlternateContent xmlns:mc="http://schemas.openxmlformats.org/markup-compatibility/2006">
      <mc:Choice Requires="x14">
        <control shapeId="234525" r:id="rId11" name="CommandButton7">
          <controlPr defaultSize="0" autoLine="0" autoPict="0" r:id="rId12">
            <anchor moveWithCells="1">
              <from>
                <xdr:col>6</xdr:col>
                <xdr:colOff>9525</xdr:colOff>
                <xdr:row>8</xdr:row>
                <xdr:rowOff>9525</xdr:rowOff>
              </from>
              <to>
                <xdr:col>7</xdr:col>
                <xdr:colOff>9525</xdr:colOff>
                <xdr:row>8</xdr:row>
                <xdr:rowOff>257175</xdr:rowOff>
              </to>
            </anchor>
          </controlPr>
        </control>
      </mc:Choice>
      <mc:Fallback>
        <control shapeId="234525" r:id="rId11" name="CommandButton7"/>
      </mc:Fallback>
    </mc:AlternateContent>
    <mc:AlternateContent xmlns:mc="http://schemas.openxmlformats.org/markup-compatibility/2006">
      <mc:Choice Requires="x14">
        <control shapeId="234524" r:id="rId13" name="CommandButton6">
          <controlPr defaultSize="0" autoLine="0" r:id="rId14">
            <anchor moveWithCells="1">
              <from>
                <xdr:col>7</xdr:col>
                <xdr:colOff>371475</xdr:colOff>
                <xdr:row>29</xdr:row>
                <xdr:rowOff>123825</xdr:rowOff>
              </from>
              <to>
                <xdr:col>8</xdr:col>
                <xdr:colOff>447675</xdr:colOff>
                <xdr:row>30</xdr:row>
                <xdr:rowOff>180975</xdr:rowOff>
              </to>
            </anchor>
          </controlPr>
        </control>
      </mc:Choice>
      <mc:Fallback>
        <control shapeId="234524" r:id="rId13" name="CommandButton6"/>
      </mc:Fallback>
    </mc:AlternateContent>
    <mc:AlternateContent xmlns:mc="http://schemas.openxmlformats.org/markup-compatibility/2006">
      <mc:Choice Requires="x14">
        <control shapeId="234505" r:id="rId15" name="ListBox2">
          <controlPr defaultSize="0" print="0" autoLine="0" r:id="rId16">
            <anchor>
              <from>
                <xdr:col>7</xdr:col>
                <xdr:colOff>85725</xdr:colOff>
                <xdr:row>3</xdr:row>
                <xdr:rowOff>19050</xdr:rowOff>
              </from>
              <to>
                <xdr:col>9</xdr:col>
                <xdr:colOff>952500</xdr:colOff>
                <xdr:row>9</xdr:row>
                <xdr:rowOff>161925</xdr:rowOff>
              </to>
            </anchor>
          </controlPr>
        </control>
      </mc:Choice>
      <mc:Fallback>
        <control shapeId="234505" r:id="rId15" name="ListBox2"/>
      </mc:Fallback>
    </mc:AlternateContent>
    <mc:AlternateContent xmlns:mc="http://schemas.openxmlformats.org/markup-compatibility/2006">
      <mc:Choice Requires="x14">
        <control shapeId="234504" r:id="rId17" name="ListBox1">
          <controlPr defaultSize="0" print="0" autoLine="0" listFillRange="ProHeader!C9:D105" r:id="rId18">
            <anchor>
              <from>
                <xdr:col>10</xdr:col>
                <xdr:colOff>0</xdr:colOff>
                <xdr:row>3</xdr:row>
                <xdr:rowOff>9525</xdr:rowOff>
              </from>
              <to>
                <xdr:col>12</xdr:col>
                <xdr:colOff>628650</xdr:colOff>
                <xdr:row>15</xdr:row>
                <xdr:rowOff>0</xdr:rowOff>
              </to>
            </anchor>
          </controlPr>
        </control>
      </mc:Choice>
      <mc:Fallback>
        <control shapeId="234504" r:id="rId17" name="ListBox1"/>
      </mc:Fallback>
    </mc:AlternateContent>
    <mc:AlternateContent xmlns:mc="http://schemas.openxmlformats.org/markup-compatibility/2006">
      <mc:Choice Requires="x14">
        <control shapeId="234503" r:id="rId19" name="CommandButton4">
          <controlPr defaultSize="0" autoLine="0" r:id="rId20">
            <anchor moveWithCells="1">
              <from>
                <xdr:col>10</xdr:col>
                <xdr:colOff>723900</xdr:colOff>
                <xdr:row>37</xdr:row>
                <xdr:rowOff>123825</xdr:rowOff>
              </from>
              <to>
                <xdr:col>11</xdr:col>
                <xdr:colOff>676275</xdr:colOff>
                <xdr:row>38</xdr:row>
                <xdr:rowOff>161925</xdr:rowOff>
              </to>
            </anchor>
          </controlPr>
        </control>
      </mc:Choice>
      <mc:Fallback>
        <control shapeId="234503" r:id="rId19" name="CommandButton4"/>
      </mc:Fallback>
    </mc:AlternateContent>
    <mc:AlternateContent xmlns:mc="http://schemas.openxmlformats.org/markup-compatibility/2006">
      <mc:Choice Requires="x14">
        <control shapeId="234502" r:id="rId21" name="CommandButton3">
          <controlPr defaultSize="0" autoLine="0" r:id="rId22">
            <anchor moveWithCells="1">
              <from>
                <xdr:col>8</xdr:col>
                <xdr:colOff>581025</xdr:colOff>
                <xdr:row>32</xdr:row>
                <xdr:rowOff>95250</xdr:rowOff>
              </from>
              <to>
                <xdr:col>9</xdr:col>
                <xdr:colOff>657225</xdr:colOff>
                <xdr:row>33</xdr:row>
                <xdr:rowOff>142875</xdr:rowOff>
              </to>
            </anchor>
          </controlPr>
        </control>
      </mc:Choice>
      <mc:Fallback>
        <control shapeId="234502" r:id="rId21" name="CommandButton3"/>
      </mc:Fallback>
    </mc:AlternateContent>
    <mc:AlternateContent xmlns:mc="http://schemas.openxmlformats.org/markup-compatibility/2006">
      <mc:Choice Requires="x14">
        <control shapeId="234501" r:id="rId23" name="CommandButton2">
          <controlPr defaultSize="0" autoLine="0" r:id="rId24">
            <anchor moveWithCells="1">
              <from>
                <xdr:col>9</xdr:col>
                <xdr:colOff>647700</xdr:colOff>
                <xdr:row>32</xdr:row>
                <xdr:rowOff>95250</xdr:rowOff>
              </from>
              <to>
                <xdr:col>10</xdr:col>
                <xdr:colOff>723900</xdr:colOff>
                <xdr:row>33</xdr:row>
                <xdr:rowOff>142875</xdr:rowOff>
              </to>
            </anchor>
          </controlPr>
        </control>
      </mc:Choice>
      <mc:Fallback>
        <control shapeId="234501" r:id="rId23" name="CommandButton2"/>
      </mc:Fallback>
    </mc:AlternateContent>
    <mc:AlternateContent xmlns:mc="http://schemas.openxmlformats.org/markup-compatibility/2006">
      <mc:Choice Requires="x14">
        <control shapeId="234500" r:id="rId25" name="CommandButton1">
          <controlPr defaultSize="0" autoLine="0" r:id="rId26">
            <anchor moveWithCells="1">
              <from>
                <xdr:col>10</xdr:col>
                <xdr:colOff>723900</xdr:colOff>
                <xdr:row>32</xdr:row>
                <xdr:rowOff>95250</xdr:rowOff>
              </from>
              <to>
                <xdr:col>11</xdr:col>
                <xdr:colOff>685800</xdr:colOff>
                <xdr:row>33</xdr:row>
                <xdr:rowOff>142875</xdr:rowOff>
              </to>
            </anchor>
          </controlPr>
        </control>
      </mc:Choice>
      <mc:Fallback>
        <control shapeId="234500" r:id="rId25" name="CommandButton1"/>
      </mc:Fallback>
    </mc:AlternateContent>
    <mc:AlternateContent xmlns:mc="http://schemas.openxmlformats.org/markup-compatibility/2006">
      <mc:Choice Requires="x14">
        <control shapeId="234506" r:id="rId27" name="ListBox3">
          <controlPr defaultSize="0" print="0" autoLine="0" r:id="rId28">
            <anchor>
              <from>
                <xdr:col>12</xdr:col>
                <xdr:colOff>685800</xdr:colOff>
                <xdr:row>3</xdr:row>
                <xdr:rowOff>9525</xdr:rowOff>
              </from>
              <to>
                <xdr:col>15</xdr:col>
                <xdr:colOff>314325</xdr:colOff>
                <xdr:row>11</xdr:row>
                <xdr:rowOff>47625</xdr:rowOff>
              </to>
            </anchor>
          </controlPr>
        </control>
      </mc:Choice>
      <mc:Fallback>
        <control shapeId="234506" r:id="rId27" name="ListBox3"/>
      </mc:Fallback>
    </mc:AlternateContent>
    <mc:AlternateContent xmlns:mc="http://schemas.openxmlformats.org/markup-compatibility/2006">
      <mc:Choice Requires="x14">
        <control shapeId="234507" r:id="rId29" name="CommandButton5">
          <controlPr defaultSize="0" autoLine="0" r:id="rId30">
            <anchor moveWithCells="1">
              <from>
                <xdr:col>7</xdr:col>
                <xdr:colOff>495300</xdr:colOff>
                <xdr:row>32</xdr:row>
                <xdr:rowOff>104775</xdr:rowOff>
              </from>
              <to>
                <xdr:col>8</xdr:col>
                <xdr:colOff>571500</xdr:colOff>
                <xdr:row>33</xdr:row>
                <xdr:rowOff>152400</xdr:rowOff>
              </to>
            </anchor>
          </controlPr>
        </control>
      </mc:Choice>
      <mc:Fallback>
        <control shapeId="234507" r:id="rId29" name="CommandButton5"/>
      </mc:Fallback>
    </mc:AlternateContent>
    <mc:AlternateContent xmlns:mc="http://schemas.openxmlformats.org/markup-compatibility/2006">
      <mc:Choice Requires="x14">
        <control shapeId="234515" r:id="rId31" name="TextBox1">
          <controlPr defaultSize="0" autoLine="0" r:id="rId32">
            <anchor moveWithCells="1">
              <from>
                <xdr:col>10</xdr:col>
                <xdr:colOff>895350</xdr:colOff>
                <xdr:row>34</xdr:row>
                <xdr:rowOff>123825</xdr:rowOff>
              </from>
              <to>
                <xdr:col>11</xdr:col>
                <xdr:colOff>476250</xdr:colOff>
                <xdr:row>35</xdr:row>
                <xdr:rowOff>114300</xdr:rowOff>
              </to>
            </anchor>
          </controlPr>
        </control>
      </mc:Choice>
      <mc:Fallback>
        <control shapeId="234515" r:id="rId31" name="TextBox1"/>
      </mc:Fallback>
    </mc:AlternateContent>
    <mc:AlternateContent xmlns:mc="http://schemas.openxmlformats.org/markup-compatibility/2006">
      <mc:Choice Requires="x14">
        <control shapeId="234516" r:id="rId33" name="TextBox2">
          <controlPr defaultSize="0" autoLine="0" r:id="rId34">
            <anchor moveWithCells="1">
              <from>
                <xdr:col>10</xdr:col>
                <xdr:colOff>895350</xdr:colOff>
                <xdr:row>35</xdr:row>
                <xdr:rowOff>133350</xdr:rowOff>
              </from>
              <to>
                <xdr:col>11</xdr:col>
                <xdr:colOff>476250</xdr:colOff>
                <xdr:row>36</xdr:row>
                <xdr:rowOff>85725</xdr:rowOff>
              </to>
            </anchor>
          </controlPr>
        </control>
      </mc:Choice>
      <mc:Fallback>
        <control shapeId="234516" r:id="rId33" name="TextBox2"/>
      </mc:Fallback>
    </mc:AlternateContent>
    <mc:AlternateContent xmlns:mc="http://schemas.openxmlformats.org/markup-compatibility/2006">
      <mc:Choice Requires="x14">
        <control shapeId="234517" r:id="rId35" name="TextBox3">
          <controlPr defaultSize="0" autoLine="0" r:id="rId36">
            <anchor moveWithCells="1">
              <from>
                <xdr:col>10</xdr:col>
                <xdr:colOff>904875</xdr:colOff>
                <xdr:row>36</xdr:row>
                <xdr:rowOff>104775</xdr:rowOff>
              </from>
              <to>
                <xdr:col>11</xdr:col>
                <xdr:colOff>485775</xdr:colOff>
                <xdr:row>37</xdr:row>
                <xdr:rowOff>104775</xdr:rowOff>
              </to>
            </anchor>
          </controlPr>
        </control>
      </mc:Choice>
      <mc:Fallback>
        <control shapeId="234517" r:id="rId35" name="TextBox3"/>
      </mc:Fallback>
    </mc:AlternateContent>
    <mc:AlternateContent xmlns:mc="http://schemas.openxmlformats.org/markup-compatibility/2006">
      <mc:Choice Requires="x14">
        <control shapeId="234518" r:id="rId37" name="Label1">
          <controlPr defaultSize="0" autoLine="0" r:id="rId38">
            <anchor moveWithCells="1">
              <from>
                <xdr:col>10</xdr:col>
                <xdr:colOff>295275</xdr:colOff>
                <xdr:row>34</xdr:row>
                <xdr:rowOff>161925</xdr:rowOff>
              </from>
              <to>
                <xdr:col>10</xdr:col>
                <xdr:colOff>876300</xdr:colOff>
                <xdr:row>35</xdr:row>
                <xdr:rowOff>142875</xdr:rowOff>
              </to>
            </anchor>
          </controlPr>
        </control>
      </mc:Choice>
      <mc:Fallback>
        <control shapeId="234518" r:id="rId37" name="Label1"/>
      </mc:Fallback>
    </mc:AlternateContent>
    <mc:AlternateContent xmlns:mc="http://schemas.openxmlformats.org/markup-compatibility/2006">
      <mc:Choice Requires="x14">
        <control shapeId="234519" r:id="rId39" name="Label2">
          <controlPr defaultSize="0" autoLine="0" r:id="rId40">
            <anchor moveWithCells="1">
              <from>
                <xdr:col>10</xdr:col>
                <xdr:colOff>285750</xdr:colOff>
                <xdr:row>35</xdr:row>
                <xdr:rowOff>142875</xdr:rowOff>
              </from>
              <to>
                <xdr:col>10</xdr:col>
                <xdr:colOff>866775</xdr:colOff>
                <xdr:row>36</xdr:row>
                <xdr:rowOff>85725</xdr:rowOff>
              </to>
            </anchor>
          </controlPr>
        </control>
      </mc:Choice>
      <mc:Fallback>
        <control shapeId="234519" r:id="rId39" name="Label2"/>
      </mc:Fallback>
    </mc:AlternateContent>
    <mc:AlternateContent xmlns:mc="http://schemas.openxmlformats.org/markup-compatibility/2006">
      <mc:Choice Requires="x14">
        <control shapeId="234520" r:id="rId41" name="Label3">
          <controlPr defaultSize="0" autoLine="0" r:id="rId42">
            <anchor moveWithCells="1">
              <from>
                <xdr:col>10</xdr:col>
                <xdr:colOff>266700</xdr:colOff>
                <xdr:row>36</xdr:row>
                <xdr:rowOff>85725</xdr:rowOff>
              </from>
              <to>
                <xdr:col>10</xdr:col>
                <xdr:colOff>942975</xdr:colOff>
                <xdr:row>37</xdr:row>
                <xdr:rowOff>66675</xdr:rowOff>
              </to>
            </anchor>
          </controlPr>
        </control>
      </mc:Choice>
      <mc:Fallback>
        <control shapeId="234520" r:id="rId41" name="Label3"/>
      </mc:Fallback>
    </mc:AlternateContent>
    <mc:AlternateContent xmlns:mc="http://schemas.openxmlformats.org/markup-compatibility/2006">
      <mc:Choice Requires="x14">
        <control shapeId="234521" r:id="rId43" name="Image1">
          <controlPr defaultSize="0" autoLine="0" autoPict="0" r:id="rId44">
            <anchor moveWithCells="1">
              <from>
                <xdr:col>7</xdr:col>
                <xdr:colOff>228600</xdr:colOff>
                <xdr:row>31</xdr:row>
                <xdr:rowOff>19050</xdr:rowOff>
              </from>
              <to>
                <xdr:col>11</xdr:col>
                <xdr:colOff>876300</xdr:colOff>
                <xdr:row>40</xdr:row>
                <xdr:rowOff>57150</xdr:rowOff>
              </to>
            </anchor>
          </controlPr>
        </control>
      </mc:Choice>
      <mc:Fallback>
        <control shapeId="234521" r:id="rId43" name="Image1"/>
      </mc:Fallback>
    </mc:AlternateContent>
    <mc:AlternateContent xmlns:mc="http://schemas.openxmlformats.org/markup-compatibility/2006">
      <mc:Choice Requires="x14">
        <control shapeId="234522" r:id="rId45" name="TextBox4">
          <controlPr defaultSize="0" autoLine="0" r:id="rId46">
            <anchor moveWithCells="1">
              <from>
                <xdr:col>7</xdr:col>
                <xdr:colOff>904875</xdr:colOff>
                <xdr:row>34</xdr:row>
                <xdr:rowOff>28575</xdr:rowOff>
              </from>
              <to>
                <xdr:col>8</xdr:col>
                <xdr:colOff>600075</xdr:colOff>
                <xdr:row>35</xdr:row>
                <xdr:rowOff>19050</xdr:rowOff>
              </to>
            </anchor>
          </controlPr>
        </control>
      </mc:Choice>
      <mc:Fallback>
        <control shapeId="234522" r:id="rId45" name="TextBox4"/>
      </mc:Fallback>
    </mc:AlternateContent>
    <mc:AlternateContent xmlns:mc="http://schemas.openxmlformats.org/markup-compatibility/2006">
      <mc:Choice Requires="x14">
        <control shapeId="234523" r:id="rId47" name="Label4">
          <controlPr defaultSize="0" autoLine="0" r:id="rId48">
            <anchor moveWithCells="1">
              <from>
                <xdr:col>7</xdr:col>
                <xdr:colOff>304800</xdr:colOff>
                <xdr:row>34</xdr:row>
                <xdr:rowOff>28575</xdr:rowOff>
              </from>
              <to>
                <xdr:col>7</xdr:col>
                <xdr:colOff>971550</xdr:colOff>
                <xdr:row>34</xdr:row>
                <xdr:rowOff>190500</xdr:rowOff>
              </to>
            </anchor>
          </controlPr>
        </control>
      </mc:Choice>
      <mc:Fallback>
        <control shapeId="234523" r:id="rId47" name="Label4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44F1-61A5-48D4-A25C-8B44507300F6}">
  <sheetPr codeName="Sheet42" filterMode="1">
    <tabColor rgb="FFFFC000"/>
  </sheetPr>
  <dimension ref="A1:AX97"/>
  <sheetViews>
    <sheetView view="pageBreakPreview" zoomScale="85" zoomScaleNormal="100" zoomScaleSheetLayoutView="85" workbookViewId="0">
      <selection activeCell="E9" sqref="E9"/>
    </sheetView>
  </sheetViews>
  <sheetFormatPr defaultColWidth="9.140625" defaultRowHeight="15.75"/>
  <cols>
    <col min="1" max="2" width="2.28515625" style="115" customWidth="1"/>
    <col min="3" max="3" width="1.7109375" style="23" customWidth="1"/>
    <col min="4" max="4" width="9.5703125" style="23" customWidth="1"/>
    <col min="5" max="5" width="18.28515625" style="23" customWidth="1"/>
    <col min="6" max="6" width="13.42578125" style="252" customWidth="1"/>
    <col min="7" max="7" width="11.140625" style="23" customWidth="1"/>
    <col min="8" max="8" width="18" style="23" customWidth="1"/>
    <col min="9" max="9" width="11.5703125" style="23" customWidth="1"/>
    <col min="10" max="10" width="15.5703125" style="23" customWidth="1"/>
    <col min="11" max="11" width="9.140625" style="86"/>
    <col min="12" max="12" width="10.5703125" style="86" customWidth="1"/>
    <col min="13" max="13" width="10.7109375" style="86" bestFit="1" customWidth="1"/>
    <col min="14" max="14" width="11.5703125" style="86" bestFit="1" customWidth="1"/>
    <col min="15" max="15" width="9.85546875" style="86" bestFit="1" customWidth="1"/>
    <col min="16" max="23" width="9.140625" style="86"/>
    <col min="24" max="24" width="9.140625" style="584"/>
    <col min="25" max="16384" width="9.140625" style="86"/>
  </cols>
  <sheetData>
    <row r="1" spans="1:50">
      <c r="A1" s="115">
        <v>2</v>
      </c>
      <c r="B1" s="115">
        <v>1</v>
      </c>
      <c r="C1" s="1816"/>
      <c r="D1" s="1816"/>
      <c r="E1" s="1816"/>
      <c r="F1" s="1816"/>
      <c r="K1" s="595"/>
      <c r="L1" s="596">
        <v>225</v>
      </c>
      <c r="M1" s="597"/>
      <c r="N1" s="598"/>
      <c r="O1" s="285"/>
      <c r="P1" s="206"/>
      <c r="Q1" s="206"/>
      <c r="R1" s="206"/>
      <c r="S1" s="206"/>
      <c r="T1" s="138"/>
      <c r="AX1" s="86">
        <v>2</v>
      </c>
    </row>
    <row r="2" spans="1:50">
      <c r="A2" s="115">
        <v>2</v>
      </c>
      <c r="B2" s="115">
        <v>1</v>
      </c>
      <c r="C2" s="1816"/>
      <c r="D2" s="1816"/>
      <c r="E2" s="1816"/>
      <c r="F2" s="1816"/>
      <c r="K2" s="593"/>
      <c r="L2" s="593"/>
      <c r="M2" s="593"/>
      <c r="N2" s="593"/>
      <c r="O2" s="593"/>
      <c r="P2" s="593"/>
      <c r="Q2" s="593"/>
      <c r="R2" s="593"/>
      <c r="S2" s="593"/>
      <c r="T2" s="593"/>
      <c r="U2" s="594"/>
      <c r="V2" s="579"/>
      <c r="W2" s="579"/>
      <c r="X2" s="585"/>
      <c r="Y2" s="579"/>
      <c r="Z2" s="579"/>
    </row>
    <row r="3" spans="1:50" ht="52.5" customHeight="1">
      <c r="A3" s="115">
        <v>2</v>
      </c>
      <c r="B3" s="115">
        <v>1</v>
      </c>
      <c r="C3" s="1816"/>
      <c r="D3" s="1816"/>
      <c r="E3" s="1816"/>
      <c r="F3" s="1816"/>
      <c r="K3" s="593"/>
      <c r="L3" s="593"/>
      <c r="M3" s="593"/>
      <c r="N3" s="593"/>
      <c r="O3" s="593"/>
      <c r="P3" s="593"/>
      <c r="Q3" s="593"/>
      <c r="R3" s="593"/>
      <c r="S3" s="593"/>
      <c r="T3" s="593"/>
      <c r="U3" s="594"/>
      <c r="V3" s="579"/>
      <c r="W3" s="579"/>
      <c r="X3" s="585"/>
      <c r="Y3" s="579"/>
      <c r="Z3" s="579"/>
    </row>
    <row r="4" spans="1:50" ht="31.5" customHeight="1">
      <c r="A4" s="115">
        <v>2</v>
      </c>
      <c r="B4" s="115">
        <v>1</v>
      </c>
      <c r="C4" s="1816"/>
      <c r="D4" s="1816"/>
      <c r="E4" s="1816"/>
      <c r="F4" s="1816"/>
      <c r="K4" s="578"/>
      <c r="L4" s="578"/>
      <c r="M4" s="578"/>
      <c r="N4" s="578"/>
      <c r="O4" s="578"/>
      <c r="P4" s="578"/>
      <c r="Q4" s="578"/>
      <c r="R4" s="578"/>
      <c r="S4" s="578"/>
      <c r="T4" s="578"/>
      <c r="U4" s="579"/>
      <c r="V4" s="579"/>
      <c r="W4" s="579"/>
      <c r="X4" s="585"/>
      <c r="Y4" s="579"/>
      <c r="Z4" s="579"/>
    </row>
    <row r="5" spans="1:50" ht="15.75" customHeight="1">
      <c r="A5" s="115">
        <v>2</v>
      </c>
      <c r="B5" s="115">
        <v>1</v>
      </c>
      <c r="C5" s="1691"/>
      <c r="D5" s="1904" t="s">
        <v>5265</v>
      </c>
      <c r="E5" s="1904"/>
      <c r="F5" s="1691"/>
      <c r="H5" s="23" t="s">
        <v>1246</v>
      </c>
      <c r="K5" s="578"/>
      <c r="L5" s="578"/>
      <c r="M5" s="578"/>
      <c r="N5" s="578"/>
      <c r="O5" s="578"/>
      <c r="P5" s="578"/>
      <c r="Q5" s="578"/>
      <c r="R5" s="578"/>
      <c r="S5" s="578"/>
      <c r="T5" s="578"/>
      <c r="U5" s="579"/>
      <c r="V5" s="579"/>
      <c r="W5" s="579"/>
      <c r="X5" s="585"/>
      <c r="Y5" s="579"/>
      <c r="Z5" s="579"/>
    </row>
    <row r="6" spans="1:50" ht="8.25" customHeight="1">
      <c r="A6" s="115">
        <v>2</v>
      </c>
      <c r="B6" s="115">
        <v>1</v>
      </c>
      <c r="C6" s="1691"/>
      <c r="D6" s="1691"/>
      <c r="E6" s="1691"/>
      <c r="F6" s="1691"/>
      <c r="K6" s="580"/>
      <c r="L6" s="581"/>
      <c r="M6" s="580"/>
      <c r="N6" s="580"/>
      <c r="O6" s="580"/>
      <c r="P6" s="578"/>
      <c r="Q6" s="578"/>
      <c r="R6" s="578"/>
      <c r="S6" s="578"/>
      <c r="T6" s="578"/>
      <c r="U6" s="579"/>
      <c r="V6" s="579"/>
      <c r="W6" s="579"/>
      <c r="X6" s="585"/>
      <c r="Y6" s="579"/>
      <c r="Z6" s="579"/>
    </row>
    <row r="7" spans="1:50" ht="12.75" customHeight="1">
      <c r="A7" s="115">
        <v>2</v>
      </c>
      <c r="B7" s="115">
        <v>1</v>
      </c>
      <c r="C7" s="207"/>
      <c r="D7" s="207"/>
      <c r="E7" s="207"/>
      <c r="F7" s="207"/>
      <c r="K7" s="580"/>
      <c r="L7" s="581"/>
      <c r="M7" s="580"/>
      <c r="N7" s="580"/>
      <c r="O7" s="580"/>
      <c r="P7" s="578"/>
      <c r="Q7" s="578"/>
      <c r="R7" s="578"/>
      <c r="S7" s="578"/>
      <c r="T7" s="578"/>
      <c r="U7" s="579"/>
      <c r="V7" s="579"/>
      <c r="W7" s="579"/>
      <c r="X7" s="585"/>
      <c r="Y7" s="579"/>
      <c r="Z7" s="579"/>
    </row>
    <row r="8" spans="1:50" ht="19.5" customHeight="1">
      <c r="A8" s="115">
        <v>2</v>
      </c>
      <c r="B8" s="115">
        <v>1</v>
      </c>
      <c r="D8" s="360" t="s">
        <v>4</v>
      </c>
      <c r="E8" s="601">
        <v>45636</v>
      </c>
      <c r="F8" s="208"/>
      <c r="G8" s="209"/>
      <c r="H8" s="209"/>
      <c r="I8" s="209"/>
      <c r="K8" s="580"/>
      <c r="L8" s="581"/>
      <c r="M8" s="580"/>
      <c r="N8" s="580"/>
      <c r="O8" s="580"/>
      <c r="P8" s="578"/>
      <c r="Q8" s="578"/>
      <c r="R8" s="578"/>
      <c r="S8" s="578"/>
      <c r="T8" s="578"/>
      <c r="U8" s="579"/>
      <c r="V8" s="579"/>
      <c r="W8" s="579"/>
      <c r="X8" s="585"/>
      <c r="Y8" s="579"/>
      <c r="Z8" s="579"/>
    </row>
    <row r="9" spans="1:50" ht="19.5" customHeight="1">
      <c r="A9" s="115">
        <v>2</v>
      </c>
      <c r="B9" s="115">
        <v>1</v>
      </c>
      <c r="D9" s="361" t="s">
        <v>964</v>
      </c>
      <c r="E9" s="210" t="s">
        <v>5160</v>
      </c>
      <c r="F9" s="208"/>
      <c r="G9" s="209"/>
      <c r="H9" s="209"/>
      <c r="I9" s="209"/>
      <c r="K9" s="580"/>
      <c r="L9" s="581"/>
      <c r="M9" s="580"/>
      <c r="N9" s="580"/>
      <c r="O9" s="580"/>
      <c r="P9" s="578"/>
      <c r="Q9" s="578"/>
      <c r="R9" s="578"/>
      <c r="S9" s="578"/>
      <c r="T9" s="578"/>
      <c r="U9" s="579"/>
      <c r="V9" s="579"/>
      <c r="W9" s="579"/>
      <c r="X9" s="585"/>
      <c r="Y9" s="579"/>
      <c r="Z9" s="579"/>
    </row>
    <row r="10" spans="1:50" ht="19.5" customHeight="1">
      <c r="A10" s="115">
        <v>2</v>
      </c>
      <c r="B10" s="115">
        <v>1</v>
      </c>
      <c r="D10" s="361" t="s">
        <v>853</v>
      </c>
      <c r="E10" s="591" t="str">
        <f xml:space="preserve">  VLOOKUP(L1,ProHeader!C9:O175,3,FALSE)&amp;"   -   " &amp;L1</f>
        <v>Hessa Ahmed Juma El Beloshi   -   225</v>
      </c>
      <c r="F10" s="591"/>
      <c r="G10" s="591"/>
      <c r="H10" s="209"/>
      <c r="I10" s="209"/>
      <c r="K10" s="580"/>
      <c r="L10" s="581"/>
      <c r="M10" s="580"/>
      <c r="N10" s="580"/>
      <c r="O10" s="580"/>
      <c r="P10" s="578"/>
      <c r="Q10" s="578"/>
      <c r="R10" s="578"/>
      <c r="S10" s="578"/>
      <c r="T10" s="578"/>
      <c r="U10" s="579"/>
      <c r="V10" s="579"/>
      <c r="W10" s="579"/>
      <c r="X10" s="585"/>
      <c r="Y10" s="579"/>
      <c r="Z10" s="579"/>
    </row>
    <row r="11" spans="1:50" ht="19.5" customHeight="1" thickBot="1">
      <c r="A11" s="115">
        <v>2</v>
      </c>
      <c r="B11" s="115">
        <v>1</v>
      </c>
      <c r="D11" s="361" t="s">
        <v>854</v>
      </c>
      <c r="E11" s="1901" t="str">
        <f>VLOOKUP(L1,ProHeader!C9:O175,4,FALSE) &amp;" - Address \ " &amp;  VLOOKUP(L1,ProHeader!C9:O175,5,FALSE) &amp;" \ Polt No \ " &amp; VLOOKUP(L1,ProHeader!C9:O175,6,FALSE)</f>
        <v>Private Villa (  G + 2 )  - Address \ Awir 1st - Dubai \ Polt No \ 7116001</v>
      </c>
      <c r="F11" s="1901"/>
      <c r="G11" s="1901"/>
      <c r="H11" s="1901"/>
      <c r="I11" s="1901"/>
      <c r="J11" s="1901"/>
      <c r="K11" s="580"/>
      <c r="L11" s="581"/>
      <c r="M11" s="580"/>
      <c r="N11" s="580"/>
      <c r="O11" s="580"/>
      <c r="P11" s="578"/>
      <c r="Q11" s="578"/>
      <c r="R11" s="578"/>
      <c r="S11" s="578"/>
      <c r="T11" s="578"/>
      <c r="U11" s="579"/>
      <c r="V11" s="579"/>
      <c r="W11" s="579"/>
      <c r="X11" s="585"/>
      <c r="Y11" s="579"/>
      <c r="Z11" s="579"/>
    </row>
    <row r="12" spans="1:50" s="87" customFormat="1" ht="21.75" hidden="1" customHeight="1" thickBot="1">
      <c r="A12" s="115"/>
      <c r="B12" s="115">
        <v>1</v>
      </c>
      <c r="C12" s="211"/>
      <c r="D12" s="1902" t="s">
        <v>220</v>
      </c>
      <c r="E12" s="1903"/>
      <c r="F12" s="1903"/>
      <c r="G12" s="1903"/>
      <c r="H12" s="1903"/>
      <c r="I12" s="1903"/>
      <c r="J12" s="359">
        <f>VLOOKUP(L1,ProHeader!C9:O175,10,FALSE)</f>
        <v>155000</v>
      </c>
      <c r="K12" s="204"/>
      <c r="L12" s="205"/>
      <c r="M12" s="204"/>
      <c r="N12" s="204"/>
      <c r="O12" s="204"/>
      <c r="P12" s="205"/>
      <c r="Q12" s="205"/>
      <c r="R12" s="205"/>
      <c r="S12" s="205"/>
      <c r="T12" s="205"/>
    </row>
    <row r="13" spans="1:50" s="88" customFormat="1" ht="22.5" hidden="1" customHeight="1">
      <c r="A13" s="115"/>
      <c r="B13" s="115">
        <v>1</v>
      </c>
      <c r="C13" s="212"/>
      <c r="D13" s="213" t="s">
        <v>830</v>
      </c>
      <c r="E13" s="214" t="s">
        <v>14</v>
      </c>
      <c r="F13" s="215" t="s">
        <v>240</v>
      </c>
      <c r="G13" s="216" t="s">
        <v>222</v>
      </c>
      <c r="H13" s="217" t="s">
        <v>241</v>
      </c>
      <c r="I13" s="217" t="s">
        <v>240</v>
      </c>
      <c r="J13" s="218" t="s">
        <v>222</v>
      </c>
      <c r="L13" s="87"/>
    </row>
    <row r="14" spans="1:50" s="88" customFormat="1" ht="24" hidden="1" customHeight="1">
      <c r="A14" s="115"/>
      <c r="B14" s="115">
        <v>1</v>
      </c>
      <c r="C14" s="212"/>
      <c r="D14" s="219">
        <v>1</v>
      </c>
      <c r="E14" s="220" t="s">
        <v>242</v>
      </c>
      <c r="F14" s="221">
        <v>0.25</v>
      </c>
      <c r="G14" s="222">
        <f>J12*F14</f>
        <v>38750</v>
      </c>
      <c r="H14" s="220" t="s">
        <v>243</v>
      </c>
      <c r="I14" s="221">
        <v>1</v>
      </c>
      <c r="J14" s="223">
        <f>I14*G14</f>
        <v>38750</v>
      </c>
      <c r="L14" s="87"/>
    </row>
    <row r="15" spans="1:50" s="88" customFormat="1" ht="24" hidden="1" customHeight="1">
      <c r="A15" s="115"/>
      <c r="B15" s="115">
        <v>1</v>
      </c>
      <c r="C15" s="212"/>
      <c r="D15" s="224">
        <v>2</v>
      </c>
      <c r="E15" s="225" t="s">
        <v>244</v>
      </c>
      <c r="F15" s="226">
        <v>0.3</v>
      </c>
      <c r="G15" s="227">
        <f>J12*F15</f>
        <v>46500</v>
      </c>
      <c r="H15" s="220" t="s">
        <v>831</v>
      </c>
      <c r="I15" s="221">
        <v>1</v>
      </c>
      <c r="J15" s="223">
        <f>I15*G15</f>
        <v>46500</v>
      </c>
      <c r="L15" s="87"/>
    </row>
    <row r="16" spans="1:50" s="88" customFormat="1" ht="24" hidden="1" customHeight="1">
      <c r="A16" s="115"/>
      <c r="B16" s="115">
        <v>1</v>
      </c>
      <c r="C16" s="212"/>
      <c r="D16" s="224">
        <v>3</v>
      </c>
      <c r="E16" s="225" t="s">
        <v>245</v>
      </c>
      <c r="F16" s="226">
        <v>0.35</v>
      </c>
      <c r="G16" s="227">
        <f>F16*J12</f>
        <v>54250</v>
      </c>
      <c r="H16" s="220" t="s">
        <v>831</v>
      </c>
      <c r="I16" s="221">
        <v>1</v>
      </c>
      <c r="J16" s="223">
        <f>I16*G16</f>
        <v>54250</v>
      </c>
      <c r="L16" s="87"/>
      <c r="M16" s="96"/>
    </row>
    <row r="17" spans="1:26" s="88" customFormat="1" ht="24" hidden="1" customHeight="1">
      <c r="A17" s="115"/>
      <c r="B17" s="115">
        <v>1</v>
      </c>
      <c r="C17" s="212"/>
      <c r="D17" s="219">
        <v>4</v>
      </c>
      <c r="E17" s="220" t="s">
        <v>246</v>
      </c>
      <c r="F17" s="221">
        <v>7.0000000000000007E-2</v>
      </c>
      <c r="G17" s="222">
        <f>J12*F17</f>
        <v>10850.000000000002</v>
      </c>
      <c r="H17" s="220" t="s">
        <v>243</v>
      </c>
      <c r="I17" s="221">
        <v>0.8</v>
      </c>
      <c r="J17" s="223">
        <f>G17*I17</f>
        <v>8680.0000000000018</v>
      </c>
      <c r="L17" s="87"/>
      <c r="M17" s="96"/>
    </row>
    <row r="18" spans="1:26" s="88" customFormat="1" ht="24" hidden="1" customHeight="1" thickBot="1">
      <c r="A18" s="115"/>
      <c r="B18" s="115">
        <v>1</v>
      </c>
      <c r="C18" s="212"/>
      <c r="D18" s="224">
        <v>5</v>
      </c>
      <c r="E18" s="225" t="s">
        <v>855</v>
      </c>
      <c r="F18" s="226">
        <v>0.03</v>
      </c>
      <c r="G18" s="227">
        <f>J12*F18</f>
        <v>4650</v>
      </c>
      <c r="H18" s="225" t="s">
        <v>243</v>
      </c>
      <c r="I18" s="221">
        <v>0</v>
      </c>
      <c r="J18" s="228">
        <f>G18*I18</f>
        <v>0</v>
      </c>
      <c r="L18" s="87"/>
    </row>
    <row r="19" spans="1:26" s="88" customFormat="1" ht="24" hidden="1" customHeight="1" thickBot="1">
      <c r="A19" s="115"/>
      <c r="B19" s="115">
        <v>1</v>
      </c>
      <c r="C19" s="212"/>
      <c r="D19" s="1899" t="s">
        <v>247</v>
      </c>
      <c r="E19" s="1900"/>
      <c r="F19" s="229">
        <f>SUM(F14:F18)</f>
        <v>1</v>
      </c>
      <c r="G19" s="230">
        <f>SUM(G14:G18)</f>
        <v>155000</v>
      </c>
      <c r="H19" s="231"/>
      <c r="I19" s="229"/>
      <c r="J19" s="232">
        <f>IFERROR(SUM(J14:J18),0)</f>
        <v>148180</v>
      </c>
      <c r="L19" s="87"/>
    </row>
    <row r="20" spans="1:26" s="102" customFormat="1" hidden="1">
      <c r="A20" s="115"/>
      <c r="B20" s="115">
        <v>1</v>
      </c>
      <c r="C20" s="233"/>
      <c r="D20" s="234"/>
      <c r="E20" s="235" t="s">
        <v>864</v>
      </c>
      <c r="F20" s="236"/>
      <c r="G20" s="237"/>
      <c r="H20" s="238"/>
      <c r="I20" s="237"/>
      <c r="J20" s="239"/>
      <c r="M20" s="103"/>
    </row>
    <row r="21" spans="1:26" s="102" customFormat="1" hidden="1">
      <c r="A21" s="115"/>
      <c r="B21" s="115">
        <v>1</v>
      </c>
      <c r="C21" s="233"/>
      <c r="D21" s="240"/>
      <c r="E21" s="1822" t="s">
        <v>856</v>
      </c>
      <c r="F21" s="1822"/>
      <c r="G21" s="1822"/>
      <c r="H21" s="241"/>
      <c r="I21" s="241">
        <f>IFERROR(VLOOKUP(L1,ProHeader!C9:Z175,22,FALSE),0)</f>
        <v>0.05</v>
      </c>
      <c r="J21" s="242">
        <f>I21*J19</f>
        <v>7409</v>
      </c>
      <c r="M21" s="103"/>
    </row>
    <row r="22" spans="1:26" s="102" customFormat="1" ht="27" hidden="1" customHeight="1">
      <c r="A22" s="115"/>
      <c r="B22" s="115">
        <v>1</v>
      </c>
      <c r="C22" s="233"/>
      <c r="D22" s="240"/>
      <c r="E22" s="307"/>
      <c r="F22" s="1919" t="s">
        <v>1326</v>
      </c>
      <c r="G22" s="1919"/>
      <c r="H22" s="1919"/>
      <c r="I22" s="241">
        <f>IFERROR(VLOOKUP(L1,ProHeader!C29:Z175,24,FALSE),0)</f>
        <v>0</v>
      </c>
      <c r="J22" s="242">
        <f>I22*J19</f>
        <v>0</v>
      </c>
      <c r="M22" s="103"/>
    </row>
    <row r="23" spans="1:26" s="102" customFormat="1" hidden="1">
      <c r="A23" s="115"/>
      <c r="B23" s="115">
        <v>1</v>
      </c>
      <c r="C23" s="233"/>
      <c r="D23" s="240"/>
      <c r="E23" s="1908" t="s">
        <v>857</v>
      </c>
      <c r="F23" s="1908"/>
      <c r="G23" s="1908"/>
      <c r="H23" s="241"/>
      <c r="I23" s="241">
        <f>IFERROR(VLOOKUP(L1,ProHeader!C9:Z175,23,FALSE),0)</f>
        <v>0.12</v>
      </c>
      <c r="J23" s="242">
        <f>I23*J19</f>
        <v>17781.599999999999</v>
      </c>
      <c r="M23" s="103"/>
    </row>
    <row r="24" spans="1:26" s="102" customFormat="1" ht="16.5" hidden="1" thickBot="1">
      <c r="A24" s="115"/>
      <c r="B24" s="115">
        <v>1</v>
      </c>
      <c r="C24" s="233"/>
      <c r="D24" s="243"/>
      <c r="E24" s="1909" t="s">
        <v>858</v>
      </c>
      <c r="F24" s="1909"/>
      <c r="G24" s="1909"/>
      <c r="H24" s="244"/>
      <c r="I24" s="245" t="s">
        <v>9</v>
      </c>
      <c r="J24" s="246">
        <v>50750</v>
      </c>
    </row>
    <row r="25" spans="1:26" s="102" customFormat="1" ht="20.25" hidden="1" customHeight="1" thickBot="1">
      <c r="A25" s="115"/>
      <c r="B25" s="115">
        <v>1</v>
      </c>
      <c r="C25" s="233"/>
      <c r="D25" s="247" t="s">
        <v>18</v>
      </c>
      <c r="E25" s="1910" t="str">
        <f>SpellNum_Dirham(J25)</f>
        <v>Seventy Two Thousand Two Hundred Thirty Nine Dirham and Forty  Fils</v>
      </c>
      <c r="F25" s="1911"/>
      <c r="G25" s="1911"/>
      <c r="H25" s="1911"/>
      <c r="I25" s="1912"/>
      <c r="J25" s="562">
        <f>J19-J21-J22-J23-J24</f>
        <v>72239.399999999994</v>
      </c>
      <c r="K25" s="105"/>
      <c r="L25" s="105"/>
      <c r="N25" s="105"/>
    </row>
    <row r="26" spans="1:26" s="102" customFormat="1" ht="26.25" hidden="1" customHeight="1" thickBot="1">
      <c r="A26" s="115"/>
      <c r="B26" s="115"/>
      <c r="C26" s="233"/>
      <c r="D26" s="247" t="s">
        <v>966</v>
      </c>
      <c r="E26" s="1910" t="s">
        <v>5999</v>
      </c>
      <c r="F26" s="1911"/>
      <c r="G26" s="1911"/>
      <c r="H26" s="1911"/>
      <c r="I26" s="1912"/>
      <c r="J26" s="248">
        <v>0</v>
      </c>
      <c r="K26" s="105"/>
      <c r="L26" s="105"/>
    </row>
    <row r="27" spans="1:26" s="102" customFormat="1" ht="20.25" hidden="1" customHeight="1" thickBot="1">
      <c r="A27" s="115"/>
      <c r="B27" s="115">
        <v>1</v>
      </c>
      <c r="C27" s="233"/>
      <c r="D27" s="247" t="s">
        <v>19</v>
      </c>
      <c r="E27" s="1910" t="str">
        <f>SpellNum_Dirham(J27)</f>
        <v>Three Thousand Six Hundred Eleven Dirham and Ninety Seven Fils</v>
      </c>
      <c r="F27" s="1911"/>
      <c r="G27" s="1911"/>
      <c r="H27" s="1911"/>
      <c r="I27" s="1912"/>
      <c r="J27" s="249">
        <f>(J25+J26)*5%</f>
        <v>3611.97</v>
      </c>
      <c r="N27" s="105"/>
    </row>
    <row r="28" spans="1:26" s="102" customFormat="1" ht="20.25" hidden="1" customHeight="1" thickBot="1">
      <c r="A28" s="115"/>
      <c r="B28" s="115"/>
      <c r="C28" s="233"/>
      <c r="D28" s="247"/>
      <c r="E28" s="1910"/>
      <c r="F28" s="1911"/>
      <c r="G28" s="1911"/>
      <c r="H28" s="1911"/>
      <c r="I28" s="1912"/>
      <c r="J28" s="249">
        <v>0</v>
      </c>
      <c r="N28" s="105"/>
    </row>
    <row r="29" spans="1:26" s="102" customFormat="1" ht="20.25" hidden="1" customHeight="1" thickBot="1">
      <c r="A29" s="115"/>
      <c r="B29" s="115">
        <v>1</v>
      </c>
      <c r="C29" s="233"/>
      <c r="D29" s="247" t="s">
        <v>247</v>
      </c>
      <c r="E29" s="1910" t="str">
        <f>SpellNum_Dirham(J29)</f>
        <v>Seventy Five Thousand Eight Hundred Fifty One Dirham and Thirty Seven Fils</v>
      </c>
      <c r="F29" s="1911"/>
      <c r="G29" s="1911"/>
      <c r="H29" s="1911"/>
      <c r="I29" s="1912"/>
      <c r="J29" s="249">
        <f>SUM(J25:J28)</f>
        <v>75851.37</v>
      </c>
    </row>
    <row r="30" spans="1:26" ht="30" hidden="1" customHeight="1">
      <c r="D30" s="250"/>
      <c r="E30" s="251" t="s">
        <v>9</v>
      </c>
      <c r="X30" s="86"/>
    </row>
    <row r="31" spans="1:26" ht="40.5" customHeight="1">
      <c r="A31" s="116">
        <v>2</v>
      </c>
      <c r="B31" s="116"/>
      <c r="C31" s="253"/>
      <c r="D31" s="1832" t="s">
        <v>1623</v>
      </c>
      <c r="E31" s="1833"/>
      <c r="F31" s="1833"/>
      <c r="G31" s="1833"/>
      <c r="H31" s="1833"/>
      <c r="I31" s="1834"/>
      <c r="J31" s="113">
        <f>VLOOKUP(L1,ProHeader!C9:O175,10,FALSE)</f>
        <v>155000</v>
      </c>
      <c r="K31" s="579"/>
      <c r="L31" s="579"/>
      <c r="M31" s="579"/>
      <c r="N31" s="579"/>
      <c r="O31" s="579"/>
      <c r="P31" s="579"/>
      <c r="Q31" s="579"/>
      <c r="R31" s="579"/>
      <c r="S31" s="579"/>
      <c r="T31" s="579"/>
      <c r="U31" s="579"/>
      <c r="V31" s="579"/>
      <c r="W31" s="579"/>
      <c r="X31" s="585"/>
      <c r="Y31" s="579"/>
      <c r="Z31" s="579"/>
    </row>
    <row r="32" spans="1:26" ht="18.75" customHeight="1">
      <c r="A32" s="116">
        <v>2</v>
      </c>
      <c r="B32" s="116"/>
      <c r="C32" s="254"/>
      <c r="D32" s="362" t="s">
        <v>13</v>
      </c>
      <c r="E32" s="1913"/>
      <c r="F32" s="1914"/>
      <c r="G32" s="1914"/>
      <c r="H32" s="1914"/>
      <c r="I32" s="1915"/>
      <c r="J32" s="363"/>
      <c r="K32" s="579"/>
      <c r="L32" s="579"/>
      <c r="M32" s="579"/>
      <c r="N32" s="579"/>
      <c r="O32" s="579"/>
      <c r="P32" s="579"/>
      <c r="Q32" s="579"/>
      <c r="R32" s="579"/>
      <c r="S32" s="579"/>
      <c r="T32" s="579"/>
      <c r="U32" s="579"/>
      <c r="V32" s="579"/>
      <c r="W32" s="579"/>
      <c r="X32" s="585"/>
      <c r="Y32" s="579"/>
      <c r="Z32" s="579"/>
    </row>
    <row r="33" spans="1:26" ht="25.5" customHeight="1">
      <c r="A33" s="116">
        <v>2</v>
      </c>
      <c r="B33" s="116"/>
      <c r="D33" s="255">
        <v>1</v>
      </c>
      <c r="E33" s="1916" t="s">
        <v>5162</v>
      </c>
      <c r="F33" s="1917"/>
      <c r="G33" s="1917"/>
      <c r="H33" s="1917"/>
      <c r="I33" s="1918"/>
      <c r="J33" s="1148">
        <v>147250</v>
      </c>
      <c r="K33" s="579"/>
      <c r="L33" s="579"/>
      <c r="M33" s="579"/>
      <c r="N33" s="579"/>
      <c r="O33" s="579"/>
      <c r="P33" s="579"/>
      <c r="Q33" s="579"/>
      <c r="R33" s="579"/>
      <c r="S33" s="579"/>
      <c r="T33" s="579"/>
      <c r="U33" s="579"/>
      <c r="V33" s="579"/>
      <c r="W33" s="579"/>
      <c r="X33" s="585"/>
      <c r="Y33" s="579"/>
      <c r="Z33" s="579"/>
    </row>
    <row r="34" spans="1:26" ht="31.5" customHeight="1" thickBot="1">
      <c r="A34" s="116">
        <v>2</v>
      </c>
      <c r="B34" s="116"/>
      <c r="D34" s="255">
        <v>2</v>
      </c>
      <c r="E34" s="1905" t="s">
        <v>5161</v>
      </c>
      <c r="F34" s="1906"/>
      <c r="G34" s="1906"/>
      <c r="H34" s="1906"/>
      <c r="I34" s="1907"/>
      <c r="J34" s="1149">
        <v>10500</v>
      </c>
      <c r="K34" s="579"/>
      <c r="L34" s="579"/>
      <c r="M34" s="579"/>
      <c r="N34" s="579"/>
      <c r="O34" s="579"/>
      <c r="P34" s="579"/>
      <c r="Q34" s="579"/>
      <c r="R34" s="579"/>
      <c r="S34" s="579"/>
      <c r="T34" s="579"/>
      <c r="U34" s="579"/>
      <c r="V34" s="579"/>
      <c r="W34" s="579"/>
      <c r="X34" s="585"/>
      <c r="Y34" s="579"/>
      <c r="Z34" s="579"/>
    </row>
    <row r="35" spans="1:26" ht="20.25" customHeight="1" thickTop="1" thickBot="1">
      <c r="A35" s="116">
        <v>2</v>
      </c>
      <c r="B35" s="116"/>
      <c r="D35" s="1020">
        <v>3</v>
      </c>
      <c r="E35" s="1905" t="s">
        <v>5163</v>
      </c>
      <c r="F35" s="1906"/>
      <c r="G35" s="1906"/>
      <c r="H35" s="1906"/>
      <c r="I35" s="1907"/>
      <c r="J35" s="1149">
        <v>-141593</v>
      </c>
      <c r="K35" s="579"/>
      <c r="L35" s="579"/>
      <c r="M35" s="582"/>
      <c r="N35" s="579"/>
      <c r="O35" s="579"/>
      <c r="P35" s="579"/>
      <c r="Q35" s="579"/>
      <c r="R35" s="579"/>
      <c r="S35" s="579"/>
      <c r="T35" s="579"/>
      <c r="U35" s="579"/>
      <c r="V35" s="579"/>
      <c r="W35" s="579"/>
      <c r="X35" s="585"/>
      <c r="Y35" s="579"/>
      <c r="Z35" s="579"/>
    </row>
    <row r="36" spans="1:26" ht="23.25" customHeight="1" thickTop="1" thickBot="1">
      <c r="A36" s="116">
        <v>2</v>
      </c>
      <c r="B36" s="116"/>
      <c r="D36" s="1023">
        <v>4</v>
      </c>
      <c r="E36" s="1920"/>
      <c r="F36" s="1921"/>
      <c r="G36" s="1921"/>
      <c r="H36" s="1921"/>
      <c r="I36" s="1922"/>
      <c r="J36" s="1024"/>
      <c r="K36" s="579"/>
      <c r="L36" s="579"/>
      <c r="M36" s="579"/>
      <c r="N36" s="579"/>
      <c r="O36" s="579"/>
      <c r="P36" s="579"/>
      <c r="Q36" s="579"/>
      <c r="R36" s="579"/>
      <c r="S36" s="579"/>
      <c r="T36" s="579"/>
      <c r="U36" s="579"/>
      <c r="V36" s="579"/>
      <c r="W36" s="579"/>
      <c r="X36" s="585"/>
      <c r="Y36" s="579"/>
      <c r="Z36" s="579"/>
    </row>
    <row r="37" spans="1:26" ht="18.75" customHeight="1" thickTop="1" thickBot="1">
      <c r="A37" s="116">
        <v>2</v>
      </c>
      <c r="B37" s="116"/>
      <c r="D37" s="1021">
        <v>5</v>
      </c>
      <c r="E37" s="1923"/>
      <c r="F37" s="1924"/>
      <c r="G37" s="1924"/>
      <c r="H37" s="1924"/>
      <c r="I37" s="1925"/>
      <c r="J37" s="1022"/>
      <c r="K37" s="579"/>
      <c r="L37" s="579"/>
      <c r="M37" s="579"/>
      <c r="N37" s="579"/>
      <c r="O37" s="579"/>
      <c r="P37" s="579"/>
      <c r="Q37" s="579"/>
      <c r="R37" s="579"/>
      <c r="S37" s="579"/>
      <c r="T37" s="579"/>
      <c r="U37" s="579"/>
      <c r="V37" s="579"/>
      <c r="W37" s="579"/>
      <c r="X37" s="585"/>
      <c r="Y37" s="579"/>
      <c r="Z37" s="579"/>
    </row>
    <row r="38" spans="1:26" ht="21.75" customHeight="1" thickBot="1">
      <c r="A38" s="116">
        <v>2</v>
      </c>
      <c r="B38" s="116"/>
      <c r="D38" s="247" t="s">
        <v>18</v>
      </c>
      <c r="E38" s="1926" t="str">
        <f>SpellNum_Dirham(J38)</f>
        <v>Sixteen Thousand One Hundred Fifty Seven Dirham and No Fils</v>
      </c>
      <c r="F38" s="1927"/>
      <c r="G38" s="1927"/>
      <c r="H38" s="1927"/>
      <c r="I38" s="1928"/>
      <c r="J38" s="256">
        <f>SUM(J33:J37)</f>
        <v>16157</v>
      </c>
      <c r="K38" s="579"/>
      <c r="L38" s="579"/>
      <c r="M38" s="579"/>
      <c r="N38" s="579"/>
      <c r="O38" s="579"/>
      <c r="P38" s="579"/>
      <c r="Q38" s="579"/>
      <c r="R38" s="579"/>
      <c r="S38" s="579"/>
      <c r="T38" s="579"/>
      <c r="U38" s="579"/>
      <c r="V38" s="579"/>
      <c r="W38" s="579"/>
      <c r="X38" s="585"/>
      <c r="Y38" s="579"/>
      <c r="Z38" s="579"/>
    </row>
    <row r="39" spans="1:26" ht="22.5" customHeight="1" thickBot="1">
      <c r="A39" s="116">
        <v>2</v>
      </c>
      <c r="B39" s="116"/>
      <c r="D39" s="247" t="s">
        <v>7</v>
      </c>
      <c r="E39" s="1926" t="str">
        <f>SpellNum_Dirham(J39)</f>
        <v>Eight Hundred Seven Dirham and Eighty Five Fils</v>
      </c>
      <c r="F39" s="1927"/>
      <c r="G39" s="1927"/>
      <c r="H39" s="1927"/>
      <c r="I39" s="1928"/>
      <c r="J39" s="256">
        <f>0.05*J38</f>
        <v>807.85</v>
      </c>
      <c r="K39" s="579"/>
      <c r="L39" s="579"/>
      <c r="M39" s="579"/>
      <c r="N39" s="579"/>
      <c r="O39" s="579"/>
      <c r="P39" s="579"/>
      <c r="Q39" s="579"/>
      <c r="R39" s="579"/>
      <c r="S39" s="579"/>
      <c r="T39" s="579"/>
      <c r="U39" s="579"/>
      <c r="V39" s="579"/>
      <c r="W39" s="579"/>
      <c r="X39" s="585"/>
      <c r="Y39" s="579"/>
      <c r="Z39" s="579"/>
    </row>
    <row r="40" spans="1:26" ht="22.5" hidden="1" customHeight="1" thickBot="1">
      <c r="A40" s="116">
        <v>2</v>
      </c>
      <c r="B40" s="116"/>
      <c r="D40" s="247" t="s">
        <v>1134</v>
      </c>
      <c r="E40" s="1932"/>
      <c r="F40" s="1933"/>
      <c r="G40" s="1933"/>
      <c r="H40" s="1933"/>
      <c r="I40" s="1934"/>
      <c r="J40" s="256"/>
      <c r="K40" s="579"/>
      <c r="L40" s="579"/>
      <c r="M40" s="579"/>
      <c r="N40" s="579"/>
      <c r="O40" s="579"/>
      <c r="P40" s="579"/>
      <c r="Q40" s="579"/>
      <c r="R40" s="579"/>
      <c r="S40" s="579"/>
      <c r="T40" s="579"/>
      <c r="U40" s="579"/>
      <c r="V40" s="579"/>
      <c r="W40" s="579"/>
      <c r="X40" s="585"/>
      <c r="Y40" s="579"/>
      <c r="Z40" s="579"/>
    </row>
    <row r="41" spans="1:26" ht="30" customHeight="1" thickBot="1">
      <c r="A41" s="116">
        <v>2</v>
      </c>
      <c r="B41" s="116"/>
      <c r="D41" s="247" t="s">
        <v>20</v>
      </c>
      <c r="E41" s="1929" t="str">
        <f>SpellNum_Dirham(J41)</f>
        <v>Sixteen Thousand Nine Hundred Sixty Four Dirham and Eighty Five Fils</v>
      </c>
      <c r="F41" s="1930"/>
      <c r="G41" s="1930"/>
      <c r="H41" s="1930"/>
      <c r="I41" s="1931"/>
      <c r="J41" s="257">
        <f>J39+J38+J40</f>
        <v>16964.849999999999</v>
      </c>
      <c r="K41" s="579"/>
      <c r="L41" s="579"/>
      <c r="M41" s="579"/>
      <c r="N41" s="579"/>
      <c r="O41" s="579"/>
      <c r="P41" s="579"/>
      <c r="Q41" s="579"/>
      <c r="R41" s="579"/>
      <c r="S41" s="579"/>
      <c r="T41" s="579"/>
      <c r="U41" s="579"/>
      <c r="V41" s="579"/>
      <c r="W41" s="579"/>
      <c r="X41" s="585"/>
      <c r="Y41" s="579"/>
      <c r="Z41" s="579"/>
    </row>
    <row r="42" spans="1:26" ht="18" customHeight="1">
      <c r="A42" s="116">
        <v>2</v>
      </c>
      <c r="B42" s="116"/>
      <c r="D42" s="258"/>
      <c r="E42" s="259"/>
      <c r="F42" s="259"/>
      <c r="G42" s="259"/>
      <c r="H42" s="259"/>
      <c r="I42" s="259"/>
      <c r="J42" s="260"/>
      <c r="K42" s="579"/>
      <c r="L42" s="579"/>
      <c r="M42" s="579"/>
      <c r="N42" s="579"/>
      <c r="O42" s="579"/>
      <c r="P42" s="579"/>
      <c r="Q42" s="579"/>
      <c r="R42" s="579"/>
      <c r="S42" s="579"/>
      <c r="T42" s="579"/>
      <c r="U42" s="579"/>
      <c r="V42" s="579"/>
      <c r="W42" s="579"/>
      <c r="X42" s="585"/>
      <c r="Y42" s="579"/>
      <c r="Z42" s="579"/>
    </row>
    <row r="43" spans="1:26" ht="15.75" customHeight="1">
      <c r="A43" s="115">
        <v>2</v>
      </c>
      <c r="B43" s="115">
        <v>1</v>
      </c>
      <c r="D43" s="258"/>
      <c r="E43" s="259"/>
      <c r="F43" s="259"/>
      <c r="G43" s="259"/>
      <c r="H43" s="259"/>
      <c r="I43" s="259"/>
      <c r="J43" s="260"/>
      <c r="K43" s="579"/>
      <c r="L43" s="579"/>
      <c r="M43" s="579"/>
      <c r="N43" s="1649">
        <f>+J19-J21-J23</f>
        <v>122989.4</v>
      </c>
      <c r="O43" s="579"/>
      <c r="P43" s="579"/>
      <c r="Q43" s="579"/>
      <c r="R43" s="579"/>
      <c r="S43" s="579"/>
      <c r="T43" s="579"/>
      <c r="U43" s="579"/>
      <c r="V43" s="579"/>
      <c r="W43" s="579"/>
      <c r="X43" s="585"/>
      <c r="Y43" s="579"/>
      <c r="Z43" s="579"/>
    </row>
    <row r="44" spans="1:26">
      <c r="A44" s="115">
        <v>2</v>
      </c>
      <c r="B44" s="115">
        <v>1</v>
      </c>
      <c r="D44" s="1838" t="s">
        <v>21</v>
      </c>
      <c r="E44" s="1838"/>
      <c r="F44" s="261"/>
      <c r="I44" s="262"/>
      <c r="K44" s="579"/>
      <c r="L44" s="579"/>
      <c r="M44" s="579"/>
      <c r="N44" s="579"/>
      <c r="O44" s="579"/>
      <c r="P44" s="579"/>
      <c r="Q44" s="579"/>
      <c r="R44" s="579"/>
      <c r="S44" s="579"/>
      <c r="T44" s="579"/>
      <c r="U44" s="579"/>
      <c r="V44" s="579"/>
      <c r="W44" s="579"/>
      <c r="X44" s="585"/>
      <c r="Y44" s="579"/>
      <c r="Z44" s="579"/>
    </row>
    <row r="45" spans="1:26">
      <c r="A45" s="115">
        <v>2</v>
      </c>
      <c r="D45" s="263"/>
      <c r="E45" s="263"/>
      <c r="F45" s="261"/>
      <c r="I45" s="262"/>
      <c r="K45" s="579"/>
      <c r="L45" s="579"/>
      <c r="M45" s="579"/>
      <c r="N45" s="579"/>
      <c r="O45" s="579"/>
      <c r="P45" s="579"/>
      <c r="Q45" s="579"/>
      <c r="R45" s="579"/>
      <c r="S45" s="579"/>
      <c r="T45" s="579"/>
      <c r="U45" s="579"/>
      <c r="V45" s="579"/>
      <c r="W45" s="579"/>
      <c r="X45" s="585"/>
      <c r="Y45" s="579"/>
      <c r="Z45" s="579"/>
    </row>
    <row r="46" spans="1:26">
      <c r="A46" s="115">
        <v>2</v>
      </c>
      <c r="B46" s="115">
        <v>1</v>
      </c>
      <c r="D46" s="23" t="s">
        <v>859</v>
      </c>
      <c r="F46" s="23"/>
      <c r="I46" s="262"/>
      <c r="K46" s="579"/>
      <c r="L46" s="579"/>
      <c r="M46" s="579"/>
      <c r="N46" s="579"/>
      <c r="O46" s="579"/>
      <c r="P46" s="579"/>
      <c r="Q46" s="579"/>
      <c r="R46" s="579"/>
      <c r="S46" s="579"/>
      <c r="T46" s="579"/>
      <c r="U46" s="579"/>
      <c r="V46" s="579"/>
      <c r="W46" s="579"/>
      <c r="X46" s="585"/>
      <c r="Y46" s="579"/>
      <c r="Z46" s="579"/>
    </row>
    <row r="47" spans="1:26">
      <c r="A47" s="115">
        <v>2</v>
      </c>
      <c r="B47" s="115">
        <v>1</v>
      </c>
      <c r="D47" s="250"/>
      <c r="E47" s="264"/>
      <c r="K47" s="579"/>
      <c r="L47" s="579"/>
      <c r="M47" s="579"/>
      <c r="N47" s="579"/>
      <c r="O47" s="579"/>
      <c r="P47" s="579"/>
      <c r="Q47" s="579"/>
      <c r="R47" s="579"/>
      <c r="S47" s="579"/>
      <c r="T47" s="579"/>
      <c r="U47" s="579"/>
      <c r="V47" s="579"/>
      <c r="W47" s="579"/>
      <c r="X47" s="585"/>
      <c r="Y47" s="579"/>
      <c r="Z47" s="579"/>
    </row>
    <row r="48" spans="1:26" ht="21" customHeight="1">
      <c r="A48" s="115">
        <v>2</v>
      </c>
      <c r="B48" s="115">
        <v>1</v>
      </c>
      <c r="D48" s="250"/>
      <c r="E48" s="264"/>
      <c r="K48" s="579"/>
      <c r="L48" s="579"/>
      <c r="M48" s="579"/>
      <c r="N48" s="579"/>
      <c r="O48" s="579"/>
      <c r="P48" s="579"/>
      <c r="Q48" s="579"/>
      <c r="R48" s="579"/>
      <c r="S48" s="579"/>
      <c r="T48" s="579"/>
      <c r="U48" s="579"/>
      <c r="V48" s="579"/>
      <c r="W48" s="579"/>
      <c r="X48" s="585"/>
      <c r="Y48" s="579"/>
      <c r="Z48" s="579"/>
    </row>
    <row r="49" spans="1:26" s="109" customFormat="1">
      <c r="A49" s="115">
        <v>2</v>
      </c>
      <c r="B49" s="115">
        <v>1</v>
      </c>
      <c r="C49" s="23"/>
      <c r="D49" s="250"/>
      <c r="E49" s="264"/>
      <c r="F49" s="252"/>
      <c r="G49" s="23"/>
      <c r="H49" s="23"/>
      <c r="I49" s="23"/>
      <c r="J49" s="23"/>
      <c r="K49" s="579"/>
      <c r="L49" s="579"/>
      <c r="M49" s="579"/>
      <c r="N49" s="583"/>
      <c r="O49" s="583"/>
      <c r="P49" s="583"/>
      <c r="Q49" s="583"/>
      <c r="R49" s="583"/>
      <c r="S49" s="583"/>
      <c r="T49" s="583"/>
      <c r="U49" s="583"/>
      <c r="V49" s="583"/>
      <c r="W49" s="583"/>
      <c r="X49" s="586"/>
      <c r="Y49" s="583"/>
      <c r="Z49" s="583"/>
    </row>
    <row r="50" spans="1:26" s="109" customFormat="1" ht="24" customHeight="1">
      <c r="A50" s="115">
        <v>2</v>
      </c>
      <c r="B50" s="115">
        <v>1</v>
      </c>
      <c r="C50" s="23"/>
      <c r="D50" s="250"/>
      <c r="E50" s="264"/>
      <c r="F50" s="252"/>
      <c r="G50" s="23"/>
      <c r="H50" s="23"/>
      <c r="I50" s="23"/>
      <c r="J50" s="23"/>
      <c r="K50" s="579"/>
      <c r="L50" s="579"/>
      <c r="M50" s="579"/>
      <c r="N50" s="583"/>
      <c r="O50" s="583"/>
      <c r="P50" s="583"/>
      <c r="Q50" s="583"/>
      <c r="R50" s="583"/>
      <c r="S50" s="583"/>
      <c r="T50" s="583"/>
      <c r="U50" s="583"/>
      <c r="V50" s="583"/>
      <c r="W50" s="583"/>
      <c r="X50" s="586"/>
      <c r="Y50" s="583"/>
      <c r="Z50" s="583"/>
    </row>
    <row r="51" spans="1:26" s="109" customFormat="1">
      <c r="A51" s="115">
        <v>2</v>
      </c>
      <c r="B51" s="115">
        <v>1</v>
      </c>
      <c r="C51" s="23"/>
      <c r="D51" s="250"/>
      <c r="E51" s="264"/>
      <c r="F51" s="252"/>
      <c r="G51" s="23"/>
      <c r="H51" s="23"/>
      <c r="I51" s="23"/>
      <c r="J51" s="23"/>
      <c r="K51" s="579"/>
      <c r="L51" s="579"/>
      <c r="M51" s="579"/>
      <c r="N51" s="583"/>
      <c r="O51" s="583"/>
      <c r="P51" s="583"/>
      <c r="Q51" s="583"/>
      <c r="R51" s="583"/>
      <c r="S51" s="583"/>
      <c r="T51" s="583"/>
      <c r="U51" s="583"/>
      <c r="V51" s="583"/>
      <c r="W51" s="583"/>
      <c r="X51" s="586"/>
      <c r="Y51" s="583"/>
      <c r="Z51" s="583"/>
    </row>
    <row r="52" spans="1:26" s="109" customFormat="1">
      <c r="A52" s="115">
        <v>2</v>
      </c>
      <c r="B52" s="115">
        <v>1</v>
      </c>
      <c r="C52" s="23"/>
      <c r="D52" s="250"/>
      <c r="E52" s="264"/>
      <c r="F52" s="252"/>
      <c r="G52" s="23"/>
      <c r="H52" s="23"/>
      <c r="I52" s="23"/>
      <c r="J52" s="23"/>
      <c r="K52" s="86"/>
      <c r="L52" s="86"/>
      <c r="M52" s="86"/>
      <c r="X52" s="587"/>
    </row>
    <row r="53" spans="1:26" s="109" customFormat="1">
      <c r="A53" s="115">
        <v>2</v>
      </c>
      <c r="B53" s="115"/>
      <c r="C53" s="23"/>
      <c r="D53" s="250"/>
      <c r="E53" s="264"/>
      <c r="F53" s="252"/>
      <c r="G53" s="23"/>
      <c r="H53" s="23"/>
      <c r="I53" s="23"/>
      <c r="J53" s="23"/>
      <c r="K53" s="86"/>
      <c r="L53" s="86"/>
      <c r="M53" s="86"/>
      <c r="X53" s="587"/>
    </row>
    <row r="54" spans="1:26" s="109" customFormat="1">
      <c r="A54" s="115">
        <v>2</v>
      </c>
      <c r="B54" s="115">
        <v>1</v>
      </c>
      <c r="C54" s="23"/>
      <c r="D54" s="1839"/>
      <c r="E54" s="1839"/>
      <c r="F54" s="252"/>
      <c r="G54" s="23"/>
      <c r="H54" s="23"/>
      <c r="I54" s="23"/>
      <c r="J54" s="23"/>
      <c r="K54" s="86"/>
      <c r="L54" s="86"/>
      <c r="M54" s="86"/>
      <c r="X54" s="587"/>
    </row>
    <row r="55" spans="1:26" s="109" customFormat="1">
      <c r="A55" s="115">
        <v>2</v>
      </c>
      <c r="B55" s="115">
        <v>1</v>
      </c>
      <c r="C55" s="23"/>
      <c r="D55" s="1839" t="s">
        <v>860</v>
      </c>
      <c r="E55" s="1839"/>
      <c r="F55" s="252"/>
      <c r="G55" s="23"/>
      <c r="H55" s="23"/>
      <c r="I55" s="23"/>
      <c r="J55" s="23"/>
      <c r="K55" s="86"/>
      <c r="L55" s="86"/>
      <c r="M55" s="86"/>
      <c r="O55" s="621"/>
      <c r="X55" s="587"/>
    </row>
    <row r="56" spans="1:26" s="109" customFormat="1">
      <c r="A56" s="115">
        <v>2</v>
      </c>
      <c r="B56" s="115"/>
      <c r="C56" s="23"/>
      <c r="D56" s="265"/>
      <c r="E56" s="265"/>
      <c r="F56" s="252"/>
      <c r="G56" s="23"/>
      <c r="H56" s="23"/>
      <c r="I56" s="23"/>
      <c r="J56" s="23"/>
      <c r="K56" s="86"/>
      <c r="L56" s="86"/>
      <c r="M56" s="86"/>
      <c r="O56" s="621"/>
      <c r="X56" s="587"/>
    </row>
    <row r="57" spans="1:26" s="109" customFormat="1" ht="15.75" customHeight="1">
      <c r="A57" s="115">
        <v>2</v>
      </c>
      <c r="B57" s="115">
        <v>1</v>
      </c>
      <c r="C57" s="23"/>
      <c r="D57" s="1838" t="s">
        <v>9</v>
      </c>
      <c r="E57" s="1838"/>
      <c r="F57" s="252"/>
      <c r="G57" s="23"/>
      <c r="H57" s="23"/>
      <c r="I57" s="23"/>
      <c r="J57" s="23"/>
      <c r="K57" s="86"/>
      <c r="L57" s="86"/>
      <c r="M57" s="86"/>
      <c r="O57" s="621"/>
      <c r="X57" s="587"/>
    </row>
    <row r="58" spans="1:26" s="109" customFormat="1">
      <c r="A58" s="115">
        <v>2</v>
      </c>
      <c r="B58" s="115">
        <v>1</v>
      </c>
      <c r="C58" s="23"/>
      <c r="D58" s="266" t="s">
        <v>861</v>
      </c>
      <c r="E58" s="266"/>
      <c r="F58" s="267"/>
      <c r="G58" s="23"/>
      <c r="H58" s="23"/>
      <c r="I58" s="23"/>
      <c r="J58" s="23"/>
      <c r="K58" s="86"/>
      <c r="L58" s="86"/>
      <c r="M58" s="86"/>
      <c r="O58" s="621"/>
      <c r="X58" s="587"/>
    </row>
    <row r="59" spans="1:26" s="109" customFormat="1">
      <c r="A59" s="115">
        <v>2</v>
      </c>
      <c r="B59" s="115">
        <v>1</v>
      </c>
      <c r="C59" s="23"/>
      <c r="D59" s="266" t="s">
        <v>862</v>
      </c>
      <c r="E59" s="266"/>
      <c r="F59" s="267"/>
      <c r="G59" s="23"/>
      <c r="H59" s="23"/>
      <c r="I59" s="23"/>
      <c r="J59" s="23"/>
      <c r="K59" s="86"/>
      <c r="L59" s="86"/>
      <c r="M59" s="86"/>
      <c r="O59" s="621"/>
      <c r="X59" s="587"/>
    </row>
    <row r="60" spans="1:26" s="109" customFormat="1" ht="16.5" customHeight="1">
      <c r="A60" s="115">
        <v>2</v>
      </c>
      <c r="B60" s="115">
        <v>1</v>
      </c>
      <c r="C60" s="23"/>
      <c r="D60" s="1835" t="s">
        <v>863</v>
      </c>
      <c r="E60" s="1835"/>
      <c r="F60" s="1835"/>
      <c r="G60" s="23"/>
      <c r="H60" s="23"/>
      <c r="I60" s="23"/>
      <c r="J60" s="23"/>
      <c r="K60" s="86"/>
      <c r="L60" s="86"/>
      <c r="M60" s="86"/>
      <c r="N60" s="1450"/>
      <c r="O60" s="621"/>
      <c r="X60" s="587"/>
    </row>
    <row r="61" spans="1:26" s="109" customFormat="1" ht="16.5" customHeight="1">
      <c r="A61" s="115">
        <v>2</v>
      </c>
      <c r="B61" s="115">
        <v>1</v>
      </c>
      <c r="C61" s="23"/>
      <c r="D61" s="268"/>
      <c r="E61" s="268"/>
      <c r="F61" s="252"/>
      <c r="G61" s="23"/>
      <c r="H61" s="23"/>
      <c r="I61" s="23"/>
      <c r="J61" s="23"/>
      <c r="K61" s="86"/>
      <c r="L61" s="86"/>
      <c r="M61" s="86"/>
      <c r="O61" s="621"/>
      <c r="X61" s="587"/>
    </row>
    <row r="62" spans="1:26" s="109" customFormat="1" ht="9" customHeight="1">
      <c r="A62" s="115">
        <v>2</v>
      </c>
      <c r="B62" s="115">
        <v>1</v>
      </c>
      <c r="C62" s="23"/>
      <c r="D62" s="23"/>
      <c r="E62" s="23"/>
      <c r="F62" s="1451"/>
      <c r="G62" s="23"/>
      <c r="H62" s="23"/>
      <c r="I62" s="23"/>
      <c r="J62" s="23"/>
      <c r="K62" s="86"/>
      <c r="L62" s="86"/>
      <c r="M62" s="86"/>
      <c r="O62" s="621"/>
      <c r="X62" s="587"/>
    </row>
    <row r="63" spans="1:26">
      <c r="A63" s="115">
        <v>2</v>
      </c>
      <c r="B63" s="115">
        <v>1</v>
      </c>
      <c r="C63" s="883" t="s">
        <v>4809</v>
      </c>
      <c r="D63" s="883" t="s">
        <v>4809</v>
      </c>
      <c r="E63" s="883" t="s">
        <v>4809</v>
      </c>
      <c r="F63" s="883" t="s">
        <v>4809</v>
      </c>
      <c r="G63" s="883" t="s">
        <v>4809</v>
      </c>
      <c r="H63" s="883" t="s">
        <v>4809</v>
      </c>
      <c r="I63" s="883" t="s">
        <v>4809</v>
      </c>
      <c r="J63" s="883" t="s">
        <v>4809</v>
      </c>
      <c r="O63" s="621"/>
    </row>
    <row r="64" spans="1:26">
      <c r="O64" s="621"/>
    </row>
    <row r="65" spans="10:15">
      <c r="O65" s="621"/>
    </row>
    <row r="66" spans="10:15">
      <c r="O66" s="621"/>
    </row>
    <row r="67" spans="10:15">
      <c r="O67" s="621"/>
    </row>
    <row r="68" spans="10:15">
      <c r="O68" s="621"/>
    </row>
    <row r="69" spans="10:15">
      <c r="O69" s="621"/>
    </row>
    <row r="70" spans="10:15">
      <c r="O70" s="621"/>
    </row>
    <row r="74" spans="10:15">
      <c r="M74" s="621">
        <v>45536</v>
      </c>
    </row>
    <row r="75" spans="10:15">
      <c r="M75" s="621">
        <v>45537</v>
      </c>
    </row>
    <row r="76" spans="10:15">
      <c r="L76" s="584">
        <v>9</v>
      </c>
      <c r="M76" s="621">
        <v>45538</v>
      </c>
    </row>
    <row r="77" spans="10:15">
      <c r="L77" s="629">
        <v>10</v>
      </c>
      <c r="M77" s="621">
        <v>45539</v>
      </c>
    </row>
    <row r="78" spans="10:15">
      <c r="J78" s="298"/>
      <c r="K78" s="138"/>
      <c r="L78" s="623">
        <v>8.3000000000000007</v>
      </c>
      <c r="M78" s="622">
        <v>45540</v>
      </c>
    </row>
    <row r="79" spans="10:15">
      <c r="J79" s="627"/>
      <c r="K79" s="624"/>
      <c r="L79" s="625" t="s">
        <v>1500</v>
      </c>
      <c r="M79" s="626">
        <v>45541</v>
      </c>
    </row>
    <row r="80" spans="10:15">
      <c r="K80" s="138"/>
      <c r="L80" s="628">
        <v>10</v>
      </c>
      <c r="M80" s="622">
        <v>45542</v>
      </c>
    </row>
    <row r="81" spans="9:13">
      <c r="K81" s="138"/>
      <c r="L81" s="628">
        <v>9.4499999999999993</v>
      </c>
      <c r="M81" s="622">
        <v>45543</v>
      </c>
    </row>
    <row r="82" spans="9:13">
      <c r="K82" s="138"/>
      <c r="L82" s="623">
        <v>7.3</v>
      </c>
      <c r="M82" s="622">
        <v>45544</v>
      </c>
    </row>
    <row r="83" spans="9:13">
      <c r="K83" s="138"/>
      <c r="L83" s="623">
        <v>8.3000000000000007</v>
      </c>
      <c r="M83" s="622">
        <v>45545</v>
      </c>
    </row>
    <row r="84" spans="9:13">
      <c r="K84" s="138"/>
      <c r="L84" s="628">
        <v>10</v>
      </c>
      <c r="M84" s="622">
        <v>45546</v>
      </c>
    </row>
    <row r="85" spans="9:13">
      <c r="I85" s="627"/>
      <c r="J85" s="627"/>
      <c r="K85" s="624"/>
      <c r="L85" s="625">
        <v>8.3000000000000007</v>
      </c>
      <c r="M85" s="626">
        <v>45547</v>
      </c>
    </row>
    <row r="86" spans="9:13">
      <c r="L86" s="584" t="s">
        <v>1500</v>
      </c>
      <c r="M86" s="621">
        <v>45548</v>
      </c>
    </row>
    <row r="87" spans="9:13">
      <c r="L87" s="584">
        <v>9.1999999999999993</v>
      </c>
      <c r="M87" s="621">
        <v>45549</v>
      </c>
    </row>
    <row r="88" spans="9:13">
      <c r="L88" s="630">
        <v>10</v>
      </c>
      <c r="M88" s="621">
        <v>45550</v>
      </c>
    </row>
    <row r="89" spans="9:13">
      <c r="L89" s="629">
        <v>10.3</v>
      </c>
      <c r="M89" s="621">
        <v>45551</v>
      </c>
    </row>
    <row r="90" spans="9:13">
      <c r="L90" s="629">
        <v>10</v>
      </c>
      <c r="M90" s="621">
        <v>45552</v>
      </c>
    </row>
    <row r="91" spans="9:13">
      <c r="L91" s="584">
        <v>9.1999999999999993</v>
      </c>
      <c r="M91" s="621">
        <v>45553</v>
      </c>
    </row>
    <row r="92" spans="9:13">
      <c r="J92" s="627"/>
      <c r="K92" s="624"/>
      <c r="L92" s="625">
        <v>9.1999999999999993</v>
      </c>
      <c r="M92" s="626">
        <v>45554</v>
      </c>
    </row>
    <row r="93" spans="9:13">
      <c r="L93" s="584" t="s">
        <v>1500</v>
      </c>
      <c r="M93" s="621">
        <v>45555</v>
      </c>
    </row>
    <row r="94" spans="9:13">
      <c r="L94" s="584">
        <v>9.1999999999999993</v>
      </c>
      <c r="M94" s="621">
        <v>45556</v>
      </c>
    </row>
    <row r="95" spans="9:13">
      <c r="L95" s="629">
        <v>10.199999999999999</v>
      </c>
      <c r="M95" s="621">
        <v>45557</v>
      </c>
    </row>
    <row r="96" spans="9:13">
      <c r="L96" s="629">
        <v>10.3</v>
      </c>
      <c r="M96" s="621">
        <v>45558</v>
      </c>
    </row>
    <row r="97" spans="13:13">
      <c r="M97" s="621"/>
    </row>
  </sheetData>
  <autoFilter ref="A1:J63" xr:uid="{113244F1-61A5-48D4-A25C-8B44507300F6}">
    <filterColumn colId="0">
      <filters>
        <filter val="2"/>
      </filters>
    </filterColumn>
    <filterColumn colId="2" showButton="0"/>
    <filterColumn colId="3" showButton="0"/>
    <filterColumn colId="4" showButton="0"/>
  </autoFilter>
  <customSheetViews>
    <customSheetView guid="{CE7484BD-F9E2-4C03-AA0F-F7057FD8E6EF}" scale="85" showPageBreaks="1" printArea="1" filter="1" showAutoFilter="1" view="pageBreakPreview">
      <selection activeCell="O43" sqref="O43"/>
      <pageMargins left="0" right="0" top="0" bottom="0" header="0" footer="0"/>
      <pageSetup paperSize="9" orientation="portrait" horizontalDpi="4294967293" r:id="rId1"/>
      <autoFilter ref="A1:J62" xr:uid="{61CEF67D-FAF6-4AD7-9032-C077DF37B4E3}">
        <filterColumn colId="1">
          <filters>
            <filter val="1"/>
          </filters>
        </filterColumn>
        <filterColumn colId="2" showButton="0"/>
        <filterColumn colId="3" showButton="0"/>
        <filterColumn colId="4" showButton="0"/>
      </autoFilter>
    </customSheetView>
  </customSheetViews>
  <mergeCells count="30">
    <mergeCell ref="D54:E54"/>
    <mergeCell ref="D55:E55"/>
    <mergeCell ref="D57:E57"/>
    <mergeCell ref="D60:F60"/>
    <mergeCell ref="E36:I36"/>
    <mergeCell ref="E37:I37"/>
    <mergeCell ref="E38:I38"/>
    <mergeCell ref="E39:I39"/>
    <mergeCell ref="E41:I41"/>
    <mergeCell ref="D44:E44"/>
    <mergeCell ref="E40:I40"/>
    <mergeCell ref="E35:I35"/>
    <mergeCell ref="E21:G21"/>
    <mergeCell ref="E23:G23"/>
    <mergeCell ref="E24:G24"/>
    <mergeCell ref="E25:I25"/>
    <mergeCell ref="E26:I26"/>
    <mergeCell ref="E27:I27"/>
    <mergeCell ref="E29:I29"/>
    <mergeCell ref="D31:I31"/>
    <mergeCell ref="E32:I32"/>
    <mergeCell ref="E33:I33"/>
    <mergeCell ref="E34:I34"/>
    <mergeCell ref="F22:H22"/>
    <mergeCell ref="E28:I28"/>
    <mergeCell ref="D19:E19"/>
    <mergeCell ref="C1:F4"/>
    <mergeCell ref="E11:J11"/>
    <mergeCell ref="D12:I12"/>
    <mergeCell ref="D5:E5"/>
  </mergeCells>
  <pageMargins left="0" right="0" top="0" bottom="0" header="0" footer="0"/>
  <pageSetup paperSize="9" orientation="portrait" horizontalDpi="4294967293" r:id="rId2"/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233486" r:id="rId6" name="CommandButton7">
          <controlPr defaultSize="0" autoLine="0" r:id="rId7">
            <anchor moveWithCells="1">
              <from>
                <xdr:col>27</xdr:col>
                <xdr:colOff>285750</xdr:colOff>
                <xdr:row>7</xdr:row>
                <xdr:rowOff>9525</xdr:rowOff>
              </from>
              <to>
                <xdr:col>29</xdr:col>
                <xdr:colOff>476250</xdr:colOff>
                <xdr:row>8</xdr:row>
                <xdr:rowOff>47625</xdr:rowOff>
              </to>
            </anchor>
          </controlPr>
        </control>
      </mc:Choice>
      <mc:Fallback>
        <control shapeId="233486" r:id="rId6" name="CommandButton7"/>
      </mc:Fallback>
    </mc:AlternateContent>
    <mc:AlternateContent xmlns:mc="http://schemas.openxmlformats.org/markup-compatibility/2006">
      <mc:Choice Requires="x14">
        <control shapeId="233485" r:id="rId8" name="CommandButton6">
          <controlPr defaultSize="0" autoLine="0" r:id="rId9">
            <anchor moveWithCells="1">
              <from>
                <xdr:col>27</xdr:col>
                <xdr:colOff>266700</xdr:colOff>
                <xdr:row>4</xdr:row>
                <xdr:rowOff>171450</xdr:rowOff>
              </from>
              <to>
                <xdr:col>29</xdr:col>
                <xdr:colOff>457200</xdr:colOff>
                <xdr:row>7</xdr:row>
                <xdr:rowOff>0</xdr:rowOff>
              </to>
            </anchor>
          </controlPr>
        </control>
      </mc:Choice>
      <mc:Fallback>
        <control shapeId="233485" r:id="rId8" name="CommandButton6"/>
      </mc:Fallback>
    </mc:AlternateContent>
    <mc:AlternateContent xmlns:mc="http://schemas.openxmlformats.org/markup-compatibility/2006">
      <mc:Choice Requires="x14">
        <control shapeId="233483" r:id="rId10" name="ListBox2">
          <controlPr locked="0" defaultSize="0" print="0" autoLine="0" listFillRange="salesInv!AR8:AT160" r:id="rId11">
            <anchor moveWithCells="1">
              <from>
                <xdr:col>10</xdr:col>
                <xdr:colOff>152400</xdr:colOff>
                <xdr:row>1</xdr:row>
                <xdr:rowOff>114300</xdr:rowOff>
              </from>
              <to>
                <xdr:col>17</xdr:col>
                <xdr:colOff>542925</xdr:colOff>
                <xdr:row>44</xdr:row>
                <xdr:rowOff>66675</xdr:rowOff>
              </to>
            </anchor>
          </controlPr>
        </control>
      </mc:Choice>
      <mc:Fallback>
        <control shapeId="233483" r:id="rId10" name="ListBox2"/>
      </mc:Fallback>
    </mc:AlternateContent>
    <mc:AlternateContent xmlns:mc="http://schemas.openxmlformats.org/markup-compatibility/2006">
      <mc:Choice Requires="x14">
        <control shapeId="233481" r:id="rId12" name="ListBox1">
          <controlPr defaultSize="0" autoLine="0" autoPict="0" r:id="rId13">
            <anchor moveWithCells="1">
              <from>
                <xdr:col>18</xdr:col>
                <xdr:colOff>0</xdr:colOff>
                <xdr:row>1</xdr:row>
                <xdr:rowOff>114300</xdr:rowOff>
              </from>
              <to>
                <xdr:col>24</xdr:col>
                <xdr:colOff>447675</xdr:colOff>
                <xdr:row>44</xdr:row>
                <xdr:rowOff>66675</xdr:rowOff>
              </to>
            </anchor>
          </controlPr>
        </control>
      </mc:Choice>
      <mc:Fallback>
        <control shapeId="233481" r:id="rId12" name="ListBox1"/>
      </mc:Fallback>
    </mc:AlternateContent>
    <mc:AlternateContent xmlns:mc="http://schemas.openxmlformats.org/markup-compatibility/2006">
      <mc:Choice Requires="x14">
        <control shapeId="233477" r:id="rId14" name="CommandButton4">
          <controlPr defaultSize="0" autoLine="0" r:id="rId15">
            <anchor moveWithCells="1">
              <from>
                <xdr:col>27</xdr:col>
                <xdr:colOff>314325</xdr:colOff>
                <xdr:row>8</xdr:row>
                <xdr:rowOff>66675</xdr:rowOff>
              </from>
              <to>
                <xdr:col>29</xdr:col>
                <xdr:colOff>476250</xdr:colOff>
                <xdr:row>9</xdr:row>
                <xdr:rowOff>104775</xdr:rowOff>
              </to>
            </anchor>
          </controlPr>
        </control>
      </mc:Choice>
      <mc:Fallback>
        <control shapeId="233477" r:id="rId14" name="CommandButton4"/>
      </mc:Fallback>
    </mc:AlternateContent>
    <mc:AlternateContent xmlns:mc="http://schemas.openxmlformats.org/markup-compatibility/2006">
      <mc:Choice Requires="x14">
        <control shapeId="233475" r:id="rId16" name="CommandButton3">
          <controlPr defaultSize="0" autoLine="0" r:id="rId17">
            <anchor moveWithCells="1">
              <from>
                <xdr:col>27</xdr:col>
                <xdr:colOff>257175</xdr:colOff>
                <xdr:row>3</xdr:row>
                <xdr:rowOff>266700</xdr:rowOff>
              </from>
              <to>
                <xdr:col>29</xdr:col>
                <xdr:colOff>447675</xdr:colOff>
                <xdr:row>4</xdr:row>
                <xdr:rowOff>161925</xdr:rowOff>
              </to>
            </anchor>
          </controlPr>
        </control>
      </mc:Choice>
      <mc:Fallback>
        <control shapeId="233475" r:id="rId16" name="CommandButton3"/>
      </mc:Fallback>
    </mc:AlternateContent>
    <mc:AlternateContent xmlns:mc="http://schemas.openxmlformats.org/markup-compatibility/2006">
      <mc:Choice Requires="x14">
        <control shapeId="233487" r:id="rId18" name="CommandButton1">
          <controlPr defaultSize="0" autoLine="0" r:id="rId19">
            <anchor moveWithCells="1">
              <from>
                <xdr:col>11</xdr:col>
                <xdr:colOff>9525</xdr:colOff>
                <xdr:row>46</xdr:row>
                <xdr:rowOff>28575</xdr:rowOff>
              </from>
              <to>
                <xdr:col>12</xdr:col>
                <xdr:colOff>276225</xdr:colOff>
                <xdr:row>48</xdr:row>
                <xdr:rowOff>161925</xdr:rowOff>
              </to>
            </anchor>
          </controlPr>
        </control>
      </mc:Choice>
      <mc:Fallback>
        <control shapeId="233487" r:id="rId18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2026-7085-493F-B398-EA4E64FE7723}">
  <sheetPr codeName="Sheet38">
    <tabColor rgb="FFFFC000"/>
  </sheetPr>
  <dimension ref="A1:AW1098"/>
  <sheetViews>
    <sheetView zoomScaleNormal="100" workbookViewId="0">
      <pane ySplit="7" topLeftCell="A148" activePane="bottomLeft" state="frozen"/>
      <selection activeCell="A26" sqref="A26:B31"/>
      <selection pane="bottomLeft" activeCell="A159" sqref="A159"/>
    </sheetView>
  </sheetViews>
  <sheetFormatPr defaultRowHeight="15"/>
  <cols>
    <col min="1" max="1" width="4.28515625" customWidth="1"/>
    <col min="2" max="2" width="10.85546875" bestFit="1" customWidth="1"/>
    <col min="3" max="3" width="10.5703125" style="44" customWidth="1"/>
    <col min="4" max="4" width="4.7109375" style="409" customWidth="1"/>
    <col min="5" max="5" width="45.140625" customWidth="1"/>
    <col min="6" max="6" width="10.42578125" style="135" customWidth="1"/>
    <col min="7" max="7" width="7.5703125" style="135" customWidth="1"/>
    <col min="8" max="8" width="11" style="135" customWidth="1"/>
    <col min="9" max="9" width="15.42578125" style="135" customWidth="1"/>
    <col min="10" max="10" width="15.5703125" style="135" customWidth="1"/>
    <col min="11" max="11" width="10.140625" style="71" customWidth="1"/>
    <col min="12" max="12" width="11.5703125" style="71" customWidth="1"/>
    <col min="13" max="13" width="9" style="71" customWidth="1"/>
    <col min="14" max="14" width="5.85546875" style="136" customWidth="1"/>
    <col min="15" max="15" width="9.28515625" style="136" customWidth="1"/>
    <col min="16" max="16" width="10.85546875" style="136" customWidth="1"/>
    <col min="17" max="18" width="8" style="136" customWidth="1"/>
    <col min="19" max="19" width="10.5703125" style="282" customWidth="1"/>
    <col min="20" max="20" width="10.5703125" style="136" customWidth="1"/>
    <col min="21" max="21" width="8.5703125" style="282" customWidth="1"/>
    <col min="22" max="22" width="10.5703125" style="136" customWidth="1"/>
    <col min="23" max="23" width="8.5703125" style="282" customWidth="1"/>
    <col min="24" max="24" width="8" style="72" customWidth="1"/>
    <col min="25" max="25" width="8.5703125" style="283" customWidth="1"/>
    <col min="26" max="26" width="8" style="71" customWidth="1"/>
    <col min="27" max="27" width="8.5703125" style="283" customWidth="1"/>
    <col min="28" max="28" width="8" style="71" customWidth="1"/>
    <col min="29" max="29" width="8.5703125" style="283" customWidth="1"/>
    <col min="30" max="30" width="15.5703125" style="71" customWidth="1"/>
    <col min="31" max="31" width="8.5703125" style="283" customWidth="1"/>
    <col min="32" max="32" width="8" style="71" customWidth="1"/>
    <col min="33" max="34" width="8.5703125" style="283" customWidth="1"/>
    <col min="35" max="35" width="8" style="71" customWidth="1"/>
    <col min="36" max="36" width="8.5703125" style="283" customWidth="1"/>
    <col min="39" max="39" width="10.7109375" style="44" bestFit="1" customWidth="1"/>
    <col min="44" max="44" width="5.5703125" style="284" bestFit="1" customWidth="1"/>
    <col min="45" max="45" width="14" style="284" bestFit="1" customWidth="1"/>
    <col min="46" max="46" width="45.42578125" style="284" bestFit="1" customWidth="1"/>
  </cols>
  <sheetData>
    <row r="1" spans="1:48" ht="21" customHeight="1">
      <c r="A1" s="402" t="s">
        <v>1428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78"/>
      <c r="U1" s="78"/>
      <c r="V1" s="78"/>
      <c r="W1" s="78"/>
      <c r="X1" s="428" t="s">
        <v>1431</v>
      </c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</row>
    <row r="2" spans="1:48" ht="9.75" customHeight="1">
      <c r="A2" s="402"/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</row>
    <row r="3" spans="1:48">
      <c r="A3" s="374"/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</row>
    <row r="4" spans="1:48">
      <c r="A4" s="374"/>
      <c r="B4" s="374"/>
      <c r="C4" s="374"/>
      <c r="D4" s="374"/>
      <c r="E4" s="374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</row>
    <row r="5" spans="1:48">
      <c r="A5" s="374"/>
      <c r="B5" s="374"/>
      <c r="C5" s="374"/>
      <c r="D5" s="374"/>
      <c r="E5" s="374"/>
      <c r="F5" s="1537"/>
      <c r="G5" s="374"/>
      <c r="H5" s="1537"/>
      <c r="I5" s="374"/>
      <c r="J5" s="374"/>
      <c r="K5" s="374"/>
      <c r="L5" s="374"/>
      <c r="M5" s="374"/>
      <c r="N5" s="374"/>
      <c r="O5" s="374"/>
      <c r="P5" s="374"/>
      <c r="Q5" s="374"/>
      <c r="R5" s="374"/>
      <c r="S5" s="374"/>
      <c r="T5" s="78"/>
      <c r="V5" s="78"/>
      <c r="X5" s="300"/>
      <c r="Y5" s="282"/>
      <c r="Z5" s="78"/>
      <c r="AA5" s="282"/>
      <c r="AB5" s="78"/>
      <c r="AC5" s="282"/>
      <c r="AD5" s="78"/>
      <c r="AE5" s="282"/>
      <c r="AF5" s="78"/>
      <c r="AG5" s="282"/>
      <c r="AH5" s="282"/>
      <c r="AI5" s="78"/>
      <c r="AJ5" s="282"/>
    </row>
    <row r="6" spans="1:48" ht="15.75" thickBot="1">
      <c r="A6" s="374"/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78"/>
      <c r="V6" s="78"/>
      <c r="X6" s="300"/>
      <c r="Y6" s="282"/>
      <c r="Z6" s="78"/>
      <c r="AA6" s="282"/>
      <c r="AB6" s="78"/>
      <c r="AC6" s="282"/>
      <c r="AD6" s="78"/>
      <c r="AE6" s="282"/>
      <c r="AF6" s="78"/>
      <c r="AG6" s="282"/>
      <c r="AH6" s="282"/>
      <c r="AI6" s="78"/>
      <c r="AJ6" s="282"/>
    </row>
    <row r="7" spans="1:48" s="422" customFormat="1" ht="27.75" customHeight="1" thickBot="1">
      <c r="A7" s="410" t="s">
        <v>836</v>
      </c>
      <c r="B7" s="411" t="s">
        <v>962</v>
      </c>
      <c r="C7" s="412" t="s">
        <v>963</v>
      </c>
      <c r="D7" s="427" t="s">
        <v>28</v>
      </c>
      <c r="E7" s="413" t="s">
        <v>1429</v>
      </c>
      <c r="F7" s="414" t="s">
        <v>878</v>
      </c>
      <c r="G7" s="414" t="s">
        <v>7</v>
      </c>
      <c r="H7" s="414" t="s">
        <v>20</v>
      </c>
      <c r="I7" s="414" t="s">
        <v>880</v>
      </c>
      <c r="J7" s="415" t="s">
        <v>961</v>
      </c>
      <c r="K7" s="426" t="s">
        <v>1430</v>
      </c>
      <c r="L7" s="416" t="s">
        <v>223</v>
      </c>
      <c r="M7" s="416" t="s">
        <v>972</v>
      </c>
      <c r="N7" s="417" t="s">
        <v>967</v>
      </c>
      <c r="O7" s="417" t="s">
        <v>968</v>
      </c>
      <c r="P7" s="417" t="s">
        <v>969</v>
      </c>
      <c r="Q7" s="417" t="s">
        <v>970</v>
      </c>
      <c r="R7" s="417" t="s">
        <v>971</v>
      </c>
      <c r="S7" s="418" t="s">
        <v>1133</v>
      </c>
      <c r="T7" s="418" t="s">
        <v>1135</v>
      </c>
      <c r="U7" s="419" t="s">
        <v>1138</v>
      </c>
      <c r="V7" s="418" t="s">
        <v>1136</v>
      </c>
      <c r="W7" s="419" t="s">
        <v>1138</v>
      </c>
      <c r="X7" s="418" t="s">
        <v>1137</v>
      </c>
      <c r="Y7" s="420" t="s">
        <v>1138</v>
      </c>
      <c r="Z7" s="418" t="s">
        <v>1139</v>
      </c>
      <c r="AA7" s="420" t="s">
        <v>1138</v>
      </c>
      <c r="AB7" s="418" t="s">
        <v>1140</v>
      </c>
      <c r="AC7" s="420" t="s">
        <v>1138</v>
      </c>
      <c r="AD7" s="418" t="s">
        <v>1141</v>
      </c>
      <c r="AE7" s="420" t="s">
        <v>1138</v>
      </c>
      <c r="AF7" s="418" t="s">
        <v>1142</v>
      </c>
      <c r="AG7" s="420" t="s">
        <v>1138</v>
      </c>
      <c r="AH7" s="415" t="s">
        <v>878</v>
      </c>
      <c r="AI7" s="415" t="s">
        <v>7</v>
      </c>
      <c r="AJ7" s="421" t="s">
        <v>879</v>
      </c>
      <c r="AK7" s="521" t="s">
        <v>1508</v>
      </c>
      <c r="AL7" s="521" t="s">
        <v>1506</v>
      </c>
      <c r="AM7" s="559" t="s">
        <v>1507</v>
      </c>
      <c r="AP7" s="418" t="s">
        <v>4882</v>
      </c>
      <c r="AQ7" s="418" t="s">
        <v>222</v>
      </c>
      <c r="AR7" s="423"/>
      <c r="AS7" s="423"/>
      <c r="AT7" s="423"/>
    </row>
    <row r="8" spans="1:48">
      <c r="A8" s="396">
        <v>1</v>
      </c>
      <c r="B8" s="396" t="str">
        <f>"H/M/0"&amp;A8&amp;"/2024"</f>
        <v>H/M/01/2024</v>
      </c>
      <c r="C8" s="397"/>
      <c r="D8" s="405">
        <v>213</v>
      </c>
      <c r="E8" s="306" t="s">
        <v>881</v>
      </c>
      <c r="F8" s="380">
        <v>30000</v>
      </c>
      <c r="G8" s="381">
        <v>1500</v>
      </c>
      <c r="H8" s="286">
        <v>31500</v>
      </c>
      <c r="I8" s="380">
        <v>31500</v>
      </c>
      <c r="J8" s="382">
        <f>IF(I8&gt;0, H8-I8,"")</f>
        <v>0</v>
      </c>
      <c r="K8" s="383" t="s">
        <v>1112</v>
      </c>
      <c r="L8" s="383"/>
      <c r="M8" s="383"/>
      <c r="N8" s="384"/>
      <c r="O8" s="384"/>
      <c r="P8" s="384"/>
      <c r="Q8" s="384"/>
      <c r="R8" s="384"/>
      <c r="S8" s="385"/>
      <c r="T8" s="384"/>
      <c r="U8" s="385"/>
      <c r="V8" s="384"/>
      <c r="W8" s="385"/>
      <c r="X8" s="375"/>
      <c r="Y8" s="386"/>
      <c r="Z8" s="375"/>
      <c r="AA8" s="386"/>
      <c r="AB8" s="375"/>
      <c r="AC8" s="386"/>
      <c r="AD8" s="375"/>
      <c r="AE8" s="386"/>
      <c r="AF8" s="375"/>
      <c r="AG8" s="386"/>
      <c r="AH8" s="386"/>
      <c r="AI8" s="375"/>
      <c r="AJ8" s="386"/>
      <c r="AK8" s="73"/>
      <c r="AL8" s="522" t="str">
        <f>B8</f>
        <v>H/M/01/2024</v>
      </c>
      <c r="AM8" s="44" t="str">
        <f>IF(C8="","-",C8)</f>
        <v>-</v>
      </c>
      <c r="AQ8" s="588"/>
      <c r="AR8" s="284">
        <f>A8</f>
        <v>1</v>
      </c>
      <c r="AS8" s="284" t="str">
        <f>B8</f>
        <v>H/M/01/2024</v>
      </c>
      <c r="AT8" s="284" t="str">
        <f>E8</f>
        <v>MS – Moza Khalfan Suhail</v>
      </c>
      <c r="AU8">
        <f>VALUE(MID(AV8,9,3))</f>
        <v>1</v>
      </c>
      <c r="AV8" t="s">
        <v>1626</v>
      </c>
    </row>
    <row r="9" spans="1:48">
      <c r="A9" s="306">
        <v>2</v>
      </c>
      <c r="B9" s="396" t="str">
        <f t="shared" ref="B9:B16" si="0">"H/M/0"&amp;A9&amp;"/2024"</f>
        <v>H/M/02/2024</v>
      </c>
      <c r="C9" s="397"/>
      <c r="D9" s="405">
        <v>237</v>
      </c>
      <c r="E9" s="306" t="s">
        <v>882</v>
      </c>
      <c r="F9" s="380">
        <v>54375</v>
      </c>
      <c r="G9" s="381">
        <v>2718.75</v>
      </c>
      <c r="H9" s="286">
        <v>57093.75</v>
      </c>
      <c r="I9" s="380">
        <v>57003</v>
      </c>
      <c r="J9" s="382">
        <f t="shared" ref="J9:J72" si="1">IF(I9&gt;0, H9-I9,"")</f>
        <v>90.75</v>
      </c>
      <c r="K9" s="383" t="s">
        <v>1113</v>
      </c>
      <c r="L9" s="383"/>
      <c r="M9" s="383"/>
      <c r="N9" s="388"/>
      <c r="O9" s="388"/>
      <c r="P9" s="388"/>
      <c r="Q9" s="388"/>
      <c r="R9" s="388"/>
      <c r="S9" s="389"/>
      <c r="T9" s="388"/>
      <c r="U9" s="389"/>
      <c r="V9" s="388"/>
      <c r="W9" s="389"/>
      <c r="X9" s="376"/>
      <c r="Y9" s="390"/>
      <c r="Z9" s="376"/>
      <c r="AA9" s="390"/>
      <c r="AB9" s="376"/>
      <c r="AC9" s="390"/>
      <c r="AD9" s="376"/>
      <c r="AE9" s="390"/>
      <c r="AF9" s="376"/>
      <c r="AG9" s="390"/>
      <c r="AH9" s="390"/>
      <c r="AI9" s="376"/>
      <c r="AJ9" s="390"/>
      <c r="AL9" s="522" t="str">
        <f t="shared" ref="AL9:AL72" si="2">B9</f>
        <v>H/M/02/2024</v>
      </c>
      <c r="AM9" s="44" t="str">
        <f t="shared" ref="AM9:AM72" si="3">IF(C9="","-",C9)</f>
        <v>-</v>
      </c>
      <c r="AQ9" s="588"/>
      <c r="AR9" s="284">
        <f t="shared" ref="AR9:AR14" si="4">A9</f>
        <v>2</v>
      </c>
      <c r="AS9" s="284" t="str">
        <f t="shared" ref="AS9:AS72" si="5">B9</f>
        <v>H/M/02/2024</v>
      </c>
      <c r="AT9" s="284" t="str">
        <f t="shared" ref="AT9:AT72" si="6">E9</f>
        <v>MR – Hamad Abdullah AlSwedi</v>
      </c>
      <c r="AU9">
        <f>VALUE(MID(AV9,9,3))</f>
        <v>2</v>
      </c>
      <c r="AV9" t="s">
        <v>1629</v>
      </c>
    </row>
    <row r="10" spans="1:48">
      <c r="A10" s="306">
        <v>3</v>
      </c>
      <c r="B10" s="396" t="str">
        <f t="shared" si="0"/>
        <v>H/M/03/2024</v>
      </c>
      <c r="C10" s="397"/>
      <c r="D10" s="405">
        <v>216</v>
      </c>
      <c r="E10" s="306" t="s">
        <v>883</v>
      </c>
      <c r="F10" s="380">
        <v>60720</v>
      </c>
      <c r="G10" s="381">
        <v>3036</v>
      </c>
      <c r="H10" s="286">
        <v>63756</v>
      </c>
      <c r="I10" s="380">
        <v>63756</v>
      </c>
      <c r="J10" s="382">
        <f t="shared" si="1"/>
        <v>0</v>
      </c>
      <c r="K10" s="383"/>
      <c r="L10" s="383"/>
      <c r="M10" s="383"/>
      <c r="N10" s="388"/>
      <c r="O10" s="388"/>
      <c r="P10" s="388"/>
      <c r="Q10" s="388"/>
      <c r="R10" s="388"/>
      <c r="S10" s="389"/>
      <c r="T10" s="388"/>
      <c r="U10" s="389"/>
      <c r="V10" s="388"/>
      <c r="W10" s="389"/>
      <c r="X10" s="376"/>
      <c r="Y10" s="390"/>
      <c r="Z10" s="376"/>
      <c r="AA10" s="390"/>
      <c r="AB10" s="376"/>
      <c r="AC10" s="390"/>
      <c r="AD10" s="376"/>
      <c r="AE10" s="390"/>
      <c r="AF10" s="376"/>
      <c r="AG10" s="390"/>
      <c r="AH10" s="390"/>
      <c r="AI10" s="376"/>
      <c r="AJ10" s="390"/>
      <c r="AL10" s="522" t="str">
        <f t="shared" si="2"/>
        <v>H/M/03/2024</v>
      </c>
      <c r="AM10" s="44" t="str">
        <f t="shared" si="3"/>
        <v>-</v>
      </c>
      <c r="AQ10" s="588"/>
      <c r="AR10" s="284">
        <f t="shared" si="4"/>
        <v>3</v>
      </c>
      <c r="AS10" s="284" t="str">
        <f t="shared" si="5"/>
        <v>H/M/03/2024</v>
      </c>
      <c r="AT10" s="284" t="str">
        <f t="shared" si="6"/>
        <v>MR – Muhayer Saif Al Ketbi</v>
      </c>
      <c r="AU10">
        <f>VALUE(MID(AV10,9,3))</f>
        <v>3</v>
      </c>
      <c r="AV10" s="84" t="s">
        <v>1625</v>
      </c>
    </row>
    <row r="11" spans="1:48">
      <c r="A11" s="306">
        <v>4</v>
      </c>
      <c r="B11" s="396" t="str">
        <f t="shared" si="0"/>
        <v>H/M/04/2024</v>
      </c>
      <c r="C11" s="397"/>
      <c r="D11" s="405">
        <v>251</v>
      </c>
      <c r="E11" s="306" t="s">
        <v>884</v>
      </c>
      <c r="F11" s="380">
        <v>51000</v>
      </c>
      <c r="G11" s="380">
        <v>2550</v>
      </c>
      <c r="H11" s="286">
        <v>53550</v>
      </c>
      <c r="I11" s="380">
        <v>53550</v>
      </c>
      <c r="J11" s="382">
        <f t="shared" si="1"/>
        <v>0</v>
      </c>
      <c r="K11" s="383"/>
      <c r="L11" s="383"/>
      <c r="M11" s="383"/>
      <c r="N11" s="388"/>
      <c r="O11" s="388"/>
      <c r="P11" s="388"/>
      <c r="Q11" s="388"/>
      <c r="R11" s="388"/>
      <c r="S11" s="389"/>
      <c r="T11" s="388"/>
      <c r="U11" s="389"/>
      <c r="V11" s="388"/>
      <c r="W11" s="389"/>
      <c r="X11" s="376"/>
      <c r="Y11" s="390"/>
      <c r="Z11" s="376"/>
      <c r="AA11" s="390"/>
      <c r="AB11" s="376"/>
      <c r="AC11" s="390"/>
      <c r="AD11" s="376"/>
      <c r="AE11" s="390"/>
      <c r="AF11" s="376"/>
      <c r="AG11" s="390"/>
      <c r="AH11" s="390"/>
      <c r="AI11" s="376"/>
      <c r="AJ11" s="390"/>
      <c r="AL11" s="522" t="str">
        <f t="shared" si="2"/>
        <v>H/M/04/2024</v>
      </c>
      <c r="AM11" s="44" t="str">
        <f t="shared" si="3"/>
        <v>-</v>
      </c>
      <c r="AQ11" s="588"/>
      <c r="AR11" s="284">
        <f t="shared" si="4"/>
        <v>4</v>
      </c>
      <c r="AS11" s="284" t="str">
        <f t="shared" si="5"/>
        <v>H/M/04/2024</v>
      </c>
      <c r="AT11" s="284" t="str">
        <f t="shared" si="6"/>
        <v xml:space="preserve">MR – Rashed Salem Ahmad AlMadhaani </v>
      </c>
      <c r="AU11">
        <f>VALUE(MID(AV11,9,3))</f>
        <v>4</v>
      </c>
      <c r="AV11" t="s">
        <v>1686</v>
      </c>
    </row>
    <row r="12" spans="1:48">
      <c r="A12" s="306">
        <v>5</v>
      </c>
      <c r="B12" s="396" t="str">
        <f t="shared" si="0"/>
        <v>H/M/05/2024</v>
      </c>
      <c r="C12" s="397"/>
      <c r="D12" s="405">
        <v>245</v>
      </c>
      <c r="E12" s="306" t="s">
        <v>885</v>
      </c>
      <c r="F12" s="380">
        <v>60000</v>
      </c>
      <c r="G12" s="380">
        <v>3000</v>
      </c>
      <c r="H12" s="286">
        <v>63000</v>
      </c>
      <c r="I12" s="380">
        <v>63000</v>
      </c>
      <c r="J12" s="382">
        <f t="shared" si="1"/>
        <v>0</v>
      </c>
      <c r="K12" s="383"/>
      <c r="L12" s="383"/>
      <c r="M12" s="383"/>
      <c r="N12" s="388"/>
      <c r="O12" s="388"/>
      <c r="P12" s="388"/>
      <c r="Q12" s="388"/>
      <c r="R12" s="388"/>
      <c r="S12" s="389"/>
      <c r="T12" s="388"/>
      <c r="U12" s="389"/>
      <c r="V12" s="388"/>
      <c r="W12" s="389"/>
      <c r="X12" s="376"/>
      <c r="Y12" s="390"/>
      <c r="Z12" s="376"/>
      <c r="AA12" s="390"/>
      <c r="AB12" s="376"/>
      <c r="AC12" s="390"/>
      <c r="AD12" s="376"/>
      <c r="AE12" s="390"/>
      <c r="AF12" s="376"/>
      <c r="AG12" s="390"/>
      <c r="AH12" s="390"/>
      <c r="AI12" s="376"/>
      <c r="AJ12" s="390"/>
      <c r="AL12" s="522" t="str">
        <f t="shared" si="2"/>
        <v>H/M/05/2024</v>
      </c>
      <c r="AM12" s="44" t="str">
        <f t="shared" si="3"/>
        <v>-</v>
      </c>
      <c r="AQ12" s="588"/>
      <c r="AR12" s="284">
        <f t="shared" si="4"/>
        <v>5</v>
      </c>
      <c r="AS12" s="284" t="str">
        <f t="shared" si="5"/>
        <v>H/M/05/2024</v>
      </c>
      <c r="AT12" s="284" t="str">
        <f t="shared" si="6"/>
        <v>MR – Salem Abdullah Abdalkhaliq</v>
      </c>
      <c r="AU12">
        <f>VALUE(MID(AV12,9,3))</f>
        <v>5</v>
      </c>
      <c r="AV12" s="3" t="s">
        <v>1627</v>
      </c>
    </row>
    <row r="13" spans="1:48">
      <c r="A13" s="306">
        <v>6</v>
      </c>
      <c r="B13" s="396" t="str">
        <f t="shared" si="0"/>
        <v>H/M/06/2024</v>
      </c>
      <c r="C13" s="397"/>
      <c r="D13" s="405">
        <v>225</v>
      </c>
      <c r="E13" s="306" t="s">
        <v>886</v>
      </c>
      <c r="F13" s="380">
        <v>64092</v>
      </c>
      <c r="G13" s="381">
        <v>3204.6000000000004</v>
      </c>
      <c r="H13" s="286">
        <v>67296.600000000006</v>
      </c>
      <c r="I13" s="380">
        <v>67296.600000000006</v>
      </c>
      <c r="J13" s="382">
        <f t="shared" si="1"/>
        <v>0</v>
      </c>
      <c r="K13" s="383"/>
      <c r="L13" s="383"/>
      <c r="M13" s="383"/>
      <c r="N13" s="388"/>
      <c r="O13" s="388"/>
      <c r="P13" s="388"/>
      <c r="Q13" s="388"/>
      <c r="R13" s="388"/>
      <c r="S13" s="389"/>
      <c r="T13" s="388"/>
      <c r="U13" s="389"/>
      <c r="V13" s="388"/>
      <c r="W13" s="389"/>
      <c r="X13" s="376"/>
      <c r="Y13" s="390"/>
      <c r="Z13" s="376"/>
      <c r="AA13" s="390"/>
      <c r="AB13" s="376"/>
      <c r="AC13" s="390"/>
      <c r="AD13" s="376"/>
      <c r="AE13" s="390"/>
      <c r="AF13" s="376"/>
      <c r="AG13" s="390"/>
      <c r="AH13" s="390"/>
      <c r="AI13" s="376"/>
      <c r="AJ13" s="390"/>
      <c r="AL13" s="522" t="str">
        <f t="shared" si="2"/>
        <v>H/M/06/2024</v>
      </c>
      <c r="AM13" s="44" t="str">
        <f t="shared" si="3"/>
        <v>-</v>
      </c>
      <c r="AQ13" s="588"/>
      <c r="AR13" s="284">
        <f t="shared" si="4"/>
        <v>6</v>
      </c>
      <c r="AS13" s="284" t="str">
        <f t="shared" si="5"/>
        <v>H/M/06/2024</v>
      </c>
      <c r="AT13" s="284" t="str">
        <f t="shared" si="6"/>
        <v>MS – HESSA AHMED BOLSHI</v>
      </c>
      <c r="AU13">
        <v>6</v>
      </c>
      <c r="AV13" t="s">
        <v>1630</v>
      </c>
    </row>
    <row r="14" spans="1:48">
      <c r="A14" s="306">
        <v>7</v>
      </c>
      <c r="B14" s="396" t="str">
        <f t="shared" si="0"/>
        <v>H/M/07/2024</v>
      </c>
      <c r="C14" s="397"/>
      <c r="D14" s="405">
        <v>252</v>
      </c>
      <c r="E14" s="306" t="s">
        <v>887</v>
      </c>
      <c r="F14" s="380">
        <v>21500</v>
      </c>
      <c r="G14" s="381">
        <v>1075</v>
      </c>
      <c r="H14" s="286">
        <v>22575</v>
      </c>
      <c r="I14" s="380">
        <v>22575</v>
      </c>
      <c r="J14" s="382">
        <f t="shared" si="1"/>
        <v>0</v>
      </c>
      <c r="K14" s="383"/>
      <c r="L14" s="383"/>
      <c r="M14" s="383"/>
      <c r="N14" s="388"/>
      <c r="O14" s="388"/>
      <c r="P14" s="388"/>
      <c r="Q14" s="388"/>
      <c r="R14" s="388"/>
      <c r="S14" s="389"/>
      <c r="T14" s="388"/>
      <c r="U14" s="389"/>
      <c r="V14" s="388"/>
      <c r="W14" s="389"/>
      <c r="X14" s="376"/>
      <c r="Y14" s="390"/>
      <c r="Z14" s="376"/>
      <c r="AA14" s="390"/>
      <c r="AB14" s="376"/>
      <c r="AC14" s="390"/>
      <c r="AD14" s="376"/>
      <c r="AE14" s="390"/>
      <c r="AF14" s="376"/>
      <c r="AG14" s="390"/>
      <c r="AH14" s="390"/>
      <c r="AI14" s="376"/>
      <c r="AJ14" s="390"/>
      <c r="AL14" s="522" t="str">
        <f t="shared" si="2"/>
        <v>H/M/07/2024</v>
      </c>
      <c r="AM14" s="44" t="str">
        <f t="shared" si="3"/>
        <v>-</v>
      </c>
      <c r="AQ14" s="588"/>
      <c r="AR14" s="284">
        <f t="shared" si="4"/>
        <v>7</v>
      </c>
      <c r="AS14" s="284" t="str">
        <f t="shared" si="5"/>
        <v>H/M/07/2024</v>
      </c>
      <c r="AT14" s="284" t="str">
        <f t="shared" si="6"/>
        <v>MR – MOHAMED SAIF H.B.C</v>
      </c>
      <c r="AU14">
        <f t="shared" ref="AU14:AU20" si="7">VALUE(MID(AV14,9,3))</f>
        <v>7</v>
      </c>
      <c r="AV14" s="3" t="s">
        <v>1628</v>
      </c>
    </row>
    <row r="15" spans="1:48">
      <c r="A15" s="306">
        <v>8</v>
      </c>
      <c r="B15" s="396" t="str">
        <f t="shared" si="0"/>
        <v>H/M/08/2024</v>
      </c>
      <c r="C15" s="397"/>
      <c r="D15" s="405">
        <v>255</v>
      </c>
      <c r="E15" s="306" t="s">
        <v>888</v>
      </c>
      <c r="F15" s="380">
        <v>29000</v>
      </c>
      <c r="G15" s="381">
        <v>1450</v>
      </c>
      <c r="H15" s="286">
        <v>30450</v>
      </c>
      <c r="I15" s="380">
        <v>30450</v>
      </c>
      <c r="J15" s="382">
        <f t="shared" si="1"/>
        <v>0</v>
      </c>
      <c r="K15" s="383"/>
      <c r="L15" s="383"/>
      <c r="M15" s="383"/>
      <c r="N15" s="388"/>
      <c r="O15" s="388"/>
      <c r="P15" s="388"/>
      <c r="Q15" s="388"/>
      <c r="R15" s="388"/>
      <c r="S15" s="389"/>
      <c r="T15" s="388"/>
      <c r="U15" s="389"/>
      <c r="V15" s="388"/>
      <c r="W15" s="389"/>
      <c r="X15" s="376"/>
      <c r="Y15" s="390"/>
      <c r="Z15" s="376"/>
      <c r="AA15" s="390"/>
      <c r="AB15" s="376"/>
      <c r="AC15" s="390"/>
      <c r="AD15" s="376"/>
      <c r="AE15" s="390"/>
      <c r="AF15" s="376"/>
      <c r="AG15" s="390"/>
      <c r="AH15" s="390"/>
      <c r="AI15" s="376"/>
      <c r="AJ15" s="390"/>
      <c r="AL15" s="522" t="str">
        <f t="shared" si="2"/>
        <v>H/M/08/2024</v>
      </c>
      <c r="AM15" s="44" t="str">
        <f t="shared" si="3"/>
        <v>-</v>
      </c>
      <c r="AQ15" s="588"/>
      <c r="AR15" s="284">
        <f t="shared" ref="AR15:AR32" si="8">A15</f>
        <v>8</v>
      </c>
      <c r="AS15" s="284" t="str">
        <f t="shared" si="5"/>
        <v>H/M/08/2024</v>
      </c>
      <c r="AT15" s="284" t="str">
        <f t="shared" si="6"/>
        <v>MR - ESSA KHALIFA</v>
      </c>
      <c r="AU15">
        <f t="shared" si="7"/>
        <v>8</v>
      </c>
      <c r="AV15" t="s">
        <v>1631</v>
      </c>
    </row>
    <row r="16" spans="1:48">
      <c r="A16" s="306" t="s">
        <v>889</v>
      </c>
      <c r="B16" s="396" t="str">
        <f t="shared" si="0"/>
        <v>H/M/09R/2024</v>
      </c>
      <c r="C16" s="397"/>
      <c r="D16" s="405">
        <v>206</v>
      </c>
      <c r="E16" s="306" t="s">
        <v>890</v>
      </c>
      <c r="F16" s="380">
        <v>34768</v>
      </c>
      <c r="G16" s="380">
        <v>1738.4</v>
      </c>
      <c r="H16" s="286">
        <v>36506.400000000001</v>
      </c>
      <c r="I16" s="380">
        <v>36506.400000000001</v>
      </c>
      <c r="J16" s="382">
        <f t="shared" si="1"/>
        <v>0</v>
      </c>
      <c r="K16" s="383"/>
      <c r="L16" s="383"/>
      <c r="M16" s="383"/>
      <c r="N16" s="388"/>
      <c r="O16" s="388"/>
      <c r="P16" s="388"/>
      <c r="Q16" s="388"/>
      <c r="R16" s="388"/>
      <c r="S16" s="389"/>
      <c r="T16" s="388"/>
      <c r="U16" s="389"/>
      <c r="V16" s="388"/>
      <c r="W16" s="389"/>
      <c r="X16" s="376"/>
      <c r="Y16" s="390"/>
      <c r="Z16" s="376"/>
      <c r="AA16" s="390"/>
      <c r="AB16" s="376"/>
      <c r="AC16" s="390"/>
      <c r="AD16" s="376"/>
      <c r="AE16" s="390"/>
      <c r="AF16" s="376"/>
      <c r="AG16" s="390"/>
      <c r="AH16" s="390"/>
      <c r="AI16" s="376"/>
      <c r="AJ16" s="390"/>
      <c r="AL16" s="522" t="str">
        <f t="shared" si="2"/>
        <v>H/M/09R/2024</v>
      </c>
      <c r="AM16" s="44" t="str">
        <f t="shared" si="3"/>
        <v>-</v>
      </c>
      <c r="AQ16" s="588"/>
      <c r="AR16" s="284" t="str">
        <f t="shared" si="8"/>
        <v>9R</v>
      </c>
      <c r="AS16" s="284" t="str">
        <f t="shared" si="5"/>
        <v>H/M/09R/2024</v>
      </c>
      <c r="AT16" s="284" t="str">
        <f t="shared" si="6"/>
        <v>MR - MOHAMED ALMATROSHI</v>
      </c>
      <c r="AU16">
        <f t="shared" si="7"/>
        <v>9</v>
      </c>
      <c r="AV16" t="s">
        <v>1632</v>
      </c>
    </row>
    <row r="17" spans="1:48">
      <c r="A17" s="306">
        <v>10</v>
      </c>
      <c r="B17" s="396" t="str">
        <f t="shared" ref="B17:B72" si="9">"H/M/"&amp;A17&amp;"/2024"</f>
        <v>H/M/10/2024</v>
      </c>
      <c r="C17" s="397"/>
      <c r="D17" s="405">
        <v>233</v>
      </c>
      <c r="E17" s="306" t="s">
        <v>891</v>
      </c>
      <c r="F17" s="380">
        <v>83904</v>
      </c>
      <c r="G17" s="381">
        <v>4195.2</v>
      </c>
      <c r="H17" s="286">
        <v>88099.199999999997</v>
      </c>
      <c r="I17" s="380">
        <v>88100</v>
      </c>
      <c r="J17" s="382">
        <f t="shared" si="1"/>
        <v>-0.80000000000291038</v>
      </c>
      <c r="K17" s="383"/>
      <c r="L17" s="383"/>
      <c r="M17" s="383"/>
      <c r="N17" s="388"/>
      <c r="O17" s="388"/>
      <c r="P17" s="388"/>
      <c r="Q17" s="388"/>
      <c r="R17" s="388"/>
      <c r="S17" s="389"/>
      <c r="T17" s="388"/>
      <c r="U17" s="389"/>
      <c r="V17" s="388"/>
      <c r="W17" s="389"/>
      <c r="X17" s="376"/>
      <c r="Y17" s="390"/>
      <c r="Z17" s="376"/>
      <c r="AA17" s="390"/>
      <c r="AB17" s="376"/>
      <c r="AC17" s="390"/>
      <c r="AD17" s="376"/>
      <c r="AE17" s="390"/>
      <c r="AF17" s="376"/>
      <c r="AG17" s="390"/>
      <c r="AH17" s="390"/>
      <c r="AI17" s="376"/>
      <c r="AJ17" s="390"/>
      <c r="AL17" s="522" t="str">
        <f t="shared" si="2"/>
        <v>H/M/10/2024</v>
      </c>
      <c r="AM17" s="44" t="str">
        <f t="shared" si="3"/>
        <v>-</v>
      </c>
      <c r="AQ17" s="588"/>
      <c r="AR17" s="284">
        <f t="shared" si="8"/>
        <v>10</v>
      </c>
      <c r="AS17" s="284" t="str">
        <f t="shared" si="5"/>
        <v>H/M/10/2024</v>
      </c>
      <c r="AT17" s="284" t="str">
        <f t="shared" si="6"/>
        <v>MR MUBARAK ARCHPIX</v>
      </c>
      <c r="AU17">
        <f t="shared" si="7"/>
        <v>10</v>
      </c>
      <c r="AV17" s="3" t="s">
        <v>1636</v>
      </c>
    </row>
    <row r="18" spans="1:48">
      <c r="A18" s="306">
        <v>11</v>
      </c>
      <c r="B18" s="396" t="str">
        <f t="shared" si="9"/>
        <v>H/M/11/2024</v>
      </c>
      <c r="C18" s="397"/>
      <c r="D18" s="405">
        <v>222</v>
      </c>
      <c r="E18" s="306" t="s">
        <v>892</v>
      </c>
      <c r="F18" s="380">
        <v>62016</v>
      </c>
      <c r="G18" s="381">
        <v>3100.8</v>
      </c>
      <c r="H18" s="286">
        <v>65116.800000000003</v>
      </c>
      <c r="I18" s="380">
        <v>65116.800000000003</v>
      </c>
      <c r="J18" s="382">
        <f t="shared" si="1"/>
        <v>0</v>
      </c>
      <c r="K18" s="383"/>
      <c r="L18" s="383"/>
      <c r="M18" s="383"/>
      <c r="N18" s="388"/>
      <c r="O18" s="388"/>
      <c r="P18" s="388"/>
      <c r="Q18" s="388"/>
      <c r="R18" s="388"/>
      <c r="S18" s="389"/>
      <c r="T18" s="388"/>
      <c r="U18" s="389"/>
      <c r="V18" s="388"/>
      <c r="W18" s="389"/>
      <c r="X18" s="376"/>
      <c r="Y18" s="390"/>
      <c r="Z18" s="376"/>
      <c r="AA18" s="390"/>
      <c r="AB18" s="376"/>
      <c r="AC18" s="390"/>
      <c r="AD18" s="376"/>
      <c r="AE18" s="390"/>
      <c r="AF18" s="376"/>
      <c r="AG18" s="390"/>
      <c r="AH18" s="390"/>
      <c r="AI18" s="376"/>
      <c r="AJ18" s="390"/>
      <c r="AL18" s="522" t="str">
        <f t="shared" si="2"/>
        <v>H/M/11/2024</v>
      </c>
      <c r="AM18" s="44" t="str">
        <f t="shared" si="3"/>
        <v>-</v>
      </c>
      <c r="AQ18" s="588"/>
      <c r="AR18" s="284">
        <f t="shared" si="8"/>
        <v>11</v>
      </c>
      <c r="AS18" s="284" t="str">
        <f t="shared" si="5"/>
        <v>H/M/11/2024</v>
      </c>
      <c r="AT18" s="284" t="str">
        <f t="shared" si="6"/>
        <v>MR SAMAH AHMED RASHED</v>
      </c>
      <c r="AU18">
        <f t="shared" si="7"/>
        <v>11</v>
      </c>
      <c r="AV18" s="3" t="s">
        <v>1645</v>
      </c>
    </row>
    <row r="19" spans="1:48">
      <c r="A19" s="306">
        <v>12</v>
      </c>
      <c r="B19" s="396" t="str">
        <f t="shared" si="9"/>
        <v>H/M/12/2024</v>
      </c>
      <c r="C19" s="397"/>
      <c r="D19" s="405">
        <v>237</v>
      </c>
      <c r="E19" s="306" t="s">
        <v>882</v>
      </c>
      <c r="F19" s="380">
        <v>57180</v>
      </c>
      <c r="G19" s="381">
        <v>2859</v>
      </c>
      <c r="H19" s="286">
        <v>60039</v>
      </c>
      <c r="I19" s="380">
        <v>60039</v>
      </c>
      <c r="J19" s="382">
        <f t="shared" si="1"/>
        <v>0</v>
      </c>
      <c r="K19" s="383"/>
      <c r="L19" s="383"/>
      <c r="M19" s="383"/>
      <c r="N19" s="388"/>
      <c r="O19" s="388"/>
      <c r="P19" s="388"/>
      <c r="Q19" s="388"/>
      <c r="R19" s="388"/>
      <c r="S19" s="389"/>
      <c r="T19" s="388"/>
      <c r="U19" s="389"/>
      <c r="V19" s="388"/>
      <c r="W19" s="389"/>
      <c r="X19" s="376"/>
      <c r="Y19" s="390"/>
      <c r="Z19" s="376"/>
      <c r="AA19" s="390"/>
      <c r="AB19" s="376"/>
      <c r="AC19" s="390"/>
      <c r="AD19" s="376"/>
      <c r="AE19" s="390"/>
      <c r="AF19" s="376"/>
      <c r="AG19" s="390"/>
      <c r="AH19" s="390"/>
      <c r="AI19" s="376"/>
      <c r="AJ19" s="390"/>
      <c r="AL19" s="522" t="str">
        <f t="shared" si="2"/>
        <v>H/M/12/2024</v>
      </c>
      <c r="AM19" s="44" t="str">
        <f t="shared" si="3"/>
        <v>-</v>
      </c>
      <c r="AQ19" s="588"/>
      <c r="AR19" s="284">
        <f t="shared" si="8"/>
        <v>12</v>
      </c>
      <c r="AS19" s="284" t="str">
        <f t="shared" si="5"/>
        <v>H/M/12/2024</v>
      </c>
      <c r="AT19" s="284" t="str">
        <f t="shared" si="6"/>
        <v>MR – Hamad Abdullah AlSwedi</v>
      </c>
      <c r="AU19">
        <f t="shared" si="7"/>
        <v>12</v>
      </c>
      <c r="AV19" s="3" t="s">
        <v>1634</v>
      </c>
    </row>
    <row r="20" spans="1:48">
      <c r="A20" s="306">
        <v>13</v>
      </c>
      <c r="B20" s="396" t="str">
        <f t="shared" si="9"/>
        <v>H/M/13/2024</v>
      </c>
      <c r="C20" s="397"/>
      <c r="D20" s="405">
        <v>227</v>
      </c>
      <c r="E20" s="306" t="s">
        <v>893</v>
      </c>
      <c r="F20" s="380">
        <v>117753.5</v>
      </c>
      <c r="G20" s="381">
        <v>5887.6750000000002</v>
      </c>
      <c r="H20" s="286">
        <v>123641.175</v>
      </c>
      <c r="I20" s="380">
        <v>123641.18</v>
      </c>
      <c r="J20" s="382">
        <f t="shared" si="1"/>
        <v>-4.9999999901046976E-3</v>
      </c>
      <c r="K20" s="383"/>
      <c r="L20" s="383"/>
      <c r="M20" s="383"/>
      <c r="N20" s="388"/>
      <c r="O20" s="388"/>
      <c r="P20" s="388"/>
      <c r="Q20" s="388"/>
      <c r="R20" s="388"/>
      <c r="S20" s="389"/>
      <c r="T20" s="388"/>
      <c r="U20" s="389"/>
      <c r="V20" s="388"/>
      <c r="W20" s="389"/>
      <c r="X20" s="376"/>
      <c r="Y20" s="390"/>
      <c r="Z20" s="376"/>
      <c r="AA20" s="390"/>
      <c r="AB20" s="376"/>
      <c r="AC20" s="390"/>
      <c r="AD20" s="376"/>
      <c r="AE20" s="390"/>
      <c r="AF20" s="376"/>
      <c r="AG20" s="390"/>
      <c r="AH20" s="390"/>
      <c r="AI20" s="376"/>
      <c r="AJ20" s="390"/>
      <c r="AL20" s="522" t="str">
        <f t="shared" si="2"/>
        <v>H/M/13/2024</v>
      </c>
      <c r="AM20" s="44" t="str">
        <f t="shared" si="3"/>
        <v>-</v>
      </c>
      <c r="AQ20" s="588"/>
      <c r="AR20" s="284">
        <f t="shared" si="8"/>
        <v>13</v>
      </c>
      <c r="AS20" s="284" t="str">
        <f t="shared" si="5"/>
        <v>H/M/13/2024</v>
      </c>
      <c r="AT20" s="284" t="str">
        <f t="shared" si="6"/>
        <v>MR AHMED SAIF ALSHAMSY</v>
      </c>
      <c r="AU20">
        <f t="shared" si="7"/>
        <v>13</v>
      </c>
      <c r="AV20" t="s">
        <v>1633</v>
      </c>
    </row>
    <row r="21" spans="1:48">
      <c r="A21" s="306">
        <v>14</v>
      </c>
      <c r="B21" s="396" t="str">
        <f t="shared" si="9"/>
        <v>H/M/14/2024</v>
      </c>
      <c r="C21" s="397"/>
      <c r="D21" s="405">
        <v>216</v>
      </c>
      <c r="E21" s="306" t="s">
        <v>894</v>
      </c>
      <c r="F21" s="380">
        <v>45500</v>
      </c>
      <c r="G21" s="381">
        <v>2275</v>
      </c>
      <c r="H21" s="286">
        <v>47775</v>
      </c>
      <c r="I21" s="380">
        <v>47775</v>
      </c>
      <c r="J21" s="382">
        <f t="shared" si="1"/>
        <v>0</v>
      </c>
      <c r="K21" s="383"/>
      <c r="L21" s="383"/>
      <c r="M21" s="383"/>
      <c r="N21" s="388"/>
      <c r="O21" s="388"/>
      <c r="P21" s="388"/>
      <c r="Q21" s="388"/>
      <c r="R21" s="388"/>
      <c r="S21" s="389"/>
      <c r="T21" s="388"/>
      <c r="U21" s="389"/>
      <c r="V21" s="388"/>
      <c r="W21" s="389"/>
      <c r="X21" s="376"/>
      <c r="Y21" s="390"/>
      <c r="Z21" s="376"/>
      <c r="AA21" s="390"/>
      <c r="AB21" s="376"/>
      <c r="AC21" s="390"/>
      <c r="AD21" s="376"/>
      <c r="AE21" s="390"/>
      <c r="AF21" s="376"/>
      <c r="AG21" s="390"/>
      <c r="AH21" s="390"/>
      <c r="AI21" s="376"/>
      <c r="AJ21" s="390"/>
      <c r="AL21" s="522" t="str">
        <f t="shared" si="2"/>
        <v>H/M/14/2024</v>
      </c>
      <c r="AM21" s="44" t="str">
        <f t="shared" si="3"/>
        <v>-</v>
      </c>
      <c r="AQ21" s="588"/>
      <c r="AR21" s="284">
        <f t="shared" si="8"/>
        <v>14</v>
      </c>
      <c r="AS21" s="284" t="str">
        <f t="shared" si="5"/>
        <v>H/M/14/2024</v>
      </c>
      <c r="AT21" s="284" t="str">
        <f t="shared" si="6"/>
        <v>MR Adnan Ameen Mohamed ALI Al Marzouqi</v>
      </c>
      <c r="AU21">
        <v>14</v>
      </c>
      <c r="AV21">
        <v>14</v>
      </c>
    </row>
    <row r="22" spans="1:48">
      <c r="A22" s="306">
        <v>15</v>
      </c>
      <c r="B22" s="396" t="str">
        <f t="shared" si="9"/>
        <v>H/M/15/2024</v>
      </c>
      <c r="C22" s="397"/>
      <c r="D22" s="405">
        <v>243</v>
      </c>
      <c r="E22" s="306" t="s">
        <v>895</v>
      </c>
      <c r="F22" s="380">
        <v>52000</v>
      </c>
      <c r="G22" s="381">
        <v>2600</v>
      </c>
      <c r="H22" s="286">
        <v>54600</v>
      </c>
      <c r="I22" s="380">
        <v>54600</v>
      </c>
      <c r="J22" s="382">
        <f t="shared" si="1"/>
        <v>0</v>
      </c>
      <c r="K22" s="383"/>
      <c r="L22" s="383"/>
      <c r="M22" s="383"/>
      <c r="N22" s="388"/>
      <c r="O22" s="388"/>
      <c r="P22" s="388"/>
      <c r="Q22" s="388"/>
      <c r="R22" s="388"/>
      <c r="S22" s="389"/>
      <c r="T22" s="388"/>
      <c r="U22" s="389"/>
      <c r="V22" s="388"/>
      <c r="W22" s="389"/>
      <c r="X22" s="376"/>
      <c r="Y22" s="390"/>
      <c r="Z22" s="376"/>
      <c r="AA22" s="390"/>
      <c r="AB22" s="376"/>
      <c r="AC22" s="390"/>
      <c r="AD22" s="376"/>
      <c r="AE22" s="390"/>
      <c r="AF22" s="376"/>
      <c r="AG22" s="390"/>
      <c r="AH22" s="390"/>
      <c r="AI22" s="376"/>
      <c r="AJ22" s="390"/>
      <c r="AL22" s="522" t="str">
        <f t="shared" si="2"/>
        <v>H/M/15/2024</v>
      </c>
      <c r="AM22" s="44" t="str">
        <f t="shared" si="3"/>
        <v>-</v>
      </c>
      <c r="AQ22" s="588"/>
      <c r="AR22" s="284">
        <f t="shared" si="8"/>
        <v>15</v>
      </c>
      <c r="AS22" s="284" t="str">
        <f t="shared" si="5"/>
        <v>H/M/15/2024</v>
      </c>
      <c r="AT22" s="284" t="str">
        <f t="shared" si="6"/>
        <v>MR Shihab Ahmed Darwish Saleh</v>
      </c>
      <c r="AU22">
        <f t="shared" ref="AU22:AU34" si="10">VALUE(MID(AV22,9,3))</f>
        <v>15</v>
      </c>
      <c r="AV22" s="3" t="s">
        <v>1641</v>
      </c>
    </row>
    <row r="23" spans="1:48">
      <c r="A23" s="306">
        <v>16</v>
      </c>
      <c r="B23" s="396" t="str">
        <f t="shared" si="9"/>
        <v>H/M/16/2024</v>
      </c>
      <c r="C23" s="397"/>
      <c r="D23" s="405">
        <v>253</v>
      </c>
      <c r="E23" s="306" t="s">
        <v>896</v>
      </c>
      <c r="F23" s="380">
        <v>9800</v>
      </c>
      <c r="G23" s="380">
        <v>490</v>
      </c>
      <c r="H23" s="286">
        <v>10290</v>
      </c>
      <c r="I23" s="380">
        <v>10000</v>
      </c>
      <c r="J23" s="382">
        <f t="shared" si="1"/>
        <v>290</v>
      </c>
      <c r="K23" s="383"/>
      <c r="L23" s="383"/>
      <c r="M23" s="383"/>
      <c r="N23" s="388"/>
      <c r="O23" s="388"/>
      <c r="P23" s="388"/>
      <c r="Q23" s="388"/>
      <c r="R23" s="388"/>
      <c r="S23" s="389"/>
      <c r="T23" s="388"/>
      <c r="U23" s="389"/>
      <c r="V23" s="388"/>
      <c r="W23" s="389"/>
      <c r="X23" s="376"/>
      <c r="Y23" s="390"/>
      <c r="Z23" s="376"/>
      <c r="AA23" s="390"/>
      <c r="AB23" s="376"/>
      <c r="AC23" s="390"/>
      <c r="AD23" s="950">
        <v>45573.635960648149</v>
      </c>
      <c r="AE23" s="390"/>
      <c r="AF23" s="376"/>
      <c r="AG23" s="390"/>
      <c r="AH23" s="390"/>
      <c r="AI23" s="376"/>
      <c r="AJ23" s="390"/>
      <c r="AL23" s="522" t="str">
        <f t="shared" si="2"/>
        <v>H/M/16/2024</v>
      </c>
      <c r="AM23" s="44" t="str">
        <f t="shared" si="3"/>
        <v>-</v>
      </c>
      <c r="AQ23" s="588"/>
      <c r="AR23" s="284">
        <f t="shared" si="8"/>
        <v>16</v>
      </c>
      <c r="AS23" s="284" t="str">
        <f t="shared" si="5"/>
        <v>H/M/16/2024</v>
      </c>
      <c r="AT23" s="284" t="str">
        <f t="shared" si="6"/>
        <v>MR – Shihab Ahmed Murad</v>
      </c>
      <c r="AU23">
        <f t="shared" si="10"/>
        <v>16</v>
      </c>
      <c r="AV23" s="3" t="s">
        <v>1635</v>
      </c>
    </row>
    <row r="24" spans="1:48">
      <c r="A24" s="306">
        <v>17</v>
      </c>
      <c r="B24" s="396" t="str">
        <f t="shared" si="9"/>
        <v>H/M/17/2024</v>
      </c>
      <c r="C24" s="397"/>
      <c r="D24" s="405">
        <v>247</v>
      </c>
      <c r="E24" s="306" t="s">
        <v>897</v>
      </c>
      <c r="F24" s="380">
        <v>24000</v>
      </c>
      <c r="G24" s="381">
        <v>1200</v>
      </c>
      <c r="H24" s="286">
        <v>25200</v>
      </c>
      <c r="I24" s="380">
        <v>25200</v>
      </c>
      <c r="J24" s="382">
        <f t="shared" si="1"/>
        <v>0</v>
      </c>
      <c r="K24" s="383"/>
      <c r="L24" s="383"/>
      <c r="M24" s="383"/>
      <c r="N24" s="388"/>
      <c r="O24" s="388"/>
      <c r="P24" s="388"/>
      <c r="Q24" s="388"/>
      <c r="R24" s="388"/>
      <c r="S24" s="389"/>
      <c r="T24" s="388"/>
      <c r="U24" s="389"/>
      <c r="V24" s="388"/>
      <c r="W24" s="389"/>
      <c r="X24" s="376"/>
      <c r="Y24" s="390"/>
      <c r="Z24" s="376"/>
      <c r="AA24" s="390"/>
      <c r="AB24" s="376"/>
      <c r="AC24" s="390"/>
      <c r="AD24" s="376"/>
      <c r="AE24" s="390"/>
      <c r="AF24" s="376"/>
      <c r="AG24" s="390"/>
      <c r="AH24" s="390"/>
      <c r="AI24" s="376"/>
      <c r="AJ24" s="390"/>
      <c r="AL24" s="522" t="str">
        <f t="shared" si="2"/>
        <v>H/M/17/2024</v>
      </c>
      <c r="AM24" s="44" t="str">
        <f t="shared" si="3"/>
        <v>-</v>
      </c>
      <c r="AQ24" s="588"/>
      <c r="AR24" s="284">
        <f t="shared" si="8"/>
        <v>17</v>
      </c>
      <c r="AS24" s="284" t="str">
        <f t="shared" si="5"/>
        <v>H/M/17/2024</v>
      </c>
      <c r="AT24" s="284" t="str">
        <f t="shared" si="6"/>
        <v>MR – ABDULLA MOHAMMAD ALMULLA</v>
      </c>
      <c r="AU24">
        <f t="shared" si="10"/>
        <v>17</v>
      </c>
      <c r="AV24" t="s">
        <v>1639</v>
      </c>
    </row>
    <row r="25" spans="1:48">
      <c r="A25" s="306">
        <v>18</v>
      </c>
      <c r="B25" s="396" t="str">
        <f t="shared" si="9"/>
        <v>H/M/18/2024</v>
      </c>
      <c r="C25" s="397"/>
      <c r="D25" s="405">
        <v>257</v>
      </c>
      <c r="E25" s="306" t="s">
        <v>898</v>
      </c>
      <c r="F25" s="380">
        <v>24900</v>
      </c>
      <c r="G25" s="381">
        <v>1245</v>
      </c>
      <c r="H25" s="286">
        <v>26145</v>
      </c>
      <c r="I25" s="380">
        <v>26145</v>
      </c>
      <c r="J25" s="382">
        <f t="shared" si="1"/>
        <v>0</v>
      </c>
      <c r="K25" s="383"/>
      <c r="L25" s="383"/>
      <c r="M25" s="383"/>
      <c r="N25" s="388"/>
      <c r="O25" s="388"/>
      <c r="P25" s="388"/>
      <c r="Q25" s="388"/>
      <c r="R25" s="388"/>
      <c r="S25" s="389"/>
      <c r="T25" s="388"/>
      <c r="U25" s="389"/>
      <c r="V25" s="388"/>
      <c r="W25" s="389"/>
      <c r="X25" s="376"/>
      <c r="Y25" s="390"/>
      <c r="Z25" s="376"/>
      <c r="AA25" s="390"/>
      <c r="AB25" s="376"/>
      <c r="AC25" s="390"/>
      <c r="AD25" s="376"/>
      <c r="AE25" s="390"/>
      <c r="AF25" s="376"/>
      <c r="AG25" s="390"/>
      <c r="AH25" s="390"/>
      <c r="AI25" s="376"/>
      <c r="AJ25" s="390"/>
      <c r="AL25" s="522" t="str">
        <f t="shared" si="2"/>
        <v>H/M/18/2024</v>
      </c>
      <c r="AM25" s="44" t="str">
        <f t="shared" si="3"/>
        <v>-</v>
      </c>
      <c r="AQ25" s="588"/>
      <c r="AR25" s="284">
        <f t="shared" si="8"/>
        <v>18</v>
      </c>
      <c r="AS25" s="284" t="str">
        <f t="shared" si="5"/>
        <v>H/M/18/2024</v>
      </c>
      <c r="AT25" s="284" t="str">
        <f t="shared" si="6"/>
        <v>MR – Naaema Sallah Ahmed Abdullah</v>
      </c>
      <c r="AU25">
        <f t="shared" si="10"/>
        <v>18</v>
      </c>
      <c r="AV25" t="s">
        <v>1640</v>
      </c>
    </row>
    <row r="26" spans="1:48">
      <c r="A26" s="306">
        <v>19</v>
      </c>
      <c r="B26" s="396" t="str">
        <f t="shared" si="9"/>
        <v>H/M/19/2024</v>
      </c>
      <c r="C26" s="397"/>
      <c r="D26" s="405">
        <v>234</v>
      </c>
      <c r="E26" s="306" t="s">
        <v>899</v>
      </c>
      <c r="F26" s="380">
        <v>44460</v>
      </c>
      <c r="G26" s="380">
        <v>2223</v>
      </c>
      <c r="H26" s="286">
        <v>46683</v>
      </c>
      <c r="I26" s="380">
        <v>46683</v>
      </c>
      <c r="J26" s="382">
        <f t="shared" si="1"/>
        <v>0</v>
      </c>
      <c r="K26" s="383"/>
      <c r="L26" s="383"/>
      <c r="M26" s="383"/>
      <c r="N26" s="388"/>
      <c r="O26" s="388"/>
      <c r="P26" s="388"/>
      <c r="Q26" s="388"/>
      <c r="R26" s="388"/>
      <c r="S26" s="389"/>
      <c r="T26" s="388"/>
      <c r="U26" s="389"/>
      <c r="V26" s="388"/>
      <c r="W26" s="389"/>
      <c r="X26" s="376"/>
      <c r="Y26" s="390"/>
      <c r="Z26" s="376"/>
      <c r="AA26" s="390"/>
      <c r="AB26" s="376"/>
      <c r="AC26" s="390"/>
      <c r="AD26" s="376"/>
      <c r="AE26" s="390"/>
      <c r="AF26" s="376"/>
      <c r="AG26" s="390"/>
      <c r="AH26" s="390"/>
      <c r="AI26" s="376"/>
      <c r="AJ26" s="390"/>
      <c r="AL26" s="522" t="str">
        <f t="shared" si="2"/>
        <v>H/M/19/2024</v>
      </c>
      <c r="AM26" s="44" t="str">
        <f t="shared" si="3"/>
        <v>-</v>
      </c>
      <c r="AQ26" s="588"/>
      <c r="AR26" s="284">
        <f t="shared" si="8"/>
        <v>19</v>
      </c>
      <c r="AS26" s="284" t="str">
        <f t="shared" si="5"/>
        <v>H/M/19/2024</v>
      </c>
      <c r="AT26" s="284" t="str">
        <f t="shared" si="6"/>
        <v>MR. HASSAN KHAMIS NAQIB</v>
      </c>
      <c r="AU26">
        <f t="shared" si="10"/>
        <v>19</v>
      </c>
      <c r="AV26" t="s">
        <v>1637</v>
      </c>
    </row>
    <row r="27" spans="1:48">
      <c r="A27" s="306">
        <v>20</v>
      </c>
      <c r="B27" s="396" t="str">
        <f t="shared" si="9"/>
        <v>H/M/20/2024</v>
      </c>
      <c r="C27" s="397"/>
      <c r="D27" s="405">
        <v>218</v>
      </c>
      <c r="E27" s="306" t="s">
        <v>900</v>
      </c>
      <c r="F27" s="380">
        <v>61645</v>
      </c>
      <c r="G27" s="380">
        <v>3082.25</v>
      </c>
      <c r="H27" s="286">
        <v>64727.25</v>
      </c>
      <c r="I27" s="380">
        <v>64727.25</v>
      </c>
      <c r="J27" s="382">
        <f t="shared" si="1"/>
        <v>0</v>
      </c>
      <c r="K27" s="383"/>
      <c r="L27" s="383"/>
      <c r="M27" s="383"/>
      <c r="N27" s="388"/>
      <c r="O27" s="388"/>
      <c r="P27" s="388"/>
      <c r="Q27" s="388"/>
      <c r="R27" s="388"/>
      <c r="S27" s="389"/>
      <c r="T27" s="388"/>
      <c r="U27" s="389"/>
      <c r="V27" s="388"/>
      <c r="W27" s="389"/>
      <c r="X27" s="376"/>
      <c r="Y27" s="390"/>
      <c r="Z27" s="376"/>
      <c r="AA27" s="390"/>
      <c r="AB27" s="376"/>
      <c r="AC27" s="390"/>
      <c r="AD27" s="376"/>
      <c r="AE27" s="390"/>
      <c r="AF27" s="376"/>
      <c r="AG27" s="390"/>
      <c r="AH27" s="390"/>
      <c r="AI27" s="376"/>
      <c r="AJ27" s="390"/>
      <c r="AL27" s="522" t="str">
        <f t="shared" si="2"/>
        <v>H/M/20/2024</v>
      </c>
      <c r="AM27" s="44" t="str">
        <f t="shared" si="3"/>
        <v>-</v>
      </c>
      <c r="AQ27" s="588"/>
      <c r="AR27" s="284">
        <f t="shared" si="8"/>
        <v>20</v>
      </c>
      <c r="AS27" s="284" t="str">
        <f t="shared" si="5"/>
        <v>H/M/20/2024</v>
      </c>
      <c r="AT27" s="284" t="str">
        <f t="shared" si="6"/>
        <v>MR. RASHED KHALAF ALFALASI</v>
      </c>
      <c r="AU27">
        <f t="shared" si="10"/>
        <v>20</v>
      </c>
      <c r="AV27" s="3" t="s">
        <v>1677</v>
      </c>
    </row>
    <row r="28" spans="1:48">
      <c r="A28" s="306">
        <v>21</v>
      </c>
      <c r="B28" s="396" t="str">
        <f t="shared" si="9"/>
        <v>H/M/21/2024</v>
      </c>
      <c r="C28" s="397"/>
      <c r="D28" s="405">
        <v>221</v>
      </c>
      <c r="E28" s="306" t="s">
        <v>901</v>
      </c>
      <c r="F28" s="380">
        <v>50670</v>
      </c>
      <c r="G28" s="380">
        <v>2533.5</v>
      </c>
      <c r="H28" s="286">
        <v>53203.5</v>
      </c>
      <c r="I28" s="380">
        <v>53300</v>
      </c>
      <c r="J28" s="382">
        <f t="shared" si="1"/>
        <v>-96.5</v>
      </c>
      <c r="K28" s="383"/>
      <c r="L28" s="383"/>
      <c r="M28" s="383"/>
      <c r="N28" s="388"/>
      <c r="O28" s="388"/>
      <c r="P28" s="388"/>
      <c r="Q28" s="388"/>
      <c r="R28" s="388"/>
      <c r="S28" s="389"/>
      <c r="T28" s="388"/>
      <c r="U28" s="389"/>
      <c r="V28" s="388"/>
      <c r="W28" s="389"/>
      <c r="X28" s="376"/>
      <c r="Y28" s="390"/>
      <c r="Z28" s="376"/>
      <c r="AA28" s="390"/>
      <c r="AB28" s="376"/>
      <c r="AC28" s="390"/>
      <c r="AD28" s="376"/>
      <c r="AE28" s="390"/>
      <c r="AF28" s="376"/>
      <c r="AG28" s="390"/>
      <c r="AH28" s="390"/>
      <c r="AI28" s="376"/>
      <c r="AJ28" s="390"/>
      <c r="AL28" s="522" t="str">
        <f t="shared" si="2"/>
        <v>H/M/21/2024</v>
      </c>
      <c r="AM28" s="44" t="str">
        <f t="shared" si="3"/>
        <v>-</v>
      </c>
      <c r="AQ28" s="588"/>
      <c r="AR28" s="284">
        <f t="shared" si="8"/>
        <v>21</v>
      </c>
      <c r="AS28" s="284" t="str">
        <f t="shared" si="5"/>
        <v>H/M/21/2024</v>
      </c>
      <c r="AT28" s="284" t="str">
        <f t="shared" si="6"/>
        <v>MR. SAEED ABDULLAH KHALIFA</v>
      </c>
      <c r="AU28">
        <f t="shared" si="10"/>
        <v>21</v>
      </c>
      <c r="AV28" s="3" t="s">
        <v>1638</v>
      </c>
    </row>
    <row r="29" spans="1:48">
      <c r="A29" s="306">
        <v>22</v>
      </c>
      <c r="B29" s="396" t="str">
        <f t="shared" si="9"/>
        <v>H/M/22/2024</v>
      </c>
      <c r="C29" s="397"/>
      <c r="D29" s="405">
        <v>262</v>
      </c>
      <c r="E29" s="306" t="s">
        <v>902</v>
      </c>
      <c r="F29" s="380">
        <v>15300</v>
      </c>
      <c r="G29" s="381">
        <v>765</v>
      </c>
      <c r="H29" s="286">
        <v>16065</v>
      </c>
      <c r="I29" s="380">
        <v>16065</v>
      </c>
      <c r="J29" s="382">
        <f t="shared" si="1"/>
        <v>0</v>
      </c>
      <c r="K29" s="383"/>
      <c r="L29" s="383"/>
      <c r="M29" s="383"/>
      <c r="N29" s="388"/>
      <c r="O29" s="388"/>
      <c r="P29" s="388"/>
      <c r="Q29" s="388"/>
      <c r="R29" s="388"/>
      <c r="S29" s="389"/>
      <c r="T29" s="388"/>
      <c r="U29" s="389"/>
      <c r="V29" s="388"/>
      <c r="W29" s="389"/>
      <c r="X29" s="376"/>
      <c r="Y29" s="390"/>
      <c r="Z29" s="376"/>
      <c r="AA29" s="390"/>
      <c r="AB29" s="376"/>
      <c r="AC29" s="390"/>
      <c r="AD29" s="376"/>
      <c r="AE29" s="390"/>
      <c r="AF29" s="376"/>
      <c r="AG29" s="390"/>
      <c r="AH29" s="390"/>
      <c r="AI29" s="376"/>
      <c r="AJ29" s="390"/>
      <c r="AL29" s="522" t="str">
        <f t="shared" si="2"/>
        <v>H/M/22/2024</v>
      </c>
      <c r="AM29" s="44" t="str">
        <f t="shared" si="3"/>
        <v>-</v>
      </c>
      <c r="AQ29" s="588"/>
      <c r="AR29" s="284">
        <f t="shared" si="8"/>
        <v>22</v>
      </c>
      <c r="AS29" s="284" t="str">
        <f t="shared" si="5"/>
        <v>H/M/22/2024</v>
      </c>
      <c r="AT29" s="284" t="str">
        <f t="shared" si="6"/>
        <v>MR. AMNA AHMED MOHAMED SALLEH</v>
      </c>
      <c r="AU29">
        <f t="shared" si="10"/>
        <v>22</v>
      </c>
      <c r="AV29" t="s">
        <v>1643</v>
      </c>
    </row>
    <row r="30" spans="1:48">
      <c r="A30" s="306">
        <v>23</v>
      </c>
      <c r="B30" s="396" t="str">
        <f t="shared" si="9"/>
        <v>H/M/23/2024</v>
      </c>
      <c r="C30" s="397"/>
      <c r="D30" s="405">
        <v>263</v>
      </c>
      <c r="E30" s="306" t="s">
        <v>903</v>
      </c>
      <c r="F30" s="380">
        <v>6750</v>
      </c>
      <c r="G30" s="381">
        <v>337.5</v>
      </c>
      <c r="H30" s="286">
        <v>7087.5</v>
      </c>
      <c r="I30" s="380">
        <v>7087</v>
      </c>
      <c r="J30" s="382">
        <f t="shared" si="1"/>
        <v>0.5</v>
      </c>
      <c r="K30" s="383"/>
      <c r="L30" s="383"/>
      <c r="M30" s="383"/>
      <c r="N30" s="388"/>
      <c r="O30" s="388"/>
      <c r="P30" s="388"/>
      <c r="Q30" s="388"/>
      <c r="R30" s="388"/>
      <c r="S30" s="389"/>
      <c r="T30" s="388"/>
      <c r="U30" s="389"/>
      <c r="V30" s="388"/>
      <c r="W30" s="389"/>
      <c r="X30" s="376"/>
      <c r="Y30" s="390"/>
      <c r="Z30" s="376"/>
      <c r="AA30" s="390"/>
      <c r="AB30" s="376"/>
      <c r="AC30" s="390"/>
      <c r="AD30" s="376"/>
      <c r="AE30" s="390"/>
      <c r="AF30" s="376"/>
      <c r="AG30" s="390"/>
      <c r="AH30" s="390"/>
      <c r="AI30" s="376"/>
      <c r="AJ30" s="390"/>
      <c r="AL30" s="522" t="str">
        <f t="shared" si="2"/>
        <v>H/M/23/2024</v>
      </c>
      <c r="AM30" s="44" t="str">
        <f t="shared" si="3"/>
        <v>-</v>
      </c>
      <c r="AQ30" s="588"/>
      <c r="AR30" s="284">
        <f t="shared" si="8"/>
        <v>23</v>
      </c>
      <c r="AS30" s="284" t="str">
        <f t="shared" si="5"/>
        <v>H/M/23/2024</v>
      </c>
      <c r="AT30" s="284" t="str">
        <f t="shared" si="6"/>
        <v>AGRICULTURAL GROUP L.L.C</v>
      </c>
      <c r="AU30">
        <f t="shared" si="10"/>
        <v>23</v>
      </c>
      <c r="AV30" t="s">
        <v>1642</v>
      </c>
    </row>
    <row r="31" spans="1:48">
      <c r="A31" s="306">
        <v>24</v>
      </c>
      <c r="B31" s="396" t="str">
        <f t="shared" si="9"/>
        <v>H/M/24/2024</v>
      </c>
      <c r="C31" s="397"/>
      <c r="D31" s="405">
        <v>258</v>
      </c>
      <c r="E31" s="306" t="s">
        <v>904</v>
      </c>
      <c r="F31" s="380">
        <v>20400</v>
      </c>
      <c r="G31" s="381">
        <v>1020</v>
      </c>
      <c r="H31" s="286">
        <v>21420</v>
      </c>
      <c r="I31" s="380">
        <v>21420</v>
      </c>
      <c r="J31" s="382">
        <f t="shared" si="1"/>
        <v>0</v>
      </c>
      <c r="K31" s="383"/>
      <c r="L31" s="383"/>
      <c r="M31" s="383"/>
      <c r="N31" s="388"/>
      <c r="O31" s="388"/>
      <c r="P31" s="388"/>
      <c r="Q31" s="388"/>
      <c r="R31" s="388"/>
      <c r="S31" s="389"/>
      <c r="T31" s="388"/>
      <c r="U31" s="389"/>
      <c r="V31" s="388"/>
      <c r="W31" s="389"/>
      <c r="X31" s="376"/>
      <c r="Y31" s="390"/>
      <c r="Z31" s="376"/>
      <c r="AA31" s="390"/>
      <c r="AB31" s="376"/>
      <c r="AC31" s="390"/>
      <c r="AD31" s="376"/>
      <c r="AE31" s="390"/>
      <c r="AF31" s="376"/>
      <c r="AG31" s="390"/>
      <c r="AH31" s="390"/>
      <c r="AI31" s="376"/>
      <c r="AJ31" s="390"/>
      <c r="AL31" s="522" t="str">
        <f t="shared" si="2"/>
        <v>H/M/24/2024</v>
      </c>
      <c r="AM31" s="44" t="str">
        <f t="shared" si="3"/>
        <v>-</v>
      </c>
      <c r="AQ31" s="588"/>
      <c r="AR31" s="284">
        <f t="shared" si="8"/>
        <v>24</v>
      </c>
      <c r="AS31" s="284" t="str">
        <f t="shared" si="5"/>
        <v>H/M/24/2024</v>
      </c>
      <c r="AT31" s="284" t="str">
        <f t="shared" si="6"/>
        <v>MR. MAJIED AHMED ABDULLA ALSHEHI</v>
      </c>
      <c r="AU31">
        <f t="shared" si="10"/>
        <v>24</v>
      </c>
      <c r="AV31" t="s">
        <v>1644</v>
      </c>
    </row>
    <row r="32" spans="1:48">
      <c r="A32" s="306">
        <v>25</v>
      </c>
      <c r="B32" s="396" t="str">
        <f t="shared" si="9"/>
        <v>H/M/25/2024</v>
      </c>
      <c r="C32" s="397"/>
      <c r="D32" s="405">
        <v>252</v>
      </c>
      <c r="E32" s="306" t="s">
        <v>905</v>
      </c>
      <c r="F32" s="380">
        <v>82667.5</v>
      </c>
      <c r="G32" s="380">
        <v>4133.375</v>
      </c>
      <c r="H32" s="286">
        <v>86800.875</v>
      </c>
      <c r="I32" s="380">
        <v>86800.88</v>
      </c>
      <c r="J32" s="382">
        <f t="shared" si="1"/>
        <v>-5.0000000046566129E-3</v>
      </c>
      <c r="K32" s="383"/>
      <c r="L32" s="383"/>
      <c r="M32" s="383"/>
      <c r="N32" s="388"/>
      <c r="O32" s="388"/>
      <c r="P32" s="388"/>
      <c r="Q32" s="388"/>
      <c r="R32" s="388"/>
      <c r="S32" s="389"/>
      <c r="T32" s="388"/>
      <c r="U32" s="389"/>
      <c r="V32" s="388"/>
      <c r="W32" s="389"/>
      <c r="X32" s="376"/>
      <c r="Y32" s="390"/>
      <c r="Z32" s="376"/>
      <c r="AA32" s="390"/>
      <c r="AB32" s="376"/>
      <c r="AC32" s="390"/>
      <c r="AD32" s="376"/>
      <c r="AE32" s="390"/>
      <c r="AF32" s="376"/>
      <c r="AG32" s="390"/>
      <c r="AH32" s="390"/>
      <c r="AI32" s="376"/>
      <c r="AJ32" s="390"/>
      <c r="AL32" s="522" t="str">
        <f t="shared" si="2"/>
        <v>H/M/25/2024</v>
      </c>
      <c r="AM32" s="44" t="str">
        <f t="shared" si="3"/>
        <v>-</v>
      </c>
      <c r="AQ32" s="588"/>
      <c r="AR32" s="284">
        <f t="shared" si="8"/>
        <v>25</v>
      </c>
      <c r="AS32" s="284" t="str">
        <f t="shared" si="5"/>
        <v>H/M/25/2024</v>
      </c>
      <c r="AT32" s="284" t="str">
        <f t="shared" si="6"/>
        <v>MR. MOHAMED SAIF</v>
      </c>
      <c r="AU32">
        <f t="shared" si="10"/>
        <v>25</v>
      </c>
      <c r="AV32" t="s">
        <v>1667</v>
      </c>
    </row>
    <row r="33" spans="1:48">
      <c r="A33" s="306">
        <v>26</v>
      </c>
      <c r="B33" s="396" t="str">
        <f t="shared" si="9"/>
        <v>H/M/26/2024</v>
      </c>
      <c r="C33" s="397"/>
      <c r="D33" s="405">
        <v>250</v>
      </c>
      <c r="E33" s="306" t="s">
        <v>906</v>
      </c>
      <c r="F33" s="380">
        <v>40125</v>
      </c>
      <c r="G33" s="381">
        <v>2006.25</v>
      </c>
      <c r="H33" s="286">
        <v>42131.25</v>
      </c>
      <c r="I33" s="380">
        <v>42131.25</v>
      </c>
      <c r="J33" s="382">
        <f t="shared" si="1"/>
        <v>0</v>
      </c>
      <c r="K33" s="383"/>
      <c r="L33" s="383"/>
      <c r="M33" s="383"/>
      <c r="N33" s="388"/>
      <c r="O33" s="388"/>
      <c r="P33" s="388"/>
      <c r="Q33" s="388"/>
      <c r="R33" s="388"/>
      <c r="S33" s="389"/>
      <c r="T33" s="388"/>
      <c r="U33" s="389"/>
      <c r="V33" s="388"/>
      <c r="W33" s="389"/>
      <c r="X33" s="376"/>
      <c r="Y33" s="390"/>
      <c r="Z33" s="376"/>
      <c r="AA33" s="390"/>
      <c r="AB33" s="376"/>
      <c r="AC33" s="390"/>
      <c r="AD33" s="376"/>
      <c r="AE33" s="390"/>
      <c r="AF33" s="376"/>
      <c r="AG33" s="390"/>
      <c r="AH33" s="390"/>
      <c r="AI33" s="376"/>
      <c r="AJ33" s="390"/>
      <c r="AL33" s="522" t="str">
        <f t="shared" si="2"/>
        <v>H/M/26/2024</v>
      </c>
      <c r="AM33" s="44" t="str">
        <f t="shared" si="3"/>
        <v>-</v>
      </c>
      <c r="AQ33" s="588"/>
      <c r="AR33" s="284">
        <f t="shared" ref="AR33:AR96" si="11">A33</f>
        <v>26</v>
      </c>
      <c r="AS33" s="284" t="str">
        <f t="shared" si="5"/>
        <v>H/M/26/2024</v>
      </c>
      <c r="AT33" s="284" t="str">
        <f t="shared" si="6"/>
        <v>MR. MOHAMED JASSEM</v>
      </c>
      <c r="AU33">
        <f t="shared" si="10"/>
        <v>26</v>
      </c>
      <c r="AV33" t="s">
        <v>1653</v>
      </c>
    </row>
    <row r="34" spans="1:48">
      <c r="A34" s="306">
        <v>27</v>
      </c>
      <c r="B34" s="396" t="str">
        <f t="shared" si="9"/>
        <v>H/M/27/2024</v>
      </c>
      <c r="C34" s="397"/>
      <c r="D34" s="405">
        <v>254</v>
      </c>
      <c r="E34" s="306" t="s">
        <v>907</v>
      </c>
      <c r="F34" s="380">
        <v>97750</v>
      </c>
      <c r="G34" s="380">
        <v>4887.5</v>
      </c>
      <c r="H34" s="286">
        <v>102637.5</v>
      </c>
      <c r="I34" s="380">
        <v>102637.5</v>
      </c>
      <c r="J34" s="382">
        <f t="shared" si="1"/>
        <v>0</v>
      </c>
      <c r="K34" s="383"/>
      <c r="L34" s="383"/>
      <c r="M34" s="383"/>
      <c r="N34" s="388"/>
      <c r="O34" s="388"/>
      <c r="P34" s="388"/>
      <c r="Q34" s="388"/>
      <c r="R34" s="388"/>
      <c r="S34" s="389"/>
      <c r="T34" s="388"/>
      <c r="U34" s="389"/>
      <c r="V34" s="388"/>
      <c r="W34" s="389"/>
      <c r="X34" s="376"/>
      <c r="Y34" s="390"/>
      <c r="Z34" s="376"/>
      <c r="AA34" s="390"/>
      <c r="AB34" s="376"/>
      <c r="AC34" s="390"/>
      <c r="AD34" s="950">
        <v>45614.407685185186</v>
      </c>
      <c r="AE34" s="390"/>
      <c r="AF34" s="376"/>
      <c r="AG34" s="390"/>
      <c r="AH34" s="390"/>
      <c r="AI34" s="376"/>
      <c r="AJ34" s="390"/>
      <c r="AL34" s="522" t="str">
        <f t="shared" si="2"/>
        <v>H/M/27/2024</v>
      </c>
      <c r="AM34" s="44" t="str">
        <f t="shared" si="3"/>
        <v>-</v>
      </c>
      <c r="AQ34" s="588"/>
      <c r="AR34" s="284">
        <f t="shared" si="11"/>
        <v>27</v>
      </c>
      <c r="AS34" s="284" t="str">
        <f t="shared" si="5"/>
        <v>H/M/27/2024</v>
      </c>
      <c r="AT34" s="284" t="str">
        <f t="shared" si="6"/>
        <v>MR. NAYAE BENWAS</v>
      </c>
      <c r="AU34">
        <f t="shared" si="10"/>
        <v>27</v>
      </c>
      <c r="AV34" t="s">
        <v>1669</v>
      </c>
    </row>
    <row r="35" spans="1:48">
      <c r="A35" s="306">
        <v>28</v>
      </c>
      <c r="B35" s="396" t="str">
        <f t="shared" si="9"/>
        <v>H/M/28/2024</v>
      </c>
      <c r="C35" s="397"/>
      <c r="D35" s="405">
        <v>259</v>
      </c>
      <c r="E35" s="306" t="s">
        <v>908</v>
      </c>
      <c r="F35" s="380">
        <v>29250</v>
      </c>
      <c r="G35" s="381">
        <v>1462.5</v>
      </c>
      <c r="H35" s="286">
        <v>30712.5</v>
      </c>
      <c r="I35" s="380">
        <v>30712.5</v>
      </c>
      <c r="J35" s="382">
        <f t="shared" si="1"/>
        <v>0</v>
      </c>
      <c r="K35" s="383"/>
      <c r="L35" s="383"/>
      <c r="M35" s="383"/>
      <c r="N35" s="388"/>
      <c r="O35" s="388"/>
      <c r="P35" s="388"/>
      <c r="Q35" s="388"/>
      <c r="R35" s="388"/>
      <c r="S35" s="389"/>
      <c r="T35" s="388"/>
      <c r="U35" s="389"/>
      <c r="V35" s="388"/>
      <c r="W35" s="389"/>
      <c r="X35" s="376"/>
      <c r="Y35" s="390"/>
      <c r="Z35" s="376"/>
      <c r="AA35" s="390"/>
      <c r="AB35" s="376"/>
      <c r="AC35" s="390"/>
      <c r="AD35" s="376"/>
      <c r="AE35" s="390"/>
      <c r="AF35" s="376"/>
      <c r="AG35" s="390"/>
      <c r="AH35" s="390"/>
      <c r="AI35" s="376"/>
      <c r="AJ35" s="390"/>
      <c r="AL35" s="522" t="str">
        <f t="shared" si="2"/>
        <v>H/M/28/2024</v>
      </c>
      <c r="AM35" s="44" t="str">
        <f t="shared" si="3"/>
        <v>-</v>
      </c>
      <c r="AQ35" s="588"/>
      <c r="AR35" s="284">
        <f t="shared" si="11"/>
        <v>28</v>
      </c>
      <c r="AS35" s="284" t="str">
        <f t="shared" si="5"/>
        <v>H/M/28/2024</v>
      </c>
      <c r="AT35" s="284" t="str">
        <f t="shared" si="6"/>
        <v>ABDULLA KHALID YOUSUF   ARCHPIX</v>
      </c>
      <c r="AU35">
        <v>28</v>
      </c>
      <c r="AV35">
        <v>28</v>
      </c>
    </row>
    <row r="36" spans="1:48">
      <c r="A36" s="306">
        <v>29</v>
      </c>
      <c r="B36" s="396" t="str">
        <f t="shared" si="9"/>
        <v>H/M/29/2024</v>
      </c>
      <c r="C36" s="397"/>
      <c r="D36" s="405">
        <v>231</v>
      </c>
      <c r="E36" s="306" t="s">
        <v>909</v>
      </c>
      <c r="F36" s="380">
        <v>16040</v>
      </c>
      <c r="G36" s="381">
        <v>802</v>
      </c>
      <c r="H36" s="286">
        <v>16842</v>
      </c>
      <c r="I36" s="380">
        <v>16842</v>
      </c>
      <c r="J36" s="382">
        <f t="shared" si="1"/>
        <v>0</v>
      </c>
      <c r="K36" s="383"/>
      <c r="L36" s="383"/>
      <c r="M36" s="383"/>
      <c r="N36" s="388"/>
      <c r="O36" s="388"/>
      <c r="P36" s="388"/>
      <c r="Q36" s="388"/>
      <c r="R36" s="388"/>
      <c r="S36" s="389"/>
      <c r="T36" s="388"/>
      <c r="U36" s="389"/>
      <c r="V36" s="388"/>
      <c r="W36" s="389"/>
      <c r="X36" s="376"/>
      <c r="Y36" s="390"/>
      <c r="Z36" s="376"/>
      <c r="AA36" s="390"/>
      <c r="AB36" s="376"/>
      <c r="AC36" s="390"/>
      <c r="AD36" s="376"/>
      <c r="AE36" s="390"/>
      <c r="AF36" s="376"/>
      <c r="AG36" s="390"/>
      <c r="AH36" s="390"/>
      <c r="AI36" s="376"/>
      <c r="AJ36" s="390"/>
      <c r="AL36" s="522" t="str">
        <f t="shared" si="2"/>
        <v>H/M/29/2024</v>
      </c>
      <c r="AM36" s="44" t="str">
        <f t="shared" si="3"/>
        <v>-</v>
      </c>
      <c r="AQ36" s="588"/>
      <c r="AR36" s="284">
        <f t="shared" si="11"/>
        <v>29</v>
      </c>
      <c r="AS36" s="284" t="str">
        <f t="shared" si="5"/>
        <v>H/M/29/2024</v>
      </c>
      <c r="AT36" s="284" t="str">
        <f t="shared" si="6"/>
        <v>MR.Mohamed Khamis</v>
      </c>
      <c r="AU36">
        <f t="shared" ref="AU36:AU67" si="12">VALUE(MID(AV36,9,3))</f>
        <v>29</v>
      </c>
      <c r="AV36" s="3" t="s">
        <v>1650</v>
      </c>
    </row>
    <row r="37" spans="1:48">
      <c r="A37" s="306">
        <v>30</v>
      </c>
      <c r="B37" s="396" t="str">
        <f t="shared" si="9"/>
        <v>H/M/30/2024</v>
      </c>
      <c r="C37" s="397"/>
      <c r="D37" s="405">
        <v>223</v>
      </c>
      <c r="E37" s="306" t="s">
        <v>910</v>
      </c>
      <c r="F37" s="380">
        <v>4062.6</v>
      </c>
      <c r="G37" s="380">
        <v>203.13</v>
      </c>
      <c r="H37" s="286">
        <v>4265.7299999999996</v>
      </c>
      <c r="I37" s="380">
        <v>4265.7299999999996</v>
      </c>
      <c r="J37" s="382">
        <f t="shared" si="1"/>
        <v>0</v>
      </c>
      <c r="K37" s="383"/>
      <c r="L37" s="383"/>
      <c r="M37" s="383"/>
      <c r="N37" s="388"/>
      <c r="O37" s="388"/>
      <c r="P37" s="388"/>
      <c r="Q37" s="388"/>
      <c r="R37" s="388"/>
      <c r="S37" s="389"/>
      <c r="T37" s="388"/>
      <c r="U37" s="389"/>
      <c r="V37" s="388"/>
      <c r="W37" s="389"/>
      <c r="X37" s="376"/>
      <c r="Y37" s="390"/>
      <c r="Z37" s="376"/>
      <c r="AA37" s="390"/>
      <c r="AB37" s="376"/>
      <c r="AC37" s="390"/>
      <c r="AD37" s="376"/>
      <c r="AE37" s="390"/>
      <c r="AF37" s="376"/>
      <c r="AG37" s="390"/>
      <c r="AH37" s="390"/>
      <c r="AI37" s="376"/>
      <c r="AJ37" s="390"/>
      <c r="AL37" s="522" t="str">
        <f t="shared" si="2"/>
        <v>H/M/30/2024</v>
      </c>
      <c r="AM37" s="44" t="str">
        <f t="shared" si="3"/>
        <v>-</v>
      </c>
      <c r="AQ37" s="588"/>
      <c r="AR37" s="284">
        <f t="shared" si="11"/>
        <v>30</v>
      </c>
      <c r="AS37" s="284" t="str">
        <f t="shared" si="5"/>
        <v>H/M/30/2024</v>
      </c>
      <c r="AT37" s="284" t="str">
        <f t="shared" si="6"/>
        <v>Marwan - DR . Ibtesam</v>
      </c>
      <c r="AU37">
        <f t="shared" si="12"/>
        <v>30</v>
      </c>
      <c r="AV37" s="3" t="s">
        <v>1646</v>
      </c>
    </row>
    <row r="38" spans="1:48">
      <c r="A38" s="391" t="s">
        <v>911</v>
      </c>
      <c r="B38" s="391" t="str">
        <f t="shared" si="9"/>
        <v>H/M/31R/2024</v>
      </c>
      <c r="C38" s="391"/>
      <c r="D38" s="391">
        <v>211</v>
      </c>
      <c r="E38" s="391" t="s">
        <v>912</v>
      </c>
      <c r="F38" s="392">
        <v>34148</v>
      </c>
      <c r="G38" s="392">
        <v>1707.4</v>
      </c>
      <c r="H38" s="287">
        <v>35855.4</v>
      </c>
      <c r="I38" s="392">
        <v>35000</v>
      </c>
      <c r="J38" s="382">
        <f t="shared" si="1"/>
        <v>855.40000000000146</v>
      </c>
      <c r="K38" s="383"/>
      <c r="L38" s="383"/>
      <c r="M38" s="383"/>
      <c r="N38" s="388"/>
      <c r="O38" s="388"/>
      <c r="P38" s="388"/>
      <c r="Q38" s="388"/>
      <c r="R38" s="388"/>
      <c r="S38" s="389"/>
      <c r="T38" s="388"/>
      <c r="U38" s="389"/>
      <c r="V38" s="388"/>
      <c r="W38" s="389"/>
      <c r="X38" s="376"/>
      <c r="Y38" s="390"/>
      <c r="Z38" s="376"/>
      <c r="AA38" s="390"/>
      <c r="AB38" s="376"/>
      <c r="AC38" s="390"/>
      <c r="AD38" s="376"/>
      <c r="AE38" s="390"/>
      <c r="AF38" s="376"/>
      <c r="AG38" s="390"/>
      <c r="AH38" s="390"/>
      <c r="AI38" s="376"/>
      <c r="AJ38" s="390"/>
      <c r="AL38" s="522" t="str">
        <f t="shared" si="2"/>
        <v>H/M/31R/2024</v>
      </c>
      <c r="AM38" s="44" t="str">
        <f t="shared" si="3"/>
        <v>-</v>
      </c>
      <c r="AQ38" s="588"/>
      <c r="AR38" s="284" t="str">
        <f t="shared" si="11"/>
        <v>31R</v>
      </c>
      <c r="AS38" s="284" t="str">
        <f t="shared" si="5"/>
        <v>H/M/31R/2024</v>
      </c>
      <c r="AT38" s="284" t="str">
        <f t="shared" si="6"/>
        <v>Ahmed Ghanim . Asri</v>
      </c>
      <c r="AU38">
        <f t="shared" si="12"/>
        <v>31</v>
      </c>
      <c r="AV38" s="3" t="s">
        <v>1647</v>
      </c>
    </row>
    <row r="39" spans="1:48">
      <c r="A39" s="306">
        <v>32</v>
      </c>
      <c r="B39" s="396" t="str">
        <f t="shared" si="9"/>
        <v>H/M/32/2024</v>
      </c>
      <c r="C39" s="397"/>
      <c r="D39" s="405">
        <v>238</v>
      </c>
      <c r="E39" s="306" t="s">
        <v>913</v>
      </c>
      <c r="F39" s="380">
        <v>22000</v>
      </c>
      <c r="G39" s="381">
        <v>1100</v>
      </c>
      <c r="H39" s="286">
        <v>23100</v>
      </c>
      <c r="I39" s="380">
        <v>23100</v>
      </c>
      <c r="J39" s="382">
        <f t="shared" si="1"/>
        <v>0</v>
      </c>
      <c r="K39" s="383"/>
      <c r="L39" s="383"/>
      <c r="M39" s="383"/>
      <c r="N39" s="388"/>
      <c r="O39" s="388"/>
      <c r="P39" s="388"/>
      <c r="Q39" s="388"/>
      <c r="R39" s="388"/>
      <c r="S39" s="389"/>
      <c r="T39" s="388"/>
      <c r="U39" s="389"/>
      <c r="V39" s="388"/>
      <c r="W39" s="389"/>
      <c r="X39" s="376"/>
      <c r="Y39" s="390"/>
      <c r="Z39" s="376"/>
      <c r="AA39" s="390"/>
      <c r="AB39" s="376"/>
      <c r="AC39" s="390"/>
      <c r="AD39" s="376"/>
      <c r="AE39" s="390"/>
      <c r="AF39" s="376"/>
      <c r="AG39" s="390"/>
      <c r="AH39" s="390"/>
      <c r="AI39" s="376"/>
      <c r="AJ39" s="390"/>
      <c r="AL39" s="522" t="str">
        <f t="shared" si="2"/>
        <v>H/M/32/2024</v>
      </c>
      <c r="AM39" s="44" t="str">
        <f t="shared" si="3"/>
        <v>-</v>
      </c>
      <c r="AQ39" s="588"/>
      <c r="AR39" s="284">
        <f t="shared" si="11"/>
        <v>32</v>
      </c>
      <c r="AS39" s="284" t="str">
        <f t="shared" si="5"/>
        <v>H/M/32/2024</v>
      </c>
      <c r="AT39" s="284" t="str">
        <f t="shared" si="6"/>
        <v>MR . Harith Areej</v>
      </c>
      <c r="AU39">
        <f t="shared" si="12"/>
        <v>32</v>
      </c>
      <c r="AV39" s="3" t="s">
        <v>1648</v>
      </c>
    </row>
    <row r="40" spans="1:48">
      <c r="A40" s="306">
        <v>33</v>
      </c>
      <c r="B40" s="396" t="str">
        <f t="shared" si="9"/>
        <v>H/M/33/2024</v>
      </c>
      <c r="C40" s="397"/>
      <c r="D40" s="405">
        <v>257</v>
      </c>
      <c r="E40" s="306" t="s">
        <v>914</v>
      </c>
      <c r="F40" s="380">
        <v>66400</v>
      </c>
      <c r="G40" s="380">
        <v>3320</v>
      </c>
      <c r="H40" s="286">
        <v>69720</v>
      </c>
      <c r="I40" s="380">
        <v>69720</v>
      </c>
      <c r="J40" s="382">
        <f t="shared" si="1"/>
        <v>0</v>
      </c>
      <c r="K40" s="383"/>
      <c r="L40" s="383"/>
      <c r="M40" s="383"/>
      <c r="N40" s="388"/>
      <c r="O40" s="388"/>
      <c r="P40" s="388"/>
      <c r="Q40" s="388"/>
      <c r="R40" s="388"/>
      <c r="S40" s="389"/>
      <c r="T40" s="388"/>
      <c r="U40" s="389"/>
      <c r="V40" s="388"/>
      <c r="W40" s="389"/>
      <c r="X40" s="376"/>
      <c r="Y40" s="390"/>
      <c r="Z40" s="376"/>
      <c r="AA40" s="390"/>
      <c r="AB40" s="376"/>
      <c r="AC40" s="390"/>
      <c r="AD40" s="376"/>
      <c r="AE40" s="390"/>
      <c r="AF40" s="376"/>
      <c r="AG40" s="390"/>
      <c r="AH40" s="390"/>
      <c r="AI40" s="376"/>
      <c r="AJ40" s="390"/>
      <c r="AL40" s="522" t="str">
        <f t="shared" si="2"/>
        <v>H/M/33/2024</v>
      </c>
      <c r="AM40" s="44" t="str">
        <f t="shared" si="3"/>
        <v>-</v>
      </c>
      <c r="AQ40" s="588"/>
      <c r="AR40" s="284">
        <f t="shared" si="11"/>
        <v>33</v>
      </c>
      <c r="AS40" s="284" t="str">
        <f t="shared" si="5"/>
        <v>H/M/33/2024</v>
      </c>
      <c r="AT40" s="284" t="str">
        <f t="shared" si="6"/>
        <v>Naaema Ertikaz</v>
      </c>
      <c r="AU40">
        <f t="shared" si="12"/>
        <v>33</v>
      </c>
      <c r="AV40" t="s">
        <v>1649</v>
      </c>
    </row>
    <row r="41" spans="1:48">
      <c r="A41" s="306">
        <v>34</v>
      </c>
      <c r="B41" s="396" t="str">
        <f t="shared" si="9"/>
        <v>H/M/34/2024</v>
      </c>
      <c r="C41" s="397"/>
      <c r="D41" s="405">
        <v>260</v>
      </c>
      <c r="E41" s="306" t="s">
        <v>915</v>
      </c>
      <c r="F41" s="380">
        <v>39000</v>
      </c>
      <c r="G41" s="381">
        <v>1950</v>
      </c>
      <c r="H41" s="286">
        <v>40950</v>
      </c>
      <c r="I41" s="380">
        <v>40950</v>
      </c>
      <c r="J41" s="382">
        <f t="shared" si="1"/>
        <v>0</v>
      </c>
      <c r="K41" s="383"/>
      <c r="L41" s="383"/>
      <c r="M41" s="383"/>
      <c r="N41" s="388"/>
      <c r="O41" s="388"/>
      <c r="P41" s="388"/>
      <c r="Q41" s="388"/>
      <c r="R41" s="388"/>
      <c r="S41" s="389"/>
      <c r="T41" s="388"/>
      <c r="U41" s="389"/>
      <c r="V41" s="388"/>
      <c r="W41" s="389"/>
      <c r="X41" s="376"/>
      <c r="Y41" s="390"/>
      <c r="Z41" s="376"/>
      <c r="AA41" s="390"/>
      <c r="AB41" s="376"/>
      <c r="AC41" s="390"/>
      <c r="AD41" s="376"/>
      <c r="AE41" s="390"/>
      <c r="AF41" s="376"/>
      <c r="AG41" s="390"/>
      <c r="AH41" s="390"/>
      <c r="AI41" s="376"/>
      <c r="AJ41" s="390"/>
      <c r="AL41" s="522" t="str">
        <f t="shared" si="2"/>
        <v>H/M/34/2024</v>
      </c>
      <c r="AM41" s="44" t="str">
        <f t="shared" si="3"/>
        <v>-</v>
      </c>
      <c r="AQ41" s="588"/>
      <c r="AR41" s="284">
        <f t="shared" si="11"/>
        <v>34</v>
      </c>
      <c r="AS41" s="284" t="str">
        <f t="shared" si="5"/>
        <v>H/M/34/2024</v>
      </c>
      <c r="AT41" s="284" t="str">
        <f t="shared" si="6"/>
        <v>MR. ISMAIL ABDULRAHMAN</v>
      </c>
      <c r="AU41">
        <f t="shared" si="12"/>
        <v>38</v>
      </c>
      <c r="AV41" t="s">
        <v>1651</v>
      </c>
    </row>
    <row r="42" spans="1:48">
      <c r="A42" s="306">
        <v>35</v>
      </c>
      <c r="B42" s="396" t="str">
        <f t="shared" si="9"/>
        <v>H/M/35/2024</v>
      </c>
      <c r="C42" s="397"/>
      <c r="D42" s="405">
        <v>261</v>
      </c>
      <c r="E42" s="306" t="s">
        <v>916</v>
      </c>
      <c r="F42" s="380">
        <v>34500</v>
      </c>
      <c r="G42" s="381">
        <v>1725</v>
      </c>
      <c r="H42" s="286">
        <v>36225</v>
      </c>
      <c r="I42" s="380">
        <v>36225</v>
      </c>
      <c r="J42" s="382">
        <f t="shared" si="1"/>
        <v>0</v>
      </c>
      <c r="K42" s="383"/>
      <c r="L42" s="383"/>
      <c r="M42" s="383"/>
      <c r="N42" s="388"/>
      <c r="O42" s="388"/>
      <c r="P42" s="388"/>
      <c r="Q42" s="388"/>
      <c r="R42" s="388"/>
      <c r="S42" s="389"/>
      <c r="T42" s="388"/>
      <c r="U42" s="389"/>
      <c r="V42" s="388"/>
      <c r="W42" s="389"/>
      <c r="X42" s="376"/>
      <c r="Y42" s="390"/>
      <c r="Z42" s="376"/>
      <c r="AA42" s="390"/>
      <c r="AB42" s="376"/>
      <c r="AC42" s="390"/>
      <c r="AD42" s="376"/>
      <c r="AE42" s="390"/>
      <c r="AF42" s="376"/>
      <c r="AG42" s="390"/>
      <c r="AH42" s="390"/>
      <c r="AI42" s="376"/>
      <c r="AJ42" s="390"/>
      <c r="AL42" s="522" t="str">
        <f t="shared" si="2"/>
        <v>H/M/35/2024</v>
      </c>
      <c r="AM42" s="44" t="str">
        <f t="shared" si="3"/>
        <v>-</v>
      </c>
      <c r="AQ42" s="588"/>
      <c r="AR42" s="284">
        <f t="shared" si="11"/>
        <v>35</v>
      </c>
      <c r="AS42" s="284" t="str">
        <f t="shared" si="5"/>
        <v>H/M/35/2024</v>
      </c>
      <c r="AT42" s="284" t="str">
        <f t="shared" si="6"/>
        <v>MR. AAREFA ABDULAZIZ</v>
      </c>
      <c r="AU42">
        <f t="shared" si="12"/>
        <v>39</v>
      </c>
      <c r="AV42" t="s">
        <v>1652</v>
      </c>
    </row>
    <row r="43" spans="1:48">
      <c r="A43" s="306">
        <v>36</v>
      </c>
      <c r="B43" s="396" t="str">
        <f t="shared" si="9"/>
        <v>H/M/36/2024</v>
      </c>
      <c r="C43" s="397"/>
      <c r="D43" s="405">
        <v>265</v>
      </c>
      <c r="E43" s="306" t="s">
        <v>917</v>
      </c>
      <c r="F43" s="380">
        <v>35250</v>
      </c>
      <c r="G43" s="380">
        <v>1762.5</v>
      </c>
      <c r="H43" s="286">
        <v>37012.5</v>
      </c>
      <c r="I43" s="380">
        <v>37012.5</v>
      </c>
      <c r="J43" s="382">
        <f t="shared" si="1"/>
        <v>0</v>
      </c>
      <c r="K43" s="383"/>
      <c r="L43" s="383"/>
      <c r="M43" s="383"/>
      <c r="N43" s="388"/>
      <c r="O43" s="388"/>
      <c r="P43" s="388"/>
      <c r="Q43" s="388"/>
      <c r="R43" s="388"/>
      <c r="S43" s="389"/>
      <c r="T43" s="388"/>
      <c r="U43" s="389"/>
      <c r="V43" s="388"/>
      <c r="W43" s="389"/>
      <c r="X43" s="376"/>
      <c r="Y43" s="390"/>
      <c r="Z43" s="376"/>
      <c r="AA43" s="390"/>
      <c r="AB43" s="376"/>
      <c r="AC43" s="390"/>
      <c r="AD43" s="376"/>
      <c r="AE43" s="390"/>
      <c r="AF43" s="376"/>
      <c r="AG43" s="390"/>
      <c r="AH43" s="390"/>
      <c r="AI43" s="376"/>
      <c r="AJ43" s="390"/>
      <c r="AL43" s="522" t="str">
        <f t="shared" si="2"/>
        <v>H/M/36/2024</v>
      </c>
      <c r="AM43" s="44" t="str">
        <f t="shared" si="3"/>
        <v>-</v>
      </c>
      <c r="AQ43" s="588"/>
      <c r="AR43" s="284">
        <f t="shared" si="11"/>
        <v>36</v>
      </c>
      <c r="AS43" s="284" t="str">
        <f t="shared" si="5"/>
        <v>H/M/36/2024</v>
      </c>
      <c r="AT43" s="284" t="str">
        <f t="shared" si="6"/>
        <v>MR. Omar Sultan</v>
      </c>
      <c r="AU43">
        <f t="shared" si="12"/>
        <v>40</v>
      </c>
      <c r="AV43" t="s">
        <v>1654</v>
      </c>
    </row>
    <row r="44" spans="1:48">
      <c r="A44" s="306">
        <v>37</v>
      </c>
      <c r="B44" s="396" t="str">
        <f t="shared" si="9"/>
        <v>H/M/37/2024</v>
      </c>
      <c r="C44" s="397"/>
      <c r="D44" s="405">
        <v>264</v>
      </c>
      <c r="E44" s="306" t="s">
        <v>918</v>
      </c>
      <c r="F44" s="380">
        <v>28571.43</v>
      </c>
      <c r="G44" s="380">
        <v>1428.5715</v>
      </c>
      <c r="H44" s="286">
        <v>30000.001499999998</v>
      </c>
      <c r="I44" s="380">
        <v>30000</v>
      </c>
      <c r="J44" s="382">
        <f t="shared" si="1"/>
        <v>1.4999999984866008E-3</v>
      </c>
      <c r="K44" s="383"/>
      <c r="L44" s="383"/>
      <c r="M44" s="383"/>
      <c r="N44" s="388"/>
      <c r="O44" s="388"/>
      <c r="P44" s="388"/>
      <c r="Q44" s="388"/>
      <c r="R44" s="388"/>
      <c r="S44" s="389"/>
      <c r="T44" s="388"/>
      <c r="U44" s="389"/>
      <c r="V44" s="388"/>
      <c r="W44" s="389"/>
      <c r="X44" s="376"/>
      <c r="Y44" s="390"/>
      <c r="Z44" s="376"/>
      <c r="AA44" s="390"/>
      <c r="AB44" s="376"/>
      <c r="AC44" s="390"/>
      <c r="AD44" s="376"/>
      <c r="AE44" s="390"/>
      <c r="AF44" s="376"/>
      <c r="AG44" s="390"/>
      <c r="AH44" s="390"/>
      <c r="AI44" s="376"/>
      <c r="AJ44" s="390"/>
      <c r="AL44" s="522" t="str">
        <f t="shared" si="2"/>
        <v>H/M/37/2024</v>
      </c>
      <c r="AM44" s="44" t="str">
        <f t="shared" si="3"/>
        <v>-</v>
      </c>
      <c r="AQ44" s="588"/>
      <c r="AR44" s="284">
        <f t="shared" si="11"/>
        <v>37</v>
      </c>
      <c r="AS44" s="284" t="str">
        <f t="shared" si="5"/>
        <v>H/M/37/2024</v>
      </c>
      <c r="AT44" s="284" t="str">
        <f t="shared" si="6"/>
        <v>MR. RASHED KHALIFA</v>
      </c>
      <c r="AU44">
        <f t="shared" si="12"/>
        <v>41</v>
      </c>
      <c r="AV44" t="s">
        <v>1655</v>
      </c>
    </row>
    <row r="45" spans="1:48">
      <c r="A45" s="306">
        <v>38</v>
      </c>
      <c r="B45" s="396" t="str">
        <f t="shared" si="9"/>
        <v>H/M/38/2024</v>
      </c>
      <c r="C45" s="397"/>
      <c r="D45" s="405">
        <v>253</v>
      </c>
      <c r="E45" s="306" t="s">
        <v>919</v>
      </c>
      <c r="F45" s="380">
        <v>18375</v>
      </c>
      <c r="G45" s="380">
        <v>918.75</v>
      </c>
      <c r="H45" s="286">
        <v>19293.75</v>
      </c>
      <c r="I45" s="380">
        <v>19293.75</v>
      </c>
      <c r="J45" s="382">
        <f t="shared" si="1"/>
        <v>0</v>
      </c>
      <c r="K45" s="383"/>
      <c r="L45" s="383"/>
      <c r="M45" s="383"/>
      <c r="N45" s="388"/>
      <c r="O45" s="388"/>
      <c r="P45" s="388"/>
      <c r="Q45" s="388"/>
      <c r="R45" s="388"/>
      <c r="S45" s="389"/>
      <c r="T45" s="388"/>
      <c r="U45" s="389"/>
      <c r="V45" s="388"/>
      <c r="W45" s="389"/>
      <c r="X45" s="376"/>
      <c r="Y45" s="390"/>
      <c r="Z45" s="376"/>
      <c r="AA45" s="390"/>
      <c r="AB45" s="376"/>
      <c r="AC45" s="390"/>
      <c r="AD45" s="376"/>
      <c r="AE45" s="390"/>
      <c r="AF45" s="376"/>
      <c r="AG45" s="390"/>
      <c r="AH45" s="390"/>
      <c r="AI45" s="376"/>
      <c r="AJ45" s="390"/>
      <c r="AL45" s="522" t="str">
        <f t="shared" si="2"/>
        <v>H/M/38/2024</v>
      </c>
      <c r="AM45" s="44" t="str">
        <f t="shared" si="3"/>
        <v>-</v>
      </c>
      <c r="AQ45" s="588"/>
      <c r="AR45" s="284">
        <f t="shared" si="11"/>
        <v>38</v>
      </c>
      <c r="AS45" s="284" t="str">
        <f t="shared" si="5"/>
        <v>H/M/38/2024</v>
      </c>
      <c r="AT45" s="284" t="str">
        <f t="shared" si="6"/>
        <v>SHIHAB ELANAB</v>
      </c>
      <c r="AU45">
        <f t="shared" si="12"/>
        <v>42</v>
      </c>
      <c r="AV45" t="s">
        <v>1672</v>
      </c>
    </row>
    <row r="46" spans="1:48">
      <c r="A46" s="306">
        <v>39</v>
      </c>
      <c r="B46" s="396" t="str">
        <f t="shared" si="9"/>
        <v>H/M/39/2024</v>
      </c>
      <c r="C46" s="397"/>
      <c r="D46" s="405">
        <v>238</v>
      </c>
      <c r="E46" s="306" t="s">
        <v>920</v>
      </c>
      <c r="F46" s="380">
        <v>88000</v>
      </c>
      <c r="G46" s="380">
        <v>4400</v>
      </c>
      <c r="H46" s="286">
        <v>92400</v>
      </c>
      <c r="I46" s="380">
        <v>92400</v>
      </c>
      <c r="J46" s="382">
        <f t="shared" si="1"/>
        <v>0</v>
      </c>
      <c r="K46" s="383"/>
      <c r="L46" s="383"/>
      <c r="M46" s="383"/>
      <c r="N46" s="388"/>
      <c r="O46" s="388"/>
      <c r="P46" s="388"/>
      <c r="Q46" s="388"/>
      <c r="R46" s="388"/>
      <c r="S46" s="389"/>
      <c r="T46" s="388"/>
      <c r="U46" s="389"/>
      <c r="V46" s="388"/>
      <c r="W46" s="389"/>
      <c r="X46" s="376"/>
      <c r="Y46" s="390"/>
      <c r="Z46" s="376"/>
      <c r="AA46" s="390"/>
      <c r="AB46" s="376"/>
      <c r="AC46" s="390"/>
      <c r="AD46" s="376"/>
      <c r="AE46" s="390"/>
      <c r="AF46" s="376"/>
      <c r="AG46" s="390"/>
      <c r="AH46" s="390"/>
      <c r="AI46" s="376"/>
      <c r="AJ46" s="390"/>
      <c r="AL46" s="522" t="str">
        <f t="shared" si="2"/>
        <v>H/M/39/2024</v>
      </c>
      <c r="AM46" s="44" t="str">
        <f t="shared" si="3"/>
        <v>-</v>
      </c>
      <c r="AQ46" s="588"/>
      <c r="AR46" s="284">
        <f t="shared" si="11"/>
        <v>39</v>
      </c>
      <c r="AS46" s="284" t="str">
        <f t="shared" si="5"/>
        <v>H/M/39/2024</v>
      </c>
      <c r="AT46" s="284" t="str">
        <f t="shared" si="6"/>
        <v>Harith areej</v>
      </c>
      <c r="AU46">
        <f t="shared" si="12"/>
        <v>43</v>
      </c>
      <c r="AV46" t="s">
        <v>1658</v>
      </c>
    </row>
    <row r="47" spans="1:48">
      <c r="A47" s="306">
        <v>40</v>
      </c>
      <c r="B47" s="396" t="str">
        <f t="shared" si="9"/>
        <v>H/M/40/2024</v>
      </c>
      <c r="C47" s="397"/>
      <c r="D47" s="405">
        <v>265</v>
      </c>
      <c r="E47" s="306" t="s">
        <v>921</v>
      </c>
      <c r="F47" s="380">
        <v>4285.71</v>
      </c>
      <c r="G47" s="380">
        <v>214.28550000000001</v>
      </c>
      <c r="H47" s="286">
        <v>4499.9955</v>
      </c>
      <c r="I47" s="380">
        <v>4500</v>
      </c>
      <c r="J47" s="382">
        <f t="shared" si="1"/>
        <v>-4.500000000007276E-3</v>
      </c>
      <c r="K47" s="383"/>
      <c r="L47" s="383"/>
      <c r="M47" s="383"/>
      <c r="N47" s="388"/>
      <c r="O47" s="388"/>
      <c r="P47" s="388"/>
      <c r="Q47" s="388"/>
      <c r="R47" s="388"/>
      <c r="S47" s="389"/>
      <c r="T47" s="388"/>
      <c r="U47" s="389"/>
      <c r="V47" s="388"/>
      <c r="W47" s="389"/>
      <c r="X47" s="376"/>
      <c r="Y47" s="390"/>
      <c r="Z47" s="376"/>
      <c r="AA47" s="390"/>
      <c r="AB47" s="376"/>
      <c r="AC47" s="390"/>
      <c r="AD47" s="376"/>
      <c r="AE47" s="390"/>
      <c r="AF47" s="376"/>
      <c r="AG47" s="390"/>
      <c r="AH47" s="390"/>
      <c r="AI47" s="376"/>
      <c r="AJ47" s="390"/>
      <c r="AL47" s="522" t="str">
        <f t="shared" si="2"/>
        <v>H/M/40/2024</v>
      </c>
      <c r="AM47" s="44" t="str">
        <f t="shared" si="3"/>
        <v>-</v>
      </c>
      <c r="AQ47" s="588"/>
      <c r="AR47" s="284">
        <f t="shared" si="11"/>
        <v>40</v>
      </c>
      <c r="AS47" s="284" t="str">
        <f t="shared" si="5"/>
        <v>H/M/40/2024</v>
      </c>
      <c r="AT47" s="284" t="str">
        <f t="shared" si="6"/>
        <v>Mr Sultan</v>
      </c>
      <c r="AU47">
        <f t="shared" si="12"/>
        <v>46</v>
      </c>
      <c r="AV47" t="s">
        <v>1665</v>
      </c>
    </row>
    <row r="48" spans="1:48">
      <c r="A48" s="306">
        <v>41</v>
      </c>
      <c r="B48" s="396" t="str">
        <f t="shared" si="9"/>
        <v>H/M/41/2024</v>
      </c>
      <c r="C48" s="397"/>
      <c r="D48" s="405"/>
      <c r="E48" s="393" t="s">
        <v>922</v>
      </c>
      <c r="F48" s="380">
        <v>9000</v>
      </c>
      <c r="G48" s="380">
        <v>450</v>
      </c>
      <c r="H48" s="286">
        <v>9450</v>
      </c>
      <c r="I48" s="380">
        <v>9450</v>
      </c>
      <c r="J48" s="382">
        <f t="shared" si="1"/>
        <v>0</v>
      </c>
      <c r="K48" s="383"/>
      <c r="L48" s="383"/>
      <c r="M48" s="383"/>
      <c r="N48" s="388"/>
      <c r="O48" s="388"/>
      <c r="P48" s="388"/>
      <c r="Q48" s="388"/>
      <c r="R48" s="388"/>
      <c r="S48" s="389"/>
      <c r="T48" s="388"/>
      <c r="U48" s="389"/>
      <c r="V48" s="388"/>
      <c r="W48" s="389"/>
      <c r="X48" s="376"/>
      <c r="Y48" s="390"/>
      <c r="Z48" s="376"/>
      <c r="AA48" s="390"/>
      <c r="AB48" s="376"/>
      <c r="AC48" s="390"/>
      <c r="AD48" s="376"/>
      <c r="AE48" s="390"/>
      <c r="AF48" s="376"/>
      <c r="AG48" s="390"/>
      <c r="AH48" s="390"/>
      <c r="AI48" s="376"/>
      <c r="AJ48" s="390"/>
      <c r="AL48" s="522" t="str">
        <f t="shared" si="2"/>
        <v>H/M/41/2024</v>
      </c>
      <c r="AM48" s="44" t="str">
        <f t="shared" si="3"/>
        <v>-</v>
      </c>
      <c r="AQ48" s="588"/>
      <c r="AR48" s="284">
        <f t="shared" si="11"/>
        <v>41</v>
      </c>
      <c r="AS48" s="284" t="str">
        <f t="shared" si="5"/>
        <v>H/M/41/2024</v>
      </c>
      <c r="AT48" s="284" t="str">
        <f t="shared" si="6"/>
        <v>Mr khalifa muhasina</v>
      </c>
      <c r="AU48">
        <f t="shared" si="12"/>
        <v>47</v>
      </c>
      <c r="AV48" t="s">
        <v>1662</v>
      </c>
    </row>
    <row r="49" spans="1:49">
      <c r="A49" s="306">
        <v>42</v>
      </c>
      <c r="B49" s="396" t="str">
        <f t="shared" si="9"/>
        <v>H/M/42/2024</v>
      </c>
      <c r="C49" s="397"/>
      <c r="D49" s="405">
        <v>265</v>
      </c>
      <c r="E49" s="306" t="s">
        <v>923</v>
      </c>
      <c r="F49" s="380">
        <v>11500</v>
      </c>
      <c r="G49" s="380">
        <v>575</v>
      </c>
      <c r="H49" s="286">
        <v>12075</v>
      </c>
      <c r="I49" s="380">
        <v>12075</v>
      </c>
      <c r="J49" s="382">
        <f t="shared" si="1"/>
        <v>0</v>
      </c>
      <c r="K49" s="383"/>
      <c r="L49" s="383"/>
      <c r="M49" s="383"/>
      <c r="N49" s="388"/>
      <c r="O49" s="388"/>
      <c r="P49" s="388"/>
      <c r="Q49" s="388"/>
      <c r="R49" s="388"/>
      <c r="S49" s="389"/>
      <c r="T49" s="388"/>
      <c r="U49" s="389"/>
      <c r="V49" s="388"/>
      <c r="W49" s="389"/>
      <c r="X49" s="376"/>
      <c r="Y49" s="390"/>
      <c r="Z49" s="376"/>
      <c r="AA49" s="390"/>
      <c r="AB49" s="376"/>
      <c r="AC49" s="390"/>
      <c r="AD49" s="376"/>
      <c r="AE49" s="390"/>
      <c r="AF49" s="376"/>
      <c r="AG49" s="390"/>
      <c r="AH49" s="390"/>
      <c r="AI49" s="376"/>
      <c r="AJ49" s="390"/>
      <c r="AL49" s="522" t="str">
        <f t="shared" si="2"/>
        <v>H/M/42/2024</v>
      </c>
      <c r="AM49" s="44" t="str">
        <f t="shared" si="3"/>
        <v>-</v>
      </c>
      <c r="AQ49" s="588"/>
      <c r="AR49" s="284">
        <f t="shared" si="11"/>
        <v>42</v>
      </c>
      <c r="AS49" s="284" t="str">
        <f t="shared" si="5"/>
        <v>H/M/42/2024</v>
      </c>
      <c r="AT49" s="284" t="str">
        <f t="shared" si="6"/>
        <v>Mr OMAR SULTAN</v>
      </c>
      <c r="AU49">
        <f t="shared" si="12"/>
        <v>48</v>
      </c>
      <c r="AV49" t="s">
        <v>1663</v>
      </c>
    </row>
    <row r="50" spans="1:49">
      <c r="A50" s="1594">
        <v>43</v>
      </c>
      <c r="B50" s="1645" t="str">
        <f t="shared" si="9"/>
        <v>H/M/43/2024</v>
      </c>
      <c r="C50" s="1646"/>
      <c r="D50" s="1647">
        <v>241</v>
      </c>
      <c r="E50" s="1594" t="s">
        <v>924</v>
      </c>
      <c r="F50" s="1598">
        <v>68000</v>
      </c>
      <c r="G50" s="1598">
        <v>3400</v>
      </c>
      <c r="H50" s="1648">
        <v>71400</v>
      </c>
      <c r="I50" s="1598">
        <v>65000</v>
      </c>
      <c r="J50" s="382">
        <f t="shared" si="1"/>
        <v>6400</v>
      </c>
      <c r="K50" s="383"/>
      <c r="L50" s="383"/>
      <c r="M50" s="383"/>
      <c r="N50" s="388"/>
      <c r="O50" s="388"/>
      <c r="P50" s="388"/>
      <c r="Q50" s="388"/>
      <c r="R50" s="388"/>
      <c r="S50" s="389"/>
      <c r="T50" s="388"/>
      <c r="U50" s="389"/>
      <c r="V50" s="388"/>
      <c r="W50" s="389"/>
      <c r="X50" s="376"/>
      <c r="Y50" s="390"/>
      <c r="Z50" s="376"/>
      <c r="AA50" s="390"/>
      <c r="AB50" s="376"/>
      <c r="AC50" s="390"/>
      <c r="AD50" s="376"/>
      <c r="AE50" s="390"/>
      <c r="AF50" s="376"/>
      <c r="AG50" s="390"/>
      <c r="AH50" s="390"/>
      <c r="AI50" s="376"/>
      <c r="AJ50" s="390"/>
      <c r="AL50" s="522" t="str">
        <f t="shared" si="2"/>
        <v>H/M/43/2024</v>
      </c>
      <c r="AM50" s="44" t="str">
        <f t="shared" si="3"/>
        <v>-</v>
      </c>
      <c r="AQ50" s="588"/>
      <c r="AR50" s="284">
        <f t="shared" si="11"/>
        <v>43</v>
      </c>
      <c r="AS50" s="284" t="str">
        <f t="shared" si="5"/>
        <v>H/M/43/2024</v>
      </c>
      <c r="AT50" s="284" t="str">
        <f t="shared" si="6"/>
        <v>khalifa .ARCHPIX</v>
      </c>
      <c r="AU50">
        <f t="shared" si="12"/>
        <v>49</v>
      </c>
      <c r="AV50" t="s">
        <v>1664</v>
      </c>
    </row>
    <row r="51" spans="1:49">
      <c r="A51" s="48">
        <v>44</v>
      </c>
      <c r="B51" s="378" t="str">
        <f t="shared" si="9"/>
        <v>H/M/44/2024</v>
      </c>
      <c r="C51" s="379"/>
      <c r="D51" s="404">
        <v>215</v>
      </c>
      <c r="E51" s="77" t="s">
        <v>925</v>
      </c>
      <c r="F51" s="394">
        <v>45000</v>
      </c>
      <c r="G51" s="394">
        <v>2250</v>
      </c>
      <c r="H51" s="288">
        <v>47250</v>
      </c>
      <c r="I51" s="394">
        <v>0</v>
      </c>
      <c r="J51" s="382" t="str">
        <f t="shared" si="1"/>
        <v/>
      </c>
      <c r="K51" s="383"/>
      <c r="L51" s="383"/>
      <c r="M51" s="383"/>
      <c r="N51" s="388"/>
      <c r="O51" s="388"/>
      <c r="P51" s="388"/>
      <c r="Q51" s="388"/>
      <c r="R51" s="388"/>
      <c r="S51" s="389"/>
      <c r="T51" s="388"/>
      <c r="U51" s="389"/>
      <c r="V51" s="388"/>
      <c r="W51" s="389"/>
      <c r="X51" s="376"/>
      <c r="Y51" s="390"/>
      <c r="Z51" s="376"/>
      <c r="AA51" s="390"/>
      <c r="AB51" s="376"/>
      <c r="AC51" s="390"/>
      <c r="AD51" s="376"/>
      <c r="AE51" s="390"/>
      <c r="AF51" s="376"/>
      <c r="AG51" s="390"/>
      <c r="AH51" s="390"/>
      <c r="AI51" s="376"/>
      <c r="AJ51" s="390"/>
      <c r="AL51" s="522" t="str">
        <f t="shared" si="2"/>
        <v>H/M/44/2024</v>
      </c>
      <c r="AM51" s="44" t="str">
        <f t="shared" si="3"/>
        <v>-</v>
      </c>
      <c r="AQ51" s="588"/>
      <c r="AR51" s="284">
        <f t="shared" si="11"/>
        <v>44</v>
      </c>
      <c r="AS51" s="284" t="str">
        <f t="shared" si="5"/>
        <v>H/M/44/2024</v>
      </c>
      <c r="AT51" s="284" t="str">
        <f t="shared" si="6"/>
        <v xml:space="preserve"> MR - SAIF ABBAS . IDEAL</v>
      </c>
      <c r="AU51">
        <f t="shared" si="12"/>
        <v>50</v>
      </c>
      <c r="AV51" t="s">
        <v>1670</v>
      </c>
    </row>
    <row r="52" spans="1:49">
      <c r="A52" s="364">
        <v>45</v>
      </c>
      <c r="B52" s="364" t="str">
        <f t="shared" si="9"/>
        <v>H/M/45/2024</v>
      </c>
      <c r="C52" s="364"/>
      <c r="D52" s="364">
        <v>254</v>
      </c>
      <c r="E52" s="364"/>
      <c r="F52" s="395"/>
      <c r="G52" s="395">
        <v>0</v>
      </c>
      <c r="H52" s="289">
        <v>0</v>
      </c>
      <c r="I52" s="394">
        <v>0</v>
      </c>
      <c r="J52" s="382" t="str">
        <f t="shared" si="1"/>
        <v/>
      </c>
      <c r="K52" s="383"/>
      <c r="L52" s="383"/>
      <c r="M52" s="383"/>
      <c r="N52" s="388"/>
      <c r="O52" s="388"/>
      <c r="P52" s="388"/>
      <c r="Q52" s="388"/>
      <c r="R52" s="388"/>
      <c r="S52" s="389"/>
      <c r="T52" s="388"/>
      <c r="U52" s="389"/>
      <c r="V52" s="388"/>
      <c r="W52" s="389"/>
      <c r="X52" s="376"/>
      <c r="Y52" s="390"/>
      <c r="Z52" s="376"/>
      <c r="AA52" s="390"/>
      <c r="AB52" s="376"/>
      <c r="AC52" s="390"/>
      <c r="AD52" s="376"/>
      <c r="AE52" s="390"/>
      <c r="AF52" s="376"/>
      <c r="AG52" s="390"/>
      <c r="AH52" s="390"/>
      <c r="AI52" s="376"/>
      <c r="AJ52" s="390"/>
      <c r="AL52" s="522" t="str">
        <f t="shared" si="2"/>
        <v>H/M/45/2024</v>
      </c>
      <c r="AM52" s="44" t="str">
        <f t="shared" si="3"/>
        <v>-</v>
      </c>
      <c r="AQ52" s="588"/>
      <c r="AR52" s="284">
        <f t="shared" si="11"/>
        <v>45</v>
      </c>
      <c r="AS52" s="284" t="str">
        <f t="shared" si="5"/>
        <v>H/M/45/2024</v>
      </c>
      <c r="AT52" s="284">
        <f t="shared" si="6"/>
        <v>0</v>
      </c>
      <c r="AU52">
        <f t="shared" si="12"/>
        <v>51</v>
      </c>
      <c r="AV52" t="s">
        <v>1668</v>
      </c>
    </row>
    <row r="53" spans="1:49">
      <c r="A53" s="387">
        <v>46</v>
      </c>
      <c r="B53" s="396" t="str">
        <f t="shared" si="9"/>
        <v>H/M/46/2024</v>
      </c>
      <c r="C53" s="397"/>
      <c r="D53" s="405">
        <v>217</v>
      </c>
      <c r="E53" s="306" t="s">
        <v>926</v>
      </c>
      <c r="F53" s="380">
        <v>65800</v>
      </c>
      <c r="G53" s="380">
        <v>3290</v>
      </c>
      <c r="H53" s="286">
        <v>69090</v>
      </c>
      <c r="I53" s="380">
        <v>69090</v>
      </c>
      <c r="J53" s="382">
        <f t="shared" si="1"/>
        <v>0</v>
      </c>
      <c r="K53" s="383"/>
      <c r="L53" s="383"/>
      <c r="M53" s="383"/>
      <c r="N53" s="388"/>
      <c r="O53" s="388"/>
      <c r="P53" s="388"/>
      <c r="Q53" s="388"/>
      <c r="R53" s="388"/>
      <c r="S53" s="389"/>
      <c r="T53" s="388"/>
      <c r="U53" s="389"/>
      <c r="V53" s="388"/>
      <c r="W53" s="389"/>
      <c r="X53" s="376"/>
      <c r="Y53" s="390"/>
      <c r="Z53" s="376"/>
      <c r="AA53" s="390"/>
      <c r="AB53" s="376"/>
      <c r="AC53" s="390"/>
      <c r="AD53" s="376"/>
      <c r="AE53" s="390"/>
      <c r="AF53" s="376"/>
      <c r="AG53" s="390"/>
      <c r="AH53" s="390"/>
      <c r="AI53" s="376"/>
      <c r="AJ53" s="390"/>
      <c r="AL53" s="522" t="str">
        <f t="shared" si="2"/>
        <v>H/M/46/2024</v>
      </c>
      <c r="AM53" s="44" t="str">
        <f t="shared" si="3"/>
        <v>-</v>
      </c>
      <c r="AQ53" s="588"/>
      <c r="AR53" s="284">
        <f t="shared" si="11"/>
        <v>46</v>
      </c>
      <c r="AS53" s="284" t="str">
        <f t="shared" si="5"/>
        <v>H/M/46/2024</v>
      </c>
      <c r="AT53" s="284" t="str">
        <f t="shared" si="6"/>
        <v>MOHAMED MYHAIR . ITLIA</v>
      </c>
      <c r="AU53">
        <f t="shared" si="12"/>
        <v>52</v>
      </c>
      <c r="AV53" t="s">
        <v>1666</v>
      </c>
    </row>
    <row r="54" spans="1:49">
      <c r="A54" s="387">
        <v>47</v>
      </c>
      <c r="B54" s="396" t="str">
        <f t="shared" si="9"/>
        <v>H/M/47/2024</v>
      </c>
      <c r="C54" s="397"/>
      <c r="D54" s="405">
        <v>216</v>
      </c>
      <c r="E54" s="306" t="s">
        <v>927</v>
      </c>
      <c r="F54" s="380">
        <v>62040</v>
      </c>
      <c r="G54" s="380">
        <v>3102</v>
      </c>
      <c r="H54" s="286">
        <v>65142</v>
      </c>
      <c r="I54" s="380">
        <v>65142</v>
      </c>
      <c r="J54" s="382">
        <f t="shared" si="1"/>
        <v>0</v>
      </c>
      <c r="K54" s="383"/>
      <c r="L54" s="383"/>
      <c r="M54" s="383"/>
      <c r="N54" s="388"/>
      <c r="O54" s="388"/>
      <c r="P54" s="388"/>
      <c r="Q54" s="388"/>
      <c r="R54" s="388"/>
      <c r="S54" s="389"/>
      <c r="T54" s="388"/>
      <c r="U54" s="389"/>
      <c r="V54" s="388"/>
      <c r="W54" s="389"/>
      <c r="X54" s="376"/>
      <c r="Y54" s="390"/>
      <c r="Z54" s="376"/>
      <c r="AA54" s="390"/>
      <c r="AB54" s="376"/>
      <c r="AC54" s="390"/>
      <c r="AD54" s="376"/>
      <c r="AE54" s="390"/>
      <c r="AF54" s="376"/>
      <c r="AG54" s="390"/>
      <c r="AH54" s="390"/>
      <c r="AI54" s="376"/>
      <c r="AJ54" s="390"/>
      <c r="AL54" s="522" t="str">
        <f t="shared" si="2"/>
        <v>H/M/47/2024</v>
      </c>
      <c r="AM54" s="44" t="str">
        <f t="shared" si="3"/>
        <v>-</v>
      </c>
      <c r="AQ54" s="588"/>
      <c r="AR54" s="284">
        <f t="shared" si="11"/>
        <v>47</v>
      </c>
      <c r="AS54" s="284" t="str">
        <f t="shared" si="5"/>
        <v>H/M/47/2024</v>
      </c>
      <c r="AT54" s="284" t="str">
        <f t="shared" si="6"/>
        <v>MYHAIR . ITLIA</v>
      </c>
      <c r="AU54">
        <f t="shared" si="12"/>
        <v>53</v>
      </c>
      <c r="AV54" t="s">
        <v>1671</v>
      </c>
    </row>
    <row r="55" spans="1:49">
      <c r="A55" s="387">
        <v>48</v>
      </c>
      <c r="B55" s="396" t="str">
        <f t="shared" si="9"/>
        <v>H/M/48/2024</v>
      </c>
      <c r="C55" s="397"/>
      <c r="D55" s="405">
        <v>227</v>
      </c>
      <c r="E55" s="306" t="s">
        <v>928</v>
      </c>
      <c r="F55" s="380">
        <v>107391.3</v>
      </c>
      <c r="G55" s="380">
        <v>5369.5650000000005</v>
      </c>
      <c r="H55" s="286">
        <v>112760.86500000001</v>
      </c>
      <c r="I55" s="380">
        <v>112760.87</v>
      </c>
      <c r="J55" s="382">
        <f t="shared" si="1"/>
        <v>-4.9999999901046976E-3</v>
      </c>
      <c r="K55" s="383"/>
      <c r="L55" s="383"/>
      <c r="M55" s="383"/>
      <c r="N55" s="388"/>
      <c r="O55" s="388"/>
      <c r="P55" s="388"/>
      <c r="Q55" s="388"/>
      <c r="R55" s="388"/>
      <c r="S55" s="389"/>
      <c r="T55" s="388"/>
      <c r="U55" s="389"/>
      <c r="V55" s="388"/>
      <c r="W55" s="389"/>
      <c r="X55" s="376"/>
      <c r="Y55" s="390"/>
      <c r="Z55" s="376"/>
      <c r="AA55" s="390"/>
      <c r="AB55" s="376"/>
      <c r="AC55" s="390"/>
      <c r="AD55" s="376"/>
      <c r="AE55" s="390"/>
      <c r="AF55" s="376"/>
      <c r="AG55" s="390"/>
      <c r="AH55" s="390"/>
      <c r="AI55" s="376"/>
      <c r="AJ55" s="390"/>
      <c r="AL55" s="522" t="str">
        <f t="shared" si="2"/>
        <v>H/M/48/2024</v>
      </c>
      <c r="AM55" s="44" t="str">
        <f t="shared" si="3"/>
        <v>-</v>
      </c>
      <c r="AQ55" s="588"/>
      <c r="AR55" s="284">
        <f t="shared" si="11"/>
        <v>48</v>
      </c>
      <c r="AS55" s="284" t="str">
        <f t="shared" si="5"/>
        <v>H/M/48/2024</v>
      </c>
      <c r="AT55" s="284" t="str">
        <f t="shared" si="6"/>
        <v>Ahmed Saif Mohamed Al shamsi</v>
      </c>
      <c r="AU55">
        <f t="shared" si="12"/>
        <v>54</v>
      </c>
      <c r="AV55" t="s">
        <v>1673</v>
      </c>
    </row>
    <row r="56" spans="1:49">
      <c r="A56" s="387">
        <v>49</v>
      </c>
      <c r="B56" s="396" t="str">
        <f t="shared" si="9"/>
        <v>H/M/49/2024</v>
      </c>
      <c r="C56" s="397"/>
      <c r="D56" s="405">
        <v>225</v>
      </c>
      <c r="E56" s="306" t="s">
        <v>929</v>
      </c>
      <c r="F56" s="380">
        <v>58452.36</v>
      </c>
      <c r="G56" s="380">
        <v>2922.6180000000004</v>
      </c>
      <c r="H56" s="286">
        <v>61374.978000000003</v>
      </c>
      <c r="I56" s="380">
        <v>61374.98</v>
      </c>
      <c r="J56" s="382">
        <f t="shared" si="1"/>
        <v>-2.0000000004074536E-3</v>
      </c>
      <c r="K56" s="383"/>
      <c r="L56" s="383"/>
      <c r="M56" s="383"/>
      <c r="N56" s="388"/>
      <c r="O56" s="388"/>
      <c r="P56" s="388"/>
      <c r="Q56" s="388"/>
      <c r="R56" s="388"/>
      <c r="S56" s="389"/>
      <c r="T56" s="388"/>
      <c r="U56" s="389"/>
      <c r="V56" s="388"/>
      <c r="W56" s="389"/>
      <c r="X56" s="376"/>
      <c r="Y56" s="390"/>
      <c r="Z56" s="376"/>
      <c r="AA56" s="390"/>
      <c r="AB56" s="376"/>
      <c r="AC56" s="390"/>
      <c r="AD56" s="376"/>
      <c r="AE56" s="390"/>
      <c r="AF56" s="376"/>
      <c r="AG56" s="390"/>
      <c r="AH56" s="390"/>
      <c r="AI56" s="376"/>
      <c r="AJ56" s="390"/>
      <c r="AL56" s="522" t="str">
        <f t="shared" si="2"/>
        <v>H/M/49/2024</v>
      </c>
      <c r="AM56" s="44" t="str">
        <f t="shared" si="3"/>
        <v>-</v>
      </c>
      <c r="AQ56" s="588"/>
      <c r="AR56" s="284">
        <f t="shared" si="11"/>
        <v>49</v>
      </c>
      <c r="AS56" s="284" t="str">
        <f t="shared" si="5"/>
        <v>H/M/49/2024</v>
      </c>
      <c r="AT56" s="284" t="str">
        <f t="shared" si="6"/>
        <v xml:space="preserve"> MS - HESSA</v>
      </c>
      <c r="AU56">
        <f t="shared" si="12"/>
        <v>55</v>
      </c>
      <c r="AV56" t="s">
        <v>1674</v>
      </c>
    </row>
    <row r="57" spans="1:49">
      <c r="A57" s="387">
        <v>50</v>
      </c>
      <c r="B57" s="396" t="str">
        <f t="shared" si="9"/>
        <v>H/M/50/2024</v>
      </c>
      <c r="C57" s="397"/>
      <c r="D57" s="405">
        <v>221</v>
      </c>
      <c r="E57" s="306" t="s">
        <v>930</v>
      </c>
      <c r="F57" s="380">
        <v>50670</v>
      </c>
      <c r="G57" s="380">
        <v>2533.5</v>
      </c>
      <c r="H57" s="286">
        <v>53203.5</v>
      </c>
      <c r="I57" s="380">
        <v>53300</v>
      </c>
      <c r="J57" s="382">
        <f t="shared" si="1"/>
        <v>-96.5</v>
      </c>
      <c r="K57" s="383"/>
      <c r="L57" s="383"/>
      <c r="M57" s="383"/>
      <c r="N57" s="388"/>
      <c r="O57" s="388"/>
      <c r="P57" s="388"/>
      <c r="Q57" s="388"/>
      <c r="R57" s="388"/>
      <c r="S57" s="389"/>
      <c r="T57" s="388"/>
      <c r="U57" s="389"/>
      <c r="V57" s="388"/>
      <c r="W57" s="389"/>
      <c r="X57" s="376"/>
      <c r="Y57" s="390"/>
      <c r="Z57" s="376"/>
      <c r="AA57" s="390"/>
      <c r="AB57" s="376"/>
      <c r="AC57" s="390"/>
      <c r="AD57" s="376"/>
      <c r="AE57" s="390"/>
      <c r="AF57" s="376"/>
      <c r="AG57" s="390"/>
      <c r="AH57" s="390"/>
      <c r="AI57" s="376"/>
      <c r="AJ57" s="390"/>
      <c r="AL57" s="522" t="str">
        <f t="shared" si="2"/>
        <v>H/M/50/2024</v>
      </c>
      <c r="AM57" s="44" t="str">
        <f t="shared" si="3"/>
        <v>-</v>
      </c>
      <c r="AQ57" s="588"/>
      <c r="AR57" s="284">
        <f t="shared" si="11"/>
        <v>50</v>
      </c>
      <c r="AS57" s="284" t="str">
        <f t="shared" si="5"/>
        <v>H/M/50/2024</v>
      </c>
      <c r="AT57" s="284" t="str">
        <f t="shared" si="6"/>
        <v xml:space="preserve"> MR.SAEED ARCHPIX</v>
      </c>
      <c r="AU57">
        <f t="shared" si="12"/>
        <v>56</v>
      </c>
      <c r="AV57" t="s">
        <v>1675</v>
      </c>
    </row>
    <row r="58" spans="1:49">
      <c r="A58" s="387">
        <v>51</v>
      </c>
      <c r="B58" s="396" t="str">
        <f t="shared" si="9"/>
        <v>H/M/51/2024</v>
      </c>
      <c r="C58" s="397"/>
      <c r="D58" s="405"/>
      <c r="E58" s="306" t="s">
        <v>931</v>
      </c>
      <c r="F58" s="380">
        <v>30000</v>
      </c>
      <c r="G58" s="380">
        <v>1500</v>
      </c>
      <c r="H58" s="286">
        <v>31500</v>
      </c>
      <c r="I58" s="380">
        <v>31500</v>
      </c>
      <c r="J58" s="382">
        <f t="shared" si="1"/>
        <v>0</v>
      </c>
      <c r="K58" s="383"/>
      <c r="L58" s="383"/>
      <c r="M58" s="383"/>
      <c r="N58" s="388"/>
      <c r="O58" s="388"/>
      <c r="P58" s="388"/>
      <c r="Q58" s="388"/>
      <c r="R58" s="388"/>
      <c r="S58" s="389"/>
      <c r="T58" s="388"/>
      <c r="U58" s="389"/>
      <c r="V58" s="388"/>
      <c r="W58" s="389"/>
      <c r="X58" s="376"/>
      <c r="Y58" s="390"/>
      <c r="Z58" s="376"/>
      <c r="AA58" s="390"/>
      <c r="AB58" s="376"/>
      <c r="AC58" s="390"/>
      <c r="AD58" s="376"/>
      <c r="AE58" s="390"/>
      <c r="AF58" s="376"/>
      <c r="AG58" s="390"/>
      <c r="AH58" s="390"/>
      <c r="AI58" s="376"/>
      <c r="AJ58" s="390"/>
      <c r="AL58" s="522" t="str">
        <f t="shared" si="2"/>
        <v>H/M/51/2024</v>
      </c>
      <c r="AM58" s="44" t="str">
        <f t="shared" si="3"/>
        <v>-</v>
      </c>
      <c r="AQ58" s="588"/>
      <c r="AR58" s="284">
        <f t="shared" si="11"/>
        <v>51</v>
      </c>
      <c r="AS58" s="284" t="str">
        <f t="shared" si="5"/>
        <v>H/M/51/2024</v>
      </c>
      <c r="AT58" s="284" t="str">
        <f t="shared" si="6"/>
        <v xml:space="preserve">SEVEN SEAS </v>
      </c>
      <c r="AU58">
        <f t="shared" si="12"/>
        <v>57</v>
      </c>
      <c r="AV58" t="s">
        <v>1676</v>
      </c>
    </row>
    <row r="59" spans="1:49">
      <c r="A59" s="391">
        <v>52</v>
      </c>
      <c r="B59" s="396" t="str">
        <f t="shared" si="9"/>
        <v>H/M/52/2024</v>
      </c>
      <c r="C59" s="397"/>
      <c r="D59" s="405"/>
      <c r="E59" s="306" t="s">
        <v>906</v>
      </c>
      <c r="F59" s="380">
        <v>32946</v>
      </c>
      <c r="G59" s="380">
        <v>1647.3000000000002</v>
      </c>
      <c r="H59" s="286">
        <v>34593.300000000003</v>
      </c>
      <c r="I59" s="380">
        <v>34593</v>
      </c>
      <c r="J59" s="382">
        <f t="shared" si="1"/>
        <v>0.30000000000291038</v>
      </c>
      <c r="K59" s="383"/>
      <c r="L59" s="383"/>
      <c r="M59" s="383"/>
      <c r="N59" s="388"/>
      <c r="O59" s="388"/>
      <c r="P59" s="388"/>
      <c r="Q59" s="388"/>
      <c r="R59" s="388"/>
      <c r="S59" s="389"/>
      <c r="T59" s="388"/>
      <c r="U59" s="389"/>
      <c r="V59" s="388"/>
      <c r="W59" s="389"/>
      <c r="X59" s="376"/>
      <c r="Y59" s="390"/>
      <c r="Z59" s="376"/>
      <c r="AA59" s="390"/>
      <c r="AB59" s="376"/>
      <c r="AC59" s="390"/>
      <c r="AD59" s="376"/>
      <c r="AE59" s="390"/>
      <c r="AF59" s="376"/>
      <c r="AG59" s="390"/>
      <c r="AH59" s="390"/>
      <c r="AI59" s="376"/>
      <c r="AJ59" s="390"/>
      <c r="AL59" s="522" t="str">
        <f t="shared" si="2"/>
        <v>H/M/52/2024</v>
      </c>
      <c r="AM59" s="44" t="str">
        <f t="shared" si="3"/>
        <v>-</v>
      </c>
      <c r="AQ59" s="588"/>
      <c r="AR59" s="284">
        <f t="shared" si="11"/>
        <v>52</v>
      </c>
      <c r="AS59" s="284" t="str">
        <f t="shared" si="5"/>
        <v>H/M/52/2024</v>
      </c>
      <c r="AT59" s="284" t="str">
        <f t="shared" si="6"/>
        <v>MR. MOHAMED JASSEM</v>
      </c>
      <c r="AU59">
        <f t="shared" si="12"/>
        <v>58</v>
      </c>
      <c r="AV59" s="3" t="s">
        <v>1681</v>
      </c>
    </row>
    <row r="60" spans="1:49" s="3" customFormat="1" ht="16.5" customHeight="1">
      <c r="A60" s="387">
        <v>53</v>
      </c>
      <c r="B60" s="396" t="str">
        <f t="shared" si="9"/>
        <v>H/M/53/2024</v>
      </c>
      <c r="C60" s="397"/>
      <c r="D60" s="405">
        <v>246</v>
      </c>
      <c r="E60" s="306" t="s">
        <v>932</v>
      </c>
      <c r="F60" s="380">
        <v>72000</v>
      </c>
      <c r="G60" s="380">
        <v>3600</v>
      </c>
      <c r="H60" s="286">
        <v>75600</v>
      </c>
      <c r="I60" s="380">
        <v>75600</v>
      </c>
      <c r="J60" s="382">
        <f t="shared" si="1"/>
        <v>0</v>
      </c>
      <c r="K60" s="383"/>
      <c r="L60" s="383"/>
      <c r="M60" s="383"/>
      <c r="N60" s="388"/>
      <c r="O60" s="388"/>
      <c r="P60" s="388"/>
      <c r="Q60" s="388"/>
      <c r="R60" s="388"/>
      <c r="S60" s="389"/>
      <c r="T60" s="388"/>
      <c r="U60" s="389"/>
      <c r="V60" s="388"/>
      <c r="W60" s="389"/>
      <c r="X60" s="376"/>
      <c r="Y60" s="390"/>
      <c r="Z60" s="376"/>
      <c r="AA60" s="390"/>
      <c r="AB60" s="376"/>
      <c r="AC60" s="390"/>
      <c r="AD60" s="376"/>
      <c r="AE60" s="390"/>
      <c r="AF60" s="376"/>
      <c r="AG60" s="390"/>
      <c r="AH60" s="390"/>
      <c r="AI60" s="376"/>
      <c r="AJ60" s="390"/>
      <c r="AL60" s="522" t="str">
        <f t="shared" si="2"/>
        <v>H/M/53/2024</v>
      </c>
      <c r="AM60" s="44" t="str">
        <f t="shared" si="3"/>
        <v>-</v>
      </c>
      <c r="AQ60" s="588"/>
      <c r="AR60" s="284">
        <f t="shared" si="11"/>
        <v>53</v>
      </c>
      <c r="AS60" s="284" t="str">
        <f t="shared" si="5"/>
        <v>H/M/53/2024</v>
      </c>
      <c r="AT60" s="284" t="str">
        <f t="shared" si="6"/>
        <v>MR. Marzok Matroshi</v>
      </c>
      <c r="AU60">
        <f t="shared" si="12"/>
        <v>60</v>
      </c>
      <c r="AV60" s="3" t="s">
        <v>1678</v>
      </c>
      <c r="AW60"/>
    </row>
    <row r="61" spans="1:49" s="3" customFormat="1" ht="16.5" customHeight="1">
      <c r="A61" s="387">
        <v>54</v>
      </c>
      <c r="B61" s="396" t="str">
        <f t="shared" si="9"/>
        <v>H/M/54/2024</v>
      </c>
      <c r="C61" s="397"/>
      <c r="D61" s="405">
        <v>249</v>
      </c>
      <c r="E61" s="306" t="s">
        <v>933</v>
      </c>
      <c r="F61" s="380">
        <v>90000</v>
      </c>
      <c r="G61" s="380">
        <v>4500</v>
      </c>
      <c r="H61" s="286">
        <v>94500</v>
      </c>
      <c r="I61" s="380">
        <v>94500</v>
      </c>
      <c r="J61" s="382">
        <f t="shared" si="1"/>
        <v>0</v>
      </c>
      <c r="K61" s="383"/>
      <c r="L61" s="383"/>
      <c r="M61" s="383"/>
      <c r="N61" s="388"/>
      <c r="O61" s="388"/>
      <c r="P61" s="388"/>
      <c r="Q61" s="388"/>
      <c r="R61" s="388"/>
      <c r="S61" s="389"/>
      <c r="T61" s="388"/>
      <c r="U61" s="389"/>
      <c r="V61" s="388"/>
      <c r="W61" s="389"/>
      <c r="X61" s="376"/>
      <c r="Y61" s="390"/>
      <c r="Z61" s="376"/>
      <c r="AA61" s="390"/>
      <c r="AB61" s="376"/>
      <c r="AC61" s="390"/>
      <c r="AD61" s="376"/>
      <c r="AE61" s="390"/>
      <c r="AF61" s="376"/>
      <c r="AG61" s="390"/>
      <c r="AH61" s="390"/>
      <c r="AI61" s="376"/>
      <c r="AJ61" s="390"/>
      <c r="AL61" s="522" t="str">
        <f t="shared" si="2"/>
        <v>H/M/54/2024</v>
      </c>
      <c r="AM61" s="44" t="str">
        <f t="shared" si="3"/>
        <v>-</v>
      </c>
      <c r="AN61" t="e">
        <f>VALUE(MID(AV13,9,3))</f>
        <v>#VALUE!</v>
      </c>
      <c r="AQ61" s="588"/>
      <c r="AR61" s="284">
        <f t="shared" si="11"/>
        <v>54</v>
      </c>
      <c r="AS61" s="284" t="str">
        <f t="shared" si="5"/>
        <v>H/M/54/2024</v>
      </c>
      <c r="AT61" s="284" t="str">
        <f t="shared" si="6"/>
        <v>MR. Farooq Marzooki</v>
      </c>
      <c r="AU61">
        <f t="shared" si="12"/>
        <v>61</v>
      </c>
      <c r="AV61" t="s">
        <v>1679</v>
      </c>
      <c r="AW61"/>
    </row>
    <row r="62" spans="1:49" s="3" customFormat="1" ht="16.5" customHeight="1">
      <c r="A62" s="48">
        <v>55</v>
      </c>
      <c r="B62" s="396" t="str">
        <f t="shared" si="9"/>
        <v>H/M/55/2024</v>
      </c>
      <c r="C62" s="397">
        <v>45423</v>
      </c>
      <c r="D62" s="405">
        <v>202</v>
      </c>
      <c r="E62" s="306" t="s">
        <v>934</v>
      </c>
      <c r="F62" s="380">
        <v>10000</v>
      </c>
      <c r="G62" s="380">
        <v>500</v>
      </c>
      <c r="H62" s="286">
        <v>10500</v>
      </c>
      <c r="I62" s="380">
        <v>10500</v>
      </c>
      <c r="J62" s="382">
        <f t="shared" si="1"/>
        <v>0</v>
      </c>
      <c r="K62" s="383"/>
      <c r="L62" s="383"/>
      <c r="M62" s="383"/>
      <c r="N62" s="388"/>
      <c r="O62" s="388"/>
      <c r="P62" s="388"/>
      <c r="Q62" s="388"/>
      <c r="R62" s="388"/>
      <c r="S62" s="389"/>
      <c r="T62" s="388"/>
      <c r="U62" s="389"/>
      <c r="V62" s="388"/>
      <c r="W62" s="389"/>
      <c r="X62" s="376"/>
      <c r="Y62" s="390"/>
      <c r="Z62" s="376"/>
      <c r="AA62" s="390"/>
      <c r="AB62" s="376"/>
      <c r="AC62" s="390"/>
      <c r="AD62" s="376"/>
      <c r="AE62" s="390"/>
      <c r="AF62" s="376"/>
      <c r="AG62" s="390"/>
      <c r="AH62" s="390"/>
      <c r="AI62" s="376"/>
      <c r="AJ62" s="390"/>
      <c r="AL62" s="522" t="str">
        <f t="shared" si="2"/>
        <v>H/M/55/2024</v>
      </c>
      <c r="AM62" s="44">
        <f t="shared" si="3"/>
        <v>45423</v>
      </c>
      <c r="AN62" t="e">
        <f t="shared" ref="AN62:AN70" si="13">VALUE(MID(AO62,9,3))</f>
        <v>#VALUE!</v>
      </c>
      <c r="AO62" t="s">
        <v>1656</v>
      </c>
      <c r="AQ62" s="588"/>
      <c r="AR62" s="284">
        <f t="shared" si="11"/>
        <v>55</v>
      </c>
      <c r="AS62" s="284" t="str">
        <f t="shared" si="5"/>
        <v>H/M/55/2024</v>
      </c>
      <c r="AT62" s="284" t="str">
        <f t="shared" si="6"/>
        <v xml:space="preserve"> MR. AHMED HELAL</v>
      </c>
      <c r="AU62">
        <f t="shared" si="12"/>
        <v>62</v>
      </c>
      <c r="AV62" t="s">
        <v>1680</v>
      </c>
    </row>
    <row r="63" spans="1:49" s="3" customFormat="1" ht="16.5" customHeight="1">
      <c r="A63" s="48">
        <v>56</v>
      </c>
      <c r="B63" s="396" t="str">
        <f t="shared" si="9"/>
        <v>H/M/56/2024</v>
      </c>
      <c r="C63" s="397">
        <v>45423</v>
      </c>
      <c r="D63" s="405">
        <v>202</v>
      </c>
      <c r="E63" s="306" t="s">
        <v>935</v>
      </c>
      <c r="F63" s="380">
        <v>28250</v>
      </c>
      <c r="G63" s="380">
        <f>F63*5%</f>
        <v>1412.5</v>
      </c>
      <c r="H63" s="286">
        <f>G63+F63</f>
        <v>29662.5</v>
      </c>
      <c r="I63" s="380">
        <v>29662.5</v>
      </c>
      <c r="J63" s="382">
        <f t="shared" si="1"/>
        <v>0</v>
      </c>
      <c r="K63" s="383"/>
      <c r="L63" s="383"/>
      <c r="M63" s="383"/>
      <c r="N63" s="388"/>
      <c r="O63" s="388"/>
      <c r="P63" s="388"/>
      <c r="Q63" s="388"/>
      <c r="R63" s="388"/>
      <c r="S63" s="389"/>
      <c r="T63" s="388"/>
      <c r="U63" s="389"/>
      <c r="V63" s="388"/>
      <c r="W63" s="389"/>
      <c r="X63" s="376"/>
      <c r="Y63" s="390"/>
      <c r="Z63" s="376"/>
      <c r="AA63" s="390"/>
      <c r="AB63" s="376"/>
      <c r="AC63" s="390"/>
      <c r="AD63" s="376"/>
      <c r="AE63" s="390"/>
      <c r="AF63" s="376"/>
      <c r="AG63" s="390"/>
      <c r="AH63" s="390"/>
      <c r="AI63" s="376"/>
      <c r="AJ63" s="390"/>
      <c r="AL63" s="522" t="str">
        <f t="shared" si="2"/>
        <v>H/M/56/2024</v>
      </c>
      <c r="AM63" s="44">
        <f t="shared" si="3"/>
        <v>45423</v>
      </c>
      <c r="AN63" t="e">
        <f t="shared" si="13"/>
        <v>#VALUE!</v>
      </c>
      <c r="AO63" t="s">
        <v>1657</v>
      </c>
      <c r="AQ63" s="588"/>
      <c r="AR63" s="284">
        <f t="shared" si="11"/>
        <v>56</v>
      </c>
      <c r="AS63" s="284" t="str">
        <f t="shared" si="5"/>
        <v>H/M/56/2024</v>
      </c>
      <c r="AT63" s="284" t="str">
        <f t="shared" si="6"/>
        <v>MR. AHMED HELAL</v>
      </c>
      <c r="AU63">
        <f t="shared" si="12"/>
        <v>63</v>
      </c>
      <c r="AV63" t="s">
        <v>1682</v>
      </c>
    </row>
    <row r="64" spans="1:49" s="3" customFormat="1" ht="16.5" customHeight="1">
      <c r="A64" s="48">
        <v>57</v>
      </c>
      <c r="B64" s="396" t="str">
        <f t="shared" si="9"/>
        <v>H/M/57/2024</v>
      </c>
      <c r="C64" s="397"/>
      <c r="D64" s="405">
        <v>275</v>
      </c>
      <c r="E64" s="306" t="s">
        <v>936</v>
      </c>
      <c r="F64" s="380">
        <v>17700</v>
      </c>
      <c r="G64" s="380">
        <v>885</v>
      </c>
      <c r="H64" s="286">
        <v>18585</v>
      </c>
      <c r="I64" s="380">
        <v>18585</v>
      </c>
      <c r="J64" s="382">
        <f t="shared" si="1"/>
        <v>0</v>
      </c>
      <c r="K64" s="383"/>
      <c r="L64" s="383"/>
      <c r="M64" s="383"/>
      <c r="N64" s="388"/>
      <c r="O64" s="388"/>
      <c r="P64" s="388"/>
      <c r="Q64" s="388"/>
      <c r="R64" s="388"/>
      <c r="S64" s="389"/>
      <c r="T64" s="388"/>
      <c r="U64" s="389"/>
      <c r="V64" s="388"/>
      <c r="W64" s="389"/>
      <c r="X64" s="376"/>
      <c r="Y64" s="390"/>
      <c r="Z64" s="376"/>
      <c r="AA64" s="390"/>
      <c r="AB64" s="376"/>
      <c r="AC64" s="390"/>
      <c r="AD64" s="376"/>
      <c r="AE64" s="390"/>
      <c r="AF64" s="376"/>
      <c r="AG64" s="390"/>
      <c r="AH64" s="390"/>
      <c r="AI64" s="376"/>
      <c r="AJ64" s="390"/>
      <c r="AL64" s="522" t="str">
        <f t="shared" si="2"/>
        <v>H/M/57/2024</v>
      </c>
      <c r="AM64" s="44" t="str">
        <f t="shared" si="3"/>
        <v>-</v>
      </c>
      <c r="AN64" t="e">
        <f t="shared" si="13"/>
        <v>#VALUE!</v>
      </c>
      <c r="AO64" t="s">
        <v>1661</v>
      </c>
      <c r="AQ64" s="588"/>
      <c r="AR64" s="284">
        <f t="shared" si="11"/>
        <v>57</v>
      </c>
      <c r="AS64" s="284" t="str">
        <f t="shared" si="5"/>
        <v>H/M/57/2024</v>
      </c>
      <c r="AT64" s="284" t="str">
        <f t="shared" si="6"/>
        <v xml:space="preserve"> MR. Meshaal Mohamed</v>
      </c>
      <c r="AU64">
        <f t="shared" si="12"/>
        <v>64</v>
      </c>
      <c r="AV64" t="s">
        <v>1683</v>
      </c>
    </row>
    <row r="65" spans="1:48" s="3" customFormat="1" ht="16.5" customHeight="1">
      <c r="A65" s="387">
        <v>58</v>
      </c>
      <c r="B65" s="396" t="str">
        <f t="shared" si="9"/>
        <v>H/M/58/2024</v>
      </c>
      <c r="C65" s="397"/>
      <c r="D65" s="405">
        <v>242</v>
      </c>
      <c r="E65" s="306" t="s">
        <v>937</v>
      </c>
      <c r="F65" s="380">
        <v>80850</v>
      </c>
      <c r="G65" s="380">
        <v>4042.5</v>
      </c>
      <c r="H65" s="286">
        <v>84892.5</v>
      </c>
      <c r="I65" s="380">
        <v>84892.5</v>
      </c>
      <c r="J65" s="382">
        <f t="shared" si="1"/>
        <v>0</v>
      </c>
      <c r="K65" s="383"/>
      <c r="L65" s="383"/>
      <c r="M65" s="383"/>
      <c r="N65" s="388"/>
      <c r="O65" s="388"/>
      <c r="P65" s="388"/>
      <c r="Q65" s="388"/>
      <c r="R65" s="388"/>
      <c r="S65" s="389"/>
      <c r="T65" s="388"/>
      <c r="U65" s="389"/>
      <c r="V65" s="388"/>
      <c r="W65" s="389"/>
      <c r="X65" s="376"/>
      <c r="Y65" s="390"/>
      <c r="Z65" s="376"/>
      <c r="AA65" s="390"/>
      <c r="AB65" s="376"/>
      <c r="AC65" s="390"/>
      <c r="AD65" s="376"/>
      <c r="AE65" s="390"/>
      <c r="AF65" s="376"/>
      <c r="AG65" s="390"/>
      <c r="AH65" s="390"/>
      <c r="AI65" s="376"/>
      <c r="AJ65" s="390"/>
      <c r="AL65" s="522" t="str">
        <f t="shared" si="2"/>
        <v>H/M/58/2024</v>
      </c>
      <c r="AM65" s="44" t="str">
        <f t="shared" si="3"/>
        <v>-</v>
      </c>
      <c r="AN65" t="e">
        <f t="shared" si="13"/>
        <v>#VALUE!</v>
      </c>
      <c r="AO65" t="s">
        <v>1660</v>
      </c>
      <c r="AQ65" s="588"/>
      <c r="AR65" s="284">
        <f t="shared" si="11"/>
        <v>58</v>
      </c>
      <c r="AS65" s="284" t="str">
        <f t="shared" si="5"/>
        <v>H/M/58/2024</v>
      </c>
      <c r="AT65" s="284" t="str">
        <f t="shared" si="6"/>
        <v>MR. Ammar archpix</v>
      </c>
      <c r="AU65">
        <f t="shared" si="12"/>
        <v>66</v>
      </c>
      <c r="AV65" t="s">
        <v>1685</v>
      </c>
    </row>
    <row r="66" spans="1:48" s="3" customFormat="1" ht="16.5" customHeight="1">
      <c r="A66" s="387">
        <v>59</v>
      </c>
      <c r="B66" s="396" t="str">
        <f t="shared" si="9"/>
        <v>H/M/59/2024</v>
      </c>
      <c r="C66" s="397"/>
      <c r="D66" s="405"/>
      <c r="E66" s="306" t="s">
        <v>273</v>
      </c>
      <c r="F66" s="380">
        <v>13581</v>
      </c>
      <c r="G66" s="380">
        <v>2179.0500000000002</v>
      </c>
      <c r="H66" s="286">
        <v>15760.05</v>
      </c>
      <c r="I66" s="380">
        <v>15760.05</v>
      </c>
      <c r="J66" s="382">
        <f t="shared" si="1"/>
        <v>0</v>
      </c>
      <c r="K66" s="383"/>
      <c r="L66" s="383"/>
      <c r="M66" s="383"/>
      <c r="N66" s="388"/>
      <c r="O66" s="388"/>
      <c r="P66" s="388"/>
      <c r="Q66" s="388"/>
      <c r="R66" s="388"/>
      <c r="S66" s="389"/>
      <c r="T66" s="388"/>
      <c r="U66" s="389"/>
      <c r="V66" s="388"/>
      <c r="W66" s="389"/>
      <c r="X66" s="376"/>
      <c r="Y66" s="390"/>
      <c r="Z66" s="376"/>
      <c r="AA66" s="390"/>
      <c r="AB66" s="376"/>
      <c r="AC66" s="390"/>
      <c r="AD66" s="376"/>
      <c r="AE66" s="390"/>
      <c r="AF66" s="376"/>
      <c r="AG66" s="390"/>
      <c r="AH66" s="390"/>
      <c r="AI66" s="376"/>
      <c r="AJ66" s="390"/>
      <c r="AL66" s="522" t="str">
        <f t="shared" si="2"/>
        <v>H/M/59/2024</v>
      </c>
      <c r="AM66" s="44" t="str">
        <f t="shared" si="3"/>
        <v>-</v>
      </c>
      <c r="AN66" t="e">
        <f t="shared" si="13"/>
        <v>#VALUE!</v>
      </c>
      <c r="AO66" t="s">
        <v>1659</v>
      </c>
      <c r="AQ66" s="588"/>
      <c r="AR66" s="284">
        <f t="shared" si="11"/>
        <v>59</v>
      </c>
      <c r="AS66" s="284" t="str">
        <f t="shared" si="5"/>
        <v>H/M/59/2024</v>
      </c>
      <c r="AT66" s="284" t="str">
        <f t="shared" si="6"/>
        <v>ALI SHEHI</v>
      </c>
      <c r="AU66">
        <f t="shared" si="12"/>
        <v>67</v>
      </c>
      <c r="AV66" s="3" t="s">
        <v>1687</v>
      </c>
    </row>
    <row r="67" spans="1:48" s="3" customFormat="1" ht="16.5" customHeight="1">
      <c r="A67" s="387">
        <v>60</v>
      </c>
      <c r="B67" s="396" t="str">
        <f t="shared" si="9"/>
        <v>H/M/60/2024</v>
      </c>
      <c r="C67" s="397"/>
      <c r="D67" s="405">
        <v>103</v>
      </c>
      <c r="E67" s="306" t="s">
        <v>938</v>
      </c>
      <c r="F67" s="380">
        <v>8636</v>
      </c>
      <c r="G67" s="380">
        <v>431.8</v>
      </c>
      <c r="H67" s="286">
        <v>9067.7999999999993</v>
      </c>
      <c r="I67" s="380">
        <v>9067.7999999999993</v>
      </c>
      <c r="J67" s="382">
        <f t="shared" si="1"/>
        <v>0</v>
      </c>
      <c r="K67" s="383"/>
      <c r="L67" s="383"/>
      <c r="M67" s="383"/>
      <c r="N67" s="388"/>
      <c r="O67" s="388"/>
      <c r="P67" s="388"/>
      <c r="Q67" s="388"/>
      <c r="R67" s="388"/>
      <c r="S67" s="389"/>
      <c r="T67" s="388"/>
      <c r="U67" s="389"/>
      <c r="V67" s="388"/>
      <c r="W67" s="389"/>
      <c r="X67" s="376"/>
      <c r="Y67" s="390"/>
      <c r="Z67" s="376"/>
      <c r="AA67" s="390"/>
      <c r="AB67" s="376"/>
      <c r="AC67" s="390"/>
      <c r="AD67" s="376"/>
      <c r="AE67" s="390"/>
      <c r="AF67" s="376"/>
      <c r="AG67" s="390"/>
      <c r="AH67" s="390"/>
      <c r="AI67" s="376"/>
      <c r="AJ67" s="390"/>
      <c r="AL67" s="522" t="str">
        <f t="shared" si="2"/>
        <v>H/M/60/2024</v>
      </c>
      <c r="AM67" s="44" t="str">
        <f t="shared" si="3"/>
        <v>-</v>
      </c>
      <c r="AN67" t="e">
        <f t="shared" si="13"/>
        <v>#VALUE!</v>
      </c>
      <c r="AO67" t="s">
        <v>1684</v>
      </c>
      <c r="AQ67" s="588"/>
      <c r="AR67" s="284">
        <f t="shared" si="11"/>
        <v>60</v>
      </c>
      <c r="AS67" s="284" t="str">
        <f t="shared" si="5"/>
        <v>H/M/60/2024</v>
      </c>
      <c r="AT67" s="284" t="str">
        <f t="shared" si="6"/>
        <v xml:space="preserve"> Fatima . Dynamic</v>
      </c>
      <c r="AU67">
        <f t="shared" si="12"/>
        <v>68</v>
      </c>
      <c r="AV67" s="3" t="s">
        <v>1688</v>
      </c>
    </row>
    <row r="68" spans="1:48" s="3" customFormat="1" ht="16.5" customHeight="1">
      <c r="A68" s="48">
        <v>61</v>
      </c>
      <c r="B68" s="396" t="str">
        <f t="shared" si="9"/>
        <v>H/M/61/2024</v>
      </c>
      <c r="C68" s="397"/>
      <c r="D68" s="405"/>
      <c r="E68" s="306" t="s">
        <v>939</v>
      </c>
      <c r="F68" s="380">
        <v>9750</v>
      </c>
      <c r="G68" s="380">
        <v>487.5</v>
      </c>
      <c r="H68" s="286">
        <v>10237.5</v>
      </c>
      <c r="I68" s="380">
        <v>10237.5</v>
      </c>
      <c r="J68" s="382">
        <f t="shared" si="1"/>
        <v>0</v>
      </c>
      <c r="K68" s="383"/>
      <c r="L68" s="383"/>
      <c r="M68" s="383"/>
      <c r="N68" s="388"/>
      <c r="O68" s="388"/>
      <c r="P68" s="388"/>
      <c r="Q68" s="388"/>
      <c r="R68" s="388"/>
      <c r="S68" s="389"/>
      <c r="T68" s="388"/>
      <c r="U68" s="389"/>
      <c r="V68" s="388"/>
      <c r="W68" s="389"/>
      <c r="X68" s="376"/>
      <c r="Y68" s="390"/>
      <c r="Z68" s="376"/>
      <c r="AA68" s="390"/>
      <c r="AB68" s="376"/>
      <c r="AC68" s="390"/>
      <c r="AD68" s="376"/>
      <c r="AE68" s="390"/>
      <c r="AF68" s="376"/>
      <c r="AG68" s="390"/>
      <c r="AH68" s="390"/>
      <c r="AI68" s="376"/>
      <c r="AJ68" s="390"/>
      <c r="AL68" s="522" t="str">
        <f t="shared" si="2"/>
        <v>H/M/61/2024</v>
      </c>
      <c r="AM68" s="44" t="str">
        <f t="shared" si="3"/>
        <v>-</v>
      </c>
      <c r="AN68" t="e">
        <f t="shared" si="13"/>
        <v>#VALUE!</v>
      </c>
      <c r="AO68" s="3" t="s">
        <v>1700</v>
      </c>
      <c r="AQ68" s="588"/>
      <c r="AR68" s="284">
        <f t="shared" si="11"/>
        <v>61</v>
      </c>
      <c r="AS68" s="284" t="str">
        <f t="shared" si="5"/>
        <v>H/M/61/2024</v>
      </c>
      <c r="AT68" s="284" t="str">
        <f t="shared" si="6"/>
        <v>SAEED . DYNAMIC</v>
      </c>
      <c r="AU68">
        <f t="shared" ref="AU68:AU99" si="14">VALUE(MID(AV68,9,3))</f>
        <v>69</v>
      </c>
      <c r="AV68" t="s">
        <v>1689</v>
      </c>
    </row>
    <row r="69" spans="1:48" s="3" customFormat="1" ht="16.5" customHeight="1">
      <c r="A69" s="387">
        <v>62</v>
      </c>
      <c r="B69" s="396" t="str">
        <f t="shared" si="9"/>
        <v>H/M/62/2024</v>
      </c>
      <c r="C69" s="397"/>
      <c r="D69" s="405">
        <v>212</v>
      </c>
      <c r="E69" s="306" t="s">
        <v>940</v>
      </c>
      <c r="F69" s="380">
        <v>10250</v>
      </c>
      <c r="G69" s="380">
        <v>512.5</v>
      </c>
      <c r="H69" s="286">
        <v>10762.5</v>
      </c>
      <c r="I69" s="380">
        <v>10762.5</v>
      </c>
      <c r="J69" s="382">
        <f t="shared" si="1"/>
        <v>0</v>
      </c>
      <c r="K69" s="383"/>
      <c r="L69" s="383"/>
      <c r="M69" s="383"/>
      <c r="N69" s="388"/>
      <c r="O69" s="388"/>
      <c r="P69" s="388"/>
      <c r="Q69" s="388"/>
      <c r="R69" s="388"/>
      <c r="S69" s="389"/>
      <c r="T69" s="388"/>
      <c r="U69" s="389"/>
      <c r="V69" s="388"/>
      <c r="W69" s="389"/>
      <c r="X69" s="376"/>
      <c r="Y69" s="390"/>
      <c r="Z69" s="376"/>
      <c r="AA69" s="390"/>
      <c r="AB69" s="376"/>
      <c r="AC69" s="390"/>
      <c r="AD69" s="376"/>
      <c r="AE69" s="390"/>
      <c r="AF69" s="376"/>
      <c r="AG69" s="390"/>
      <c r="AH69" s="390"/>
      <c r="AI69" s="376"/>
      <c r="AJ69" s="390"/>
      <c r="AL69" s="522" t="str">
        <f t="shared" si="2"/>
        <v>H/M/62/2024</v>
      </c>
      <c r="AM69" s="44" t="str">
        <f t="shared" si="3"/>
        <v>-</v>
      </c>
      <c r="AN69" t="e">
        <f t="shared" si="13"/>
        <v>#VALUE!</v>
      </c>
      <c r="AO69" s="3" t="s">
        <v>1701</v>
      </c>
      <c r="AQ69" s="588"/>
      <c r="AR69" s="284">
        <f t="shared" si="11"/>
        <v>62</v>
      </c>
      <c r="AS69" s="284" t="str">
        <f t="shared" si="5"/>
        <v>H/M/62/2024</v>
      </c>
      <c r="AT69" s="284" t="str">
        <f t="shared" si="6"/>
        <v>SULTAN . DYNAMIC</v>
      </c>
      <c r="AU69">
        <f t="shared" si="14"/>
        <v>70</v>
      </c>
      <c r="AV69" t="s">
        <v>1690</v>
      </c>
    </row>
    <row r="70" spans="1:48" s="3" customFormat="1">
      <c r="A70" s="387">
        <v>63</v>
      </c>
      <c r="B70" s="396" t="str">
        <f t="shared" si="9"/>
        <v>H/M/63/2024</v>
      </c>
      <c r="C70" s="397"/>
      <c r="D70" s="405">
        <v>274</v>
      </c>
      <c r="E70" s="306" t="s">
        <v>941</v>
      </c>
      <c r="F70" s="380">
        <v>13200</v>
      </c>
      <c r="G70" s="380">
        <v>660</v>
      </c>
      <c r="H70" s="286">
        <v>13860</v>
      </c>
      <c r="I70" s="380">
        <v>13850</v>
      </c>
      <c r="J70" s="382">
        <f t="shared" si="1"/>
        <v>10</v>
      </c>
      <c r="K70" s="383"/>
      <c r="L70" s="383"/>
      <c r="M70" s="383"/>
      <c r="N70" s="388"/>
      <c r="O70" s="388"/>
      <c r="P70" s="388"/>
      <c r="Q70" s="388"/>
      <c r="R70" s="388"/>
      <c r="S70" s="389"/>
      <c r="T70" s="388"/>
      <c r="U70" s="389"/>
      <c r="V70" s="388"/>
      <c r="W70" s="389"/>
      <c r="X70" s="376"/>
      <c r="Y70" s="390"/>
      <c r="Z70" s="376"/>
      <c r="AA70" s="390"/>
      <c r="AB70" s="376"/>
      <c r="AC70" s="390"/>
      <c r="AD70" s="376"/>
      <c r="AE70" s="390"/>
      <c r="AF70" s="376"/>
      <c r="AG70" s="390"/>
      <c r="AH70" s="390"/>
      <c r="AI70" s="376"/>
      <c r="AJ70" s="390"/>
      <c r="AL70" s="522" t="str">
        <f t="shared" si="2"/>
        <v>H/M/63/2024</v>
      </c>
      <c r="AM70" s="44" t="str">
        <f t="shared" si="3"/>
        <v>-</v>
      </c>
      <c r="AN70" t="e">
        <f t="shared" si="13"/>
        <v>#VALUE!</v>
      </c>
      <c r="AO70" s="3" t="s">
        <v>1718</v>
      </c>
      <c r="AQ70" s="588"/>
      <c r="AR70" s="284">
        <f t="shared" si="11"/>
        <v>63</v>
      </c>
      <c r="AS70" s="284" t="str">
        <f t="shared" si="5"/>
        <v>H/M/63/2024</v>
      </c>
      <c r="AT70" s="284" t="str">
        <f t="shared" si="6"/>
        <v>SHIKHA ALI</v>
      </c>
      <c r="AU70">
        <f t="shared" si="14"/>
        <v>71</v>
      </c>
      <c r="AV70" s="3" t="s">
        <v>1691</v>
      </c>
    </row>
    <row r="71" spans="1:48" s="3" customFormat="1" ht="16.5" customHeight="1">
      <c r="A71" s="387">
        <v>64</v>
      </c>
      <c r="B71" s="396" t="str">
        <f t="shared" si="9"/>
        <v>H/M/64/2024</v>
      </c>
      <c r="C71" s="397"/>
      <c r="D71" s="405">
        <v>273</v>
      </c>
      <c r="E71" s="306" t="s">
        <v>942</v>
      </c>
      <c r="F71" s="380">
        <v>15000</v>
      </c>
      <c r="G71" s="380">
        <v>750</v>
      </c>
      <c r="H71" s="286">
        <v>15750</v>
      </c>
      <c r="I71" s="380">
        <v>15750</v>
      </c>
      <c r="J71" s="382">
        <f t="shared" si="1"/>
        <v>0</v>
      </c>
      <c r="K71" s="383"/>
      <c r="L71" s="383"/>
      <c r="M71" s="383"/>
      <c r="N71" s="388"/>
      <c r="O71" s="388"/>
      <c r="P71" s="388"/>
      <c r="Q71" s="388"/>
      <c r="R71" s="388"/>
      <c r="S71" s="389"/>
      <c r="T71" s="388"/>
      <c r="U71" s="389"/>
      <c r="V71" s="388"/>
      <c r="W71" s="389"/>
      <c r="X71" s="376"/>
      <c r="Y71" s="390"/>
      <c r="Z71" s="376"/>
      <c r="AA71" s="390"/>
      <c r="AB71" s="376"/>
      <c r="AC71" s="390"/>
      <c r="AD71" s="376"/>
      <c r="AE71" s="390"/>
      <c r="AF71" s="376"/>
      <c r="AG71" s="390"/>
      <c r="AH71" s="390"/>
      <c r="AI71" s="376"/>
      <c r="AJ71" s="390"/>
      <c r="AL71" s="522" t="str">
        <f t="shared" si="2"/>
        <v>H/M/64/2024</v>
      </c>
      <c r="AM71" s="44" t="str">
        <f t="shared" si="3"/>
        <v>-</v>
      </c>
      <c r="AQ71" s="588"/>
      <c r="AR71" s="284">
        <f t="shared" si="11"/>
        <v>64</v>
      </c>
      <c r="AS71" s="284" t="str">
        <f t="shared" si="5"/>
        <v>H/M/64/2024</v>
      </c>
      <c r="AT71" s="284" t="str">
        <f t="shared" si="6"/>
        <v>Wahat Al Khair Technical Works LLC</v>
      </c>
      <c r="AU71">
        <f t="shared" si="14"/>
        <v>72</v>
      </c>
      <c r="AV71" s="3" t="s">
        <v>1692</v>
      </c>
    </row>
    <row r="72" spans="1:48" s="3" customFormat="1" ht="16.5" customHeight="1">
      <c r="A72" s="387">
        <v>65</v>
      </c>
      <c r="B72" s="396" t="str">
        <f t="shared" si="9"/>
        <v>H/M/65/2024</v>
      </c>
      <c r="C72" s="397"/>
      <c r="D72" s="405">
        <v>270</v>
      </c>
      <c r="E72" s="306" t="s">
        <v>931</v>
      </c>
      <c r="F72" s="380">
        <v>24000</v>
      </c>
      <c r="G72" s="380">
        <v>1200</v>
      </c>
      <c r="H72" s="286">
        <v>25200</v>
      </c>
      <c r="I72" s="380">
        <v>25200</v>
      </c>
      <c r="J72" s="382">
        <f t="shared" si="1"/>
        <v>0</v>
      </c>
      <c r="K72" s="383"/>
      <c r="L72" s="383"/>
      <c r="M72" s="383"/>
      <c r="N72" s="388"/>
      <c r="O72" s="388"/>
      <c r="P72" s="388"/>
      <c r="Q72" s="388"/>
      <c r="R72" s="388"/>
      <c r="S72" s="389"/>
      <c r="T72" s="388"/>
      <c r="U72" s="389"/>
      <c r="V72" s="388"/>
      <c r="W72" s="389"/>
      <c r="X72" s="376"/>
      <c r="Y72" s="390"/>
      <c r="Z72" s="376"/>
      <c r="AA72" s="390"/>
      <c r="AB72" s="376"/>
      <c r="AC72" s="390"/>
      <c r="AD72" s="376"/>
      <c r="AE72" s="390"/>
      <c r="AF72" s="376"/>
      <c r="AG72" s="390"/>
      <c r="AH72" s="390"/>
      <c r="AI72" s="376"/>
      <c r="AJ72" s="390"/>
      <c r="AL72" s="522" t="str">
        <f t="shared" si="2"/>
        <v>H/M/65/2024</v>
      </c>
      <c r="AM72" s="44" t="str">
        <f t="shared" si="3"/>
        <v>-</v>
      </c>
      <c r="AQ72" s="588"/>
      <c r="AR72" s="284">
        <f t="shared" si="11"/>
        <v>65</v>
      </c>
      <c r="AS72" s="284" t="str">
        <f t="shared" si="5"/>
        <v>H/M/65/2024</v>
      </c>
      <c r="AT72" s="284" t="str">
        <f t="shared" si="6"/>
        <v xml:space="preserve">SEVEN SEAS </v>
      </c>
      <c r="AU72">
        <f t="shared" si="14"/>
        <v>73</v>
      </c>
      <c r="AV72" t="s">
        <v>1693</v>
      </c>
    </row>
    <row r="73" spans="1:48" s="3" customFormat="1" ht="16.5" customHeight="1">
      <c r="A73" s="48">
        <v>66</v>
      </c>
      <c r="B73" s="378" t="str">
        <f t="shared" ref="B73:B99" si="15">"H/M/"&amp;A73&amp;"/2024"</f>
        <v>H/M/66/2024</v>
      </c>
      <c r="C73" s="379"/>
      <c r="D73" s="404"/>
      <c r="E73" s="77" t="s">
        <v>943</v>
      </c>
      <c r="F73" s="394">
        <v>38000</v>
      </c>
      <c r="G73" s="394">
        <v>1900</v>
      </c>
      <c r="H73" s="288">
        <v>39900</v>
      </c>
      <c r="I73" s="394">
        <v>0</v>
      </c>
      <c r="J73" s="382" t="str">
        <f t="shared" ref="J73:J137" si="16">IF(I73&gt;0, H73-I73,"")</f>
        <v/>
      </c>
      <c r="K73" s="383"/>
      <c r="L73" s="383"/>
      <c r="M73" s="383"/>
      <c r="N73" s="388"/>
      <c r="O73" s="388"/>
      <c r="P73" s="388"/>
      <c r="Q73" s="388"/>
      <c r="R73" s="388"/>
      <c r="S73" s="389"/>
      <c r="T73" s="388"/>
      <c r="U73" s="389"/>
      <c r="V73" s="388"/>
      <c r="W73" s="389"/>
      <c r="X73" s="376"/>
      <c r="Y73" s="390"/>
      <c r="Z73" s="376"/>
      <c r="AA73" s="390"/>
      <c r="AB73" s="376"/>
      <c r="AC73" s="390"/>
      <c r="AD73" s="376"/>
      <c r="AE73" s="390"/>
      <c r="AF73" s="376"/>
      <c r="AG73" s="390"/>
      <c r="AH73" s="390"/>
      <c r="AI73" s="376"/>
      <c r="AJ73" s="390"/>
      <c r="AL73" s="522" t="str">
        <f t="shared" ref="AL73:AL137" si="17">B73</f>
        <v>H/M/66/2024</v>
      </c>
      <c r="AM73" s="44" t="str">
        <f t="shared" ref="AM73:AM137" si="18">IF(C73="","-",C73)</f>
        <v>-</v>
      </c>
      <c r="AQ73" s="588"/>
      <c r="AR73" s="284">
        <f t="shared" si="11"/>
        <v>66</v>
      </c>
      <c r="AS73" s="284" t="str">
        <f t="shared" ref="AS73:AS103" si="19">B73</f>
        <v>H/M/66/2024</v>
      </c>
      <c r="AT73" s="284" t="str">
        <f t="shared" ref="AT73:AT103" si="20">E73</f>
        <v>MR. Salem Sultan</v>
      </c>
      <c r="AU73">
        <f t="shared" si="14"/>
        <v>74</v>
      </c>
      <c r="AV73" t="s">
        <v>1694</v>
      </c>
    </row>
    <row r="74" spans="1:48" s="3" customFormat="1" ht="16.5" customHeight="1">
      <c r="A74" s="391">
        <v>67</v>
      </c>
      <c r="B74" s="391" t="str">
        <f t="shared" si="15"/>
        <v>H/M/67/2024</v>
      </c>
      <c r="C74" s="391"/>
      <c r="D74" s="391">
        <v>197</v>
      </c>
      <c r="E74" s="391" t="s">
        <v>944</v>
      </c>
      <c r="F74" s="392">
        <v>24338.32</v>
      </c>
      <c r="G74" s="392">
        <v>6466.62</v>
      </c>
      <c r="H74" s="287">
        <v>30804.94</v>
      </c>
      <c r="I74" s="392">
        <v>20000</v>
      </c>
      <c r="J74" s="382">
        <f t="shared" si="16"/>
        <v>10804.939999999999</v>
      </c>
      <c r="K74" s="383"/>
      <c r="L74" s="383"/>
      <c r="M74" s="383"/>
      <c r="N74" s="388"/>
      <c r="O74" s="388"/>
      <c r="P74" s="388"/>
      <c r="Q74" s="388"/>
      <c r="R74" s="388"/>
      <c r="S74" s="389"/>
      <c r="T74" s="388"/>
      <c r="U74" s="389"/>
      <c r="V74" s="388"/>
      <c r="W74" s="389"/>
      <c r="X74" s="376"/>
      <c r="Y74" s="390"/>
      <c r="Z74" s="376"/>
      <c r="AA74" s="390"/>
      <c r="AB74" s="376"/>
      <c r="AC74" s="390"/>
      <c r="AD74" s="376"/>
      <c r="AE74" s="390"/>
      <c r="AF74" s="376"/>
      <c r="AG74" s="390"/>
      <c r="AH74" s="390"/>
      <c r="AI74" s="376"/>
      <c r="AJ74" s="390"/>
      <c r="AL74" s="522" t="str">
        <f t="shared" si="17"/>
        <v>H/M/67/2024</v>
      </c>
      <c r="AM74" s="44" t="str">
        <f t="shared" si="18"/>
        <v>-</v>
      </c>
      <c r="AQ74" s="588"/>
      <c r="AR74" s="284">
        <f t="shared" si="11"/>
        <v>67</v>
      </c>
      <c r="AS74" s="284" t="str">
        <f t="shared" si="19"/>
        <v>H/M/67/2024</v>
      </c>
      <c r="AT74" s="284" t="str">
        <f t="shared" si="20"/>
        <v>Othman Qasem Ahli</v>
      </c>
      <c r="AU74">
        <f t="shared" si="14"/>
        <v>75</v>
      </c>
      <c r="AV74" t="s">
        <v>1695</v>
      </c>
    </row>
    <row r="75" spans="1:48" s="3" customFormat="1" ht="16.5" customHeight="1">
      <c r="A75" s="387">
        <v>68</v>
      </c>
      <c r="B75" s="396" t="str">
        <f t="shared" si="15"/>
        <v>H/M/68/2024</v>
      </c>
      <c r="C75" s="397"/>
      <c r="D75" s="405">
        <v>276</v>
      </c>
      <c r="E75" s="306" t="s">
        <v>194</v>
      </c>
      <c r="F75" s="380">
        <v>4600</v>
      </c>
      <c r="G75" s="380">
        <v>230</v>
      </c>
      <c r="H75" s="286">
        <v>4830</v>
      </c>
      <c r="I75" s="380">
        <v>4830</v>
      </c>
      <c r="J75" s="382">
        <f t="shared" si="16"/>
        <v>0</v>
      </c>
      <c r="K75" s="383"/>
      <c r="L75" s="383"/>
      <c r="M75" s="383"/>
      <c r="N75" s="388"/>
      <c r="O75" s="388"/>
      <c r="P75" s="388"/>
      <c r="Q75" s="388"/>
      <c r="R75" s="388"/>
      <c r="S75" s="389"/>
      <c r="T75" s="388"/>
      <c r="U75" s="389"/>
      <c r="V75" s="388"/>
      <c r="W75" s="389"/>
      <c r="X75" s="376"/>
      <c r="Y75" s="390"/>
      <c r="Z75" s="376"/>
      <c r="AA75" s="390"/>
      <c r="AB75" s="376"/>
      <c r="AC75" s="390"/>
      <c r="AD75" s="376"/>
      <c r="AE75" s="390"/>
      <c r="AF75" s="376"/>
      <c r="AG75" s="390"/>
      <c r="AH75" s="390"/>
      <c r="AI75" s="376"/>
      <c r="AJ75" s="390"/>
      <c r="AL75" s="522" t="str">
        <f t="shared" si="17"/>
        <v>H/M/68/2024</v>
      </c>
      <c r="AM75" s="44" t="str">
        <f t="shared" si="18"/>
        <v>-</v>
      </c>
      <c r="AQ75" s="588"/>
      <c r="AR75" s="284">
        <f t="shared" si="11"/>
        <v>68</v>
      </c>
      <c r="AS75" s="284" t="str">
        <f t="shared" si="19"/>
        <v>H/M/68/2024</v>
      </c>
      <c r="AT75" s="284" t="str">
        <f t="shared" si="20"/>
        <v>FAMTA ESSA ALI</v>
      </c>
      <c r="AU75">
        <f t="shared" si="14"/>
        <v>76</v>
      </c>
      <c r="AV75" t="s">
        <v>1696</v>
      </c>
    </row>
    <row r="76" spans="1:48" s="3" customFormat="1" ht="16.5" customHeight="1">
      <c r="A76" s="387">
        <v>69</v>
      </c>
      <c r="B76" s="396" t="str">
        <f t="shared" si="15"/>
        <v>H/M/69/2024</v>
      </c>
      <c r="C76" s="397"/>
      <c r="D76" s="405">
        <v>277</v>
      </c>
      <c r="E76" s="306" t="s">
        <v>945</v>
      </c>
      <c r="F76" s="380">
        <v>6750</v>
      </c>
      <c r="G76" s="380">
        <v>337.5</v>
      </c>
      <c r="H76" s="286">
        <v>7087.5</v>
      </c>
      <c r="I76" s="380">
        <v>7087.5</v>
      </c>
      <c r="J76" s="382">
        <f t="shared" si="16"/>
        <v>0</v>
      </c>
      <c r="K76" s="383"/>
      <c r="L76" s="383"/>
      <c r="M76" s="383"/>
      <c r="N76" s="388"/>
      <c r="O76" s="388"/>
      <c r="P76" s="388"/>
      <c r="Q76" s="388"/>
      <c r="R76" s="388"/>
      <c r="S76" s="389"/>
      <c r="T76" s="388"/>
      <c r="U76" s="389"/>
      <c r="V76" s="388"/>
      <c r="W76" s="389"/>
      <c r="X76" s="376"/>
      <c r="Y76" s="390"/>
      <c r="Z76" s="376"/>
      <c r="AA76" s="390"/>
      <c r="AB76" s="376"/>
      <c r="AC76" s="390"/>
      <c r="AD76" s="376"/>
      <c r="AE76" s="390"/>
      <c r="AF76" s="376"/>
      <c r="AG76" s="390"/>
      <c r="AH76" s="390"/>
      <c r="AI76" s="376"/>
      <c r="AJ76" s="390"/>
      <c r="AL76" s="522" t="str">
        <f t="shared" si="17"/>
        <v>H/M/69/2024</v>
      </c>
      <c r="AM76" s="44" t="str">
        <f t="shared" si="18"/>
        <v>-</v>
      </c>
      <c r="AQ76" s="588"/>
      <c r="AR76" s="284">
        <f t="shared" si="11"/>
        <v>69</v>
      </c>
      <c r="AS76" s="284" t="str">
        <f t="shared" si="19"/>
        <v>H/M/69/2024</v>
      </c>
      <c r="AT76" s="284" t="str">
        <f t="shared" si="20"/>
        <v xml:space="preserve">ABDURHMAN ESSA ALI </v>
      </c>
      <c r="AU76">
        <f t="shared" si="14"/>
        <v>77</v>
      </c>
      <c r="AV76" s="3" t="s">
        <v>1697</v>
      </c>
    </row>
    <row r="77" spans="1:48" s="3" customFormat="1" ht="16.5" customHeight="1">
      <c r="A77" s="387">
        <v>70</v>
      </c>
      <c r="B77" s="396" t="str">
        <f t="shared" si="15"/>
        <v>H/M/70/2024</v>
      </c>
      <c r="C77" s="397"/>
      <c r="D77" s="405">
        <v>280</v>
      </c>
      <c r="E77" s="306" t="s">
        <v>946</v>
      </c>
      <c r="F77" s="380">
        <v>14000</v>
      </c>
      <c r="G77" s="380">
        <v>700</v>
      </c>
      <c r="H77" s="286">
        <v>14700</v>
      </c>
      <c r="I77" s="380">
        <v>14700</v>
      </c>
      <c r="J77" s="382">
        <f t="shared" si="16"/>
        <v>0</v>
      </c>
      <c r="K77" s="383"/>
      <c r="L77" s="383"/>
      <c r="M77" s="383"/>
      <c r="N77" s="388"/>
      <c r="O77" s="388"/>
      <c r="P77" s="388"/>
      <c r="Q77" s="388"/>
      <c r="R77" s="388"/>
      <c r="S77" s="389"/>
      <c r="T77" s="388"/>
      <c r="U77" s="389"/>
      <c r="V77" s="388"/>
      <c r="W77" s="389"/>
      <c r="X77" s="376"/>
      <c r="Y77" s="390"/>
      <c r="Z77" s="376"/>
      <c r="AA77" s="390"/>
      <c r="AB77" s="376"/>
      <c r="AC77" s="390"/>
      <c r="AD77" s="376"/>
      <c r="AE77" s="390"/>
      <c r="AF77" s="376"/>
      <c r="AG77" s="390"/>
      <c r="AH77" s="390"/>
      <c r="AI77" s="376"/>
      <c r="AJ77" s="390"/>
      <c r="AL77" s="522" t="str">
        <f t="shared" si="17"/>
        <v>H/M/70/2024</v>
      </c>
      <c r="AM77" s="44" t="str">
        <f t="shared" si="18"/>
        <v>-</v>
      </c>
      <c r="AQ77" s="588"/>
      <c r="AR77" s="284">
        <f t="shared" si="11"/>
        <v>70</v>
      </c>
      <c r="AS77" s="284" t="str">
        <f t="shared" si="19"/>
        <v>H/M/70/2024</v>
      </c>
      <c r="AT77" s="284" t="str">
        <f t="shared" si="20"/>
        <v>GHAIS MOHAMED ALAHLI</v>
      </c>
      <c r="AU77">
        <f t="shared" si="14"/>
        <v>78</v>
      </c>
      <c r="AV77" t="s">
        <v>1698</v>
      </c>
    </row>
    <row r="78" spans="1:48" s="3" customFormat="1" ht="16.5" customHeight="1">
      <c r="A78" s="48">
        <v>71</v>
      </c>
      <c r="B78" s="378" t="str">
        <f t="shared" si="15"/>
        <v>H/M/71/2024</v>
      </c>
      <c r="C78" s="379"/>
      <c r="D78" s="404"/>
      <c r="E78" s="77" t="s">
        <v>947</v>
      </c>
      <c r="F78" s="394">
        <v>10000</v>
      </c>
      <c r="G78" s="394">
        <v>500</v>
      </c>
      <c r="H78" s="288">
        <v>10500</v>
      </c>
      <c r="I78" s="394">
        <v>0</v>
      </c>
      <c r="J78" s="382" t="str">
        <f t="shared" si="16"/>
        <v/>
      </c>
      <c r="K78" s="383"/>
      <c r="L78" s="383"/>
      <c r="M78" s="383"/>
      <c r="N78" s="388"/>
      <c r="O78" s="388"/>
      <c r="P78" s="388"/>
      <c r="Q78" s="388"/>
      <c r="R78" s="388"/>
      <c r="S78" s="389"/>
      <c r="T78" s="388"/>
      <c r="U78" s="389"/>
      <c r="V78" s="388"/>
      <c r="W78" s="389"/>
      <c r="X78" s="376"/>
      <c r="Y78" s="390"/>
      <c r="Z78" s="376"/>
      <c r="AA78" s="390"/>
      <c r="AB78" s="376"/>
      <c r="AC78" s="390"/>
      <c r="AD78" s="376"/>
      <c r="AE78" s="390"/>
      <c r="AF78" s="376"/>
      <c r="AG78" s="390"/>
      <c r="AH78" s="390"/>
      <c r="AI78" s="376"/>
      <c r="AJ78" s="390"/>
      <c r="AL78" s="522" t="str">
        <f t="shared" si="17"/>
        <v>H/M/71/2024</v>
      </c>
      <c r="AM78" s="44" t="str">
        <f t="shared" si="18"/>
        <v>-</v>
      </c>
      <c r="AQ78" s="588"/>
      <c r="AR78" s="284">
        <f t="shared" si="11"/>
        <v>71</v>
      </c>
      <c r="AS78" s="284" t="str">
        <f t="shared" si="19"/>
        <v>H/M/71/2024</v>
      </c>
      <c r="AT78" s="284" t="str">
        <f t="shared" si="20"/>
        <v>ISAMIL MOHAMED DAWED ELBILIDI</v>
      </c>
      <c r="AU78">
        <f t="shared" si="14"/>
        <v>79</v>
      </c>
      <c r="AV78" t="s">
        <v>1699</v>
      </c>
    </row>
    <row r="79" spans="1:48" s="3" customFormat="1" ht="16.5" customHeight="1">
      <c r="A79" s="387">
        <v>72</v>
      </c>
      <c r="B79" s="396" t="str">
        <f t="shared" si="15"/>
        <v>H/M/72/2024</v>
      </c>
      <c r="C79" s="397"/>
      <c r="D79" s="405">
        <v>252</v>
      </c>
      <c r="E79" s="306" t="s">
        <v>948</v>
      </c>
      <c r="F79" s="380">
        <v>79657.5</v>
      </c>
      <c r="G79" s="380">
        <v>3982.875</v>
      </c>
      <c r="H79" s="286">
        <v>83640.375</v>
      </c>
      <c r="I79" s="380">
        <v>83640</v>
      </c>
      <c r="J79" s="382">
        <f t="shared" si="16"/>
        <v>0.375</v>
      </c>
      <c r="K79" s="383"/>
      <c r="L79" s="383"/>
      <c r="M79" s="383"/>
      <c r="N79" s="388"/>
      <c r="O79" s="388"/>
      <c r="P79" s="388"/>
      <c r="Q79" s="388"/>
      <c r="R79" s="388"/>
      <c r="S79" s="389"/>
      <c r="T79" s="388"/>
      <c r="U79" s="389"/>
      <c r="V79" s="388"/>
      <c r="W79" s="389"/>
      <c r="X79" s="376"/>
      <c r="Y79" s="390"/>
      <c r="Z79" s="376"/>
      <c r="AA79" s="390"/>
      <c r="AB79" s="376"/>
      <c r="AC79" s="390"/>
      <c r="AD79" s="376"/>
      <c r="AE79" s="390"/>
      <c r="AF79" s="376"/>
      <c r="AG79" s="390"/>
      <c r="AH79" s="390"/>
      <c r="AI79" s="376"/>
      <c r="AJ79" s="390"/>
      <c r="AL79" s="522" t="str">
        <f t="shared" si="17"/>
        <v>H/M/72/2024</v>
      </c>
      <c r="AM79" s="44" t="str">
        <f t="shared" si="18"/>
        <v>-</v>
      </c>
      <c r="AQ79" s="588"/>
      <c r="AR79" s="284">
        <f t="shared" si="11"/>
        <v>72</v>
      </c>
      <c r="AS79" s="284" t="str">
        <f t="shared" si="19"/>
        <v>H/M/72/2024</v>
      </c>
      <c r="AT79" s="284" t="str">
        <f t="shared" si="20"/>
        <v>MOHAMED SAIF ABDULLAH hbc</v>
      </c>
      <c r="AU79">
        <f t="shared" si="14"/>
        <v>82</v>
      </c>
      <c r="AV79" t="s">
        <v>1703</v>
      </c>
    </row>
    <row r="80" spans="1:48" s="3" customFormat="1" ht="16.5" customHeight="1">
      <c r="A80" s="387">
        <v>73</v>
      </c>
      <c r="B80" s="396" t="str">
        <f t="shared" si="15"/>
        <v>H/M/73/2024</v>
      </c>
      <c r="C80" s="397"/>
      <c r="D80" s="405">
        <v>228</v>
      </c>
      <c r="E80" s="306" t="s">
        <v>949</v>
      </c>
      <c r="F80" s="380">
        <v>21150</v>
      </c>
      <c r="G80" s="380">
        <v>1057.5</v>
      </c>
      <c r="H80" s="286">
        <v>22207.5</v>
      </c>
      <c r="I80" s="380">
        <v>22200</v>
      </c>
      <c r="J80" s="382">
        <f t="shared" si="16"/>
        <v>7.5</v>
      </c>
      <c r="K80" s="383"/>
      <c r="L80" s="383"/>
      <c r="M80" s="383"/>
      <c r="N80" s="388"/>
      <c r="O80" s="388"/>
      <c r="P80" s="388"/>
      <c r="Q80" s="388"/>
      <c r="R80" s="388"/>
      <c r="S80" s="389"/>
      <c r="T80" s="388"/>
      <c r="U80" s="389"/>
      <c r="V80" s="388"/>
      <c r="W80" s="389"/>
      <c r="X80" s="376"/>
      <c r="Y80" s="390"/>
      <c r="Z80" s="376"/>
      <c r="AA80" s="390"/>
      <c r="AB80" s="376"/>
      <c r="AC80" s="390"/>
      <c r="AD80" s="376"/>
      <c r="AE80" s="390"/>
      <c r="AF80" s="376"/>
      <c r="AG80" s="390"/>
      <c r="AH80" s="390"/>
      <c r="AI80" s="376"/>
      <c r="AJ80" s="390"/>
      <c r="AL80" s="522" t="str">
        <f t="shared" si="17"/>
        <v>H/M/73/2024</v>
      </c>
      <c r="AM80" s="44" t="str">
        <f t="shared" si="18"/>
        <v>-</v>
      </c>
      <c r="AQ80" s="588"/>
      <c r="AR80" s="284">
        <f t="shared" si="11"/>
        <v>73</v>
      </c>
      <c r="AS80" s="284" t="str">
        <f t="shared" si="19"/>
        <v>H/M/73/2024</v>
      </c>
      <c r="AT80" s="284" t="str">
        <f t="shared" si="20"/>
        <v>Mohamed Saif Al Shamsi</v>
      </c>
      <c r="AU80">
        <f t="shared" si="14"/>
        <v>82</v>
      </c>
      <c r="AV80" t="s">
        <v>1702</v>
      </c>
    </row>
    <row r="81" spans="1:48" s="3" customFormat="1" ht="16.5" customHeight="1">
      <c r="A81" s="48">
        <v>74</v>
      </c>
      <c r="B81" s="396" t="str">
        <f t="shared" si="15"/>
        <v>H/M/74/2024</v>
      </c>
      <c r="C81" s="397"/>
      <c r="D81" s="405">
        <v>222</v>
      </c>
      <c r="E81" s="306" t="s">
        <v>950</v>
      </c>
      <c r="F81" s="380">
        <v>14484</v>
      </c>
      <c r="G81" s="380">
        <v>724.2</v>
      </c>
      <c r="H81" s="286">
        <v>15208.2</v>
      </c>
      <c r="I81" s="380">
        <v>15208</v>
      </c>
      <c r="J81" s="382">
        <f t="shared" si="16"/>
        <v>0.2000000000007276</v>
      </c>
      <c r="K81" s="383"/>
      <c r="L81" s="383"/>
      <c r="M81" s="383"/>
      <c r="N81" s="388"/>
      <c r="O81" s="388"/>
      <c r="P81" s="388"/>
      <c r="Q81" s="388"/>
      <c r="R81" s="388"/>
      <c r="S81" s="389"/>
      <c r="T81" s="388"/>
      <c r="U81" s="389"/>
      <c r="V81" s="388"/>
      <c r="W81" s="389"/>
      <c r="X81" s="376"/>
      <c r="Y81" s="390"/>
      <c r="Z81" s="376"/>
      <c r="AA81" s="390"/>
      <c r="AB81" s="376"/>
      <c r="AC81" s="390"/>
      <c r="AD81" s="376"/>
      <c r="AE81" s="390"/>
      <c r="AF81" s="376"/>
      <c r="AG81" s="390"/>
      <c r="AH81" s="390"/>
      <c r="AI81" s="376"/>
      <c r="AJ81" s="390"/>
      <c r="AL81" s="522" t="str">
        <f t="shared" si="17"/>
        <v>H/M/74/2024</v>
      </c>
      <c r="AM81" s="44" t="str">
        <f t="shared" si="18"/>
        <v>-</v>
      </c>
      <c r="AQ81" s="588"/>
      <c r="AR81" s="284">
        <f t="shared" si="11"/>
        <v>74</v>
      </c>
      <c r="AS81" s="284" t="str">
        <f t="shared" si="19"/>
        <v>H/M/74/2024</v>
      </c>
      <c r="AT81" s="284" t="str">
        <f t="shared" si="20"/>
        <v>Samah Falasi</v>
      </c>
      <c r="AU81">
        <f t="shared" si="14"/>
        <v>83</v>
      </c>
      <c r="AV81" t="s">
        <v>1704</v>
      </c>
    </row>
    <row r="82" spans="1:48" s="3" customFormat="1" ht="16.5" customHeight="1">
      <c r="A82" s="387">
        <v>75</v>
      </c>
      <c r="B82" s="396" t="str">
        <f t="shared" si="15"/>
        <v>H/M/75/2024</v>
      </c>
      <c r="C82" s="397"/>
      <c r="D82" s="405">
        <v>243</v>
      </c>
      <c r="E82" s="306" t="s">
        <v>951</v>
      </c>
      <c r="F82" s="380">
        <v>47424</v>
      </c>
      <c r="G82" s="380">
        <v>2371.2000000000003</v>
      </c>
      <c r="H82" s="286">
        <v>49795.199999999997</v>
      </c>
      <c r="I82" s="380">
        <v>49795.199999999997</v>
      </c>
      <c r="J82" s="382">
        <f t="shared" si="16"/>
        <v>0</v>
      </c>
      <c r="K82" s="383"/>
      <c r="L82" s="383"/>
      <c r="M82" s="383"/>
      <c r="N82" s="388"/>
      <c r="O82" s="388"/>
      <c r="P82" s="388"/>
      <c r="Q82" s="388"/>
      <c r="R82" s="388"/>
      <c r="S82" s="389"/>
      <c r="T82" s="388"/>
      <c r="U82" s="389"/>
      <c r="V82" s="388"/>
      <c r="W82" s="389"/>
      <c r="X82" s="376"/>
      <c r="Y82" s="390"/>
      <c r="Z82" s="376"/>
      <c r="AA82" s="390"/>
      <c r="AB82" s="376"/>
      <c r="AC82" s="390"/>
      <c r="AD82" s="376"/>
      <c r="AE82" s="390"/>
      <c r="AF82" s="376"/>
      <c r="AG82" s="390"/>
      <c r="AH82" s="390"/>
      <c r="AI82" s="376"/>
      <c r="AJ82" s="390"/>
      <c r="AL82" s="522" t="str">
        <f t="shared" si="17"/>
        <v>H/M/75/2024</v>
      </c>
      <c r="AM82" s="44" t="str">
        <f t="shared" si="18"/>
        <v>-</v>
      </c>
      <c r="AQ82" s="588"/>
      <c r="AR82" s="284">
        <f t="shared" si="11"/>
        <v>75</v>
      </c>
      <c r="AS82" s="284" t="str">
        <f t="shared" si="19"/>
        <v>H/M/75/2024</v>
      </c>
      <c r="AT82" s="284" t="str">
        <f t="shared" si="20"/>
        <v>Shihab Ertikaz</v>
      </c>
      <c r="AU82">
        <f t="shared" si="14"/>
        <v>84</v>
      </c>
      <c r="AV82" t="s">
        <v>1705</v>
      </c>
    </row>
    <row r="83" spans="1:48" s="3" customFormat="1" ht="16.5" customHeight="1">
      <c r="A83" s="48">
        <v>76</v>
      </c>
      <c r="B83" s="396" t="str">
        <f t="shared" si="15"/>
        <v>H/M/76/2024</v>
      </c>
      <c r="C83" s="397"/>
      <c r="D83" s="405">
        <v>247</v>
      </c>
      <c r="E83" s="306" t="s">
        <v>952</v>
      </c>
      <c r="F83" s="380">
        <v>64000</v>
      </c>
      <c r="G83" s="380">
        <v>3200</v>
      </c>
      <c r="H83" s="286">
        <v>67200</v>
      </c>
      <c r="I83" s="380">
        <v>67200</v>
      </c>
      <c r="J83" s="382">
        <f t="shared" si="16"/>
        <v>0</v>
      </c>
      <c r="K83" s="383"/>
      <c r="L83" s="383"/>
      <c r="M83" s="383"/>
      <c r="N83" s="388"/>
      <c r="O83" s="388"/>
      <c r="P83" s="388"/>
      <c r="Q83" s="388"/>
      <c r="R83" s="388"/>
      <c r="S83" s="389"/>
      <c r="T83" s="388"/>
      <c r="U83" s="389"/>
      <c r="V83" s="388"/>
      <c r="W83" s="389"/>
      <c r="X83" s="376"/>
      <c r="Y83" s="390"/>
      <c r="Z83" s="376"/>
      <c r="AA83" s="390"/>
      <c r="AB83" s="376"/>
      <c r="AC83" s="390"/>
      <c r="AD83" s="950">
        <v>45615.44767361111</v>
      </c>
      <c r="AE83" s="390"/>
      <c r="AF83" s="376"/>
      <c r="AG83" s="390"/>
      <c r="AH83" s="390"/>
      <c r="AI83" s="376"/>
      <c r="AJ83" s="390"/>
      <c r="AL83" s="522" t="str">
        <f t="shared" si="17"/>
        <v>H/M/76/2024</v>
      </c>
      <c r="AM83" s="44" t="str">
        <f t="shared" si="18"/>
        <v>-</v>
      </c>
      <c r="AQ83" s="588"/>
      <c r="AR83" s="284">
        <f t="shared" si="11"/>
        <v>76</v>
      </c>
      <c r="AS83" s="284" t="str">
        <f t="shared" si="19"/>
        <v>H/M/76/2024</v>
      </c>
      <c r="AT83" s="284" t="str">
        <f t="shared" si="20"/>
        <v>Abdullah Al Mulla</v>
      </c>
      <c r="AU83">
        <f t="shared" si="14"/>
        <v>85</v>
      </c>
      <c r="AV83" t="s">
        <v>1707</v>
      </c>
    </row>
    <row r="84" spans="1:48" s="3" customFormat="1" ht="16.5" customHeight="1">
      <c r="A84" s="48">
        <v>77</v>
      </c>
      <c r="B84" s="396" t="str">
        <f t="shared" si="15"/>
        <v>H/M/77/2024</v>
      </c>
      <c r="C84" s="397"/>
      <c r="D84" s="405">
        <v>216</v>
      </c>
      <c r="E84" s="306" t="s">
        <v>953</v>
      </c>
      <c r="F84" s="380">
        <v>30000</v>
      </c>
      <c r="G84" s="380">
        <v>1500</v>
      </c>
      <c r="H84" s="286">
        <v>31500</v>
      </c>
      <c r="I84" s="380">
        <v>31500</v>
      </c>
      <c r="J84" s="382">
        <f t="shared" si="16"/>
        <v>0</v>
      </c>
      <c r="K84" s="383"/>
      <c r="L84" s="383"/>
      <c r="M84" s="383"/>
      <c r="N84" s="388"/>
      <c r="O84" s="388"/>
      <c r="P84" s="388"/>
      <c r="Q84" s="388"/>
      <c r="R84" s="388"/>
      <c r="S84" s="389"/>
      <c r="T84" s="388"/>
      <c r="U84" s="389"/>
      <c r="V84" s="388"/>
      <c r="W84" s="389"/>
      <c r="X84" s="376"/>
      <c r="Y84" s="390"/>
      <c r="Z84" s="376"/>
      <c r="AA84" s="390"/>
      <c r="AB84" s="376"/>
      <c r="AC84" s="390"/>
      <c r="AD84" s="376"/>
      <c r="AE84" s="390"/>
      <c r="AF84" s="376"/>
      <c r="AG84" s="390"/>
      <c r="AH84" s="390"/>
      <c r="AI84" s="376"/>
      <c r="AJ84" s="390"/>
      <c r="AL84" s="522" t="str">
        <f t="shared" si="17"/>
        <v>H/M/77/2024</v>
      </c>
      <c r="AM84" s="44" t="str">
        <f t="shared" si="18"/>
        <v>-</v>
      </c>
      <c r="AQ84" s="588"/>
      <c r="AR84" s="284">
        <f t="shared" si="11"/>
        <v>77</v>
      </c>
      <c r="AS84" s="284" t="str">
        <f t="shared" si="19"/>
        <v>H/M/77/2024</v>
      </c>
      <c r="AT84" s="284" t="str">
        <f t="shared" si="20"/>
        <v>Muhayer Saif Naya Benwas al ketbi</v>
      </c>
      <c r="AU84">
        <f t="shared" si="14"/>
        <v>86</v>
      </c>
      <c r="AV84" s="3" t="s">
        <v>1706</v>
      </c>
    </row>
    <row r="85" spans="1:48" s="3" customFormat="1" ht="16.5" customHeight="1">
      <c r="A85" s="387">
        <v>78</v>
      </c>
      <c r="B85" s="396" t="str">
        <f t="shared" si="15"/>
        <v>H/M/78/2024</v>
      </c>
      <c r="C85" s="397"/>
      <c r="D85" s="405">
        <v>217</v>
      </c>
      <c r="E85" s="306" t="s">
        <v>954</v>
      </c>
      <c r="F85" s="380">
        <v>22000</v>
      </c>
      <c r="G85" s="380">
        <v>1100</v>
      </c>
      <c r="H85" s="286">
        <v>23100</v>
      </c>
      <c r="I85" s="380">
        <v>23100</v>
      </c>
      <c r="J85" s="382">
        <f t="shared" si="16"/>
        <v>0</v>
      </c>
      <c r="K85" s="383"/>
      <c r="L85" s="383"/>
      <c r="M85" s="383"/>
      <c r="N85" s="388"/>
      <c r="O85" s="388"/>
      <c r="P85" s="388"/>
      <c r="Q85" s="388"/>
      <c r="R85" s="388"/>
      <c r="S85" s="389"/>
      <c r="T85" s="388"/>
      <c r="U85" s="389"/>
      <c r="V85" s="388"/>
      <c r="W85" s="389"/>
      <c r="X85" s="376"/>
      <c r="Y85" s="390"/>
      <c r="Z85" s="376"/>
      <c r="AA85" s="390"/>
      <c r="AB85" s="376"/>
      <c r="AC85" s="390"/>
      <c r="AD85" s="376"/>
      <c r="AE85" s="390"/>
      <c r="AF85" s="376"/>
      <c r="AG85" s="390"/>
      <c r="AH85" s="390"/>
      <c r="AI85" s="376"/>
      <c r="AJ85" s="390"/>
      <c r="AL85" s="522" t="str">
        <f t="shared" si="17"/>
        <v>H/M/78/2024</v>
      </c>
      <c r="AM85" s="44" t="str">
        <f t="shared" si="18"/>
        <v>-</v>
      </c>
      <c r="AQ85" s="588"/>
      <c r="AR85" s="284">
        <f t="shared" si="11"/>
        <v>78</v>
      </c>
      <c r="AS85" s="284" t="str">
        <f t="shared" si="19"/>
        <v>H/M/78/2024</v>
      </c>
      <c r="AT85" s="284" t="str">
        <f t="shared" si="20"/>
        <v>Mohamed Muhayer Saif Al Ketbi</v>
      </c>
      <c r="AU85">
        <f t="shared" si="14"/>
        <v>87</v>
      </c>
      <c r="AV85" s="3" t="s">
        <v>1708</v>
      </c>
    </row>
    <row r="86" spans="1:48" s="3" customFormat="1" ht="16.5" customHeight="1">
      <c r="A86" s="387">
        <v>79</v>
      </c>
      <c r="B86" s="396" t="str">
        <f t="shared" si="15"/>
        <v>H/M/79/2024</v>
      </c>
      <c r="C86" s="397"/>
      <c r="D86" s="405"/>
      <c r="E86" s="306" t="s">
        <v>1109</v>
      </c>
      <c r="F86" s="380">
        <v>33000</v>
      </c>
      <c r="G86" s="380">
        <v>1650</v>
      </c>
      <c r="H86" s="286">
        <v>34650</v>
      </c>
      <c r="I86" s="380">
        <v>34650</v>
      </c>
      <c r="J86" s="382">
        <f t="shared" si="16"/>
        <v>0</v>
      </c>
      <c r="K86" s="383"/>
      <c r="L86" s="383"/>
      <c r="M86" s="383"/>
      <c r="N86" s="388"/>
      <c r="O86" s="388"/>
      <c r="P86" s="388"/>
      <c r="Q86" s="388"/>
      <c r="R86" s="388"/>
      <c r="S86" s="389"/>
      <c r="T86" s="388"/>
      <c r="U86" s="389"/>
      <c r="V86" s="388"/>
      <c r="W86" s="389"/>
      <c r="X86" s="376"/>
      <c r="Y86" s="390"/>
      <c r="Z86" s="376"/>
      <c r="AA86" s="390"/>
      <c r="AB86" s="376"/>
      <c r="AC86" s="390"/>
      <c r="AD86" s="376"/>
      <c r="AE86" s="390"/>
      <c r="AF86" s="376"/>
      <c r="AG86" s="390"/>
      <c r="AH86" s="390"/>
      <c r="AI86" s="376"/>
      <c r="AJ86" s="390"/>
      <c r="AL86" s="522" t="str">
        <f t="shared" si="17"/>
        <v>H/M/79/2024</v>
      </c>
      <c r="AM86" s="44" t="str">
        <f t="shared" si="18"/>
        <v>-</v>
      </c>
      <c r="AQ86" s="588"/>
      <c r="AR86" s="284">
        <f t="shared" si="11"/>
        <v>79</v>
      </c>
      <c r="AS86" s="284" t="str">
        <f t="shared" si="19"/>
        <v>H/M/79/2024</v>
      </c>
      <c r="AT86" s="284" t="str">
        <f t="shared" si="20"/>
        <v xml:space="preserve"> MR. Rashed Ahmed Yousef</v>
      </c>
      <c r="AU86">
        <f t="shared" si="14"/>
        <v>88</v>
      </c>
      <c r="AV86" s="3" t="s">
        <v>1709</v>
      </c>
    </row>
    <row r="87" spans="1:48" s="3" customFormat="1" ht="16.5" customHeight="1">
      <c r="A87" s="387">
        <v>80</v>
      </c>
      <c r="B87" s="396" t="str">
        <f t="shared" si="15"/>
        <v>H/M/80/2024</v>
      </c>
      <c r="C87" s="397"/>
      <c r="D87" s="405"/>
      <c r="E87" s="306" t="s">
        <v>955</v>
      </c>
      <c r="F87" s="380">
        <v>6000</v>
      </c>
      <c r="G87" s="380">
        <v>300</v>
      </c>
      <c r="H87" s="286">
        <v>6300</v>
      </c>
      <c r="I87" s="380">
        <v>6300</v>
      </c>
      <c r="J87" s="382">
        <f t="shared" si="16"/>
        <v>0</v>
      </c>
      <c r="K87" s="383"/>
      <c r="L87" s="383"/>
      <c r="M87" s="383"/>
      <c r="N87" s="388"/>
      <c r="O87" s="388"/>
      <c r="P87" s="388"/>
      <c r="Q87" s="388"/>
      <c r="R87" s="388"/>
      <c r="S87" s="389"/>
      <c r="T87" s="388"/>
      <c r="U87" s="389"/>
      <c r="V87" s="388"/>
      <c r="W87" s="389"/>
      <c r="X87" s="376"/>
      <c r="Y87" s="390"/>
      <c r="Z87" s="376"/>
      <c r="AA87" s="390"/>
      <c r="AB87" s="376"/>
      <c r="AC87" s="390"/>
      <c r="AD87" s="376"/>
      <c r="AE87" s="390"/>
      <c r="AF87" s="376"/>
      <c r="AG87" s="390"/>
      <c r="AH87" s="390"/>
      <c r="AI87" s="376"/>
      <c r="AJ87" s="390"/>
      <c r="AL87" s="522" t="str">
        <f t="shared" si="17"/>
        <v>H/M/80/2024</v>
      </c>
      <c r="AM87" s="44" t="str">
        <f t="shared" si="18"/>
        <v>-</v>
      </c>
      <c r="AQ87" s="588"/>
      <c r="AR87" s="284">
        <f t="shared" si="11"/>
        <v>80</v>
      </c>
      <c r="AS87" s="284" t="str">
        <f t="shared" si="19"/>
        <v>H/M/80/2024</v>
      </c>
      <c r="AT87" s="284" t="str">
        <f t="shared" si="20"/>
        <v>Yakoob Yousef /yearly maintaintance</v>
      </c>
      <c r="AU87">
        <f t="shared" si="14"/>
        <v>88</v>
      </c>
      <c r="AV87" t="s">
        <v>1711</v>
      </c>
    </row>
    <row r="88" spans="1:48" s="3" customFormat="1" ht="16.5" customHeight="1">
      <c r="A88" s="387">
        <v>81</v>
      </c>
      <c r="B88" s="396" t="str">
        <f t="shared" si="15"/>
        <v>H/M/81/2024</v>
      </c>
      <c r="C88" s="397"/>
      <c r="D88" s="405"/>
      <c r="E88" s="306" t="s">
        <v>956</v>
      </c>
      <c r="F88" s="380">
        <v>1400</v>
      </c>
      <c r="G88" s="380">
        <v>70</v>
      </c>
      <c r="H88" s="286">
        <v>1470</v>
      </c>
      <c r="I88" s="380">
        <v>1470</v>
      </c>
      <c r="J88" s="382">
        <f t="shared" si="16"/>
        <v>0</v>
      </c>
      <c r="K88" s="383">
        <v>2</v>
      </c>
      <c r="L88" s="383"/>
      <c r="M88" s="383"/>
      <c r="N88" s="388"/>
      <c r="O88" s="388"/>
      <c r="P88" s="388"/>
      <c r="Q88" s="388"/>
      <c r="R88" s="388"/>
      <c r="S88" s="389"/>
      <c r="T88" s="388"/>
      <c r="U88" s="389"/>
      <c r="V88" s="388"/>
      <c r="W88" s="389"/>
      <c r="X88" s="376"/>
      <c r="Y88" s="390"/>
      <c r="Z88" s="376"/>
      <c r="AA88" s="390"/>
      <c r="AB88" s="376"/>
      <c r="AC88" s="390"/>
      <c r="AD88" s="376"/>
      <c r="AE88" s="390"/>
      <c r="AF88" s="376"/>
      <c r="AG88" s="390"/>
      <c r="AH88" s="390"/>
      <c r="AI88" s="376"/>
      <c r="AJ88" s="390"/>
      <c r="AL88" s="522" t="str">
        <f t="shared" si="17"/>
        <v>H/M/81/2024</v>
      </c>
      <c r="AM88" s="44" t="str">
        <f t="shared" si="18"/>
        <v>-</v>
      </c>
      <c r="AQ88" s="588"/>
      <c r="AR88" s="284">
        <f t="shared" si="11"/>
        <v>81</v>
      </c>
      <c r="AS88" s="284" t="str">
        <f t="shared" si="19"/>
        <v>H/M/81/2024</v>
      </c>
      <c r="AT88" s="284" t="str">
        <f t="shared" si="20"/>
        <v>Yakoob Yousef / maintainance comproser change</v>
      </c>
      <c r="AU88">
        <f t="shared" si="14"/>
        <v>89</v>
      </c>
      <c r="AV88" t="s">
        <v>1710</v>
      </c>
    </row>
    <row r="89" spans="1:48" s="3" customFormat="1" ht="16.5" customHeight="1">
      <c r="A89" s="391">
        <v>82</v>
      </c>
      <c r="B89" s="396" t="str">
        <f t="shared" si="15"/>
        <v>H/M/82/2024</v>
      </c>
      <c r="C89" s="397"/>
      <c r="D89" s="405">
        <v>279</v>
      </c>
      <c r="E89" s="306" t="s">
        <v>307</v>
      </c>
      <c r="F89" s="380">
        <v>19200</v>
      </c>
      <c r="G89" s="380">
        <v>960</v>
      </c>
      <c r="H89" s="286">
        <v>20160</v>
      </c>
      <c r="I89" s="380">
        <v>20160</v>
      </c>
      <c r="J89" s="382">
        <f t="shared" si="16"/>
        <v>0</v>
      </c>
      <c r="K89" s="383"/>
      <c r="L89" s="383"/>
      <c r="M89" s="383"/>
      <c r="N89" s="388"/>
      <c r="O89" s="388"/>
      <c r="P89" s="388"/>
      <c r="Q89" s="388"/>
      <c r="R89" s="388"/>
      <c r="S89" s="389"/>
      <c r="T89" s="388"/>
      <c r="U89" s="389"/>
      <c r="V89" s="388"/>
      <c r="W89" s="389"/>
      <c r="X89" s="376"/>
      <c r="Y89" s="390"/>
      <c r="Z89" s="376"/>
      <c r="AA89" s="390"/>
      <c r="AB89" s="376"/>
      <c r="AC89" s="390"/>
      <c r="AD89" s="376"/>
      <c r="AE89" s="390"/>
      <c r="AF89" s="376"/>
      <c r="AG89" s="390"/>
      <c r="AH89" s="390"/>
      <c r="AI89" s="376"/>
      <c r="AJ89" s="390"/>
      <c r="AL89" s="522" t="str">
        <f t="shared" si="17"/>
        <v>H/M/82/2024</v>
      </c>
      <c r="AM89" s="44" t="str">
        <f t="shared" si="18"/>
        <v>-</v>
      </c>
      <c r="AQ89" s="588"/>
      <c r="AR89" s="284">
        <f t="shared" si="11"/>
        <v>82</v>
      </c>
      <c r="AS89" s="284" t="str">
        <f t="shared" si="19"/>
        <v>H/M/82/2024</v>
      </c>
      <c r="AT89" s="284" t="str">
        <f t="shared" si="20"/>
        <v>Shams Saeed Sultan AL Kitbee</v>
      </c>
      <c r="AU89">
        <f t="shared" si="14"/>
        <v>90</v>
      </c>
      <c r="AV89" s="3" t="s">
        <v>1713</v>
      </c>
    </row>
    <row r="90" spans="1:48" s="3" customFormat="1" ht="16.5" customHeight="1">
      <c r="A90" s="48">
        <v>83</v>
      </c>
      <c r="B90" s="396" t="str">
        <f t="shared" si="15"/>
        <v>H/M/83/2024</v>
      </c>
      <c r="C90" s="397"/>
      <c r="D90" s="405">
        <v>258</v>
      </c>
      <c r="E90" s="306" t="s">
        <v>957</v>
      </c>
      <c r="F90" s="380">
        <v>54400</v>
      </c>
      <c r="G90" s="380">
        <v>2720</v>
      </c>
      <c r="H90" s="286">
        <v>57120</v>
      </c>
      <c r="I90" s="380">
        <v>57120</v>
      </c>
      <c r="J90" s="382">
        <f t="shared" si="16"/>
        <v>0</v>
      </c>
      <c r="K90" s="383"/>
      <c r="L90" s="383"/>
      <c r="M90" s="383"/>
      <c r="N90" s="388"/>
      <c r="O90" s="388"/>
      <c r="P90" s="388"/>
      <c r="Q90" s="388"/>
      <c r="R90" s="388"/>
      <c r="S90" s="389"/>
      <c r="T90" s="388"/>
      <c r="U90" s="389"/>
      <c r="V90" s="388"/>
      <c r="W90" s="389"/>
      <c r="X90" s="376"/>
      <c r="Y90" s="390"/>
      <c r="Z90" s="376"/>
      <c r="AA90" s="390"/>
      <c r="AB90" s="376"/>
      <c r="AC90" s="390"/>
      <c r="AD90" s="633">
        <v>45564</v>
      </c>
      <c r="AE90" s="390"/>
      <c r="AF90" s="376"/>
      <c r="AG90" s="390"/>
      <c r="AH90" s="390"/>
      <c r="AI90" s="376"/>
      <c r="AJ90" s="390"/>
      <c r="AL90" s="522" t="str">
        <f t="shared" si="17"/>
        <v>H/M/83/2024</v>
      </c>
      <c r="AM90" s="44" t="str">
        <f t="shared" si="18"/>
        <v>-</v>
      </c>
      <c r="AQ90" s="588"/>
      <c r="AR90" s="284">
        <f t="shared" si="11"/>
        <v>83</v>
      </c>
      <c r="AS90" s="284" t="str">
        <f t="shared" si="19"/>
        <v>H/M/83/2024</v>
      </c>
      <c r="AT90" s="284" t="str">
        <f t="shared" si="20"/>
        <v>Majid shihi</v>
      </c>
      <c r="AU90">
        <f t="shared" si="14"/>
        <v>91</v>
      </c>
      <c r="AV90" t="s">
        <v>1712</v>
      </c>
    </row>
    <row r="91" spans="1:48" s="3" customFormat="1" ht="16.5" customHeight="1">
      <c r="A91" s="387">
        <v>84</v>
      </c>
      <c r="B91" s="396" t="str">
        <f t="shared" si="15"/>
        <v>H/M/84/2024</v>
      </c>
      <c r="C91" s="397"/>
      <c r="D91" s="405"/>
      <c r="E91" s="306" t="s">
        <v>958</v>
      </c>
      <c r="F91" s="380">
        <v>6350</v>
      </c>
      <c r="G91" s="380">
        <v>317.5</v>
      </c>
      <c r="H91" s="286">
        <v>6667.5</v>
      </c>
      <c r="I91" s="380">
        <v>6700</v>
      </c>
      <c r="J91" s="382">
        <f t="shared" si="16"/>
        <v>-32.5</v>
      </c>
      <c r="K91" s="383"/>
      <c r="L91" s="383"/>
      <c r="M91" s="383"/>
      <c r="N91" s="388"/>
      <c r="O91" s="388"/>
      <c r="P91" s="388"/>
      <c r="Q91" s="388"/>
      <c r="R91" s="388"/>
      <c r="S91" s="389"/>
      <c r="T91" s="388"/>
      <c r="U91" s="389"/>
      <c r="V91" s="388"/>
      <c r="W91" s="389"/>
      <c r="X91" s="376"/>
      <c r="Y91" s="390"/>
      <c r="Z91" s="376"/>
      <c r="AA91" s="390"/>
      <c r="AB91" s="376"/>
      <c r="AC91" s="390"/>
      <c r="AD91" s="376"/>
      <c r="AE91" s="390"/>
      <c r="AF91" s="376"/>
      <c r="AG91" s="390"/>
      <c r="AH91" s="390"/>
      <c r="AI91" s="376"/>
      <c r="AJ91" s="390"/>
      <c r="AL91" s="522" t="str">
        <f t="shared" si="17"/>
        <v>H/M/84/2024</v>
      </c>
      <c r="AM91" s="44" t="str">
        <f t="shared" si="18"/>
        <v>-</v>
      </c>
      <c r="AQ91" s="588"/>
      <c r="AR91" s="284">
        <f t="shared" si="11"/>
        <v>84</v>
      </c>
      <c r="AS91" s="284" t="str">
        <f t="shared" si="19"/>
        <v>H/M/84/2024</v>
      </c>
      <c r="AT91" s="284" t="str">
        <f t="shared" si="20"/>
        <v>Mohamed Abbas</v>
      </c>
      <c r="AU91">
        <f t="shared" si="14"/>
        <v>92</v>
      </c>
      <c r="AV91" s="3" t="s">
        <v>1714</v>
      </c>
    </row>
    <row r="92" spans="1:48" s="3" customFormat="1" ht="16.5" customHeight="1">
      <c r="A92" s="48">
        <v>85</v>
      </c>
      <c r="B92" s="396" t="str">
        <f t="shared" si="15"/>
        <v>H/M/85/2024</v>
      </c>
      <c r="C92" s="397"/>
      <c r="D92" s="405"/>
      <c r="E92" s="306" t="s">
        <v>959</v>
      </c>
      <c r="F92" s="380">
        <v>9500</v>
      </c>
      <c r="G92" s="380">
        <v>475</v>
      </c>
      <c r="H92" s="286">
        <v>9975</v>
      </c>
      <c r="I92" s="380">
        <v>9975</v>
      </c>
      <c r="J92" s="382">
        <f t="shared" si="16"/>
        <v>0</v>
      </c>
      <c r="K92" s="383"/>
      <c r="L92" s="383"/>
      <c r="M92" s="383"/>
      <c r="N92" s="388"/>
      <c r="O92" s="388"/>
      <c r="P92" s="388"/>
      <c r="Q92" s="388"/>
      <c r="R92" s="388"/>
      <c r="S92" s="389"/>
      <c r="T92" s="388"/>
      <c r="U92" s="389"/>
      <c r="V92" s="388"/>
      <c r="W92" s="389"/>
      <c r="X92" s="376"/>
      <c r="Y92" s="390"/>
      <c r="Z92" s="376"/>
      <c r="AA92" s="390"/>
      <c r="AB92" s="376"/>
      <c r="AC92" s="390"/>
      <c r="AD92" s="376"/>
      <c r="AE92" s="390"/>
      <c r="AF92" s="376"/>
      <c r="AG92" s="390"/>
      <c r="AH92" s="390"/>
      <c r="AI92" s="376"/>
      <c r="AJ92" s="390"/>
      <c r="AL92" s="522" t="str">
        <f t="shared" si="17"/>
        <v>H/M/85/2024</v>
      </c>
      <c r="AM92" s="44" t="str">
        <f t="shared" si="18"/>
        <v>-</v>
      </c>
      <c r="AQ92" s="588"/>
      <c r="AR92" s="284">
        <f t="shared" si="11"/>
        <v>85</v>
      </c>
      <c r="AS92" s="284" t="str">
        <f t="shared" si="19"/>
        <v>H/M/85/2024</v>
      </c>
      <c r="AT92" s="284" t="str">
        <f t="shared" si="20"/>
        <v>Faisel Areej</v>
      </c>
      <c r="AU92">
        <f t="shared" si="14"/>
        <v>93</v>
      </c>
      <c r="AV92" s="3" t="s">
        <v>1715</v>
      </c>
    </row>
    <row r="93" spans="1:48" s="3" customFormat="1" ht="16.5" customHeight="1">
      <c r="A93" s="48">
        <v>86</v>
      </c>
      <c r="B93" s="396" t="str">
        <f t="shared" si="15"/>
        <v>H/M/86/2024</v>
      </c>
      <c r="C93" s="397"/>
      <c r="D93" s="405"/>
      <c r="E93" s="306" t="s">
        <v>960</v>
      </c>
      <c r="F93" s="380">
        <v>21771</v>
      </c>
      <c r="G93" s="380">
        <v>358.95</v>
      </c>
      <c r="H93" s="286">
        <v>22129.95</v>
      </c>
      <c r="I93" s="380">
        <v>22130</v>
      </c>
      <c r="J93" s="382">
        <f t="shared" si="16"/>
        <v>-4.9999999999272404E-2</v>
      </c>
      <c r="K93" s="383"/>
      <c r="L93" s="383"/>
      <c r="M93" s="383"/>
      <c r="N93" s="388"/>
      <c r="O93" s="388"/>
      <c r="P93" s="388"/>
      <c r="Q93" s="388"/>
      <c r="R93" s="388"/>
      <c r="S93" s="389"/>
      <c r="T93" s="388"/>
      <c r="U93" s="389"/>
      <c r="V93" s="388"/>
      <c r="W93" s="389"/>
      <c r="X93" s="376"/>
      <c r="Y93" s="390"/>
      <c r="Z93" s="376"/>
      <c r="AA93" s="390"/>
      <c r="AB93" s="376"/>
      <c r="AC93" s="390"/>
      <c r="AD93" s="376"/>
      <c r="AE93" s="390"/>
      <c r="AF93" s="376"/>
      <c r="AG93" s="390"/>
      <c r="AH93" s="390"/>
      <c r="AI93" s="376"/>
      <c r="AJ93" s="390"/>
      <c r="AL93" s="522" t="str">
        <f t="shared" si="17"/>
        <v>H/M/86/2024</v>
      </c>
      <c r="AM93" s="44" t="str">
        <f t="shared" si="18"/>
        <v>-</v>
      </c>
      <c r="AQ93" s="588"/>
      <c r="AR93" s="284">
        <f t="shared" si="11"/>
        <v>86</v>
      </c>
      <c r="AS93" s="284" t="str">
        <f t="shared" si="19"/>
        <v>H/M/86/2024</v>
      </c>
      <c r="AT93" s="284" t="str">
        <f t="shared" si="20"/>
        <v>Mohamed abdullah Jassem</v>
      </c>
      <c r="AU93">
        <f t="shared" si="14"/>
        <v>94</v>
      </c>
      <c r="AV93" s="3" t="s">
        <v>1717</v>
      </c>
    </row>
    <row r="94" spans="1:48" s="3" customFormat="1" ht="16.5" customHeight="1">
      <c r="A94" s="306">
        <v>87</v>
      </c>
      <c r="B94" s="396" t="str">
        <f t="shared" si="15"/>
        <v>H/M/87/2024</v>
      </c>
      <c r="C94" s="397"/>
      <c r="D94" s="405">
        <v>257</v>
      </c>
      <c r="E94" s="306" t="s">
        <v>914</v>
      </c>
      <c r="F94" s="380">
        <v>64806.8</v>
      </c>
      <c r="G94" s="380">
        <v>3240.34</v>
      </c>
      <c r="H94" s="286">
        <v>68047.14</v>
      </c>
      <c r="I94" s="380">
        <v>68047</v>
      </c>
      <c r="J94" s="382">
        <f t="shared" si="16"/>
        <v>0.13999999999941792</v>
      </c>
      <c r="K94" s="383"/>
      <c r="L94" s="383"/>
      <c r="M94" s="383"/>
      <c r="N94" s="388"/>
      <c r="O94" s="388"/>
      <c r="P94" s="388"/>
      <c r="Q94" s="388"/>
      <c r="R94" s="388"/>
      <c r="S94" s="389"/>
      <c r="T94" s="388"/>
      <c r="U94" s="389"/>
      <c r="V94" s="388"/>
      <c r="W94" s="389"/>
      <c r="X94" s="376"/>
      <c r="Y94" s="390"/>
      <c r="Z94" s="376"/>
      <c r="AA94" s="390"/>
      <c r="AB94" s="376"/>
      <c r="AC94" s="390"/>
      <c r="AD94" s="376"/>
      <c r="AE94" s="390"/>
      <c r="AF94" s="376"/>
      <c r="AG94" s="390"/>
      <c r="AH94" s="390"/>
      <c r="AI94" s="376"/>
      <c r="AJ94" s="390"/>
      <c r="AL94" s="522" t="str">
        <f t="shared" si="17"/>
        <v>H/M/87/2024</v>
      </c>
      <c r="AM94" s="44" t="str">
        <f t="shared" si="18"/>
        <v>-</v>
      </c>
      <c r="AQ94" s="588"/>
      <c r="AR94" s="284">
        <f t="shared" si="11"/>
        <v>87</v>
      </c>
      <c r="AS94" s="284" t="str">
        <f t="shared" si="19"/>
        <v>H/M/87/2024</v>
      </c>
      <c r="AT94" s="284" t="str">
        <f t="shared" si="20"/>
        <v>Naaema Ertikaz</v>
      </c>
      <c r="AU94">
        <f t="shared" si="14"/>
        <v>95</v>
      </c>
      <c r="AV94" s="3" t="s">
        <v>1716</v>
      </c>
    </row>
    <row r="95" spans="1:48" s="3" customFormat="1" ht="16.5" customHeight="1">
      <c r="A95" s="77">
        <v>88</v>
      </c>
      <c r="B95" s="396" t="str">
        <f t="shared" si="15"/>
        <v>H/M/88/2024</v>
      </c>
      <c r="C95" s="397"/>
      <c r="D95" s="405">
        <v>242</v>
      </c>
      <c r="E95" s="306" t="s">
        <v>435</v>
      </c>
      <c r="F95" s="380">
        <v>72300</v>
      </c>
      <c r="G95" s="380">
        <v>3615</v>
      </c>
      <c r="H95" s="286">
        <v>75915</v>
      </c>
      <c r="I95" s="380">
        <v>75915</v>
      </c>
      <c r="J95" s="382">
        <f t="shared" si="16"/>
        <v>0</v>
      </c>
      <c r="K95" s="383"/>
      <c r="L95" s="383"/>
      <c r="M95" s="383"/>
      <c r="N95" s="388"/>
      <c r="O95" s="388"/>
      <c r="P95" s="388"/>
      <c r="Q95" s="388"/>
      <c r="R95" s="388"/>
      <c r="S95" s="389"/>
      <c r="T95" s="388"/>
      <c r="U95" s="389"/>
      <c r="V95" s="388"/>
      <c r="W95" s="389"/>
      <c r="X95" s="376"/>
      <c r="Y95" s="390"/>
      <c r="Z95" s="376"/>
      <c r="AA95" s="390"/>
      <c r="AB95" s="376"/>
      <c r="AC95" s="390"/>
      <c r="AD95" s="376"/>
      <c r="AE95" s="390"/>
      <c r="AF95" s="376"/>
      <c r="AG95" s="390"/>
      <c r="AH95" s="390"/>
      <c r="AI95" s="376"/>
      <c r="AJ95" s="390"/>
      <c r="AL95" s="522" t="str">
        <f t="shared" si="17"/>
        <v>H/M/88/2024</v>
      </c>
      <c r="AM95" s="44" t="str">
        <f t="shared" si="18"/>
        <v>-</v>
      </c>
      <c r="AQ95" s="588"/>
      <c r="AR95" s="284">
        <f t="shared" si="11"/>
        <v>88</v>
      </c>
      <c r="AS95" s="284" t="str">
        <f t="shared" si="19"/>
        <v>H/M/88/2024</v>
      </c>
      <c r="AT95" s="284" t="str">
        <f t="shared" si="20"/>
        <v>Ammar Anwar Hamdan Habib</v>
      </c>
      <c r="AU95">
        <f t="shared" si="14"/>
        <v>96</v>
      </c>
      <c r="AV95" s="3" t="s">
        <v>1720</v>
      </c>
    </row>
    <row r="96" spans="1:48" s="3" customFormat="1" ht="16.5" customHeight="1">
      <c r="A96" s="377">
        <v>89</v>
      </c>
      <c r="B96" s="396" t="str">
        <f t="shared" si="15"/>
        <v>H/M/89/2024</v>
      </c>
      <c r="C96" s="397"/>
      <c r="D96" s="405">
        <v>279</v>
      </c>
      <c r="E96" s="306" t="s">
        <v>307</v>
      </c>
      <c r="F96" s="380">
        <v>65200</v>
      </c>
      <c r="G96" s="380">
        <v>4220</v>
      </c>
      <c r="H96" s="286">
        <v>69420</v>
      </c>
      <c r="I96" s="380">
        <v>69420</v>
      </c>
      <c r="J96" s="382">
        <f t="shared" si="16"/>
        <v>0</v>
      </c>
      <c r="K96" s="383"/>
      <c r="L96" s="383"/>
      <c r="M96" s="383"/>
      <c r="N96" s="388"/>
      <c r="O96" s="388"/>
      <c r="P96" s="388"/>
      <c r="Q96" s="388"/>
      <c r="R96" s="388"/>
      <c r="S96" s="389"/>
      <c r="T96" s="388"/>
      <c r="U96" s="389"/>
      <c r="V96" s="388"/>
      <c r="W96" s="389"/>
      <c r="X96" s="376"/>
      <c r="Y96" s="390"/>
      <c r="Z96" s="376"/>
      <c r="AA96" s="390"/>
      <c r="AB96" s="376"/>
      <c r="AC96" s="390"/>
      <c r="AD96" s="376"/>
      <c r="AE96" s="390"/>
      <c r="AF96" s="376"/>
      <c r="AG96" s="390"/>
      <c r="AH96" s="390"/>
      <c r="AI96" s="376"/>
      <c r="AJ96" s="390"/>
      <c r="AL96" s="522" t="str">
        <f t="shared" si="17"/>
        <v>H/M/89/2024</v>
      </c>
      <c r="AM96" s="44" t="str">
        <f t="shared" si="18"/>
        <v>-</v>
      </c>
      <c r="AQ96" s="588"/>
      <c r="AR96" s="284">
        <f t="shared" si="11"/>
        <v>89</v>
      </c>
      <c r="AS96" s="284" t="str">
        <f t="shared" si="19"/>
        <v>H/M/89/2024</v>
      </c>
      <c r="AT96" s="284" t="str">
        <f t="shared" si="20"/>
        <v>Shams Saeed Sultan AL Kitbee</v>
      </c>
      <c r="AU96">
        <f t="shared" si="14"/>
        <v>98</v>
      </c>
      <c r="AV96" s="3" t="s">
        <v>1719</v>
      </c>
    </row>
    <row r="97" spans="1:48" s="3" customFormat="1" ht="16.5" customHeight="1">
      <c r="A97" s="77">
        <v>90</v>
      </c>
      <c r="B97" s="396" t="str">
        <f t="shared" si="15"/>
        <v>H/M/90/2024</v>
      </c>
      <c r="C97" s="397">
        <v>45557</v>
      </c>
      <c r="D97" s="405">
        <v>221</v>
      </c>
      <c r="E97" s="306" t="s">
        <v>501</v>
      </c>
      <c r="F97" s="380">
        <v>22364</v>
      </c>
      <c r="G97" s="380">
        <v>1118.2</v>
      </c>
      <c r="H97" s="286">
        <v>23482.2</v>
      </c>
      <c r="I97" s="380">
        <v>23482</v>
      </c>
      <c r="J97" s="382">
        <f t="shared" si="16"/>
        <v>0.2000000000007276</v>
      </c>
      <c r="K97" s="383"/>
      <c r="L97" s="383"/>
      <c r="M97" s="383"/>
      <c r="N97" s="388"/>
      <c r="O97" s="388"/>
      <c r="P97" s="388"/>
      <c r="Q97" s="388"/>
      <c r="R97" s="388"/>
      <c r="S97" s="389"/>
      <c r="T97" s="388"/>
      <c r="U97" s="389"/>
      <c r="V97" s="388"/>
      <c r="W97" s="389"/>
      <c r="X97" s="376" t="s">
        <v>1826</v>
      </c>
      <c r="Y97" s="390">
        <v>144000</v>
      </c>
      <c r="Z97" s="376" t="s">
        <v>1332</v>
      </c>
      <c r="AA97" s="390">
        <v>-121363</v>
      </c>
      <c r="AB97" s="376"/>
      <c r="AC97" s="390"/>
      <c r="AD97" s="950">
        <v>45580.59783564815</v>
      </c>
      <c r="AE97" s="390"/>
      <c r="AF97" s="376"/>
      <c r="AG97" s="390"/>
      <c r="AH97" s="390">
        <v>22364</v>
      </c>
      <c r="AI97" s="376">
        <v>1118.2</v>
      </c>
      <c r="AJ97" s="390">
        <v>23482.2</v>
      </c>
      <c r="AK97" s="3">
        <v>2</v>
      </c>
      <c r="AL97" s="522" t="str">
        <f t="shared" si="17"/>
        <v>H/M/90/2024</v>
      </c>
      <c r="AM97" s="44">
        <f t="shared" si="18"/>
        <v>45557</v>
      </c>
      <c r="AQ97" s="588"/>
      <c r="AR97" s="284">
        <f t="shared" ref="AR97:AR152" si="21">A97</f>
        <v>90</v>
      </c>
      <c r="AS97" s="284" t="str">
        <f t="shared" si="19"/>
        <v>H/M/90/2024</v>
      </c>
      <c r="AT97" s="284" t="str">
        <f t="shared" si="20"/>
        <v>Saeed Abdullah Khalifa Al Malek</v>
      </c>
      <c r="AU97">
        <f t="shared" si="14"/>
        <v>99</v>
      </c>
      <c r="AV97" s="3" t="s">
        <v>1724</v>
      </c>
    </row>
    <row r="98" spans="1:48" s="3" customFormat="1" ht="16.5" customHeight="1">
      <c r="A98" s="77">
        <v>91</v>
      </c>
      <c r="B98" s="396" t="str">
        <f t="shared" si="15"/>
        <v>H/M/91/2024</v>
      </c>
      <c r="C98" s="397">
        <v>45504</v>
      </c>
      <c r="D98" s="405">
        <v>233</v>
      </c>
      <c r="E98" s="306" t="s">
        <v>1003</v>
      </c>
      <c r="F98" s="380">
        <v>19596</v>
      </c>
      <c r="G98" s="380">
        <v>979.80000000000007</v>
      </c>
      <c r="H98" s="286">
        <v>20575.8</v>
      </c>
      <c r="I98" s="380">
        <v>20575.8</v>
      </c>
      <c r="J98" s="382">
        <f t="shared" si="16"/>
        <v>0</v>
      </c>
      <c r="K98" s="383"/>
      <c r="L98" s="383"/>
      <c r="M98" s="383"/>
      <c r="N98" s="388"/>
      <c r="O98" s="388"/>
      <c r="P98" s="388"/>
      <c r="Q98" s="388"/>
      <c r="R98" s="388"/>
      <c r="S98" s="389">
        <v>175904</v>
      </c>
      <c r="T98" s="388"/>
      <c r="U98" s="389"/>
      <c r="V98" s="388"/>
      <c r="W98" s="389"/>
      <c r="X98" s="376"/>
      <c r="Y98" s="390"/>
      <c r="Z98" s="376"/>
      <c r="AA98" s="390"/>
      <c r="AB98" s="376"/>
      <c r="AC98" s="390"/>
      <c r="AD98" s="376"/>
      <c r="AE98" s="390"/>
      <c r="AF98" s="376"/>
      <c r="AG98" s="390"/>
      <c r="AH98" s="390"/>
      <c r="AI98" s="376"/>
      <c r="AJ98" s="390"/>
      <c r="AK98" s="3">
        <v>1</v>
      </c>
      <c r="AL98" s="522" t="str">
        <f t="shared" si="17"/>
        <v>H/M/91/2024</v>
      </c>
      <c r="AM98" s="44">
        <f t="shared" si="18"/>
        <v>45504</v>
      </c>
      <c r="AQ98" s="588"/>
      <c r="AR98" s="284">
        <f t="shared" si="21"/>
        <v>91</v>
      </c>
      <c r="AS98" s="284" t="str">
        <f t="shared" si="19"/>
        <v>H/M/91/2024</v>
      </c>
      <c r="AT98" s="284" t="str">
        <f t="shared" si="20"/>
        <v>Mubark Ismail AL Meheri</v>
      </c>
      <c r="AU98">
        <f t="shared" si="14"/>
        <v>100</v>
      </c>
      <c r="AV98" s="3" t="s">
        <v>1721</v>
      </c>
    </row>
    <row r="99" spans="1:48" s="3" customFormat="1" ht="16.5" customHeight="1">
      <c r="A99" s="391">
        <v>92</v>
      </c>
      <c r="B99" s="1037" t="str">
        <f t="shared" si="15"/>
        <v>H/M/92/2024</v>
      </c>
      <c r="C99" s="1038"/>
      <c r="D99" s="1039">
        <v>234</v>
      </c>
      <c r="E99" s="391" t="s">
        <v>609</v>
      </c>
      <c r="F99" s="392">
        <v>8565</v>
      </c>
      <c r="G99" s="392">
        <v>428.25</v>
      </c>
      <c r="H99" s="287">
        <v>8993.25</v>
      </c>
      <c r="I99" s="392">
        <v>0</v>
      </c>
      <c r="J99" s="1040" t="str">
        <f t="shared" si="16"/>
        <v/>
      </c>
      <c r="K99" s="1041" t="s">
        <v>3050</v>
      </c>
      <c r="L99" s="383"/>
      <c r="M99" s="383"/>
      <c r="N99" s="388"/>
      <c r="O99" s="388"/>
      <c r="P99" s="388"/>
      <c r="Q99" s="388"/>
      <c r="R99" s="388"/>
      <c r="S99" s="389"/>
      <c r="T99" s="388"/>
      <c r="U99" s="389"/>
      <c r="V99" s="388"/>
      <c r="W99" s="389"/>
      <c r="X99" s="376"/>
      <c r="Y99" s="390"/>
      <c r="Z99" s="376"/>
      <c r="AA99" s="390"/>
      <c r="AB99" s="376"/>
      <c r="AC99" s="390"/>
      <c r="AD99" s="376"/>
      <c r="AE99" s="390"/>
      <c r="AF99" s="376"/>
      <c r="AG99" s="390"/>
      <c r="AH99" s="390"/>
      <c r="AI99" s="376"/>
      <c r="AJ99" s="390"/>
      <c r="AL99" s="522" t="str">
        <f t="shared" si="17"/>
        <v>H/M/92/2024</v>
      </c>
      <c r="AM99" s="44" t="str">
        <f t="shared" si="18"/>
        <v>-</v>
      </c>
      <c r="AQ99" s="588"/>
      <c r="AR99" s="284">
        <f t="shared" si="21"/>
        <v>92</v>
      </c>
      <c r="AS99" s="284" t="str">
        <f t="shared" si="19"/>
        <v>H/M/92/2024</v>
      </c>
      <c r="AT99" s="284" t="str">
        <f t="shared" si="20"/>
        <v>Hassan Khamis Naqib</v>
      </c>
      <c r="AU99">
        <f t="shared" si="14"/>
        <v>101</v>
      </c>
      <c r="AV99" s="3" t="s">
        <v>1722</v>
      </c>
    </row>
    <row r="100" spans="1:48" s="3" customFormat="1" ht="16.5" customHeight="1">
      <c r="A100" s="306">
        <v>93</v>
      </c>
      <c r="B100" s="396" t="str">
        <f>"H/M/"&amp;A100&amp;"/2024"</f>
        <v>H/M/93/2024</v>
      </c>
      <c r="C100" s="398">
        <v>45504</v>
      </c>
      <c r="D100" s="406">
        <v>999</v>
      </c>
      <c r="E100" s="306" t="s">
        <v>1212</v>
      </c>
      <c r="F100" s="399">
        <v>9190</v>
      </c>
      <c r="G100" s="399">
        <v>459.5</v>
      </c>
      <c r="H100" s="286">
        <v>9649.5</v>
      </c>
      <c r="I100" s="399">
        <v>9650</v>
      </c>
      <c r="J100" s="382">
        <f t="shared" si="16"/>
        <v>-0.5</v>
      </c>
      <c r="K100" s="77" t="s">
        <v>1210</v>
      </c>
      <c r="L100" s="376"/>
      <c r="M100" s="376"/>
      <c r="N100" s="388"/>
      <c r="O100" s="388"/>
      <c r="P100" s="388"/>
      <c r="Q100" s="388"/>
      <c r="R100" s="388"/>
      <c r="S100" s="389"/>
      <c r="T100" s="388"/>
      <c r="U100" s="389"/>
      <c r="V100" s="388"/>
      <c r="W100" s="389"/>
      <c r="X100" s="376" t="s">
        <v>1214</v>
      </c>
      <c r="Y100" s="390">
        <v>9190</v>
      </c>
      <c r="Z100" s="376"/>
      <c r="AA100" s="390"/>
      <c r="AB100" s="376"/>
      <c r="AC100" s="390"/>
      <c r="AD100" s="376"/>
      <c r="AE100" s="390"/>
      <c r="AF100" s="376"/>
      <c r="AG100" s="390"/>
      <c r="AH100" s="390">
        <v>9190</v>
      </c>
      <c r="AI100" s="376">
        <v>460</v>
      </c>
      <c r="AJ100" s="390">
        <v>9650</v>
      </c>
      <c r="AK100" s="3">
        <v>2</v>
      </c>
      <c r="AL100" s="522" t="str">
        <f t="shared" si="17"/>
        <v>H/M/93/2024</v>
      </c>
      <c r="AM100" s="44">
        <f t="shared" si="18"/>
        <v>45504</v>
      </c>
      <c r="AQ100" s="588"/>
      <c r="AR100" s="284">
        <f t="shared" si="21"/>
        <v>93</v>
      </c>
      <c r="AS100" s="284" t="str">
        <f t="shared" si="19"/>
        <v>H/M/93/2024</v>
      </c>
      <c r="AT100" s="284" t="str">
        <f t="shared" si="20"/>
        <v>Gulf Hills Contracting LL - Store Sales 2 Units</v>
      </c>
      <c r="AU100">
        <f>VALUE(MID(AV100,9,3))</f>
        <v>102</v>
      </c>
      <c r="AV100" s="3" t="s">
        <v>1723</v>
      </c>
    </row>
    <row r="101" spans="1:48" s="3" customFormat="1" ht="16.5" customHeight="1">
      <c r="A101" s="306">
        <v>94</v>
      </c>
      <c r="B101" s="396" t="s">
        <v>829</v>
      </c>
      <c r="C101" s="398">
        <v>45507</v>
      </c>
      <c r="D101" s="406">
        <v>242</v>
      </c>
      <c r="E101" s="306" t="s">
        <v>435</v>
      </c>
      <c r="F101" s="399">
        <v>16500</v>
      </c>
      <c r="G101" s="399">
        <v>825</v>
      </c>
      <c r="H101" s="286">
        <v>17325</v>
      </c>
      <c r="I101" s="399">
        <v>17325</v>
      </c>
      <c r="J101" s="382">
        <f t="shared" si="16"/>
        <v>0</v>
      </c>
      <c r="K101" s="77" t="s">
        <v>1210</v>
      </c>
      <c r="L101" s="376"/>
      <c r="M101" s="376"/>
      <c r="N101" s="388"/>
      <c r="O101" s="388"/>
      <c r="P101" s="388"/>
      <c r="Q101" s="388"/>
      <c r="R101" s="388"/>
      <c r="S101" s="389"/>
      <c r="T101" s="388"/>
      <c r="U101" s="389"/>
      <c r="V101" s="388"/>
      <c r="W101" s="389"/>
      <c r="X101" s="376" t="s">
        <v>1215</v>
      </c>
      <c r="Y101" s="390">
        <v>6000</v>
      </c>
      <c r="Z101" s="376" t="s">
        <v>855</v>
      </c>
      <c r="AA101" s="390">
        <v>10500</v>
      </c>
      <c r="AB101" s="376"/>
      <c r="AC101" s="390"/>
      <c r="AD101" s="376"/>
      <c r="AE101" s="390"/>
      <c r="AF101" s="376"/>
      <c r="AG101" s="390"/>
      <c r="AH101" s="390">
        <v>16500</v>
      </c>
      <c r="AI101" s="376">
        <v>825</v>
      </c>
      <c r="AJ101" s="390">
        <v>17325</v>
      </c>
      <c r="AK101" s="3">
        <v>2</v>
      </c>
      <c r="AL101" s="522" t="str">
        <f t="shared" si="17"/>
        <v>H/M/94/2024</v>
      </c>
      <c r="AM101" s="44">
        <f t="shared" si="18"/>
        <v>45507</v>
      </c>
      <c r="AQ101" s="588"/>
      <c r="AR101" s="284">
        <f t="shared" si="21"/>
        <v>94</v>
      </c>
      <c r="AS101" s="284" t="str">
        <f t="shared" si="19"/>
        <v>H/M/94/2024</v>
      </c>
      <c r="AT101" s="284" t="str">
        <f t="shared" si="20"/>
        <v>Ammar Anwar Hamdan Habib</v>
      </c>
      <c r="AU101">
        <f>VALUE(MID(AV101,9,3))</f>
        <v>103</v>
      </c>
      <c r="AV101" s="3" t="s">
        <v>1725</v>
      </c>
    </row>
    <row r="102" spans="1:48" s="3" customFormat="1" ht="16.5" customHeight="1">
      <c r="A102" s="306">
        <v>95</v>
      </c>
      <c r="B102" s="306" t="s">
        <v>1211</v>
      </c>
      <c r="C102" s="398">
        <v>45508</v>
      </c>
      <c r="D102" s="406">
        <v>282</v>
      </c>
      <c r="E102" s="306" t="s">
        <v>1213</v>
      </c>
      <c r="F102" s="399">
        <v>36000</v>
      </c>
      <c r="G102" s="399">
        <v>1800</v>
      </c>
      <c r="H102" s="286">
        <v>37800</v>
      </c>
      <c r="I102" s="399">
        <v>37800</v>
      </c>
      <c r="J102" s="382">
        <f t="shared" si="16"/>
        <v>0</v>
      </c>
      <c r="K102" s="77" t="s">
        <v>1210</v>
      </c>
      <c r="L102" s="376"/>
      <c r="M102" s="376"/>
      <c r="N102" s="388"/>
      <c r="O102" s="388"/>
      <c r="P102" s="388"/>
      <c r="Q102" s="388"/>
      <c r="R102" s="388"/>
      <c r="S102" s="389"/>
      <c r="T102" s="388"/>
      <c r="U102" s="389">
        <v>0</v>
      </c>
      <c r="V102" s="388"/>
      <c r="W102" s="389"/>
      <c r="X102" s="376" t="s">
        <v>1216</v>
      </c>
      <c r="Y102" s="390">
        <v>36000</v>
      </c>
      <c r="Z102" s="376"/>
      <c r="AA102" s="390"/>
      <c r="AB102" s="376"/>
      <c r="AC102" s="390"/>
      <c r="AD102" s="376"/>
      <c r="AE102" s="390"/>
      <c r="AF102" s="376"/>
      <c r="AG102" s="390"/>
      <c r="AH102" s="390">
        <v>36000</v>
      </c>
      <c r="AI102" s="376">
        <v>1800</v>
      </c>
      <c r="AJ102" s="390">
        <v>37800</v>
      </c>
      <c r="AK102" s="3">
        <v>2</v>
      </c>
      <c r="AL102" s="522" t="str">
        <f t="shared" si="17"/>
        <v>H/M/95/2024</v>
      </c>
      <c r="AM102" s="44">
        <f t="shared" si="18"/>
        <v>45508</v>
      </c>
      <c r="AQ102" s="588"/>
      <c r="AR102" s="284">
        <f t="shared" si="21"/>
        <v>95</v>
      </c>
      <c r="AS102" s="284" t="str">
        <f t="shared" si="19"/>
        <v>H/M/95/2024</v>
      </c>
      <c r="AT102" s="284" t="str">
        <f t="shared" si="20"/>
        <v>Omar Yousuf Mohamed Al Hajji Al Falasi</v>
      </c>
      <c r="AU102">
        <f>VALUE(MID(AV102,9,3))</f>
        <v>104</v>
      </c>
      <c r="AV102" s="3" t="s">
        <v>1726</v>
      </c>
    </row>
    <row r="103" spans="1:48" s="3" customFormat="1" ht="16.5" customHeight="1">
      <c r="A103" s="306">
        <v>96</v>
      </c>
      <c r="B103" s="306" t="s">
        <v>1263</v>
      </c>
      <c r="C103" s="398">
        <v>45511</v>
      </c>
      <c r="D103" s="406">
        <v>284</v>
      </c>
      <c r="E103" s="306" t="s">
        <v>997</v>
      </c>
      <c r="F103" s="399">
        <v>15000</v>
      </c>
      <c r="G103" s="399">
        <v>750</v>
      </c>
      <c r="H103" s="286">
        <v>15750</v>
      </c>
      <c r="I103" s="399">
        <v>15750</v>
      </c>
      <c r="J103" s="382">
        <f t="shared" si="16"/>
        <v>0</v>
      </c>
      <c r="K103" s="77" t="s">
        <v>1210</v>
      </c>
      <c r="L103" s="376"/>
      <c r="M103" s="376"/>
      <c r="N103" s="388"/>
      <c r="O103" s="388"/>
      <c r="P103" s="388"/>
      <c r="Q103" s="388"/>
      <c r="R103" s="388"/>
      <c r="S103" s="389">
        <v>-8250</v>
      </c>
      <c r="T103" s="388"/>
      <c r="U103" s="389"/>
      <c r="V103" s="388"/>
      <c r="W103" s="389"/>
      <c r="X103" s="376" t="s">
        <v>1264</v>
      </c>
      <c r="Y103" s="390">
        <v>15000</v>
      </c>
      <c r="Z103" s="376"/>
      <c r="AA103" s="390"/>
      <c r="AB103" s="376"/>
      <c r="AC103" s="390"/>
      <c r="AD103" s="376"/>
      <c r="AE103" s="390"/>
      <c r="AF103" s="376"/>
      <c r="AG103" s="390"/>
      <c r="AH103" s="390">
        <v>15000</v>
      </c>
      <c r="AI103" s="376">
        <v>750</v>
      </c>
      <c r="AJ103" s="390">
        <v>15750</v>
      </c>
      <c r="AK103" s="3">
        <v>2</v>
      </c>
      <c r="AL103" s="522" t="str">
        <f t="shared" si="17"/>
        <v>H/M/96/2024</v>
      </c>
      <c r="AM103" s="44">
        <f t="shared" si="18"/>
        <v>45511</v>
      </c>
      <c r="AQ103" s="588"/>
      <c r="AR103" s="284">
        <f t="shared" si="21"/>
        <v>96</v>
      </c>
      <c r="AS103" s="284" t="str">
        <f t="shared" si="19"/>
        <v>H/M/96/2024</v>
      </c>
      <c r="AT103" s="284" t="str">
        <f t="shared" si="20"/>
        <v>ABDULLAH . EBTESAM</v>
      </c>
      <c r="AU103">
        <f>VALUE(MID(AV103,9,3))</f>
        <v>105</v>
      </c>
      <c r="AV103" s="3" t="s">
        <v>1727</v>
      </c>
    </row>
    <row r="104" spans="1:48" s="3" customFormat="1" ht="16.5" customHeight="1">
      <c r="A104" s="306">
        <v>97</v>
      </c>
      <c r="B104" s="306" t="s">
        <v>1325</v>
      </c>
      <c r="C104" s="398">
        <v>45514</v>
      </c>
      <c r="D104" s="407">
        <v>255</v>
      </c>
      <c r="E104" s="306" t="s">
        <v>564</v>
      </c>
      <c r="F104" s="399">
        <v>50750</v>
      </c>
      <c r="G104" s="399">
        <v>2537.5</v>
      </c>
      <c r="H104" s="286">
        <v>53287.5</v>
      </c>
      <c r="I104" s="399">
        <v>53287.5</v>
      </c>
      <c r="J104" s="382">
        <f t="shared" si="16"/>
        <v>0</v>
      </c>
      <c r="K104" s="77" t="s">
        <v>1210</v>
      </c>
      <c r="L104" s="376"/>
      <c r="M104" s="376">
        <v>0</v>
      </c>
      <c r="N104" s="388">
        <v>0.8</v>
      </c>
      <c r="O104" s="388">
        <v>1</v>
      </c>
      <c r="P104" s="388"/>
      <c r="Q104" s="388"/>
      <c r="R104" s="388"/>
      <c r="S104" s="389">
        <v>0</v>
      </c>
      <c r="T104" s="388"/>
      <c r="U104" s="389">
        <v>0</v>
      </c>
      <c r="V104" s="388"/>
      <c r="W104" s="389">
        <v>0</v>
      </c>
      <c r="X104" s="376"/>
      <c r="Y104" s="390"/>
      <c r="Z104" s="376"/>
      <c r="AA104" s="390"/>
      <c r="AB104" s="376"/>
      <c r="AC104" s="390"/>
      <c r="AD104" s="376"/>
      <c r="AE104" s="390"/>
      <c r="AF104" s="376"/>
      <c r="AG104" s="390"/>
      <c r="AH104" s="390"/>
      <c r="AI104" s="376"/>
      <c r="AJ104" s="390"/>
      <c r="AK104" s="3">
        <v>1</v>
      </c>
      <c r="AL104" s="522" t="str">
        <f t="shared" si="17"/>
        <v>H/M/97/2024</v>
      </c>
      <c r="AM104" s="44">
        <f t="shared" si="18"/>
        <v>45514</v>
      </c>
      <c r="AQ104" s="588"/>
      <c r="AR104" s="284">
        <f t="shared" si="21"/>
        <v>97</v>
      </c>
      <c r="AS104" s="284" t="str">
        <f t="shared" ref="AS104:AS161" si="22">B104</f>
        <v>H/M/97/2024</v>
      </c>
      <c r="AT104" s="284" t="str">
        <f t="shared" ref="AT104:AT161" si="23">E104</f>
        <v>Essa Khalifa Ali Mohammad Almheiri</v>
      </c>
      <c r="AU104">
        <f>VALUE(MID(AV104,9,3))</f>
        <v>106</v>
      </c>
      <c r="AV104" s="3" t="s">
        <v>1728</v>
      </c>
    </row>
    <row r="105" spans="1:48" s="3" customFormat="1" ht="16.5" customHeight="1">
      <c r="A105" s="306">
        <v>98</v>
      </c>
      <c r="B105" s="306" t="s">
        <v>1261</v>
      </c>
      <c r="C105" s="398">
        <v>45515</v>
      </c>
      <c r="D105" s="407">
        <v>250</v>
      </c>
      <c r="E105" s="306" t="s">
        <v>1330</v>
      </c>
      <c r="F105" s="399">
        <v>4250</v>
      </c>
      <c r="G105" s="399">
        <v>212.5</v>
      </c>
      <c r="H105" s="286">
        <v>4462.5</v>
      </c>
      <c r="I105" s="399">
        <v>4462.5</v>
      </c>
      <c r="J105" s="382">
        <f t="shared" si="16"/>
        <v>0</v>
      </c>
      <c r="K105" s="77" t="s">
        <v>1210</v>
      </c>
      <c r="L105" s="376"/>
      <c r="M105" s="376"/>
      <c r="N105" s="388"/>
      <c r="O105" s="388"/>
      <c r="P105" s="388"/>
      <c r="Q105" s="388"/>
      <c r="R105" s="388"/>
      <c r="S105" s="389"/>
      <c r="T105" s="388"/>
      <c r="U105" s="389"/>
      <c r="V105" s="388"/>
      <c r="W105" s="389"/>
      <c r="X105" s="376" t="s">
        <v>1333</v>
      </c>
      <c r="Y105" s="390">
        <v>93000</v>
      </c>
      <c r="Z105" s="376" t="s">
        <v>1332</v>
      </c>
      <c r="AA105" s="390">
        <v>-88750</v>
      </c>
      <c r="AB105" s="376"/>
      <c r="AC105" s="390"/>
      <c r="AD105" s="376"/>
      <c r="AE105" s="390"/>
      <c r="AF105" s="376"/>
      <c r="AG105" s="390"/>
      <c r="AH105" s="390">
        <v>4250</v>
      </c>
      <c r="AI105" s="376">
        <v>212.5</v>
      </c>
      <c r="AJ105" s="390">
        <v>4462.5</v>
      </c>
      <c r="AK105" s="3">
        <v>2</v>
      </c>
      <c r="AL105" s="522" t="str">
        <f t="shared" si="17"/>
        <v>H/M/98/2024</v>
      </c>
      <c r="AM105" s="44">
        <f t="shared" si="18"/>
        <v>45515</v>
      </c>
      <c r="AQ105" s="588"/>
      <c r="AR105" s="284">
        <f t="shared" si="21"/>
        <v>98</v>
      </c>
      <c r="AS105" s="284" t="str">
        <f t="shared" si="22"/>
        <v>H/M/98/2024</v>
      </c>
      <c r="AT105" s="284" t="str">
        <f t="shared" si="23"/>
        <v>Mohamed Abdullah Jaseem</v>
      </c>
    </row>
    <row r="106" spans="1:48" s="3" customFormat="1" ht="16.5" customHeight="1">
      <c r="A106" s="306">
        <v>99</v>
      </c>
      <c r="B106" s="306" t="s">
        <v>1334</v>
      </c>
      <c r="C106" s="398">
        <v>45517</v>
      </c>
      <c r="D106" s="407">
        <v>217</v>
      </c>
      <c r="E106" s="306" t="s">
        <v>649</v>
      </c>
      <c r="F106" s="399">
        <v>12800</v>
      </c>
      <c r="G106" s="399">
        <v>640</v>
      </c>
      <c r="H106" s="286">
        <v>13440</v>
      </c>
      <c r="I106" s="399">
        <v>13440</v>
      </c>
      <c r="J106" s="382">
        <f t="shared" si="16"/>
        <v>0</v>
      </c>
      <c r="K106" s="77" t="s">
        <v>1210</v>
      </c>
      <c r="L106" s="376"/>
      <c r="M106" s="376">
        <v>3000</v>
      </c>
      <c r="N106" s="388">
        <v>1</v>
      </c>
      <c r="O106" s="388">
        <v>1</v>
      </c>
      <c r="P106" s="388">
        <v>1</v>
      </c>
      <c r="Q106" s="388">
        <v>1</v>
      </c>
      <c r="R106" s="388">
        <v>1</v>
      </c>
      <c r="S106" s="389">
        <v>130200</v>
      </c>
      <c r="T106" s="388" t="s">
        <v>1344</v>
      </c>
      <c r="U106" s="389">
        <v>3000</v>
      </c>
      <c r="V106" s="388"/>
      <c r="W106" s="389">
        <v>0</v>
      </c>
      <c r="X106" s="376"/>
      <c r="Y106" s="390"/>
      <c r="Z106" s="376"/>
      <c r="AA106" s="390"/>
      <c r="AB106" s="376"/>
      <c r="AC106" s="390"/>
      <c r="AD106" s="376"/>
      <c r="AE106" s="390"/>
      <c r="AF106" s="376"/>
      <c r="AG106" s="390"/>
      <c r="AH106" s="390"/>
      <c r="AI106" s="376"/>
      <c r="AJ106" s="390"/>
      <c r="AK106" s="3">
        <v>1</v>
      </c>
      <c r="AL106" s="522" t="str">
        <f t="shared" si="17"/>
        <v>H/M/99/2024</v>
      </c>
      <c r="AM106" s="44">
        <f t="shared" si="18"/>
        <v>45517</v>
      </c>
      <c r="AQ106" s="588"/>
      <c r="AR106" s="284">
        <f t="shared" si="21"/>
        <v>99</v>
      </c>
      <c r="AS106" s="284" t="str">
        <f t="shared" si="22"/>
        <v>H/M/99/2024</v>
      </c>
      <c r="AT106" s="284" t="str">
        <f t="shared" si="23"/>
        <v>Mohamed Saif Al ketbi</v>
      </c>
    </row>
    <row r="107" spans="1:48" s="3" customFormat="1" ht="16.5" customHeight="1">
      <c r="A107" s="77">
        <v>100</v>
      </c>
      <c r="B107" s="306" t="s">
        <v>1345</v>
      </c>
      <c r="C107" s="398">
        <v>45518</v>
      </c>
      <c r="D107" s="407">
        <v>256</v>
      </c>
      <c r="E107" s="306" t="s">
        <v>1346</v>
      </c>
      <c r="F107" s="399">
        <v>153244</v>
      </c>
      <c r="G107" s="399">
        <v>7662.2</v>
      </c>
      <c r="H107" s="286">
        <v>160906</v>
      </c>
      <c r="I107" s="380">
        <v>160906</v>
      </c>
      <c r="J107" s="382">
        <f t="shared" si="16"/>
        <v>0</v>
      </c>
      <c r="K107" s="77" t="s">
        <v>1210</v>
      </c>
      <c r="L107" s="376"/>
      <c r="M107" s="376">
        <v>0</v>
      </c>
      <c r="N107" s="388">
        <v>0.8</v>
      </c>
      <c r="O107" s="388">
        <v>1</v>
      </c>
      <c r="P107" s="388">
        <v>0</v>
      </c>
      <c r="Q107" s="388">
        <v>0</v>
      </c>
      <c r="R107" s="388">
        <v>0</v>
      </c>
      <c r="S107" s="389">
        <v>0</v>
      </c>
      <c r="T107" s="388"/>
      <c r="U107" s="389">
        <v>0</v>
      </c>
      <c r="V107" s="388"/>
      <c r="W107" s="389">
        <v>0</v>
      </c>
      <c r="X107" s="376"/>
      <c r="Y107" s="390"/>
      <c r="Z107" s="376"/>
      <c r="AA107" s="390"/>
      <c r="AB107" s="376"/>
      <c r="AC107" s="390"/>
      <c r="AD107" s="633">
        <v>45560</v>
      </c>
      <c r="AE107" s="390"/>
      <c r="AF107" s="376"/>
      <c r="AG107" s="390"/>
      <c r="AH107" s="390"/>
      <c r="AI107" s="376"/>
      <c r="AJ107" s="390"/>
      <c r="AK107" s="3">
        <v>1</v>
      </c>
      <c r="AL107" s="522" t="str">
        <f t="shared" si="17"/>
        <v>H/M/100/2024</v>
      </c>
      <c r="AM107" s="44">
        <f t="shared" si="18"/>
        <v>45518</v>
      </c>
      <c r="AQ107" s="588"/>
      <c r="AR107" s="284">
        <f t="shared" si="21"/>
        <v>100</v>
      </c>
      <c r="AS107" s="284" t="str">
        <f t="shared" si="22"/>
        <v>H/M/100/2024</v>
      </c>
      <c r="AT107" s="284" t="str">
        <f t="shared" si="23"/>
        <v>Dubai Sky Contracting L.L.C    \Project:-Adnan Ameen Mohamed Ali Al Marzouqi</v>
      </c>
    </row>
    <row r="108" spans="1:48" s="3" customFormat="1" ht="16.5" customHeight="1">
      <c r="A108" s="77">
        <v>101</v>
      </c>
      <c r="B108" s="306" t="s">
        <v>1359</v>
      </c>
      <c r="C108" s="398">
        <v>45519</v>
      </c>
      <c r="D108" s="407">
        <v>285</v>
      </c>
      <c r="E108" s="306" t="s">
        <v>1356</v>
      </c>
      <c r="F108" s="399">
        <v>15000</v>
      </c>
      <c r="G108" s="399">
        <v>750</v>
      </c>
      <c r="H108" s="286">
        <v>15750</v>
      </c>
      <c r="I108" s="380">
        <v>15750</v>
      </c>
      <c r="J108" s="382">
        <f t="shared" si="16"/>
        <v>0</v>
      </c>
      <c r="K108" s="77" t="s">
        <v>1210</v>
      </c>
      <c r="L108" s="376"/>
      <c r="M108" s="376"/>
      <c r="N108" s="388"/>
      <c r="O108" s="388"/>
      <c r="P108" s="388"/>
      <c r="Q108" s="388"/>
      <c r="R108" s="388"/>
      <c r="S108" s="389"/>
      <c r="T108" s="388"/>
      <c r="U108" s="389"/>
      <c r="V108" s="388"/>
      <c r="W108" s="389"/>
      <c r="X108" s="376" t="s">
        <v>1360</v>
      </c>
      <c r="Y108" s="390">
        <v>15000</v>
      </c>
      <c r="Z108" s="376"/>
      <c r="AA108" s="390"/>
      <c r="AB108" s="376"/>
      <c r="AC108" s="390"/>
      <c r="AD108" s="376"/>
      <c r="AE108" s="390"/>
      <c r="AF108" s="376"/>
      <c r="AG108" s="390"/>
      <c r="AH108" s="390">
        <v>15000</v>
      </c>
      <c r="AI108" s="376">
        <v>750</v>
      </c>
      <c r="AJ108" s="390">
        <v>15750</v>
      </c>
      <c r="AK108" s="3">
        <v>2</v>
      </c>
      <c r="AL108" s="522" t="str">
        <f t="shared" si="17"/>
        <v>H/M/101/2024</v>
      </c>
      <c r="AM108" s="44">
        <f t="shared" si="18"/>
        <v>45519</v>
      </c>
      <c r="AQ108" s="588"/>
      <c r="AR108" s="284">
        <f t="shared" si="21"/>
        <v>101</v>
      </c>
      <c r="AS108" s="284" t="str">
        <f t="shared" ref="AS108:AS115" si="24">B108</f>
        <v>H/M/101/2024</v>
      </c>
      <c r="AT108" s="284" t="str">
        <f t="shared" ref="AT108:AT115" si="25">E108</f>
        <v>ADEL DEELEB AHMAD MOHAMMED</v>
      </c>
    </row>
    <row r="109" spans="1:48" s="3" customFormat="1" ht="16.5" customHeight="1">
      <c r="A109" s="77">
        <v>102</v>
      </c>
      <c r="B109" s="306" t="s">
        <v>1418</v>
      </c>
      <c r="C109" s="398">
        <v>45531</v>
      </c>
      <c r="D109" s="407">
        <v>275</v>
      </c>
      <c r="E109" s="306" t="s">
        <v>1420</v>
      </c>
      <c r="F109" s="399">
        <v>47200</v>
      </c>
      <c r="G109" s="399">
        <v>2360</v>
      </c>
      <c r="H109" s="286">
        <v>49560</v>
      </c>
      <c r="I109" s="380">
        <v>49560</v>
      </c>
      <c r="J109" s="382">
        <f t="shared" si="16"/>
        <v>0</v>
      </c>
      <c r="K109" s="77" t="s">
        <v>1210</v>
      </c>
      <c r="L109" s="376"/>
      <c r="M109" s="376">
        <v>0</v>
      </c>
      <c r="N109" s="388">
        <v>0.8</v>
      </c>
      <c r="O109" s="388">
        <v>1</v>
      </c>
      <c r="P109" s="388">
        <v>0</v>
      </c>
      <c r="Q109" s="388">
        <v>0</v>
      </c>
      <c r="R109" s="388">
        <v>0</v>
      </c>
      <c r="S109" s="389">
        <v>0</v>
      </c>
      <c r="T109" s="388"/>
      <c r="U109" s="389">
        <v>0</v>
      </c>
      <c r="V109" s="388"/>
      <c r="W109" s="389">
        <v>0</v>
      </c>
      <c r="X109" s="376"/>
      <c r="Y109" s="390"/>
      <c r="Z109" s="376"/>
      <c r="AA109" s="390"/>
      <c r="AB109" s="376"/>
      <c r="AC109" s="390"/>
      <c r="AD109" s="376"/>
      <c r="AE109" s="390"/>
      <c r="AF109" s="376"/>
      <c r="AG109" s="390"/>
      <c r="AH109" s="390"/>
      <c r="AI109" s="376"/>
      <c r="AJ109" s="390"/>
      <c r="AK109" s="3">
        <v>1</v>
      </c>
      <c r="AL109" s="522" t="str">
        <f t="shared" si="17"/>
        <v>H/M/102/2024</v>
      </c>
      <c r="AM109" s="44">
        <f t="shared" si="18"/>
        <v>45531</v>
      </c>
      <c r="AQ109" s="588"/>
      <c r="AR109" s="284">
        <f t="shared" si="21"/>
        <v>102</v>
      </c>
      <c r="AS109" s="284" t="str">
        <f t="shared" si="24"/>
        <v>H/M/102/2024</v>
      </c>
      <c r="AT109" s="284" t="str">
        <f t="shared" si="25"/>
        <v>Ertkaz building contracting LLC          /Meshal Mohammad Saqer Ismail Harqoos</v>
      </c>
    </row>
    <row r="110" spans="1:48" s="3" customFormat="1" ht="16.5" customHeight="1">
      <c r="A110" s="77">
        <v>103</v>
      </c>
      <c r="B110" s="306" t="s">
        <v>1612</v>
      </c>
      <c r="C110" s="398">
        <v>45540</v>
      </c>
      <c r="D110" s="407">
        <v>242</v>
      </c>
      <c r="E110" s="306" t="s">
        <v>1873</v>
      </c>
      <c r="F110" s="399">
        <v>7350</v>
      </c>
      <c r="G110" s="399">
        <v>367.5</v>
      </c>
      <c r="H110" s="286">
        <f>G110+F110</f>
        <v>7717.5</v>
      </c>
      <c r="I110" s="380">
        <v>7718</v>
      </c>
      <c r="J110" s="382"/>
      <c r="K110" s="77" t="s">
        <v>1210</v>
      </c>
      <c r="L110" s="376"/>
      <c r="M110" s="376"/>
      <c r="N110" s="388"/>
      <c r="O110" s="388"/>
      <c r="P110" s="388"/>
      <c r="Q110" s="388"/>
      <c r="R110" s="388"/>
      <c r="S110" s="389">
        <v>0</v>
      </c>
      <c r="T110" s="388"/>
      <c r="U110" s="389"/>
      <c r="V110" s="388"/>
      <c r="W110" s="389"/>
      <c r="X110" s="376" t="s">
        <v>1619</v>
      </c>
      <c r="Y110" s="390">
        <v>10500</v>
      </c>
      <c r="Z110" s="376" t="s">
        <v>1332</v>
      </c>
      <c r="AA110" s="390">
        <v>-3150</v>
      </c>
      <c r="AB110" s="376"/>
      <c r="AC110" s="390"/>
      <c r="AD110" s="950">
        <v>45596.549247685187</v>
      </c>
      <c r="AE110" s="390"/>
      <c r="AF110" s="376"/>
      <c r="AG110" s="390"/>
      <c r="AH110" s="390">
        <v>7350</v>
      </c>
      <c r="AI110" s="376">
        <v>367.5</v>
      </c>
      <c r="AJ110" s="390">
        <v>7717.5</v>
      </c>
      <c r="AK110" s="3">
        <v>2</v>
      </c>
      <c r="AL110" s="522" t="str">
        <f t="shared" si="17"/>
        <v>H/M/103/2024</v>
      </c>
      <c r="AM110" s="44">
        <f t="shared" si="18"/>
        <v>45540</v>
      </c>
      <c r="AQ110" s="588"/>
      <c r="AR110" s="284">
        <f t="shared" si="21"/>
        <v>103</v>
      </c>
      <c r="AS110" s="284" t="str">
        <f t="shared" si="24"/>
        <v>H/M/103/2024</v>
      </c>
      <c r="AT110" s="284" t="str">
        <f t="shared" si="25"/>
        <v>Ammar Anwar Hamdan Habib  -  242</v>
      </c>
    </row>
    <row r="111" spans="1:48" s="3" customFormat="1" ht="16.5" customHeight="1">
      <c r="A111" s="77">
        <v>104</v>
      </c>
      <c r="B111" s="77" t="s">
        <v>1617</v>
      </c>
      <c r="C111" s="401">
        <v>45540</v>
      </c>
      <c r="D111" s="408">
        <v>242</v>
      </c>
      <c r="E111" s="77" t="s">
        <v>1873</v>
      </c>
      <c r="F111" s="400">
        <v>4500</v>
      </c>
      <c r="G111" s="400">
        <v>225</v>
      </c>
      <c r="H111" s="288">
        <v>4725</v>
      </c>
      <c r="I111" s="394">
        <v>0</v>
      </c>
      <c r="J111" s="382"/>
      <c r="K111" s="77" t="s">
        <v>1210</v>
      </c>
      <c r="L111" s="376"/>
      <c r="M111" s="376"/>
      <c r="N111" s="388"/>
      <c r="O111" s="388"/>
      <c r="P111" s="388"/>
      <c r="Q111" s="388"/>
      <c r="R111" s="388"/>
      <c r="S111" s="389"/>
      <c r="T111" s="388"/>
      <c r="U111" s="389"/>
      <c r="V111" s="388"/>
      <c r="W111" s="389"/>
      <c r="X111" s="376" t="s">
        <v>1620</v>
      </c>
      <c r="Y111" s="390">
        <v>4500</v>
      </c>
      <c r="Z111" s="376"/>
      <c r="AA111" s="390"/>
      <c r="AB111" s="376"/>
      <c r="AC111" s="390"/>
      <c r="AD111" s="376"/>
      <c r="AE111" s="390"/>
      <c r="AF111" s="376"/>
      <c r="AG111" s="390"/>
      <c r="AH111" s="390">
        <v>4500</v>
      </c>
      <c r="AI111" s="376">
        <v>225</v>
      </c>
      <c r="AJ111" s="390">
        <v>4725</v>
      </c>
      <c r="AK111" s="3">
        <v>2</v>
      </c>
      <c r="AL111" s="522" t="str">
        <f t="shared" si="17"/>
        <v>H/M/104/2024</v>
      </c>
      <c r="AM111" s="44">
        <f t="shared" si="18"/>
        <v>45540</v>
      </c>
      <c r="AQ111" s="588"/>
      <c r="AR111" s="284">
        <f t="shared" si="21"/>
        <v>104</v>
      </c>
      <c r="AS111" s="284" t="str">
        <f t="shared" si="24"/>
        <v>H/M/104/2024</v>
      </c>
      <c r="AT111" s="284" t="str">
        <f t="shared" si="25"/>
        <v>Ammar Anwar Hamdan Habib  -  242</v>
      </c>
    </row>
    <row r="112" spans="1:48" s="3" customFormat="1" ht="16.5" customHeight="1">
      <c r="A112" s="77">
        <v>105</v>
      </c>
      <c r="B112" s="77" t="s">
        <v>1618</v>
      </c>
      <c r="C112" s="401">
        <v>45540</v>
      </c>
      <c r="D112" s="408">
        <v>242</v>
      </c>
      <c r="E112" s="77" t="s">
        <v>1873</v>
      </c>
      <c r="F112" s="400">
        <v>21000</v>
      </c>
      <c r="G112" s="400">
        <v>1050</v>
      </c>
      <c r="H112" s="288">
        <v>22050</v>
      </c>
      <c r="I112" s="394">
        <v>0</v>
      </c>
      <c r="J112" s="382"/>
      <c r="K112" s="77" t="s">
        <v>1210</v>
      </c>
      <c r="L112" s="376"/>
      <c r="M112" s="376"/>
      <c r="N112" s="388"/>
      <c r="O112" s="388"/>
      <c r="P112" s="388"/>
      <c r="Q112" s="388"/>
      <c r="R112" s="388"/>
      <c r="S112" s="389"/>
      <c r="T112" s="388"/>
      <c r="U112" s="389"/>
      <c r="V112" s="388"/>
      <c r="W112" s="389"/>
      <c r="X112" s="376" t="s">
        <v>1621</v>
      </c>
      <c r="Y112" s="390">
        <v>10500</v>
      </c>
      <c r="Z112" s="376" t="s">
        <v>1622</v>
      </c>
      <c r="AA112" s="390">
        <v>10500</v>
      </c>
      <c r="AB112" s="376"/>
      <c r="AC112" s="390"/>
      <c r="AD112" s="376"/>
      <c r="AE112" s="390"/>
      <c r="AF112" s="376"/>
      <c r="AG112" s="390"/>
      <c r="AH112" s="390">
        <v>21000</v>
      </c>
      <c r="AI112" s="376">
        <v>1050</v>
      </c>
      <c r="AJ112" s="390">
        <v>22050</v>
      </c>
      <c r="AK112" s="3">
        <v>2</v>
      </c>
      <c r="AL112" s="522" t="str">
        <f t="shared" si="17"/>
        <v>H/M/105/2024</v>
      </c>
      <c r="AM112" s="44">
        <f t="shared" si="18"/>
        <v>45540</v>
      </c>
      <c r="AQ112" s="588"/>
      <c r="AR112" s="284">
        <f t="shared" si="21"/>
        <v>105</v>
      </c>
      <c r="AS112" s="284" t="str">
        <f t="shared" si="24"/>
        <v>H/M/105/2024</v>
      </c>
      <c r="AT112" s="284" t="str">
        <f t="shared" si="25"/>
        <v>Ammar Anwar Hamdan Habib  -  242</v>
      </c>
    </row>
    <row r="113" spans="1:48" s="3" customFormat="1" ht="16.5" customHeight="1">
      <c r="A113" s="77">
        <v>106</v>
      </c>
      <c r="B113" s="306" t="s">
        <v>1613</v>
      </c>
      <c r="C113" s="398">
        <v>45543</v>
      </c>
      <c r="D113" s="407">
        <v>252</v>
      </c>
      <c r="E113" s="306" t="s">
        <v>1616</v>
      </c>
      <c r="F113" s="399">
        <v>13175</v>
      </c>
      <c r="G113" s="399">
        <v>658.75</v>
      </c>
      <c r="H113" s="399">
        <v>13833.75</v>
      </c>
      <c r="I113" s="380">
        <v>13833.75</v>
      </c>
      <c r="J113" s="382">
        <f t="shared" si="16"/>
        <v>0</v>
      </c>
      <c r="K113" s="77" t="s">
        <v>1210</v>
      </c>
      <c r="L113" s="376"/>
      <c r="M113" s="376"/>
      <c r="N113" s="388"/>
      <c r="O113" s="388"/>
      <c r="P113" s="388"/>
      <c r="Q113" s="388"/>
      <c r="R113" s="388"/>
      <c r="S113" s="389"/>
      <c r="T113" s="388"/>
      <c r="U113" s="389"/>
      <c r="V113" s="388"/>
      <c r="W113" s="389"/>
      <c r="X113" s="376" t="s">
        <v>1614</v>
      </c>
      <c r="Y113" s="390">
        <v>193500</v>
      </c>
      <c r="Z113" s="376" t="s">
        <v>1615</v>
      </c>
      <c r="AA113" s="390">
        <v>-183825</v>
      </c>
      <c r="AB113" s="376"/>
      <c r="AC113" s="390"/>
      <c r="AD113" s="633">
        <v>45577.495034722226</v>
      </c>
      <c r="AE113" s="390">
        <v>3500</v>
      </c>
      <c r="AF113" s="376"/>
      <c r="AG113" s="390"/>
      <c r="AH113" s="390">
        <v>13175</v>
      </c>
      <c r="AI113" s="376">
        <v>658.75</v>
      </c>
      <c r="AJ113" s="390">
        <v>13833.75</v>
      </c>
      <c r="AK113" s="3">
        <v>2</v>
      </c>
      <c r="AL113" s="522" t="str">
        <f t="shared" si="17"/>
        <v>H/M/106/2024</v>
      </c>
      <c r="AM113" s="44">
        <f t="shared" si="18"/>
        <v>45543</v>
      </c>
      <c r="AQ113" s="588"/>
      <c r="AR113" s="284">
        <f t="shared" si="21"/>
        <v>106</v>
      </c>
      <c r="AS113" s="284" t="str">
        <f t="shared" si="24"/>
        <v>H/M/106/2024</v>
      </c>
      <c r="AT113" s="284" t="str">
        <f t="shared" si="25"/>
        <v>High Beam Contracting L.L.C   /  Pro:-    Mohamed Saif Abdullah AL wael</v>
      </c>
    </row>
    <row r="114" spans="1:48" s="3" customFormat="1" ht="16.5" customHeight="1">
      <c r="A114" s="77">
        <v>107</v>
      </c>
      <c r="B114" s="306" t="s">
        <v>1747</v>
      </c>
      <c r="C114" s="398">
        <v>45547</v>
      </c>
      <c r="D114" s="407">
        <v>216</v>
      </c>
      <c r="E114" s="306" t="s">
        <v>1750</v>
      </c>
      <c r="F114" s="399">
        <v>9240</v>
      </c>
      <c r="G114" s="399">
        <v>462</v>
      </c>
      <c r="H114" s="399">
        <v>9702</v>
      </c>
      <c r="I114" s="380">
        <v>9702</v>
      </c>
      <c r="J114" s="382">
        <f t="shared" si="16"/>
        <v>0</v>
      </c>
      <c r="K114" s="77" t="s">
        <v>1210</v>
      </c>
      <c r="L114" s="376"/>
      <c r="M114" s="376"/>
      <c r="N114" s="388"/>
      <c r="O114" s="388"/>
      <c r="P114" s="388"/>
      <c r="Q114" s="388"/>
      <c r="R114" s="388"/>
      <c r="S114" s="389"/>
      <c r="T114" s="388"/>
      <c r="U114" s="389"/>
      <c r="V114" s="388"/>
      <c r="W114" s="389"/>
      <c r="X114" s="376" t="s">
        <v>1748</v>
      </c>
      <c r="Y114" s="390">
        <v>156750</v>
      </c>
      <c r="Z114" s="376" t="s">
        <v>1749</v>
      </c>
      <c r="AA114" s="390">
        <v>-147510</v>
      </c>
      <c r="AB114" s="376"/>
      <c r="AC114" s="390"/>
      <c r="AD114" s="950">
        <v>45573.651782407411</v>
      </c>
      <c r="AE114" s="390"/>
      <c r="AF114" s="376"/>
      <c r="AG114" s="390"/>
      <c r="AH114" s="390">
        <v>9240</v>
      </c>
      <c r="AI114" s="376">
        <v>462</v>
      </c>
      <c r="AJ114" s="390">
        <v>9702</v>
      </c>
      <c r="AK114" s="3">
        <v>2</v>
      </c>
      <c r="AL114" s="522" t="str">
        <f t="shared" si="17"/>
        <v>H/M/107/2024</v>
      </c>
      <c r="AM114" s="44">
        <f t="shared" si="18"/>
        <v>45547</v>
      </c>
      <c r="AQ114" s="588"/>
      <c r="AR114" s="284">
        <f t="shared" si="21"/>
        <v>107</v>
      </c>
      <c r="AS114" s="284" t="str">
        <f t="shared" si="24"/>
        <v>H/M/107/2024</v>
      </c>
      <c r="AT114" s="284" t="str">
        <f t="shared" si="25"/>
        <v>Muhayer Saif Al Ketbi  -  216</v>
      </c>
    </row>
    <row r="115" spans="1:48" s="3" customFormat="1" ht="16.5" customHeight="1">
      <c r="A115" s="77">
        <v>108</v>
      </c>
      <c r="B115" s="306" t="s">
        <v>1751</v>
      </c>
      <c r="C115" s="398">
        <v>45547</v>
      </c>
      <c r="D115" s="407">
        <v>217</v>
      </c>
      <c r="E115" s="306" t="s">
        <v>1754</v>
      </c>
      <c r="F115" s="399">
        <v>8750</v>
      </c>
      <c r="G115" s="399">
        <v>437.5</v>
      </c>
      <c r="H115" s="399">
        <v>9187.5</v>
      </c>
      <c r="I115" s="380">
        <v>9187.5</v>
      </c>
      <c r="J115" s="382">
        <f t="shared" si="16"/>
        <v>0</v>
      </c>
      <c r="K115" s="77" t="s">
        <v>1210</v>
      </c>
      <c r="L115" s="376"/>
      <c r="M115" s="376"/>
      <c r="N115" s="388"/>
      <c r="O115" s="388"/>
      <c r="P115" s="388"/>
      <c r="Q115" s="388"/>
      <c r="R115" s="388"/>
      <c r="S115" s="389"/>
      <c r="T115" s="388"/>
      <c r="U115" s="389"/>
      <c r="V115" s="388"/>
      <c r="W115" s="389"/>
      <c r="X115" s="376" t="s">
        <v>1752</v>
      </c>
      <c r="Y115" s="390">
        <v>175000</v>
      </c>
      <c r="Z115" s="376" t="s">
        <v>1753</v>
      </c>
      <c r="AA115" s="390">
        <v>-166250</v>
      </c>
      <c r="AB115" s="376"/>
      <c r="AC115" s="390"/>
      <c r="AD115" s="633">
        <v>45561</v>
      </c>
      <c r="AE115" s="390"/>
      <c r="AF115" s="376"/>
      <c r="AG115" s="390"/>
      <c r="AH115" s="390">
        <v>8750</v>
      </c>
      <c r="AI115" s="376">
        <v>437.5</v>
      </c>
      <c r="AJ115" s="390">
        <v>9187.5</v>
      </c>
      <c r="AK115" s="3">
        <v>2</v>
      </c>
      <c r="AL115" s="522" t="str">
        <f t="shared" si="17"/>
        <v>H/M/108/2024</v>
      </c>
      <c r="AM115" s="44">
        <f t="shared" si="18"/>
        <v>45547</v>
      </c>
      <c r="AQ115" s="588"/>
      <c r="AR115" s="284">
        <f t="shared" si="21"/>
        <v>108</v>
      </c>
      <c r="AS115" s="284" t="str">
        <f t="shared" si="24"/>
        <v>H/M/108/2024</v>
      </c>
      <c r="AT115" s="284" t="str">
        <f t="shared" si="25"/>
        <v>Mohamed Saif Al ketbi  -  217</v>
      </c>
      <c r="AU115"/>
      <c r="AV115"/>
    </row>
    <row r="116" spans="1:48" s="3" customFormat="1" ht="16.5" customHeight="1">
      <c r="A116" s="77">
        <v>109</v>
      </c>
      <c r="B116" s="306" t="s">
        <v>1218</v>
      </c>
      <c r="C116" s="398">
        <v>45549</v>
      </c>
      <c r="D116" s="407">
        <v>286</v>
      </c>
      <c r="E116" s="306" t="s">
        <v>1758</v>
      </c>
      <c r="F116" s="399">
        <v>22500</v>
      </c>
      <c r="G116" s="399">
        <v>1125</v>
      </c>
      <c r="H116" s="399">
        <v>23625</v>
      </c>
      <c r="I116" s="380">
        <v>23625</v>
      </c>
      <c r="J116" s="382">
        <f t="shared" si="16"/>
        <v>0</v>
      </c>
      <c r="K116" s="77" t="s">
        <v>1210</v>
      </c>
      <c r="L116" s="376"/>
      <c r="M116" s="376"/>
      <c r="N116" s="388"/>
      <c r="O116" s="388"/>
      <c r="P116" s="388"/>
      <c r="Q116" s="388"/>
      <c r="R116" s="388"/>
      <c r="S116" s="389"/>
      <c r="T116" s="388"/>
      <c r="U116" s="389"/>
      <c r="V116" s="388"/>
      <c r="W116" s="389"/>
      <c r="X116" s="376" t="s">
        <v>1757</v>
      </c>
      <c r="Y116" s="390">
        <v>22500</v>
      </c>
      <c r="Z116" s="376"/>
      <c r="AA116" s="390"/>
      <c r="AB116" s="376"/>
      <c r="AC116" s="390"/>
      <c r="AD116" s="376"/>
      <c r="AE116" s="390"/>
      <c r="AF116" s="376"/>
      <c r="AG116" s="390"/>
      <c r="AH116" s="390">
        <v>22500</v>
      </c>
      <c r="AI116" s="376">
        <v>1125</v>
      </c>
      <c r="AJ116" s="390">
        <v>23625</v>
      </c>
      <c r="AK116" s="3">
        <v>2</v>
      </c>
      <c r="AL116" s="522" t="str">
        <f t="shared" si="17"/>
        <v>H/M/109/2024</v>
      </c>
      <c r="AM116" s="44">
        <f t="shared" si="18"/>
        <v>45549</v>
      </c>
      <c r="AQ116" s="588"/>
      <c r="AR116" s="284">
        <f t="shared" si="21"/>
        <v>109</v>
      </c>
      <c r="AS116" s="284" t="str">
        <f t="shared" si="22"/>
        <v>H/M/109/2024</v>
      </c>
      <c r="AT116" s="284" t="str">
        <f t="shared" si="23"/>
        <v>Omar Mohamed Abdullah Ahli  -  286</v>
      </c>
      <c r="AU116"/>
      <c r="AV116"/>
    </row>
    <row r="117" spans="1:48" s="3" customFormat="1" ht="16.5" customHeight="1">
      <c r="A117" s="77">
        <v>110</v>
      </c>
      <c r="B117" s="306" t="s">
        <v>1762</v>
      </c>
      <c r="C117" s="398">
        <v>45550</v>
      </c>
      <c r="D117" s="407">
        <v>212</v>
      </c>
      <c r="E117" s="306" t="s">
        <v>1764</v>
      </c>
      <c r="F117" s="399">
        <v>5250</v>
      </c>
      <c r="G117" s="399">
        <v>262.5</v>
      </c>
      <c r="H117" s="399">
        <v>5512.5</v>
      </c>
      <c r="I117" s="380">
        <v>5512.5</v>
      </c>
      <c r="J117" s="382">
        <f t="shared" si="16"/>
        <v>0</v>
      </c>
      <c r="K117" s="77" t="s">
        <v>1210</v>
      </c>
      <c r="L117" s="376"/>
      <c r="M117" s="376"/>
      <c r="N117" s="388"/>
      <c r="O117" s="388"/>
      <c r="P117" s="388"/>
      <c r="Q117" s="388"/>
      <c r="R117" s="388"/>
      <c r="S117" s="389"/>
      <c r="T117" s="388"/>
      <c r="U117" s="389"/>
      <c r="V117" s="388"/>
      <c r="W117" s="389"/>
      <c r="X117" s="376" t="s">
        <v>1767</v>
      </c>
      <c r="Y117" s="390">
        <v>2000</v>
      </c>
      <c r="Z117" s="376" t="s">
        <v>1765</v>
      </c>
      <c r="AA117" s="390">
        <v>1200</v>
      </c>
      <c r="AB117" s="376" t="s">
        <v>1766</v>
      </c>
      <c r="AC117" s="390">
        <v>150</v>
      </c>
      <c r="AD117" s="633">
        <v>45560</v>
      </c>
      <c r="AE117" s="390">
        <v>1000</v>
      </c>
      <c r="AF117" s="376" t="s">
        <v>1768</v>
      </c>
      <c r="AG117" s="390">
        <v>900</v>
      </c>
      <c r="AH117" s="390">
        <v>5250</v>
      </c>
      <c r="AI117" s="376">
        <v>262.5</v>
      </c>
      <c r="AJ117" s="390">
        <v>5512.5</v>
      </c>
      <c r="AK117" s="3">
        <v>2</v>
      </c>
      <c r="AL117" s="522" t="str">
        <f t="shared" si="17"/>
        <v>H/M/110/2024</v>
      </c>
      <c r="AM117" s="44">
        <f t="shared" si="18"/>
        <v>45550</v>
      </c>
      <c r="AQ117" s="588"/>
      <c r="AR117" s="284">
        <f t="shared" si="21"/>
        <v>110</v>
      </c>
      <c r="AS117" s="284" t="str">
        <f t="shared" si="22"/>
        <v>H/M/110/2024</v>
      </c>
      <c r="AT117" s="284" t="str">
        <f t="shared" si="23"/>
        <v xml:space="preserve">Mr. Sultan </v>
      </c>
      <c r="AU117"/>
      <c r="AV117"/>
    </row>
    <row r="118" spans="1:48" s="3" customFormat="1" ht="16.5" customHeight="1">
      <c r="A118" s="77">
        <v>111</v>
      </c>
      <c r="B118" s="306" t="s">
        <v>1871</v>
      </c>
      <c r="C118" s="398">
        <v>45565</v>
      </c>
      <c r="D118" s="407">
        <v>242</v>
      </c>
      <c r="E118" s="306" t="s">
        <v>1873</v>
      </c>
      <c r="F118" s="399">
        <v>1500</v>
      </c>
      <c r="G118" s="399">
        <v>75</v>
      </c>
      <c r="H118" s="399">
        <v>1575</v>
      </c>
      <c r="I118" s="380">
        <v>1575</v>
      </c>
      <c r="J118" s="382">
        <f t="shared" si="16"/>
        <v>0</v>
      </c>
      <c r="K118" s="77" t="s">
        <v>1210</v>
      </c>
      <c r="L118" s="376"/>
      <c r="M118" s="376"/>
      <c r="N118" s="388"/>
      <c r="O118" s="388"/>
      <c r="P118" s="388"/>
      <c r="Q118" s="388"/>
      <c r="R118" s="388"/>
      <c r="S118" s="389"/>
      <c r="T118" s="388"/>
      <c r="U118" s="389"/>
      <c r="V118" s="388"/>
      <c r="W118" s="389"/>
      <c r="X118" s="376" t="s">
        <v>1872</v>
      </c>
      <c r="Y118" s="390">
        <v>1500</v>
      </c>
      <c r="Z118" s="376"/>
      <c r="AA118" s="390"/>
      <c r="AB118" s="376"/>
      <c r="AC118" s="390"/>
      <c r="AD118" s="950">
        <v>45596.549247685187</v>
      </c>
      <c r="AE118" s="390"/>
      <c r="AF118" s="376"/>
      <c r="AG118" s="390"/>
      <c r="AH118" s="390">
        <v>1500</v>
      </c>
      <c r="AI118" s="376">
        <v>75</v>
      </c>
      <c r="AJ118" s="390">
        <v>1575</v>
      </c>
      <c r="AK118" s="3">
        <v>2</v>
      </c>
      <c r="AL118" s="522" t="str">
        <f t="shared" si="17"/>
        <v>H/M/111/2024</v>
      </c>
      <c r="AM118" s="44">
        <f t="shared" si="18"/>
        <v>45565</v>
      </c>
      <c r="AQ118" s="588"/>
      <c r="AR118" s="284">
        <f t="shared" si="21"/>
        <v>111</v>
      </c>
      <c r="AS118" s="284" t="str">
        <f t="shared" si="22"/>
        <v>H/M/111/2024</v>
      </c>
      <c r="AT118" s="284" t="str">
        <f t="shared" si="23"/>
        <v>Ammar Anwar Hamdan Habib  -  242</v>
      </c>
      <c r="AU118"/>
      <c r="AV118"/>
    </row>
    <row r="119" spans="1:48" s="3" customFormat="1" ht="16.5" customHeight="1">
      <c r="A119" s="77">
        <v>112</v>
      </c>
      <c r="B119" s="306" t="s">
        <v>1874</v>
      </c>
      <c r="C119" s="398">
        <v>45565</v>
      </c>
      <c r="D119" s="407">
        <v>243</v>
      </c>
      <c r="E119" s="306" t="s">
        <v>1877</v>
      </c>
      <c r="F119" s="399">
        <v>11076</v>
      </c>
      <c r="G119" s="399">
        <v>553.80000000000007</v>
      </c>
      <c r="H119" s="399">
        <v>11629.8</v>
      </c>
      <c r="I119" s="380">
        <v>11629.8</v>
      </c>
      <c r="J119" s="382">
        <f t="shared" si="16"/>
        <v>0</v>
      </c>
      <c r="K119" s="77" t="s">
        <v>1210</v>
      </c>
      <c r="L119" s="376"/>
      <c r="M119" s="376"/>
      <c r="N119" s="388"/>
      <c r="O119" s="388"/>
      <c r="P119" s="388"/>
      <c r="Q119" s="388"/>
      <c r="R119" s="388"/>
      <c r="S119" s="389"/>
      <c r="T119" s="388"/>
      <c r="U119" s="389"/>
      <c r="V119" s="388"/>
      <c r="W119" s="389"/>
      <c r="X119" s="376" t="s">
        <v>1875</v>
      </c>
      <c r="Y119" s="390">
        <v>130000</v>
      </c>
      <c r="Z119" s="376" t="s">
        <v>1876</v>
      </c>
      <c r="AA119" s="390">
        <v>-118924</v>
      </c>
      <c r="AB119" s="376"/>
      <c r="AC119" s="390"/>
      <c r="AD119" s="950">
        <v>45615.447685185187</v>
      </c>
      <c r="AE119" s="390"/>
      <c r="AF119" s="376"/>
      <c r="AG119" s="390"/>
      <c r="AH119" s="390">
        <v>11076</v>
      </c>
      <c r="AI119" s="376">
        <v>553.80000000000007</v>
      </c>
      <c r="AJ119" s="390">
        <v>11629.8</v>
      </c>
      <c r="AK119" s="3">
        <v>2</v>
      </c>
      <c r="AL119" s="522" t="str">
        <f t="shared" si="17"/>
        <v>H/M/112/2024</v>
      </c>
      <c r="AM119" s="44">
        <f t="shared" si="18"/>
        <v>45565</v>
      </c>
      <c r="AQ119" s="588"/>
      <c r="AR119" s="284">
        <f t="shared" si="21"/>
        <v>112</v>
      </c>
      <c r="AS119" s="284" t="str">
        <f t="shared" si="22"/>
        <v>H/M/112/2024</v>
      </c>
      <c r="AT119" s="284" t="str">
        <f t="shared" si="23"/>
        <v>Ertikaz Building Contracting LLC   / Project : - Shihab Ahmed Saleh Ertikaz  -  243</v>
      </c>
      <c r="AU119"/>
      <c r="AV119"/>
    </row>
    <row r="120" spans="1:48" s="3" customFormat="1" ht="16.5" customHeight="1">
      <c r="A120" s="77">
        <v>113</v>
      </c>
      <c r="B120" s="1594" t="s">
        <v>2847</v>
      </c>
      <c r="C120" s="1595">
        <v>45571</v>
      </c>
      <c r="D120" s="1596">
        <v>278</v>
      </c>
      <c r="E120" s="1594" t="s">
        <v>2848</v>
      </c>
      <c r="F120" s="1597">
        <v>82500</v>
      </c>
      <c r="G120" s="1597">
        <v>4125</v>
      </c>
      <c r="H120" s="1597">
        <v>86625</v>
      </c>
      <c r="I120" s="1598">
        <v>44000</v>
      </c>
      <c r="J120" s="1638">
        <f t="shared" si="16"/>
        <v>42625</v>
      </c>
      <c r="K120" s="77" t="s">
        <v>1210</v>
      </c>
      <c r="L120" s="376"/>
      <c r="M120" s="376">
        <v>0</v>
      </c>
      <c r="N120" s="388">
        <v>0.8</v>
      </c>
      <c r="O120" s="388">
        <v>1</v>
      </c>
      <c r="P120" s="388">
        <v>0</v>
      </c>
      <c r="Q120" s="388">
        <v>0</v>
      </c>
      <c r="R120" s="388">
        <v>0</v>
      </c>
      <c r="S120" s="389">
        <v>0</v>
      </c>
      <c r="T120" s="388"/>
      <c r="U120" s="389">
        <v>0</v>
      </c>
      <c r="V120" s="388"/>
      <c r="W120" s="389">
        <v>0</v>
      </c>
      <c r="X120" s="376"/>
      <c r="Y120" s="390"/>
      <c r="Z120" s="376"/>
      <c r="AA120" s="390"/>
      <c r="AB120" s="376"/>
      <c r="AC120" s="390"/>
      <c r="AD120" s="950">
        <v>45626.478634259256</v>
      </c>
      <c r="AE120" s="390"/>
      <c r="AF120" s="376"/>
      <c r="AG120" s="390"/>
      <c r="AH120" s="390"/>
      <c r="AI120" s="376"/>
      <c r="AJ120" s="390"/>
      <c r="AK120" s="3">
        <v>1</v>
      </c>
      <c r="AL120" s="522" t="str">
        <f t="shared" si="17"/>
        <v>H/M/113/2024</v>
      </c>
      <c r="AM120" s="44">
        <f t="shared" si="18"/>
        <v>45571</v>
      </c>
      <c r="AQ120" s="588"/>
      <c r="AR120" s="284">
        <f t="shared" si="21"/>
        <v>113</v>
      </c>
      <c r="AS120" s="284" t="str">
        <f t="shared" si="22"/>
        <v>H/M/113/2024</v>
      </c>
      <c r="AT120" s="284" t="str">
        <f t="shared" si="23"/>
        <v>Rashed Ahmed Yousef Mohamed Al Balooshi  -  278</v>
      </c>
      <c r="AU120"/>
      <c r="AV120"/>
    </row>
    <row r="121" spans="1:48" s="3" customFormat="1" ht="16.5" customHeight="1">
      <c r="A121" s="77">
        <v>114</v>
      </c>
      <c r="B121" s="306" t="s">
        <v>2849</v>
      </c>
      <c r="C121" s="398">
        <v>45571</v>
      </c>
      <c r="D121" s="407">
        <v>219</v>
      </c>
      <c r="E121" s="306" t="s">
        <v>2853</v>
      </c>
      <c r="F121" s="399">
        <v>6750</v>
      </c>
      <c r="G121" s="399">
        <v>337.5</v>
      </c>
      <c r="H121" s="399">
        <v>7087.5</v>
      </c>
      <c r="I121" s="380">
        <v>7087.5</v>
      </c>
      <c r="J121" s="382">
        <f t="shared" si="16"/>
        <v>0</v>
      </c>
      <c r="K121" s="77" t="s">
        <v>1210</v>
      </c>
      <c r="L121" s="376"/>
      <c r="M121" s="376"/>
      <c r="N121" s="388"/>
      <c r="O121" s="388"/>
      <c r="P121" s="388"/>
      <c r="Q121" s="388"/>
      <c r="R121" s="388"/>
      <c r="S121" s="389"/>
      <c r="T121" s="388"/>
      <c r="U121" s="389"/>
      <c r="V121" s="388"/>
      <c r="W121" s="389"/>
      <c r="X121" s="376" t="s">
        <v>2850</v>
      </c>
      <c r="Y121" s="390">
        <v>135000</v>
      </c>
      <c r="Z121" s="376" t="s">
        <v>2851</v>
      </c>
      <c r="AA121" s="390">
        <v>-123250</v>
      </c>
      <c r="AB121" s="376" t="s">
        <v>2852</v>
      </c>
      <c r="AC121" s="390">
        <v>-5000</v>
      </c>
      <c r="AD121" s="950">
        <v>45615.44767361111</v>
      </c>
      <c r="AE121" s="390"/>
      <c r="AF121" s="376"/>
      <c r="AG121" s="390"/>
      <c r="AH121" s="390">
        <v>6750</v>
      </c>
      <c r="AI121" s="376">
        <v>337.5</v>
      </c>
      <c r="AJ121" s="390">
        <v>7087.5</v>
      </c>
      <c r="AK121" s="3">
        <v>2</v>
      </c>
      <c r="AL121" s="522" t="str">
        <f t="shared" si="17"/>
        <v>H/M/114/2024</v>
      </c>
      <c r="AM121" s="44">
        <f t="shared" si="18"/>
        <v>45571</v>
      </c>
      <c r="AQ121" s="588"/>
      <c r="AR121" s="284">
        <f t="shared" si="21"/>
        <v>114</v>
      </c>
      <c r="AS121" s="284" t="str">
        <f t="shared" si="22"/>
        <v>H/M/114/2024</v>
      </c>
      <c r="AT121" s="284" t="str">
        <f t="shared" si="23"/>
        <v>Ertkaz building contracting LLC    / Project :MR – Abdulla Ali Mohamed Ghuloom AlHamar  -  219</v>
      </c>
      <c r="AU121"/>
      <c r="AV121"/>
    </row>
    <row r="122" spans="1:48" s="3" customFormat="1" ht="16.5" customHeight="1">
      <c r="A122" s="77">
        <v>115</v>
      </c>
      <c r="B122" s="1594" t="s">
        <v>2984</v>
      </c>
      <c r="C122" s="1595">
        <v>45574</v>
      </c>
      <c r="D122" s="1596">
        <v>246</v>
      </c>
      <c r="E122" s="1594" t="s">
        <v>2986</v>
      </c>
      <c r="F122" s="1597">
        <v>81648</v>
      </c>
      <c r="G122" s="1597">
        <v>4082.4</v>
      </c>
      <c r="H122" s="1597">
        <v>85730.4</v>
      </c>
      <c r="I122" s="1598">
        <v>71000</v>
      </c>
      <c r="J122" s="1638">
        <f t="shared" si="16"/>
        <v>14730.399999999994</v>
      </c>
      <c r="K122" s="77" t="s">
        <v>1210</v>
      </c>
      <c r="L122" s="376"/>
      <c r="M122" s="376">
        <v>18000</v>
      </c>
      <c r="N122" s="388">
        <v>1</v>
      </c>
      <c r="O122" s="388">
        <v>1</v>
      </c>
      <c r="P122" s="388">
        <v>1</v>
      </c>
      <c r="Q122" s="388">
        <v>0.6</v>
      </c>
      <c r="R122" s="388">
        <v>0</v>
      </c>
      <c r="S122" s="389">
        <v>72000</v>
      </c>
      <c r="T122" s="388" t="s">
        <v>2985</v>
      </c>
      <c r="U122" s="389">
        <v>18000</v>
      </c>
      <c r="V122" s="388" t="s">
        <v>2987</v>
      </c>
      <c r="W122" s="389">
        <v>0</v>
      </c>
      <c r="X122" s="376"/>
      <c r="Y122" s="390"/>
      <c r="Z122" s="376"/>
      <c r="AA122" s="390"/>
      <c r="AB122" s="376"/>
      <c r="AC122" s="390"/>
      <c r="AD122" s="950">
        <v>45636.442233796297</v>
      </c>
      <c r="AE122" s="390"/>
      <c r="AF122" s="376"/>
      <c r="AG122" s="390"/>
      <c r="AH122" s="390"/>
      <c r="AI122" s="376"/>
      <c r="AJ122" s="390"/>
      <c r="AK122" s="3">
        <v>1</v>
      </c>
      <c r="AL122" s="522" t="str">
        <f t="shared" si="17"/>
        <v>H/M/115/2024</v>
      </c>
      <c r="AM122" s="44">
        <f t="shared" si="18"/>
        <v>45574</v>
      </c>
      <c r="AQ122" s="588"/>
      <c r="AR122" s="284">
        <f t="shared" si="21"/>
        <v>115</v>
      </c>
      <c r="AS122" s="284" t="str">
        <f t="shared" si="22"/>
        <v>H/M/115/2024</v>
      </c>
      <c r="AT122" s="284" t="str">
        <f t="shared" si="23"/>
        <v>Marzooq Abdullah Mohamed ALMatroshi  -  246</v>
      </c>
      <c r="AU122"/>
      <c r="AV122"/>
    </row>
    <row r="123" spans="1:48" s="3" customFormat="1" ht="16.5" customHeight="1">
      <c r="A123" s="77">
        <v>116</v>
      </c>
      <c r="B123" s="306" t="s">
        <v>2989</v>
      </c>
      <c r="C123" s="398">
        <v>45574</v>
      </c>
      <c r="D123" s="407">
        <v>277</v>
      </c>
      <c r="E123" s="306" t="s">
        <v>2992</v>
      </c>
      <c r="F123" s="399">
        <v>27000</v>
      </c>
      <c r="G123" s="399">
        <v>1350</v>
      </c>
      <c r="H123" s="399">
        <v>28350</v>
      </c>
      <c r="I123" s="380">
        <v>28350</v>
      </c>
      <c r="J123" s="382">
        <f t="shared" si="16"/>
        <v>0</v>
      </c>
      <c r="K123" s="77" t="s">
        <v>1210</v>
      </c>
      <c r="L123" s="376"/>
      <c r="M123" s="376"/>
      <c r="N123" s="388"/>
      <c r="O123" s="388"/>
      <c r="P123" s="388"/>
      <c r="Q123" s="388"/>
      <c r="R123" s="388"/>
      <c r="S123" s="389"/>
      <c r="T123" s="388"/>
      <c r="U123" s="389"/>
      <c r="V123" s="388"/>
      <c r="W123" s="389"/>
      <c r="X123" s="376" t="s">
        <v>2990</v>
      </c>
      <c r="Y123" s="390">
        <v>33750</v>
      </c>
      <c r="Z123" s="376" t="s">
        <v>2991</v>
      </c>
      <c r="AA123" s="390">
        <v>-6750</v>
      </c>
      <c r="AB123" s="376"/>
      <c r="AC123" s="390"/>
      <c r="AD123" s="376"/>
      <c r="AE123" s="390"/>
      <c r="AF123" s="376"/>
      <c r="AG123" s="390"/>
      <c r="AH123" s="390">
        <v>27000</v>
      </c>
      <c r="AI123" s="376">
        <v>1350</v>
      </c>
      <c r="AJ123" s="390">
        <v>28350</v>
      </c>
      <c r="AK123" s="3">
        <v>2</v>
      </c>
      <c r="AL123" s="522" t="str">
        <f t="shared" si="17"/>
        <v>H/M/116/2024</v>
      </c>
      <c r="AM123" s="44">
        <f t="shared" si="18"/>
        <v>45574</v>
      </c>
      <c r="AQ123" s="588"/>
      <c r="AR123" s="284">
        <f t="shared" si="21"/>
        <v>116</v>
      </c>
      <c r="AS123" s="284" t="str">
        <f t="shared" si="22"/>
        <v>H/M/116/2024</v>
      </c>
      <c r="AT123" s="284" t="str">
        <f t="shared" si="23"/>
        <v>Abdulrahman Essa Ali Yousuf Alsher  -  277</v>
      </c>
      <c r="AU123"/>
      <c r="AV123"/>
    </row>
    <row r="124" spans="1:48" s="3" customFormat="1" ht="16.5" customHeight="1">
      <c r="A124" s="77">
        <v>117</v>
      </c>
      <c r="B124" s="306" t="s">
        <v>2996</v>
      </c>
      <c r="C124" s="398">
        <v>45577</v>
      </c>
      <c r="D124" s="407"/>
      <c r="E124" s="306" t="s">
        <v>3007</v>
      </c>
      <c r="F124" s="399">
        <v>2500</v>
      </c>
      <c r="G124" s="399">
        <v>125</v>
      </c>
      <c r="H124" s="399">
        <v>2625</v>
      </c>
      <c r="I124" s="380">
        <v>2625</v>
      </c>
      <c r="J124" s="382">
        <f t="shared" si="16"/>
        <v>0</v>
      </c>
      <c r="K124" s="77" t="s">
        <v>1210</v>
      </c>
      <c r="L124" s="376"/>
      <c r="M124" s="376"/>
      <c r="N124" s="388"/>
      <c r="O124" s="388"/>
      <c r="P124" s="388"/>
      <c r="Q124" s="388"/>
      <c r="R124" s="388"/>
      <c r="S124" s="389"/>
      <c r="T124" s="388"/>
      <c r="U124" s="389"/>
      <c r="V124" s="388"/>
      <c r="W124" s="389"/>
      <c r="X124" s="376" t="s">
        <v>3004</v>
      </c>
      <c r="Y124" s="390"/>
      <c r="Z124" s="376" t="s">
        <v>3005</v>
      </c>
      <c r="AA124" s="390"/>
      <c r="AB124" s="376" t="s">
        <v>3006</v>
      </c>
      <c r="AC124" s="390"/>
      <c r="AD124" s="950">
        <v>45619.474374999998</v>
      </c>
      <c r="AE124" s="390">
        <v>2500</v>
      </c>
      <c r="AF124" s="376"/>
      <c r="AG124" s="390"/>
      <c r="AH124" s="390">
        <v>2500</v>
      </c>
      <c r="AI124" s="376">
        <v>125</v>
      </c>
      <c r="AJ124" s="390">
        <v>2625</v>
      </c>
      <c r="AK124" s="3">
        <v>2</v>
      </c>
      <c r="AL124" s="522" t="str">
        <f t="shared" si="17"/>
        <v>H/M/117/2024</v>
      </c>
      <c r="AM124" s="44">
        <f t="shared" si="18"/>
        <v>45577</v>
      </c>
      <c r="AQ124" s="588"/>
      <c r="AR124" s="284">
        <f t="shared" si="21"/>
        <v>117</v>
      </c>
      <c r="AS124" s="284" t="str">
        <f t="shared" si="22"/>
        <v>H/M/117/2024</v>
      </c>
      <c r="AT124" s="284" t="str">
        <f t="shared" si="23"/>
        <v xml:space="preserve">Dr. Ibtisam   / Maintance /  </v>
      </c>
      <c r="AU124"/>
      <c r="AV124"/>
    </row>
    <row r="125" spans="1:48" s="3" customFormat="1" ht="16.5" customHeight="1">
      <c r="A125" s="77">
        <v>118</v>
      </c>
      <c r="B125" s="306" t="s">
        <v>2997</v>
      </c>
      <c r="C125" s="398">
        <v>45577</v>
      </c>
      <c r="D125" s="407">
        <v>249</v>
      </c>
      <c r="E125" s="306" t="s">
        <v>2998</v>
      </c>
      <c r="F125" s="399">
        <v>82080</v>
      </c>
      <c r="G125" s="399">
        <v>4104</v>
      </c>
      <c r="H125" s="399">
        <v>86184</v>
      </c>
      <c r="I125" s="380">
        <v>86184</v>
      </c>
      <c r="J125" s="382">
        <f>IF(I125&gt;0, H125-I125,"")</f>
        <v>0</v>
      </c>
      <c r="K125" s="77" t="s">
        <v>1210</v>
      </c>
      <c r="L125" s="376"/>
      <c r="M125" s="376">
        <v>0</v>
      </c>
      <c r="N125" s="388">
        <v>1</v>
      </c>
      <c r="O125" s="388">
        <v>1</v>
      </c>
      <c r="P125" s="388">
        <v>1</v>
      </c>
      <c r="Q125" s="388">
        <v>0.8</v>
      </c>
      <c r="R125" s="388">
        <v>0</v>
      </c>
      <c r="S125" s="389">
        <v>90000</v>
      </c>
      <c r="T125" s="388"/>
      <c r="U125" s="389">
        <v>0</v>
      </c>
      <c r="V125" s="388"/>
      <c r="W125" s="389">
        <v>0</v>
      </c>
      <c r="X125" s="376"/>
      <c r="Y125" s="390"/>
      <c r="Z125" s="376"/>
      <c r="AA125" s="390"/>
      <c r="AB125" s="376"/>
      <c r="AC125" s="390"/>
      <c r="AD125" s="950">
        <v>45580.613171296296</v>
      </c>
      <c r="AE125" s="390"/>
      <c r="AF125" s="376"/>
      <c r="AG125" s="390"/>
      <c r="AH125" s="390"/>
      <c r="AI125" s="376"/>
      <c r="AJ125" s="390"/>
      <c r="AK125" s="3">
        <v>1</v>
      </c>
      <c r="AL125" s="522" t="str">
        <f>B125</f>
        <v>H/M/118/2024</v>
      </c>
      <c r="AM125" s="44">
        <f>IF(C125="","-",C125)</f>
        <v>45577</v>
      </c>
      <c r="AQ125" s="588"/>
      <c r="AR125" s="284">
        <f>A125</f>
        <v>118</v>
      </c>
      <c r="AS125" s="284" t="str">
        <f>B125</f>
        <v>H/M/118/2024</v>
      </c>
      <c r="AT125" s="284" t="str">
        <f>E125</f>
        <v>Farouq Mohamed Ameen Marzoki  -  249</v>
      </c>
      <c r="AU125"/>
      <c r="AV125"/>
    </row>
    <row r="126" spans="1:48" s="3" customFormat="1" ht="16.5" customHeight="1">
      <c r="A126" s="77">
        <v>119</v>
      </c>
      <c r="B126" s="77" t="s">
        <v>3003</v>
      </c>
      <c r="C126" s="401">
        <v>45577</v>
      </c>
      <c r="D126" s="408"/>
      <c r="E126" s="77" t="s">
        <v>5929</v>
      </c>
      <c r="F126" s="400">
        <v>1000</v>
      </c>
      <c r="G126" s="400">
        <v>50</v>
      </c>
      <c r="H126" s="400">
        <v>1050</v>
      </c>
      <c r="I126" s="394">
        <v>0</v>
      </c>
      <c r="J126" s="382" t="str">
        <f t="shared" si="16"/>
        <v/>
      </c>
      <c r="K126" s="77" t="s">
        <v>1210</v>
      </c>
      <c r="L126" s="376"/>
      <c r="M126" s="376"/>
      <c r="N126" s="388"/>
      <c r="O126" s="388"/>
      <c r="P126" s="388"/>
      <c r="Q126" s="388"/>
      <c r="R126" s="388"/>
      <c r="S126" s="389"/>
      <c r="T126" s="388"/>
      <c r="U126" s="389"/>
      <c r="V126" s="388"/>
      <c r="W126" s="389"/>
      <c r="X126" s="376" t="s">
        <v>3008</v>
      </c>
      <c r="Y126" s="390">
        <v>1000</v>
      </c>
      <c r="Z126" s="376"/>
      <c r="AA126" s="390"/>
      <c r="AB126" s="376"/>
      <c r="AC126" s="390"/>
      <c r="AD126" s="376"/>
      <c r="AE126" s="390"/>
      <c r="AF126" s="376"/>
      <c r="AG126" s="390"/>
      <c r="AH126" s="390">
        <v>1000</v>
      </c>
      <c r="AI126" s="376">
        <v>50</v>
      </c>
      <c r="AJ126" s="390">
        <v>1050</v>
      </c>
      <c r="AK126" s="3">
        <v>2</v>
      </c>
      <c r="AL126" s="522" t="str">
        <f t="shared" si="17"/>
        <v>H/M/119/2024</v>
      </c>
      <c r="AM126" s="44">
        <f t="shared" si="18"/>
        <v>45577</v>
      </c>
      <c r="AQ126" s="588"/>
      <c r="AR126" s="284">
        <f t="shared" si="21"/>
        <v>119</v>
      </c>
      <c r="AS126" s="284" t="str">
        <f t="shared" si="22"/>
        <v>H/M/119/2024</v>
      </c>
      <c r="AT126" s="284" t="str">
        <f t="shared" si="23"/>
        <v xml:space="preserve"> Khalifa Villa   / Maintance /    Cancelled</v>
      </c>
      <c r="AU126"/>
      <c r="AV126"/>
    </row>
    <row r="127" spans="1:48" s="3" customFormat="1" ht="16.5" customHeight="1">
      <c r="A127" s="77">
        <v>120</v>
      </c>
      <c r="B127" s="306" t="s">
        <v>3023</v>
      </c>
      <c r="C127" s="398">
        <v>45579</v>
      </c>
      <c r="D127" s="407">
        <v>234</v>
      </c>
      <c r="E127" s="306" t="s">
        <v>3027</v>
      </c>
      <c r="F127" s="399">
        <v>15290</v>
      </c>
      <c r="G127" s="399">
        <v>764.5</v>
      </c>
      <c r="H127" s="399">
        <v>16054.5</v>
      </c>
      <c r="I127" s="380">
        <v>16054.5</v>
      </c>
      <c r="J127" s="382">
        <f t="shared" si="16"/>
        <v>0</v>
      </c>
      <c r="K127" s="77" t="s">
        <v>1210</v>
      </c>
      <c r="L127" s="376"/>
      <c r="M127" s="376"/>
      <c r="N127" s="388"/>
      <c r="O127" s="388"/>
      <c r="P127" s="388"/>
      <c r="Q127" s="388"/>
      <c r="R127" s="388"/>
      <c r="S127" s="389"/>
      <c r="T127" s="388"/>
      <c r="U127" s="389"/>
      <c r="V127" s="388"/>
      <c r="W127" s="389"/>
      <c r="X127" s="376" t="s">
        <v>3024</v>
      </c>
      <c r="Y127" s="390">
        <v>130000</v>
      </c>
      <c r="Z127" s="376" t="s">
        <v>3025</v>
      </c>
      <c r="AA127" s="390">
        <v>4500</v>
      </c>
      <c r="AB127" s="376" t="s">
        <v>3026</v>
      </c>
      <c r="AC127" s="390">
        <v>-119210</v>
      </c>
      <c r="AD127" s="950">
        <v>45580.616828703707</v>
      </c>
      <c r="AE127" s="390"/>
      <c r="AF127" s="376"/>
      <c r="AG127" s="390"/>
      <c r="AH127" s="390">
        <v>15290</v>
      </c>
      <c r="AI127" s="376">
        <v>764.5</v>
      </c>
      <c r="AJ127" s="390">
        <v>16054.5</v>
      </c>
      <c r="AK127" s="3">
        <v>2</v>
      </c>
      <c r="AL127" s="522" t="str">
        <f t="shared" si="17"/>
        <v>H/M/120/2024</v>
      </c>
      <c r="AM127" s="44">
        <f t="shared" si="18"/>
        <v>45579</v>
      </c>
      <c r="AQ127" s="588"/>
      <c r="AR127" s="284">
        <f t="shared" si="21"/>
        <v>120</v>
      </c>
      <c r="AS127" s="284" t="str">
        <f t="shared" si="22"/>
        <v>H/M/120/2024</v>
      </c>
      <c r="AT127" s="284" t="str">
        <f t="shared" si="23"/>
        <v>Hassan Khamis Naqib  -  234</v>
      </c>
      <c r="AU127"/>
      <c r="AV127"/>
    </row>
    <row r="128" spans="1:48" s="3" customFormat="1" ht="16.5" customHeight="1">
      <c r="A128" s="77">
        <v>121</v>
      </c>
      <c r="B128" s="306" t="s">
        <v>4813</v>
      </c>
      <c r="C128" s="398">
        <v>45582</v>
      </c>
      <c r="D128" s="407">
        <v>279</v>
      </c>
      <c r="E128" s="306" t="s">
        <v>4816</v>
      </c>
      <c r="F128" s="399">
        <v>22800</v>
      </c>
      <c r="G128" s="399">
        <v>1140</v>
      </c>
      <c r="H128" s="399">
        <f>G128+F128</f>
        <v>23940</v>
      </c>
      <c r="I128" s="380">
        <v>23940</v>
      </c>
      <c r="J128" s="382">
        <f t="shared" si="16"/>
        <v>0</v>
      </c>
      <c r="K128" s="77" t="s">
        <v>1210</v>
      </c>
      <c r="L128" s="376"/>
      <c r="M128" s="376"/>
      <c r="N128" s="388"/>
      <c r="O128" s="388"/>
      <c r="P128" s="388"/>
      <c r="Q128" s="388"/>
      <c r="R128" s="388"/>
      <c r="S128" s="389"/>
      <c r="T128" s="388"/>
      <c r="U128" s="389"/>
      <c r="V128" s="388"/>
      <c r="W128" s="389"/>
      <c r="X128" s="376" t="s">
        <v>4814</v>
      </c>
      <c r="Y128" s="390">
        <v>91200</v>
      </c>
      <c r="Z128" s="376" t="s">
        <v>4817</v>
      </c>
      <c r="AA128" s="390">
        <v>16000</v>
      </c>
      <c r="AB128" s="376" t="s">
        <v>4815</v>
      </c>
      <c r="AC128" s="390">
        <v>-84400</v>
      </c>
      <c r="AD128" s="950">
        <v>45596.54923611111</v>
      </c>
      <c r="AE128" s="390"/>
      <c r="AF128" s="376"/>
      <c r="AG128" s="390"/>
      <c r="AH128" s="390">
        <v>22800</v>
      </c>
      <c r="AI128" s="376">
        <v>1140</v>
      </c>
      <c r="AJ128" s="390">
        <v>23940</v>
      </c>
      <c r="AK128" s="3">
        <v>2</v>
      </c>
      <c r="AL128" s="522" t="str">
        <f t="shared" si="17"/>
        <v>H/M/121/2024</v>
      </c>
      <c r="AM128" s="44">
        <f t="shared" si="18"/>
        <v>45582</v>
      </c>
      <c r="AQ128" s="588"/>
      <c r="AR128" s="284">
        <f t="shared" si="21"/>
        <v>121</v>
      </c>
      <c r="AS128" s="284" t="str">
        <f t="shared" si="22"/>
        <v>H/M/121/2024</v>
      </c>
      <c r="AT128" s="284" t="str">
        <f t="shared" si="23"/>
        <v>Shams Saeed Sultan AL Kitbee  -  279</v>
      </c>
      <c r="AU128"/>
      <c r="AV128"/>
    </row>
    <row r="129" spans="1:48" s="3" customFormat="1" ht="16.5" customHeight="1">
      <c r="A129" s="77">
        <v>122</v>
      </c>
      <c r="B129" s="306" t="s">
        <v>4876</v>
      </c>
      <c r="C129" s="398">
        <v>45584</v>
      </c>
      <c r="D129" s="407">
        <v>211</v>
      </c>
      <c r="E129" s="306" t="s">
        <v>4880</v>
      </c>
      <c r="F129" s="399">
        <v>31032.5</v>
      </c>
      <c r="G129" s="399">
        <v>1551.625</v>
      </c>
      <c r="H129" s="399">
        <f>F129+G129+855</f>
        <v>33439.125</v>
      </c>
      <c r="I129" s="380">
        <v>33439.129999999997</v>
      </c>
      <c r="J129" s="382">
        <f t="shared" si="16"/>
        <v>-4.9999999973806553E-3</v>
      </c>
      <c r="K129" s="77" t="s">
        <v>1210</v>
      </c>
      <c r="L129" s="376"/>
      <c r="M129" s="376"/>
      <c r="N129" s="388"/>
      <c r="O129" s="388"/>
      <c r="P129" s="388"/>
      <c r="Q129" s="388"/>
      <c r="R129" s="388"/>
      <c r="S129" s="389"/>
      <c r="T129" s="388"/>
      <c r="U129" s="389"/>
      <c r="V129" s="388"/>
      <c r="W129" s="389"/>
      <c r="X129" s="376" t="s">
        <v>4877</v>
      </c>
      <c r="Y129" s="390">
        <v>310000</v>
      </c>
      <c r="Z129" s="376" t="s">
        <v>4878</v>
      </c>
      <c r="AA129" s="390">
        <v>27500</v>
      </c>
      <c r="AB129" s="376" t="s">
        <v>4879</v>
      </c>
      <c r="AC129" s="390">
        <v>-306467.5</v>
      </c>
      <c r="AD129" s="950">
        <v>45600.452650462961</v>
      </c>
      <c r="AE129" s="390"/>
      <c r="AF129" s="376"/>
      <c r="AG129" s="390"/>
      <c r="AH129" s="390">
        <v>31032.5</v>
      </c>
      <c r="AI129" s="376">
        <v>1551.625</v>
      </c>
      <c r="AJ129" s="390">
        <v>33439.125</v>
      </c>
      <c r="AK129" s="3">
        <v>2</v>
      </c>
      <c r="AL129" s="522" t="str">
        <f t="shared" si="17"/>
        <v>H/M/122/2024</v>
      </c>
      <c r="AM129" s="44">
        <f t="shared" si="18"/>
        <v>45584</v>
      </c>
      <c r="AP129" s="3" t="s">
        <v>4881</v>
      </c>
      <c r="AQ129" s="588">
        <v>855</v>
      </c>
      <c r="AR129" s="284">
        <f t="shared" si="21"/>
        <v>122</v>
      </c>
      <c r="AS129" s="284" t="str">
        <f t="shared" si="22"/>
        <v>H/M/122/2024</v>
      </c>
      <c r="AT129" s="284" t="str">
        <f t="shared" si="23"/>
        <v>Ahmed Ghanim Abdullah Ahli  -  211</v>
      </c>
      <c r="AU129"/>
      <c r="AV129"/>
    </row>
    <row r="130" spans="1:48" s="3" customFormat="1" ht="16.5" customHeight="1">
      <c r="A130" s="77">
        <v>123</v>
      </c>
      <c r="B130" s="77" t="s">
        <v>5009</v>
      </c>
      <c r="C130" s="401">
        <v>45631</v>
      </c>
      <c r="D130" s="408">
        <v>287</v>
      </c>
      <c r="E130" s="77" t="s">
        <v>5011</v>
      </c>
      <c r="F130" s="400">
        <v>42000</v>
      </c>
      <c r="G130" s="400">
        <f>F130*5%</f>
        <v>2100</v>
      </c>
      <c r="H130" s="400">
        <f>F130+G130</f>
        <v>44100</v>
      </c>
      <c r="I130" s="394">
        <v>0</v>
      </c>
      <c r="J130" s="382" t="str">
        <f t="shared" si="16"/>
        <v/>
      </c>
      <c r="K130" s="77" t="s">
        <v>1210</v>
      </c>
      <c r="L130" s="376"/>
      <c r="M130" s="376"/>
      <c r="N130" s="388"/>
      <c r="O130" s="388"/>
      <c r="P130" s="388"/>
      <c r="Q130" s="388"/>
      <c r="R130" s="388"/>
      <c r="S130" s="389"/>
      <c r="T130" s="388"/>
      <c r="U130" s="389"/>
      <c r="V130" s="388"/>
      <c r="W130" s="389"/>
      <c r="X130" s="376" t="s">
        <v>5010</v>
      </c>
      <c r="Y130" s="390">
        <v>42000</v>
      </c>
      <c r="Z130" s="376"/>
      <c r="AA130" s="390"/>
      <c r="AB130" s="376"/>
      <c r="AC130" s="390"/>
      <c r="AD130" s="376"/>
      <c r="AE130" s="390"/>
      <c r="AF130" s="376"/>
      <c r="AG130" s="390"/>
      <c r="AH130" s="390">
        <v>42000</v>
      </c>
      <c r="AI130" s="376">
        <v>2100</v>
      </c>
      <c r="AJ130" s="390">
        <v>44100</v>
      </c>
      <c r="AK130" s="3">
        <v>2</v>
      </c>
      <c r="AL130" s="522" t="str">
        <f t="shared" si="17"/>
        <v>H/M/123/2024</v>
      </c>
      <c r="AM130" s="44">
        <f t="shared" si="18"/>
        <v>45631</v>
      </c>
      <c r="AQ130" s="588"/>
      <c r="AR130" s="284">
        <f t="shared" si="21"/>
        <v>123</v>
      </c>
      <c r="AS130" s="284" t="str">
        <f t="shared" si="22"/>
        <v>H/M/123/2024</v>
      </c>
      <c r="AT130" s="284" t="str">
        <f t="shared" si="23"/>
        <v>High Beam Contracting L.L.C     /   Proj.-    Yasser Ahmed Ibrahim Al Satry  -  287</v>
      </c>
      <c r="AU130"/>
      <c r="AV130"/>
    </row>
    <row r="131" spans="1:48" s="3" customFormat="1" ht="16.5" customHeight="1">
      <c r="A131" s="77">
        <v>124</v>
      </c>
      <c r="B131" s="1594" t="s">
        <v>5048</v>
      </c>
      <c r="C131" s="1595">
        <v>45606</v>
      </c>
      <c r="D131" s="1596">
        <v>288</v>
      </c>
      <c r="E131" s="1594" t="s">
        <v>5050</v>
      </c>
      <c r="F131" s="1597">
        <v>15000</v>
      </c>
      <c r="G131" s="1597">
        <v>750</v>
      </c>
      <c r="H131" s="1597">
        <v>15750</v>
      </c>
      <c r="I131" s="1598">
        <v>10000</v>
      </c>
      <c r="J131" s="1638">
        <f t="shared" si="16"/>
        <v>5750</v>
      </c>
      <c r="K131" s="77" t="s">
        <v>1210</v>
      </c>
      <c r="L131" s="376"/>
      <c r="M131" s="376"/>
      <c r="N131" s="388"/>
      <c r="O131" s="388"/>
      <c r="P131" s="388"/>
      <c r="Q131" s="388"/>
      <c r="R131" s="388"/>
      <c r="S131" s="389"/>
      <c r="T131" s="388"/>
      <c r="U131" s="389"/>
      <c r="V131" s="388"/>
      <c r="W131" s="389"/>
      <c r="X131" s="376" t="s">
        <v>5049</v>
      </c>
      <c r="Y131" s="390">
        <v>15000</v>
      </c>
      <c r="Z131" s="376"/>
      <c r="AA131" s="390"/>
      <c r="AB131" s="376"/>
      <c r="AC131" s="390"/>
      <c r="AD131" s="950">
        <v>45613.474814814814</v>
      </c>
      <c r="AE131" s="390"/>
      <c r="AF131" s="376"/>
      <c r="AG131" s="390"/>
      <c r="AH131" s="390">
        <v>15000</v>
      </c>
      <c r="AI131" s="376">
        <v>750</v>
      </c>
      <c r="AJ131" s="390">
        <v>15750</v>
      </c>
      <c r="AK131" s="3">
        <v>2</v>
      </c>
      <c r="AL131" s="522" t="str">
        <f t="shared" si="17"/>
        <v>H/M/124/2024</v>
      </c>
      <c r="AM131" s="44">
        <f t="shared" si="18"/>
        <v>45606</v>
      </c>
      <c r="AQ131" s="588"/>
      <c r="AR131" s="284">
        <f t="shared" si="21"/>
        <v>124</v>
      </c>
      <c r="AS131" s="284" t="str">
        <f t="shared" si="22"/>
        <v>H/M/124/2024</v>
      </c>
      <c r="AT131" s="284" t="str">
        <f t="shared" si="23"/>
        <v>Hussan Ali Butti Mohammad Al Suwaidi  -  288</v>
      </c>
      <c r="AU131"/>
      <c r="AV131"/>
    </row>
    <row r="132" spans="1:48" s="3" customFormat="1" ht="16.5" customHeight="1">
      <c r="A132" s="77">
        <v>125</v>
      </c>
      <c r="B132" s="306" t="s">
        <v>5160</v>
      </c>
      <c r="C132" s="398">
        <v>45592</v>
      </c>
      <c r="D132" s="407">
        <v>225</v>
      </c>
      <c r="E132" s="306" t="s">
        <v>5164</v>
      </c>
      <c r="F132" s="399">
        <v>16157</v>
      </c>
      <c r="G132" s="399">
        <v>807.85</v>
      </c>
      <c r="H132" s="399">
        <v>16964.849999999999</v>
      </c>
      <c r="I132" s="380">
        <v>16964.849999999999</v>
      </c>
      <c r="J132" s="382">
        <f t="shared" si="16"/>
        <v>0</v>
      </c>
      <c r="K132" s="77" t="s">
        <v>1210</v>
      </c>
      <c r="L132" s="376"/>
      <c r="M132" s="376"/>
      <c r="N132" s="388"/>
      <c r="O132" s="388"/>
      <c r="P132" s="388"/>
      <c r="Q132" s="388"/>
      <c r="R132" s="388"/>
      <c r="S132" s="389"/>
      <c r="T132" s="388"/>
      <c r="U132" s="389"/>
      <c r="V132" s="388"/>
      <c r="W132" s="389"/>
      <c r="X132" s="376" t="s">
        <v>5162</v>
      </c>
      <c r="Y132" s="390">
        <v>147250</v>
      </c>
      <c r="Z132" s="376" t="s">
        <v>5161</v>
      </c>
      <c r="AA132" s="390">
        <v>10500</v>
      </c>
      <c r="AB132" s="376" t="s">
        <v>5163</v>
      </c>
      <c r="AC132" s="390">
        <v>-141593</v>
      </c>
      <c r="AD132" s="950">
        <v>45636.453935185185</v>
      </c>
      <c r="AE132" s="390"/>
      <c r="AF132" s="376"/>
      <c r="AG132" s="390"/>
      <c r="AH132" s="390">
        <v>16157</v>
      </c>
      <c r="AI132" s="376">
        <v>807.85</v>
      </c>
      <c r="AJ132" s="390">
        <v>16964.849999999999</v>
      </c>
      <c r="AK132" s="3">
        <v>2</v>
      </c>
      <c r="AL132" s="522" t="str">
        <f t="shared" si="17"/>
        <v>H/M/125/2024</v>
      </c>
      <c r="AM132" s="44">
        <f t="shared" si="18"/>
        <v>45592</v>
      </c>
      <c r="AQ132" s="588"/>
      <c r="AR132" s="284">
        <f t="shared" si="21"/>
        <v>125</v>
      </c>
      <c r="AS132" s="284" t="str">
        <f t="shared" si="22"/>
        <v>H/M/125/2024</v>
      </c>
      <c r="AT132" s="284" t="str">
        <f t="shared" si="23"/>
        <v>Hessa Ahmed Juma El Beloshi  -  225</v>
      </c>
      <c r="AU132"/>
      <c r="AV132"/>
    </row>
    <row r="133" spans="1:48" s="3" customFormat="1" ht="16.5" customHeight="1">
      <c r="A133" s="77">
        <v>126</v>
      </c>
      <c r="B133" s="77" t="s">
        <v>5165</v>
      </c>
      <c r="C133" s="401">
        <v>45592</v>
      </c>
      <c r="D133" s="408">
        <v>237</v>
      </c>
      <c r="E133" s="77" t="s">
        <v>5168</v>
      </c>
      <c r="F133" s="400">
        <v>19535</v>
      </c>
      <c r="G133" s="400">
        <v>976.75</v>
      </c>
      <c r="H133" s="400">
        <v>20511.75</v>
      </c>
      <c r="I133" s="400"/>
      <c r="J133" s="382" t="str">
        <f t="shared" si="16"/>
        <v/>
      </c>
      <c r="K133" s="77" t="s">
        <v>1210</v>
      </c>
      <c r="L133" s="376"/>
      <c r="M133" s="376"/>
      <c r="N133" s="388"/>
      <c r="O133" s="388"/>
      <c r="P133" s="388"/>
      <c r="Q133" s="388"/>
      <c r="R133" s="388"/>
      <c r="S133" s="389"/>
      <c r="T133" s="388"/>
      <c r="U133" s="389"/>
      <c r="V133" s="388"/>
      <c r="W133" s="389"/>
      <c r="X133" s="376" t="s">
        <v>5166</v>
      </c>
      <c r="Y133" s="390">
        <v>145000</v>
      </c>
      <c r="Z133" s="376" t="s">
        <v>5167</v>
      </c>
      <c r="AA133" s="390">
        <v>15000</v>
      </c>
      <c r="AB133" s="376" t="s">
        <v>5163</v>
      </c>
      <c r="AC133" s="390">
        <v>-140465</v>
      </c>
      <c r="AD133" s="376"/>
      <c r="AE133" s="390"/>
      <c r="AF133" s="376"/>
      <c r="AG133" s="390"/>
      <c r="AH133" s="390">
        <v>19535</v>
      </c>
      <c r="AI133" s="376">
        <v>976.75</v>
      </c>
      <c r="AJ133" s="390">
        <v>20511.75</v>
      </c>
      <c r="AK133" s="3">
        <v>2</v>
      </c>
      <c r="AL133" s="522" t="str">
        <f t="shared" si="17"/>
        <v>H/M/126/2024</v>
      </c>
      <c r="AM133" s="44">
        <f t="shared" si="18"/>
        <v>45592</v>
      </c>
      <c r="AQ133" s="588"/>
      <c r="AR133" s="284">
        <f t="shared" si="21"/>
        <v>126</v>
      </c>
      <c r="AS133" s="284" t="str">
        <f t="shared" si="22"/>
        <v>H/M/126/2024</v>
      </c>
      <c r="AT133" s="284" t="str">
        <f t="shared" si="23"/>
        <v>Hamad Abdullah  Al swaidi  -  237</v>
      </c>
      <c r="AU133"/>
      <c r="AV133"/>
    </row>
    <row r="134" spans="1:48" s="3" customFormat="1" ht="16.5" customHeight="1">
      <c r="A134" s="77">
        <v>127</v>
      </c>
      <c r="B134" s="77" t="s">
        <v>5169</v>
      </c>
      <c r="C134" s="401">
        <v>45592</v>
      </c>
      <c r="D134" s="408">
        <v>258</v>
      </c>
      <c r="E134" s="77" t="s">
        <v>5170</v>
      </c>
      <c r="F134" s="400">
        <v>49612.800000000003</v>
      </c>
      <c r="G134" s="400">
        <v>2480.6400000000003</v>
      </c>
      <c r="H134" s="400">
        <v>52093.440000000002</v>
      </c>
      <c r="I134" s="400"/>
      <c r="J134" s="382" t="str">
        <f t="shared" si="16"/>
        <v/>
      </c>
      <c r="K134" s="77" t="s">
        <v>1210</v>
      </c>
      <c r="L134" s="376"/>
      <c r="M134" s="376">
        <v>0</v>
      </c>
      <c r="N134" s="388">
        <v>1</v>
      </c>
      <c r="O134" s="388">
        <v>1</v>
      </c>
      <c r="P134" s="388">
        <v>1</v>
      </c>
      <c r="Q134" s="388">
        <v>0.8</v>
      </c>
      <c r="R134" s="388">
        <v>0</v>
      </c>
      <c r="S134" s="389">
        <v>54400</v>
      </c>
      <c r="T134" s="388"/>
      <c r="U134" s="389">
        <v>0</v>
      </c>
      <c r="V134" s="388"/>
      <c r="W134" s="389">
        <v>0</v>
      </c>
      <c r="X134" s="376"/>
      <c r="Y134" s="390"/>
      <c r="Z134" s="376"/>
      <c r="AA134" s="390"/>
      <c r="AB134" s="376"/>
      <c r="AC134" s="390"/>
      <c r="AD134" s="376"/>
      <c r="AE134" s="390"/>
      <c r="AF134" s="376"/>
      <c r="AG134" s="390"/>
      <c r="AH134" s="390"/>
      <c r="AI134" s="376"/>
      <c r="AJ134" s="390"/>
      <c r="AK134" s="3">
        <v>1</v>
      </c>
      <c r="AL134" s="522" t="str">
        <f t="shared" si="17"/>
        <v>H/M/127/2024</v>
      </c>
      <c r="AM134" s="44">
        <f t="shared" si="18"/>
        <v>45592</v>
      </c>
      <c r="AQ134" s="588"/>
      <c r="AR134" s="284">
        <f t="shared" si="21"/>
        <v>127</v>
      </c>
      <c r="AS134" s="284" t="str">
        <f t="shared" si="22"/>
        <v>H/M/127/2024</v>
      </c>
      <c r="AT134" s="284" t="str">
        <f t="shared" si="23"/>
        <v>Majed Ahmed Abdulla Al shehhi  -  258</v>
      </c>
      <c r="AU134"/>
      <c r="AV134"/>
    </row>
    <row r="135" spans="1:48" s="3" customFormat="1" ht="16.5" customHeight="1">
      <c r="A135" s="77">
        <v>128</v>
      </c>
      <c r="B135" s="306" t="s">
        <v>5171</v>
      </c>
      <c r="C135" s="398">
        <v>45592</v>
      </c>
      <c r="D135" s="407">
        <v>277</v>
      </c>
      <c r="E135" s="306" t="s">
        <v>5175</v>
      </c>
      <c r="F135" s="399">
        <v>40500</v>
      </c>
      <c r="G135" s="399">
        <v>2025</v>
      </c>
      <c r="H135" s="399">
        <v>42525</v>
      </c>
      <c r="I135" s="399">
        <v>42525</v>
      </c>
      <c r="J135" s="382">
        <f t="shared" si="16"/>
        <v>0</v>
      </c>
      <c r="K135" s="77" t="s">
        <v>1210</v>
      </c>
      <c r="L135" s="376"/>
      <c r="M135" s="376"/>
      <c r="N135" s="388"/>
      <c r="O135" s="388"/>
      <c r="P135" s="388"/>
      <c r="Q135" s="388"/>
      <c r="R135" s="388"/>
      <c r="S135" s="389"/>
      <c r="T135" s="388"/>
      <c r="U135" s="389"/>
      <c r="V135" s="388"/>
      <c r="W135" s="389"/>
      <c r="X135" s="376" t="s">
        <v>5176</v>
      </c>
      <c r="Y135" s="390">
        <v>40500</v>
      </c>
      <c r="Z135" s="376"/>
      <c r="AA135" s="390"/>
      <c r="AB135" s="376"/>
      <c r="AC135" s="390"/>
      <c r="AD135" s="950">
        <v>45596.54923611111</v>
      </c>
      <c r="AE135" s="390"/>
      <c r="AF135" s="376"/>
      <c r="AG135" s="390"/>
      <c r="AH135" s="390">
        <v>40500</v>
      </c>
      <c r="AI135" s="376">
        <v>2025</v>
      </c>
      <c r="AJ135" s="390">
        <v>42525</v>
      </c>
      <c r="AK135" s="3">
        <v>2</v>
      </c>
      <c r="AL135" s="522" t="str">
        <f t="shared" si="17"/>
        <v>H/M/128/2024</v>
      </c>
      <c r="AM135" s="44">
        <f t="shared" si="18"/>
        <v>45592</v>
      </c>
      <c r="AQ135" s="588"/>
      <c r="AR135" s="284">
        <f t="shared" si="21"/>
        <v>128</v>
      </c>
      <c r="AS135" s="284" t="str">
        <f t="shared" si="22"/>
        <v>H/M/128/2024</v>
      </c>
      <c r="AT135" s="284" t="str">
        <f t="shared" si="23"/>
        <v>Abdallrahman  Essa Ali Yousuf Alsher   -  277</v>
      </c>
      <c r="AU135"/>
      <c r="AV135"/>
    </row>
    <row r="136" spans="1:48" s="3" customFormat="1" ht="16.5" customHeight="1">
      <c r="A136" s="77">
        <v>129</v>
      </c>
      <c r="B136" s="306" t="s">
        <v>989</v>
      </c>
      <c r="C136" s="398">
        <v>45592</v>
      </c>
      <c r="D136" s="407">
        <v>276</v>
      </c>
      <c r="E136" s="306" t="s">
        <v>5174</v>
      </c>
      <c r="F136" s="399">
        <v>18400</v>
      </c>
      <c r="G136" s="399">
        <v>920</v>
      </c>
      <c r="H136" s="399">
        <v>19320</v>
      </c>
      <c r="I136" s="399">
        <v>19320</v>
      </c>
      <c r="J136" s="382">
        <f>IF(I136&gt;0, H136-I136,"")</f>
        <v>0</v>
      </c>
      <c r="K136" s="77" t="s">
        <v>1210</v>
      </c>
      <c r="L136" s="376"/>
      <c r="M136" s="376"/>
      <c r="N136" s="388"/>
      <c r="O136" s="388"/>
      <c r="P136" s="388"/>
      <c r="Q136" s="388"/>
      <c r="R136" s="388"/>
      <c r="S136" s="389"/>
      <c r="T136" s="388"/>
      <c r="U136" s="389"/>
      <c r="V136" s="388"/>
      <c r="W136" s="389"/>
      <c r="X136" s="376" t="s">
        <v>5172</v>
      </c>
      <c r="Y136" s="390">
        <v>23000</v>
      </c>
      <c r="Z136" s="376" t="s">
        <v>5173</v>
      </c>
      <c r="AA136" s="390">
        <v>-4600</v>
      </c>
      <c r="AB136" s="376"/>
      <c r="AC136" s="390"/>
      <c r="AD136" s="950">
        <v>45596.54923611111</v>
      </c>
      <c r="AE136" s="390"/>
      <c r="AF136" s="376"/>
      <c r="AG136" s="390"/>
      <c r="AH136" s="390">
        <v>18400</v>
      </c>
      <c r="AI136" s="376">
        <v>920</v>
      </c>
      <c r="AJ136" s="390">
        <v>19320</v>
      </c>
      <c r="AK136" s="3">
        <v>2</v>
      </c>
      <c r="AL136" s="522" t="str">
        <f>B136</f>
        <v>H/M/129/2024</v>
      </c>
      <c r="AM136" s="44">
        <f>IF(C136="","-",C136)</f>
        <v>45592</v>
      </c>
      <c r="AQ136" s="588"/>
      <c r="AR136" s="284">
        <f>A136</f>
        <v>129</v>
      </c>
      <c r="AS136" s="284" t="str">
        <f>B136</f>
        <v>H/M/129/2024</v>
      </c>
      <c r="AT136" s="284" t="str">
        <f>E136</f>
        <v>Fatma Essa Ali Yousuf Alsher   -  276</v>
      </c>
      <c r="AU136"/>
      <c r="AV136"/>
    </row>
    <row r="137" spans="1:48" s="3" customFormat="1" ht="16.5" customHeight="1">
      <c r="A137" s="77">
        <v>130</v>
      </c>
      <c r="B137" s="306" t="s">
        <v>984</v>
      </c>
      <c r="C137" s="398">
        <v>45600</v>
      </c>
      <c r="D137" s="407">
        <v>290</v>
      </c>
      <c r="E137" s="306" t="s">
        <v>5352</v>
      </c>
      <c r="F137" s="399">
        <v>13500</v>
      </c>
      <c r="G137" s="399">
        <v>675</v>
      </c>
      <c r="H137" s="399">
        <v>14175</v>
      </c>
      <c r="I137" s="399">
        <v>14175</v>
      </c>
      <c r="J137" s="382">
        <f t="shared" si="16"/>
        <v>0</v>
      </c>
      <c r="K137" s="77" t="s">
        <v>1210</v>
      </c>
      <c r="L137" s="376"/>
      <c r="M137" s="376"/>
      <c r="N137" s="388"/>
      <c r="O137" s="388"/>
      <c r="P137" s="388"/>
      <c r="Q137" s="388"/>
      <c r="R137" s="388"/>
      <c r="S137" s="389"/>
      <c r="T137" s="388"/>
      <c r="U137" s="389"/>
      <c r="V137" s="388"/>
      <c r="W137" s="389"/>
      <c r="X137" s="376" t="s">
        <v>5351</v>
      </c>
      <c r="Y137" s="390">
        <v>13500</v>
      </c>
      <c r="Z137" s="376"/>
      <c r="AA137" s="390"/>
      <c r="AB137" s="376"/>
      <c r="AC137" s="390"/>
      <c r="AD137" s="950">
        <v>45602.41138888889</v>
      </c>
      <c r="AE137" s="390"/>
      <c r="AF137" s="376"/>
      <c r="AG137" s="390"/>
      <c r="AH137" s="390">
        <v>13500</v>
      </c>
      <c r="AI137" s="376">
        <v>675</v>
      </c>
      <c r="AJ137" s="390">
        <v>14175</v>
      </c>
      <c r="AK137" s="3">
        <v>2</v>
      </c>
      <c r="AL137" s="522" t="str">
        <f t="shared" si="17"/>
        <v>H/M/130/2024</v>
      </c>
      <c r="AM137" s="44">
        <f t="shared" si="18"/>
        <v>45600</v>
      </c>
      <c r="AQ137" s="588"/>
      <c r="AR137" s="284">
        <f t="shared" si="21"/>
        <v>130</v>
      </c>
      <c r="AS137" s="284" t="str">
        <f t="shared" si="22"/>
        <v>H/M/130/2024</v>
      </c>
      <c r="AT137" s="284" t="str">
        <f t="shared" si="23"/>
        <v>Ali Hassan Mohamed Ali Al Shamar  -  290</v>
      </c>
      <c r="AU137"/>
      <c r="AV137"/>
    </row>
    <row r="138" spans="1:48" s="3" customFormat="1" ht="16.5" customHeight="1">
      <c r="A138" s="77">
        <v>131</v>
      </c>
      <c r="B138" s="306" t="s">
        <v>1126</v>
      </c>
      <c r="C138" s="398">
        <v>45600</v>
      </c>
      <c r="D138" s="407">
        <v>291</v>
      </c>
      <c r="E138" s="306" t="s">
        <v>5397</v>
      </c>
      <c r="F138" s="399">
        <v>34000</v>
      </c>
      <c r="G138" s="399">
        <v>1700</v>
      </c>
      <c r="H138" s="399">
        <v>35700</v>
      </c>
      <c r="I138" s="399">
        <v>35700</v>
      </c>
      <c r="J138" s="382">
        <f t="shared" ref="J138:J184" si="26">IF(I138&gt;0, H138-I138,"")</f>
        <v>0</v>
      </c>
      <c r="K138" s="77" t="s">
        <v>5265</v>
      </c>
      <c r="L138" s="376"/>
      <c r="M138" s="376"/>
      <c r="N138" s="388"/>
      <c r="O138" s="388"/>
      <c r="P138" s="388"/>
      <c r="Q138" s="388"/>
      <c r="R138" s="388"/>
      <c r="S138" s="389"/>
      <c r="T138" s="388"/>
      <c r="U138" s="389"/>
      <c r="V138" s="388"/>
      <c r="W138" s="389"/>
      <c r="X138" s="376" t="s">
        <v>5366</v>
      </c>
      <c r="Y138" s="390">
        <v>34000</v>
      </c>
      <c r="Z138" s="376"/>
      <c r="AA138" s="390"/>
      <c r="AB138" s="376"/>
      <c r="AC138" s="390"/>
      <c r="AD138" s="950">
        <v>45602.411400462966</v>
      </c>
      <c r="AE138" s="390"/>
      <c r="AF138" s="376"/>
      <c r="AG138" s="390"/>
      <c r="AH138" s="390">
        <v>34000</v>
      </c>
      <c r="AI138" s="376">
        <v>1700</v>
      </c>
      <c r="AJ138" s="390">
        <v>35700</v>
      </c>
      <c r="AK138" s="3">
        <v>2</v>
      </c>
      <c r="AL138" s="522" t="str">
        <f t="shared" ref="AL138:AL194" si="27">B138</f>
        <v>H/M/131/2024</v>
      </c>
      <c r="AM138" s="44">
        <f t="shared" ref="AM138:AM194" si="28">IF(C138="","-",C138)</f>
        <v>45600</v>
      </c>
      <c r="AQ138" s="588"/>
      <c r="AR138" s="284">
        <f t="shared" si="21"/>
        <v>131</v>
      </c>
      <c r="AS138" s="284" t="str">
        <f t="shared" si="22"/>
        <v>H/M/131/2024</v>
      </c>
      <c r="AT138" s="284" t="str">
        <f t="shared" si="23"/>
        <v>OBAID NASSER OBAID MAHMOOD ASHOOR  -  291</v>
      </c>
      <c r="AU138"/>
      <c r="AV138"/>
    </row>
    <row r="139" spans="1:48" s="3" customFormat="1" ht="16.5" customHeight="1">
      <c r="A139" s="77">
        <v>132</v>
      </c>
      <c r="B139" s="306" t="s">
        <v>1128</v>
      </c>
      <c r="C139" s="398">
        <v>45607</v>
      </c>
      <c r="D139" s="407">
        <v>264</v>
      </c>
      <c r="E139" s="306" t="s">
        <v>5577</v>
      </c>
      <c r="F139" s="399">
        <v>78000</v>
      </c>
      <c r="G139" s="399">
        <v>3900</v>
      </c>
      <c r="H139" s="399">
        <v>81900</v>
      </c>
      <c r="I139" s="399">
        <v>81900</v>
      </c>
      <c r="J139" s="382">
        <f t="shared" si="26"/>
        <v>0</v>
      </c>
      <c r="K139" s="77" t="s">
        <v>1210</v>
      </c>
      <c r="L139" s="376"/>
      <c r="M139" s="376">
        <v>0</v>
      </c>
      <c r="N139" s="388">
        <v>0.8</v>
      </c>
      <c r="O139" s="388">
        <v>1</v>
      </c>
      <c r="P139" s="388">
        <v>0</v>
      </c>
      <c r="Q139" s="388">
        <v>0</v>
      </c>
      <c r="R139" s="388">
        <v>0</v>
      </c>
      <c r="S139" s="389">
        <v>0</v>
      </c>
      <c r="T139" s="388"/>
      <c r="U139" s="389">
        <v>0</v>
      </c>
      <c r="V139" s="388"/>
      <c r="W139" s="389">
        <v>0</v>
      </c>
      <c r="X139" s="376"/>
      <c r="Y139" s="390"/>
      <c r="Z139" s="376"/>
      <c r="AA139" s="390"/>
      <c r="AB139" s="376"/>
      <c r="AC139" s="390"/>
      <c r="AD139" s="950">
        <v>45633.466724537036</v>
      </c>
      <c r="AE139" s="390"/>
      <c r="AF139" s="376"/>
      <c r="AG139" s="390"/>
      <c r="AH139" s="390"/>
      <c r="AI139" s="376"/>
      <c r="AJ139" s="390"/>
      <c r="AK139" s="3">
        <v>1</v>
      </c>
      <c r="AL139" s="522" t="str">
        <f t="shared" si="27"/>
        <v>H/M/132/2024</v>
      </c>
      <c r="AM139" s="44">
        <f t="shared" si="28"/>
        <v>45607</v>
      </c>
      <c r="AQ139" s="588"/>
      <c r="AR139" s="284">
        <f t="shared" si="21"/>
        <v>132</v>
      </c>
      <c r="AS139" s="284" t="str">
        <f t="shared" si="22"/>
        <v>H/M/132/2024</v>
      </c>
      <c r="AT139" s="284" t="str">
        <f t="shared" si="23"/>
        <v xml:space="preserve"> Rashed Khalifa Obaid Humaid Al Falasi  -  264</v>
      </c>
      <c r="AU139"/>
      <c r="AV139"/>
    </row>
    <row r="140" spans="1:48" s="3" customFormat="1" ht="16.5" customHeight="1">
      <c r="A140" s="77">
        <v>133</v>
      </c>
      <c r="B140" s="77" t="s">
        <v>1068</v>
      </c>
      <c r="C140" s="401">
        <v>45608</v>
      </c>
      <c r="D140" s="408">
        <v>275</v>
      </c>
      <c r="E140" s="77" t="s">
        <v>5579</v>
      </c>
      <c r="F140" s="400">
        <v>38326.400000000009</v>
      </c>
      <c r="G140" s="400">
        <v>1916.3200000000006</v>
      </c>
      <c r="H140" s="400">
        <v>40242.720000000008</v>
      </c>
      <c r="I140" s="400"/>
      <c r="J140" s="382" t="str">
        <f t="shared" si="26"/>
        <v/>
      </c>
      <c r="K140" s="77" t="s">
        <v>1210</v>
      </c>
      <c r="L140" s="376"/>
      <c r="M140" s="376">
        <v>0</v>
      </c>
      <c r="N140" s="388">
        <v>0.8</v>
      </c>
      <c r="O140" s="388">
        <v>1</v>
      </c>
      <c r="P140" s="388">
        <v>1</v>
      </c>
      <c r="Q140" s="388">
        <v>0.8</v>
      </c>
      <c r="R140" s="388">
        <v>0</v>
      </c>
      <c r="S140" s="389">
        <v>47200</v>
      </c>
      <c r="T140" s="388"/>
      <c r="U140" s="389">
        <v>0</v>
      </c>
      <c r="V140" s="388"/>
      <c r="W140" s="389">
        <v>0</v>
      </c>
      <c r="X140" s="376"/>
      <c r="Y140" s="390"/>
      <c r="Z140" s="376"/>
      <c r="AA140" s="390"/>
      <c r="AB140" s="376"/>
      <c r="AC140" s="390"/>
      <c r="AD140" s="376"/>
      <c r="AE140" s="390"/>
      <c r="AF140" s="376"/>
      <c r="AG140" s="390"/>
      <c r="AH140" s="390"/>
      <c r="AI140" s="376"/>
      <c r="AJ140" s="390"/>
      <c r="AK140" s="3">
        <v>1</v>
      </c>
      <c r="AL140" s="522" t="str">
        <f t="shared" si="27"/>
        <v>H/M/133/2024</v>
      </c>
      <c r="AM140" s="44">
        <f t="shared" si="28"/>
        <v>45608</v>
      </c>
      <c r="AQ140" s="588"/>
      <c r="AR140" s="284">
        <f t="shared" si="21"/>
        <v>133</v>
      </c>
      <c r="AS140" s="284" t="str">
        <f t="shared" si="22"/>
        <v>H/M/133/2024</v>
      </c>
      <c r="AT140" s="284" t="str">
        <f t="shared" si="23"/>
        <v>Meshal Mohammad Saqer Ismail Harqoos  -  275</v>
      </c>
      <c r="AU140"/>
      <c r="AV140"/>
    </row>
    <row r="141" spans="1:48" s="3" customFormat="1" ht="16.5" customHeight="1">
      <c r="A141" s="77">
        <v>134</v>
      </c>
      <c r="B141" s="306" t="s">
        <v>1078</v>
      </c>
      <c r="C141" s="398">
        <v>45608</v>
      </c>
      <c r="D141" s="407">
        <v>242</v>
      </c>
      <c r="E141" s="306" t="s">
        <v>1873</v>
      </c>
      <c r="F141" s="399">
        <v>2000</v>
      </c>
      <c r="G141" s="399">
        <v>100</v>
      </c>
      <c r="H141" s="399">
        <v>2100</v>
      </c>
      <c r="I141" s="399">
        <v>2100</v>
      </c>
      <c r="J141" s="382">
        <f t="shared" si="26"/>
        <v>0</v>
      </c>
      <c r="K141" s="77" t="s">
        <v>1210</v>
      </c>
      <c r="L141" s="376"/>
      <c r="M141" s="376"/>
      <c r="N141" s="388"/>
      <c r="O141" s="388"/>
      <c r="P141" s="388"/>
      <c r="Q141" s="388"/>
      <c r="R141" s="388"/>
      <c r="S141" s="389"/>
      <c r="T141" s="388"/>
      <c r="U141" s="389"/>
      <c r="V141" s="388"/>
      <c r="W141" s="389"/>
      <c r="X141" s="376" t="s">
        <v>5581</v>
      </c>
      <c r="Y141" s="390">
        <v>2000</v>
      </c>
      <c r="Z141" s="376"/>
      <c r="AA141" s="390"/>
      <c r="AB141" s="376"/>
      <c r="AC141" s="390"/>
      <c r="AD141" s="950">
        <v>45615.447662037041</v>
      </c>
      <c r="AE141" s="390"/>
      <c r="AF141" s="376"/>
      <c r="AG141" s="390"/>
      <c r="AH141" s="390">
        <v>2000</v>
      </c>
      <c r="AI141" s="376">
        <v>100</v>
      </c>
      <c r="AJ141" s="390">
        <v>2100</v>
      </c>
      <c r="AK141" s="3">
        <v>2</v>
      </c>
      <c r="AL141" s="522" t="str">
        <f t="shared" si="27"/>
        <v>H/M/134/2024</v>
      </c>
      <c r="AM141" s="44">
        <f t="shared" si="28"/>
        <v>45608</v>
      </c>
      <c r="AQ141" s="588"/>
      <c r="AR141" s="284">
        <f t="shared" si="21"/>
        <v>134</v>
      </c>
      <c r="AS141" s="284" t="str">
        <f t="shared" si="22"/>
        <v>H/M/134/2024</v>
      </c>
      <c r="AT141" s="284" t="str">
        <f t="shared" si="23"/>
        <v>Ammar Anwar Hamdan Habib  -  242</v>
      </c>
      <c r="AU141"/>
      <c r="AV141"/>
    </row>
    <row r="142" spans="1:48" s="3" customFormat="1" ht="16.5" customHeight="1">
      <c r="A142" s="77">
        <v>135</v>
      </c>
      <c r="B142" s="306" t="s">
        <v>1091</v>
      </c>
      <c r="C142" s="398">
        <v>45610</v>
      </c>
      <c r="D142" s="407">
        <v>276</v>
      </c>
      <c r="E142" s="306" t="s">
        <v>5174</v>
      </c>
      <c r="F142" s="399">
        <v>27600</v>
      </c>
      <c r="G142" s="399">
        <v>1380</v>
      </c>
      <c r="H142" s="399">
        <v>28980</v>
      </c>
      <c r="I142" s="399">
        <v>28980</v>
      </c>
      <c r="J142" s="382">
        <f t="shared" si="26"/>
        <v>0</v>
      </c>
      <c r="K142" s="77" t="s">
        <v>1210</v>
      </c>
      <c r="L142" s="376"/>
      <c r="M142" s="376"/>
      <c r="N142" s="388"/>
      <c r="O142" s="388"/>
      <c r="P142" s="388"/>
      <c r="Q142" s="388"/>
      <c r="R142" s="388"/>
      <c r="S142" s="389"/>
      <c r="T142" s="388"/>
      <c r="U142" s="389"/>
      <c r="V142" s="388"/>
      <c r="W142" s="389"/>
      <c r="X142" s="376" t="s">
        <v>5591</v>
      </c>
      <c r="Y142" s="390">
        <v>27600</v>
      </c>
      <c r="Z142" s="376"/>
      <c r="AA142" s="390"/>
      <c r="AB142" s="376"/>
      <c r="AC142" s="390"/>
      <c r="AD142" s="950">
        <v>45613.459155092591</v>
      </c>
      <c r="AE142" s="390"/>
      <c r="AF142" s="376"/>
      <c r="AG142" s="390"/>
      <c r="AH142" s="390">
        <v>27600</v>
      </c>
      <c r="AI142" s="376">
        <v>1380</v>
      </c>
      <c r="AJ142" s="390">
        <v>28980</v>
      </c>
      <c r="AK142" s="3">
        <v>2</v>
      </c>
      <c r="AL142" s="522" t="str">
        <f t="shared" si="27"/>
        <v>H/M/135/2024</v>
      </c>
      <c r="AM142" s="44">
        <f t="shared" si="28"/>
        <v>45610</v>
      </c>
      <c r="AQ142" s="588"/>
      <c r="AR142" s="284">
        <f t="shared" si="21"/>
        <v>135</v>
      </c>
      <c r="AS142" s="284" t="str">
        <f t="shared" si="22"/>
        <v>H/M/135/2024</v>
      </c>
      <c r="AT142" s="284" t="str">
        <f t="shared" si="23"/>
        <v>Fatma Essa Ali Yousuf Alsher   -  276</v>
      </c>
      <c r="AU142"/>
      <c r="AV142"/>
    </row>
    <row r="143" spans="1:48" s="3" customFormat="1" ht="16.5" customHeight="1">
      <c r="A143" s="77">
        <v>136</v>
      </c>
      <c r="B143" s="306" t="s">
        <v>1094</v>
      </c>
      <c r="C143" s="398">
        <v>45610</v>
      </c>
      <c r="D143" s="407">
        <v>292</v>
      </c>
      <c r="E143" s="306" t="s">
        <v>5594</v>
      </c>
      <c r="F143" s="399">
        <v>22500</v>
      </c>
      <c r="G143" s="399">
        <v>1125</v>
      </c>
      <c r="H143" s="399">
        <v>23625</v>
      </c>
      <c r="I143" s="399">
        <v>23625</v>
      </c>
      <c r="J143" s="382">
        <f t="shared" si="26"/>
        <v>0</v>
      </c>
      <c r="K143" s="77" t="s">
        <v>5593</v>
      </c>
      <c r="L143" s="376"/>
      <c r="M143" s="376"/>
      <c r="N143" s="388"/>
      <c r="O143" s="388"/>
      <c r="P143" s="388"/>
      <c r="Q143" s="388"/>
      <c r="R143" s="388"/>
      <c r="S143" s="389"/>
      <c r="T143" s="388"/>
      <c r="U143" s="389"/>
      <c r="V143" s="388"/>
      <c r="W143" s="389"/>
      <c r="X143" s="376" t="s">
        <v>5592</v>
      </c>
      <c r="Y143" s="390">
        <v>22500</v>
      </c>
      <c r="Z143" s="376"/>
      <c r="AA143" s="390"/>
      <c r="AB143" s="376"/>
      <c r="AC143" s="390"/>
      <c r="AD143" s="950">
        <v>45616.434733796297</v>
      </c>
      <c r="AE143" s="390"/>
      <c r="AF143" s="376"/>
      <c r="AG143" s="390"/>
      <c r="AH143" s="390">
        <v>22500</v>
      </c>
      <c r="AI143" s="376">
        <v>1125</v>
      </c>
      <c r="AJ143" s="390">
        <v>23625</v>
      </c>
      <c r="AK143" s="3">
        <v>2</v>
      </c>
      <c r="AL143" s="522" t="str">
        <f t="shared" si="27"/>
        <v>H/M/136/2024</v>
      </c>
      <c r="AM143" s="44">
        <f t="shared" si="28"/>
        <v>45610</v>
      </c>
      <c r="AQ143" s="588"/>
      <c r="AR143" s="284">
        <f t="shared" si="21"/>
        <v>136</v>
      </c>
      <c r="AS143" s="284" t="str">
        <f t="shared" si="22"/>
        <v>H/M/136/2024</v>
      </c>
      <c r="AT143" s="284" t="str">
        <f t="shared" si="23"/>
        <v>ISMAIL MOHAMMAD ISMAIL ABDULGHAFOOR ALTAMIMI  -  292</v>
      </c>
      <c r="AU143"/>
      <c r="AV143"/>
    </row>
    <row r="144" spans="1:48" s="3" customFormat="1">
      <c r="A144" s="77">
        <v>137</v>
      </c>
      <c r="B144" s="1594" t="s">
        <v>1096</v>
      </c>
      <c r="C144" s="1595">
        <v>45615</v>
      </c>
      <c r="D144" s="1596">
        <v>293</v>
      </c>
      <c r="E144" s="1594" t="s">
        <v>5697</v>
      </c>
      <c r="F144" s="1597">
        <v>328000</v>
      </c>
      <c r="G144" s="1597">
        <v>16400</v>
      </c>
      <c r="H144" s="1597">
        <v>344400</v>
      </c>
      <c r="I144" s="1597">
        <v>328000</v>
      </c>
      <c r="J144" s="1638">
        <f t="shared" si="26"/>
        <v>16400</v>
      </c>
      <c r="K144" s="77" t="s">
        <v>1210</v>
      </c>
      <c r="L144" s="376"/>
      <c r="M144" s="376"/>
      <c r="N144" s="388"/>
      <c r="O144" s="388"/>
      <c r="P144" s="388"/>
      <c r="Q144" s="388"/>
      <c r="R144" s="388"/>
      <c r="S144" s="389"/>
      <c r="T144" s="388"/>
      <c r="U144" s="389"/>
      <c r="V144" s="388"/>
      <c r="W144" s="389"/>
      <c r="X144" s="376" t="s">
        <v>5696</v>
      </c>
      <c r="Y144" s="390">
        <v>328000</v>
      </c>
      <c r="Z144" s="376"/>
      <c r="AA144" s="390"/>
      <c r="AB144" s="376"/>
      <c r="AC144" s="390"/>
      <c r="AD144" s="950">
        <v>45616.418796296297</v>
      </c>
      <c r="AE144" s="390"/>
      <c r="AF144" s="376"/>
      <c r="AG144" s="390"/>
      <c r="AH144" s="390">
        <v>328000</v>
      </c>
      <c r="AI144" s="376">
        <v>16400</v>
      </c>
      <c r="AJ144" s="390">
        <v>344400</v>
      </c>
      <c r="AK144" s="3">
        <v>2</v>
      </c>
      <c r="AL144" s="522" t="str">
        <f t="shared" si="27"/>
        <v>H/M/137/2024</v>
      </c>
      <c r="AM144" s="44">
        <f t="shared" si="28"/>
        <v>45615</v>
      </c>
      <c r="AQ144" s="588"/>
      <c r="AR144" s="284">
        <f t="shared" si="21"/>
        <v>137</v>
      </c>
      <c r="AS144" s="284" t="str">
        <f t="shared" si="22"/>
        <v>H/M/137/2024</v>
      </c>
      <c r="AT144" s="284" t="str">
        <f t="shared" si="23"/>
        <v>Federal  Youth  Authority  - Sharjah  -  293</v>
      </c>
      <c r="AU144"/>
      <c r="AV144"/>
    </row>
    <row r="145" spans="1:49" s="3" customFormat="1">
      <c r="A145" s="77">
        <v>138</v>
      </c>
      <c r="B145" s="77" t="s">
        <v>1098</v>
      </c>
      <c r="C145" s="401">
        <v>45620</v>
      </c>
      <c r="D145" s="408">
        <v>238</v>
      </c>
      <c r="E145" s="77" t="s">
        <v>5791</v>
      </c>
      <c r="F145" s="400">
        <v>80256</v>
      </c>
      <c r="G145" s="400">
        <v>4012.8</v>
      </c>
      <c r="H145" s="400">
        <v>84268.800000000003</v>
      </c>
      <c r="I145" s="400"/>
      <c r="J145" s="382" t="str">
        <f t="shared" si="26"/>
        <v/>
      </c>
      <c r="K145" s="77" t="s">
        <v>1210</v>
      </c>
      <c r="L145" s="376"/>
      <c r="M145" s="376">
        <v>0</v>
      </c>
      <c r="N145" s="388">
        <v>1</v>
      </c>
      <c r="O145" s="388">
        <v>1</v>
      </c>
      <c r="P145" s="388">
        <v>1</v>
      </c>
      <c r="Q145" s="388">
        <v>0.8</v>
      </c>
      <c r="R145" s="388">
        <v>0</v>
      </c>
      <c r="S145" s="389">
        <v>88000</v>
      </c>
      <c r="T145" s="388"/>
      <c r="U145" s="389">
        <v>0</v>
      </c>
      <c r="V145" s="388"/>
      <c r="W145" s="389">
        <v>0</v>
      </c>
      <c r="X145" s="376"/>
      <c r="Y145" s="390"/>
      <c r="Z145" s="376"/>
      <c r="AA145" s="390"/>
      <c r="AB145" s="376"/>
      <c r="AC145" s="390"/>
      <c r="AD145" s="376"/>
      <c r="AE145" s="390"/>
      <c r="AF145" s="376"/>
      <c r="AG145" s="390"/>
      <c r="AH145" s="390"/>
      <c r="AI145" s="376"/>
      <c r="AJ145" s="390"/>
      <c r="AK145" s="3">
        <v>1</v>
      </c>
      <c r="AL145" s="522" t="str">
        <f t="shared" si="27"/>
        <v>H/M/138/2024</v>
      </c>
      <c r="AM145" s="44">
        <f t="shared" si="28"/>
        <v>45620</v>
      </c>
      <c r="AQ145" s="588"/>
      <c r="AR145" s="284">
        <f t="shared" si="21"/>
        <v>138</v>
      </c>
      <c r="AS145" s="284" t="str">
        <f t="shared" si="22"/>
        <v>H/M/138/2024</v>
      </c>
      <c r="AT145" s="284" t="str">
        <f t="shared" si="23"/>
        <v>Harith Ahmed Abdullah Al Zarooni  -  238</v>
      </c>
      <c r="AU145"/>
      <c r="AV145"/>
    </row>
    <row r="146" spans="1:49" s="3" customFormat="1">
      <c r="A146" s="77">
        <v>139</v>
      </c>
      <c r="B146" s="306" t="s">
        <v>1115</v>
      </c>
      <c r="C146" s="398">
        <v>45622</v>
      </c>
      <c r="D146" s="407">
        <v>293</v>
      </c>
      <c r="E146" s="306" t="s">
        <v>5697</v>
      </c>
      <c r="F146" s="399">
        <v>95000</v>
      </c>
      <c r="G146" s="399">
        <v>4750</v>
      </c>
      <c r="H146" s="399">
        <v>99750</v>
      </c>
      <c r="I146" s="399">
        <v>99750</v>
      </c>
      <c r="J146" s="382">
        <f t="shared" si="26"/>
        <v>0</v>
      </c>
      <c r="K146" s="77" t="s">
        <v>1210</v>
      </c>
      <c r="L146" s="376"/>
      <c r="M146" s="376"/>
      <c r="N146" s="388"/>
      <c r="O146" s="388"/>
      <c r="P146" s="388"/>
      <c r="Q146" s="388"/>
      <c r="R146" s="388"/>
      <c r="S146" s="389"/>
      <c r="T146" s="388"/>
      <c r="U146" s="389"/>
      <c r="V146" s="388"/>
      <c r="W146" s="389"/>
      <c r="X146" s="376" t="s">
        <v>5800</v>
      </c>
      <c r="Y146" s="390">
        <v>95000</v>
      </c>
      <c r="Z146" s="376"/>
      <c r="AA146" s="390"/>
      <c r="AB146" s="376"/>
      <c r="AC146" s="390"/>
      <c r="AD146" s="950">
        <v>45626.478645833333</v>
      </c>
      <c r="AE146" s="390"/>
      <c r="AF146" s="376"/>
      <c r="AG146" s="390"/>
      <c r="AH146" s="390">
        <v>95000</v>
      </c>
      <c r="AI146" s="376">
        <v>4750</v>
      </c>
      <c r="AJ146" s="390">
        <v>99750</v>
      </c>
      <c r="AK146" s="3">
        <v>2</v>
      </c>
      <c r="AL146" s="522" t="str">
        <f t="shared" si="27"/>
        <v>H/M/139/2024</v>
      </c>
      <c r="AM146" s="44">
        <f t="shared" si="28"/>
        <v>45622</v>
      </c>
      <c r="AQ146" s="588"/>
      <c r="AR146" s="284">
        <f t="shared" si="21"/>
        <v>139</v>
      </c>
      <c r="AS146" s="284" t="str">
        <f t="shared" si="22"/>
        <v>H/M/139/2024</v>
      </c>
      <c r="AT146" s="284" t="str">
        <f t="shared" si="23"/>
        <v>Federal  Youth  Authority  - Sharjah  -  293</v>
      </c>
      <c r="AU146"/>
      <c r="AV146"/>
    </row>
    <row r="147" spans="1:49" s="3" customFormat="1">
      <c r="A147" s="77">
        <v>140</v>
      </c>
      <c r="B147" s="77" t="s">
        <v>1116</v>
      </c>
      <c r="C147" s="401">
        <v>45622</v>
      </c>
      <c r="D147" s="408">
        <v>280</v>
      </c>
      <c r="E147" s="77" t="s">
        <v>5806</v>
      </c>
      <c r="F147" s="400">
        <v>70000</v>
      </c>
      <c r="G147" s="400">
        <v>3500</v>
      </c>
      <c r="H147" s="400">
        <v>73500</v>
      </c>
      <c r="I147" s="400"/>
      <c r="J147" s="382" t="str">
        <f t="shared" si="26"/>
        <v/>
      </c>
      <c r="K147" s="77" t="s">
        <v>1210</v>
      </c>
      <c r="L147" s="376"/>
      <c r="M147" s="376"/>
      <c r="N147" s="388"/>
      <c r="O147" s="388"/>
      <c r="P147" s="388"/>
      <c r="Q147" s="388"/>
      <c r="R147" s="388"/>
      <c r="S147" s="389"/>
      <c r="T147" s="388"/>
      <c r="U147" s="389"/>
      <c r="V147" s="388"/>
      <c r="W147" s="389"/>
      <c r="X147" s="376" t="s">
        <v>5804</v>
      </c>
      <c r="Y147" s="390">
        <v>28000</v>
      </c>
      <c r="Z147" s="376" t="s">
        <v>5805</v>
      </c>
      <c r="AA147" s="390">
        <v>42000</v>
      </c>
      <c r="AB147" s="376"/>
      <c r="AC147" s="390"/>
      <c r="AD147" s="376"/>
      <c r="AE147" s="390"/>
      <c r="AF147" s="376"/>
      <c r="AG147" s="390"/>
      <c r="AH147" s="390">
        <v>70000</v>
      </c>
      <c r="AI147" s="376">
        <v>3500</v>
      </c>
      <c r="AJ147" s="390">
        <v>73500</v>
      </c>
      <c r="AK147" s="3">
        <v>2</v>
      </c>
      <c r="AL147" s="522" t="str">
        <f t="shared" si="27"/>
        <v>H/M/140/2024</v>
      </c>
      <c r="AM147" s="44">
        <f t="shared" si="28"/>
        <v>45622</v>
      </c>
      <c r="AQ147" s="588"/>
      <c r="AR147" s="284">
        <f t="shared" si="21"/>
        <v>140</v>
      </c>
      <c r="AS147" s="284" t="str">
        <f t="shared" si="22"/>
        <v>H/M/140/2024</v>
      </c>
      <c r="AT147" s="284" t="str">
        <f t="shared" si="23"/>
        <v>Gaith Mohammad Aiahli  -  280</v>
      </c>
      <c r="AU147"/>
      <c r="AV147"/>
    </row>
    <row r="148" spans="1:49" s="3" customFormat="1">
      <c r="A148" s="77">
        <v>141</v>
      </c>
      <c r="B148" s="77" t="s">
        <v>1151</v>
      </c>
      <c r="C148" s="401">
        <v>45624</v>
      </c>
      <c r="D148" s="408">
        <v>295</v>
      </c>
      <c r="E148" s="77" t="s">
        <v>5930</v>
      </c>
      <c r="F148" s="400">
        <v>16500</v>
      </c>
      <c r="G148" s="400">
        <v>825</v>
      </c>
      <c r="H148" s="400">
        <v>17325</v>
      </c>
      <c r="I148" s="400"/>
      <c r="J148" s="382" t="str">
        <f t="shared" si="26"/>
        <v/>
      </c>
      <c r="K148" s="77" t="s">
        <v>1210</v>
      </c>
      <c r="L148" s="376"/>
      <c r="M148" s="376"/>
      <c r="N148" s="388"/>
      <c r="O148" s="388"/>
      <c r="P148" s="388"/>
      <c r="Q148" s="388"/>
      <c r="R148" s="388"/>
      <c r="S148" s="389"/>
      <c r="T148" s="388"/>
      <c r="U148" s="389"/>
      <c r="V148" s="388"/>
      <c r="W148" s="389"/>
      <c r="X148" s="376" t="s">
        <v>5866</v>
      </c>
      <c r="Y148" s="390">
        <v>16500</v>
      </c>
      <c r="Z148" s="376"/>
      <c r="AA148" s="390"/>
      <c r="AB148" s="376"/>
      <c r="AC148" s="390"/>
      <c r="AD148" s="376"/>
      <c r="AE148" s="390"/>
      <c r="AF148" s="376"/>
      <c r="AG148" s="390"/>
      <c r="AH148" s="390">
        <v>16500</v>
      </c>
      <c r="AI148" s="376">
        <v>825</v>
      </c>
      <c r="AJ148" s="390">
        <v>17325</v>
      </c>
      <c r="AK148" s="3">
        <v>2</v>
      </c>
      <c r="AL148" s="522" t="str">
        <f t="shared" si="27"/>
        <v>H/M/141/2024</v>
      </c>
      <c r="AM148" s="44">
        <f t="shared" si="28"/>
        <v>45624</v>
      </c>
      <c r="AQ148" s="588"/>
      <c r="AR148" s="284">
        <f t="shared" si="21"/>
        <v>141</v>
      </c>
      <c r="AS148" s="284" t="str">
        <f t="shared" si="22"/>
        <v>H/M/141/2024</v>
      </c>
      <c r="AT148" s="284" t="str">
        <f t="shared" si="23"/>
        <v>Dynamic zone contracting co. l.l.c     //Rashid Ateeq Salim Balabd Al Ketbi - dynamic  -  295</v>
      </c>
      <c r="AU148"/>
      <c r="AV148"/>
    </row>
    <row r="149" spans="1:49" s="3" customFormat="1">
      <c r="A149" s="306">
        <v>142</v>
      </c>
      <c r="B149" s="77" t="s">
        <v>1223</v>
      </c>
      <c r="C149" s="401">
        <v>45626</v>
      </c>
      <c r="D149" s="408">
        <v>296</v>
      </c>
      <c r="E149" s="77" t="s">
        <v>5943</v>
      </c>
      <c r="F149" s="400">
        <v>31000</v>
      </c>
      <c r="G149" s="400">
        <v>1550</v>
      </c>
      <c r="H149" s="400">
        <v>32550</v>
      </c>
      <c r="I149" s="400"/>
      <c r="J149" s="382" t="str">
        <f>IF(I149&gt;0, H149-I149,"")</f>
        <v/>
      </c>
      <c r="K149" s="77" t="s">
        <v>1210</v>
      </c>
      <c r="L149" s="376"/>
      <c r="M149" s="376"/>
      <c r="N149" s="388"/>
      <c r="O149" s="388"/>
      <c r="P149" s="388"/>
      <c r="Q149" s="388"/>
      <c r="R149" s="388"/>
      <c r="S149" s="389"/>
      <c r="T149" s="388"/>
      <c r="U149" s="389"/>
      <c r="V149" s="388"/>
      <c r="W149" s="389"/>
      <c r="X149" s="376" t="s">
        <v>5942</v>
      </c>
      <c r="Y149" s="390">
        <v>31000</v>
      </c>
      <c r="Z149" s="376"/>
      <c r="AA149" s="390"/>
      <c r="AB149" s="376"/>
      <c r="AC149" s="390"/>
      <c r="AD149" s="376"/>
      <c r="AE149" s="390"/>
      <c r="AF149" s="376"/>
      <c r="AG149" s="390"/>
      <c r="AH149" s="390">
        <v>31000</v>
      </c>
      <c r="AI149" s="376">
        <v>1550</v>
      </c>
      <c r="AJ149" s="390">
        <v>32550</v>
      </c>
      <c r="AK149" s="3">
        <v>2</v>
      </c>
      <c r="AL149" s="522" t="str">
        <f>B149</f>
        <v>H/M/142/2024</v>
      </c>
      <c r="AM149" s="44">
        <f>IF(C149="","-",C149)</f>
        <v>45626</v>
      </c>
      <c r="AQ149" s="588"/>
      <c r="AR149" s="284">
        <f>A149</f>
        <v>142</v>
      </c>
      <c r="AS149" s="284" t="str">
        <f>B149</f>
        <v>H/M/142/2024</v>
      </c>
      <c r="AT149" s="284" t="str">
        <f>E149</f>
        <v>Golden Horse Technical Service LLC        // Khalid Juma Mubarak Al Suwaidi  -  296</v>
      </c>
      <c r="AU149"/>
      <c r="AV149"/>
      <c r="AW149" s="84"/>
    </row>
    <row r="150" spans="1:49" s="3" customFormat="1">
      <c r="A150" s="306">
        <v>143</v>
      </c>
      <c r="B150" s="77" t="s">
        <v>1247</v>
      </c>
      <c r="C150" s="401">
        <v>45626</v>
      </c>
      <c r="D150" s="408">
        <v>284</v>
      </c>
      <c r="E150" s="77" t="s">
        <v>5932</v>
      </c>
      <c r="F150" s="400">
        <v>52500</v>
      </c>
      <c r="G150" s="400">
        <v>2625</v>
      </c>
      <c r="H150" s="400">
        <v>55125</v>
      </c>
      <c r="I150" s="400"/>
      <c r="J150" s="382" t="str">
        <f t="shared" si="26"/>
        <v/>
      </c>
      <c r="K150" s="77" t="s">
        <v>1210</v>
      </c>
      <c r="L150" s="376"/>
      <c r="M150" s="376"/>
      <c r="N150" s="388"/>
      <c r="O150" s="388"/>
      <c r="P150" s="388"/>
      <c r="Q150" s="388"/>
      <c r="R150" s="388"/>
      <c r="S150" s="389"/>
      <c r="T150" s="388"/>
      <c r="U150" s="389"/>
      <c r="V150" s="388"/>
      <c r="W150" s="389"/>
      <c r="X150" s="376" t="s">
        <v>5937</v>
      </c>
      <c r="Y150" s="390">
        <v>67500</v>
      </c>
      <c r="Z150" s="376" t="s">
        <v>5938</v>
      </c>
      <c r="AA150" s="390">
        <v>-15000</v>
      </c>
      <c r="AB150" s="376"/>
      <c r="AC150" s="390"/>
      <c r="AD150" s="376"/>
      <c r="AE150" s="390"/>
      <c r="AF150" s="376"/>
      <c r="AG150" s="390"/>
      <c r="AH150" s="390">
        <v>52500</v>
      </c>
      <c r="AI150" s="376">
        <v>2625</v>
      </c>
      <c r="AJ150" s="390">
        <v>55125</v>
      </c>
      <c r="AK150" s="3">
        <v>2</v>
      </c>
      <c r="AL150" s="522" t="str">
        <f t="shared" si="27"/>
        <v>H/M/143/2024</v>
      </c>
      <c r="AM150" s="44">
        <f t="shared" si="28"/>
        <v>45626</v>
      </c>
      <c r="AQ150" s="588"/>
      <c r="AR150" s="284">
        <f t="shared" si="21"/>
        <v>143</v>
      </c>
      <c r="AS150" s="284" t="str">
        <f t="shared" si="22"/>
        <v>H/M/143/2024</v>
      </c>
      <c r="AT150" s="284" t="str">
        <f t="shared" si="23"/>
        <v>Abdullah Mohamed Saif AL Muhari      -  284</v>
      </c>
      <c r="AU150"/>
      <c r="AV150"/>
    </row>
    <row r="151" spans="1:49" s="3" customFormat="1">
      <c r="A151" s="306">
        <v>144</v>
      </c>
      <c r="B151" s="306" t="s">
        <v>1249</v>
      </c>
      <c r="C151" s="398">
        <v>45630</v>
      </c>
      <c r="D151" s="407">
        <v>283</v>
      </c>
      <c r="E151" s="306" t="s">
        <v>6047</v>
      </c>
      <c r="F151" s="399">
        <v>27750</v>
      </c>
      <c r="G151" s="399">
        <v>1387.5</v>
      </c>
      <c r="H151" s="399">
        <v>29137.5</v>
      </c>
      <c r="I151" s="399">
        <v>29137.5</v>
      </c>
      <c r="J151" s="382">
        <f t="shared" si="26"/>
        <v>0</v>
      </c>
      <c r="K151" s="77" t="s">
        <v>1210</v>
      </c>
      <c r="L151" s="376"/>
      <c r="M151" s="376"/>
      <c r="N151" s="388"/>
      <c r="O151" s="388"/>
      <c r="P151" s="388"/>
      <c r="Q151" s="388"/>
      <c r="R151" s="388"/>
      <c r="S151" s="389"/>
      <c r="T151" s="388"/>
      <c r="U151" s="389"/>
      <c r="V151" s="388"/>
      <c r="W151" s="389"/>
      <c r="X151" s="376" t="s">
        <v>6048</v>
      </c>
      <c r="Y151" s="390">
        <v>27750</v>
      </c>
      <c r="Z151" s="376"/>
      <c r="AA151" s="390"/>
      <c r="AB151" s="376"/>
      <c r="AC151" s="390"/>
      <c r="AD151" s="950">
        <v>45635.417071759257</v>
      </c>
      <c r="AE151" s="390"/>
      <c r="AF151" s="376"/>
      <c r="AG151" s="390"/>
      <c r="AH151" s="390">
        <v>27750</v>
      </c>
      <c r="AI151" s="376">
        <v>1387.5</v>
      </c>
      <c r="AJ151" s="390">
        <v>23137.5</v>
      </c>
      <c r="AK151" s="3">
        <v>2</v>
      </c>
      <c r="AL151" s="522" t="str">
        <f t="shared" ref="AL151" si="29">B151</f>
        <v>H/M/144/2024</v>
      </c>
      <c r="AM151" s="44">
        <f t="shared" ref="AM151" si="30">IF(C151="","-",C151)</f>
        <v>45630</v>
      </c>
      <c r="AQ151" s="588"/>
      <c r="AR151" s="284">
        <f t="shared" si="21"/>
        <v>144</v>
      </c>
      <c r="AS151" s="284" t="str">
        <f t="shared" si="22"/>
        <v>H/M/144/2024</v>
      </c>
      <c r="AT151" s="284" t="str">
        <f t="shared" si="23"/>
        <v>Store Sales / Seven Sear Air Conditioning work llc</v>
      </c>
      <c r="AU151"/>
      <c r="AV151"/>
    </row>
    <row r="152" spans="1:49" s="3" customFormat="1">
      <c r="A152" s="306">
        <v>145</v>
      </c>
      <c r="B152" s="77" t="s">
        <v>1323</v>
      </c>
      <c r="C152" s="401">
        <v>45630</v>
      </c>
      <c r="D152" s="408">
        <v>286</v>
      </c>
      <c r="E152" s="77" t="s">
        <v>1758</v>
      </c>
      <c r="F152" s="400">
        <v>60000</v>
      </c>
      <c r="G152" s="400">
        <v>3000</v>
      </c>
      <c r="H152" s="400">
        <v>63000</v>
      </c>
      <c r="I152" s="400"/>
      <c r="J152" s="382" t="str">
        <f t="shared" si="26"/>
        <v/>
      </c>
      <c r="K152" s="77" t="s">
        <v>1210</v>
      </c>
      <c r="L152" s="376"/>
      <c r="M152" s="376">
        <v>0</v>
      </c>
      <c r="N152" s="388">
        <v>0.8</v>
      </c>
      <c r="O152" s="388">
        <v>1</v>
      </c>
      <c r="P152" s="388">
        <v>0</v>
      </c>
      <c r="Q152" s="388">
        <v>0</v>
      </c>
      <c r="R152" s="388">
        <v>0</v>
      </c>
      <c r="S152" s="389">
        <v>0</v>
      </c>
      <c r="T152" s="388"/>
      <c r="U152" s="389">
        <v>0</v>
      </c>
      <c r="V152" s="388"/>
      <c r="W152" s="389">
        <v>0</v>
      </c>
      <c r="X152" s="376"/>
      <c r="Y152" s="390"/>
      <c r="Z152" s="376"/>
      <c r="AA152" s="390"/>
      <c r="AB152" s="376"/>
      <c r="AC152" s="390"/>
      <c r="AD152" s="376"/>
      <c r="AE152" s="390"/>
      <c r="AF152" s="376"/>
      <c r="AG152" s="390"/>
      <c r="AH152" s="390"/>
      <c r="AI152" s="376"/>
      <c r="AJ152" s="390"/>
      <c r="AK152" s="3">
        <v>1</v>
      </c>
      <c r="AL152" s="522" t="str">
        <f t="shared" si="27"/>
        <v>H/M/145/2024</v>
      </c>
      <c r="AM152" s="44">
        <f t="shared" si="28"/>
        <v>45630</v>
      </c>
      <c r="AQ152" s="588"/>
      <c r="AR152" s="284">
        <f t="shared" si="21"/>
        <v>145</v>
      </c>
      <c r="AS152" s="284" t="str">
        <f t="shared" si="22"/>
        <v>H/M/145/2024</v>
      </c>
      <c r="AT152" s="284" t="str">
        <f t="shared" si="23"/>
        <v>Omar Mohamed Abdullah Ahli  -  286</v>
      </c>
      <c r="AU152"/>
      <c r="AV152"/>
    </row>
    <row r="153" spans="1:49" s="3" customFormat="1">
      <c r="A153" s="77">
        <v>146</v>
      </c>
      <c r="B153" s="77" t="s">
        <v>1341</v>
      </c>
      <c r="C153" s="401">
        <v>45631</v>
      </c>
      <c r="D153" s="408">
        <v>241</v>
      </c>
      <c r="E153" s="77" t="s">
        <v>5991</v>
      </c>
      <c r="F153" s="394">
        <v>61900</v>
      </c>
      <c r="G153" s="394">
        <v>3095</v>
      </c>
      <c r="H153" s="394">
        <v>64995</v>
      </c>
      <c r="I153" s="394"/>
      <c r="J153" s="1689" t="s">
        <v>5728</v>
      </c>
      <c r="K153" s="77" t="s">
        <v>1210</v>
      </c>
      <c r="L153" s="376"/>
      <c r="M153" s="376">
        <v>7500</v>
      </c>
      <c r="N153" s="388">
        <v>1</v>
      </c>
      <c r="O153" s="388">
        <v>1</v>
      </c>
      <c r="P153" s="388">
        <v>1</v>
      </c>
      <c r="Q153" s="388">
        <v>1</v>
      </c>
      <c r="R153" s="388">
        <v>0</v>
      </c>
      <c r="S153" s="389">
        <v>68000</v>
      </c>
      <c r="T153" s="388" t="s">
        <v>5992</v>
      </c>
      <c r="U153" s="389">
        <v>7500</v>
      </c>
      <c r="V153" s="388"/>
      <c r="W153" s="389">
        <v>0</v>
      </c>
      <c r="X153" s="376"/>
      <c r="Y153" s="390"/>
      <c r="Z153" s="376"/>
      <c r="AA153" s="390"/>
      <c r="AB153" s="376"/>
      <c r="AC153" s="390"/>
      <c r="AD153" s="376"/>
      <c r="AE153" s="390"/>
      <c r="AF153" s="376"/>
      <c r="AG153" s="390"/>
      <c r="AH153" s="390"/>
      <c r="AI153" s="376"/>
      <c r="AJ153" s="390"/>
      <c r="AK153" s="3">
        <v>1</v>
      </c>
      <c r="AL153" s="522" t="s">
        <v>1341</v>
      </c>
      <c r="AM153" s="44">
        <v>45631</v>
      </c>
      <c r="AQ153" s="588"/>
      <c r="AR153" s="284">
        <v>146</v>
      </c>
      <c r="AS153" s="284" t="s">
        <v>1341</v>
      </c>
      <c r="AT153" s="284" t="s">
        <v>5991</v>
      </c>
      <c r="AU153"/>
      <c r="AV153"/>
    </row>
    <row r="154" spans="1:49" s="3" customFormat="1">
      <c r="A154" s="77">
        <v>147</v>
      </c>
      <c r="B154" s="77" t="s">
        <v>1362</v>
      </c>
      <c r="C154" s="401">
        <v>45631</v>
      </c>
      <c r="D154" s="408">
        <v>251</v>
      </c>
      <c r="E154" s="77" t="s">
        <v>5993</v>
      </c>
      <c r="F154" s="394">
        <v>72250</v>
      </c>
      <c r="G154" s="394">
        <v>3612.5</v>
      </c>
      <c r="H154" s="394">
        <v>75862.5</v>
      </c>
      <c r="I154" s="394"/>
      <c r="J154" s="1689" t="s">
        <v>5728</v>
      </c>
      <c r="K154" s="77" t="s">
        <v>1210</v>
      </c>
      <c r="L154" s="376"/>
      <c r="M154" s="376"/>
      <c r="N154" s="388"/>
      <c r="O154" s="388"/>
      <c r="P154" s="388"/>
      <c r="Q154" s="388"/>
      <c r="R154" s="388"/>
      <c r="S154" s="389"/>
      <c r="T154" s="388"/>
      <c r="U154" s="389"/>
      <c r="V154" s="388"/>
      <c r="W154" s="389"/>
      <c r="X154" s="376" t="s">
        <v>5994</v>
      </c>
      <c r="Y154" s="390">
        <v>59499.999999999993</v>
      </c>
      <c r="Z154" s="376" t="s">
        <v>5995</v>
      </c>
      <c r="AA154" s="390">
        <v>12750</v>
      </c>
      <c r="AB154" s="376"/>
      <c r="AC154" s="390"/>
      <c r="AD154" s="376"/>
      <c r="AE154" s="390"/>
      <c r="AF154" s="376"/>
      <c r="AG154" s="390"/>
      <c r="AH154" s="390">
        <v>72250</v>
      </c>
      <c r="AI154" s="376">
        <v>3612.5</v>
      </c>
      <c r="AJ154" s="390">
        <v>75862.5</v>
      </c>
      <c r="AK154" s="3">
        <v>2</v>
      </c>
      <c r="AL154" s="522" t="s">
        <v>1362</v>
      </c>
      <c r="AM154" s="44">
        <v>45631</v>
      </c>
      <c r="AQ154" s="588"/>
      <c r="AR154" s="284">
        <v>147</v>
      </c>
      <c r="AS154" s="284" t="s">
        <v>1362</v>
      </c>
      <c r="AT154" s="284" t="s">
        <v>5993</v>
      </c>
      <c r="AU154"/>
      <c r="AV154"/>
    </row>
    <row r="155" spans="1:49" s="3" customFormat="1">
      <c r="A155" s="77">
        <v>148</v>
      </c>
      <c r="B155" s="77" t="s">
        <v>1402</v>
      </c>
      <c r="C155" s="401">
        <v>45631</v>
      </c>
      <c r="D155" s="408">
        <v>245</v>
      </c>
      <c r="E155" s="77" t="s">
        <v>5996</v>
      </c>
      <c r="F155" s="394">
        <v>74000</v>
      </c>
      <c r="G155" s="394">
        <v>3700</v>
      </c>
      <c r="H155" s="394">
        <v>77700</v>
      </c>
      <c r="I155" s="394"/>
      <c r="J155" s="1689" t="s">
        <v>5728</v>
      </c>
      <c r="K155" s="77" t="s">
        <v>1210</v>
      </c>
      <c r="L155" s="376"/>
      <c r="M155" s="376"/>
      <c r="N155" s="388"/>
      <c r="O155" s="388"/>
      <c r="P155" s="388"/>
      <c r="Q155" s="388"/>
      <c r="R155" s="388"/>
      <c r="S155" s="389"/>
      <c r="T155" s="388"/>
      <c r="U155" s="389"/>
      <c r="V155" s="388"/>
      <c r="W155" s="389"/>
      <c r="X155" s="376" t="s">
        <v>5994</v>
      </c>
      <c r="Y155" s="390">
        <v>70000</v>
      </c>
      <c r="Z155" s="376" t="s">
        <v>5997</v>
      </c>
      <c r="AA155" s="390">
        <v>4000</v>
      </c>
      <c r="AB155" s="376"/>
      <c r="AC155" s="390"/>
      <c r="AD155" s="376"/>
      <c r="AE155" s="390"/>
      <c r="AF155" s="376"/>
      <c r="AG155" s="390"/>
      <c r="AH155" s="390">
        <v>74000</v>
      </c>
      <c r="AI155" s="376">
        <v>3700</v>
      </c>
      <c r="AJ155" s="390">
        <v>77700</v>
      </c>
      <c r="AK155" s="3">
        <v>2</v>
      </c>
      <c r="AL155" s="522" t="s">
        <v>1402</v>
      </c>
      <c r="AM155" s="44">
        <v>45631</v>
      </c>
      <c r="AQ155" s="588"/>
      <c r="AR155" s="284">
        <v>148</v>
      </c>
      <c r="AS155" s="284" t="s">
        <v>1402</v>
      </c>
      <c r="AT155" s="284" t="s">
        <v>5996</v>
      </c>
      <c r="AU155"/>
      <c r="AV155"/>
    </row>
    <row r="156" spans="1:49" s="3" customFormat="1" ht="16.5" customHeight="1">
      <c r="A156" s="77">
        <v>149</v>
      </c>
      <c r="B156" s="306" t="s">
        <v>1406</v>
      </c>
      <c r="C156" s="398">
        <v>45631</v>
      </c>
      <c r="D156" s="407">
        <v>255</v>
      </c>
      <c r="E156" s="306" t="s">
        <v>5998</v>
      </c>
      <c r="F156" s="380">
        <v>56565</v>
      </c>
      <c r="G156" s="380">
        <v>2828.25</v>
      </c>
      <c r="H156" s="380">
        <v>59393.25</v>
      </c>
      <c r="I156" s="380">
        <v>59393.5</v>
      </c>
      <c r="J156" s="1689" t="s">
        <v>5728</v>
      </c>
      <c r="K156" s="77" t="s">
        <v>1210</v>
      </c>
      <c r="L156" s="376"/>
      <c r="M156" s="376">
        <v>3350</v>
      </c>
      <c r="N156" s="388">
        <v>1</v>
      </c>
      <c r="O156" s="388">
        <v>1</v>
      </c>
      <c r="P156" s="388">
        <v>1</v>
      </c>
      <c r="Q156" s="388">
        <v>0.8</v>
      </c>
      <c r="R156" s="388">
        <v>0</v>
      </c>
      <c r="S156" s="389">
        <v>50750</v>
      </c>
      <c r="T156" s="388" t="s">
        <v>5999</v>
      </c>
      <c r="U156" s="389">
        <v>3350</v>
      </c>
      <c r="V156" s="388"/>
      <c r="W156" s="389">
        <v>0</v>
      </c>
      <c r="X156" s="376"/>
      <c r="Y156" s="390"/>
      <c r="Z156" s="376"/>
      <c r="AA156" s="390"/>
      <c r="AB156" s="376"/>
      <c r="AC156" s="390"/>
      <c r="AD156" s="950">
        <v>45633.466747685183</v>
      </c>
      <c r="AE156" s="390"/>
      <c r="AF156" s="376"/>
      <c r="AG156" s="390"/>
      <c r="AH156" s="390"/>
      <c r="AI156" s="376"/>
      <c r="AJ156" s="390"/>
      <c r="AK156" s="3">
        <v>1</v>
      </c>
      <c r="AL156" s="522" t="s">
        <v>1406</v>
      </c>
      <c r="AM156" s="44">
        <v>45631</v>
      </c>
      <c r="AQ156" s="588"/>
      <c r="AR156" s="284">
        <v>149</v>
      </c>
      <c r="AS156" s="284" t="s">
        <v>1406</v>
      </c>
      <c r="AT156" s="284" t="s">
        <v>5998</v>
      </c>
      <c r="AU156"/>
      <c r="AV156"/>
    </row>
    <row r="157" spans="1:49" s="3" customFormat="1" ht="16.5" customHeight="1">
      <c r="A157" s="77">
        <v>150</v>
      </c>
      <c r="B157" s="77"/>
      <c r="C157" s="401"/>
      <c r="D157" s="408"/>
      <c r="E157" s="77" t="s">
        <v>6049</v>
      </c>
      <c r="F157" s="394"/>
      <c r="G157" s="394"/>
      <c r="H157" s="394"/>
      <c r="I157" s="394"/>
      <c r="J157" s="1689" t="s">
        <v>5728</v>
      </c>
      <c r="K157" s="77"/>
      <c r="L157" s="376"/>
      <c r="M157" s="376"/>
      <c r="N157" s="388"/>
      <c r="O157" s="388"/>
      <c r="P157" s="388"/>
      <c r="Q157" s="388"/>
      <c r="R157" s="388"/>
      <c r="S157" s="389"/>
      <c r="T157" s="388"/>
      <c r="U157" s="389"/>
      <c r="V157" s="388"/>
      <c r="W157" s="389"/>
      <c r="X157" s="376"/>
      <c r="Y157" s="390"/>
      <c r="Z157" s="376"/>
      <c r="AA157" s="390"/>
      <c r="AB157" s="376"/>
      <c r="AC157" s="390"/>
      <c r="AD157" s="376"/>
      <c r="AE157" s="390"/>
      <c r="AF157" s="376"/>
      <c r="AG157" s="390"/>
      <c r="AH157" s="390"/>
      <c r="AI157" s="376"/>
      <c r="AJ157" s="390"/>
      <c r="AL157" s="522">
        <v>0</v>
      </c>
      <c r="AM157" s="44" t="s">
        <v>1500</v>
      </c>
      <c r="AQ157" s="588"/>
      <c r="AR157" s="284">
        <v>150</v>
      </c>
      <c r="AS157" s="284">
        <v>0</v>
      </c>
      <c r="AT157" s="284">
        <v>0</v>
      </c>
      <c r="AU157"/>
      <c r="AV157"/>
    </row>
    <row r="158" spans="1:49" s="3" customFormat="1" ht="16.5" customHeight="1">
      <c r="A158" s="77">
        <v>151</v>
      </c>
      <c r="B158" s="77" t="s">
        <v>1416</v>
      </c>
      <c r="C158" s="401">
        <v>45631</v>
      </c>
      <c r="D158" s="408">
        <v>293</v>
      </c>
      <c r="E158" s="77" t="s">
        <v>5697</v>
      </c>
      <c r="F158" s="394">
        <v>82000</v>
      </c>
      <c r="G158" s="394">
        <v>4100</v>
      </c>
      <c r="H158" s="394">
        <v>102500</v>
      </c>
      <c r="I158" s="394"/>
      <c r="J158" s="1689" t="s">
        <v>5728</v>
      </c>
      <c r="K158" s="77" t="s">
        <v>1210</v>
      </c>
      <c r="L158" s="376"/>
      <c r="M158" s="376"/>
      <c r="N158" s="388"/>
      <c r="O158" s="388"/>
      <c r="P158" s="388"/>
      <c r="Q158" s="388"/>
      <c r="R158" s="388"/>
      <c r="S158" s="389"/>
      <c r="T158" s="388"/>
      <c r="U158" s="389"/>
      <c r="V158" s="388"/>
      <c r="W158" s="389"/>
      <c r="X158" s="376" t="s">
        <v>6000</v>
      </c>
      <c r="Y158" s="390">
        <v>410000</v>
      </c>
      <c r="Z158" s="376" t="s">
        <v>6001</v>
      </c>
      <c r="AA158" s="390">
        <v>-328000</v>
      </c>
      <c r="AB158" s="376"/>
      <c r="AC158" s="390"/>
      <c r="AD158" s="376"/>
      <c r="AE158" s="390"/>
      <c r="AF158" s="376"/>
      <c r="AG158" s="390"/>
      <c r="AH158" s="390">
        <v>82000</v>
      </c>
      <c r="AI158" s="376">
        <v>4100</v>
      </c>
      <c r="AJ158" s="390">
        <v>102500</v>
      </c>
      <c r="AK158" s="3">
        <v>2</v>
      </c>
      <c r="AL158" s="522" t="s">
        <v>1416</v>
      </c>
      <c r="AM158" s="44">
        <v>45631</v>
      </c>
      <c r="AP158" s="3" t="s">
        <v>6002</v>
      </c>
      <c r="AQ158" s="588">
        <v>16400</v>
      </c>
      <c r="AR158" s="284">
        <v>151</v>
      </c>
      <c r="AS158" s="284" t="s">
        <v>1416</v>
      </c>
      <c r="AT158" s="284" t="s">
        <v>5697</v>
      </c>
      <c r="AU158"/>
      <c r="AV158"/>
    </row>
    <row r="159" spans="1:49" s="3" customFormat="1" ht="16.5" customHeight="1">
      <c r="A159" s="77">
        <v>152</v>
      </c>
      <c r="B159" s="77" t="s">
        <v>1433</v>
      </c>
      <c r="C159" s="401">
        <v>45635</v>
      </c>
      <c r="D159" s="408">
        <v>292</v>
      </c>
      <c r="E159" s="77" t="s">
        <v>5594</v>
      </c>
      <c r="F159" s="400">
        <v>22500</v>
      </c>
      <c r="G159" s="400">
        <v>1125</v>
      </c>
      <c r="H159" s="400">
        <v>23625</v>
      </c>
      <c r="I159" s="400"/>
      <c r="J159" s="382" t="str">
        <f t="shared" ref="J159:J170" si="31">IF(I159&gt;0, H159-I159,"")</f>
        <v/>
      </c>
      <c r="K159" s="77" t="s">
        <v>1210</v>
      </c>
      <c r="L159" s="376"/>
      <c r="M159" s="376"/>
      <c r="N159" s="388"/>
      <c r="O159" s="388"/>
      <c r="P159" s="388"/>
      <c r="Q159" s="388"/>
      <c r="R159" s="388"/>
      <c r="S159" s="389"/>
      <c r="T159" s="388"/>
      <c r="U159" s="389"/>
      <c r="V159" s="388"/>
      <c r="W159" s="389"/>
      <c r="X159" s="376" t="s">
        <v>6084</v>
      </c>
      <c r="Y159" s="390">
        <v>22500</v>
      </c>
      <c r="Z159" s="376"/>
      <c r="AA159" s="390"/>
      <c r="AB159" s="376"/>
      <c r="AC159" s="390"/>
      <c r="AD159" s="376"/>
      <c r="AE159" s="390"/>
      <c r="AF159" s="376"/>
      <c r="AG159" s="390"/>
      <c r="AH159" s="390">
        <v>22500</v>
      </c>
      <c r="AI159" s="376">
        <v>1125</v>
      </c>
      <c r="AJ159" s="390">
        <v>23625</v>
      </c>
      <c r="AK159" s="3">
        <v>2</v>
      </c>
      <c r="AL159" s="522" t="str">
        <f t="shared" si="27"/>
        <v>H/M/152/2024</v>
      </c>
      <c r="AM159" s="44">
        <f t="shared" si="28"/>
        <v>45635</v>
      </c>
      <c r="AQ159" s="588"/>
      <c r="AR159" s="284">
        <f t="shared" ref="AR159:AR215" si="32">A159</f>
        <v>152</v>
      </c>
      <c r="AS159" s="284" t="str">
        <f t="shared" si="22"/>
        <v>H/M/152/2024</v>
      </c>
      <c r="AT159" s="284" t="str">
        <f t="shared" si="23"/>
        <v>ISMAIL MOHAMMAD ISMAIL ABDULGHAFOOR ALTAMIMI  -  292</v>
      </c>
      <c r="AU159"/>
      <c r="AV159"/>
    </row>
    <row r="160" spans="1:49" s="3" customFormat="1" ht="16.5" customHeight="1">
      <c r="A160" s="77"/>
      <c r="B160" s="77"/>
      <c r="C160" s="401"/>
      <c r="D160" s="408"/>
      <c r="E160" s="77"/>
      <c r="F160" s="400"/>
      <c r="G160" s="400"/>
      <c r="H160" s="400"/>
      <c r="I160" s="400"/>
      <c r="J160" s="382" t="str">
        <f t="shared" si="31"/>
        <v/>
      </c>
      <c r="K160" s="77"/>
      <c r="L160" s="376"/>
      <c r="M160" s="376"/>
      <c r="N160" s="388"/>
      <c r="O160" s="388"/>
      <c r="P160" s="388"/>
      <c r="Q160" s="388"/>
      <c r="R160" s="388"/>
      <c r="S160" s="389"/>
      <c r="T160" s="388"/>
      <c r="U160" s="389"/>
      <c r="V160" s="388"/>
      <c r="W160" s="389"/>
      <c r="X160" s="376"/>
      <c r="Y160" s="390"/>
      <c r="Z160" s="376"/>
      <c r="AA160" s="390"/>
      <c r="AB160" s="376"/>
      <c r="AC160" s="390"/>
      <c r="AD160" s="376"/>
      <c r="AE160" s="390"/>
      <c r="AF160" s="376"/>
      <c r="AG160" s="390"/>
      <c r="AH160" s="390"/>
      <c r="AI160" s="376"/>
      <c r="AJ160" s="390"/>
      <c r="AL160" s="522">
        <f t="shared" si="27"/>
        <v>0</v>
      </c>
      <c r="AM160" s="44" t="str">
        <f t="shared" si="28"/>
        <v>-</v>
      </c>
      <c r="AQ160" s="588"/>
      <c r="AR160" s="284">
        <f t="shared" si="32"/>
        <v>0</v>
      </c>
      <c r="AS160" s="284">
        <f t="shared" si="22"/>
        <v>0</v>
      </c>
      <c r="AT160" s="284">
        <f t="shared" si="23"/>
        <v>0</v>
      </c>
      <c r="AU160"/>
      <c r="AV160"/>
    </row>
    <row r="161" spans="1:49" s="3" customFormat="1" ht="16.5" customHeight="1">
      <c r="A161" s="77"/>
      <c r="B161" s="77"/>
      <c r="C161" s="401"/>
      <c r="D161" s="408"/>
      <c r="E161" s="77"/>
      <c r="F161" s="400"/>
      <c r="G161" s="400"/>
      <c r="H161" s="400"/>
      <c r="I161" s="400"/>
      <c r="J161" s="382" t="str">
        <f t="shared" si="31"/>
        <v/>
      </c>
      <c r="K161" s="77"/>
      <c r="L161" s="376"/>
      <c r="M161" s="376"/>
      <c r="N161" s="388"/>
      <c r="O161" s="388"/>
      <c r="P161" s="388"/>
      <c r="Q161" s="388"/>
      <c r="R161" s="388"/>
      <c r="S161" s="389"/>
      <c r="T161" s="388"/>
      <c r="U161" s="389"/>
      <c r="V161" s="388"/>
      <c r="W161" s="389"/>
      <c r="X161" s="376"/>
      <c r="Y161" s="390"/>
      <c r="Z161" s="376"/>
      <c r="AA161" s="390"/>
      <c r="AB161" s="376"/>
      <c r="AC161" s="390"/>
      <c r="AD161" s="376"/>
      <c r="AE161" s="390"/>
      <c r="AF161" s="376"/>
      <c r="AG161" s="390"/>
      <c r="AH161" s="390"/>
      <c r="AI161" s="376"/>
      <c r="AJ161" s="390"/>
      <c r="AL161" s="522">
        <f t="shared" si="27"/>
        <v>0</v>
      </c>
      <c r="AM161" s="44" t="str">
        <f t="shared" si="28"/>
        <v>-</v>
      </c>
      <c r="AQ161" s="588"/>
      <c r="AR161" s="284">
        <f t="shared" si="32"/>
        <v>0</v>
      </c>
      <c r="AS161" s="284">
        <f t="shared" si="22"/>
        <v>0</v>
      </c>
      <c r="AT161" s="284">
        <f t="shared" si="23"/>
        <v>0</v>
      </c>
      <c r="AU161"/>
      <c r="AV161"/>
    </row>
    <row r="162" spans="1:49" s="3" customFormat="1" ht="16.5" customHeight="1">
      <c r="A162" s="77"/>
      <c r="B162" s="77"/>
      <c r="C162" s="401"/>
      <c r="D162" s="408"/>
      <c r="E162" s="77"/>
      <c r="F162" s="400"/>
      <c r="G162" s="400"/>
      <c r="H162" s="400"/>
      <c r="I162" s="400"/>
      <c r="J162" s="382" t="str">
        <f t="shared" si="31"/>
        <v/>
      </c>
      <c r="K162" s="77"/>
      <c r="L162" s="376"/>
      <c r="M162" s="376"/>
      <c r="N162" s="388"/>
      <c r="O162" s="388"/>
      <c r="P162" s="388"/>
      <c r="Q162" s="388"/>
      <c r="R162" s="388"/>
      <c r="S162" s="389"/>
      <c r="T162" s="388"/>
      <c r="U162" s="389"/>
      <c r="V162" s="388"/>
      <c r="W162" s="389"/>
      <c r="X162" s="376"/>
      <c r="Y162" s="390"/>
      <c r="Z162" s="376"/>
      <c r="AA162" s="390"/>
      <c r="AB162" s="376"/>
      <c r="AC162" s="390"/>
      <c r="AD162" s="376"/>
      <c r="AE162" s="390"/>
      <c r="AF162" s="376"/>
      <c r="AG162" s="390"/>
      <c r="AH162" s="390"/>
      <c r="AI162" s="376"/>
      <c r="AJ162" s="390"/>
      <c r="AL162" s="522">
        <f t="shared" si="27"/>
        <v>0</v>
      </c>
      <c r="AM162" s="44" t="str">
        <f t="shared" si="28"/>
        <v>-</v>
      </c>
      <c r="AQ162" s="588"/>
      <c r="AR162" s="284">
        <f t="shared" si="32"/>
        <v>0</v>
      </c>
      <c r="AS162" s="284">
        <f t="shared" ref="AS162:AS225" si="33">B162</f>
        <v>0</v>
      </c>
      <c r="AT162" s="284">
        <f t="shared" ref="AT162:AT225" si="34">E162</f>
        <v>0</v>
      </c>
      <c r="AU162"/>
      <c r="AV162"/>
    </row>
    <row r="163" spans="1:49" s="3" customFormat="1" ht="16.5" customHeight="1">
      <c r="A163" s="77"/>
      <c r="B163" s="77"/>
      <c r="C163" s="401"/>
      <c r="D163" s="408"/>
      <c r="E163" s="77"/>
      <c r="F163" s="400"/>
      <c r="G163" s="400"/>
      <c r="H163" s="400"/>
      <c r="I163" s="400"/>
      <c r="J163" s="382" t="str">
        <f t="shared" si="31"/>
        <v/>
      </c>
      <c r="K163" s="77"/>
      <c r="L163" s="376"/>
      <c r="M163" s="376"/>
      <c r="N163" s="388"/>
      <c r="O163" s="388"/>
      <c r="P163" s="388"/>
      <c r="Q163" s="388"/>
      <c r="R163" s="388"/>
      <c r="S163" s="389"/>
      <c r="T163" s="388"/>
      <c r="U163" s="389"/>
      <c r="V163" s="388"/>
      <c r="W163" s="389"/>
      <c r="X163" s="376"/>
      <c r="Y163" s="390"/>
      <c r="Z163" s="376"/>
      <c r="AA163" s="390"/>
      <c r="AB163" s="376"/>
      <c r="AC163" s="390"/>
      <c r="AD163" s="376"/>
      <c r="AE163" s="390"/>
      <c r="AF163" s="376"/>
      <c r="AG163" s="390"/>
      <c r="AH163" s="390"/>
      <c r="AI163" s="376"/>
      <c r="AJ163" s="390"/>
      <c r="AL163" s="522">
        <f t="shared" si="27"/>
        <v>0</v>
      </c>
      <c r="AM163" s="44" t="str">
        <f t="shared" si="28"/>
        <v>-</v>
      </c>
      <c r="AQ163" s="588"/>
      <c r="AR163" s="284">
        <f t="shared" si="32"/>
        <v>0</v>
      </c>
      <c r="AS163" s="284">
        <f t="shared" si="33"/>
        <v>0</v>
      </c>
      <c r="AT163" s="284">
        <f t="shared" si="34"/>
        <v>0</v>
      </c>
      <c r="AU163"/>
      <c r="AV163"/>
    </row>
    <row r="164" spans="1:49" s="3" customFormat="1" ht="16.5" customHeight="1">
      <c r="A164" s="77"/>
      <c r="B164" s="77"/>
      <c r="C164" s="401"/>
      <c r="D164" s="408"/>
      <c r="E164" s="77"/>
      <c r="F164" s="400"/>
      <c r="G164" s="400"/>
      <c r="H164" s="400"/>
      <c r="I164" s="400"/>
      <c r="J164" s="382" t="str">
        <f t="shared" si="31"/>
        <v/>
      </c>
      <c r="K164" s="77"/>
      <c r="L164" s="376"/>
      <c r="M164" s="376"/>
      <c r="N164" s="388"/>
      <c r="O164" s="388"/>
      <c r="P164" s="388"/>
      <c r="Q164" s="388"/>
      <c r="R164" s="388"/>
      <c r="S164" s="389"/>
      <c r="T164" s="388"/>
      <c r="U164" s="389"/>
      <c r="V164" s="388"/>
      <c r="W164" s="389"/>
      <c r="X164" s="376"/>
      <c r="Y164" s="390"/>
      <c r="Z164" s="376"/>
      <c r="AA164" s="390"/>
      <c r="AB164" s="376"/>
      <c r="AC164" s="390"/>
      <c r="AD164" s="376"/>
      <c r="AE164" s="390"/>
      <c r="AF164" s="376"/>
      <c r="AG164" s="390"/>
      <c r="AH164" s="390"/>
      <c r="AI164" s="376"/>
      <c r="AJ164" s="390"/>
      <c r="AL164" s="522">
        <f t="shared" si="27"/>
        <v>0</v>
      </c>
      <c r="AM164" s="44" t="str">
        <f t="shared" si="28"/>
        <v>-</v>
      </c>
      <c r="AQ164" s="588"/>
      <c r="AR164" s="284">
        <f t="shared" si="32"/>
        <v>0</v>
      </c>
      <c r="AS164" s="284">
        <f t="shared" si="33"/>
        <v>0</v>
      </c>
      <c r="AT164" s="284">
        <f t="shared" si="34"/>
        <v>0</v>
      </c>
      <c r="AU164"/>
      <c r="AV164"/>
    </row>
    <row r="165" spans="1:49" s="3" customFormat="1" ht="16.5" customHeight="1">
      <c r="A165" s="77"/>
      <c r="B165" s="77"/>
      <c r="C165" s="401"/>
      <c r="D165" s="408"/>
      <c r="E165" s="77"/>
      <c r="F165" s="400"/>
      <c r="G165" s="400"/>
      <c r="H165" s="400"/>
      <c r="I165" s="400"/>
      <c r="J165" s="382" t="str">
        <f t="shared" si="31"/>
        <v/>
      </c>
      <c r="K165" s="77"/>
      <c r="L165" s="376"/>
      <c r="M165" s="376"/>
      <c r="N165" s="388"/>
      <c r="O165" s="388"/>
      <c r="P165" s="388"/>
      <c r="Q165" s="388"/>
      <c r="R165" s="388"/>
      <c r="S165" s="389"/>
      <c r="T165" s="388"/>
      <c r="U165" s="389"/>
      <c r="V165" s="388"/>
      <c r="W165" s="389"/>
      <c r="X165" s="376"/>
      <c r="Y165" s="390"/>
      <c r="Z165" s="376"/>
      <c r="AA165" s="390"/>
      <c r="AB165" s="376"/>
      <c r="AC165" s="390"/>
      <c r="AD165" s="376"/>
      <c r="AE165" s="390"/>
      <c r="AF165" s="376"/>
      <c r="AG165" s="390"/>
      <c r="AH165" s="390"/>
      <c r="AI165" s="376"/>
      <c r="AJ165" s="390"/>
      <c r="AL165" s="522">
        <f t="shared" si="27"/>
        <v>0</v>
      </c>
      <c r="AM165" s="44" t="str">
        <f t="shared" si="28"/>
        <v>-</v>
      </c>
      <c r="AQ165" s="588"/>
      <c r="AR165" s="284">
        <f t="shared" si="32"/>
        <v>0</v>
      </c>
      <c r="AS165" s="284">
        <f t="shared" si="33"/>
        <v>0</v>
      </c>
      <c r="AT165" s="284">
        <f t="shared" si="34"/>
        <v>0</v>
      </c>
      <c r="AU165"/>
      <c r="AV165"/>
    </row>
    <row r="166" spans="1:49" s="3" customFormat="1" ht="16.5" customHeight="1">
      <c r="A166" s="77"/>
      <c r="B166" s="77"/>
      <c r="C166" s="401"/>
      <c r="D166" s="408"/>
      <c r="E166" s="77"/>
      <c r="F166" s="400"/>
      <c r="G166" s="400"/>
      <c r="H166" s="400"/>
      <c r="I166" s="400"/>
      <c r="J166" s="382" t="str">
        <f t="shared" si="31"/>
        <v/>
      </c>
      <c r="K166" s="77"/>
      <c r="L166" s="376"/>
      <c r="M166" s="376"/>
      <c r="N166" s="388"/>
      <c r="O166" s="388"/>
      <c r="P166" s="388"/>
      <c r="Q166" s="388"/>
      <c r="R166" s="388"/>
      <c r="S166" s="389"/>
      <c r="T166" s="388"/>
      <c r="U166" s="389"/>
      <c r="V166" s="388"/>
      <c r="W166" s="389"/>
      <c r="X166" s="376"/>
      <c r="Y166" s="390"/>
      <c r="Z166" s="376"/>
      <c r="AA166" s="390"/>
      <c r="AB166" s="376"/>
      <c r="AC166" s="390"/>
      <c r="AD166" s="376"/>
      <c r="AE166" s="390"/>
      <c r="AF166" s="376"/>
      <c r="AG166" s="390"/>
      <c r="AH166" s="390"/>
      <c r="AI166" s="376"/>
      <c r="AJ166" s="390"/>
      <c r="AL166" s="522">
        <f t="shared" si="27"/>
        <v>0</v>
      </c>
      <c r="AM166" s="44" t="str">
        <f t="shared" si="28"/>
        <v>-</v>
      </c>
      <c r="AQ166" s="588"/>
      <c r="AR166" s="284">
        <f t="shared" si="32"/>
        <v>0</v>
      </c>
      <c r="AS166" s="284">
        <f t="shared" si="33"/>
        <v>0</v>
      </c>
      <c r="AT166" s="284">
        <f t="shared" si="34"/>
        <v>0</v>
      </c>
      <c r="AU166"/>
      <c r="AV166"/>
    </row>
    <row r="167" spans="1:49" s="3" customFormat="1" ht="16.5" customHeight="1">
      <c r="A167" s="77"/>
      <c r="B167" s="77"/>
      <c r="C167" s="401"/>
      <c r="D167" s="408"/>
      <c r="E167" s="77"/>
      <c r="F167" s="400"/>
      <c r="G167" s="400"/>
      <c r="H167" s="400"/>
      <c r="I167" s="400"/>
      <c r="J167" s="382" t="str">
        <f t="shared" si="31"/>
        <v/>
      </c>
      <c r="K167" s="77"/>
      <c r="L167" s="376"/>
      <c r="M167" s="376"/>
      <c r="N167" s="388"/>
      <c r="O167" s="388"/>
      <c r="P167" s="388"/>
      <c r="Q167" s="388"/>
      <c r="R167" s="388"/>
      <c r="S167" s="389"/>
      <c r="T167" s="388"/>
      <c r="U167" s="389"/>
      <c r="V167" s="388"/>
      <c r="W167" s="389"/>
      <c r="X167" s="376"/>
      <c r="Y167" s="390"/>
      <c r="Z167" s="376"/>
      <c r="AA167" s="390"/>
      <c r="AB167" s="376"/>
      <c r="AC167" s="390"/>
      <c r="AD167" s="376"/>
      <c r="AE167" s="390"/>
      <c r="AF167" s="376"/>
      <c r="AG167" s="390"/>
      <c r="AH167" s="390"/>
      <c r="AI167" s="376"/>
      <c r="AJ167" s="390"/>
      <c r="AL167" s="522">
        <f t="shared" si="27"/>
        <v>0</v>
      </c>
      <c r="AM167" s="44" t="str">
        <f t="shared" si="28"/>
        <v>-</v>
      </c>
      <c r="AQ167" s="588"/>
      <c r="AR167" s="284">
        <f t="shared" si="32"/>
        <v>0</v>
      </c>
      <c r="AS167" s="284">
        <f t="shared" si="33"/>
        <v>0</v>
      </c>
      <c r="AT167" s="284">
        <f t="shared" si="34"/>
        <v>0</v>
      </c>
      <c r="AU167"/>
      <c r="AV167"/>
    </row>
    <row r="168" spans="1:49" s="3" customFormat="1" ht="16.5" customHeight="1">
      <c r="A168" s="77"/>
      <c r="B168" s="77"/>
      <c r="C168" s="401"/>
      <c r="D168" s="408"/>
      <c r="E168" s="77"/>
      <c r="F168" s="400"/>
      <c r="G168" s="400"/>
      <c r="H168" s="400"/>
      <c r="I168" s="400"/>
      <c r="J168" s="382" t="str">
        <f t="shared" si="31"/>
        <v/>
      </c>
      <c r="K168" s="77"/>
      <c r="L168" s="376"/>
      <c r="M168" s="376"/>
      <c r="N168" s="388"/>
      <c r="O168" s="388"/>
      <c r="P168" s="388"/>
      <c r="Q168" s="388"/>
      <c r="R168" s="388"/>
      <c r="S168" s="389"/>
      <c r="T168" s="388"/>
      <c r="U168" s="389"/>
      <c r="V168" s="388"/>
      <c r="W168" s="389"/>
      <c r="X168" s="376"/>
      <c r="Y168" s="390"/>
      <c r="Z168" s="376"/>
      <c r="AA168" s="390"/>
      <c r="AB168" s="376"/>
      <c r="AC168" s="390"/>
      <c r="AD168" s="376"/>
      <c r="AE168" s="390"/>
      <c r="AF168" s="376"/>
      <c r="AG168" s="390"/>
      <c r="AH168" s="390"/>
      <c r="AI168" s="376"/>
      <c r="AJ168" s="390"/>
      <c r="AL168" s="522">
        <f t="shared" si="27"/>
        <v>0</v>
      </c>
      <c r="AM168" s="44" t="str">
        <f t="shared" si="28"/>
        <v>-</v>
      </c>
      <c r="AQ168" s="588"/>
      <c r="AR168" s="284">
        <f t="shared" si="32"/>
        <v>0</v>
      </c>
      <c r="AS168" s="284">
        <f t="shared" si="33"/>
        <v>0</v>
      </c>
      <c r="AT168" s="284">
        <f t="shared" si="34"/>
        <v>0</v>
      </c>
      <c r="AU168"/>
      <c r="AV168"/>
    </row>
    <row r="169" spans="1:49" s="3" customFormat="1" ht="16.5" customHeight="1">
      <c r="A169" s="77"/>
      <c r="B169" s="77"/>
      <c r="C169" s="401"/>
      <c r="D169" s="408"/>
      <c r="E169" s="77"/>
      <c r="F169" s="400"/>
      <c r="G169" s="400"/>
      <c r="H169" s="400"/>
      <c r="I169" s="400"/>
      <c r="J169" s="382" t="str">
        <f t="shared" si="31"/>
        <v/>
      </c>
      <c r="K169" s="77"/>
      <c r="L169" s="376"/>
      <c r="M169" s="376"/>
      <c r="N169" s="388"/>
      <c r="O169" s="388"/>
      <c r="P169" s="388"/>
      <c r="Q169" s="388"/>
      <c r="R169" s="388"/>
      <c r="S169" s="389"/>
      <c r="T169" s="388"/>
      <c r="U169" s="389"/>
      <c r="V169" s="388"/>
      <c r="W169" s="389"/>
      <c r="X169" s="376"/>
      <c r="Y169" s="390"/>
      <c r="Z169" s="376"/>
      <c r="AA169" s="390"/>
      <c r="AB169" s="376"/>
      <c r="AC169" s="390"/>
      <c r="AD169" s="376"/>
      <c r="AE169" s="390"/>
      <c r="AF169" s="376"/>
      <c r="AG169" s="390"/>
      <c r="AH169" s="390"/>
      <c r="AI169" s="376"/>
      <c r="AJ169" s="390"/>
      <c r="AL169" s="522">
        <f t="shared" si="27"/>
        <v>0</v>
      </c>
      <c r="AM169" s="44" t="str">
        <f t="shared" si="28"/>
        <v>-</v>
      </c>
      <c r="AQ169" s="588"/>
      <c r="AR169" s="284">
        <f t="shared" si="32"/>
        <v>0</v>
      </c>
      <c r="AS169" s="284">
        <f t="shared" si="33"/>
        <v>0</v>
      </c>
      <c r="AT169" s="284">
        <f t="shared" si="34"/>
        <v>0</v>
      </c>
      <c r="AU169"/>
      <c r="AV169"/>
    </row>
    <row r="170" spans="1:49">
      <c r="A170" s="77"/>
      <c r="B170" s="77"/>
      <c r="C170" s="401"/>
      <c r="D170" s="408"/>
      <c r="E170" s="77"/>
      <c r="F170" s="400"/>
      <c r="G170" s="400"/>
      <c r="H170" s="400"/>
      <c r="I170" s="400"/>
      <c r="J170" s="382" t="str">
        <f t="shared" si="31"/>
        <v/>
      </c>
      <c r="K170" s="77"/>
      <c r="L170" s="376"/>
      <c r="M170" s="376"/>
      <c r="N170" s="388"/>
      <c r="O170" s="388"/>
      <c r="P170" s="388"/>
      <c r="Q170" s="388"/>
      <c r="R170" s="388"/>
      <c r="S170" s="389"/>
      <c r="T170" s="388"/>
      <c r="U170" s="389"/>
      <c r="V170" s="388"/>
      <c r="W170" s="389"/>
      <c r="X170" s="376"/>
      <c r="Y170" s="390"/>
      <c r="Z170" s="376"/>
      <c r="AA170" s="390"/>
      <c r="AB170" s="376"/>
      <c r="AC170" s="390"/>
      <c r="AD170" s="376"/>
      <c r="AE170" s="390"/>
      <c r="AF170" s="376"/>
      <c r="AG170" s="390"/>
      <c r="AH170" s="390"/>
      <c r="AI170" s="376"/>
      <c r="AJ170" s="390"/>
      <c r="AK170" s="3"/>
      <c r="AL170" s="522">
        <f t="shared" si="27"/>
        <v>0</v>
      </c>
      <c r="AM170" s="44" t="str">
        <f t="shared" si="28"/>
        <v>-</v>
      </c>
      <c r="AQ170" s="588"/>
      <c r="AR170" s="284">
        <f t="shared" si="32"/>
        <v>0</v>
      </c>
      <c r="AS170" s="284">
        <f t="shared" si="33"/>
        <v>0</v>
      </c>
      <c r="AT170" s="284">
        <f t="shared" si="34"/>
        <v>0</v>
      </c>
      <c r="AW170" s="3"/>
    </row>
    <row r="171" spans="1:49">
      <c r="A171" s="77"/>
      <c r="B171" s="77"/>
      <c r="C171" s="401"/>
      <c r="D171" s="408"/>
      <c r="E171" s="77"/>
      <c r="F171" s="400"/>
      <c r="G171" s="400"/>
      <c r="H171" s="400"/>
      <c r="I171" s="400"/>
      <c r="J171" s="382" t="str">
        <f t="shared" si="26"/>
        <v/>
      </c>
      <c r="K171" s="77"/>
      <c r="L171" s="376"/>
      <c r="M171" s="376"/>
      <c r="N171" s="388"/>
      <c r="O171" s="388"/>
      <c r="P171" s="388"/>
      <c r="Q171" s="388"/>
      <c r="R171" s="388"/>
      <c r="S171" s="389"/>
      <c r="T171" s="388"/>
      <c r="U171" s="389"/>
      <c r="V171" s="388"/>
      <c r="W171" s="389"/>
      <c r="X171" s="376"/>
      <c r="Y171" s="390"/>
      <c r="Z171" s="376"/>
      <c r="AA171" s="390"/>
      <c r="AB171" s="376"/>
      <c r="AC171" s="390"/>
      <c r="AD171" s="376"/>
      <c r="AE171" s="390"/>
      <c r="AF171" s="376"/>
      <c r="AG171" s="390"/>
      <c r="AH171" s="390"/>
      <c r="AI171" s="376"/>
      <c r="AJ171" s="390"/>
      <c r="AK171" s="3"/>
      <c r="AL171" s="522">
        <f t="shared" si="27"/>
        <v>0</v>
      </c>
      <c r="AM171" s="44" t="str">
        <f t="shared" si="28"/>
        <v>-</v>
      </c>
      <c r="AQ171" s="588"/>
      <c r="AR171" s="284">
        <f t="shared" si="32"/>
        <v>0</v>
      </c>
      <c r="AS171" s="284">
        <f t="shared" si="33"/>
        <v>0</v>
      </c>
      <c r="AT171" s="284">
        <f t="shared" si="34"/>
        <v>0</v>
      </c>
      <c r="AW171" s="3"/>
    </row>
    <row r="172" spans="1:49">
      <c r="A172" s="77"/>
      <c r="B172" s="77"/>
      <c r="C172" s="401"/>
      <c r="D172" s="408"/>
      <c r="E172" s="77"/>
      <c r="F172" s="400"/>
      <c r="G172" s="400"/>
      <c r="H172" s="400"/>
      <c r="I172" s="400"/>
      <c r="J172" s="382" t="str">
        <f t="shared" si="26"/>
        <v/>
      </c>
      <c r="K172" s="77"/>
      <c r="L172" s="376"/>
      <c r="M172" s="376"/>
      <c r="N172" s="388"/>
      <c r="O172" s="388"/>
      <c r="P172" s="388"/>
      <c r="Q172" s="388"/>
      <c r="R172" s="388"/>
      <c r="S172" s="389"/>
      <c r="T172" s="388"/>
      <c r="U172" s="389"/>
      <c r="V172" s="388"/>
      <c r="W172" s="389"/>
      <c r="X172" s="376"/>
      <c r="Y172" s="390"/>
      <c r="Z172" s="376"/>
      <c r="AA172" s="390"/>
      <c r="AB172" s="376"/>
      <c r="AC172" s="390"/>
      <c r="AD172" s="376"/>
      <c r="AE172" s="390"/>
      <c r="AF172" s="376"/>
      <c r="AG172" s="390"/>
      <c r="AH172" s="390"/>
      <c r="AI172" s="376"/>
      <c r="AJ172" s="390"/>
      <c r="AK172" s="3"/>
      <c r="AL172" s="522">
        <f t="shared" si="27"/>
        <v>0</v>
      </c>
      <c r="AM172" s="44" t="str">
        <f t="shared" si="28"/>
        <v>-</v>
      </c>
      <c r="AQ172" s="588"/>
      <c r="AR172" s="284">
        <f t="shared" si="32"/>
        <v>0</v>
      </c>
      <c r="AS172" s="284">
        <f t="shared" si="33"/>
        <v>0</v>
      </c>
      <c r="AT172" s="284">
        <f t="shared" si="34"/>
        <v>0</v>
      </c>
    </row>
    <row r="173" spans="1:49">
      <c r="A173" s="77"/>
      <c r="B173" s="77"/>
      <c r="C173" s="401"/>
      <c r="D173" s="408"/>
      <c r="E173" s="77"/>
      <c r="F173" s="400"/>
      <c r="G173" s="400"/>
      <c r="H173" s="400"/>
      <c r="I173" s="400"/>
      <c r="J173" s="382" t="str">
        <f t="shared" si="26"/>
        <v/>
      </c>
      <c r="K173" s="77"/>
      <c r="L173" s="376"/>
      <c r="M173" s="376"/>
      <c r="N173" s="388"/>
      <c r="O173" s="388"/>
      <c r="P173" s="388"/>
      <c r="Q173" s="388"/>
      <c r="R173" s="388"/>
      <c r="S173" s="389"/>
      <c r="T173" s="388"/>
      <c r="U173" s="389"/>
      <c r="V173" s="388"/>
      <c r="W173" s="389"/>
      <c r="X173" s="376"/>
      <c r="Y173" s="390"/>
      <c r="Z173" s="376"/>
      <c r="AA173" s="390"/>
      <c r="AB173" s="376"/>
      <c r="AC173" s="390"/>
      <c r="AD173" s="376"/>
      <c r="AE173" s="390"/>
      <c r="AF173" s="376"/>
      <c r="AG173" s="390"/>
      <c r="AH173" s="390"/>
      <c r="AI173" s="376"/>
      <c r="AJ173" s="390"/>
      <c r="AK173" s="3"/>
      <c r="AL173" s="522">
        <f t="shared" si="27"/>
        <v>0</v>
      </c>
      <c r="AM173" s="44" t="str">
        <f t="shared" si="28"/>
        <v>-</v>
      </c>
      <c r="AQ173" s="588"/>
      <c r="AR173" s="284">
        <f t="shared" si="32"/>
        <v>0</v>
      </c>
      <c r="AS173" s="284">
        <f t="shared" si="33"/>
        <v>0</v>
      </c>
      <c r="AT173" s="284">
        <f t="shared" si="34"/>
        <v>0</v>
      </c>
    </row>
    <row r="174" spans="1:49">
      <c r="A174" s="77"/>
      <c r="B174" s="77"/>
      <c r="C174" s="401"/>
      <c r="D174" s="408"/>
      <c r="E174" s="77"/>
      <c r="F174" s="400"/>
      <c r="G174" s="400"/>
      <c r="H174" s="400"/>
      <c r="I174" s="400"/>
      <c r="J174" s="382" t="str">
        <f t="shared" si="26"/>
        <v/>
      </c>
      <c r="K174" s="77"/>
      <c r="L174" s="376"/>
      <c r="M174" s="376"/>
      <c r="N174" s="388"/>
      <c r="O174" s="388"/>
      <c r="P174" s="388"/>
      <c r="Q174" s="388"/>
      <c r="R174" s="388"/>
      <c r="S174" s="389"/>
      <c r="T174" s="388"/>
      <c r="U174" s="389"/>
      <c r="V174" s="388"/>
      <c r="W174" s="389"/>
      <c r="X174" s="376"/>
      <c r="Y174" s="390"/>
      <c r="Z174" s="376"/>
      <c r="AA174" s="390"/>
      <c r="AB174" s="376"/>
      <c r="AC174" s="390"/>
      <c r="AD174" s="376"/>
      <c r="AE174" s="390"/>
      <c r="AF174" s="376"/>
      <c r="AG174" s="390"/>
      <c r="AH174" s="390"/>
      <c r="AI174" s="376"/>
      <c r="AJ174" s="390"/>
      <c r="AK174" s="3"/>
      <c r="AL174" s="522">
        <f t="shared" si="27"/>
        <v>0</v>
      </c>
      <c r="AM174" s="44" t="str">
        <f t="shared" si="28"/>
        <v>-</v>
      </c>
      <c r="AQ174" s="588"/>
      <c r="AR174" s="284">
        <f t="shared" si="32"/>
        <v>0</v>
      </c>
      <c r="AS174" s="284">
        <f t="shared" si="33"/>
        <v>0</v>
      </c>
      <c r="AT174" s="284">
        <f t="shared" si="34"/>
        <v>0</v>
      </c>
    </row>
    <row r="175" spans="1:49">
      <c r="A175" s="77"/>
      <c r="B175" s="77"/>
      <c r="C175" s="401"/>
      <c r="D175" s="408"/>
      <c r="E175" s="77"/>
      <c r="F175" s="400"/>
      <c r="G175" s="400"/>
      <c r="H175" s="400"/>
      <c r="I175" s="400"/>
      <c r="J175" s="382" t="str">
        <f t="shared" si="26"/>
        <v/>
      </c>
      <c r="K175" s="77"/>
      <c r="L175" s="376"/>
      <c r="M175" s="376"/>
      <c r="N175" s="388"/>
      <c r="O175" s="388"/>
      <c r="P175" s="388"/>
      <c r="Q175" s="388"/>
      <c r="R175" s="388"/>
      <c r="S175" s="389"/>
      <c r="T175" s="388"/>
      <c r="U175" s="389"/>
      <c r="V175" s="388"/>
      <c r="W175" s="389"/>
      <c r="X175" s="376"/>
      <c r="Y175" s="390"/>
      <c r="Z175" s="376"/>
      <c r="AA175" s="390"/>
      <c r="AB175" s="376"/>
      <c r="AC175" s="390"/>
      <c r="AD175" s="376"/>
      <c r="AE175" s="390"/>
      <c r="AF175" s="376"/>
      <c r="AG175" s="390"/>
      <c r="AH175" s="390"/>
      <c r="AI175" s="376"/>
      <c r="AJ175" s="390"/>
      <c r="AK175" s="3"/>
      <c r="AL175" s="522">
        <f t="shared" si="27"/>
        <v>0</v>
      </c>
      <c r="AM175" s="44" t="str">
        <f t="shared" si="28"/>
        <v>-</v>
      </c>
      <c r="AQ175" s="588"/>
      <c r="AR175" s="284">
        <f t="shared" si="32"/>
        <v>0</v>
      </c>
      <c r="AS175" s="284">
        <f t="shared" si="33"/>
        <v>0</v>
      </c>
      <c r="AT175" s="284">
        <f t="shared" si="34"/>
        <v>0</v>
      </c>
    </row>
    <row r="176" spans="1:49">
      <c r="A176" s="77"/>
      <c r="B176" s="77"/>
      <c r="C176" s="401"/>
      <c r="D176" s="408"/>
      <c r="E176" s="77"/>
      <c r="F176" s="400"/>
      <c r="G176" s="400"/>
      <c r="H176" s="400"/>
      <c r="I176" s="400"/>
      <c r="J176" s="382" t="str">
        <f t="shared" si="26"/>
        <v/>
      </c>
      <c r="K176" s="77"/>
      <c r="L176" s="376"/>
      <c r="M176" s="376"/>
      <c r="N176" s="388"/>
      <c r="O176" s="388"/>
      <c r="P176" s="388"/>
      <c r="Q176" s="388"/>
      <c r="R176" s="388"/>
      <c r="S176" s="389"/>
      <c r="T176" s="388"/>
      <c r="U176" s="389"/>
      <c r="V176" s="388"/>
      <c r="W176" s="389"/>
      <c r="X176" s="376"/>
      <c r="Y176" s="390"/>
      <c r="Z176" s="376"/>
      <c r="AA176" s="390"/>
      <c r="AB176" s="376"/>
      <c r="AC176" s="390"/>
      <c r="AD176" s="376"/>
      <c r="AE176" s="390"/>
      <c r="AF176" s="376"/>
      <c r="AG176" s="390"/>
      <c r="AH176" s="390"/>
      <c r="AI176" s="376"/>
      <c r="AJ176" s="390"/>
      <c r="AK176" s="3"/>
      <c r="AL176" s="522">
        <f t="shared" si="27"/>
        <v>0</v>
      </c>
      <c r="AM176" s="44" t="str">
        <f t="shared" si="28"/>
        <v>-</v>
      </c>
      <c r="AQ176" s="588"/>
      <c r="AR176" s="284">
        <f t="shared" si="32"/>
        <v>0</v>
      </c>
      <c r="AS176" s="284">
        <f t="shared" si="33"/>
        <v>0</v>
      </c>
      <c r="AT176" s="284">
        <f t="shared" si="34"/>
        <v>0</v>
      </c>
    </row>
    <row r="177" spans="1:46">
      <c r="A177" s="77"/>
      <c r="B177" s="77"/>
      <c r="C177" s="401"/>
      <c r="D177" s="408"/>
      <c r="E177" s="77"/>
      <c r="F177" s="400"/>
      <c r="G177" s="400"/>
      <c r="H177" s="400"/>
      <c r="I177" s="400"/>
      <c r="J177" s="382" t="str">
        <f t="shared" si="26"/>
        <v/>
      </c>
      <c r="K177" s="77"/>
      <c r="L177" s="376"/>
      <c r="M177" s="376"/>
      <c r="N177" s="388"/>
      <c r="O177" s="388"/>
      <c r="P177" s="388"/>
      <c r="Q177" s="388"/>
      <c r="R177" s="388"/>
      <c r="S177" s="389"/>
      <c r="T177" s="388"/>
      <c r="U177" s="389"/>
      <c r="V177" s="388"/>
      <c r="W177" s="389"/>
      <c r="X177" s="376"/>
      <c r="Y177" s="390"/>
      <c r="Z177" s="376"/>
      <c r="AA177" s="390"/>
      <c r="AB177" s="376"/>
      <c r="AC177" s="390"/>
      <c r="AD177" s="376"/>
      <c r="AE177" s="390"/>
      <c r="AF177" s="376"/>
      <c r="AG177" s="390"/>
      <c r="AH177" s="390"/>
      <c r="AI177" s="376"/>
      <c r="AJ177" s="390"/>
      <c r="AK177" s="3"/>
      <c r="AL177" s="522">
        <f t="shared" si="27"/>
        <v>0</v>
      </c>
      <c r="AM177" s="44" t="str">
        <f t="shared" si="28"/>
        <v>-</v>
      </c>
      <c r="AQ177" s="588"/>
      <c r="AR177" s="284">
        <f t="shared" si="32"/>
        <v>0</v>
      </c>
      <c r="AS177" s="284">
        <f t="shared" si="33"/>
        <v>0</v>
      </c>
      <c r="AT177" s="284">
        <f t="shared" si="34"/>
        <v>0</v>
      </c>
    </row>
    <row r="178" spans="1:46">
      <c r="A178" s="77"/>
      <c r="B178" s="77"/>
      <c r="C178" s="401"/>
      <c r="D178" s="408"/>
      <c r="E178" s="77"/>
      <c r="F178" s="400"/>
      <c r="G178" s="400"/>
      <c r="H178" s="400"/>
      <c r="I178" s="400"/>
      <c r="J178" s="382" t="str">
        <f t="shared" si="26"/>
        <v/>
      </c>
      <c r="K178" s="77"/>
      <c r="L178" s="376"/>
      <c r="M178" s="376"/>
      <c r="N178" s="388"/>
      <c r="O178" s="388"/>
      <c r="P178" s="388"/>
      <c r="Q178" s="388"/>
      <c r="R178" s="388"/>
      <c r="S178" s="389"/>
      <c r="T178" s="388"/>
      <c r="U178" s="389"/>
      <c r="V178" s="388"/>
      <c r="W178" s="389"/>
      <c r="X178" s="376"/>
      <c r="Y178" s="390"/>
      <c r="Z178" s="376"/>
      <c r="AA178" s="390"/>
      <c r="AB178" s="376"/>
      <c r="AC178" s="390"/>
      <c r="AD178" s="376"/>
      <c r="AE178" s="390"/>
      <c r="AF178" s="376"/>
      <c r="AG178" s="390"/>
      <c r="AH178" s="390"/>
      <c r="AI178" s="376"/>
      <c r="AJ178" s="390"/>
      <c r="AK178" s="3"/>
      <c r="AL178" s="522">
        <f t="shared" si="27"/>
        <v>0</v>
      </c>
      <c r="AM178" s="44" t="str">
        <f t="shared" si="28"/>
        <v>-</v>
      </c>
      <c r="AQ178" s="588"/>
      <c r="AR178" s="284">
        <f t="shared" si="32"/>
        <v>0</v>
      </c>
      <c r="AS178" s="284">
        <f t="shared" si="33"/>
        <v>0</v>
      </c>
      <c r="AT178" s="284">
        <f t="shared" si="34"/>
        <v>0</v>
      </c>
    </row>
    <row r="179" spans="1:46">
      <c r="A179" s="77"/>
      <c r="B179" s="77"/>
      <c r="C179" s="401"/>
      <c r="D179" s="408"/>
      <c r="E179" s="77"/>
      <c r="F179" s="400"/>
      <c r="G179" s="400"/>
      <c r="H179" s="400"/>
      <c r="I179" s="400"/>
      <c r="J179" s="382" t="str">
        <f t="shared" si="26"/>
        <v/>
      </c>
      <c r="K179" s="77"/>
      <c r="L179" s="376"/>
      <c r="M179" s="376"/>
      <c r="N179" s="388"/>
      <c r="O179" s="388"/>
      <c r="P179" s="388"/>
      <c r="Q179" s="388"/>
      <c r="R179" s="388"/>
      <c r="S179" s="389"/>
      <c r="T179" s="388"/>
      <c r="U179" s="389"/>
      <c r="V179" s="388"/>
      <c r="W179" s="389"/>
      <c r="X179" s="376"/>
      <c r="Y179" s="390"/>
      <c r="Z179" s="376"/>
      <c r="AA179" s="390"/>
      <c r="AB179" s="376"/>
      <c r="AC179" s="390"/>
      <c r="AD179" s="376"/>
      <c r="AE179" s="390"/>
      <c r="AF179" s="376"/>
      <c r="AG179" s="390"/>
      <c r="AH179" s="390"/>
      <c r="AI179" s="376"/>
      <c r="AJ179" s="390"/>
      <c r="AK179" s="3"/>
      <c r="AL179" s="522">
        <f t="shared" si="27"/>
        <v>0</v>
      </c>
      <c r="AM179" s="44" t="str">
        <f t="shared" si="28"/>
        <v>-</v>
      </c>
      <c r="AQ179" s="588"/>
      <c r="AR179" s="284">
        <f t="shared" si="32"/>
        <v>0</v>
      </c>
      <c r="AS179" s="284">
        <f t="shared" si="33"/>
        <v>0</v>
      </c>
      <c r="AT179" s="284">
        <f t="shared" si="34"/>
        <v>0</v>
      </c>
    </row>
    <row r="180" spans="1:46">
      <c r="A180" s="77"/>
      <c r="B180" s="77"/>
      <c r="C180" s="401"/>
      <c r="D180" s="408"/>
      <c r="E180" s="77"/>
      <c r="F180" s="400"/>
      <c r="G180" s="400"/>
      <c r="H180" s="400"/>
      <c r="I180" s="400"/>
      <c r="J180" s="382" t="str">
        <f t="shared" si="26"/>
        <v/>
      </c>
      <c r="K180" s="77"/>
      <c r="L180" s="376"/>
      <c r="M180" s="376"/>
      <c r="N180" s="388"/>
      <c r="O180" s="388"/>
      <c r="P180" s="388"/>
      <c r="Q180" s="388"/>
      <c r="R180" s="388"/>
      <c r="S180" s="389"/>
      <c r="T180" s="388"/>
      <c r="U180" s="389"/>
      <c r="V180" s="388"/>
      <c r="W180" s="389"/>
      <c r="X180" s="376"/>
      <c r="Y180" s="390"/>
      <c r="Z180" s="376"/>
      <c r="AA180" s="390"/>
      <c r="AB180" s="376"/>
      <c r="AC180" s="390"/>
      <c r="AD180" s="376"/>
      <c r="AE180" s="390"/>
      <c r="AF180" s="376"/>
      <c r="AG180" s="390"/>
      <c r="AH180" s="390"/>
      <c r="AI180" s="376"/>
      <c r="AJ180" s="390"/>
      <c r="AK180" s="3"/>
      <c r="AL180" s="522">
        <f t="shared" si="27"/>
        <v>0</v>
      </c>
      <c r="AM180" s="44" t="str">
        <f t="shared" si="28"/>
        <v>-</v>
      </c>
      <c r="AQ180" s="588"/>
      <c r="AR180" s="284">
        <f t="shared" si="32"/>
        <v>0</v>
      </c>
      <c r="AS180" s="284">
        <f t="shared" si="33"/>
        <v>0</v>
      </c>
      <c r="AT180" s="284">
        <f t="shared" si="34"/>
        <v>0</v>
      </c>
    </row>
    <row r="181" spans="1:46">
      <c r="A181" s="77"/>
      <c r="B181" s="77"/>
      <c r="C181" s="401"/>
      <c r="D181" s="408"/>
      <c r="E181" s="77"/>
      <c r="F181" s="400"/>
      <c r="G181" s="400"/>
      <c r="H181" s="400"/>
      <c r="I181" s="400"/>
      <c r="J181" s="382" t="str">
        <f t="shared" si="26"/>
        <v/>
      </c>
      <c r="K181" s="77"/>
      <c r="L181" s="376"/>
      <c r="M181" s="376"/>
      <c r="N181" s="388"/>
      <c r="O181" s="388"/>
      <c r="P181" s="388"/>
      <c r="Q181" s="388"/>
      <c r="R181" s="388"/>
      <c r="S181" s="389"/>
      <c r="T181" s="388"/>
      <c r="U181" s="389"/>
      <c r="V181" s="388"/>
      <c r="W181" s="389"/>
      <c r="X181" s="376"/>
      <c r="Y181" s="390"/>
      <c r="Z181" s="376"/>
      <c r="AA181" s="390"/>
      <c r="AB181" s="376"/>
      <c r="AC181" s="390"/>
      <c r="AD181" s="376"/>
      <c r="AE181" s="390"/>
      <c r="AF181" s="376"/>
      <c r="AG181" s="390"/>
      <c r="AH181" s="390"/>
      <c r="AI181" s="376"/>
      <c r="AJ181" s="390"/>
      <c r="AK181" s="3"/>
      <c r="AL181" s="522">
        <f t="shared" si="27"/>
        <v>0</v>
      </c>
      <c r="AM181" s="44" t="str">
        <f t="shared" si="28"/>
        <v>-</v>
      </c>
      <c r="AQ181" s="588"/>
      <c r="AR181" s="284">
        <f t="shared" si="32"/>
        <v>0</v>
      </c>
      <c r="AS181" s="284">
        <f t="shared" si="33"/>
        <v>0</v>
      </c>
      <c r="AT181" s="284">
        <f t="shared" si="34"/>
        <v>0</v>
      </c>
    </row>
    <row r="182" spans="1:46">
      <c r="A182" s="77"/>
      <c r="B182" s="77"/>
      <c r="C182" s="401"/>
      <c r="D182" s="408"/>
      <c r="E182" s="77"/>
      <c r="F182" s="400"/>
      <c r="G182" s="400"/>
      <c r="H182" s="400"/>
      <c r="I182" s="400"/>
      <c r="J182" s="382" t="str">
        <f t="shared" si="26"/>
        <v/>
      </c>
      <c r="K182" s="77"/>
      <c r="L182" s="376"/>
      <c r="M182" s="376"/>
      <c r="N182" s="388"/>
      <c r="O182" s="388"/>
      <c r="P182" s="388"/>
      <c r="Q182" s="388"/>
      <c r="R182" s="388"/>
      <c r="S182" s="389"/>
      <c r="T182" s="388"/>
      <c r="U182" s="389"/>
      <c r="V182" s="388"/>
      <c r="W182" s="389"/>
      <c r="X182" s="376"/>
      <c r="Y182" s="390"/>
      <c r="Z182" s="376"/>
      <c r="AA182" s="390"/>
      <c r="AB182" s="376"/>
      <c r="AC182" s="390"/>
      <c r="AD182" s="376"/>
      <c r="AE182" s="390"/>
      <c r="AF182" s="376"/>
      <c r="AG182" s="390"/>
      <c r="AH182" s="390"/>
      <c r="AI182" s="376"/>
      <c r="AJ182" s="390"/>
      <c r="AK182" s="3"/>
      <c r="AL182" s="522">
        <f t="shared" si="27"/>
        <v>0</v>
      </c>
      <c r="AM182" s="44" t="str">
        <f t="shared" si="28"/>
        <v>-</v>
      </c>
      <c r="AQ182" s="588"/>
      <c r="AR182" s="284">
        <f t="shared" si="32"/>
        <v>0</v>
      </c>
      <c r="AS182" s="284">
        <f t="shared" si="33"/>
        <v>0</v>
      </c>
      <c r="AT182" s="284">
        <f t="shared" si="34"/>
        <v>0</v>
      </c>
    </row>
    <row r="183" spans="1:46">
      <c r="A183" s="77"/>
      <c r="B183" s="77"/>
      <c r="C183" s="401"/>
      <c r="D183" s="408"/>
      <c r="E183" s="77"/>
      <c r="F183" s="400"/>
      <c r="G183" s="400"/>
      <c r="H183" s="400"/>
      <c r="I183" s="400"/>
      <c r="J183" s="382" t="str">
        <f t="shared" si="26"/>
        <v/>
      </c>
      <c r="K183" s="77"/>
      <c r="L183" s="376"/>
      <c r="M183" s="376"/>
      <c r="N183" s="388"/>
      <c r="O183" s="388"/>
      <c r="P183" s="388"/>
      <c r="Q183" s="388"/>
      <c r="R183" s="388"/>
      <c r="S183" s="389"/>
      <c r="T183" s="388"/>
      <c r="U183" s="389"/>
      <c r="V183" s="388"/>
      <c r="W183" s="389"/>
      <c r="X183" s="376"/>
      <c r="Y183" s="390"/>
      <c r="Z183" s="376"/>
      <c r="AA183" s="390"/>
      <c r="AB183" s="376"/>
      <c r="AC183" s="390"/>
      <c r="AD183" s="376"/>
      <c r="AE183" s="390"/>
      <c r="AF183" s="376"/>
      <c r="AG183" s="390"/>
      <c r="AH183" s="390"/>
      <c r="AI183" s="376"/>
      <c r="AJ183" s="390"/>
      <c r="AK183" s="3"/>
      <c r="AL183" s="522">
        <f t="shared" si="27"/>
        <v>0</v>
      </c>
      <c r="AM183" s="44" t="str">
        <f t="shared" si="28"/>
        <v>-</v>
      </c>
      <c r="AQ183" s="588"/>
      <c r="AR183" s="284">
        <f t="shared" si="32"/>
        <v>0</v>
      </c>
      <c r="AS183" s="284">
        <f t="shared" si="33"/>
        <v>0</v>
      </c>
      <c r="AT183" s="284">
        <f t="shared" si="34"/>
        <v>0</v>
      </c>
    </row>
    <row r="184" spans="1:46">
      <c r="A184" s="77"/>
      <c r="B184" s="77"/>
      <c r="C184" s="401"/>
      <c r="D184" s="408"/>
      <c r="E184" s="77"/>
      <c r="F184" s="400"/>
      <c r="G184" s="400"/>
      <c r="H184" s="400"/>
      <c r="I184" s="400"/>
      <c r="J184" s="382" t="str">
        <f t="shared" si="26"/>
        <v/>
      </c>
      <c r="K184" s="77"/>
      <c r="L184" s="376"/>
      <c r="M184" s="376"/>
      <c r="N184" s="388"/>
      <c r="O184" s="388"/>
      <c r="P184" s="388"/>
      <c r="Q184" s="388"/>
      <c r="R184" s="388"/>
      <c r="S184" s="389"/>
      <c r="T184" s="388"/>
      <c r="U184" s="389"/>
      <c r="V184" s="388"/>
      <c r="W184" s="389"/>
      <c r="X184" s="376"/>
      <c r="Y184" s="390"/>
      <c r="Z184" s="376"/>
      <c r="AA184" s="390"/>
      <c r="AB184" s="376"/>
      <c r="AC184" s="390"/>
      <c r="AD184" s="376"/>
      <c r="AE184" s="390"/>
      <c r="AF184" s="376"/>
      <c r="AG184" s="390"/>
      <c r="AH184" s="390"/>
      <c r="AI184" s="376"/>
      <c r="AJ184" s="390"/>
      <c r="AK184" s="3"/>
      <c r="AL184" s="522">
        <f t="shared" si="27"/>
        <v>0</v>
      </c>
      <c r="AM184" s="44" t="str">
        <f t="shared" si="28"/>
        <v>-</v>
      </c>
      <c r="AQ184" s="588"/>
      <c r="AR184" s="284">
        <f t="shared" si="32"/>
        <v>0</v>
      </c>
      <c r="AS184" s="284">
        <f t="shared" si="33"/>
        <v>0</v>
      </c>
      <c r="AT184" s="284">
        <f t="shared" si="34"/>
        <v>0</v>
      </c>
    </row>
    <row r="185" spans="1:46">
      <c r="A185" s="77"/>
      <c r="B185" s="77"/>
      <c r="C185" s="401"/>
      <c r="D185" s="408"/>
      <c r="E185" s="77"/>
      <c r="F185" s="400"/>
      <c r="G185" s="400"/>
      <c r="H185" s="400"/>
      <c r="I185" s="400"/>
      <c r="J185" s="400"/>
      <c r="K185" s="77"/>
      <c r="L185" s="376"/>
      <c r="M185" s="376"/>
      <c r="N185" s="388"/>
      <c r="O185" s="388"/>
      <c r="P185" s="388"/>
      <c r="Q185" s="388"/>
      <c r="R185" s="388"/>
      <c r="S185" s="389"/>
      <c r="T185" s="388"/>
      <c r="U185" s="389"/>
      <c r="V185" s="388"/>
      <c r="W185" s="389"/>
      <c r="X185" s="376"/>
      <c r="Y185" s="390"/>
      <c r="Z185" s="376"/>
      <c r="AA185" s="390"/>
      <c r="AB185" s="376"/>
      <c r="AC185" s="390"/>
      <c r="AD185" s="950">
        <v>45580.6253125</v>
      </c>
      <c r="AE185" s="390"/>
      <c r="AF185" s="376"/>
      <c r="AG185" s="390"/>
      <c r="AH185" s="390"/>
      <c r="AI185" s="376"/>
      <c r="AJ185" s="390"/>
      <c r="AK185" s="3"/>
      <c r="AL185" s="522">
        <f t="shared" si="27"/>
        <v>0</v>
      </c>
      <c r="AM185" s="44" t="str">
        <f t="shared" si="28"/>
        <v>-</v>
      </c>
      <c r="AQ185" s="588"/>
      <c r="AR185" s="284">
        <f t="shared" si="32"/>
        <v>0</v>
      </c>
      <c r="AS185" s="284">
        <f t="shared" si="33"/>
        <v>0</v>
      </c>
      <c r="AT185" s="284">
        <f t="shared" si="34"/>
        <v>0</v>
      </c>
    </row>
    <row r="186" spans="1:46">
      <c r="A186" s="77"/>
      <c r="B186" s="77"/>
      <c r="C186" s="401"/>
      <c r="D186" s="408"/>
      <c r="E186" s="77"/>
      <c r="F186" s="400"/>
      <c r="G186" s="400"/>
      <c r="H186" s="400"/>
      <c r="I186" s="400"/>
      <c r="J186" s="400"/>
      <c r="K186" s="77"/>
      <c r="L186" s="376"/>
      <c r="M186" s="376"/>
      <c r="N186" s="388"/>
      <c r="O186" s="388"/>
      <c r="P186" s="388"/>
      <c r="Q186" s="388"/>
      <c r="R186" s="388"/>
      <c r="S186" s="389"/>
      <c r="T186" s="388"/>
      <c r="U186" s="389"/>
      <c r="V186" s="388"/>
      <c r="W186" s="389"/>
      <c r="X186" s="376"/>
      <c r="Y186" s="390"/>
      <c r="Z186" s="376"/>
      <c r="AA186" s="390"/>
      <c r="AB186" s="376"/>
      <c r="AC186" s="390"/>
      <c r="AD186" s="950">
        <v>45593.618541666663</v>
      </c>
      <c r="AE186" s="390"/>
      <c r="AF186" s="376"/>
      <c r="AG186" s="390"/>
      <c r="AH186" s="390"/>
      <c r="AI186" s="376"/>
      <c r="AJ186" s="390"/>
      <c r="AK186" s="3"/>
      <c r="AL186" s="522">
        <f t="shared" si="27"/>
        <v>0</v>
      </c>
      <c r="AM186" s="44" t="str">
        <f t="shared" si="28"/>
        <v>-</v>
      </c>
      <c r="AQ186" s="588"/>
      <c r="AR186" s="284">
        <f t="shared" si="32"/>
        <v>0</v>
      </c>
      <c r="AS186" s="284">
        <f t="shared" si="33"/>
        <v>0</v>
      </c>
      <c r="AT186" s="284">
        <f t="shared" si="34"/>
        <v>0</v>
      </c>
    </row>
    <row r="187" spans="1:46">
      <c r="A187" s="77"/>
      <c r="B187" s="77"/>
      <c r="C187" s="401"/>
      <c r="D187" s="408"/>
      <c r="E187" s="77"/>
      <c r="F187" s="400"/>
      <c r="G187" s="400"/>
      <c r="H187" s="400"/>
      <c r="I187" s="400"/>
      <c r="J187" s="400"/>
      <c r="K187" s="77"/>
      <c r="L187" s="376"/>
      <c r="M187" s="376"/>
      <c r="N187" s="388"/>
      <c r="O187" s="388"/>
      <c r="P187" s="388"/>
      <c r="Q187" s="388"/>
      <c r="R187" s="388"/>
      <c r="S187" s="389"/>
      <c r="T187" s="388"/>
      <c r="U187" s="389"/>
      <c r="V187" s="388"/>
      <c r="W187" s="389"/>
      <c r="X187" s="376"/>
      <c r="Y187" s="390"/>
      <c r="Z187" s="376"/>
      <c r="AA187" s="390"/>
      <c r="AB187" s="376"/>
      <c r="AC187" s="390"/>
      <c r="AD187" s="376"/>
      <c r="AE187" s="390"/>
      <c r="AF187" s="376"/>
      <c r="AG187" s="390"/>
      <c r="AH187" s="390"/>
      <c r="AI187" s="376"/>
      <c r="AJ187" s="390"/>
      <c r="AK187" s="3"/>
      <c r="AL187" s="522">
        <f t="shared" si="27"/>
        <v>0</v>
      </c>
      <c r="AM187" s="44" t="str">
        <f t="shared" si="28"/>
        <v>-</v>
      </c>
      <c r="AQ187" s="588"/>
      <c r="AR187" s="284">
        <f t="shared" si="32"/>
        <v>0</v>
      </c>
      <c r="AS187" s="284">
        <f t="shared" si="33"/>
        <v>0</v>
      </c>
      <c r="AT187" s="284">
        <f t="shared" si="34"/>
        <v>0</v>
      </c>
    </row>
    <row r="188" spans="1:46">
      <c r="A188" s="77"/>
      <c r="B188" s="77"/>
      <c r="C188" s="401"/>
      <c r="D188" s="408"/>
      <c r="E188" s="77"/>
      <c r="F188" s="400"/>
      <c r="G188" s="400"/>
      <c r="H188" s="400"/>
      <c r="I188" s="400"/>
      <c r="J188" s="400"/>
      <c r="K188" s="77"/>
      <c r="L188" s="376"/>
      <c r="M188" s="376"/>
      <c r="N188" s="388"/>
      <c r="O188" s="388"/>
      <c r="P188" s="388"/>
      <c r="Q188" s="388"/>
      <c r="R188" s="388"/>
      <c r="S188" s="389"/>
      <c r="T188" s="388"/>
      <c r="U188" s="389"/>
      <c r="V188" s="388"/>
      <c r="W188" s="389"/>
      <c r="X188" s="376"/>
      <c r="Y188" s="390"/>
      <c r="Z188" s="376"/>
      <c r="AA188" s="390"/>
      <c r="AB188" s="376"/>
      <c r="AC188" s="390"/>
      <c r="AD188" s="376"/>
      <c r="AE188" s="390"/>
      <c r="AF188" s="376"/>
      <c r="AG188" s="390"/>
      <c r="AH188" s="390"/>
      <c r="AI188" s="376"/>
      <c r="AJ188" s="390"/>
      <c r="AK188" s="3"/>
      <c r="AL188" s="522">
        <f t="shared" si="27"/>
        <v>0</v>
      </c>
      <c r="AM188" s="44" t="str">
        <f t="shared" si="28"/>
        <v>-</v>
      </c>
      <c r="AQ188" s="588"/>
      <c r="AR188" s="284">
        <f t="shared" si="32"/>
        <v>0</v>
      </c>
      <c r="AS188" s="284">
        <f t="shared" si="33"/>
        <v>0</v>
      </c>
      <c r="AT188" s="284">
        <f t="shared" si="34"/>
        <v>0</v>
      </c>
    </row>
    <row r="189" spans="1:46">
      <c r="A189" s="77"/>
      <c r="B189" s="77"/>
      <c r="C189" s="401"/>
      <c r="D189" s="408"/>
      <c r="E189" s="77"/>
      <c r="F189" s="400"/>
      <c r="G189" s="400"/>
      <c r="H189" s="400"/>
      <c r="I189" s="400"/>
      <c r="J189" s="400"/>
      <c r="K189" s="77"/>
      <c r="L189" s="376"/>
      <c r="M189" s="376"/>
      <c r="N189" s="388"/>
      <c r="O189" s="388"/>
      <c r="P189" s="388"/>
      <c r="Q189" s="388"/>
      <c r="R189" s="388"/>
      <c r="S189" s="389"/>
      <c r="T189" s="388"/>
      <c r="U189" s="389"/>
      <c r="V189" s="388"/>
      <c r="W189" s="389"/>
      <c r="X189" s="376"/>
      <c r="Y189" s="390"/>
      <c r="Z189" s="376"/>
      <c r="AA189" s="390"/>
      <c r="AB189" s="376"/>
      <c r="AC189" s="390"/>
      <c r="AD189" s="376"/>
      <c r="AE189" s="390"/>
      <c r="AF189" s="376"/>
      <c r="AG189" s="390"/>
      <c r="AH189" s="390"/>
      <c r="AI189" s="376"/>
      <c r="AJ189" s="390"/>
      <c r="AK189" s="3"/>
      <c r="AL189" s="522">
        <f t="shared" si="27"/>
        <v>0</v>
      </c>
      <c r="AM189" s="44" t="str">
        <f t="shared" si="28"/>
        <v>-</v>
      </c>
      <c r="AQ189" s="588"/>
      <c r="AR189" s="284">
        <f t="shared" si="32"/>
        <v>0</v>
      </c>
      <c r="AS189" s="284">
        <f t="shared" si="33"/>
        <v>0</v>
      </c>
      <c r="AT189" s="284">
        <f t="shared" si="34"/>
        <v>0</v>
      </c>
    </row>
    <row r="190" spans="1:46">
      <c r="A190" s="77"/>
      <c r="B190" s="77"/>
      <c r="C190" s="401"/>
      <c r="D190" s="408"/>
      <c r="E190" s="77"/>
      <c r="F190" s="400"/>
      <c r="G190" s="400"/>
      <c r="H190" s="400"/>
      <c r="I190" s="400"/>
      <c r="J190" s="400"/>
      <c r="K190" s="77"/>
      <c r="L190" s="376"/>
      <c r="M190" s="376"/>
      <c r="N190" s="388"/>
      <c r="O190" s="388"/>
      <c r="P190" s="388"/>
      <c r="Q190" s="388"/>
      <c r="R190" s="388"/>
      <c r="S190" s="389"/>
      <c r="T190" s="388"/>
      <c r="U190" s="389"/>
      <c r="V190" s="388"/>
      <c r="W190" s="389"/>
      <c r="X190" s="376"/>
      <c r="Y190" s="390"/>
      <c r="Z190" s="376"/>
      <c r="AA190" s="390"/>
      <c r="AB190" s="376"/>
      <c r="AC190" s="390"/>
      <c r="AD190" s="376"/>
      <c r="AE190" s="390"/>
      <c r="AF190" s="376"/>
      <c r="AG190" s="390"/>
      <c r="AH190" s="390"/>
      <c r="AI190" s="376"/>
      <c r="AJ190" s="390"/>
      <c r="AK190" s="3"/>
      <c r="AL190" s="522">
        <f t="shared" si="27"/>
        <v>0</v>
      </c>
      <c r="AM190" s="44" t="str">
        <f t="shared" si="28"/>
        <v>-</v>
      </c>
      <c r="AQ190" s="588"/>
      <c r="AR190" s="284">
        <f t="shared" si="32"/>
        <v>0</v>
      </c>
      <c r="AS190" s="284">
        <f t="shared" si="33"/>
        <v>0</v>
      </c>
      <c r="AT190" s="284">
        <f t="shared" si="34"/>
        <v>0</v>
      </c>
    </row>
    <row r="191" spans="1:46">
      <c r="A191" s="77"/>
      <c r="B191" s="77"/>
      <c r="C191" s="401"/>
      <c r="D191" s="408"/>
      <c r="E191" s="77"/>
      <c r="F191" s="400"/>
      <c r="G191" s="400"/>
      <c r="H191" s="400"/>
      <c r="I191" s="400"/>
      <c r="J191" s="400"/>
      <c r="K191" s="77"/>
      <c r="L191" s="376"/>
      <c r="M191" s="376"/>
      <c r="N191" s="388"/>
      <c r="O191" s="388"/>
      <c r="P191" s="388"/>
      <c r="Q191" s="388"/>
      <c r="R191" s="388"/>
      <c r="S191" s="389"/>
      <c r="T191" s="388"/>
      <c r="U191" s="389"/>
      <c r="V191" s="388"/>
      <c r="W191" s="389"/>
      <c r="X191" s="376"/>
      <c r="Y191" s="390"/>
      <c r="Z191" s="376"/>
      <c r="AA191" s="390"/>
      <c r="AB191" s="376"/>
      <c r="AC191" s="390"/>
      <c r="AD191" s="376"/>
      <c r="AE191" s="390"/>
      <c r="AF191" s="376"/>
      <c r="AG191" s="390"/>
      <c r="AH191" s="390"/>
      <c r="AI191" s="376"/>
      <c r="AJ191" s="390"/>
      <c r="AK191" s="3"/>
      <c r="AL191" s="522">
        <f t="shared" si="27"/>
        <v>0</v>
      </c>
      <c r="AM191" s="44" t="str">
        <f t="shared" si="28"/>
        <v>-</v>
      </c>
      <c r="AQ191" s="588"/>
      <c r="AR191" s="284">
        <f t="shared" si="32"/>
        <v>0</v>
      </c>
      <c r="AS191" s="284">
        <f t="shared" si="33"/>
        <v>0</v>
      </c>
      <c r="AT191" s="284">
        <f t="shared" si="34"/>
        <v>0</v>
      </c>
    </row>
    <row r="192" spans="1:46">
      <c r="A192" s="77"/>
      <c r="B192" s="77"/>
      <c r="C192" s="401"/>
      <c r="D192" s="408"/>
      <c r="E192" s="77"/>
      <c r="F192" s="400"/>
      <c r="G192" s="400"/>
      <c r="H192" s="400"/>
      <c r="I192" s="400"/>
      <c r="J192" s="400"/>
      <c r="K192" s="77"/>
      <c r="L192" s="376"/>
      <c r="M192" s="376"/>
      <c r="N192" s="388"/>
      <c r="O192" s="388"/>
      <c r="P192" s="388"/>
      <c r="Q192" s="388"/>
      <c r="R192" s="388"/>
      <c r="S192" s="389"/>
      <c r="T192" s="388"/>
      <c r="U192" s="389"/>
      <c r="V192" s="388"/>
      <c r="W192" s="389"/>
      <c r="X192" s="376"/>
      <c r="Y192" s="390"/>
      <c r="Z192" s="376"/>
      <c r="AA192" s="390"/>
      <c r="AB192" s="376"/>
      <c r="AC192" s="390"/>
      <c r="AD192" s="376"/>
      <c r="AE192" s="390"/>
      <c r="AF192" s="376"/>
      <c r="AG192" s="390"/>
      <c r="AH192" s="390"/>
      <c r="AI192" s="376"/>
      <c r="AJ192" s="390"/>
      <c r="AK192" s="3"/>
      <c r="AL192" s="522">
        <f t="shared" si="27"/>
        <v>0</v>
      </c>
      <c r="AM192" s="44" t="str">
        <f t="shared" si="28"/>
        <v>-</v>
      </c>
      <c r="AQ192" s="588"/>
      <c r="AR192" s="284">
        <f t="shared" si="32"/>
        <v>0</v>
      </c>
      <c r="AS192" s="284">
        <f t="shared" si="33"/>
        <v>0</v>
      </c>
      <c r="AT192" s="284">
        <f t="shared" si="34"/>
        <v>0</v>
      </c>
    </row>
    <row r="193" spans="1:46">
      <c r="A193" s="77"/>
      <c r="B193" s="77"/>
      <c r="C193" s="401"/>
      <c r="D193" s="408"/>
      <c r="E193" s="77"/>
      <c r="F193" s="400"/>
      <c r="G193" s="400"/>
      <c r="H193" s="400"/>
      <c r="I193" s="400"/>
      <c r="J193" s="400"/>
      <c r="K193" s="77"/>
      <c r="L193" s="376"/>
      <c r="M193" s="376"/>
      <c r="N193" s="388"/>
      <c r="O193" s="388"/>
      <c r="P193" s="388"/>
      <c r="Q193" s="388"/>
      <c r="R193" s="388"/>
      <c r="S193" s="389"/>
      <c r="T193" s="388"/>
      <c r="U193" s="389"/>
      <c r="V193" s="388"/>
      <c r="W193" s="389"/>
      <c r="X193" s="376"/>
      <c r="Y193" s="390"/>
      <c r="Z193" s="376"/>
      <c r="AA193" s="390"/>
      <c r="AB193" s="376"/>
      <c r="AC193" s="390"/>
      <c r="AD193" s="376"/>
      <c r="AE193" s="390"/>
      <c r="AF193" s="376"/>
      <c r="AG193" s="390"/>
      <c r="AH193" s="390"/>
      <c r="AI193" s="376"/>
      <c r="AJ193" s="390"/>
      <c r="AK193" s="3"/>
      <c r="AL193" s="522">
        <f t="shared" si="27"/>
        <v>0</v>
      </c>
      <c r="AM193" s="44" t="str">
        <f t="shared" si="28"/>
        <v>-</v>
      </c>
      <c r="AQ193" s="588"/>
      <c r="AR193" s="284">
        <f t="shared" si="32"/>
        <v>0</v>
      </c>
      <c r="AS193" s="284">
        <f t="shared" si="33"/>
        <v>0</v>
      </c>
      <c r="AT193" s="284">
        <f t="shared" si="34"/>
        <v>0</v>
      </c>
    </row>
    <row r="194" spans="1:46">
      <c r="A194" s="77"/>
      <c r="B194" s="77"/>
      <c r="C194" s="401"/>
      <c r="D194" s="408"/>
      <c r="E194" s="77"/>
      <c r="F194" s="400"/>
      <c r="G194" s="400"/>
      <c r="H194" s="400"/>
      <c r="I194" s="400"/>
      <c r="J194" s="400"/>
      <c r="K194" s="77"/>
      <c r="L194" s="376"/>
      <c r="M194" s="376"/>
      <c r="N194" s="388"/>
      <c r="O194" s="388"/>
      <c r="P194" s="388"/>
      <c r="Q194" s="388"/>
      <c r="R194" s="388"/>
      <c r="S194" s="389"/>
      <c r="T194" s="388"/>
      <c r="U194" s="389"/>
      <c r="V194" s="388"/>
      <c r="W194" s="389"/>
      <c r="X194" s="376"/>
      <c r="Y194" s="390"/>
      <c r="Z194" s="376"/>
      <c r="AA194" s="390"/>
      <c r="AB194" s="376"/>
      <c r="AC194" s="390"/>
      <c r="AD194" s="376"/>
      <c r="AE194" s="390"/>
      <c r="AF194" s="376"/>
      <c r="AG194" s="390"/>
      <c r="AH194" s="390"/>
      <c r="AI194" s="376"/>
      <c r="AJ194" s="390"/>
      <c r="AK194" s="3"/>
      <c r="AL194" s="522">
        <f t="shared" si="27"/>
        <v>0</v>
      </c>
      <c r="AM194" s="44" t="str">
        <f t="shared" si="28"/>
        <v>-</v>
      </c>
      <c r="AQ194" s="588"/>
      <c r="AR194" s="284">
        <f t="shared" si="32"/>
        <v>0</v>
      </c>
      <c r="AS194" s="284">
        <f t="shared" si="33"/>
        <v>0</v>
      </c>
      <c r="AT194" s="284">
        <f t="shared" si="34"/>
        <v>0</v>
      </c>
    </row>
    <row r="195" spans="1:46">
      <c r="A195" s="77"/>
      <c r="B195" s="77"/>
      <c r="C195" s="401"/>
      <c r="D195" s="408"/>
      <c r="E195" s="77"/>
      <c r="F195" s="400"/>
      <c r="G195" s="400"/>
      <c r="H195" s="400"/>
      <c r="I195" s="400"/>
      <c r="J195" s="400"/>
      <c r="K195" s="77"/>
      <c r="L195" s="376"/>
      <c r="M195" s="376"/>
      <c r="N195" s="388"/>
      <c r="O195" s="388"/>
      <c r="P195" s="388"/>
      <c r="Q195" s="388"/>
      <c r="R195" s="388"/>
      <c r="S195" s="389"/>
      <c r="T195" s="388"/>
      <c r="U195" s="389"/>
      <c r="V195" s="388"/>
      <c r="W195" s="389"/>
      <c r="X195" s="376"/>
      <c r="Y195" s="390"/>
      <c r="Z195" s="376"/>
      <c r="AA195" s="390"/>
      <c r="AB195" s="376"/>
      <c r="AC195" s="390"/>
      <c r="AD195" s="376"/>
      <c r="AE195" s="390"/>
      <c r="AF195" s="376"/>
      <c r="AG195" s="390"/>
      <c r="AH195" s="390"/>
      <c r="AI195" s="376"/>
      <c r="AJ195" s="390"/>
      <c r="AK195" s="3"/>
      <c r="AL195" s="522">
        <f t="shared" ref="AL195:AL258" si="35">B195</f>
        <v>0</v>
      </c>
      <c r="AM195" s="44" t="str">
        <f t="shared" ref="AM195:AM258" si="36">IF(C195="","-",C195)</f>
        <v>-</v>
      </c>
      <c r="AQ195" s="588"/>
      <c r="AR195" s="284">
        <f t="shared" si="32"/>
        <v>0</v>
      </c>
      <c r="AS195" s="284">
        <f t="shared" si="33"/>
        <v>0</v>
      </c>
      <c r="AT195" s="284">
        <f t="shared" si="34"/>
        <v>0</v>
      </c>
    </row>
    <row r="196" spans="1:46">
      <c r="A196" s="77"/>
      <c r="B196" s="77"/>
      <c r="C196" s="401"/>
      <c r="D196" s="408"/>
      <c r="E196" s="77"/>
      <c r="F196" s="400"/>
      <c r="G196" s="400"/>
      <c r="H196" s="400"/>
      <c r="I196" s="400"/>
      <c r="J196" s="400"/>
      <c r="K196" s="77"/>
      <c r="L196" s="376"/>
      <c r="M196" s="376"/>
      <c r="N196" s="388"/>
      <c r="O196" s="388"/>
      <c r="P196" s="388"/>
      <c r="Q196" s="388"/>
      <c r="R196" s="388"/>
      <c r="S196" s="389"/>
      <c r="T196" s="388"/>
      <c r="U196" s="389"/>
      <c r="V196" s="388"/>
      <c r="W196" s="389"/>
      <c r="X196" s="376"/>
      <c r="Y196" s="390"/>
      <c r="Z196" s="376"/>
      <c r="AA196" s="390"/>
      <c r="AB196" s="376"/>
      <c r="AC196" s="390"/>
      <c r="AD196" s="376"/>
      <c r="AE196" s="390"/>
      <c r="AF196" s="376"/>
      <c r="AG196" s="390"/>
      <c r="AH196" s="390"/>
      <c r="AI196" s="376"/>
      <c r="AJ196" s="390"/>
      <c r="AK196" s="3"/>
      <c r="AL196" s="522">
        <f t="shared" si="35"/>
        <v>0</v>
      </c>
      <c r="AM196" s="44" t="str">
        <f t="shared" si="36"/>
        <v>-</v>
      </c>
      <c r="AQ196" s="588"/>
      <c r="AR196" s="284">
        <f t="shared" si="32"/>
        <v>0</v>
      </c>
      <c r="AS196" s="284">
        <f t="shared" si="33"/>
        <v>0</v>
      </c>
      <c r="AT196" s="284">
        <f t="shared" si="34"/>
        <v>0</v>
      </c>
    </row>
    <row r="197" spans="1:46">
      <c r="A197" s="77"/>
      <c r="B197" s="77"/>
      <c r="C197" s="401"/>
      <c r="D197" s="408"/>
      <c r="E197" s="77"/>
      <c r="F197" s="400"/>
      <c r="G197" s="400"/>
      <c r="H197" s="400"/>
      <c r="I197" s="400"/>
      <c r="J197" s="400"/>
      <c r="K197" s="77"/>
      <c r="L197" s="376"/>
      <c r="M197" s="376"/>
      <c r="N197" s="388"/>
      <c r="O197" s="388"/>
      <c r="P197" s="388"/>
      <c r="Q197" s="388"/>
      <c r="R197" s="388"/>
      <c r="S197" s="389"/>
      <c r="T197" s="388"/>
      <c r="U197" s="389"/>
      <c r="V197" s="388"/>
      <c r="W197" s="389"/>
      <c r="X197" s="376"/>
      <c r="Y197" s="390"/>
      <c r="Z197" s="376"/>
      <c r="AA197" s="390"/>
      <c r="AB197" s="376"/>
      <c r="AC197" s="390"/>
      <c r="AD197" s="376"/>
      <c r="AE197" s="390"/>
      <c r="AF197" s="376"/>
      <c r="AG197" s="390"/>
      <c r="AH197" s="390"/>
      <c r="AI197" s="376"/>
      <c r="AJ197" s="390"/>
      <c r="AK197" s="3"/>
      <c r="AL197" s="522">
        <f t="shared" si="35"/>
        <v>0</v>
      </c>
      <c r="AM197" s="44" t="str">
        <f t="shared" si="36"/>
        <v>-</v>
      </c>
      <c r="AQ197" s="588"/>
      <c r="AR197" s="284">
        <f t="shared" si="32"/>
        <v>0</v>
      </c>
      <c r="AS197" s="284">
        <f t="shared" si="33"/>
        <v>0</v>
      </c>
      <c r="AT197" s="284">
        <f t="shared" si="34"/>
        <v>0</v>
      </c>
    </row>
    <row r="198" spans="1:46">
      <c r="A198" s="77"/>
      <c r="B198" s="77"/>
      <c r="C198" s="401"/>
      <c r="D198" s="408"/>
      <c r="E198" s="77"/>
      <c r="F198" s="400"/>
      <c r="G198" s="400"/>
      <c r="H198" s="400"/>
      <c r="I198" s="400"/>
      <c r="J198" s="400"/>
      <c r="K198" s="77"/>
      <c r="L198" s="376"/>
      <c r="M198" s="376"/>
      <c r="N198" s="388"/>
      <c r="O198" s="388"/>
      <c r="P198" s="388"/>
      <c r="Q198" s="388"/>
      <c r="R198" s="388"/>
      <c r="S198" s="389"/>
      <c r="T198" s="388"/>
      <c r="U198" s="389"/>
      <c r="V198" s="388"/>
      <c r="W198" s="389"/>
      <c r="X198" s="376"/>
      <c r="Y198" s="390"/>
      <c r="Z198" s="376"/>
      <c r="AA198" s="390"/>
      <c r="AB198" s="376"/>
      <c r="AC198" s="390"/>
      <c r="AD198" s="376"/>
      <c r="AE198" s="390"/>
      <c r="AF198" s="376"/>
      <c r="AG198" s="390"/>
      <c r="AH198" s="390"/>
      <c r="AI198" s="376"/>
      <c r="AJ198" s="390"/>
      <c r="AK198" s="3"/>
      <c r="AL198" s="522">
        <f t="shared" si="35"/>
        <v>0</v>
      </c>
      <c r="AM198" s="44" t="str">
        <f t="shared" si="36"/>
        <v>-</v>
      </c>
      <c r="AQ198" s="588"/>
      <c r="AR198" s="284">
        <f t="shared" si="32"/>
        <v>0</v>
      </c>
      <c r="AS198" s="284">
        <f t="shared" si="33"/>
        <v>0</v>
      </c>
      <c r="AT198" s="284">
        <f t="shared" si="34"/>
        <v>0</v>
      </c>
    </row>
    <row r="199" spans="1:46">
      <c r="A199" s="77"/>
      <c r="B199" s="77"/>
      <c r="C199" s="401"/>
      <c r="D199" s="408"/>
      <c r="E199" s="77"/>
      <c r="F199" s="400"/>
      <c r="G199" s="400"/>
      <c r="H199" s="400"/>
      <c r="I199" s="400"/>
      <c r="J199" s="400"/>
      <c r="K199" s="77"/>
      <c r="L199" s="376"/>
      <c r="M199" s="376"/>
      <c r="N199" s="388"/>
      <c r="O199" s="388"/>
      <c r="P199" s="388"/>
      <c r="Q199" s="388"/>
      <c r="R199" s="388"/>
      <c r="S199" s="389"/>
      <c r="T199" s="388"/>
      <c r="U199" s="389"/>
      <c r="V199" s="388"/>
      <c r="W199" s="389"/>
      <c r="X199" s="376"/>
      <c r="Y199" s="390"/>
      <c r="Z199" s="376"/>
      <c r="AA199" s="390"/>
      <c r="AB199" s="376"/>
      <c r="AC199" s="390"/>
      <c r="AD199" s="376"/>
      <c r="AE199" s="390"/>
      <c r="AF199" s="376"/>
      <c r="AG199" s="390"/>
      <c r="AH199" s="390"/>
      <c r="AI199" s="376"/>
      <c r="AJ199" s="390"/>
      <c r="AK199" s="3"/>
      <c r="AL199" s="522">
        <f t="shared" si="35"/>
        <v>0</v>
      </c>
      <c r="AM199" s="44" t="str">
        <f t="shared" si="36"/>
        <v>-</v>
      </c>
      <c r="AQ199" s="588"/>
      <c r="AR199" s="284">
        <f t="shared" si="32"/>
        <v>0</v>
      </c>
      <c r="AS199" s="284">
        <f t="shared" si="33"/>
        <v>0</v>
      </c>
      <c r="AT199" s="284">
        <f t="shared" si="34"/>
        <v>0</v>
      </c>
    </row>
    <row r="200" spans="1:46">
      <c r="A200" s="77"/>
      <c r="B200" s="77"/>
      <c r="C200" s="401"/>
      <c r="D200" s="408"/>
      <c r="E200" s="77"/>
      <c r="F200" s="400"/>
      <c r="G200" s="400"/>
      <c r="H200" s="400"/>
      <c r="I200" s="400"/>
      <c r="J200" s="400"/>
      <c r="K200" s="77"/>
      <c r="L200" s="376"/>
      <c r="M200" s="376"/>
      <c r="N200" s="388"/>
      <c r="O200" s="388"/>
      <c r="P200" s="388"/>
      <c r="Q200" s="388"/>
      <c r="R200" s="388"/>
      <c r="S200" s="389"/>
      <c r="T200" s="388"/>
      <c r="U200" s="389"/>
      <c r="V200" s="388"/>
      <c r="W200" s="389"/>
      <c r="X200" s="376"/>
      <c r="Y200" s="390"/>
      <c r="Z200" s="376"/>
      <c r="AA200" s="390"/>
      <c r="AB200" s="376"/>
      <c r="AC200" s="390"/>
      <c r="AD200" s="376"/>
      <c r="AE200" s="390"/>
      <c r="AF200" s="376"/>
      <c r="AG200" s="390"/>
      <c r="AH200" s="390"/>
      <c r="AI200" s="376"/>
      <c r="AJ200" s="390"/>
      <c r="AK200" s="3"/>
      <c r="AL200" s="522">
        <f t="shared" si="35"/>
        <v>0</v>
      </c>
      <c r="AM200" s="44" t="str">
        <f t="shared" si="36"/>
        <v>-</v>
      </c>
      <c r="AQ200" s="588"/>
      <c r="AR200" s="284">
        <f t="shared" si="32"/>
        <v>0</v>
      </c>
      <c r="AS200" s="284">
        <f t="shared" si="33"/>
        <v>0</v>
      </c>
      <c r="AT200" s="284">
        <f t="shared" si="34"/>
        <v>0</v>
      </c>
    </row>
    <row r="201" spans="1:46">
      <c r="A201" s="77"/>
      <c r="B201" s="77"/>
      <c r="C201" s="401"/>
      <c r="D201" s="408"/>
      <c r="E201" s="77"/>
      <c r="F201" s="400"/>
      <c r="G201" s="400"/>
      <c r="H201" s="400"/>
      <c r="I201" s="400"/>
      <c r="J201" s="400"/>
      <c r="K201" s="77"/>
      <c r="L201" s="376"/>
      <c r="M201" s="376"/>
      <c r="N201" s="388"/>
      <c r="O201" s="388"/>
      <c r="P201" s="388"/>
      <c r="Q201" s="388"/>
      <c r="R201" s="388"/>
      <c r="S201" s="389"/>
      <c r="T201" s="388"/>
      <c r="U201" s="389"/>
      <c r="V201" s="388"/>
      <c r="W201" s="389"/>
      <c r="X201" s="376"/>
      <c r="Y201" s="390"/>
      <c r="Z201" s="376"/>
      <c r="AA201" s="390"/>
      <c r="AB201" s="376"/>
      <c r="AC201" s="390"/>
      <c r="AD201" s="376"/>
      <c r="AE201" s="390"/>
      <c r="AF201" s="376"/>
      <c r="AG201" s="390"/>
      <c r="AH201" s="390"/>
      <c r="AI201" s="376"/>
      <c r="AJ201" s="390"/>
      <c r="AK201" s="3"/>
      <c r="AL201" s="522">
        <f t="shared" si="35"/>
        <v>0</v>
      </c>
      <c r="AM201" s="44" t="str">
        <f t="shared" si="36"/>
        <v>-</v>
      </c>
      <c r="AQ201" s="588"/>
      <c r="AR201" s="284">
        <f t="shared" si="32"/>
        <v>0</v>
      </c>
      <c r="AS201" s="284">
        <f t="shared" si="33"/>
        <v>0</v>
      </c>
      <c r="AT201" s="284">
        <f t="shared" si="34"/>
        <v>0</v>
      </c>
    </row>
    <row r="202" spans="1:46">
      <c r="A202" s="77"/>
      <c r="B202" s="77"/>
      <c r="C202" s="401"/>
      <c r="D202" s="408"/>
      <c r="E202" s="77"/>
      <c r="F202" s="400"/>
      <c r="G202" s="400"/>
      <c r="H202" s="400"/>
      <c r="I202" s="400"/>
      <c r="J202" s="400"/>
      <c r="K202" s="77"/>
      <c r="L202" s="376"/>
      <c r="M202" s="376"/>
      <c r="N202" s="388"/>
      <c r="O202" s="388"/>
      <c r="P202" s="388"/>
      <c r="Q202" s="388"/>
      <c r="R202" s="388"/>
      <c r="S202" s="389"/>
      <c r="T202" s="388"/>
      <c r="U202" s="389"/>
      <c r="V202" s="388"/>
      <c r="W202" s="389"/>
      <c r="X202" s="376"/>
      <c r="Y202" s="390"/>
      <c r="Z202" s="376"/>
      <c r="AA202" s="390"/>
      <c r="AB202" s="376"/>
      <c r="AC202" s="390"/>
      <c r="AD202" s="376"/>
      <c r="AE202" s="390"/>
      <c r="AF202" s="376"/>
      <c r="AG202" s="390"/>
      <c r="AH202" s="390"/>
      <c r="AI202" s="376"/>
      <c r="AJ202" s="390"/>
      <c r="AK202" s="3"/>
      <c r="AL202" s="522">
        <f t="shared" si="35"/>
        <v>0</v>
      </c>
      <c r="AM202" s="44" t="str">
        <f t="shared" si="36"/>
        <v>-</v>
      </c>
      <c r="AQ202" s="588"/>
      <c r="AR202" s="284">
        <f t="shared" si="32"/>
        <v>0</v>
      </c>
      <c r="AS202" s="284">
        <f t="shared" si="33"/>
        <v>0</v>
      </c>
      <c r="AT202" s="284">
        <f t="shared" si="34"/>
        <v>0</v>
      </c>
    </row>
    <row r="203" spans="1:46">
      <c r="A203" s="77"/>
      <c r="B203" s="77"/>
      <c r="C203" s="401"/>
      <c r="D203" s="408"/>
      <c r="E203" s="77"/>
      <c r="F203" s="400"/>
      <c r="G203" s="400"/>
      <c r="H203" s="400"/>
      <c r="I203" s="400"/>
      <c r="J203" s="400"/>
      <c r="K203" s="77"/>
      <c r="L203" s="376"/>
      <c r="M203" s="376"/>
      <c r="N203" s="388"/>
      <c r="O203" s="388"/>
      <c r="P203" s="388"/>
      <c r="Q203" s="388"/>
      <c r="R203" s="388"/>
      <c r="S203" s="389"/>
      <c r="T203" s="388"/>
      <c r="U203" s="389"/>
      <c r="V203" s="388"/>
      <c r="W203" s="389"/>
      <c r="X203" s="376"/>
      <c r="Y203" s="390"/>
      <c r="Z203" s="376"/>
      <c r="AA203" s="390"/>
      <c r="AB203" s="376"/>
      <c r="AC203" s="390"/>
      <c r="AD203" s="376"/>
      <c r="AE203" s="390"/>
      <c r="AF203" s="376"/>
      <c r="AG203" s="390"/>
      <c r="AH203" s="390"/>
      <c r="AI203" s="376"/>
      <c r="AJ203" s="390"/>
      <c r="AK203" s="3"/>
      <c r="AL203" s="522">
        <f t="shared" si="35"/>
        <v>0</v>
      </c>
      <c r="AM203" s="44" t="str">
        <f t="shared" si="36"/>
        <v>-</v>
      </c>
      <c r="AQ203" s="588"/>
      <c r="AR203" s="284">
        <f t="shared" si="32"/>
        <v>0</v>
      </c>
      <c r="AS203" s="284">
        <f t="shared" si="33"/>
        <v>0</v>
      </c>
      <c r="AT203" s="284">
        <f t="shared" si="34"/>
        <v>0</v>
      </c>
    </row>
    <row r="204" spans="1:46">
      <c r="A204" s="77"/>
      <c r="B204" s="77"/>
      <c r="C204" s="401"/>
      <c r="D204" s="408"/>
      <c r="E204" s="77"/>
      <c r="F204" s="400"/>
      <c r="G204" s="400"/>
      <c r="H204" s="400"/>
      <c r="I204" s="400"/>
      <c r="J204" s="400"/>
      <c r="K204" s="77"/>
      <c r="L204" s="376"/>
      <c r="M204" s="376"/>
      <c r="N204" s="388"/>
      <c r="O204" s="388"/>
      <c r="P204" s="388"/>
      <c r="Q204" s="388"/>
      <c r="R204" s="388"/>
      <c r="S204" s="389"/>
      <c r="T204" s="388"/>
      <c r="U204" s="389"/>
      <c r="V204" s="388"/>
      <c r="W204" s="389"/>
      <c r="X204" s="376"/>
      <c r="Y204" s="390"/>
      <c r="Z204" s="376"/>
      <c r="AA204" s="390"/>
      <c r="AB204" s="376"/>
      <c r="AC204" s="390"/>
      <c r="AD204" s="376"/>
      <c r="AE204" s="390"/>
      <c r="AF204" s="376"/>
      <c r="AG204" s="390"/>
      <c r="AH204" s="390"/>
      <c r="AI204" s="376"/>
      <c r="AJ204" s="390"/>
      <c r="AK204" s="3"/>
      <c r="AL204" s="522">
        <f t="shared" si="35"/>
        <v>0</v>
      </c>
      <c r="AM204" s="44" t="str">
        <f t="shared" si="36"/>
        <v>-</v>
      </c>
      <c r="AQ204" s="588"/>
      <c r="AR204" s="284">
        <f t="shared" si="32"/>
        <v>0</v>
      </c>
      <c r="AS204" s="284">
        <f t="shared" si="33"/>
        <v>0</v>
      </c>
      <c r="AT204" s="284">
        <f t="shared" si="34"/>
        <v>0</v>
      </c>
    </row>
    <row r="205" spans="1:46">
      <c r="A205" s="77"/>
      <c r="B205" s="77"/>
      <c r="C205" s="401"/>
      <c r="D205" s="408"/>
      <c r="E205" s="77"/>
      <c r="F205" s="400"/>
      <c r="G205" s="400"/>
      <c r="H205" s="400"/>
      <c r="I205" s="400"/>
      <c r="J205" s="400"/>
      <c r="K205" s="77"/>
      <c r="L205" s="376"/>
      <c r="M205" s="376"/>
      <c r="N205" s="388"/>
      <c r="O205" s="388"/>
      <c r="P205" s="388"/>
      <c r="Q205" s="388"/>
      <c r="R205" s="388"/>
      <c r="S205" s="389"/>
      <c r="T205" s="388"/>
      <c r="U205" s="389"/>
      <c r="V205" s="388"/>
      <c r="W205" s="389"/>
      <c r="X205" s="376"/>
      <c r="Y205" s="390"/>
      <c r="Z205" s="376"/>
      <c r="AA205" s="390"/>
      <c r="AB205" s="376"/>
      <c r="AC205" s="390"/>
      <c r="AD205" s="376"/>
      <c r="AE205" s="390"/>
      <c r="AF205" s="376"/>
      <c r="AG205" s="390"/>
      <c r="AH205" s="390"/>
      <c r="AI205" s="376"/>
      <c r="AJ205" s="390"/>
      <c r="AK205" s="3"/>
      <c r="AL205" s="522">
        <f t="shared" si="35"/>
        <v>0</v>
      </c>
      <c r="AM205" s="44" t="str">
        <f t="shared" si="36"/>
        <v>-</v>
      </c>
      <c r="AQ205" s="588"/>
      <c r="AR205" s="284">
        <f t="shared" si="32"/>
        <v>0</v>
      </c>
      <c r="AS205" s="284">
        <f t="shared" si="33"/>
        <v>0</v>
      </c>
      <c r="AT205" s="284">
        <f t="shared" si="34"/>
        <v>0</v>
      </c>
    </row>
    <row r="206" spans="1:46">
      <c r="A206" s="77"/>
      <c r="B206" s="77"/>
      <c r="C206" s="401"/>
      <c r="D206" s="408"/>
      <c r="E206" s="77"/>
      <c r="F206" s="400"/>
      <c r="G206" s="400"/>
      <c r="H206" s="400"/>
      <c r="I206" s="400"/>
      <c r="J206" s="400"/>
      <c r="K206" s="77"/>
      <c r="L206" s="376"/>
      <c r="M206" s="376"/>
      <c r="N206" s="388"/>
      <c r="O206" s="388"/>
      <c r="P206" s="388"/>
      <c r="Q206" s="388"/>
      <c r="R206" s="388"/>
      <c r="S206" s="389"/>
      <c r="T206" s="388"/>
      <c r="U206" s="389"/>
      <c r="V206" s="388"/>
      <c r="W206" s="389"/>
      <c r="X206" s="376"/>
      <c r="Y206" s="390"/>
      <c r="Z206" s="376"/>
      <c r="AA206" s="390"/>
      <c r="AB206" s="376"/>
      <c r="AC206" s="390"/>
      <c r="AD206" s="376"/>
      <c r="AE206" s="390"/>
      <c r="AF206" s="376"/>
      <c r="AG206" s="390"/>
      <c r="AH206" s="390"/>
      <c r="AI206" s="376"/>
      <c r="AJ206" s="390"/>
      <c r="AK206" s="3"/>
      <c r="AL206" s="522">
        <f t="shared" si="35"/>
        <v>0</v>
      </c>
      <c r="AM206" s="44" t="str">
        <f t="shared" si="36"/>
        <v>-</v>
      </c>
      <c r="AQ206" s="588"/>
      <c r="AR206" s="284">
        <f t="shared" si="32"/>
        <v>0</v>
      </c>
      <c r="AS206" s="284">
        <f t="shared" si="33"/>
        <v>0</v>
      </c>
      <c r="AT206" s="284">
        <f t="shared" si="34"/>
        <v>0</v>
      </c>
    </row>
    <row r="207" spans="1:46">
      <c r="A207" s="77"/>
      <c r="B207" s="77"/>
      <c r="C207" s="401"/>
      <c r="D207" s="408"/>
      <c r="E207" s="77"/>
      <c r="F207" s="400"/>
      <c r="G207" s="400"/>
      <c r="H207" s="400"/>
      <c r="I207" s="400"/>
      <c r="J207" s="400"/>
      <c r="K207" s="77"/>
      <c r="L207" s="376"/>
      <c r="M207" s="376"/>
      <c r="N207" s="388"/>
      <c r="O207" s="388"/>
      <c r="P207" s="388"/>
      <c r="Q207" s="388"/>
      <c r="R207" s="388"/>
      <c r="S207" s="389"/>
      <c r="T207" s="388"/>
      <c r="U207" s="389"/>
      <c r="V207" s="388"/>
      <c r="W207" s="389"/>
      <c r="X207" s="376"/>
      <c r="Y207" s="390"/>
      <c r="Z207" s="376"/>
      <c r="AA207" s="390"/>
      <c r="AB207" s="376"/>
      <c r="AC207" s="390"/>
      <c r="AD207" s="376"/>
      <c r="AE207" s="390"/>
      <c r="AF207" s="376"/>
      <c r="AG207" s="390"/>
      <c r="AH207" s="390"/>
      <c r="AI207" s="376"/>
      <c r="AJ207" s="390"/>
      <c r="AK207" s="3"/>
      <c r="AL207" s="522">
        <f t="shared" si="35"/>
        <v>0</v>
      </c>
      <c r="AM207" s="44" t="str">
        <f t="shared" si="36"/>
        <v>-</v>
      </c>
      <c r="AQ207" s="588"/>
      <c r="AR207" s="284">
        <f t="shared" si="32"/>
        <v>0</v>
      </c>
      <c r="AS207" s="284">
        <f t="shared" si="33"/>
        <v>0</v>
      </c>
      <c r="AT207" s="284">
        <f t="shared" si="34"/>
        <v>0</v>
      </c>
    </row>
    <row r="208" spans="1:46">
      <c r="A208" s="77"/>
      <c r="B208" s="77"/>
      <c r="C208" s="401"/>
      <c r="D208" s="408"/>
      <c r="E208" s="77"/>
      <c r="F208" s="400"/>
      <c r="G208" s="400"/>
      <c r="H208" s="400"/>
      <c r="I208" s="400"/>
      <c r="J208" s="400"/>
      <c r="K208" s="77"/>
      <c r="L208" s="376"/>
      <c r="M208" s="376"/>
      <c r="N208" s="388"/>
      <c r="O208" s="388"/>
      <c r="P208" s="388"/>
      <c r="Q208" s="388"/>
      <c r="R208" s="388"/>
      <c r="S208" s="389"/>
      <c r="T208" s="388"/>
      <c r="U208" s="389"/>
      <c r="V208" s="388"/>
      <c r="W208" s="389"/>
      <c r="X208" s="376"/>
      <c r="Y208" s="390"/>
      <c r="Z208" s="376"/>
      <c r="AA208" s="390"/>
      <c r="AB208" s="376"/>
      <c r="AC208" s="390"/>
      <c r="AD208" s="376"/>
      <c r="AE208" s="390"/>
      <c r="AF208" s="376"/>
      <c r="AG208" s="390"/>
      <c r="AH208" s="390"/>
      <c r="AI208" s="376"/>
      <c r="AJ208" s="390"/>
      <c r="AK208" s="3"/>
      <c r="AL208" s="522">
        <f t="shared" si="35"/>
        <v>0</v>
      </c>
      <c r="AM208" s="44" t="str">
        <f t="shared" si="36"/>
        <v>-</v>
      </c>
      <c r="AQ208" s="588"/>
      <c r="AR208" s="284">
        <f t="shared" si="32"/>
        <v>0</v>
      </c>
      <c r="AS208" s="284">
        <f t="shared" si="33"/>
        <v>0</v>
      </c>
      <c r="AT208" s="284">
        <f t="shared" si="34"/>
        <v>0</v>
      </c>
    </row>
    <row r="209" spans="1:46">
      <c r="A209" s="77"/>
      <c r="B209" s="77"/>
      <c r="C209" s="401"/>
      <c r="D209" s="408"/>
      <c r="E209" s="77"/>
      <c r="F209" s="400"/>
      <c r="G209" s="400"/>
      <c r="H209" s="400"/>
      <c r="I209" s="400"/>
      <c r="J209" s="400"/>
      <c r="K209" s="77"/>
      <c r="L209" s="376"/>
      <c r="M209" s="376"/>
      <c r="N209" s="388"/>
      <c r="O209" s="388"/>
      <c r="P209" s="388"/>
      <c r="Q209" s="388"/>
      <c r="R209" s="388"/>
      <c r="S209" s="389"/>
      <c r="T209" s="388"/>
      <c r="U209" s="389"/>
      <c r="V209" s="388"/>
      <c r="W209" s="389"/>
      <c r="X209" s="376"/>
      <c r="Y209" s="390"/>
      <c r="Z209" s="376"/>
      <c r="AA209" s="390"/>
      <c r="AB209" s="376"/>
      <c r="AC209" s="390"/>
      <c r="AD209" s="376"/>
      <c r="AE209" s="390"/>
      <c r="AF209" s="376"/>
      <c r="AG209" s="390"/>
      <c r="AH209" s="390"/>
      <c r="AI209" s="376"/>
      <c r="AJ209" s="390"/>
      <c r="AK209" s="3"/>
      <c r="AL209" s="522">
        <f t="shared" si="35"/>
        <v>0</v>
      </c>
      <c r="AM209" s="44" t="str">
        <f t="shared" si="36"/>
        <v>-</v>
      </c>
      <c r="AQ209" s="588"/>
      <c r="AR209" s="284">
        <f t="shared" si="32"/>
        <v>0</v>
      </c>
      <c r="AS209" s="284">
        <f t="shared" si="33"/>
        <v>0</v>
      </c>
      <c r="AT209" s="284">
        <f t="shared" si="34"/>
        <v>0</v>
      </c>
    </row>
    <row r="210" spans="1:46">
      <c r="A210" s="77"/>
      <c r="B210" s="77"/>
      <c r="C210" s="401"/>
      <c r="D210" s="408"/>
      <c r="E210" s="77"/>
      <c r="F210" s="400"/>
      <c r="G210" s="400"/>
      <c r="H210" s="400"/>
      <c r="I210" s="400"/>
      <c r="J210" s="400"/>
      <c r="K210" s="77"/>
      <c r="L210" s="376"/>
      <c r="M210" s="376"/>
      <c r="N210" s="388"/>
      <c r="O210" s="388"/>
      <c r="P210" s="388"/>
      <c r="Q210" s="388"/>
      <c r="R210" s="388"/>
      <c r="S210" s="389"/>
      <c r="T210" s="388"/>
      <c r="U210" s="389"/>
      <c r="V210" s="388"/>
      <c r="W210" s="389"/>
      <c r="X210" s="376"/>
      <c r="Y210" s="390"/>
      <c r="Z210" s="376"/>
      <c r="AA210" s="390"/>
      <c r="AB210" s="376"/>
      <c r="AC210" s="390"/>
      <c r="AD210" s="376"/>
      <c r="AE210" s="390"/>
      <c r="AF210" s="376"/>
      <c r="AG210" s="390"/>
      <c r="AH210" s="390"/>
      <c r="AI210" s="376"/>
      <c r="AJ210" s="390"/>
      <c r="AK210" s="3"/>
      <c r="AL210" s="522">
        <f t="shared" si="35"/>
        <v>0</v>
      </c>
      <c r="AM210" s="44" t="str">
        <f t="shared" si="36"/>
        <v>-</v>
      </c>
      <c r="AQ210" s="588"/>
      <c r="AR210" s="284">
        <f t="shared" si="32"/>
        <v>0</v>
      </c>
      <c r="AS210" s="284">
        <f t="shared" si="33"/>
        <v>0</v>
      </c>
      <c r="AT210" s="284">
        <f t="shared" si="34"/>
        <v>0</v>
      </c>
    </row>
    <row r="211" spans="1:46">
      <c r="A211" s="77"/>
      <c r="B211" s="77"/>
      <c r="C211" s="401"/>
      <c r="D211" s="408"/>
      <c r="E211" s="77"/>
      <c r="F211" s="400"/>
      <c r="G211" s="400"/>
      <c r="H211" s="400"/>
      <c r="I211" s="400"/>
      <c r="J211" s="400"/>
      <c r="K211" s="77"/>
      <c r="L211" s="376"/>
      <c r="M211" s="376"/>
      <c r="N211" s="388"/>
      <c r="O211" s="388"/>
      <c r="P211" s="388"/>
      <c r="Q211" s="388"/>
      <c r="R211" s="388"/>
      <c r="S211" s="389"/>
      <c r="T211" s="388"/>
      <c r="U211" s="389"/>
      <c r="V211" s="388"/>
      <c r="W211" s="389"/>
      <c r="X211" s="376"/>
      <c r="Y211" s="390"/>
      <c r="Z211" s="376"/>
      <c r="AA211" s="390"/>
      <c r="AB211" s="376"/>
      <c r="AC211" s="390"/>
      <c r="AD211" s="376"/>
      <c r="AE211" s="390"/>
      <c r="AF211" s="376"/>
      <c r="AG211" s="390"/>
      <c r="AH211" s="390"/>
      <c r="AI211" s="376"/>
      <c r="AJ211" s="390"/>
      <c r="AK211" s="3"/>
      <c r="AL211" s="522">
        <f t="shared" si="35"/>
        <v>0</v>
      </c>
      <c r="AM211" s="44" t="str">
        <f t="shared" si="36"/>
        <v>-</v>
      </c>
      <c r="AQ211" s="588"/>
      <c r="AR211" s="284">
        <f t="shared" si="32"/>
        <v>0</v>
      </c>
      <c r="AS211" s="284">
        <f t="shared" si="33"/>
        <v>0</v>
      </c>
      <c r="AT211" s="284">
        <f t="shared" si="34"/>
        <v>0</v>
      </c>
    </row>
    <row r="212" spans="1:46">
      <c r="A212" s="77"/>
      <c r="B212" s="77"/>
      <c r="C212" s="401"/>
      <c r="D212" s="408"/>
      <c r="E212" s="77"/>
      <c r="F212" s="400"/>
      <c r="G212" s="400"/>
      <c r="H212" s="400"/>
      <c r="I212" s="400"/>
      <c r="J212" s="400"/>
      <c r="K212" s="77"/>
      <c r="L212" s="376"/>
      <c r="M212" s="376"/>
      <c r="N212" s="388"/>
      <c r="O212" s="388"/>
      <c r="P212" s="388"/>
      <c r="Q212" s="388"/>
      <c r="R212" s="388"/>
      <c r="S212" s="389"/>
      <c r="T212" s="388"/>
      <c r="U212" s="389"/>
      <c r="V212" s="388"/>
      <c r="W212" s="389"/>
      <c r="X212" s="376"/>
      <c r="Y212" s="390"/>
      <c r="Z212" s="376"/>
      <c r="AA212" s="390"/>
      <c r="AB212" s="376"/>
      <c r="AC212" s="390"/>
      <c r="AD212" s="376"/>
      <c r="AE212" s="390"/>
      <c r="AF212" s="376"/>
      <c r="AG212" s="390"/>
      <c r="AH212" s="390"/>
      <c r="AI212" s="376"/>
      <c r="AJ212" s="390"/>
      <c r="AK212" s="3"/>
      <c r="AL212" s="522">
        <f t="shared" si="35"/>
        <v>0</v>
      </c>
      <c r="AM212" s="44" t="str">
        <f t="shared" si="36"/>
        <v>-</v>
      </c>
      <c r="AQ212" s="588"/>
      <c r="AR212" s="284">
        <f t="shared" si="32"/>
        <v>0</v>
      </c>
      <c r="AS212" s="284">
        <f t="shared" si="33"/>
        <v>0</v>
      </c>
      <c r="AT212" s="284">
        <f t="shared" si="34"/>
        <v>0</v>
      </c>
    </row>
    <row r="213" spans="1:46">
      <c r="A213" s="77"/>
      <c r="B213" s="77"/>
      <c r="C213" s="401"/>
      <c r="D213" s="408"/>
      <c r="E213" s="77"/>
      <c r="F213" s="400"/>
      <c r="G213" s="400"/>
      <c r="H213" s="400"/>
      <c r="I213" s="400"/>
      <c r="J213" s="400"/>
      <c r="K213" s="77"/>
      <c r="L213" s="376"/>
      <c r="M213" s="376"/>
      <c r="N213" s="388"/>
      <c r="O213" s="388"/>
      <c r="P213" s="388"/>
      <c r="Q213" s="388"/>
      <c r="R213" s="388"/>
      <c r="S213" s="389"/>
      <c r="T213" s="388"/>
      <c r="U213" s="389"/>
      <c r="V213" s="388"/>
      <c r="W213" s="389"/>
      <c r="X213" s="376"/>
      <c r="Y213" s="390"/>
      <c r="Z213" s="376"/>
      <c r="AA213" s="390"/>
      <c r="AB213" s="376"/>
      <c r="AC213" s="390"/>
      <c r="AD213" s="376"/>
      <c r="AE213" s="390"/>
      <c r="AF213" s="376"/>
      <c r="AG213" s="390"/>
      <c r="AH213" s="390"/>
      <c r="AI213" s="376"/>
      <c r="AJ213" s="390"/>
      <c r="AK213" s="3"/>
      <c r="AL213" s="522">
        <f t="shared" si="35"/>
        <v>0</v>
      </c>
      <c r="AM213" s="44" t="str">
        <f t="shared" si="36"/>
        <v>-</v>
      </c>
      <c r="AQ213" s="588"/>
      <c r="AR213" s="284">
        <f t="shared" si="32"/>
        <v>0</v>
      </c>
      <c r="AS213" s="284">
        <f t="shared" si="33"/>
        <v>0</v>
      </c>
      <c r="AT213" s="284">
        <f t="shared" si="34"/>
        <v>0</v>
      </c>
    </row>
    <row r="214" spans="1:46">
      <c r="A214" s="77"/>
      <c r="B214" s="77"/>
      <c r="C214" s="401"/>
      <c r="D214" s="408"/>
      <c r="E214" s="77"/>
      <c r="F214" s="400"/>
      <c r="G214" s="400"/>
      <c r="H214" s="400"/>
      <c r="I214" s="400"/>
      <c r="J214" s="400"/>
      <c r="K214" s="77"/>
      <c r="L214" s="376"/>
      <c r="M214" s="376"/>
      <c r="N214" s="388"/>
      <c r="O214" s="388"/>
      <c r="P214" s="388"/>
      <c r="Q214" s="388"/>
      <c r="R214" s="388"/>
      <c r="S214" s="389"/>
      <c r="T214" s="388"/>
      <c r="U214" s="389"/>
      <c r="V214" s="388"/>
      <c r="W214" s="389"/>
      <c r="X214" s="376"/>
      <c r="Y214" s="390"/>
      <c r="Z214" s="376"/>
      <c r="AA214" s="390"/>
      <c r="AB214" s="376"/>
      <c r="AC214" s="390"/>
      <c r="AD214" s="376"/>
      <c r="AE214" s="390"/>
      <c r="AF214" s="376"/>
      <c r="AG214" s="390"/>
      <c r="AH214" s="390"/>
      <c r="AI214" s="376"/>
      <c r="AJ214" s="390"/>
      <c r="AK214" s="3"/>
      <c r="AL214" s="522">
        <f t="shared" si="35"/>
        <v>0</v>
      </c>
      <c r="AM214" s="44" t="str">
        <f t="shared" si="36"/>
        <v>-</v>
      </c>
      <c r="AQ214" s="588"/>
      <c r="AR214" s="284">
        <f t="shared" si="32"/>
        <v>0</v>
      </c>
      <c r="AS214" s="284">
        <f t="shared" si="33"/>
        <v>0</v>
      </c>
      <c r="AT214" s="284">
        <f t="shared" si="34"/>
        <v>0</v>
      </c>
    </row>
    <row r="215" spans="1:46">
      <c r="A215" s="77"/>
      <c r="B215" s="77"/>
      <c r="C215" s="401"/>
      <c r="D215" s="408"/>
      <c r="E215" s="77"/>
      <c r="F215" s="400"/>
      <c r="G215" s="400"/>
      <c r="H215" s="400"/>
      <c r="I215" s="400"/>
      <c r="J215" s="400"/>
      <c r="K215" s="77"/>
      <c r="L215" s="376"/>
      <c r="M215" s="376"/>
      <c r="N215" s="388"/>
      <c r="O215" s="388"/>
      <c r="P215" s="388"/>
      <c r="Q215" s="388"/>
      <c r="R215" s="388"/>
      <c r="S215" s="389"/>
      <c r="T215" s="388"/>
      <c r="U215" s="389"/>
      <c r="V215" s="388"/>
      <c r="W215" s="389"/>
      <c r="X215" s="376"/>
      <c r="Y215" s="390"/>
      <c r="Z215" s="376"/>
      <c r="AA215" s="390"/>
      <c r="AB215" s="376"/>
      <c r="AC215" s="390"/>
      <c r="AD215" s="376"/>
      <c r="AE215" s="390"/>
      <c r="AF215" s="376"/>
      <c r="AG215" s="390"/>
      <c r="AH215" s="390"/>
      <c r="AI215" s="376"/>
      <c r="AJ215" s="390"/>
      <c r="AK215" s="3"/>
      <c r="AL215" s="522">
        <f t="shared" si="35"/>
        <v>0</v>
      </c>
      <c r="AM215" s="44" t="str">
        <f t="shared" si="36"/>
        <v>-</v>
      </c>
      <c r="AQ215" s="588"/>
      <c r="AR215" s="284">
        <f t="shared" si="32"/>
        <v>0</v>
      </c>
      <c r="AS215" s="284">
        <f t="shared" si="33"/>
        <v>0</v>
      </c>
      <c r="AT215" s="284">
        <f t="shared" si="34"/>
        <v>0</v>
      </c>
    </row>
    <row r="216" spans="1:46">
      <c r="A216" s="77"/>
      <c r="B216" s="77"/>
      <c r="C216" s="401"/>
      <c r="D216" s="408"/>
      <c r="E216" s="77"/>
      <c r="F216" s="400"/>
      <c r="G216" s="400"/>
      <c r="H216" s="400"/>
      <c r="I216" s="400"/>
      <c r="J216" s="400"/>
      <c r="K216" s="77"/>
      <c r="L216" s="376"/>
      <c r="M216" s="376"/>
      <c r="N216" s="388"/>
      <c r="O216" s="388"/>
      <c r="P216" s="388"/>
      <c r="Q216" s="388"/>
      <c r="R216" s="388"/>
      <c r="S216" s="389"/>
      <c r="T216" s="388"/>
      <c r="U216" s="389"/>
      <c r="V216" s="388"/>
      <c r="W216" s="389"/>
      <c r="X216" s="376"/>
      <c r="Y216" s="390"/>
      <c r="Z216" s="376"/>
      <c r="AA216" s="390"/>
      <c r="AB216" s="376"/>
      <c r="AC216" s="390"/>
      <c r="AD216" s="376"/>
      <c r="AE216" s="390"/>
      <c r="AF216" s="376"/>
      <c r="AG216" s="390"/>
      <c r="AH216" s="390"/>
      <c r="AI216" s="376"/>
      <c r="AJ216" s="390"/>
      <c r="AK216" s="3"/>
      <c r="AL216" s="522">
        <f t="shared" si="35"/>
        <v>0</v>
      </c>
      <c r="AM216" s="44" t="str">
        <f t="shared" si="36"/>
        <v>-</v>
      </c>
      <c r="AQ216" s="588"/>
      <c r="AR216" s="284">
        <f t="shared" ref="AR216:AR279" si="37">A216</f>
        <v>0</v>
      </c>
      <c r="AS216" s="284">
        <f t="shared" si="33"/>
        <v>0</v>
      </c>
      <c r="AT216" s="284">
        <f t="shared" si="34"/>
        <v>0</v>
      </c>
    </row>
    <row r="217" spans="1:46">
      <c r="A217" s="77"/>
      <c r="B217" s="77"/>
      <c r="C217" s="401"/>
      <c r="D217" s="408"/>
      <c r="E217" s="77"/>
      <c r="F217" s="400"/>
      <c r="G217" s="400"/>
      <c r="H217" s="400"/>
      <c r="I217" s="400"/>
      <c r="J217" s="400"/>
      <c r="K217" s="77"/>
      <c r="L217" s="376"/>
      <c r="M217" s="376"/>
      <c r="N217" s="388"/>
      <c r="O217" s="388"/>
      <c r="P217" s="388"/>
      <c r="Q217" s="388"/>
      <c r="R217" s="388"/>
      <c r="S217" s="389"/>
      <c r="T217" s="388"/>
      <c r="U217" s="389"/>
      <c r="V217" s="388"/>
      <c r="W217" s="389"/>
      <c r="X217" s="376"/>
      <c r="Y217" s="390"/>
      <c r="Z217" s="376"/>
      <c r="AA217" s="390"/>
      <c r="AB217" s="376"/>
      <c r="AC217" s="390"/>
      <c r="AD217" s="376"/>
      <c r="AE217" s="390"/>
      <c r="AF217" s="376"/>
      <c r="AG217" s="390"/>
      <c r="AH217" s="390"/>
      <c r="AI217" s="376"/>
      <c r="AJ217" s="390"/>
      <c r="AK217" s="3"/>
      <c r="AL217" s="522">
        <f t="shared" si="35"/>
        <v>0</v>
      </c>
      <c r="AM217" s="44" t="str">
        <f t="shared" si="36"/>
        <v>-</v>
      </c>
      <c r="AQ217" s="588"/>
      <c r="AR217" s="284">
        <f t="shared" si="37"/>
        <v>0</v>
      </c>
      <c r="AS217" s="284">
        <f t="shared" si="33"/>
        <v>0</v>
      </c>
      <c r="AT217" s="284">
        <f t="shared" si="34"/>
        <v>0</v>
      </c>
    </row>
    <row r="218" spans="1:46">
      <c r="A218" s="77"/>
      <c r="B218" s="77"/>
      <c r="C218" s="401"/>
      <c r="D218" s="408"/>
      <c r="E218" s="77"/>
      <c r="F218" s="400"/>
      <c r="G218" s="400"/>
      <c r="H218" s="400"/>
      <c r="I218" s="400"/>
      <c r="J218" s="400"/>
      <c r="K218" s="77"/>
      <c r="L218" s="376"/>
      <c r="M218" s="376"/>
      <c r="N218" s="388"/>
      <c r="O218" s="388"/>
      <c r="P218" s="388"/>
      <c r="Q218" s="388"/>
      <c r="R218" s="388"/>
      <c r="S218" s="389"/>
      <c r="T218" s="388"/>
      <c r="U218" s="389"/>
      <c r="V218" s="388"/>
      <c r="W218" s="389"/>
      <c r="X218" s="376"/>
      <c r="Y218" s="390"/>
      <c r="Z218" s="376"/>
      <c r="AA218" s="390"/>
      <c r="AB218" s="376"/>
      <c r="AC218" s="390"/>
      <c r="AD218" s="376"/>
      <c r="AE218" s="390"/>
      <c r="AF218" s="376"/>
      <c r="AG218" s="390"/>
      <c r="AH218" s="390"/>
      <c r="AI218" s="376"/>
      <c r="AJ218" s="390"/>
      <c r="AK218" s="3"/>
      <c r="AL218" s="522">
        <f t="shared" si="35"/>
        <v>0</v>
      </c>
      <c r="AM218" s="44" t="str">
        <f t="shared" si="36"/>
        <v>-</v>
      </c>
      <c r="AQ218" s="588"/>
      <c r="AR218" s="284">
        <f t="shared" si="37"/>
        <v>0</v>
      </c>
      <c r="AS218" s="284">
        <f t="shared" si="33"/>
        <v>0</v>
      </c>
      <c r="AT218" s="284">
        <f t="shared" si="34"/>
        <v>0</v>
      </c>
    </row>
    <row r="219" spans="1:46">
      <c r="A219" s="77"/>
      <c r="B219" s="77"/>
      <c r="C219" s="401"/>
      <c r="D219" s="408"/>
      <c r="E219" s="77"/>
      <c r="F219" s="400"/>
      <c r="G219" s="400"/>
      <c r="H219" s="400"/>
      <c r="I219" s="400"/>
      <c r="J219" s="400"/>
      <c r="K219" s="77"/>
      <c r="L219" s="376"/>
      <c r="M219" s="376"/>
      <c r="N219" s="388"/>
      <c r="O219" s="388"/>
      <c r="P219" s="388"/>
      <c r="Q219" s="388"/>
      <c r="R219" s="388"/>
      <c r="S219" s="389"/>
      <c r="T219" s="388"/>
      <c r="U219" s="389"/>
      <c r="V219" s="388"/>
      <c r="W219" s="389"/>
      <c r="X219" s="376"/>
      <c r="Y219" s="390"/>
      <c r="Z219" s="376"/>
      <c r="AA219" s="390"/>
      <c r="AB219" s="376"/>
      <c r="AC219" s="390"/>
      <c r="AD219" s="376"/>
      <c r="AE219" s="390"/>
      <c r="AF219" s="376"/>
      <c r="AG219" s="390"/>
      <c r="AH219" s="390"/>
      <c r="AI219" s="376"/>
      <c r="AJ219" s="390"/>
      <c r="AK219" s="3"/>
      <c r="AL219" s="522">
        <f t="shared" si="35"/>
        <v>0</v>
      </c>
      <c r="AM219" s="44" t="str">
        <f t="shared" si="36"/>
        <v>-</v>
      </c>
      <c r="AQ219" s="588"/>
      <c r="AR219" s="284">
        <f t="shared" si="37"/>
        <v>0</v>
      </c>
      <c r="AS219" s="284">
        <f t="shared" si="33"/>
        <v>0</v>
      </c>
      <c r="AT219" s="284">
        <f t="shared" si="34"/>
        <v>0</v>
      </c>
    </row>
    <row r="220" spans="1:46">
      <c r="A220" s="77"/>
      <c r="B220" s="77"/>
      <c r="C220" s="401"/>
      <c r="D220" s="408"/>
      <c r="E220" s="77"/>
      <c r="F220" s="400"/>
      <c r="G220" s="400"/>
      <c r="H220" s="400"/>
      <c r="I220" s="400"/>
      <c r="J220" s="400"/>
      <c r="K220" s="77"/>
      <c r="L220" s="376"/>
      <c r="M220" s="376"/>
      <c r="N220" s="388"/>
      <c r="O220" s="388"/>
      <c r="P220" s="388"/>
      <c r="Q220" s="388"/>
      <c r="R220" s="388"/>
      <c r="S220" s="389"/>
      <c r="T220" s="388"/>
      <c r="U220" s="389"/>
      <c r="V220" s="388"/>
      <c r="W220" s="389"/>
      <c r="X220" s="376"/>
      <c r="Y220" s="390"/>
      <c r="Z220" s="376"/>
      <c r="AA220" s="390"/>
      <c r="AB220" s="376"/>
      <c r="AC220" s="390"/>
      <c r="AD220" s="376"/>
      <c r="AE220" s="390"/>
      <c r="AF220" s="376"/>
      <c r="AG220" s="390"/>
      <c r="AH220" s="390"/>
      <c r="AI220" s="376"/>
      <c r="AJ220" s="390"/>
      <c r="AK220" s="3"/>
      <c r="AL220" s="522">
        <f t="shared" si="35"/>
        <v>0</v>
      </c>
      <c r="AM220" s="44" t="str">
        <f t="shared" si="36"/>
        <v>-</v>
      </c>
      <c r="AQ220" s="588"/>
      <c r="AR220" s="284">
        <f t="shared" si="37"/>
        <v>0</v>
      </c>
      <c r="AS220" s="284">
        <f t="shared" si="33"/>
        <v>0</v>
      </c>
      <c r="AT220" s="284">
        <f t="shared" si="34"/>
        <v>0</v>
      </c>
    </row>
    <row r="221" spans="1:46">
      <c r="A221" s="77"/>
      <c r="B221" s="77"/>
      <c r="C221" s="401"/>
      <c r="D221" s="408"/>
      <c r="E221" s="77"/>
      <c r="F221" s="400"/>
      <c r="G221" s="400"/>
      <c r="H221" s="400"/>
      <c r="I221" s="400"/>
      <c r="J221" s="400"/>
      <c r="K221" s="77"/>
      <c r="L221" s="376"/>
      <c r="M221" s="376"/>
      <c r="N221" s="388"/>
      <c r="O221" s="388"/>
      <c r="P221" s="388"/>
      <c r="Q221" s="388"/>
      <c r="R221" s="388"/>
      <c r="S221" s="389"/>
      <c r="T221" s="388"/>
      <c r="U221" s="389"/>
      <c r="V221" s="388"/>
      <c r="W221" s="389"/>
      <c r="X221" s="376"/>
      <c r="Y221" s="390"/>
      <c r="Z221" s="376"/>
      <c r="AA221" s="390"/>
      <c r="AB221" s="376"/>
      <c r="AC221" s="390"/>
      <c r="AD221" s="376"/>
      <c r="AE221" s="390"/>
      <c r="AF221" s="376"/>
      <c r="AG221" s="390"/>
      <c r="AH221" s="390"/>
      <c r="AI221" s="376"/>
      <c r="AJ221" s="390"/>
      <c r="AK221" s="3"/>
      <c r="AL221" s="522">
        <f t="shared" si="35"/>
        <v>0</v>
      </c>
      <c r="AM221" s="44" t="str">
        <f t="shared" si="36"/>
        <v>-</v>
      </c>
      <c r="AQ221" s="588"/>
      <c r="AR221" s="284">
        <f t="shared" si="37"/>
        <v>0</v>
      </c>
      <c r="AS221" s="284">
        <f t="shared" si="33"/>
        <v>0</v>
      </c>
      <c r="AT221" s="284">
        <f t="shared" si="34"/>
        <v>0</v>
      </c>
    </row>
    <row r="222" spans="1:46">
      <c r="A222" s="77"/>
      <c r="B222" s="77"/>
      <c r="C222" s="401"/>
      <c r="D222" s="408"/>
      <c r="E222" s="77"/>
      <c r="F222" s="400"/>
      <c r="G222" s="400"/>
      <c r="H222" s="400"/>
      <c r="I222" s="400"/>
      <c r="J222" s="400"/>
      <c r="K222" s="77"/>
      <c r="L222" s="376"/>
      <c r="M222" s="376"/>
      <c r="N222" s="388"/>
      <c r="O222" s="388"/>
      <c r="P222" s="388"/>
      <c r="Q222" s="388"/>
      <c r="R222" s="388"/>
      <c r="S222" s="389"/>
      <c r="T222" s="388"/>
      <c r="U222" s="389"/>
      <c r="V222" s="388"/>
      <c r="W222" s="389"/>
      <c r="X222" s="376"/>
      <c r="Y222" s="390"/>
      <c r="Z222" s="376"/>
      <c r="AA222" s="390"/>
      <c r="AB222" s="376"/>
      <c r="AC222" s="390"/>
      <c r="AD222" s="376"/>
      <c r="AE222" s="390"/>
      <c r="AF222" s="376"/>
      <c r="AG222" s="390"/>
      <c r="AH222" s="390"/>
      <c r="AI222" s="376"/>
      <c r="AJ222" s="390"/>
      <c r="AK222" s="3"/>
      <c r="AL222" s="522">
        <f t="shared" si="35"/>
        <v>0</v>
      </c>
      <c r="AM222" s="44" t="str">
        <f t="shared" si="36"/>
        <v>-</v>
      </c>
      <c r="AQ222" s="588"/>
      <c r="AR222" s="284">
        <f t="shared" si="37"/>
        <v>0</v>
      </c>
      <c r="AS222" s="284">
        <f t="shared" si="33"/>
        <v>0</v>
      </c>
      <c r="AT222" s="284">
        <f t="shared" si="34"/>
        <v>0</v>
      </c>
    </row>
    <row r="223" spans="1:46">
      <c r="A223" s="77"/>
      <c r="B223" s="77"/>
      <c r="C223" s="401"/>
      <c r="D223" s="408"/>
      <c r="E223" s="77"/>
      <c r="F223" s="400"/>
      <c r="G223" s="400"/>
      <c r="H223" s="400"/>
      <c r="I223" s="400"/>
      <c r="J223" s="400"/>
      <c r="K223" s="77"/>
      <c r="L223" s="376"/>
      <c r="M223" s="376"/>
      <c r="N223" s="388"/>
      <c r="O223" s="388"/>
      <c r="P223" s="388"/>
      <c r="Q223" s="388"/>
      <c r="R223" s="388"/>
      <c r="S223" s="389"/>
      <c r="T223" s="388"/>
      <c r="U223" s="389"/>
      <c r="V223" s="388"/>
      <c r="W223" s="389"/>
      <c r="X223" s="376"/>
      <c r="Y223" s="390"/>
      <c r="Z223" s="376"/>
      <c r="AA223" s="390"/>
      <c r="AB223" s="376"/>
      <c r="AC223" s="390"/>
      <c r="AD223" s="376"/>
      <c r="AE223" s="390"/>
      <c r="AF223" s="376"/>
      <c r="AG223" s="390"/>
      <c r="AH223" s="390"/>
      <c r="AI223" s="376"/>
      <c r="AJ223" s="390"/>
      <c r="AK223" s="3"/>
      <c r="AL223" s="522">
        <f t="shared" si="35"/>
        <v>0</v>
      </c>
      <c r="AM223" s="44" t="str">
        <f t="shared" si="36"/>
        <v>-</v>
      </c>
      <c r="AQ223" s="588"/>
      <c r="AR223" s="284">
        <f t="shared" si="37"/>
        <v>0</v>
      </c>
      <c r="AS223" s="284">
        <f t="shared" si="33"/>
        <v>0</v>
      </c>
      <c r="AT223" s="284">
        <f t="shared" si="34"/>
        <v>0</v>
      </c>
    </row>
    <row r="224" spans="1:46">
      <c r="A224" s="77"/>
      <c r="B224" s="77"/>
      <c r="C224" s="401"/>
      <c r="D224" s="408"/>
      <c r="E224" s="77"/>
      <c r="F224" s="400"/>
      <c r="G224" s="400"/>
      <c r="H224" s="400"/>
      <c r="I224" s="400"/>
      <c r="J224" s="400"/>
      <c r="K224" s="77"/>
      <c r="L224" s="376"/>
      <c r="M224" s="376"/>
      <c r="N224" s="388"/>
      <c r="O224" s="388"/>
      <c r="P224" s="388"/>
      <c r="Q224" s="388"/>
      <c r="R224" s="388"/>
      <c r="S224" s="389"/>
      <c r="T224" s="388"/>
      <c r="U224" s="389"/>
      <c r="V224" s="388"/>
      <c r="W224" s="389"/>
      <c r="X224" s="376"/>
      <c r="Y224" s="390"/>
      <c r="Z224" s="376"/>
      <c r="AA224" s="390"/>
      <c r="AB224" s="376"/>
      <c r="AC224" s="390"/>
      <c r="AD224" s="376"/>
      <c r="AE224" s="390"/>
      <c r="AF224" s="376"/>
      <c r="AG224" s="390"/>
      <c r="AH224" s="390"/>
      <c r="AI224" s="376"/>
      <c r="AJ224" s="390"/>
      <c r="AK224" s="3"/>
      <c r="AL224" s="522">
        <f t="shared" si="35"/>
        <v>0</v>
      </c>
      <c r="AM224" s="44" t="str">
        <f t="shared" si="36"/>
        <v>-</v>
      </c>
      <c r="AQ224" s="588"/>
      <c r="AR224" s="284">
        <f t="shared" si="37"/>
        <v>0</v>
      </c>
      <c r="AS224" s="284">
        <f t="shared" si="33"/>
        <v>0</v>
      </c>
      <c r="AT224" s="284">
        <f t="shared" si="34"/>
        <v>0</v>
      </c>
    </row>
    <row r="225" spans="1:46">
      <c r="A225" s="77"/>
      <c r="B225" s="77"/>
      <c r="C225" s="401"/>
      <c r="D225" s="408"/>
      <c r="E225" s="77"/>
      <c r="F225" s="400"/>
      <c r="G225" s="400"/>
      <c r="H225" s="400"/>
      <c r="I225" s="400"/>
      <c r="J225" s="400"/>
      <c r="K225" s="77"/>
      <c r="L225" s="376"/>
      <c r="M225" s="376"/>
      <c r="N225" s="388"/>
      <c r="O225" s="388"/>
      <c r="P225" s="388"/>
      <c r="Q225" s="388"/>
      <c r="R225" s="388"/>
      <c r="S225" s="389"/>
      <c r="T225" s="388"/>
      <c r="U225" s="389"/>
      <c r="V225" s="388"/>
      <c r="W225" s="389"/>
      <c r="X225" s="376"/>
      <c r="Y225" s="390"/>
      <c r="Z225" s="376"/>
      <c r="AA225" s="390"/>
      <c r="AB225" s="376"/>
      <c r="AC225" s="390"/>
      <c r="AD225" s="376"/>
      <c r="AE225" s="390"/>
      <c r="AF225" s="376"/>
      <c r="AG225" s="390"/>
      <c r="AH225" s="390"/>
      <c r="AI225" s="376"/>
      <c r="AJ225" s="390"/>
      <c r="AK225" s="3"/>
      <c r="AL225" s="522">
        <f t="shared" si="35"/>
        <v>0</v>
      </c>
      <c r="AM225" s="44" t="str">
        <f t="shared" si="36"/>
        <v>-</v>
      </c>
      <c r="AQ225" s="588"/>
      <c r="AR225" s="284">
        <f t="shared" si="37"/>
        <v>0</v>
      </c>
      <c r="AS225" s="284">
        <f t="shared" si="33"/>
        <v>0</v>
      </c>
      <c r="AT225" s="284">
        <f t="shared" si="34"/>
        <v>0</v>
      </c>
    </row>
    <row r="226" spans="1:46">
      <c r="A226" s="77"/>
      <c r="B226" s="77"/>
      <c r="C226" s="401"/>
      <c r="D226" s="408"/>
      <c r="E226" s="77"/>
      <c r="F226" s="400"/>
      <c r="G226" s="400"/>
      <c r="H226" s="400"/>
      <c r="I226" s="400"/>
      <c r="J226" s="400"/>
      <c r="K226" s="77"/>
      <c r="L226" s="376"/>
      <c r="M226" s="376"/>
      <c r="N226" s="388"/>
      <c r="O226" s="388"/>
      <c r="P226" s="388"/>
      <c r="Q226" s="388"/>
      <c r="R226" s="388"/>
      <c r="S226" s="389"/>
      <c r="T226" s="388"/>
      <c r="U226" s="389"/>
      <c r="V226" s="388"/>
      <c r="W226" s="389"/>
      <c r="X226" s="376"/>
      <c r="Y226" s="390"/>
      <c r="Z226" s="376"/>
      <c r="AA226" s="390"/>
      <c r="AB226" s="376"/>
      <c r="AC226" s="390"/>
      <c r="AD226" s="376"/>
      <c r="AE226" s="390"/>
      <c r="AF226" s="376"/>
      <c r="AG226" s="390"/>
      <c r="AH226" s="390"/>
      <c r="AI226" s="376"/>
      <c r="AJ226" s="390"/>
      <c r="AK226" s="3"/>
      <c r="AL226" s="522">
        <f t="shared" si="35"/>
        <v>0</v>
      </c>
      <c r="AM226" s="44" t="str">
        <f t="shared" si="36"/>
        <v>-</v>
      </c>
      <c r="AQ226" s="588"/>
      <c r="AR226" s="284">
        <f t="shared" si="37"/>
        <v>0</v>
      </c>
      <c r="AS226" s="284">
        <f t="shared" ref="AS226:AS287" si="38">B226</f>
        <v>0</v>
      </c>
      <c r="AT226" s="284">
        <f t="shared" ref="AT226:AT287" si="39">E226</f>
        <v>0</v>
      </c>
    </row>
    <row r="227" spans="1:46">
      <c r="A227" s="77"/>
      <c r="B227" s="77"/>
      <c r="C227" s="401"/>
      <c r="D227" s="408"/>
      <c r="E227" s="77"/>
      <c r="F227" s="400"/>
      <c r="G227" s="400"/>
      <c r="H227" s="400"/>
      <c r="I227" s="400"/>
      <c r="J227" s="400"/>
      <c r="K227" s="77"/>
      <c r="L227" s="376"/>
      <c r="M227" s="376"/>
      <c r="N227" s="388"/>
      <c r="O227" s="388"/>
      <c r="P227" s="388"/>
      <c r="Q227" s="388"/>
      <c r="R227" s="388"/>
      <c r="S227" s="389"/>
      <c r="T227" s="388"/>
      <c r="U227" s="389"/>
      <c r="V227" s="388"/>
      <c r="W227" s="389"/>
      <c r="X227" s="376"/>
      <c r="Y227" s="390"/>
      <c r="Z227" s="376"/>
      <c r="AA227" s="390"/>
      <c r="AB227" s="376"/>
      <c r="AC227" s="390"/>
      <c r="AD227" s="376"/>
      <c r="AE227" s="390"/>
      <c r="AF227" s="376"/>
      <c r="AG227" s="390"/>
      <c r="AH227" s="390"/>
      <c r="AI227" s="376"/>
      <c r="AJ227" s="390"/>
      <c r="AK227" s="3"/>
      <c r="AL227" s="522">
        <f t="shared" si="35"/>
        <v>0</v>
      </c>
      <c r="AM227" s="44" t="str">
        <f t="shared" si="36"/>
        <v>-</v>
      </c>
      <c r="AQ227" s="588"/>
      <c r="AR227" s="284">
        <f t="shared" si="37"/>
        <v>0</v>
      </c>
      <c r="AS227" s="284">
        <f t="shared" si="38"/>
        <v>0</v>
      </c>
      <c r="AT227" s="284">
        <f t="shared" si="39"/>
        <v>0</v>
      </c>
    </row>
    <row r="228" spans="1:46">
      <c r="A228" s="77"/>
      <c r="B228" s="77"/>
      <c r="C228" s="401"/>
      <c r="D228" s="408"/>
      <c r="E228" s="77"/>
      <c r="F228" s="400"/>
      <c r="G228" s="400"/>
      <c r="H228" s="400"/>
      <c r="I228" s="400"/>
      <c r="J228" s="400"/>
      <c r="K228" s="77"/>
      <c r="L228" s="376"/>
      <c r="M228" s="376"/>
      <c r="N228" s="388"/>
      <c r="O228" s="388"/>
      <c r="P228" s="388"/>
      <c r="Q228" s="388"/>
      <c r="R228" s="388"/>
      <c r="S228" s="389"/>
      <c r="T228" s="388"/>
      <c r="U228" s="389"/>
      <c r="V228" s="388"/>
      <c r="W228" s="389"/>
      <c r="X228" s="376"/>
      <c r="Y228" s="390"/>
      <c r="Z228" s="376"/>
      <c r="AA228" s="390"/>
      <c r="AB228" s="376"/>
      <c r="AC228" s="390"/>
      <c r="AD228" s="950">
        <v>45584.557164351849</v>
      </c>
      <c r="AE228" s="390"/>
      <c r="AF228" s="376"/>
      <c r="AG228" s="390"/>
      <c r="AH228" s="390"/>
      <c r="AI228" s="376"/>
      <c r="AJ228" s="390"/>
      <c r="AK228" s="3"/>
      <c r="AL228" s="522">
        <f t="shared" si="35"/>
        <v>0</v>
      </c>
      <c r="AM228" s="44" t="str">
        <f t="shared" si="36"/>
        <v>-</v>
      </c>
      <c r="AQ228" s="588"/>
      <c r="AR228" s="284">
        <f t="shared" si="37"/>
        <v>0</v>
      </c>
      <c r="AS228" s="284">
        <f t="shared" si="38"/>
        <v>0</v>
      </c>
      <c r="AT228" s="284">
        <f t="shared" si="39"/>
        <v>0</v>
      </c>
    </row>
    <row r="229" spans="1:46">
      <c r="A229" s="77"/>
      <c r="B229" s="77"/>
      <c r="C229" s="401"/>
      <c r="D229" s="408"/>
      <c r="E229" s="77"/>
      <c r="F229" s="400"/>
      <c r="G229" s="400"/>
      <c r="H229" s="400"/>
      <c r="I229" s="400"/>
      <c r="J229" s="400"/>
      <c r="K229" s="77"/>
      <c r="L229" s="376"/>
      <c r="M229" s="376"/>
      <c r="N229" s="388"/>
      <c r="O229" s="388"/>
      <c r="P229" s="388"/>
      <c r="Q229" s="388"/>
      <c r="R229" s="388"/>
      <c r="S229" s="389"/>
      <c r="T229" s="388"/>
      <c r="U229" s="389"/>
      <c r="V229" s="388"/>
      <c r="W229" s="389"/>
      <c r="X229" s="376"/>
      <c r="Y229" s="390"/>
      <c r="Z229" s="376"/>
      <c r="AA229" s="390"/>
      <c r="AB229" s="376"/>
      <c r="AC229" s="390"/>
      <c r="AD229" s="950">
        <v>45593.618530092594</v>
      </c>
      <c r="AE229" s="390"/>
      <c r="AF229" s="376"/>
      <c r="AG229" s="390"/>
      <c r="AH229" s="390"/>
      <c r="AI229" s="376"/>
      <c r="AJ229" s="390"/>
      <c r="AK229" s="3"/>
      <c r="AL229" s="522">
        <f t="shared" si="35"/>
        <v>0</v>
      </c>
      <c r="AM229" s="44" t="str">
        <f t="shared" si="36"/>
        <v>-</v>
      </c>
      <c r="AQ229" s="588"/>
      <c r="AR229" s="284">
        <f t="shared" si="37"/>
        <v>0</v>
      </c>
      <c r="AS229" s="284">
        <f t="shared" si="38"/>
        <v>0</v>
      </c>
      <c r="AT229" s="284">
        <f t="shared" si="39"/>
        <v>0</v>
      </c>
    </row>
    <row r="230" spans="1:46">
      <c r="A230" s="77"/>
      <c r="B230" s="77"/>
      <c r="C230" s="401"/>
      <c r="D230" s="408"/>
      <c r="E230" s="77"/>
      <c r="F230" s="400"/>
      <c r="G230" s="400"/>
      <c r="H230" s="400"/>
      <c r="I230" s="400"/>
      <c r="J230" s="400"/>
      <c r="K230" s="77"/>
      <c r="L230" s="376"/>
      <c r="M230" s="376"/>
      <c r="N230" s="388"/>
      <c r="O230" s="388"/>
      <c r="P230" s="388"/>
      <c r="Q230" s="388"/>
      <c r="R230" s="388"/>
      <c r="S230" s="389"/>
      <c r="T230" s="388"/>
      <c r="U230" s="389"/>
      <c r="V230" s="388"/>
      <c r="W230" s="389"/>
      <c r="X230" s="376"/>
      <c r="Y230" s="390"/>
      <c r="Z230" s="376"/>
      <c r="AA230" s="390"/>
      <c r="AB230" s="376"/>
      <c r="AC230" s="390"/>
      <c r="AD230" s="376"/>
      <c r="AE230" s="390"/>
      <c r="AF230" s="376"/>
      <c r="AG230" s="390"/>
      <c r="AH230" s="390"/>
      <c r="AI230" s="376"/>
      <c r="AJ230" s="390"/>
      <c r="AK230" s="3"/>
      <c r="AL230" s="522">
        <f t="shared" si="35"/>
        <v>0</v>
      </c>
      <c r="AM230" s="44" t="str">
        <f t="shared" si="36"/>
        <v>-</v>
      </c>
      <c r="AQ230" s="588"/>
      <c r="AR230" s="284">
        <f t="shared" si="37"/>
        <v>0</v>
      </c>
      <c r="AS230" s="284">
        <f t="shared" si="38"/>
        <v>0</v>
      </c>
      <c r="AT230" s="284">
        <f t="shared" si="39"/>
        <v>0</v>
      </c>
    </row>
    <row r="231" spans="1:46">
      <c r="A231" s="77"/>
      <c r="B231" s="77"/>
      <c r="C231" s="401"/>
      <c r="D231" s="408"/>
      <c r="E231" s="77"/>
      <c r="F231" s="400"/>
      <c r="G231" s="400"/>
      <c r="H231" s="400"/>
      <c r="I231" s="400"/>
      <c r="J231" s="400"/>
      <c r="K231" s="77"/>
      <c r="L231" s="376"/>
      <c r="M231" s="376"/>
      <c r="N231" s="388"/>
      <c r="O231" s="388"/>
      <c r="P231" s="388"/>
      <c r="Q231" s="388"/>
      <c r="R231" s="388"/>
      <c r="S231" s="389"/>
      <c r="T231" s="388"/>
      <c r="U231" s="389"/>
      <c r="V231" s="388"/>
      <c r="W231" s="389"/>
      <c r="X231" s="376"/>
      <c r="Y231" s="390"/>
      <c r="Z231" s="376"/>
      <c r="AA231" s="390"/>
      <c r="AB231" s="376"/>
      <c r="AC231" s="390"/>
      <c r="AD231" s="376"/>
      <c r="AE231" s="390"/>
      <c r="AF231" s="376"/>
      <c r="AG231" s="390"/>
      <c r="AH231" s="390"/>
      <c r="AI231" s="376"/>
      <c r="AJ231" s="390"/>
      <c r="AK231" s="3"/>
      <c r="AL231" s="522">
        <f t="shared" si="35"/>
        <v>0</v>
      </c>
      <c r="AM231" s="44" t="str">
        <f t="shared" si="36"/>
        <v>-</v>
      </c>
      <c r="AQ231" s="588"/>
      <c r="AR231" s="284">
        <f t="shared" si="37"/>
        <v>0</v>
      </c>
      <c r="AS231" s="284">
        <f t="shared" si="38"/>
        <v>0</v>
      </c>
      <c r="AT231" s="284">
        <f t="shared" si="39"/>
        <v>0</v>
      </c>
    </row>
    <row r="232" spans="1:46">
      <c r="A232" s="77"/>
      <c r="B232" s="77"/>
      <c r="C232" s="401"/>
      <c r="D232" s="408"/>
      <c r="E232" s="77"/>
      <c r="F232" s="400"/>
      <c r="G232" s="400"/>
      <c r="H232" s="400"/>
      <c r="I232" s="400"/>
      <c r="J232" s="400"/>
      <c r="K232" s="77"/>
      <c r="L232" s="376"/>
      <c r="M232" s="376"/>
      <c r="N232" s="388"/>
      <c r="O232" s="388"/>
      <c r="P232" s="388"/>
      <c r="Q232" s="388"/>
      <c r="R232" s="388"/>
      <c r="S232" s="389"/>
      <c r="T232" s="388"/>
      <c r="U232" s="389"/>
      <c r="V232" s="388"/>
      <c r="W232" s="389"/>
      <c r="X232" s="376"/>
      <c r="Y232" s="390"/>
      <c r="Z232" s="376"/>
      <c r="AA232" s="390"/>
      <c r="AB232" s="376"/>
      <c r="AC232" s="390"/>
      <c r="AD232" s="950">
        <v>45626.496122685188</v>
      </c>
      <c r="AE232" s="390"/>
      <c r="AF232" s="376"/>
      <c r="AG232" s="390"/>
      <c r="AH232" s="390"/>
      <c r="AI232" s="376"/>
      <c r="AJ232" s="390"/>
      <c r="AK232" s="3"/>
      <c r="AL232" s="522">
        <f t="shared" si="35"/>
        <v>0</v>
      </c>
      <c r="AM232" s="44" t="str">
        <f t="shared" si="36"/>
        <v>-</v>
      </c>
      <c r="AQ232" s="588"/>
      <c r="AR232" s="284">
        <f t="shared" si="37"/>
        <v>0</v>
      </c>
      <c r="AS232" s="284">
        <f t="shared" si="38"/>
        <v>0</v>
      </c>
      <c r="AT232" s="284">
        <f t="shared" si="39"/>
        <v>0</v>
      </c>
    </row>
    <row r="233" spans="1:46">
      <c r="A233" s="77"/>
      <c r="B233" s="77"/>
      <c r="C233" s="401"/>
      <c r="D233" s="408"/>
      <c r="E233" s="77"/>
      <c r="F233" s="400"/>
      <c r="G233" s="400"/>
      <c r="H233" s="400"/>
      <c r="I233" s="400"/>
      <c r="J233" s="400"/>
      <c r="K233" s="77"/>
      <c r="L233" s="376"/>
      <c r="M233" s="376"/>
      <c r="N233" s="388"/>
      <c r="O233" s="388"/>
      <c r="P233" s="388"/>
      <c r="Q233" s="388"/>
      <c r="R233" s="388"/>
      <c r="S233" s="389"/>
      <c r="T233" s="388"/>
      <c r="U233" s="389"/>
      <c r="V233" s="388"/>
      <c r="W233" s="389"/>
      <c r="X233" s="376"/>
      <c r="Y233" s="390"/>
      <c r="Z233" s="376"/>
      <c r="AA233" s="390"/>
      <c r="AB233" s="376"/>
      <c r="AC233" s="390"/>
      <c r="AD233" s="376"/>
      <c r="AE233" s="390"/>
      <c r="AF233" s="376"/>
      <c r="AG233" s="390"/>
      <c r="AH233" s="390"/>
      <c r="AI233" s="376"/>
      <c r="AJ233" s="390"/>
      <c r="AK233" s="3"/>
      <c r="AL233" s="522">
        <f t="shared" si="35"/>
        <v>0</v>
      </c>
      <c r="AM233" s="44" t="str">
        <f t="shared" si="36"/>
        <v>-</v>
      </c>
      <c r="AQ233" s="588"/>
      <c r="AR233" s="284">
        <f t="shared" si="37"/>
        <v>0</v>
      </c>
      <c r="AS233" s="284">
        <f t="shared" si="38"/>
        <v>0</v>
      </c>
      <c r="AT233" s="284">
        <f t="shared" si="39"/>
        <v>0</v>
      </c>
    </row>
    <row r="234" spans="1:46">
      <c r="A234" s="77"/>
      <c r="B234" s="77"/>
      <c r="C234" s="401"/>
      <c r="D234" s="408"/>
      <c r="E234" s="77"/>
      <c r="F234" s="400"/>
      <c r="G234" s="400"/>
      <c r="H234" s="400"/>
      <c r="I234" s="400"/>
      <c r="J234" s="400"/>
      <c r="K234" s="77"/>
      <c r="L234" s="376"/>
      <c r="M234" s="376"/>
      <c r="N234" s="388"/>
      <c r="O234" s="388"/>
      <c r="P234" s="388"/>
      <c r="Q234" s="388"/>
      <c r="R234" s="388"/>
      <c r="S234" s="389"/>
      <c r="T234" s="388"/>
      <c r="U234" s="389"/>
      <c r="V234" s="388"/>
      <c r="W234" s="389"/>
      <c r="X234" s="376"/>
      <c r="Y234" s="390"/>
      <c r="Z234" s="376"/>
      <c r="AA234" s="390"/>
      <c r="AB234" s="376"/>
      <c r="AC234" s="390"/>
      <c r="AD234" s="376"/>
      <c r="AE234" s="390"/>
      <c r="AF234" s="376"/>
      <c r="AG234" s="390"/>
      <c r="AH234" s="390"/>
      <c r="AI234" s="376"/>
      <c r="AJ234" s="390"/>
      <c r="AK234" s="3"/>
      <c r="AL234" s="522">
        <f t="shared" si="35"/>
        <v>0</v>
      </c>
      <c r="AM234" s="44" t="str">
        <f t="shared" si="36"/>
        <v>-</v>
      </c>
      <c r="AQ234" s="588"/>
      <c r="AR234" s="284">
        <f t="shared" si="37"/>
        <v>0</v>
      </c>
      <c r="AS234" s="284">
        <f t="shared" si="38"/>
        <v>0</v>
      </c>
      <c r="AT234" s="284">
        <f t="shared" si="39"/>
        <v>0</v>
      </c>
    </row>
    <row r="235" spans="1:46">
      <c r="A235" s="77"/>
      <c r="B235" s="77"/>
      <c r="C235" s="401"/>
      <c r="D235" s="408"/>
      <c r="E235" s="77"/>
      <c r="F235" s="400"/>
      <c r="G235" s="400"/>
      <c r="H235" s="400"/>
      <c r="I235" s="400"/>
      <c r="J235" s="400"/>
      <c r="K235" s="77"/>
      <c r="L235" s="376"/>
      <c r="M235" s="376"/>
      <c r="N235" s="388"/>
      <c r="O235" s="388"/>
      <c r="P235" s="388"/>
      <c r="Q235" s="388"/>
      <c r="R235" s="388"/>
      <c r="S235" s="389"/>
      <c r="T235" s="388"/>
      <c r="U235" s="389"/>
      <c r="V235" s="388"/>
      <c r="W235" s="389"/>
      <c r="X235" s="376"/>
      <c r="Y235" s="390"/>
      <c r="Z235" s="376"/>
      <c r="AA235" s="390"/>
      <c r="AB235" s="376"/>
      <c r="AC235" s="390"/>
      <c r="AD235" s="376"/>
      <c r="AE235" s="390"/>
      <c r="AF235" s="376"/>
      <c r="AG235" s="390"/>
      <c r="AH235" s="390"/>
      <c r="AI235" s="376"/>
      <c r="AJ235" s="390"/>
      <c r="AK235" s="3"/>
      <c r="AL235" s="522">
        <f t="shared" si="35"/>
        <v>0</v>
      </c>
      <c r="AM235" s="44" t="str">
        <f t="shared" si="36"/>
        <v>-</v>
      </c>
      <c r="AQ235" s="588"/>
      <c r="AR235" s="284">
        <f t="shared" si="37"/>
        <v>0</v>
      </c>
      <c r="AS235" s="284">
        <f t="shared" si="38"/>
        <v>0</v>
      </c>
      <c r="AT235" s="284">
        <f t="shared" si="39"/>
        <v>0</v>
      </c>
    </row>
    <row r="236" spans="1:46">
      <c r="A236" s="77"/>
      <c r="B236" s="77"/>
      <c r="C236" s="401"/>
      <c r="D236" s="408"/>
      <c r="E236" s="77"/>
      <c r="F236" s="400"/>
      <c r="G236" s="400"/>
      <c r="H236" s="400"/>
      <c r="I236" s="400"/>
      <c r="J236" s="400"/>
      <c r="K236" s="77"/>
      <c r="L236" s="376"/>
      <c r="M236" s="376"/>
      <c r="N236" s="388"/>
      <c r="O236" s="388"/>
      <c r="P236" s="388"/>
      <c r="Q236" s="388"/>
      <c r="R236" s="388"/>
      <c r="S236" s="389"/>
      <c r="T236" s="388"/>
      <c r="U236" s="389"/>
      <c r="V236" s="388"/>
      <c r="W236" s="389"/>
      <c r="X236" s="376"/>
      <c r="Y236" s="390"/>
      <c r="Z236" s="376"/>
      <c r="AA236" s="390"/>
      <c r="AB236" s="376"/>
      <c r="AC236" s="390"/>
      <c r="AD236" s="376"/>
      <c r="AE236" s="390"/>
      <c r="AF236" s="376"/>
      <c r="AG236" s="390"/>
      <c r="AH236" s="390"/>
      <c r="AI236" s="376"/>
      <c r="AJ236" s="390"/>
      <c r="AK236" s="3"/>
      <c r="AL236" s="522">
        <f t="shared" si="35"/>
        <v>0</v>
      </c>
      <c r="AM236" s="44" t="str">
        <f t="shared" si="36"/>
        <v>-</v>
      </c>
      <c r="AQ236" s="588"/>
      <c r="AR236" s="284">
        <f t="shared" si="37"/>
        <v>0</v>
      </c>
      <c r="AS236" s="284">
        <f t="shared" si="38"/>
        <v>0</v>
      </c>
      <c r="AT236" s="284">
        <f t="shared" si="39"/>
        <v>0</v>
      </c>
    </row>
    <row r="237" spans="1:46">
      <c r="A237" s="77"/>
      <c r="B237" s="77"/>
      <c r="C237" s="401"/>
      <c r="D237" s="408"/>
      <c r="E237" s="77"/>
      <c r="F237" s="400"/>
      <c r="G237" s="400"/>
      <c r="H237" s="400"/>
      <c r="I237" s="400"/>
      <c r="J237" s="400"/>
      <c r="K237" s="77"/>
      <c r="L237" s="376"/>
      <c r="M237" s="376"/>
      <c r="N237" s="388"/>
      <c r="O237" s="388"/>
      <c r="P237" s="388"/>
      <c r="Q237" s="388"/>
      <c r="R237" s="388"/>
      <c r="S237" s="389"/>
      <c r="T237" s="388"/>
      <c r="U237" s="389"/>
      <c r="V237" s="388"/>
      <c r="W237" s="389"/>
      <c r="X237" s="376"/>
      <c r="Y237" s="390"/>
      <c r="Z237" s="376"/>
      <c r="AA237" s="390"/>
      <c r="AB237" s="376"/>
      <c r="AC237" s="390"/>
      <c r="AD237" s="376"/>
      <c r="AE237" s="390"/>
      <c r="AF237" s="376"/>
      <c r="AG237" s="390"/>
      <c r="AH237" s="390"/>
      <c r="AI237" s="376"/>
      <c r="AJ237" s="390"/>
      <c r="AK237" s="3"/>
      <c r="AL237" s="522">
        <f t="shared" si="35"/>
        <v>0</v>
      </c>
      <c r="AM237" s="44" t="str">
        <f t="shared" si="36"/>
        <v>-</v>
      </c>
      <c r="AQ237" s="588"/>
      <c r="AR237" s="284">
        <f t="shared" si="37"/>
        <v>0</v>
      </c>
      <c r="AS237" s="284">
        <f t="shared" si="38"/>
        <v>0</v>
      </c>
      <c r="AT237" s="284">
        <f t="shared" si="39"/>
        <v>0</v>
      </c>
    </row>
    <row r="238" spans="1:46">
      <c r="A238" s="77"/>
      <c r="B238" s="77"/>
      <c r="C238" s="401"/>
      <c r="D238" s="408"/>
      <c r="E238" s="77"/>
      <c r="F238" s="400"/>
      <c r="G238" s="400"/>
      <c r="H238" s="400"/>
      <c r="I238" s="400"/>
      <c r="J238" s="400"/>
      <c r="K238" s="77"/>
      <c r="L238" s="376"/>
      <c r="M238" s="376"/>
      <c r="N238" s="388"/>
      <c r="O238" s="388"/>
      <c r="P238" s="388"/>
      <c r="Q238" s="388"/>
      <c r="R238" s="388"/>
      <c r="S238" s="389"/>
      <c r="T238" s="388"/>
      <c r="U238" s="389"/>
      <c r="V238" s="388"/>
      <c r="W238" s="389"/>
      <c r="X238" s="376"/>
      <c r="Y238" s="390"/>
      <c r="Z238" s="376"/>
      <c r="AA238" s="390"/>
      <c r="AB238" s="376"/>
      <c r="AC238" s="390"/>
      <c r="AD238" s="376"/>
      <c r="AE238" s="390"/>
      <c r="AF238" s="376"/>
      <c r="AG238" s="390"/>
      <c r="AH238" s="390"/>
      <c r="AI238" s="376"/>
      <c r="AJ238" s="390"/>
      <c r="AK238" s="3"/>
      <c r="AL238" s="522">
        <f t="shared" si="35"/>
        <v>0</v>
      </c>
      <c r="AM238" s="44" t="str">
        <f t="shared" si="36"/>
        <v>-</v>
      </c>
      <c r="AQ238" s="588"/>
      <c r="AR238" s="284">
        <f t="shared" si="37"/>
        <v>0</v>
      </c>
      <c r="AS238" s="284">
        <f t="shared" si="38"/>
        <v>0</v>
      </c>
      <c r="AT238" s="284">
        <f t="shared" si="39"/>
        <v>0</v>
      </c>
    </row>
    <row r="239" spans="1:46">
      <c r="A239" s="77"/>
      <c r="B239" s="77"/>
      <c r="C239" s="401"/>
      <c r="D239" s="408"/>
      <c r="E239" s="77"/>
      <c r="F239" s="400"/>
      <c r="G239" s="400"/>
      <c r="H239" s="400"/>
      <c r="I239" s="400"/>
      <c r="J239" s="400"/>
      <c r="K239" s="77"/>
      <c r="L239" s="376"/>
      <c r="M239" s="376"/>
      <c r="N239" s="388"/>
      <c r="O239" s="388"/>
      <c r="P239" s="388"/>
      <c r="Q239" s="388"/>
      <c r="R239" s="388"/>
      <c r="S239" s="389"/>
      <c r="T239" s="388"/>
      <c r="U239" s="389"/>
      <c r="V239" s="388"/>
      <c r="W239" s="389"/>
      <c r="X239" s="376"/>
      <c r="Y239" s="390"/>
      <c r="Z239" s="376"/>
      <c r="AA239" s="390"/>
      <c r="AB239" s="376"/>
      <c r="AC239" s="390"/>
      <c r="AD239" s="376"/>
      <c r="AE239" s="390"/>
      <c r="AF239" s="376"/>
      <c r="AG239" s="390"/>
      <c r="AH239" s="390"/>
      <c r="AI239" s="376"/>
      <c r="AJ239" s="390"/>
      <c r="AK239" s="3"/>
      <c r="AL239" s="522">
        <f t="shared" si="35"/>
        <v>0</v>
      </c>
      <c r="AM239" s="44" t="str">
        <f t="shared" si="36"/>
        <v>-</v>
      </c>
      <c r="AQ239" s="588"/>
      <c r="AR239" s="284">
        <f t="shared" si="37"/>
        <v>0</v>
      </c>
      <c r="AS239" s="284">
        <f t="shared" si="38"/>
        <v>0</v>
      </c>
      <c r="AT239" s="284">
        <f t="shared" si="39"/>
        <v>0</v>
      </c>
    </row>
    <row r="240" spans="1:46">
      <c r="A240" s="77"/>
      <c r="B240" s="77"/>
      <c r="C240" s="401"/>
      <c r="D240" s="408"/>
      <c r="E240" s="77"/>
      <c r="F240" s="400"/>
      <c r="G240" s="400"/>
      <c r="H240" s="400"/>
      <c r="I240" s="400"/>
      <c r="J240" s="400"/>
      <c r="K240" s="77"/>
      <c r="L240" s="376"/>
      <c r="M240" s="376"/>
      <c r="N240" s="388"/>
      <c r="O240" s="388"/>
      <c r="P240" s="388"/>
      <c r="Q240" s="388"/>
      <c r="R240" s="388"/>
      <c r="S240" s="389"/>
      <c r="T240" s="388"/>
      <c r="U240" s="389"/>
      <c r="V240" s="388"/>
      <c r="W240" s="389"/>
      <c r="X240" s="376"/>
      <c r="Y240" s="390"/>
      <c r="Z240" s="376"/>
      <c r="AA240" s="390"/>
      <c r="AB240" s="376"/>
      <c r="AC240" s="390"/>
      <c r="AD240" s="376"/>
      <c r="AE240" s="390"/>
      <c r="AF240" s="376"/>
      <c r="AG240" s="390"/>
      <c r="AH240" s="390"/>
      <c r="AI240" s="376"/>
      <c r="AJ240" s="390"/>
      <c r="AK240" s="3"/>
      <c r="AL240" s="522">
        <f t="shared" si="35"/>
        <v>0</v>
      </c>
      <c r="AM240" s="44" t="str">
        <f t="shared" si="36"/>
        <v>-</v>
      </c>
      <c r="AQ240" s="588"/>
      <c r="AR240" s="284">
        <f t="shared" si="37"/>
        <v>0</v>
      </c>
      <c r="AS240" s="284">
        <f t="shared" si="38"/>
        <v>0</v>
      </c>
      <c r="AT240" s="284">
        <f t="shared" si="39"/>
        <v>0</v>
      </c>
    </row>
    <row r="241" spans="1:46">
      <c r="A241" s="77"/>
      <c r="B241" s="77"/>
      <c r="C241" s="401"/>
      <c r="D241" s="408"/>
      <c r="E241" s="77"/>
      <c r="F241" s="400"/>
      <c r="G241" s="400"/>
      <c r="H241" s="400"/>
      <c r="I241" s="400"/>
      <c r="J241" s="400"/>
      <c r="K241" s="77"/>
      <c r="L241" s="376"/>
      <c r="M241" s="376"/>
      <c r="N241" s="388"/>
      <c r="O241" s="388"/>
      <c r="P241" s="388"/>
      <c r="Q241" s="388"/>
      <c r="R241" s="388"/>
      <c r="S241" s="389"/>
      <c r="T241" s="388"/>
      <c r="U241" s="389"/>
      <c r="V241" s="388"/>
      <c r="W241" s="389"/>
      <c r="X241" s="376"/>
      <c r="Y241" s="390"/>
      <c r="Z241" s="376"/>
      <c r="AA241" s="390"/>
      <c r="AB241" s="376"/>
      <c r="AC241" s="390"/>
      <c r="AD241" s="376"/>
      <c r="AE241" s="390"/>
      <c r="AF241" s="376"/>
      <c r="AG241" s="390"/>
      <c r="AH241" s="390"/>
      <c r="AI241" s="376"/>
      <c r="AJ241" s="390"/>
      <c r="AK241" s="3"/>
      <c r="AL241" s="522">
        <f t="shared" si="35"/>
        <v>0</v>
      </c>
      <c r="AM241" s="44" t="str">
        <f t="shared" si="36"/>
        <v>-</v>
      </c>
      <c r="AQ241" s="588"/>
      <c r="AR241" s="284">
        <f t="shared" si="37"/>
        <v>0</v>
      </c>
      <c r="AS241" s="284">
        <f t="shared" si="38"/>
        <v>0</v>
      </c>
      <c r="AT241" s="284">
        <f t="shared" si="39"/>
        <v>0</v>
      </c>
    </row>
    <row r="242" spans="1:46">
      <c r="A242" s="77"/>
      <c r="B242" s="77"/>
      <c r="C242" s="401"/>
      <c r="D242" s="408"/>
      <c r="E242" s="77"/>
      <c r="F242" s="400"/>
      <c r="G242" s="400"/>
      <c r="H242" s="400"/>
      <c r="I242" s="400"/>
      <c r="J242" s="400"/>
      <c r="K242" s="77"/>
      <c r="L242" s="376"/>
      <c r="M242" s="376"/>
      <c r="N242" s="388"/>
      <c r="O242" s="388"/>
      <c r="P242" s="388"/>
      <c r="Q242" s="388"/>
      <c r="R242" s="388"/>
      <c r="S242" s="389"/>
      <c r="T242" s="388"/>
      <c r="U242" s="389"/>
      <c r="V242" s="388"/>
      <c r="W242" s="389"/>
      <c r="X242" s="376"/>
      <c r="Y242" s="390"/>
      <c r="Z242" s="376"/>
      <c r="AA242" s="390"/>
      <c r="AB242" s="376"/>
      <c r="AC242" s="390"/>
      <c r="AD242" s="376"/>
      <c r="AE242" s="390"/>
      <c r="AF242" s="376"/>
      <c r="AG242" s="390"/>
      <c r="AH242" s="390"/>
      <c r="AI242" s="376"/>
      <c r="AJ242" s="390"/>
      <c r="AK242" s="3"/>
      <c r="AL242" s="522">
        <f t="shared" si="35"/>
        <v>0</v>
      </c>
      <c r="AM242" s="44" t="str">
        <f t="shared" si="36"/>
        <v>-</v>
      </c>
      <c r="AQ242" s="588"/>
      <c r="AR242" s="284">
        <f t="shared" si="37"/>
        <v>0</v>
      </c>
      <c r="AS242" s="284">
        <f t="shared" si="38"/>
        <v>0</v>
      </c>
      <c r="AT242" s="284">
        <f t="shared" si="39"/>
        <v>0</v>
      </c>
    </row>
    <row r="243" spans="1:46">
      <c r="A243" s="77"/>
      <c r="B243" s="77"/>
      <c r="C243" s="401"/>
      <c r="D243" s="408"/>
      <c r="E243" s="77"/>
      <c r="F243" s="400"/>
      <c r="G243" s="400"/>
      <c r="H243" s="400"/>
      <c r="I243" s="400"/>
      <c r="J243" s="400"/>
      <c r="K243" s="77"/>
      <c r="L243" s="376"/>
      <c r="M243" s="376"/>
      <c r="N243" s="388"/>
      <c r="O243" s="388"/>
      <c r="P243" s="388"/>
      <c r="Q243" s="388"/>
      <c r="R243" s="388"/>
      <c r="S243" s="389"/>
      <c r="T243" s="388"/>
      <c r="U243" s="389"/>
      <c r="V243" s="388"/>
      <c r="W243" s="389"/>
      <c r="X243" s="376"/>
      <c r="Y243" s="390"/>
      <c r="Z243" s="376"/>
      <c r="AA243" s="390"/>
      <c r="AB243" s="376"/>
      <c r="AC243" s="390"/>
      <c r="AD243" s="376"/>
      <c r="AE243" s="390"/>
      <c r="AF243" s="376"/>
      <c r="AG243" s="390"/>
      <c r="AH243" s="390"/>
      <c r="AI243" s="376"/>
      <c r="AJ243" s="390"/>
      <c r="AK243" s="3"/>
      <c r="AL243" s="522">
        <f t="shared" si="35"/>
        <v>0</v>
      </c>
      <c r="AM243" s="44" t="str">
        <f t="shared" si="36"/>
        <v>-</v>
      </c>
      <c r="AQ243" s="588"/>
      <c r="AR243" s="284">
        <f t="shared" si="37"/>
        <v>0</v>
      </c>
      <c r="AS243" s="284">
        <f t="shared" si="38"/>
        <v>0</v>
      </c>
      <c r="AT243" s="284">
        <f t="shared" si="39"/>
        <v>0</v>
      </c>
    </row>
    <row r="244" spans="1:46">
      <c r="A244" s="77"/>
      <c r="B244" s="77"/>
      <c r="C244" s="401"/>
      <c r="D244" s="408"/>
      <c r="E244" s="77"/>
      <c r="F244" s="400"/>
      <c r="G244" s="400"/>
      <c r="H244" s="400"/>
      <c r="I244" s="400"/>
      <c r="J244" s="400"/>
      <c r="K244" s="77"/>
      <c r="L244" s="376"/>
      <c r="M244" s="376"/>
      <c r="N244" s="388"/>
      <c r="O244" s="388"/>
      <c r="P244" s="388"/>
      <c r="Q244" s="388"/>
      <c r="R244" s="388"/>
      <c r="S244" s="389"/>
      <c r="T244" s="388"/>
      <c r="U244" s="389"/>
      <c r="V244" s="388"/>
      <c r="W244" s="389"/>
      <c r="X244" s="376"/>
      <c r="Y244" s="390"/>
      <c r="Z244" s="376"/>
      <c r="AA244" s="390"/>
      <c r="AB244" s="376"/>
      <c r="AC244" s="390"/>
      <c r="AD244" s="376"/>
      <c r="AE244" s="390"/>
      <c r="AF244" s="376"/>
      <c r="AG244" s="390"/>
      <c r="AH244" s="390"/>
      <c r="AI244" s="376"/>
      <c r="AJ244" s="390"/>
      <c r="AK244" s="3"/>
      <c r="AL244" s="522">
        <f t="shared" si="35"/>
        <v>0</v>
      </c>
      <c r="AM244" s="44" t="str">
        <f t="shared" si="36"/>
        <v>-</v>
      </c>
      <c r="AQ244" s="588"/>
      <c r="AR244" s="284">
        <f t="shared" si="37"/>
        <v>0</v>
      </c>
      <c r="AS244" s="284">
        <f t="shared" si="38"/>
        <v>0</v>
      </c>
      <c r="AT244" s="284">
        <f t="shared" si="39"/>
        <v>0</v>
      </c>
    </row>
    <row r="245" spans="1:46">
      <c r="A245" s="77"/>
      <c r="B245" s="77"/>
      <c r="C245" s="401"/>
      <c r="D245" s="408"/>
      <c r="E245" s="77"/>
      <c r="F245" s="400"/>
      <c r="G245" s="400"/>
      <c r="H245" s="400"/>
      <c r="I245" s="400"/>
      <c r="J245" s="400"/>
      <c r="K245" s="77"/>
      <c r="L245" s="376"/>
      <c r="M245" s="376"/>
      <c r="N245" s="388"/>
      <c r="O245" s="388"/>
      <c r="P245" s="388"/>
      <c r="Q245" s="388"/>
      <c r="R245" s="388"/>
      <c r="S245" s="389"/>
      <c r="T245" s="388"/>
      <c r="U245" s="389"/>
      <c r="V245" s="388"/>
      <c r="W245" s="389"/>
      <c r="X245" s="376"/>
      <c r="Y245" s="390"/>
      <c r="Z245" s="376"/>
      <c r="AA245" s="390"/>
      <c r="AB245" s="376"/>
      <c r="AC245" s="390"/>
      <c r="AD245" s="376"/>
      <c r="AE245" s="390"/>
      <c r="AF245" s="376"/>
      <c r="AG245" s="390"/>
      <c r="AH245" s="390"/>
      <c r="AI245" s="376"/>
      <c r="AJ245" s="390"/>
      <c r="AK245" s="3"/>
      <c r="AL245" s="522">
        <f t="shared" si="35"/>
        <v>0</v>
      </c>
      <c r="AM245" s="44" t="str">
        <f t="shared" si="36"/>
        <v>-</v>
      </c>
      <c r="AQ245" s="588"/>
      <c r="AR245" s="284">
        <f t="shared" si="37"/>
        <v>0</v>
      </c>
      <c r="AS245" s="284">
        <f t="shared" si="38"/>
        <v>0</v>
      </c>
      <c r="AT245" s="284">
        <f t="shared" si="39"/>
        <v>0</v>
      </c>
    </row>
    <row r="246" spans="1:46">
      <c r="A246" s="77"/>
      <c r="B246" s="77"/>
      <c r="C246" s="401"/>
      <c r="D246" s="408"/>
      <c r="E246" s="77"/>
      <c r="F246" s="400"/>
      <c r="G246" s="400"/>
      <c r="H246" s="400"/>
      <c r="I246" s="400"/>
      <c r="J246" s="400"/>
      <c r="K246" s="77"/>
      <c r="L246" s="376"/>
      <c r="M246" s="376"/>
      <c r="N246" s="388"/>
      <c r="O246" s="388"/>
      <c r="P246" s="388"/>
      <c r="Q246" s="388"/>
      <c r="R246" s="388"/>
      <c r="S246" s="389"/>
      <c r="T246" s="388"/>
      <c r="U246" s="389"/>
      <c r="V246" s="388"/>
      <c r="W246" s="389"/>
      <c r="X246" s="376"/>
      <c r="Y246" s="390"/>
      <c r="Z246" s="376"/>
      <c r="AA246" s="390"/>
      <c r="AB246" s="376"/>
      <c r="AC246" s="390"/>
      <c r="AD246" s="376"/>
      <c r="AE246" s="390"/>
      <c r="AF246" s="376"/>
      <c r="AG246" s="390"/>
      <c r="AH246" s="390"/>
      <c r="AI246" s="376"/>
      <c r="AJ246" s="390"/>
      <c r="AK246" s="3"/>
      <c r="AL246" s="522">
        <f t="shared" si="35"/>
        <v>0</v>
      </c>
      <c r="AM246" s="44" t="str">
        <f t="shared" si="36"/>
        <v>-</v>
      </c>
      <c r="AQ246" s="588"/>
      <c r="AR246" s="284">
        <f t="shared" si="37"/>
        <v>0</v>
      </c>
      <c r="AS246" s="284">
        <f t="shared" si="38"/>
        <v>0</v>
      </c>
      <c r="AT246" s="284">
        <f t="shared" si="39"/>
        <v>0</v>
      </c>
    </row>
    <row r="247" spans="1:46">
      <c r="A247" s="77"/>
      <c r="B247" s="77"/>
      <c r="C247" s="401"/>
      <c r="D247" s="408"/>
      <c r="E247" s="77"/>
      <c r="F247" s="400"/>
      <c r="G247" s="400"/>
      <c r="H247" s="400"/>
      <c r="I247" s="400"/>
      <c r="J247" s="400"/>
      <c r="K247" s="77"/>
      <c r="L247" s="376"/>
      <c r="M247" s="376"/>
      <c r="N247" s="388"/>
      <c r="O247" s="388"/>
      <c r="P247" s="388"/>
      <c r="Q247" s="388"/>
      <c r="R247" s="388"/>
      <c r="S247" s="389"/>
      <c r="T247" s="388"/>
      <c r="U247" s="389"/>
      <c r="V247" s="388"/>
      <c r="W247" s="389"/>
      <c r="X247" s="376"/>
      <c r="Y247" s="390"/>
      <c r="Z247" s="376"/>
      <c r="AA247" s="390"/>
      <c r="AB247" s="376"/>
      <c r="AC247" s="390"/>
      <c r="AD247" s="376"/>
      <c r="AE247" s="390"/>
      <c r="AF247" s="376"/>
      <c r="AG247" s="390"/>
      <c r="AH247" s="390"/>
      <c r="AI247" s="376"/>
      <c r="AJ247" s="390"/>
      <c r="AK247" s="3"/>
      <c r="AL247" s="522">
        <f t="shared" si="35"/>
        <v>0</v>
      </c>
      <c r="AM247" s="44" t="str">
        <f t="shared" si="36"/>
        <v>-</v>
      </c>
      <c r="AQ247" s="588"/>
      <c r="AR247" s="284">
        <f t="shared" si="37"/>
        <v>0</v>
      </c>
      <c r="AS247" s="284">
        <f t="shared" si="38"/>
        <v>0</v>
      </c>
      <c r="AT247" s="284">
        <f t="shared" si="39"/>
        <v>0</v>
      </c>
    </row>
    <row r="248" spans="1:46">
      <c r="A248" s="77"/>
      <c r="B248" s="77"/>
      <c r="C248" s="401"/>
      <c r="D248" s="408"/>
      <c r="E248" s="77"/>
      <c r="F248" s="400"/>
      <c r="G248" s="400"/>
      <c r="H248" s="400"/>
      <c r="I248" s="400"/>
      <c r="J248" s="400"/>
      <c r="K248" s="77"/>
      <c r="L248" s="376"/>
      <c r="M248" s="376"/>
      <c r="N248" s="388"/>
      <c r="O248" s="388"/>
      <c r="P248" s="388"/>
      <c r="Q248" s="388"/>
      <c r="R248" s="388"/>
      <c r="S248" s="389"/>
      <c r="T248" s="388"/>
      <c r="U248" s="389"/>
      <c r="V248" s="388"/>
      <c r="W248" s="389"/>
      <c r="X248" s="376"/>
      <c r="Y248" s="390"/>
      <c r="Z248" s="376"/>
      <c r="AA248" s="390"/>
      <c r="AB248" s="376"/>
      <c r="AC248" s="390"/>
      <c r="AD248" s="376"/>
      <c r="AE248" s="390"/>
      <c r="AF248" s="376"/>
      <c r="AG248" s="390"/>
      <c r="AH248" s="390"/>
      <c r="AI248" s="376"/>
      <c r="AJ248" s="390"/>
      <c r="AK248" s="3"/>
      <c r="AL248" s="522">
        <f t="shared" si="35"/>
        <v>0</v>
      </c>
      <c r="AM248" s="44" t="str">
        <f t="shared" si="36"/>
        <v>-</v>
      </c>
      <c r="AQ248" s="588"/>
      <c r="AR248" s="284">
        <f t="shared" si="37"/>
        <v>0</v>
      </c>
      <c r="AS248" s="284">
        <f t="shared" si="38"/>
        <v>0</v>
      </c>
      <c r="AT248" s="284">
        <f t="shared" si="39"/>
        <v>0</v>
      </c>
    </row>
    <row r="249" spans="1:46">
      <c r="A249" s="77"/>
      <c r="B249" s="77"/>
      <c r="C249" s="401"/>
      <c r="D249" s="408"/>
      <c r="E249" s="77"/>
      <c r="F249" s="400"/>
      <c r="G249" s="400"/>
      <c r="H249" s="400"/>
      <c r="I249" s="400"/>
      <c r="J249" s="400"/>
      <c r="K249" s="77"/>
      <c r="L249" s="376"/>
      <c r="M249" s="376"/>
      <c r="N249" s="388"/>
      <c r="O249" s="388"/>
      <c r="P249" s="388"/>
      <c r="Q249" s="388"/>
      <c r="R249" s="388"/>
      <c r="S249" s="389"/>
      <c r="T249" s="388"/>
      <c r="U249" s="389"/>
      <c r="V249" s="388"/>
      <c r="W249" s="389"/>
      <c r="X249" s="376"/>
      <c r="Y249" s="390"/>
      <c r="Z249" s="376"/>
      <c r="AA249" s="390"/>
      <c r="AB249" s="376"/>
      <c r="AC249" s="390"/>
      <c r="AD249" s="376"/>
      <c r="AE249" s="390"/>
      <c r="AF249" s="376"/>
      <c r="AG249" s="390"/>
      <c r="AH249" s="390"/>
      <c r="AI249" s="376"/>
      <c r="AJ249" s="390"/>
      <c r="AK249" s="3"/>
      <c r="AL249" s="522">
        <f t="shared" si="35"/>
        <v>0</v>
      </c>
      <c r="AM249" s="44" t="str">
        <f t="shared" si="36"/>
        <v>-</v>
      </c>
      <c r="AQ249" s="588"/>
      <c r="AR249" s="284">
        <f t="shared" si="37"/>
        <v>0</v>
      </c>
      <c r="AS249" s="284">
        <f t="shared" si="38"/>
        <v>0</v>
      </c>
      <c r="AT249" s="284">
        <f t="shared" si="39"/>
        <v>0</v>
      </c>
    </row>
    <row r="250" spans="1:46">
      <c r="A250" s="77"/>
      <c r="B250" s="77"/>
      <c r="C250" s="401"/>
      <c r="D250" s="408"/>
      <c r="E250" s="77"/>
      <c r="F250" s="400"/>
      <c r="G250" s="400"/>
      <c r="H250" s="400"/>
      <c r="I250" s="400"/>
      <c r="J250" s="400"/>
      <c r="K250" s="77"/>
      <c r="L250" s="376"/>
      <c r="M250" s="376"/>
      <c r="N250" s="388"/>
      <c r="O250" s="388"/>
      <c r="P250" s="388"/>
      <c r="Q250" s="388"/>
      <c r="R250" s="388"/>
      <c r="S250" s="389"/>
      <c r="T250" s="388"/>
      <c r="U250" s="389"/>
      <c r="V250" s="388"/>
      <c r="W250" s="389"/>
      <c r="X250" s="376"/>
      <c r="Y250" s="390"/>
      <c r="Z250" s="376"/>
      <c r="AA250" s="390"/>
      <c r="AB250" s="376"/>
      <c r="AC250" s="390"/>
      <c r="AD250" s="376"/>
      <c r="AE250" s="390"/>
      <c r="AF250" s="376"/>
      <c r="AG250" s="390"/>
      <c r="AH250" s="390"/>
      <c r="AI250" s="376"/>
      <c r="AJ250" s="390"/>
      <c r="AK250" s="3"/>
      <c r="AL250" s="522">
        <f t="shared" si="35"/>
        <v>0</v>
      </c>
      <c r="AM250" s="44" t="str">
        <f t="shared" si="36"/>
        <v>-</v>
      </c>
      <c r="AQ250" s="588"/>
      <c r="AR250" s="284">
        <f t="shared" si="37"/>
        <v>0</v>
      </c>
      <c r="AS250" s="284">
        <f t="shared" si="38"/>
        <v>0</v>
      </c>
      <c r="AT250" s="284">
        <f t="shared" si="39"/>
        <v>0</v>
      </c>
    </row>
    <row r="251" spans="1:46">
      <c r="A251" s="77"/>
      <c r="B251" s="77"/>
      <c r="C251" s="401"/>
      <c r="D251" s="408"/>
      <c r="E251" s="77"/>
      <c r="F251" s="400"/>
      <c r="G251" s="400"/>
      <c r="H251" s="400"/>
      <c r="I251" s="400"/>
      <c r="J251" s="400"/>
      <c r="K251" s="77"/>
      <c r="L251" s="376"/>
      <c r="M251" s="376"/>
      <c r="N251" s="388"/>
      <c r="O251" s="388"/>
      <c r="P251" s="388"/>
      <c r="Q251" s="388"/>
      <c r="R251" s="388"/>
      <c r="S251" s="389"/>
      <c r="T251" s="388"/>
      <c r="U251" s="389"/>
      <c r="V251" s="388"/>
      <c r="W251" s="389"/>
      <c r="X251" s="376"/>
      <c r="Y251" s="390"/>
      <c r="Z251" s="376"/>
      <c r="AA251" s="390"/>
      <c r="AB251" s="376"/>
      <c r="AC251" s="390"/>
      <c r="AD251" s="376"/>
      <c r="AE251" s="390"/>
      <c r="AF251" s="376"/>
      <c r="AG251" s="390"/>
      <c r="AH251" s="390"/>
      <c r="AI251" s="376"/>
      <c r="AJ251" s="390"/>
      <c r="AK251" s="3"/>
      <c r="AL251" s="522">
        <f t="shared" si="35"/>
        <v>0</v>
      </c>
      <c r="AM251" s="44" t="str">
        <f t="shared" si="36"/>
        <v>-</v>
      </c>
      <c r="AQ251" s="588"/>
      <c r="AR251" s="284">
        <f t="shared" si="37"/>
        <v>0</v>
      </c>
      <c r="AS251" s="284">
        <f t="shared" si="38"/>
        <v>0</v>
      </c>
      <c r="AT251" s="284">
        <f t="shared" si="39"/>
        <v>0</v>
      </c>
    </row>
    <row r="252" spans="1:46">
      <c r="A252" s="77"/>
      <c r="B252" s="77"/>
      <c r="C252" s="401"/>
      <c r="D252" s="408"/>
      <c r="E252" s="77"/>
      <c r="F252" s="400"/>
      <c r="G252" s="400"/>
      <c r="H252" s="400"/>
      <c r="I252" s="400"/>
      <c r="J252" s="400"/>
      <c r="K252" s="77"/>
      <c r="L252" s="376"/>
      <c r="M252" s="376"/>
      <c r="N252" s="388"/>
      <c r="O252" s="388"/>
      <c r="P252" s="388"/>
      <c r="Q252" s="388"/>
      <c r="R252" s="388"/>
      <c r="S252" s="389"/>
      <c r="T252" s="388"/>
      <c r="U252" s="389"/>
      <c r="V252" s="388"/>
      <c r="W252" s="389"/>
      <c r="X252" s="376"/>
      <c r="Y252" s="390"/>
      <c r="Z252" s="376"/>
      <c r="AA252" s="390"/>
      <c r="AB252" s="376"/>
      <c r="AC252" s="390"/>
      <c r="AD252" s="376"/>
      <c r="AE252" s="390"/>
      <c r="AF252" s="376"/>
      <c r="AG252" s="390"/>
      <c r="AH252" s="390"/>
      <c r="AI252" s="376"/>
      <c r="AJ252" s="390"/>
      <c r="AK252" s="3"/>
      <c r="AL252" s="522">
        <f t="shared" si="35"/>
        <v>0</v>
      </c>
      <c r="AM252" s="44" t="str">
        <f t="shared" si="36"/>
        <v>-</v>
      </c>
      <c r="AQ252" s="588"/>
      <c r="AR252" s="284">
        <f t="shared" si="37"/>
        <v>0</v>
      </c>
      <c r="AS252" s="284">
        <f t="shared" si="38"/>
        <v>0</v>
      </c>
      <c r="AT252" s="284">
        <f t="shared" si="39"/>
        <v>0</v>
      </c>
    </row>
    <row r="253" spans="1:46">
      <c r="A253" s="77"/>
      <c r="B253" s="77"/>
      <c r="C253" s="401"/>
      <c r="D253" s="408"/>
      <c r="E253" s="77"/>
      <c r="F253" s="400"/>
      <c r="G253" s="400"/>
      <c r="H253" s="400"/>
      <c r="I253" s="400"/>
      <c r="J253" s="400"/>
      <c r="K253" s="77"/>
      <c r="L253" s="376"/>
      <c r="M253" s="376"/>
      <c r="N253" s="388"/>
      <c r="O253" s="388"/>
      <c r="P253" s="388"/>
      <c r="Q253" s="388"/>
      <c r="R253" s="388"/>
      <c r="S253" s="389"/>
      <c r="T253" s="388"/>
      <c r="U253" s="389"/>
      <c r="V253" s="388"/>
      <c r="W253" s="389"/>
      <c r="X253" s="376"/>
      <c r="Y253" s="390"/>
      <c r="Z253" s="376"/>
      <c r="AA253" s="390"/>
      <c r="AB253" s="376"/>
      <c r="AC253" s="390"/>
      <c r="AD253" s="376"/>
      <c r="AE253" s="390"/>
      <c r="AF253" s="376"/>
      <c r="AG253" s="390"/>
      <c r="AH253" s="390"/>
      <c r="AI253" s="376"/>
      <c r="AJ253" s="390"/>
      <c r="AK253" s="3"/>
      <c r="AL253" s="522">
        <f t="shared" si="35"/>
        <v>0</v>
      </c>
      <c r="AM253" s="44" t="str">
        <f t="shared" si="36"/>
        <v>-</v>
      </c>
      <c r="AQ253" s="588"/>
      <c r="AR253" s="284">
        <f t="shared" si="37"/>
        <v>0</v>
      </c>
      <c r="AS253" s="284">
        <f t="shared" si="38"/>
        <v>0</v>
      </c>
      <c r="AT253" s="284">
        <f t="shared" si="39"/>
        <v>0</v>
      </c>
    </row>
    <row r="254" spans="1:46">
      <c r="A254" s="77"/>
      <c r="B254" s="77"/>
      <c r="C254" s="401"/>
      <c r="D254" s="408"/>
      <c r="E254" s="77"/>
      <c r="F254" s="400"/>
      <c r="G254" s="400"/>
      <c r="H254" s="400"/>
      <c r="I254" s="400"/>
      <c r="J254" s="400"/>
      <c r="K254" s="77"/>
      <c r="L254" s="376"/>
      <c r="M254" s="376"/>
      <c r="N254" s="388"/>
      <c r="O254" s="388"/>
      <c r="P254" s="388"/>
      <c r="Q254" s="388"/>
      <c r="R254" s="388"/>
      <c r="S254" s="389"/>
      <c r="T254" s="388"/>
      <c r="U254" s="389"/>
      <c r="V254" s="388"/>
      <c r="W254" s="389"/>
      <c r="X254" s="376"/>
      <c r="Y254" s="390"/>
      <c r="Z254" s="376"/>
      <c r="AA254" s="390"/>
      <c r="AB254" s="376"/>
      <c r="AC254" s="390"/>
      <c r="AD254" s="376"/>
      <c r="AE254" s="390"/>
      <c r="AF254" s="376"/>
      <c r="AG254" s="390"/>
      <c r="AH254" s="390"/>
      <c r="AI254" s="376"/>
      <c r="AJ254" s="390"/>
      <c r="AK254" s="3"/>
      <c r="AL254" s="522">
        <f t="shared" si="35"/>
        <v>0</v>
      </c>
      <c r="AM254" s="44" t="str">
        <f t="shared" si="36"/>
        <v>-</v>
      </c>
      <c r="AQ254" s="588"/>
      <c r="AR254" s="284">
        <f t="shared" si="37"/>
        <v>0</v>
      </c>
      <c r="AS254" s="284">
        <f t="shared" si="38"/>
        <v>0</v>
      </c>
      <c r="AT254" s="284">
        <f t="shared" si="39"/>
        <v>0</v>
      </c>
    </row>
    <row r="255" spans="1:46">
      <c r="A255" s="77"/>
      <c r="B255" s="77"/>
      <c r="C255" s="401"/>
      <c r="D255" s="408"/>
      <c r="E255" s="77"/>
      <c r="F255" s="400"/>
      <c r="G255" s="400"/>
      <c r="H255" s="400"/>
      <c r="I255" s="400"/>
      <c r="J255" s="400"/>
      <c r="K255" s="77"/>
      <c r="L255" s="376"/>
      <c r="M255" s="376"/>
      <c r="N255" s="388"/>
      <c r="O255" s="388"/>
      <c r="P255" s="388"/>
      <c r="Q255" s="388"/>
      <c r="R255" s="388"/>
      <c r="S255" s="389"/>
      <c r="T255" s="388"/>
      <c r="U255" s="389"/>
      <c r="V255" s="388"/>
      <c r="W255" s="389"/>
      <c r="X255" s="376"/>
      <c r="Y255" s="390"/>
      <c r="Z255" s="376"/>
      <c r="AA255" s="390"/>
      <c r="AB255" s="376"/>
      <c r="AC255" s="390"/>
      <c r="AD255" s="376"/>
      <c r="AE255" s="390"/>
      <c r="AF255" s="376"/>
      <c r="AG255" s="390"/>
      <c r="AH255" s="390"/>
      <c r="AI255" s="376"/>
      <c r="AJ255" s="390"/>
      <c r="AK255" s="3"/>
      <c r="AL255" s="522">
        <f t="shared" si="35"/>
        <v>0</v>
      </c>
      <c r="AM255" s="44" t="str">
        <f t="shared" si="36"/>
        <v>-</v>
      </c>
      <c r="AQ255" s="588"/>
      <c r="AR255" s="284">
        <f t="shared" si="37"/>
        <v>0</v>
      </c>
      <c r="AS255" s="284">
        <f t="shared" si="38"/>
        <v>0</v>
      </c>
      <c r="AT255" s="284">
        <f t="shared" si="39"/>
        <v>0</v>
      </c>
    </row>
    <row r="256" spans="1:46">
      <c r="A256" s="77"/>
      <c r="B256" s="77"/>
      <c r="C256" s="401"/>
      <c r="D256" s="408"/>
      <c r="E256" s="77"/>
      <c r="F256" s="400"/>
      <c r="G256" s="400"/>
      <c r="H256" s="400"/>
      <c r="I256" s="400"/>
      <c r="J256" s="400"/>
      <c r="K256" s="77"/>
      <c r="L256" s="376"/>
      <c r="M256" s="376"/>
      <c r="N256" s="388"/>
      <c r="O256" s="388"/>
      <c r="P256" s="388"/>
      <c r="Q256" s="388"/>
      <c r="R256" s="388"/>
      <c r="S256" s="389"/>
      <c r="T256" s="388"/>
      <c r="U256" s="389"/>
      <c r="V256" s="388"/>
      <c r="W256" s="389"/>
      <c r="X256" s="376"/>
      <c r="Y256" s="390"/>
      <c r="Z256" s="376"/>
      <c r="AA256" s="390"/>
      <c r="AB256" s="376"/>
      <c r="AC256" s="390"/>
      <c r="AD256" s="376"/>
      <c r="AE256" s="390"/>
      <c r="AF256" s="376"/>
      <c r="AG256" s="390"/>
      <c r="AH256" s="390"/>
      <c r="AI256" s="376"/>
      <c r="AJ256" s="390"/>
      <c r="AK256" s="3"/>
      <c r="AL256" s="522">
        <f t="shared" si="35"/>
        <v>0</v>
      </c>
      <c r="AM256" s="44" t="str">
        <f t="shared" si="36"/>
        <v>-</v>
      </c>
      <c r="AQ256" s="588"/>
      <c r="AR256" s="284">
        <f t="shared" si="37"/>
        <v>0</v>
      </c>
      <c r="AS256" s="284">
        <f t="shared" si="38"/>
        <v>0</v>
      </c>
      <c r="AT256" s="284">
        <f t="shared" si="39"/>
        <v>0</v>
      </c>
    </row>
    <row r="257" spans="1:46">
      <c r="A257" s="77"/>
      <c r="B257" s="77"/>
      <c r="C257" s="401"/>
      <c r="D257" s="408"/>
      <c r="E257" s="77"/>
      <c r="F257" s="400"/>
      <c r="G257" s="400"/>
      <c r="H257" s="400"/>
      <c r="I257" s="400"/>
      <c r="J257" s="400"/>
      <c r="K257" s="77"/>
      <c r="L257" s="376"/>
      <c r="M257" s="376"/>
      <c r="N257" s="388"/>
      <c r="O257" s="388"/>
      <c r="P257" s="388"/>
      <c r="Q257" s="388"/>
      <c r="R257" s="388"/>
      <c r="S257" s="389"/>
      <c r="T257" s="388"/>
      <c r="U257" s="389"/>
      <c r="V257" s="388"/>
      <c r="W257" s="389"/>
      <c r="X257" s="376"/>
      <c r="Y257" s="390"/>
      <c r="Z257" s="376"/>
      <c r="AA257" s="390"/>
      <c r="AB257" s="376"/>
      <c r="AC257" s="390"/>
      <c r="AD257" s="376"/>
      <c r="AE257" s="390"/>
      <c r="AF257" s="376"/>
      <c r="AG257" s="390"/>
      <c r="AH257" s="390"/>
      <c r="AI257" s="376"/>
      <c r="AJ257" s="390"/>
      <c r="AK257" s="3"/>
      <c r="AL257" s="522">
        <f t="shared" si="35"/>
        <v>0</v>
      </c>
      <c r="AM257" s="44" t="str">
        <f t="shared" si="36"/>
        <v>-</v>
      </c>
      <c r="AQ257" s="588"/>
      <c r="AR257" s="284">
        <f t="shared" si="37"/>
        <v>0</v>
      </c>
      <c r="AS257" s="284">
        <f t="shared" si="38"/>
        <v>0</v>
      </c>
      <c r="AT257" s="284">
        <f t="shared" si="39"/>
        <v>0</v>
      </c>
    </row>
    <row r="258" spans="1:46">
      <c r="A258" s="77"/>
      <c r="B258" s="77"/>
      <c r="C258" s="401"/>
      <c r="D258" s="408"/>
      <c r="E258" s="77"/>
      <c r="F258" s="400"/>
      <c r="G258" s="400"/>
      <c r="H258" s="400"/>
      <c r="I258" s="400"/>
      <c r="J258" s="400"/>
      <c r="K258" s="77"/>
      <c r="L258" s="376"/>
      <c r="M258" s="376"/>
      <c r="N258" s="388"/>
      <c r="O258" s="388"/>
      <c r="P258" s="388"/>
      <c r="Q258" s="388"/>
      <c r="R258" s="388"/>
      <c r="S258" s="389"/>
      <c r="T258" s="388"/>
      <c r="U258" s="389"/>
      <c r="V258" s="388"/>
      <c r="W258" s="389"/>
      <c r="X258" s="376"/>
      <c r="Y258" s="390"/>
      <c r="Z258" s="376"/>
      <c r="AA258" s="390"/>
      <c r="AB258" s="376"/>
      <c r="AC258" s="390"/>
      <c r="AD258" s="376"/>
      <c r="AE258" s="390"/>
      <c r="AF258" s="376"/>
      <c r="AG258" s="390"/>
      <c r="AH258" s="390"/>
      <c r="AI258" s="376"/>
      <c r="AJ258" s="390"/>
      <c r="AK258" s="3"/>
      <c r="AL258" s="522">
        <f t="shared" si="35"/>
        <v>0</v>
      </c>
      <c r="AM258" s="44" t="str">
        <f t="shared" si="36"/>
        <v>-</v>
      </c>
      <c r="AQ258" s="588"/>
      <c r="AR258" s="284">
        <f t="shared" si="37"/>
        <v>0</v>
      </c>
      <c r="AS258" s="284">
        <f t="shared" si="38"/>
        <v>0</v>
      </c>
      <c r="AT258" s="284">
        <f t="shared" si="39"/>
        <v>0</v>
      </c>
    </row>
    <row r="259" spans="1:46">
      <c r="A259" s="77"/>
      <c r="B259" s="77"/>
      <c r="C259" s="401"/>
      <c r="D259" s="408"/>
      <c r="E259" s="77"/>
      <c r="F259" s="400"/>
      <c r="G259" s="400"/>
      <c r="H259" s="400"/>
      <c r="I259" s="400"/>
      <c r="J259" s="400"/>
      <c r="K259" s="77"/>
      <c r="L259" s="376"/>
      <c r="M259" s="376"/>
      <c r="N259" s="388"/>
      <c r="O259" s="388"/>
      <c r="P259" s="388"/>
      <c r="Q259" s="388"/>
      <c r="R259" s="388"/>
      <c r="S259" s="389"/>
      <c r="T259" s="388"/>
      <c r="U259" s="389"/>
      <c r="V259" s="388"/>
      <c r="W259" s="389"/>
      <c r="X259" s="376"/>
      <c r="Y259" s="390"/>
      <c r="Z259" s="376"/>
      <c r="AA259" s="390"/>
      <c r="AB259" s="376"/>
      <c r="AC259" s="390"/>
      <c r="AD259" s="376"/>
      <c r="AE259" s="390"/>
      <c r="AF259" s="376"/>
      <c r="AG259" s="390"/>
      <c r="AH259" s="390"/>
      <c r="AI259" s="376"/>
      <c r="AJ259" s="390"/>
      <c r="AK259" s="3"/>
      <c r="AL259" s="522">
        <f t="shared" ref="AL259:AL322" si="40">B259</f>
        <v>0</v>
      </c>
      <c r="AM259" s="44" t="str">
        <f t="shared" ref="AM259:AM322" si="41">IF(C259="","-",C259)</f>
        <v>-</v>
      </c>
      <c r="AQ259" s="588"/>
      <c r="AR259" s="284">
        <f t="shared" si="37"/>
        <v>0</v>
      </c>
      <c r="AS259" s="284">
        <f t="shared" si="38"/>
        <v>0</v>
      </c>
      <c r="AT259" s="284">
        <f t="shared" si="39"/>
        <v>0</v>
      </c>
    </row>
    <row r="260" spans="1:46">
      <c r="A260" s="77"/>
      <c r="B260" s="77"/>
      <c r="C260" s="401"/>
      <c r="D260" s="408"/>
      <c r="E260" s="77"/>
      <c r="F260" s="400"/>
      <c r="G260" s="400"/>
      <c r="H260" s="400"/>
      <c r="I260" s="400"/>
      <c r="J260" s="400"/>
      <c r="K260" s="77"/>
      <c r="L260" s="376"/>
      <c r="M260" s="376"/>
      <c r="N260" s="388"/>
      <c r="O260" s="388"/>
      <c r="P260" s="388"/>
      <c r="Q260" s="388"/>
      <c r="R260" s="388"/>
      <c r="S260" s="389"/>
      <c r="T260" s="388"/>
      <c r="U260" s="389"/>
      <c r="V260" s="388"/>
      <c r="W260" s="389"/>
      <c r="X260" s="376"/>
      <c r="Y260" s="390"/>
      <c r="Z260" s="376"/>
      <c r="AA260" s="390"/>
      <c r="AB260" s="376"/>
      <c r="AC260" s="390"/>
      <c r="AD260" s="376"/>
      <c r="AE260" s="390"/>
      <c r="AF260" s="376"/>
      <c r="AG260" s="390"/>
      <c r="AH260" s="390"/>
      <c r="AI260" s="376"/>
      <c r="AJ260" s="390"/>
      <c r="AK260" s="3"/>
      <c r="AL260" s="522">
        <f t="shared" si="40"/>
        <v>0</v>
      </c>
      <c r="AM260" s="44" t="str">
        <f t="shared" si="41"/>
        <v>-</v>
      </c>
      <c r="AQ260" s="588"/>
      <c r="AR260" s="284">
        <f t="shared" si="37"/>
        <v>0</v>
      </c>
      <c r="AS260" s="284">
        <f t="shared" si="38"/>
        <v>0</v>
      </c>
      <c r="AT260" s="284">
        <f t="shared" si="39"/>
        <v>0</v>
      </c>
    </row>
    <row r="261" spans="1:46">
      <c r="A261" s="77"/>
      <c r="B261" s="77"/>
      <c r="C261" s="401"/>
      <c r="D261" s="408"/>
      <c r="E261" s="77"/>
      <c r="F261" s="400"/>
      <c r="G261" s="400"/>
      <c r="H261" s="400"/>
      <c r="I261" s="400"/>
      <c r="J261" s="400"/>
      <c r="K261" s="77"/>
      <c r="L261" s="376"/>
      <c r="M261" s="376"/>
      <c r="N261" s="388"/>
      <c r="O261" s="388"/>
      <c r="P261" s="388"/>
      <c r="Q261" s="388"/>
      <c r="R261" s="388"/>
      <c r="S261" s="389"/>
      <c r="T261" s="388"/>
      <c r="U261" s="389"/>
      <c r="V261" s="388"/>
      <c r="W261" s="389"/>
      <c r="X261" s="376"/>
      <c r="Y261" s="390"/>
      <c r="Z261" s="376"/>
      <c r="AA261" s="390"/>
      <c r="AB261" s="376"/>
      <c r="AC261" s="390"/>
      <c r="AD261" s="376"/>
      <c r="AE261" s="390"/>
      <c r="AF261" s="376"/>
      <c r="AG261" s="390"/>
      <c r="AH261" s="390"/>
      <c r="AI261" s="376"/>
      <c r="AJ261" s="390"/>
      <c r="AK261" s="3"/>
      <c r="AL261" s="522">
        <f t="shared" si="40"/>
        <v>0</v>
      </c>
      <c r="AM261" s="44" t="str">
        <f t="shared" si="41"/>
        <v>-</v>
      </c>
      <c r="AQ261" s="588"/>
      <c r="AR261" s="284">
        <f t="shared" si="37"/>
        <v>0</v>
      </c>
      <c r="AS261" s="284">
        <f t="shared" si="38"/>
        <v>0</v>
      </c>
      <c r="AT261" s="284">
        <f t="shared" si="39"/>
        <v>0</v>
      </c>
    </row>
    <row r="262" spans="1:46">
      <c r="A262" s="77"/>
      <c r="B262" s="77"/>
      <c r="C262" s="401"/>
      <c r="D262" s="408"/>
      <c r="E262" s="77"/>
      <c r="F262" s="400"/>
      <c r="G262" s="400"/>
      <c r="H262" s="400"/>
      <c r="I262" s="400"/>
      <c r="J262" s="400"/>
      <c r="K262" s="77"/>
      <c r="L262" s="376"/>
      <c r="M262" s="376"/>
      <c r="N262" s="388"/>
      <c r="O262" s="388"/>
      <c r="P262" s="388"/>
      <c r="Q262" s="388"/>
      <c r="R262" s="388"/>
      <c r="S262" s="389"/>
      <c r="T262" s="388"/>
      <c r="U262" s="389"/>
      <c r="V262" s="388"/>
      <c r="W262" s="389"/>
      <c r="X262" s="376"/>
      <c r="Y262" s="390"/>
      <c r="Z262" s="376"/>
      <c r="AA262" s="390"/>
      <c r="AB262" s="376"/>
      <c r="AC262" s="390"/>
      <c r="AD262" s="376"/>
      <c r="AE262" s="390"/>
      <c r="AF262" s="376"/>
      <c r="AG262" s="390"/>
      <c r="AH262" s="390"/>
      <c r="AI262" s="376"/>
      <c r="AJ262" s="390"/>
      <c r="AK262" s="3"/>
      <c r="AL262" s="522">
        <f t="shared" si="40"/>
        <v>0</v>
      </c>
      <c r="AM262" s="44" t="str">
        <f t="shared" si="41"/>
        <v>-</v>
      </c>
      <c r="AQ262" s="588"/>
      <c r="AR262" s="284">
        <f t="shared" si="37"/>
        <v>0</v>
      </c>
      <c r="AS262" s="284">
        <f t="shared" si="38"/>
        <v>0</v>
      </c>
      <c r="AT262" s="284">
        <f t="shared" si="39"/>
        <v>0</v>
      </c>
    </row>
    <row r="263" spans="1:46">
      <c r="A263" s="77"/>
      <c r="B263" s="77"/>
      <c r="C263" s="401"/>
      <c r="D263" s="408"/>
      <c r="E263" s="77"/>
      <c r="F263" s="400"/>
      <c r="G263" s="400"/>
      <c r="H263" s="400"/>
      <c r="I263" s="400"/>
      <c r="J263" s="400"/>
      <c r="K263" s="77"/>
      <c r="L263" s="376"/>
      <c r="M263" s="376"/>
      <c r="N263" s="388"/>
      <c r="O263" s="388"/>
      <c r="P263" s="388"/>
      <c r="Q263" s="388"/>
      <c r="R263" s="388"/>
      <c r="S263" s="389"/>
      <c r="T263" s="388"/>
      <c r="U263" s="389"/>
      <c r="V263" s="388"/>
      <c r="W263" s="389"/>
      <c r="X263" s="376"/>
      <c r="Y263" s="390"/>
      <c r="Z263" s="376"/>
      <c r="AA263" s="390"/>
      <c r="AB263" s="376"/>
      <c r="AC263" s="390"/>
      <c r="AD263" s="376"/>
      <c r="AE263" s="390"/>
      <c r="AF263" s="376"/>
      <c r="AG263" s="390"/>
      <c r="AH263" s="390"/>
      <c r="AI263" s="376"/>
      <c r="AJ263" s="390"/>
      <c r="AK263" s="3"/>
      <c r="AL263" s="522">
        <f t="shared" si="40"/>
        <v>0</v>
      </c>
      <c r="AM263" s="44" t="str">
        <f t="shared" si="41"/>
        <v>-</v>
      </c>
      <c r="AQ263" s="588"/>
      <c r="AR263" s="284">
        <f t="shared" si="37"/>
        <v>0</v>
      </c>
      <c r="AS263" s="284">
        <f t="shared" si="38"/>
        <v>0</v>
      </c>
      <c r="AT263" s="284">
        <f t="shared" si="39"/>
        <v>0</v>
      </c>
    </row>
    <row r="264" spans="1:46">
      <c r="A264" s="77"/>
      <c r="B264" s="77"/>
      <c r="C264" s="401"/>
      <c r="D264" s="408"/>
      <c r="E264" s="77"/>
      <c r="F264" s="400"/>
      <c r="G264" s="400"/>
      <c r="H264" s="400"/>
      <c r="I264" s="400"/>
      <c r="J264" s="400"/>
      <c r="K264" s="77"/>
      <c r="L264" s="376"/>
      <c r="M264" s="376"/>
      <c r="N264" s="388"/>
      <c r="O264" s="388"/>
      <c r="P264" s="388"/>
      <c r="Q264" s="388"/>
      <c r="R264" s="388"/>
      <c r="S264" s="389"/>
      <c r="T264" s="388"/>
      <c r="U264" s="389"/>
      <c r="V264" s="388"/>
      <c r="W264" s="389"/>
      <c r="X264" s="376"/>
      <c r="Y264" s="390"/>
      <c r="Z264" s="376"/>
      <c r="AA264" s="390"/>
      <c r="AB264" s="376"/>
      <c r="AC264" s="390"/>
      <c r="AD264" s="376"/>
      <c r="AE264" s="390"/>
      <c r="AF264" s="376"/>
      <c r="AG264" s="390"/>
      <c r="AH264" s="390"/>
      <c r="AI264" s="376"/>
      <c r="AJ264" s="390"/>
      <c r="AK264" s="3"/>
      <c r="AL264" s="522">
        <f t="shared" si="40"/>
        <v>0</v>
      </c>
      <c r="AM264" s="44" t="str">
        <f t="shared" si="41"/>
        <v>-</v>
      </c>
      <c r="AQ264" s="588"/>
      <c r="AR264" s="284">
        <f t="shared" si="37"/>
        <v>0</v>
      </c>
      <c r="AS264" s="284">
        <f t="shared" si="38"/>
        <v>0</v>
      </c>
      <c r="AT264" s="284">
        <f t="shared" si="39"/>
        <v>0</v>
      </c>
    </row>
    <row r="265" spans="1:46">
      <c r="A265" s="77"/>
      <c r="B265" s="77"/>
      <c r="C265" s="401"/>
      <c r="D265" s="408"/>
      <c r="E265" s="77"/>
      <c r="F265" s="400"/>
      <c r="G265" s="400"/>
      <c r="H265" s="400"/>
      <c r="I265" s="400"/>
      <c r="J265" s="400"/>
      <c r="K265" s="77"/>
      <c r="L265" s="376"/>
      <c r="M265" s="376"/>
      <c r="N265" s="388"/>
      <c r="O265" s="388"/>
      <c r="P265" s="388"/>
      <c r="Q265" s="388"/>
      <c r="R265" s="388"/>
      <c r="S265" s="389"/>
      <c r="T265" s="388"/>
      <c r="U265" s="389"/>
      <c r="V265" s="388"/>
      <c r="W265" s="389"/>
      <c r="X265" s="376"/>
      <c r="Y265" s="390"/>
      <c r="Z265" s="376"/>
      <c r="AA265" s="390"/>
      <c r="AB265" s="376"/>
      <c r="AC265" s="390"/>
      <c r="AD265" s="376"/>
      <c r="AE265" s="390"/>
      <c r="AF265" s="376"/>
      <c r="AG265" s="390"/>
      <c r="AH265" s="390"/>
      <c r="AI265" s="376"/>
      <c r="AJ265" s="390"/>
      <c r="AK265" s="3"/>
      <c r="AL265" s="522">
        <f t="shared" si="40"/>
        <v>0</v>
      </c>
      <c r="AM265" s="44" t="str">
        <f t="shared" si="41"/>
        <v>-</v>
      </c>
      <c r="AQ265" s="588"/>
      <c r="AR265" s="284">
        <f t="shared" si="37"/>
        <v>0</v>
      </c>
      <c r="AS265" s="284">
        <f t="shared" si="38"/>
        <v>0</v>
      </c>
      <c r="AT265" s="284">
        <f t="shared" si="39"/>
        <v>0</v>
      </c>
    </row>
    <row r="266" spans="1:46">
      <c r="A266" s="77"/>
      <c r="B266" s="77"/>
      <c r="C266" s="401"/>
      <c r="D266" s="408"/>
      <c r="E266" s="77"/>
      <c r="F266" s="400"/>
      <c r="G266" s="400"/>
      <c r="H266" s="400"/>
      <c r="I266" s="400"/>
      <c r="J266" s="400"/>
      <c r="K266" s="77"/>
      <c r="L266" s="376"/>
      <c r="M266" s="376"/>
      <c r="N266" s="388"/>
      <c r="O266" s="388"/>
      <c r="P266" s="388"/>
      <c r="Q266" s="388"/>
      <c r="R266" s="388"/>
      <c r="S266" s="389"/>
      <c r="T266" s="388"/>
      <c r="U266" s="389"/>
      <c r="V266" s="388"/>
      <c r="W266" s="389"/>
      <c r="X266" s="376"/>
      <c r="Y266" s="390"/>
      <c r="Z266" s="376"/>
      <c r="AA266" s="390"/>
      <c r="AB266" s="376"/>
      <c r="AC266" s="390"/>
      <c r="AD266" s="376"/>
      <c r="AE266" s="390"/>
      <c r="AF266" s="376"/>
      <c r="AG266" s="390"/>
      <c r="AH266" s="390"/>
      <c r="AI266" s="376"/>
      <c r="AJ266" s="390"/>
      <c r="AK266" s="3"/>
      <c r="AL266" s="522">
        <f t="shared" si="40"/>
        <v>0</v>
      </c>
      <c r="AM266" s="44" t="str">
        <f t="shared" si="41"/>
        <v>-</v>
      </c>
      <c r="AQ266" s="588"/>
      <c r="AR266" s="284">
        <f t="shared" si="37"/>
        <v>0</v>
      </c>
      <c r="AS266" s="284">
        <f t="shared" si="38"/>
        <v>0</v>
      </c>
      <c r="AT266" s="284">
        <f t="shared" si="39"/>
        <v>0</v>
      </c>
    </row>
    <row r="267" spans="1:46">
      <c r="A267" s="77"/>
      <c r="B267" s="77"/>
      <c r="C267" s="401"/>
      <c r="D267" s="408"/>
      <c r="E267" s="77"/>
      <c r="F267" s="400"/>
      <c r="G267" s="400"/>
      <c r="H267" s="400"/>
      <c r="I267" s="400"/>
      <c r="J267" s="400"/>
      <c r="K267" s="77"/>
      <c r="L267" s="376"/>
      <c r="M267" s="376"/>
      <c r="N267" s="388"/>
      <c r="O267" s="388"/>
      <c r="P267" s="388"/>
      <c r="Q267" s="388"/>
      <c r="R267" s="388"/>
      <c r="S267" s="389"/>
      <c r="T267" s="388"/>
      <c r="U267" s="389"/>
      <c r="V267" s="388"/>
      <c r="W267" s="389"/>
      <c r="X267" s="376"/>
      <c r="Y267" s="390"/>
      <c r="Z267" s="376"/>
      <c r="AA267" s="390"/>
      <c r="AB267" s="376"/>
      <c r="AC267" s="390"/>
      <c r="AD267" s="376"/>
      <c r="AE267" s="390"/>
      <c r="AF267" s="376"/>
      <c r="AG267" s="390"/>
      <c r="AH267" s="390"/>
      <c r="AI267" s="376"/>
      <c r="AJ267" s="390"/>
      <c r="AK267" s="3"/>
      <c r="AL267" s="522">
        <f t="shared" si="40"/>
        <v>0</v>
      </c>
      <c r="AM267" s="44" t="str">
        <f t="shared" si="41"/>
        <v>-</v>
      </c>
      <c r="AQ267" s="588"/>
      <c r="AR267" s="284">
        <f t="shared" si="37"/>
        <v>0</v>
      </c>
      <c r="AS267" s="284">
        <f t="shared" si="38"/>
        <v>0</v>
      </c>
      <c r="AT267" s="284">
        <f t="shared" si="39"/>
        <v>0</v>
      </c>
    </row>
    <row r="268" spans="1:46">
      <c r="A268" s="77"/>
      <c r="B268" s="77"/>
      <c r="C268" s="401"/>
      <c r="D268" s="408"/>
      <c r="E268" s="77"/>
      <c r="F268" s="400"/>
      <c r="G268" s="400"/>
      <c r="H268" s="400"/>
      <c r="I268" s="400"/>
      <c r="J268" s="400"/>
      <c r="K268" s="77"/>
      <c r="L268" s="376"/>
      <c r="M268" s="376"/>
      <c r="N268" s="388"/>
      <c r="O268" s="388"/>
      <c r="P268" s="388"/>
      <c r="Q268" s="388"/>
      <c r="R268" s="388"/>
      <c r="S268" s="389"/>
      <c r="T268" s="388"/>
      <c r="U268" s="389"/>
      <c r="V268" s="388"/>
      <c r="W268" s="389"/>
      <c r="X268" s="376"/>
      <c r="Y268" s="390"/>
      <c r="Z268" s="376"/>
      <c r="AA268" s="390"/>
      <c r="AB268" s="376"/>
      <c r="AC268" s="390"/>
      <c r="AD268" s="376"/>
      <c r="AE268" s="390"/>
      <c r="AF268" s="376"/>
      <c r="AG268" s="390"/>
      <c r="AH268" s="390"/>
      <c r="AI268" s="376"/>
      <c r="AJ268" s="390"/>
      <c r="AK268" s="3"/>
      <c r="AL268" s="522">
        <f t="shared" si="40"/>
        <v>0</v>
      </c>
      <c r="AM268" s="44" t="str">
        <f t="shared" si="41"/>
        <v>-</v>
      </c>
      <c r="AQ268" s="588"/>
      <c r="AR268" s="284">
        <f t="shared" si="37"/>
        <v>0</v>
      </c>
      <c r="AS268" s="284">
        <f t="shared" si="38"/>
        <v>0</v>
      </c>
      <c r="AT268" s="284">
        <f t="shared" si="39"/>
        <v>0</v>
      </c>
    </row>
    <row r="269" spans="1:46">
      <c r="A269" s="77"/>
      <c r="B269" s="77"/>
      <c r="C269" s="401"/>
      <c r="D269" s="408"/>
      <c r="E269" s="77"/>
      <c r="F269" s="400"/>
      <c r="G269" s="400"/>
      <c r="H269" s="400"/>
      <c r="I269" s="400"/>
      <c r="J269" s="400"/>
      <c r="K269" s="77"/>
      <c r="L269" s="376"/>
      <c r="M269" s="376"/>
      <c r="N269" s="388"/>
      <c r="O269" s="388"/>
      <c r="P269" s="388"/>
      <c r="Q269" s="388"/>
      <c r="R269" s="388"/>
      <c r="S269" s="389"/>
      <c r="T269" s="388"/>
      <c r="U269" s="389"/>
      <c r="V269" s="388"/>
      <c r="W269" s="389"/>
      <c r="X269" s="376"/>
      <c r="Y269" s="390"/>
      <c r="Z269" s="376"/>
      <c r="AA269" s="390"/>
      <c r="AB269" s="376"/>
      <c r="AC269" s="390"/>
      <c r="AD269" s="376"/>
      <c r="AE269" s="390"/>
      <c r="AF269" s="376"/>
      <c r="AG269" s="390"/>
      <c r="AH269" s="390"/>
      <c r="AI269" s="376"/>
      <c r="AJ269" s="390"/>
      <c r="AK269" s="3"/>
      <c r="AL269" s="522">
        <f t="shared" si="40"/>
        <v>0</v>
      </c>
      <c r="AM269" s="44" t="str">
        <f t="shared" si="41"/>
        <v>-</v>
      </c>
      <c r="AQ269" s="588"/>
      <c r="AR269" s="284">
        <f t="shared" si="37"/>
        <v>0</v>
      </c>
      <c r="AS269" s="284">
        <f t="shared" si="38"/>
        <v>0</v>
      </c>
      <c r="AT269" s="284">
        <f t="shared" si="39"/>
        <v>0</v>
      </c>
    </row>
    <row r="270" spans="1:46">
      <c r="A270" s="77"/>
      <c r="B270" s="77"/>
      <c r="C270" s="401"/>
      <c r="D270" s="408"/>
      <c r="E270" s="77"/>
      <c r="F270" s="400"/>
      <c r="G270" s="400"/>
      <c r="H270" s="400"/>
      <c r="I270" s="400"/>
      <c r="J270" s="400"/>
      <c r="K270" s="77"/>
      <c r="L270" s="376"/>
      <c r="M270" s="376"/>
      <c r="N270" s="388"/>
      <c r="O270" s="388"/>
      <c r="P270" s="388"/>
      <c r="Q270" s="388"/>
      <c r="R270" s="388"/>
      <c r="S270" s="389"/>
      <c r="T270" s="388"/>
      <c r="U270" s="389"/>
      <c r="V270" s="388"/>
      <c r="W270" s="389"/>
      <c r="X270" s="376"/>
      <c r="Y270" s="390"/>
      <c r="Z270" s="376"/>
      <c r="AA270" s="390"/>
      <c r="AB270" s="376"/>
      <c r="AC270" s="390"/>
      <c r="AD270" s="376"/>
      <c r="AE270" s="390"/>
      <c r="AF270" s="376"/>
      <c r="AG270" s="390"/>
      <c r="AH270" s="390"/>
      <c r="AI270" s="376"/>
      <c r="AJ270" s="390"/>
      <c r="AK270" s="3"/>
      <c r="AL270" s="522">
        <f t="shared" si="40"/>
        <v>0</v>
      </c>
      <c r="AM270" s="44" t="str">
        <f t="shared" si="41"/>
        <v>-</v>
      </c>
      <c r="AQ270" s="588"/>
      <c r="AR270" s="284">
        <f t="shared" si="37"/>
        <v>0</v>
      </c>
      <c r="AS270" s="284">
        <f t="shared" si="38"/>
        <v>0</v>
      </c>
      <c r="AT270" s="284">
        <f t="shared" si="39"/>
        <v>0</v>
      </c>
    </row>
    <row r="271" spans="1:46">
      <c r="A271" s="77"/>
      <c r="B271" s="77"/>
      <c r="C271" s="401"/>
      <c r="D271" s="408"/>
      <c r="E271" s="77"/>
      <c r="F271" s="400"/>
      <c r="G271" s="400"/>
      <c r="H271" s="400"/>
      <c r="I271" s="400"/>
      <c r="J271" s="400"/>
      <c r="K271" s="77"/>
      <c r="L271" s="376"/>
      <c r="M271" s="376"/>
      <c r="N271" s="388"/>
      <c r="O271" s="388"/>
      <c r="P271" s="388"/>
      <c r="Q271" s="388"/>
      <c r="R271" s="388"/>
      <c r="S271" s="389"/>
      <c r="T271" s="388"/>
      <c r="U271" s="389"/>
      <c r="V271" s="388"/>
      <c r="W271" s="389"/>
      <c r="X271" s="376"/>
      <c r="Y271" s="390"/>
      <c r="Z271" s="376"/>
      <c r="AA271" s="390"/>
      <c r="AB271" s="376"/>
      <c r="AC271" s="390"/>
      <c r="AD271" s="376"/>
      <c r="AE271" s="390"/>
      <c r="AF271" s="376"/>
      <c r="AG271" s="390"/>
      <c r="AH271" s="390"/>
      <c r="AI271" s="376"/>
      <c r="AJ271" s="390"/>
      <c r="AK271" s="3"/>
      <c r="AL271" s="522">
        <f t="shared" si="40"/>
        <v>0</v>
      </c>
      <c r="AM271" s="44" t="str">
        <f t="shared" si="41"/>
        <v>-</v>
      </c>
      <c r="AQ271" s="588"/>
      <c r="AR271" s="284">
        <f t="shared" si="37"/>
        <v>0</v>
      </c>
      <c r="AS271" s="284">
        <f t="shared" si="38"/>
        <v>0</v>
      </c>
      <c r="AT271" s="284">
        <f t="shared" si="39"/>
        <v>0</v>
      </c>
    </row>
    <row r="272" spans="1:46">
      <c r="A272" s="77"/>
      <c r="B272" s="77"/>
      <c r="C272" s="401"/>
      <c r="D272" s="408"/>
      <c r="E272" s="77"/>
      <c r="F272" s="400"/>
      <c r="G272" s="400"/>
      <c r="H272" s="400"/>
      <c r="I272" s="400"/>
      <c r="J272" s="400"/>
      <c r="K272" s="77"/>
      <c r="L272" s="376"/>
      <c r="M272" s="376"/>
      <c r="N272" s="388"/>
      <c r="O272" s="388"/>
      <c r="P272" s="388"/>
      <c r="Q272" s="388"/>
      <c r="R272" s="388"/>
      <c r="S272" s="389"/>
      <c r="T272" s="388"/>
      <c r="U272" s="389"/>
      <c r="V272" s="388"/>
      <c r="W272" s="389"/>
      <c r="X272" s="376"/>
      <c r="Y272" s="390"/>
      <c r="Z272" s="376"/>
      <c r="AA272" s="390"/>
      <c r="AB272" s="376"/>
      <c r="AC272" s="390"/>
      <c r="AD272" s="376"/>
      <c r="AE272" s="390"/>
      <c r="AF272" s="376"/>
      <c r="AG272" s="390"/>
      <c r="AH272" s="390"/>
      <c r="AI272" s="376"/>
      <c r="AJ272" s="390"/>
      <c r="AK272" s="3"/>
      <c r="AL272" s="522">
        <f t="shared" si="40"/>
        <v>0</v>
      </c>
      <c r="AM272" s="44" t="str">
        <f t="shared" si="41"/>
        <v>-</v>
      </c>
      <c r="AQ272" s="588"/>
      <c r="AR272" s="284">
        <f t="shared" si="37"/>
        <v>0</v>
      </c>
      <c r="AS272" s="284">
        <f t="shared" si="38"/>
        <v>0</v>
      </c>
      <c r="AT272" s="284">
        <f t="shared" si="39"/>
        <v>0</v>
      </c>
    </row>
    <row r="273" spans="1:46">
      <c r="A273" s="77"/>
      <c r="B273" s="77"/>
      <c r="C273" s="401"/>
      <c r="D273" s="408"/>
      <c r="E273" s="77"/>
      <c r="F273" s="400"/>
      <c r="G273" s="400"/>
      <c r="H273" s="400"/>
      <c r="I273" s="400"/>
      <c r="J273" s="400"/>
      <c r="K273" s="77"/>
      <c r="L273" s="376"/>
      <c r="M273" s="376"/>
      <c r="N273" s="388"/>
      <c r="O273" s="388"/>
      <c r="P273" s="388"/>
      <c r="Q273" s="388"/>
      <c r="R273" s="388"/>
      <c r="S273" s="389"/>
      <c r="T273" s="388"/>
      <c r="U273" s="389"/>
      <c r="V273" s="388"/>
      <c r="W273" s="389"/>
      <c r="X273" s="376"/>
      <c r="Y273" s="390"/>
      <c r="Z273" s="376"/>
      <c r="AA273" s="390"/>
      <c r="AB273" s="376"/>
      <c r="AC273" s="390"/>
      <c r="AD273" s="376"/>
      <c r="AE273" s="390"/>
      <c r="AF273" s="376"/>
      <c r="AG273" s="390"/>
      <c r="AH273" s="390"/>
      <c r="AI273" s="376"/>
      <c r="AJ273" s="390"/>
      <c r="AK273" s="3"/>
      <c r="AL273" s="522">
        <f t="shared" si="40"/>
        <v>0</v>
      </c>
      <c r="AM273" s="44" t="str">
        <f t="shared" si="41"/>
        <v>-</v>
      </c>
      <c r="AQ273" s="588"/>
      <c r="AR273" s="284">
        <f t="shared" si="37"/>
        <v>0</v>
      </c>
      <c r="AS273" s="284">
        <f t="shared" si="38"/>
        <v>0</v>
      </c>
      <c r="AT273" s="284">
        <f t="shared" si="39"/>
        <v>0</v>
      </c>
    </row>
    <row r="274" spans="1:46">
      <c r="A274" s="77"/>
      <c r="B274" s="77"/>
      <c r="C274" s="401"/>
      <c r="D274" s="408"/>
      <c r="E274" s="77"/>
      <c r="F274" s="400"/>
      <c r="G274" s="400"/>
      <c r="H274" s="400"/>
      <c r="I274" s="400"/>
      <c r="J274" s="400"/>
      <c r="K274" s="77"/>
      <c r="L274" s="376"/>
      <c r="M274" s="376"/>
      <c r="N274" s="388"/>
      <c r="O274" s="388"/>
      <c r="P274" s="388"/>
      <c r="Q274" s="388"/>
      <c r="R274" s="388"/>
      <c r="S274" s="389"/>
      <c r="T274" s="388"/>
      <c r="U274" s="389"/>
      <c r="V274" s="388"/>
      <c r="W274" s="389"/>
      <c r="X274" s="376"/>
      <c r="Y274" s="390"/>
      <c r="Z274" s="376"/>
      <c r="AA274" s="390"/>
      <c r="AB274" s="376"/>
      <c r="AC274" s="390"/>
      <c r="AD274" s="376"/>
      <c r="AE274" s="390"/>
      <c r="AF274" s="376"/>
      <c r="AG274" s="390"/>
      <c r="AH274" s="390"/>
      <c r="AI274" s="376"/>
      <c r="AJ274" s="390"/>
      <c r="AK274" s="3"/>
      <c r="AL274" s="522">
        <f t="shared" si="40"/>
        <v>0</v>
      </c>
      <c r="AM274" s="44" t="str">
        <f t="shared" si="41"/>
        <v>-</v>
      </c>
      <c r="AQ274" s="588"/>
      <c r="AR274" s="284">
        <f t="shared" si="37"/>
        <v>0</v>
      </c>
      <c r="AS274" s="284">
        <f t="shared" si="38"/>
        <v>0</v>
      </c>
      <c r="AT274" s="284">
        <f t="shared" si="39"/>
        <v>0</v>
      </c>
    </row>
    <row r="275" spans="1:46">
      <c r="A275" s="77"/>
      <c r="B275" s="77"/>
      <c r="C275" s="401"/>
      <c r="D275" s="408"/>
      <c r="E275" s="77"/>
      <c r="F275" s="400"/>
      <c r="G275" s="400"/>
      <c r="H275" s="400"/>
      <c r="I275" s="400"/>
      <c r="J275" s="400"/>
      <c r="K275" s="77"/>
      <c r="L275" s="376"/>
      <c r="M275" s="376"/>
      <c r="N275" s="388"/>
      <c r="O275" s="388"/>
      <c r="P275" s="388"/>
      <c r="Q275" s="388"/>
      <c r="R275" s="388"/>
      <c r="S275" s="389"/>
      <c r="T275" s="388"/>
      <c r="U275" s="389"/>
      <c r="V275" s="388"/>
      <c r="W275" s="389"/>
      <c r="X275" s="376"/>
      <c r="Y275" s="390"/>
      <c r="Z275" s="376"/>
      <c r="AA275" s="390"/>
      <c r="AB275" s="376"/>
      <c r="AC275" s="390"/>
      <c r="AD275" s="376"/>
      <c r="AE275" s="390"/>
      <c r="AF275" s="376"/>
      <c r="AG275" s="390"/>
      <c r="AH275" s="390"/>
      <c r="AI275" s="376"/>
      <c r="AJ275" s="390"/>
      <c r="AK275" s="3"/>
      <c r="AL275" s="522">
        <f t="shared" si="40"/>
        <v>0</v>
      </c>
      <c r="AM275" s="44" t="str">
        <f t="shared" si="41"/>
        <v>-</v>
      </c>
      <c r="AQ275" s="588"/>
      <c r="AR275" s="284">
        <f t="shared" si="37"/>
        <v>0</v>
      </c>
      <c r="AS275" s="284">
        <f t="shared" si="38"/>
        <v>0</v>
      </c>
      <c r="AT275" s="284">
        <f t="shared" si="39"/>
        <v>0</v>
      </c>
    </row>
    <row r="276" spans="1:46">
      <c r="A276" s="77"/>
      <c r="B276" s="77"/>
      <c r="C276" s="401"/>
      <c r="D276" s="408"/>
      <c r="E276" s="77"/>
      <c r="F276" s="400"/>
      <c r="G276" s="400"/>
      <c r="H276" s="400"/>
      <c r="I276" s="400"/>
      <c r="J276" s="400"/>
      <c r="K276" s="77"/>
      <c r="L276" s="376"/>
      <c r="M276" s="376"/>
      <c r="N276" s="388"/>
      <c r="O276" s="388"/>
      <c r="P276" s="388"/>
      <c r="Q276" s="388"/>
      <c r="R276" s="388"/>
      <c r="S276" s="389"/>
      <c r="T276" s="388"/>
      <c r="U276" s="389"/>
      <c r="V276" s="388"/>
      <c r="W276" s="389"/>
      <c r="X276" s="376"/>
      <c r="Y276" s="390"/>
      <c r="Z276" s="376"/>
      <c r="AA276" s="390"/>
      <c r="AB276" s="376"/>
      <c r="AC276" s="390"/>
      <c r="AD276" s="376"/>
      <c r="AE276" s="390"/>
      <c r="AF276" s="376"/>
      <c r="AG276" s="390"/>
      <c r="AH276" s="390"/>
      <c r="AI276" s="376"/>
      <c r="AJ276" s="390"/>
      <c r="AK276" s="3"/>
      <c r="AL276" s="522">
        <f t="shared" si="40"/>
        <v>0</v>
      </c>
      <c r="AM276" s="44" t="str">
        <f t="shared" si="41"/>
        <v>-</v>
      </c>
      <c r="AQ276" s="588"/>
      <c r="AR276" s="284">
        <f t="shared" si="37"/>
        <v>0</v>
      </c>
      <c r="AS276" s="284">
        <f t="shared" si="38"/>
        <v>0</v>
      </c>
      <c r="AT276" s="284">
        <f t="shared" si="39"/>
        <v>0</v>
      </c>
    </row>
    <row r="277" spans="1:46">
      <c r="A277" s="77"/>
      <c r="B277" s="77"/>
      <c r="C277" s="401"/>
      <c r="D277" s="408"/>
      <c r="E277" s="77"/>
      <c r="F277" s="400"/>
      <c r="G277" s="400"/>
      <c r="H277" s="400"/>
      <c r="I277" s="400"/>
      <c r="J277" s="400"/>
      <c r="K277" s="77"/>
      <c r="L277" s="376"/>
      <c r="M277" s="376"/>
      <c r="N277" s="388"/>
      <c r="O277" s="388"/>
      <c r="P277" s="388"/>
      <c r="Q277" s="388"/>
      <c r="R277" s="388"/>
      <c r="S277" s="389"/>
      <c r="T277" s="388"/>
      <c r="U277" s="389"/>
      <c r="V277" s="388"/>
      <c r="W277" s="389"/>
      <c r="X277" s="376"/>
      <c r="Y277" s="390"/>
      <c r="Z277" s="376"/>
      <c r="AA277" s="390"/>
      <c r="AB277" s="376"/>
      <c r="AC277" s="390"/>
      <c r="AD277" s="376"/>
      <c r="AE277" s="390"/>
      <c r="AF277" s="376"/>
      <c r="AG277" s="390"/>
      <c r="AH277" s="390"/>
      <c r="AI277" s="376"/>
      <c r="AJ277" s="390"/>
      <c r="AK277" s="3"/>
      <c r="AL277" s="522">
        <f t="shared" si="40"/>
        <v>0</v>
      </c>
      <c r="AM277" s="44" t="str">
        <f t="shared" si="41"/>
        <v>-</v>
      </c>
      <c r="AQ277" s="588"/>
      <c r="AR277" s="284">
        <f t="shared" si="37"/>
        <v>0</v>
      </c>
      <c r="AS277" s="284">
        <f t="shared" si="38"/>
        <v>0</v>
      </c>
      <c r="AT277" s="284">
        <f t="shared" si="39"/>
        <v>0</v>
      </c>
    </row>
    <row r="278" spans="1:46">
      <c r="A278" s="77"/>
      <c r="B278" s="77"/>
      <c r="C278" s="401"/>
      <c r="D278" s="408"/>
      <c r="E278" s="77"/>
      <c r="F278" s="400"/>
      <c r="G278" s="400"/>
      <c r="H278" s="400"/>
      <c r="I278" s="400"/>
      <c r="J278" s="400"/>
      <c r="K278" s="77"/>
      <c r="L278" s="376"/>
      <c r="M278" s="376"/>
      <c r="N278" s="388"/>
      <c r="O278" s="388"/>
      <c r="P278" s="388"/>
      <c r="Q278" s="388"/>
      <c r="R278" s="388"/>
      <c r="S278" s="389"/>
      <c r="T278" s="388"/>
      <c r="U278" s="389"/>
      <c r="V278" s="388"/>
      <c r="W278" s="389"/>
      <c r="X278" s="376"/>
      <c r="Y278" s="390"/>
      <c r="Z278" s="376"/>
      <c r="AA278" s="390"/>
      <c r="AB278" s="376"/>
      <c r="AC278" s="390"/>
      <c r="AD278" s="376"/>
      <c r="AE278" s="390"/>
      <c r="AF278" s="376"/>
      <c r="AG278" s="390"/>
      <c r="AH278" s="390"/>
      <c r="AI278" s="376"/>
      <c r="AJ278" s="390"/>
      <c r="AK278" s="3"/>
      <c r="AL278" s="522">
        <f t="shared" si="40"/>
        <v>0</v>
      </c>
      <c r="AM278" s="44" t="str">
        <f t="shared" si="41"/>
        <v>-</v>
      </c>
      <c r="AQ278" s="588"/>
      <c r="AR278" s="284">
        <f t="shared" si="37"/>
        <v>0</v>
      </c>
      <c r="AS278" s="284">
        <f t="shared" si="38"/>
        <v>0</v>
      </c>
      <c r="AT278" s="284">
        <f t="shared" si="39"/>
        <v>0</v>
      </c>
    </row>
    <row r="279" spans="1:46">
      <c r="A279" s="77"/>
      <c r="B279" s="77"/>
      <c r="C279" s="401"/>
      <c r="D279" s="408"/>
      <c r="E279" s="77"/>
      <c r="F279" s="400"/>
      <c r="G279" s="400"/>
      <c r="H279" s="400"/>
      <c r="I279" s="400"/>
      <c r="J279" s="400"/>
      <c r="K279" s="77"/>
      <c r="L279" s="376"/>
      <c r="M279" s="376"/>
      <c r="N279" s="388"/>
      <c r="O279" s="388"/>
      <c r="P279" s="388"/>
      <c r="Q279" s="388"/>
      <c r="R279" s="388"/>
      <c r="S279" s="389"/>
      <c r="T279" s="388"/>
      <c r="U279" s="389"/>
      <c r="V279" s="388"/>
      <c r="W279" s="389"/>
      <c r="X279" s="376"/>
      <c r="Y279" s="390"/>
      <c r="Z279" s="376"/>
      <c r="AA279" s="390"/>
      <c r="AB279" s="376"/>
      <c r="AC279" s="390"/>
      <c r="AD279" s="376"/>
      <c r="AE279" s="390"/>
      <c r="AF279" s="376"/>
      <c r="AG279" s="390"/>
      <c r="AH279" s="390"/>
      <c r="AI279" s="376"/>
      <c r="AJ279" s="390"/>
      <c r="AK279" s="3"/>
      <c r="AL279" s="522">
        <f t="shared" si="40"/>
        <v>0</v>
      </c>
      <c r="AM279" s="44" t="str">
        <f t="shared" si="41"/>
        <v>-</v>
      </c>
      <c r="AQ279" s="588"/>
      <c r="AR279" s="284">
        <f t="shared" si="37"/>
        <v>0</v>
      </c>
      <c r="AS279" s="284">
        <f t="shared" si="38"/>
        <v>0</v>
      </c>
      <c r="AT279" s="284">
        <f t="shared" si="39"/>
        <v>0</v>
      </c>
    </row>
    <row r="280" spans="1:46">
      <c r="A280" s="77"/>
      <c r="B280" s="77"/>
      <c r="C280" s="401"/>
      <c r="D280" s="408"/>
      <c r="E280" s="77"/>
      <c r="F280" s="400"/>
      <c r="G280" s="400"/>
      <c r="H280" s="400"/>
      <c r="I280" s="400"/>
      <c r="J280" s="400"/>
      <c r="K280" s="77"/>
      <c r="L280" s="376"/>
      <c r="M280" s="376"/>
      <c r="N280" s="388"/>
      <c r="O280" s="388"/>
      <c r="P280" s="388"/>
      <c r="Q280" s="388"/>
      <c r="R280" s="388"/>
      <c r="S280" s="389"/>
      <c r="T280" s="388"/>
      <c r="U280" s="389"/>
      <c r="V280" s="388"/>
      <c r="W280" s="389"/>
      <c r="X280" s="376"/>
      <c r="Y280" s="390"/>
      <c r="Z280" s="376"/>
      <c r="AA280" s="390"/>
      <c r="AB280" s="376"/>
      <c r="AC280" s="390"/>
      <c r="AD280" s="376"/>
      <c r="AE280" s="390"/>
      <c r="AF280" s="376"/>
      <c r="AG280" s="390"/>
      <c r="AH280" s="390"/>
      <c r="AI280" s="376"/>
      <c r="AJ280" s="390"/>
      <c r="AK280" s="3"/>
      <c r="AL280" s="522">
        <f t="shared" si="40"/>
        <v>0</v>
      </c>
      <c r="AM280" s="44" t="str">
        <f t="shared" si="41"/>
        <v>-</v>
      </c>
      <c r="AQ280" s="588"/>
      <c r="AR280" s="284">
        <f t="shared" ref="AR280:AR328" si="42">A280</f>
        <v>0</v>
      </c>
      <c r="AS280" s="284">
        <f t="shared" si="38"/>
        <v>0</v>
      </c>
      <c r="AT280" s="284">
        <f t="shared" si="39"/>
        <v>0</v>
      </c>
    </row>
    <row r="281" spans="1:46">
      <c r="A281" s="77"/>
      <c r="B281" s="77"/>
      <c r="C281" s="401"/>
      <c r="D281" s="408"/>
      <c r="E281" s="77"/>
      <c r="F281" s="400"/>
      <c r="G281" s="400"/>
      <c r="H281" s="400"/>
      <c r="I281" s="400"/>
      <c r="J281" s="400"/>
      <c r="K281" s="77"/>
      <c r="L281" s="376"/>
      <c r="M281" s="376"/>
      <c r="N281" s="388"/>
      <c r="O281" s="388"/>
      <c r="P281" s="388"/>
      <c r="Q281" s="388"/>
      <c r="R281" s="388"/>
      <c r="S281" s="389"/>
      <c r="T281" s="388"/>
      <c r="U281" s="389"/>
      <c r="V281" s="388"/>
      <c r="W281" s="389"/>
      <c r="X281" s="376"/>
      <c r="Y281" s="390"/>
      <c r="Z281" s="376"/>
      <c r="AA281" s="390"/>
      <c r="AB281" s="376"/>
      <c r="AC281" s="390"/>
      <c r="AD281" s="376"/>
      <c r="AE281" s="390"/>
      <c r="AF281" s="376"/>
      <c r="AG281" s="390"/>
      <c r="AH281" s="390"/>
      <c r="AI281" s="376"/>
      <c r="AJ281" s="390"/>
      <c r="AK281" s="3"/>
      <c r="AL281" s="522">
        <f t="shared" si="40"/>
        <v>0</v>
      </c>
      <c r="AM281" s="44" t="str">
        <f t="shared" si="41"/>
        <v>-</v>
      </c>
      <c r="AQ281" s="588"/>
      <c r="AR281" s="284">
        <f t="shared" si="42"/>
        <v>0</v>
      </c>
      <c r="AS281" s="284">
        <f t="shared" si="38"/>
        <v>0</v>
      </c>
      <c r="AT281" s="284">
        <f t="shared" si="39"/>
        <v>0</v>
      </c>
    </row>
    <row r="282" spans="1:46">
      <c r="A282" s="77"/>
      <c r="B282" s="77"/>
      <c r="C282" s="401"/>
      <c r="D282" s="408"/>
      <c r="E282" s="77"/>
      <c r="F282" s="400"/>
      <c r="G282" s="400"/>
      <c r="H282" s="400"/>
      <c r="I282" s="400"/>
      <c r="J282" s="400"/>
      <c r="K282" s="77"/>
      <c r="L282" s="376"/>
      <c r="M282" s="376"/>
      <c r="N282" s="388"/>
      <c r="O282" s="388"/>
      <c r="P282" s="388"/>
      <c r="Q282" s="388"/>
      <c r="R282" s="388"/>
      <c r="S282" s="389"/>
      <c r="T282" s="388"/>
      <c r="U282" s="389"/>
      <c r="V282" s="388"/>
      <c r="W282" s="389"/>
      <c r="X282" s="376"/>
      <c r="Y282" s="390"/>
      <c r="Z282" s="376"/>
      <c r="AA282" s="390"/>
      <c r="AB282" s="376"/>
      <c r="AC282" s="390"/>
      <c r="AD282" s="376"/>
      <c r="AE282" s="390"/>
      <c r="AF282" s="376"/>
      <c r="AG282" s="390"/>
      <c r="AH282" s="390"/>
      <c r="AI282" s="376"/>
      <c r="AJ282" s="390"/>
      <c r="AK282" s="3"/>
      <c r="AL282" s="522">
        <f t="shared" si="40"/>
        <v>0</v>
      </c>
      <c r="AM282" s="44" t="str">
        <f t="shared" si="41"/>
        <v>-</v>
      </c>
      <c r="AQ282" s="588"/>
      <c r="AR282" s="284">
        <f t="shared" si="42"/>
        <v>0</v>
      </c>
      <c r="AS282" s="284">
        <f t="shared" si="38"/>
        <v>0</v>
      </c>
      <c r="AT282" s="284">
        <f t="shared" si="39"/>
        <v>0</v>
      </c>
    </row>
    <row r="283" spans="1:46">
      <c r="A283" s="77"/>
      <c r="B283" s="77"/>
      <c r="C283" s="401"/>
      <c r="D283" s="408"/>
      <c r="E283" s="77"/>
      <c r="F283" s="400"/>
      <c r="G283" s="400"/>
      <c r="H283" s="400"/>
      <c r="I283" s="400"/>
      <c r="J283" s="400"/>
      <c r="K283" s="77"/>
      <c r="L283" s="376"/>
      <c r="M283" s="376"/>
      <c r="N283" s="388"/>
      <c r="O283" s="388"/>
      <c r="P283" s="388"/>
      <c r="Q283" s="388"/>
      <c r="R283" s="388"/>
      <c r="S283" s="389"/>
      <c r="T283" s="388"/>
      <c r="U283" s="389"/>
      <c r="V283" s="388"/>
      <c r="W283" s="389"/>
      <c r="X283" s="376"/>
      <c r="Y283" s="390"/>
      <c r="Z283" s="376"/>
      <c r="AA283" s="390"/>
      <c r="AB283" s="376"/>
      <c r="AC283" s="390"/>
      <c r="AD283" s="376"/>
      <c r="AE283" s="390"/>
      <c r="AF283" s="376"/>
      <c r="AG283" s="390"/>
      <c r="AH283" s="390"/>
      <c r="AI283" s="376"/>
      <c r="AJ283" s="390"/>
      <c r="AK283" s="3"/>
      <c r="AL283" s="522">
        <f t="shared" si="40"/>
        <v>0</v>
      </c>
      <c r="AM283" s="44" t="str">
        <f t="shared" si="41"/>
        <v>-</v>
      </c>
      <c r="AQ283" s="588"/>
      <c r="AR283" s="284">
        <f t="shared" si="42"/>
        <v>0</v>
      </c>
      <c r="AS283" s="284">
        <f t="shared" si="38"/>
        <v>0</v>
      </c>
      <c r="AT283" s="284">
        <f t="shared" si="39"/>
        <v>0</v>
      </c>
    </row>
    <row r="284" spans="1:46">
      <c r="A284" s="77"/>
      <c r="B284" s="77"/>
      <c r="C284" s="401"/>
      <c r="D284" s="408"/>
      <c r="E284" s="77"/>
      <c r="F284" s="400"/>
      <c r="G284" s="400"/>
      <c r="H284" s="400"/>
      <c r="I284" s="400"/>
      <c r="J284" s="400"/>
      <c r="K284" s="77"/>
      <c r="L284" s="376"/>
      <c r="M284" s="376"/>
      <c r="N284" s="388"/>
      <c r="O284" s="388"/>
      <c r="P284" s="388"/>
      <c r="Q284" s="388"/>
      <c r="R284" s="388"/>
      <c r="S284" s="389"/>
      <c r="T284" s="388"/>
      <c r="U284" s="389"/>
      <c r="V284" s="388"/>
      <c r="W284" s="389"/>
      <c r="X284" s="376"/>
      <c r="Y284" s="390"/>
      <c r="Z284" s="376"/>
      <c r="AA284" s="390"/>
      <c r="AB284" s="376"/>
      <c r="AC284" s="390"/>
      <c r="AD284" s="376"/>
      <c r="AE284" s="390"/>
      <c r="AF284" s="376"/>
      <c r="AG284" s="390"/>
      <c r="AH284" s="390"/>
      <c r="AI284" s="376"/>
      <c r="AJ284" s="390"/>
      <c r="AK284" s="3"/>
      <c r="AL284" s="522">
        <f t="shared" si="40"/>
        <v>0</v>
      </c>
      <c r="AM284" s="44" t="str">
        <f t="shared" si="41"/>
        <v>-</v>
      </c>
      <c r="AQ284" s="588"/>
      <c r="AR284" s="284">
        <f t="shared" si="42"/>
        <v>0</v>
      </c>
      <c r="AS284" s="284">
        <f t="shared" si="38"/>
        <v>0</v>
      </c>
      <c r="AT284" s="284">
        <f t="shared" si="39"/>
        <v>0</v>
      </c>
    </row>
    <row r="285" spans="1:46">
      <c r="A285" s="77"/>
      <c r="B285" s="77"/>
      <c r="C285" s="401"/>
      <c r="D285" s="408"/>
      <c r="E285" s="77"/>
      <c r="F285" s="400"/>
      <c r="G285" s="400"/>
      <c r="H285" s="400"/>
      <c r="I285" s="400"/>
      <c r="J285" s="400"/>
      <c r="K285" s="77"/>
      <c r="L285" s="376"/>
      <c r="M285" s="376"/>
      <c r="N285" s="388"/>
      <c r="O285" s="388"/>
      <c r="P285" s="388"/>
      <c r="Q285" s="388"/>
      <c r="R285" s="388"/>
      <c r="S285" s="389"/>
      <c r="T285" s="388"/>
      <c r="U285" s="389"/>
      <c r="V285" s="388"/>
      <c r="W285" s="389"/>
      <c r="X285" s="376"/>
      <c r="Y285" s="390"/>
      <c r="Z285" s="376"/>
      <c r="AA285" s="390"/>
      <c r="AB285" s="376"/>
      <c r="AC285" s="390"/>
      <c r="AD285" s="376"/>
      <c r="AE285" s="390"/>
      <c r="AF285" s="376"/>
      <c r="AG285" s="390"/>
      <c r="AH285" s="390"/>
      <c r="AI285" s="376"/>
      <c r="AJ285" s="390"/>
      <c r="AK285" s="3"/>
      <c r="AL285" s="522">
        <f t="shared" si="40"/>
        <v>0</v>
      </c>
      <c r="AM285" s="44" t="str">
        <f t="shared" si="41"/>
        <v>-</v>
      </c>
      <c r="AQ285" s="588"/>
      <c r="AR285" s="284">
        <f t="shared" si="42"/>
        <v>0</v>
      </c>
      <c r="AS285" s="284">
        <f t="shared" si="38"/>
        <v>0</v>
      </c>
      <c r="AT285" s="284">
        <f t="shared" si="39"/>
        <v>0</v>
      </c>
    </row>
    <row r="286" spans="1:46">
      <c r="A286" s="77"/>
      <c r="B286" s="77"/>
      <c r="C286" s="401"/>
      <c r="D286" s="408"/>
      <c r="E286" s="77"/>
      <c r="F286" s="400"/>
      <c r="G286" s="400"/>
      <c r="H286" s="400"/>
      <c r="I286" s="400"/>
      <c r="J286" s="400"/>
      <c r="K286" s="77"/>
      <c r="L286" s="376"/>
      <c r="M286" s="376"/>
      <c r="N286" s="388"/>
      <c r="O286" s="388"/>
      <c r="P286" s="388"/>
      <c r="Q286" s="388"/>
      <c r="R286" s="388"/>
      <c r="S286" s="389"/>
      <c r="T286" s="388"/>
      <c r="U286" s="389"/>
      <c r="V286" s="388"/>
      <c r="W286" s="389"/>
      <c r="X286" s="376"/>
      <c r="Y286" s="390"/>
      <c r="Z286" s="376"/>
      <c r="AA286" s="390"/>
      <c r="AB286" s="376"/>
      <c r="AC286" s="390"/>
      <c r="AD286" s="376"/>
      <c r="AE286" s="390"/>
      <c r="AF286" s="376"/>
      <c r="AG286" s="390"/>
      <c r="AH286" s="390"/>
      <c r="AI286" s="376"/>
      <c r="AJ286" s="390"/>
      <c r="AK286" s="3"/>
      <c r="AL286" s="522">
        <f t="shared" si="40"/>
        <v>0</v>
      </c>
      <c r="AM286" s="44" t="str">
        <f t="shared" si="41"/>
        <v>-</v>
      </c>
      <c r="AQ286" s="588"/>
      <c r="AR286" s="284">
        <f t="shared" si="42"/>
        <v>0</v>
      </c>
      <c r="AS286" s="284">
        <f t="shared" si="38"/>
        <v>0</v>
      </c>
      <c r="AT286" s="284">
        <f t="shared" si="39"/>
        <v>0</v>
      </c>
    </row>
    <row r="287" spans="1:46">
      <c r="A287" s="77"/>
      <c r="B287" s="77"/>
      <c r="C287" s="401"/>
      <c r="D287" s="408"/>
      <c r="E287" s="77"/>
      <c r="F287" s="400"/>
      <c r="G287" s="400"/>
      <c r="H287" s="400"/>
      <c r="I287" s="400"/>
      <c r="J287" s="400"/>
      <c r="K287" s="77"/>
      <c r="L287" s="376"/>
      <c r="M287" s="376"/>
      <c r="N287" s="388"/>
      <c r="O287" s="388"/>
      <c r="P287" s="388"/>
      <c r="Q287" s="388"/>
      <c r="R287" s="388"/>
      <c r="S287" s="389"/>
      <c r="T287" s="388"/>
      <c r="U287" s="389"/>
      <c r="V287" s="388"/>
      <c r="W287" s="389"/>
      <c r="X287" s="376"/>
      <c r="Y287" s="390"/>
      <c r="Z287" s="376"/>
      <c r="AA287" s="390"/>
      <c r="AB287" s="376"/>
      <c r="AC287" s="390"/>
      <c r="AD287" s="376"/>
      <c r="AE287" s="390"/>
      <c r="AF287" s="376"/>
      <c r="AG287" s="390"/>
      <c r="AH287" s="390"/>
      <c r="AI287" s="376"/>
      <c r="AJ287" s="390"/>
      <c r="AK287" s="3"/>
      <c r="AL287" s="522">
        <f t="shared" si="40"/>
        <v>0</v>
      </c>
      <c r="AM287" s="44" t="str">
        <f t="shared" si="41"/>
        <v>-</v>
      </c>
      <c r="AQ287" s="588"/>
      <c r="AR287" s="284">
        <f t="shared" si="42"/>
        <v>0</v>
      </c>
      <c r="AS287" s="284">
        <f t="shared" si="38"/>
        <v>0</v>
      </c>
      <c r="AT287" s="284">
        <f t="shared" si="39"/>
        <v>0</v>
      </c>
    </row>
    <row r="288" spans="1:46">
      <c r="A288" s="77"/>
      <c r="B288" s="77"/>
      <c r="C288" s="401"/>
      <c r="D288" s="408"/>
      <c r="E288" s="77"/>
      <c r="F288" s="400"/>
      <c r="G288" s="400"/>
      <c r="H288" s="400"/>
      <c r="I288" s="400"/>
      <c r="J288" s="400"/>
      <c r="K288" s="77"/>
      <c r="L288" s="376"/>
      <c r="M288" s="376"/>
      <c r="N288" s="388"/>
      <c r="O288" s="388"/>
      <c r="P288" s="388"/>
      <c r="Q288" s="388"/>
      <c r="R288" s="388"/>
      <c r="S288" s="389"/>
      <c r="T288" s="388"/>
      <c r="U288" s="389"/>
      <c r="V288" s="388"/>
      <c r="W288" s="389"/>
      <c r="X288" s="376"/>
      <c r="Y288" s="390"/>
      <c r="Z288" s="376"/>
      <c r="AA288" s="390"/>
      <c r="AB288" s="376"/>
      <c r="AC288" s="390"/>
      <c r="AD288" s="376"/>
      <c r="AE288" s="390"/>
      <c r="AF288" s="376"/>
      <c r="AG288" s="390"/>
      <c r="AH288" s="390"/>
      <c r="AI288" s="376"/>
      <c r="AJ288" s="390"/>
      <c r="AK288" s="3"/>
      <c r="AL288" s="522">
        <f t="shared" si="40"/>
        <v>0</v>
      </c>
      <c r="AM288" s="44" t="str">
        <f t="shared" si="41"/>
        <v>-</v>
      </c>
      <c r="AQ288" s="588"/>
      <c r="AR288" s="284">
        <f t="shared" si="42"/>
        <v>0</v>
      </c>
      <c r="AS288" s="284">
        <f t="shared" ref="AS288:AS320" si="43">B288</f>
        <v>0</v>
      </c>
      <c r="AT288" s="284">
        <f t="shared" ref="AT288:AT320" si="44">E288</f>
        <v>0</v>
      </c>
    </row>
    <row r="289" spans="1:46">
      <c r="A289" s="77"/>
      <c r="B289" s="77"/>
      <c r="C289" s="401"/>
      <c r="D289" s="408"/>
      <c r="E289" s="77"/>
      <c r="F289" s="400"/>
      <c r="G289" s="400"/>
      <c r="H289" s="400"/>
      <c r="I289" s="400"/>
      <c r="J289" s="400"/>
      <c r="K289" s="77"/>
      <c r="L289" s="376"/>
      <c r="M289" s="376"/>
      <c r="N289" s="388"/>
      <c r="O289" s="388"/>
      <c r="P289" s="388"/>
      <c r="Q289" s="388"/>
      <c r="R289" s="388"/>
      <c r="S289" s="389"/>
      <c r="T289" s="388"/>
      <c r="U289" s="389"/>
      <c r="V289" s="388"/>
      <c r="W289" s="389"/>
      <c r="X289" s="376"/>
      <c r="Y289" s="390"/>
      <c r="Z289" s="376"/>
      <c r="AA289" s="390"/>
      <c r="AB289" s="376"/>
      <c r="AC289" s="390"/>
      <c r="AD289" s="376"/>
      <c r="AE289" s="390"/>
      <c r="AF289" s="376"/>
      <c r="AG289" s="390"/>
      <c r="AH289" s="390"/>
      <c r="AI289" s="376"/>
      <c r="AJ289" s="390"/>
      <c r="AK289" s="3"/>
      <c r="AL289" s="522">
        <f t="shared" si="40"/>
        <v>0</v>
      </c>
      <c r="AM289" s="44" t="str">
        <f t="shared" si="41"/>
        <v>-</v>
      </c>
      <c r="AQ289" s="588"/>
      <c r="AR289" s="284">
        <f t="shared" si="42"/>
        <v>0</v>
      </c>
      <c r="AS289" s="284">
        <f t="shared" si="43"/>
        <v>0</v>
      </c>
      <c r="AT289" s="284">
        <f t="shared" si="44"/>
        <v>0</v>
      </c>
    </row>
    <row r="290" spans="1:46">
      <c r="A290" s="77"/>
      <c r="B290" s="77"/>
      <c r="C290" s="401"/>
      <c r="D290" s="408"/>
      <c r="E290" s="77"/>
      <c r="F290" s="400"/>
      <c r="G290" s="400"/>
      <c r="H290" s="400"/>
      <c r="I290" s="400"/>
      <c r="J290" s="400"/>
      <c r="K290" s="77"/>
      <c r="L290" s="376"/>
      <c r="M290" s="376"/>
      <c r="N290" s="388"/>
      <c r="O290" s="388"/>
      <c r="P290" s="388"/>
      <c r="Q290" s="388"/>
      <c r="R290" s="388"/>
      <c r="S290" s="389"/>
      <c r="T290" s="388"/>
      <c r="U290" s="389"/>
      <c r="V290" s="388"/>
      <c r="W290" s="389"/>
      <c r="X290" s="376"/>
      <c r="Y290" s="390"/>
      <c r="Z290" s="376"/>
      <c r="AA290" s="390"/>
      <c r="AB290" s="376"/>
      <c r="AC290" s="390"/>
      <c r="AD290" s="376"/>
      <c r="AE290" s="390"/>
      <c r="AF290" s="376"/>
      <c r="AG290" s="390"/>
      <c r="AH290" s="390"/>
      <c r="AI290" s="376"/>
      <c r="AJ290" s="390"/>
      <c r="AK290" s="3"/>
      <c r="AL290" s="522">
        <f t="shared" si="40"/>
        <v>0</v>
      </c>
      <c r="AM290" s="44" t="str">
        <f t="shared" si="41"/>
        <v>-</v>
      </c>
      <c r="AQ290" s="588"/>
      <c r="AR290" s="284">
        <f t="shared" si="42"/>
        <v>0</v>
      </c>
      <c r="AS290" s="284">
        <f t="shared" si="43"/>
        <v>0</v>
      </c>
      <c r="AT290" s="284">
        <f t="shared" si="44"/>
        <v>0</v>
      </c>
    </row>
    <row r="291" spans="1:46">
      <c r="A291" s="77"/>
      <c r="B291" s="77"/>
      <c r="C291" s="401"/>
      <c r="D291" s="408"/>
      <c r="E291" s="77"/>
      <c r="F291" s="400"/>
      <c r="G291" s="400"/>
      <c r="H291" s="400"/>
      <c r="I291" s="400"/>
      <c r="J291" s="400"/>
      <c r="K291" s="77"/>
      <c r="L291" s="376"/>
      <c r="M291" s="376"/>
      <c r="N291" s="388"/>
      <c r="O291" s="388"/>
      <c r="P291" s="388"/>
      <c r="Q291" s="388"/>
      <c r="R291" s="388"/>
      <c r="S291" s="389"/>
      <c r="T291" s="388"/>
      <c r="U291" s="389"/>
      <c r="V291" s="388"/>
      <c r="W291" s="389"/>
      <c r="X291" s="376"/>
      <c r="Y291" s="390"/>
      <c r="Z291" s="376"/>
      <c r="AA291" s="390"/>
      <c r="AB291" s="376"/>
      <c r="AC291" s="390"/>
      <c r="AD291" s="376"/>
      <c r="AE291" s="390"/>
      <c r="AF291" s="376"/>
      <c r="AG291" s="390"/>
      <c r="AH291" s="390"/>
      <c r="AI291" s="376"/>
      <c r="AJ291" s="390"/>
      <c r="AK291" s="3"/>
      <c r="AL291" s="522">
        <f t="shared" si="40"/>
        <v>0</v>
      </c>
      <c r="AM291" s="44" t="str">
        <f t="shared" si="41"/>
        <v>-</v>
      </c>
      <c r="AQ291" s="588"/>
      <c r="AR291" s="284">
        <f t="shared" si="42"/>
        <v>0</v>
      </c>
      <c r="AS291" s="284">
        <f t="shared" si="43"/>
        <v>0</v>
      </c>
      <c r="AT291" s="284">
        <f t="shared" si="44"/>
        <v>0</v>
      </c>
    </row>
    <row r="292" spans="1:46">
      <c r="A292" s="77"/>
      <c r="B292" s="77"/>
      <c r="C292" s="401"/>
      <c r="D292" s="408"/>
      <c r="E292" s="77"/>
      <c r="F292" s="400"/>
      <c r="G292" s="400"/>
      <c r="H292" s="400"/>
      <c r="I292" s="400"/>
      <c r="J292" s="400"/>
      <c r="K292" s="77"/>
      <c r="L292" s="376"/>
      <c r="M292" s="376"/>
      <c r="N292" s="388"/>
      <c r="O292" s="388"/>
      <c r="P292" s="388"/>
      <c r="Q292" s="388"/>
      <c r="R292" s="388"/>
      <c r="S292" s="389"/>
      <c r="T292" s="388"/>
      <c r="U292" s="389"/>
      <c r="V292" s="388"/>
      <c r="W292" s="389"/>
      <c r="X292" s="376"/>
      <c r="Y292" s="390"/>
      <c r="Z292" s="376"/>
      <c r="AA292" s="390"/>
      <c r="AB292" s="376"/>
      <c r="AC292" s="390"/>
      <c r="AD292" s="376"/>
      <c r="AE292" s="390"/>
      <c r="AF292" s="376"/>
      <c r="AG292" s="390"/>
      <c r="AH292" s="390"/>
      <c r="AI292" s="376"/>
      <c r="AJ292" s="390"/>
      <c r="AK292" s="3"/>
      <c r="AL292" s="522">
        <f t="shared" si="40"/>
        <v>0</v>
      </c>
      <c r="AM292" s="44" t="str">
        <f t="shared" si="41"/>
        <v>-</v>
      </c>
      <c r="AQ292" s="588"/>
      <c r="AR292" s="284">
        <f t="shared" si="42"/>
        <v>0</v>
      </c>
      <c r="AS292" s="284">
        <f t="shared" si="43"/>
        <v>0</v>
      </c>
      <c r="AT292" s="284">
        <f t="shared" si="44"/>
        <v>0</v>
      </c>
    </row>
    <row r="293" spans="1:46">
      <c r="A293" s="77"/>
      <c r="B293" s="77"/>
      <c r="C293" s="401"/>
      <c r="D293" s="408"/>
      <c r="E293" s="77"/>
      <c r="F293" s="400"/>
      <c r="G293" s="400"/>
      <c r="H293" s="400"/>
      <c r="I293" s="400"/>
      <c r="J293" s="400"/>
      <c r="K293" s="77"/>
      <c r="L293" s="376"/>
      <c r="M293" s="376"/>
      <c r="N293" s="388"/>
      <c r="O293" s="388"/>
      <c r="P293" s="388"/>
      <c r="Q293" s="388"/>
      <c r="R293" s="388"/>
      <c r="S293" s="389"/>
      <c r="T293" s="388"/>
      <c r="U293" s="389"/>
      <c r="V293" s="388"/>
      <c r="W293" s="389"/>
      <c r="X293" s="376"/>
      <c r="Y293" s="390"/>
      <c r="Z293" s="376"/>
      <c r="AA293" s="390"/>
      <c r="AB293" s="376"/>
      <c r="AC293" s="390"/>
      <c r="AD293" s="376"/>
      <c r="AE293" s="390"/>
      <c r="AF293" s="376"/>
      <c r="AG293" s="390"/>
      <c r="AH293" s="390"/>
      <c r="AI293" s="376"/>
      <c r="AJ293" s="390"/>
      <c r="AK293" s="3"/>
      <c r="AL293" s="522">
        <f t="shared" si="40"/>
        <v>0</v>
      </c>
      <c r="AM293" s="44" t="str">
        <f t="shared" si="41"/>
        <v>-</v>
      </c>
      <c r="AQ293" s="588"/>
      <c r="AR293" s="284">
        <f t="shared" si="42"/>
        <v>0</v>
      </c>
      <c r="AS293" s="284">
        <f t="shared" si="43"/>
        <v>0</v>
      </c>
      <c r="AT293" s="284">
        <f t="shared" si="44"/>
        <v>0</v>
      </c>
    </row>
    <row r="294" spans="1:46">
      <c r="A294" s="77"/>
      <c r="B294" s="77"/>
      <c r="C294" s="401"/>
      <c r="D294" s="408"/>
      <c r="E294" s="77"/>
      <c r="F294" s="400"/>
      <c r="G294" s="400"/>
      <c r="H294" s="400"/>
      <c r="I294" s="400"/>
      <c r="J294" s="400"/>
      <c r="K294" s="77"/>
      <c r="L294" s="376"/>
      <c r="M294" s="376"/>
      <c r="N294" s="388"/>
      <c r="O294" s="388"/>
      <c r="P294" s="388"/>
      <c r="Q294" s="388"/>
      <c r="R294" s="388"/>
      <c r="S294" s="389"/>
      <c r="T294" s="388"/>
      <c r="U294" s="389"/>
      <c r="V294" s="388"/>
      <c r="W294" s="389"/>
      <c r="X294" s="376"/>
      <c r="Y294" s="390"/>
      <c r="Z294" s="376"/>
      <c r="AA294" s="390"/>
      <c r="AB294" s="376"/>
      <c r="AC294" s="390"/>
      <c r="AD294" s="376"/>
      <c r="AE294" s="390"/>
      <c r="AF294" s="376"/>
      <c r="AG294" s="390"/>
      <c r="AH294" s="390"/>
      <c r="AI294" s="376"/>
      <c r="AJ294" s="390"/>
      <c r="AK294" s="3"/>
      <c r="AL294" s="522">
        <f t="shared" si="40"/>
        <v>0</v>
      </c>
      <c r="AM294" s="44" t="str">
        <f t="shared" si="41"/>
        <v>-</v>
      </c>
      <c r="AQ294" s="588"/>
      <c r="AR294" s="284">
        <f t="shared" si="42"/>
        <v>0</v>
      </c>
      <c r="AS294" s="284">
        <f t="shared" si="43"/>
        <v>0</v>
      </c>
      <c r="AT294" s="284">
        <f t="shared" si="44"/>
        <v>0</v>
      </c>
    </row>
    <row r="295" spans="1:46">
      <c r="A295" s="77"/>
      <c r="B295" s="77"/>
      <c r="C295" s="401"/>
      <c r="D295" s="408"/>
      <c r="E295" s="77"/>
      <c r="F295" s="400"/>
      <c r="G295" s="400"/>
      <c r="H295" s="400"/>
      <c r="I295" s="400"/>
      <c r="J295" s="400"/>
      <c r="K295" s="77"/>
      <c r="L295" s="376"/>
      <c r="M295" s="376"/>
      <c r="N295" s="388"/>
      <c r="O295" s="388"/>
      <c r="P295" s="388"/>
      <c r="Q295" s="388"/>
      <c r="R295" s="388"/>
      <c r="S295" s="389"/>
      <c r="T295" s="388"/>
      <c r="U295" s="389"/>
      <c r="V295" s="388"/>
      <c r="W295" s="389"/>
      <c r="X295" s="376"/>
      <c r="Y295" s="390"/>
      <c r="Z295" s="376"/>
      <c r="AA295" s="390"/>
      <c r="AB295" s="376"/>
      <c r="AC295" s="390"/>
      <c r="AD295" s="376"/>
      <c r="AE295" s="390"/>
      <c r="AF295" s="376"/>
      <c r="AG295" s="390"/>
      <c r="AH295" s="390"/>
      <c r="AI295" s="376"/>
      <c r="AJ295" s="390"/>
      <c r="AK295" s="3"/>
      <c r="AL295" s="522">
        <f t="shared" si="40"/>
        <v>0</v>
      </c>
      <c r="AM295" s="44" t="str">
        <f t="shared" si="41"/>
        <v>-</v>
      </c>
      <c r="AQ295" s="588"/>
      <c r="AR295" s="284">
        <f t="shared" si="42"/>
        <v>0</v>
      </c>
      <c r="AS295" s="284">
        <f t="shared" si="43"/>
        <v>0</v>
      </c>
      <c r="AT295" s="284">
        <f t="shared" si="44"/>
        <v>0</v>
      </c>
    </row>
    <row r="296" spans="1:46">
      <c r="A296" s="77"/>
      <c r="B296" s="77"/>
      <c r="C296" s="401"/>
      <c r="D296" s="408"/>
      <c r="E296" s="77"/>
      <c r="F296" s="400"/>
      <c r="G296" s="400"/>
      <c r="H296" s="400"/>
      <c r="I296" s="400"/>
      <c r="J296" s="400"/>
      <c r="K296" s="77"/>
      <c r="L296" s="376"/>
      <c r="M296" s="376"/>
      <c r="N296" s="388"/>
      <c r="O296" s="388"/>
      <c r="P296" s="388"/>
      <c r="Q296" s="388"/>
      <c r="R296" s="388"/>
      <c r="S296" s="389"/>
      <c r="T296" s="388"/>
      <c r="U296" s="389"/>
      <c r="V296" s="388"/>
      <c r="W296" s="389"/>
      <c r="X296" s="376"/>
      <c r="Y296" s="390"/>
      <c r="Z296" s="376"/>
      <c r="AA296" s="390"/>
      <c r="AB296" s="376"/>
      <c r="AC296" s="390"/>
      <c r="AD296" s="376"/>
      <c r="AE296" s="390"/>
      <c r="AF296" s="376"/>
      <c r="AG296" s="390"/>
      <c r="AH296" s="390"/>
      <c r="AI296" s="376"/>
      <c r="AJ296" s="390"/>
      <c r="AK296" s="3"/>
      <c r="AL296" s="522">
        <f t="shared" si="40"/>
        <v>0</v>
      </c>
      <c r="AM296" s="44" t="str">
        <f t="shared" si="41"/>
        <v>-</v>
      </c>
      <c r="AQ296" s="588"/>
      <c r="AR296" s="284">
        <f t="shared" si="42"/>
        <v>0</v>
      </c>
      <c r="AS296" s="284">
        <f t="shared" si="43"/>
        <v>0</v>
      </c>
      <c r="AT296" s="284">
        <f t="shared" si="44"/>
        <v>0</v>
      </c>
    </row>
    <row r="297" spans="1:46">
      <c r="A297" s="77"/>
      <c r="B297" s="77"/>
      <c r="C297" s="401"/>
      <c r="D297" s="408"/>
      <c r="E297" s="77"/>
      <c r="F297" s="400"/>
      <c r="G297" s="400"/>
      <c r="H297" s="400"/>
      <c r="I297" s="400"/>
      <c r="J297" s="400"/>
      <c r="K297" s="77"/>
      <c r="L297" s="376"/>
      <c r="M297" s="376"/>
      <c r="N297" s="388"/>
      <c r="O297" s="388"/>
      <c r="P297" s="388"/>
      <c r="Q297" s="388"/>
      <c r="R297" s="388"/>
      <c r="S297" s="389"/>
      <c r="T297" s="388"/>
      <c r="U297" s="389"/>
      <c r="V297" s="388"/>
      <c r="W297" s="389"/>
      <c r="X297" s="376"/>
      <c r="Y297" s="390"/>
      <c r="Z297" s="376"/>
      <c r="AA297" s="390"/>
      <c r="AB297" s="376"/>
      <c r="AC297" s="390"/>
      <c r="AD297" s="376"/>
      <c r="AE297" s="390"/>
      <c r="AF297" s="376"/>
      <c r="AG297" s="390"/>
      <c r="AH297" s="390"/>
      <c r="AI297" s="376"/>
      <c r="AJ297" s="390"/>
      <c r="AK297" s="3"/>
      <c r="AL297" s="522">
        <f t="shared" si="40"/>
        <v>0</v>
      </c>
      <c r="AM297" s="44" t="str">
        <f t="shared" si="41"/>
        <v>-</v>
      </c>
      <c r="AQ297" s="588"/>
      <c r="AR297" s="284">
        <f t="shared" si="42"/>
        <v>0</v>
      </c>
      <c r="AS297" s="284">
        <f t="shared" si="43"/>
        <v>0</v>
      </c>
      <c r="AT297" s="284">
        <f t="shared" si="44"/>
        <v>0</v>
      </c>
    </row>
    <row r="298" spans="1:46">
      <c r="A298" s="77"/>
      <c r="B298" s="77"/>
      <c r="C298" s="401"/>
      <c r="D298" s="408"/>
      <c r="E298" s="77"/>
      <c r="F298" s="400"/>
      <c r="G298" s="400"/>
      <c r="H298" s="400"/>
      <c r="I298" s="400"/>
      <c r="J298" s="400"/>
      <c r="K298" s="77"/>
      <c r="L298" s="376"/>
      <c r="M298" s="376"/>
      <c r="N298" s="388"/>
      <c r="O298" s="388"/>
      <c r="P298" s="388"/>
      <c r="Q298" s="388"/>
      <c r="R298" s="388"/>
      <c r="S298" s="389"/>
      <c r="T298" s="388"/>
      <c r="U298" s="389"/>
      <c r="V298" s="388"/>
      <c r="W298" s="389"/>
      <c r="X298" s="376"/>
      <c r="Y298" s="390"/>
      <c r="Z298" s="376"/>
      <c r="AA298" s="390"/>
      <c r="AB298" s="376"/>
      <c r="AC298" s="390"/>
      <c r="AD298" s="376"/>
      <c r="AE298" s="390"/>
      <c r="AF298" s="376"/>
      <c r="AG298" s="390"/>
      <c r="AH298" s="390"/>
      <c r="AI298" s="376"/>
      <c r="AJ298" s="390"/>
      <c r="AK298" s="3"/>
      <c r="AL298" s="522">
        <f t="shared" si="40"/>
        <v>0</v>
      </c>
      <c r="AM298" s="44" t="str">
        <f t="shared" si="41"/>
        <v>-</v>
      </c>
      <c r="AQ298" s="588"/>
      <c r="AR298" s="284">
        <f t="shared" si="42"/>
        <v>0</v>
      </c>
      <c r="AS298" s="284">
        <f t="shared" si="43"/>
        <v>0</v>
      </c>
      <c r="AT298" s="284">
        <f t="shared" si="44"/>
        <v>0</v>
      </c>
    </row>
    <row r="299" spans="1:46">
      <c r="A299" s="77"/>
      <c r="B299" s="77"/>
      <c r="C299" s="401"/>
      <c r="D299" s="408"/>
      <c r="E299" s="77"/>
      <c r="F299" s="400"/>
      <c r="G299" s="400"/>
      <c r="H299" s="400"/>
      <c r="I299" s="400"/>
      <c r="J299" s="400"/>
      <c r="K299" s="77"/>
      <c r="L299" s="376"/>
      <c r="M299" s="376"/>
      <c r="N299" s="388"/>
      <c r="O299" s="388"/>
      <c r="P299" s="388"/>
      <c r="Q299" s="388"/>
      <c r="R299" s="388"/>
      <c r="S299" s="389"/>
      <c r="T299" s="388"/>
      <c r="U299" s="389"/>
      <c r="V299" s="388"/>
      <c r="W299" s="389"/>
      <c r="X299" s="376"/>
      <c r="Y299" s="390"/>
      <c r="Z299" s="376"/>
      <c r="AA299" s="390"/>
      <c r="AB299" s="376"/>
      <c r="AC299" s="390"/>
      <c r="AD299" s="376"/>
      <c r="AE299" s="390"/>
      <c r="AF299" s="376"/>
      <c r="AG299" s="390"/>
      <c r="AH299" s="390"/>
      <c r="AI299" s="376"/>
      <c r="AJ299" s="390"/>
      <c r="AK299" s="3"/>
      <c r="AL299" s="522">
        <f t="shared" si="40"/>
        <v>0</v>
      </c>
      <c r="AM299" s="44" t="str">
        <f t="shared" si="41"/>
        <v>-</v>
      </c>
      <c r="AQ299" s="588"/>
      <c r="AR299" s="284">
        <f t="shared" si="42"/>
        <v>0</v>
      </c>
      <c r="AS299" s="284">
        <f t="shared" si="43"/>
        <v>0</v>
      </c>
      <c r="AT299" s="284">
        <f t="shared" si="44"/>
        <v>0</v>
      </c>
    </row>
    <row r="300" spans="1:46">
      <c r="A300" s="77"/>
      <c r="B300" s="77"/>
      <c r="C300" s="401"/>
      <c r="D300" s="408"/>
      <c r="E300" s="77"/>
      <c r="F300" s="400"/>
      <c r="G300" s="400"/>
      <c r="H300" s="400"/>
      <c r="I300" s="400"/>
      <c r="J300" s="400"/>
      <c r="K300" s="77"/>
      <c r="L300" s="376"/>
      <c r="M300" s="376"/>
      <c r="N300" s="388"/>
      <c r="O300" s="388"/>
      <c r="P300" s="388"/>
      <c r="Q300" s="388"/>
      <c r="R300" s="388"/>
      <c r="S300" s="389"/>
      <c r="T300" s="388"/>
      <c r="U300" s="389"/>
      <c r="V300" s="388"/>
      <c r="W300" s="389"/>
      <c r="X300" s="376"/>
      <c r="Y300" s="390"/>
      <c r="Z300" s="376"/>
      <c r="AA300" s="390"/>
      <c r="AB300" s="376"/>
      <c r="AC300" s="390"/>
      <c r="AD300" s="376"/>
      <c r="AE300" s="390"/>
      <c r="AF300" s="376"/>
      <c r="AG300" s="390"/>
      <c r="AH300" s="390"/>
      <c r="AI300" s="376"/>
      <c r="AJ300" s="390"/>
      <c r="AK300" s="3"/>
      <c r="AL300" s="522">
        <f t="shared" si="40"/>
        <v>0</v>
      </c>
      <c r="AM300" s="44" t="str">
        <f t="shared" si="41"/>
        <v>-</v>
      </c>
      <c r="AQ300" s="588"/>
      <c r="AR300" s="284">
        <f t="shared" si="42"/>
        <v>0</v>
      </c>
      <c r="AS300" s="284">
        <f t="shared" si="43"/>
        <v>0</v>
      </c>
      <c r="AT300" s="284">
        <f t="shared" si="44"/>
        <v>0</v>
      </c>
    </row>
    <row r="301" spans="1:46">
      <c r="A301" s="77"/>
      <c r="B301" s="77"/>
      <c r="C301" s="401"/>
      <c r="D301" s="408"/>
      <c r="E301" s="77"/>
      <c r="F301" s="400"/>
      <c r="G301" s="400"/>
      <c r="H301" s="400"/>
      <c r="I301" s="400"/>
      <c r="J301" s="400"/>
      <c r="K301" s="77"/>
      <c r="L301" s="376"/>
      <c r="M301" s="376"/>
      <c r="N301" s="388"/>
      <c r="O301" s="388"/>
      <c r="P301" s="388"/>
      <c r="Q301" s="388"/>
      <c r="R301" s="388"/>
      <c r="S301" s="389"/>
      <c r="T301" s="388"/>
      <c r="U301" s="389"/>
      <c r="V301" s="388"/>
      <c r="W301" s="389"/>
      <c r="X301" s="376"/>
      <c r="Y301" s="390"/>
      <c r="Z301" s="376"/>
      <c r="AA301" s="390"/>
      <c r="AB301" s="376"/>
      <c r="AC301" s="390"/>
      <c r="AD301" s="376"/>
      <c r="AE301" s="390"/>
      <c r="AF301" s="376"/>
      <c r="AG301" s="390"/>
      <c r="AH301" s="390"/>
      <c r="AI301" s="376"/>
      <c r="AJ301" s="390"/>
      <c r="AK301" s="3"/>
      <c r="AL301" s="522">
        <f t="shared" si="40"/>
        <v>0</v>
      </c>
      <c r="AM301" s="44" t="str">
        <f t="shared" si="41"/>
        <v>-</v>
      </c>
      <c r="AQ301" s="588"/>
      <c r="AR301" s="284">
        <f t="shared" si="42"/>
        <v>0</v>
      </c>
      <c r="AS301" s="284">
        <f t="shared" si="43"/>
        <v>0</v>
      </c>
      <c r="AT301" s="284">
        <f t="shared" si="44"/>
        <v>0</v>
      </c>
    </row>
    <row r="302" spans="1:46">
      <c r="A302" s="77"/>
      <c r="B302" s="77"/>
      <c r="C302" s="401"/>
      <c r="D302" s="408"/>
      <c r="E302" s="77"/>
      <c r="F302" s="400"/>
      <c r="G302" s="400"/>
      <c r="H302" s="400"/>
      <c r="I302" s="400"/>
      <c r="J302" s="400"/>
      <c r="K302" s="77"/>
      <c r="L302" s="376"/>
      <c r="M302" s="376"/>
      <c r="N302" s="388"/>
      <c r="O302" s="388"/>
      <c r="P302" s="388"/>
      <c r="Q302" s="388"/>
      <c r="R302" s="388"/>
      <c r="S302" s="389"/>
      <c r="T302" s="388"/>
      <c r="U302" s="389"/>
      <c r="V302" s="388"/>
      <c r="W302" s="389"/>
      <c r="X302" s="376"/>
      <c r="Y302" s="390"/>
      <c r="Z302" s="376"/>
      <c r="AA302" s="390"/>
      <c r="AB302" s="376"/>
      <c r="AC302" s="390"/>
      <c r="AD302" s="376"/>
      <c r="AE302" s="390"/>
      <c r="AF302" s="376"/>
      <c r="AG302" s="390"/>
      <c r="AH302" s="390"/>
      <c r="AI302" s="376"/>
      <c r="AJ302" s="390"/>
      <c r="AK302" s="3"/>
      <c r="AL302" s="522">
        <f t="shared" si="40"/>
        <v>0</v>
      </c>
      <c r="AM302" s="44" t="str">
        <f t="shared" si="41"/>
        <v>-</v>
      </c>
      <c r="AQ302" s="588"/>
      <c r="AR302" s="284">
        <f t="shared" si="42"/>
        <v>0</v>
      </c>
      <c r="AS302" s="284">
        <f t="shared" si="43"/>
        <v>0</v>
      </c>
      <c r="AT302" s="284">
        <f t="shared" si="44"/>
        <v>0</v>
      </c>
    </row>
    <row r="303" spans="1:46">
      <c r="A303" s="77"/>
      <c r="B303" s="77"/>
      <c r="C303" s="401"/>
      <c r="D303" s="408"/>
      <c r="E303" s="77"/>
      <c r="F303" s="400"/>
      <c r="G303" s="400"/>
      <c r="H303" s="400"/>
      <c r="I303" s="400"/>
      <c r="J303" s="400"/>
      <c r="K303" s="77"/>
      <c r="L303" s="376"/>
      <c r="M303" s="376"/>
      <c r="N303" s="388"/>
      <c r="O303" s="388"/>
      <c r="P303" s="388"/>
      <c r="Q303" s="388"/>
      <c r="R303" s="388"/>
      <c r="S303" s="389"/>
      <c r="T303" s="388"/>
      <c r="U303" s="389"/>
      <c r="V303" s="388"/>
      <c r="W303" s="389"/>
      <c r="X303" s="376"/>
      <c r="Y303" s="390"/>
      <c r="Z303" s="376"/>
      <c r="AA303" s="390"/>
      <c r="AB303" s="376"/>
      <c r="AC303" s="390"/>
      <c r="AD303" s="376"/>
      <c r="AE303" s="390"/>
      <c r="AF303" s="376"/>
      <c r="AG303" s="390"/>
      <c r="AH303" s="390"/>
      <c r="AI303" s="376"/>
      <c r="AJ303" s="390"/>
      <c r="AK303" s="3"/>
      <c r="AL303" s="522">
        <f t="shared" si="40"/>
        <v>0</v>
      </c>
      <c r="AM303" s="44" t="str">
        <f t="shared" si="41"/>
        <v>-</v>
      </c>
      <c r="AQ303" s="588"/>
      <c r="AR303" s="284">
        <f t="shared" si="42"/>
        <v>0</v>
      </c>
      <c r="AS303" s="284">
        <f t="shared" si="43"/>
        <v>0</v>
      </c>
      <c r="AT303" s="284">
        <f t="shared" si="44"/>
        <v>0</v>
      </c>
    </row>
    <row r="304" spans="1:46">
      <c r="A304" s="77"/>
      <c r="B304" s="77"/>
      <c r="C304" s="401"/>
      <c r="D304" s="408"/>
      <c r="E304" s="77"/>
      <c r="F304" s="400"/>
      <c r="G304" s="400"/>
      <c r="H304" s="400"/>
      <c r="I304" s="400"/>
      <c r="J304" s="400"/>
      <c r="K304" s="77"/>
      <c r="L304" s="376"/>
      <c r="M304" s="376"/>
      <c r="N304" s="388"/>
      <c r="O304" s="388"/>
      <c r="P304" s="388"/>
      <c r="Q304" s="388"/>
      <c r="R304" s="388"/>
      <c r="S304" s="389"/>
      <c r="T304" s="388"/>
      <c r="U304" s="389"/>
      <c r="V304" s="388"/>
      <c r="W304" s="389"/>
      <c r="X304" s="376"/>
      <c r="Y304" s="390"/>
      <c r="Z304" s="376"/>
      <c r="AA304" s="390"/>
      <c r="AB304" s="376"/>
      <c r="AC304" s="390"/>
      <c r="AD304" s="376"/>
      <c r="AE304" s="390"/>
      <c r="AF304" s="376"/>
      <c r="AG304" s="390"/>
      <c r="AH304" s="390"/>
      <c r="AI304" s="376"/>
      <c r="AJ304" s="390"/>
      <c r="AK304" s="3"/>
      <c r="AL304" s="522">
        <f t="shared" si="40"/>
        <v>0</v>
      </c>
      <c r="AM304" s="44" t="str">
        <f t="shared" si="41"/>
        <v>-</v>
      </c>
      <c r="AQ304" s="588"/>
      <c r="AR304" s="284">
        <f t="shared" si="42"/>
        <v>0</v>
      </c>
      <c r="AS304" s="284">
        <f t="shared" si="43"/>
        <v>0</v>
      </c>
      <c r="AT304" s="284">
        <f t="shared" si="44"/>
        <v>0</v>
      </c>
    </row>
    <row r="305" spans="1:46">
      <c r="A305" s="77"/>
      <c r="B305" s="77"/>
      <c r="C305" s="401"/>
      <c r="D305" s="408"/>
      <c r="E305" s="77"/>
      <c r="F305" s="400"/>
      <c r="G305" s="400"/>
      <c r="H305" s="400"/>
      <c r="I305" s="400"/>
      <c r="J305" s="400"/>
      <c r="K305" s="77"/>
      <c r="L305" s="376"/>
      <c r="M305" s="376"/>
      <c r="N305" s="388"/>
      <c r="O305" s="388"/>
      <c r="P305" s="388"/>
      <c r="Q305" s="388"/>
      <c r="R305" s="388"/>
      <c r="S305" s="389"/>
      <c r="T305" s="388"/>
      <c r="U305" s="389"/>
      <c r="V305" s="388"/>
      <c r="W305" s="389"/>
      <c r="X305" s="376"/>
      <c r="Y305" s="390"/>
      <c r="Z305" s="376"/>
      <c r="AA305" s="390"/>
      <c r="AB305" s="376"/>
      <c r="AC305" s="390"/>
      <c r="AD305" s="376"/>
      <c r="AE305" s="390"/>
      <c r="AF305" s="376"/>
      <c r="AG305" s="390"/>
      <c r="AH305" s="390"/>
      <c r="AI305" s="376"/>
      <c r="AJ305" s="390"/>
      <c r="AK305" s="3"/>
      <c r="AL305" s="522">
        <f t="shared" si="40"/>
        <v>0</v>
      </c>
      <c r="AM305" s="44" t="str">
        <f t="shared" si="41"/>
        <v>-</v>
      </c>
      <c r="AQ305" s="588"/>
      <c r="AR305" s="284">
        <f t="shared" si="42"/>
        <v>0</v>
      </c>
      <c r="AS305" s="284">
        <f t="shared" si="43"/>
        <v>0</v>
      </c>
      <c r="AT305" s="284">
        <f t="shared" si="44"/>
        <v>0</v>
      </c>
    </row>
    <row r="306" spans="1:46">
      <c r="A306" s="77"/>
      <c r="B306" s="77"/>
      <c r="C306" s="401"/>
      <c r="D306" s="408"/>
      <c r="E306" s="77"/>
      <c r="F306" s="400"/>
      <c r="G306" s="400"/>
      <c r="H306" s="400"/>
      <c r="I306" s="400"/>
      <c r="J306" s="400"/>
      <c r="K306" s="77"/>
      <c r="L306" s="376"/>
      <c r="M306" s="376"/>
      <c r="N306" s="388"/>
      <c r="O306" s="388"/>
      <c r="P306" s="388"/>
      <c r="Q306" s="388"/>
      <c r="R306" s="388"/>
      <c r="S306" s="389"/>
      <c r="T306" s="388"/>
      <c r="U306" s="389"/>
      <c r="V306" s="388"/>
      <c r="W306" s="389"/>
      <c r="X306" s="376"/>
      <c r="Y306" s="390"/>
      <c r="Z306" s="376"/>
      <c r="AA306" s="390"/>
      <c r="AB306" s="376"/>
      <c r="AC306" s="390"/>
      <c r="AD306" s="376"/>
      <c r="AE306" s="390"/>
      <c r="AF306" s="376"/>
      <c r="AG306" s="390"/>
      <c r="AH306" s="390"/>
      <c r="AI306" s="376"/>
      <c r="AJ306" s="390"/>
      <c r="AK306" s="3"/>
      <c r="AL306" s="522">
        <f t="shared" si="40"/>
        <v>0</v>
      </c>
      <c r="AM306" s="44" t="str">
        <f t="shared" si="41"/>
        <v>-</v>
      </c>
      <c r="AQ306" s="588"/>
      <c r="AR306" s="284">
        <f t="shared" si="42"/>
        <v>0</v>
      </c>
      <c r="AS306" s="284">
        <f t="shared" si="43"/>
        <v>0</v>
      </c>
      <c r="AT306" s="284">
        <f t="shared" si="44"/>
        <v>0</v>
      </c>
    </row>
    <row r="307" spans="1:46">
      <c r="A307" s="77"/>
      <c r="B307" s="77"/>
      <c r="C307" s="401"/>
      <c r="D307" s="408"/>
      <c r="E307" s="77"/>
      <c r="F307" s="400"/>
      <c r="G307" s="400"/>
      <c r="H307" s="400"/>
      <c r="I307" s="400"/>
      <c r="J307" s="400"/>
      <c r="K307" s="77"/>
      <c r="L307" s="376"/>
      <c r="M307" s="376"/>
      <c r="N307" s="388"/>
      <c r="O307" s="388"/>
      <c r="P307" s="388"/>
      <c r="Q307" s="388"/>
      <c r="R307" s="388"/>
      <c r="S307" s="389"/>
      <c r="T307" s="388"/>
      <c r="U307" s="389"/>
      <c r="V307" s="388"/>
      <c r="W307" s="389"/>
      <c r="X307" s="376"/>
      <c r="Y307" s="390"/>
      <c r="Z307" s="376"/>
      <c r="AA307" s="390"/>
      <c r="AB307" s="376"/>
      <c r="AC307" s="390"/>
      <c r="AD307" s="376"/>
      <c r="AE307" s="390"/>
      <c r="AF307" s="376"/>
      <c r="AG307" s="390"/>
      <c r="AH307" s="390"/>
      <c r="AI307" s="376"/>
      <c r="AJ307" s="390"/>
      <c r="AK307" s="3"/>
      <c r="AL307" s="522">
        <f t="shared" si="40"/>
        <v>0</v>
      </c>
      <c r="AM307" s="44" t="str">
        <f t="shared" si="41"/>
        <v>-</v>
      </c>
      <c r="AQ307" s="588"/>
      <c r="AR307" s="284">
        <f t="shared" si="42"/>
        <v>0</v>
      </c>
      <c r="AS307" s="284">
        <f t="shared" si="43"/>
        <v>0</v>
      </c>
      <c r="AT307" s="284">
        <f t="shared" si="44"/>
        <v>0</v>
      </c>
    </row>
    <row r="308" spans="1:46">
      <c r="A308" s="77"/>
      <c r="B308" s="77"/>
      <c r="C308" s="401"/>
      <c r="D308" s="408"/>
      <c r="E308" s="77"/>
      <c r="F308" s="400"/>
      <c r="G308" s="400"/>
      <c r="H308" s="400"/>
      <c r="I308" s="400"/>
      <c r="J308" s="400"/>
      <c r="K308" s="77"/>
      <c r="L308" s="376"/>
      <c r="M308" s="376"/>
      <c r="N308" s="388"/>
      <c r="O308" s="388"/>
      <c r="P308" s="388"/>
      <c r="Q308" s="388"/>
      <c r="R308" s="388"/>
      <c r="S308" s="389"/>
      <c r="T308" s="388"/>
      <c r="U308" s="389"/>
      <c r="V308" s="388"/>
      <c r="W308" s="389"/>
      <c r="X308" s="376"/>
      <c r="Y308" s="390"/>
      <c r="Z308" s="376"/>
      <c r="AA308" s="390"/>
      <c r="AB308" s="376"/>
      <c r="AC308" s="390"/>
      <c r="AD308" s="376"/>
      <c r="AE308" s="390"/>
      <c r="AF308" s="376"/>
      <c r="AG308" s="390"/>
      <c r="AH308" s="390"/>
      <c r="AI308" s="376"/>
      <c r="AJ308" s="390"/>
      <c r="AK308" s="3"/>
      <c r="AL308" s="522">
        <f t="shared" si="40"/>
        <v>0</v>
      </c>
      <c r="AM308" s="44" t="str">
        <f t="shared" si="41"/>
        <v>-</v>
      </c>
      <c r="AQ308" s="588"/>
      <c r="AR308" s="284">
        <f t="shared" si="42"/>
        <v>0</v>
      </c>
      <c r="AS308" s="284">
        <f t="shared" si="43"/>
        <v>0</v>
      </c>
      <c r="AT308" s="284">
        <f t="shared" si="44"/>
        <v>0</v>
      </c>
    </row>
    <row r="309" spans="1:46">
      <c r="A309" s="77"/>
      <c r="B309" s="77"/>
      <c r="C309" s="401"/>
      <c r="D309" s="408"/>
      <c r="E309" s="77"/>
      <c r="F309" s="400"/>
      <c r="G309" s="400"/>
      <c r="H309" s="400"/>
      <c r="I309" s="400"/>
      <c r="J309" s="400"/>
      <c r="K309" s="77"/>
      <c r="L309" s="376"/>
      <c r="M309" s="376"/>
      <c r="N309" s="388"/>
      <c r="O309" s="388"/>
      <c r="P309" s="388"/>
      <c r="Q309" s="388"/>
      <c r="R309" s="388"/>
      <c r="S309" s="389"/>
      <c r="T309" s="388"/>
      <c r="U309" s="389"/>
      <c r="V309" s="388"/>
      <c r="W309" s="389"/>
      <c r="X309" s="376"/>
      <c r="Y309" s="390"/>
      <c r="Z309" s="376"/>
      <c r="AA309" s="390"/>
      <c r="AB309" s="376"/>
      <c r="AC309" s="390"/>
      <c r="AD309" s="376"/>
      <c r="AE309" s="390"/>
      <c r="AF309" s="376"/>
      <c r="AG309" s="390"/>
      <c r="AH309" s="390"/>
      <c r="AI309" s="376"/>
      <c r="AJ309" s="390"/>
      <c r="AK309" s="3"/>
      <c r="AL309" s="522">
        <f t="shared" si="40"/>
        <v>0</v>
      </c>
      <c r="AM309" s="44" t="str">
        <f t="shared" si="41"/>
        <v>-</v>
      </c>
      <c r="AQ309" s="588"/>
      <c r="AR309" s="284">
        <f t="shared" si="42"/>
        <v>0</v>
      </c>
      <c r="AS309" s="284">
        <f t="shared" si="43"/>
        <v>0</v>
      </c>
      <c r="AT309" s="284">
        <f t="shared" si="44"/>
        <v>0</v>
      </c>
    </row>
    <row r="310" spans="1:46">
      <c r="A310" s="77"/>
      <c r="B310" s="77"/>
      <c r="C310" s="401"/>
      <c r="D310" s="408"/>
      <c r="E310" s="77"/>
      <c r="F310" s="400"/>
      <c r="G310" s="400"/>
      <c r="H310" s="400"/>
      <c r="I310" s="400"/>
      <c r="J310" s="400"/>
      <c r="K310" s="77"/>
      <c r="L310" s="376"/>
      <c r="M310" s="376"/>
      <c r="N310" s="388"/>
      <c r="O310" s="388"/>
      <c r="P310" s="388"/>
      <c r="Q310" s="388"/>
      <c r="R310" s="388"/>
      <c r="S310" s="389"/>
      <c r="T310" s="388"/>
      <c r="U310" s="389"/>
      <c r="V310" s="388"/>
      <c r="W310" s="389"/>
      <c r="X310" s="376"/>
      <c r="Y310" s="390"/>
      <c r="Z310" s="376"/>
      <c r="AA310" s="390"/>
      <c r="AB310" s="376"/>
      <c r="AC310" s="390"/>
      <c r="AD310" s="376"/>
      <c r="AE310" s="390"/>
      <c r="AF310" s="376"/>
      <c r="AG310" s="390"/>
      <c r="AH310" s="390"/>
      <c r="AI310" s="376"/>
      <c r="AJ310" s="390"/>
      <c r="AK310" s="3"/>
      <c r="AL310" s="522">
        <f t="shared" si="40"/>
        <v>0</v>
      </c>
      <c r="AM310" s="44" t="str">
        <f t="shared" si="41"/>
        <v>-</v>
      </c>
      <c r="AQ310" s="588"/>
      <c r="AR310" s="284">
        <f t="shared" si="42"/>
        <v>0</v>
      </c>
      <c r="AS310" s="284">
        <f t="shared" si="43"/>
        <v>0</v>
      </c>
      <c r="AT310" s="284">
        <f t="shared" si="44"/>
        <v>0</v>
      </c>
    </row>
    <row r="311" spans="1:46">
      <c r="A311" s="77"/>
      <c r="B311" s="77"/>
      <c r="C311" s="401"/>
      <c r="D311" s="408"/>
      <c r="E311" s="77"/>
      <c r="F311" s="400"/>
      <c r="G311" s="400"/>
      <c r="H311" s="400"/>
      <c r="I311" s="400"/>
      <c r="J311" s="400"/>
      <c r="K311" s="77"/>
      <c r="L311" s="376"/>
      <c r="M311" s="376"/>
      <c r="N311" s="388"/>
      <c r="O311" s="388"/>
      <c r="P311" s="388"/>
      <c r="Q311" s="388"/>
      <c r="R311" s="388"/>
      <c r="S311" s="389"/>
      <c r="T311" s="388"/>
      <c r="U311" s="389"/>
      <c r="V311" s="388"/>
      <c r="W311" s="389"/>
      <c r="X311" s="376"/>
      <c r="Y311" s="390"/>
      <c r="Z311" s="376"/>
      <c r="AA311" s="390"/>
      <c r="AB311" s="376"/>
      <c r="AC311" s="390"/>
      <c r="AD311" s="376"/>
      <c r="AE311" s="390"/>
      <c r="AF311" s="376"/>
      <c r="AG311" s="390"/>
      <c r="AH311" s="390"/>
      <c r="AI311" s="376"/>
      <c r="AJ311" s="390"/>
      <c r="AK311" s="3"/>
      <c r="AL311" s="522">
        <f t="shared" si="40"/>
        <v>0</v>
      </c>
      <c r="AM311" s="44" t="str">
        <f t="shared" si="41"/>
        <v>-</v>
      </c>
      <c r="AQ311" s="588"/>
      <c r="AR311" s="284">
        <f t="shared" si="42"/>
        <v>0</v>
      </c>
      <c r="AS311" s="284">
        <f t="shared" si="43"/>
        <v>0</v>
      </c>
      <c r="AT311" s="284">
        <f t="shared" si="44"/>
        <v>0</v>
      </c>
    </row>
    <row r="312" spans="1:46">
      <c r="A312" s="77"/>
      <c r="B312" s="77"/>
      <c r="C312" s="401"/>
      <c r="D312" s="408"/>
      <c r="E312" s="77"/>
      <c r="F312" s="400"/>
      <c r="G312" s="400"/>
      <c r="H312" s="400"/>
      <c r="I312" s="400"/>
      <c r="J312" s="400"/>
      <c r="K312" s="77"/>
      <c r="L312" s="376"/>
      <c r="M312" s="376"/>
      <c r="N312" s="388"/>
      <c r="O312" s="388"/>
      <c r="P312" s="388"/>
      <c r="Q312" s="388"/>
      <c r="R312" s="388"/>
      <c r="S312" s="389"/>
      <c r="T312" s="388"/>
      <c r="U312" s="389"/>
      <c r="V312" s="388"/>
      <c r="W312" s="389"/>
      <c r="X312" s="376"/>
      <c r="Y312" s="390"/>
      <c r="Z312" s="376"/>
      <c r="AA312" s="390"/>
      <c r="AB312" s="376"/>
      <c r="AC312" s="390"/>
      <c r="AD312" s="376"/>
      <c r="AE312" s="390"/>
      <c r="AF312" s="376"/>
      <c r="AG312" s="390"/>
      <c r="AH312" s="390"/>
      <c r="AI312" s="376"/>
      <c r="AJ312" s="390"/>
      <c r="AK312" s="3"/>
      <c r="AL312" s="522">
        <f t="shared" si="40"/>
        <v>0</v>
      </c>
      <c r="AM312" s="44" t="str">
        <f t="shared" si="41"/>
        <v>-</v>
      </c>
      <c r="AQ312" s="588"/>
      <c r="AR312" s="284">
        <f t="shared" si="42"/>
        <v>0</v>
      </c>
      <c r="AS312" s="284">
        <f t="shared" si="43"/>
        <v>0</v>
      </c>
      <c r="AT312" s="284">
        <f t="shared" si="44"/>
        <v>0</v>
      </c>
    </row>
    <row r="313" spans="1:46">
      <c r="A313" s="77"/>
      <c r="B313" s="77"/>
      <c r="C313" s="401"/>
      <c r="D313" s="408"/>
      <c r="E313" s="77"/>
      <c r="F313" s="400"/>
      <c r="G313" s="400"/>
      <c r="H313" s="400"/>
      <c r="I313" s="400"/>
      <c r="J313" s="400"/>
      <c r="K313" s="77"/>
      <c r="L313" s="376"/>
      <c r="M313" s="376"/>
      <c r="N313" s="388"/>
      <c r="O313" s="388"/>
      <c r="P313" s="388"/>
      <c r="Q313" s="388"/>
      <c r="R313" s="388"/>
      <c r="S313" s="389"/>
      <c r="T313" s="388"/>
      <c r="U313" s="389"/>
      <c r="V313" s="388"/>
      <c r="W313" s="389"/>
      <c r="X313" s="376"/>
      <c r="Y313" s="390"/>
      <c r="Z313" s="376"/>
      <c r="AA313" s="390"/>
      <c r="AB313" s="376"/>
      <c r="AC313" s="390"/>
      <c r="AD313" s="376"/>
      <c r="AE313" s="390"/>
      <c r="AF313" s="376"/>
      <c r="AG313" s="390"/>
      <c r="AH313" s="390"/>
      <c r="AI313" s="376"/>
      <c r="AJ313" s="390"/>
      <c r="AK313" s="3"/>
      <c r="AL313" s="522">
        <f t="shared" si="40"/>
        <v>0</v>
      </c>
      <c r="AM313" s="44" t="str">
        <f t="shared" si="41"/>
        <v>-</v>
      </c>
      <c r="AQ313" s="588"/>
      <c r="AR313" s="284">
        <f t="shared" si="42"/>
        <v>0</v>
      </c>
      <c r="AS313" s="284">
        <f t="shared" si="43"/>
        <v>0</v>
      </c>
      <c r="AT313" s="284">
        <f t="shared" si="44"/>
        <v>0</v>
      </c>
    </row>
    <row r="314" spans="1:46">
      <c r="A314" s="77"/>
      <c r="B314" s="77"/>
      <c r="C314" s="401"/>
      <c r="D314" s="408"/>
      <c r="E314" s="77"/>
      <c r="F314" s="400"/>
      <c r="G314" s="400"/>
      <c r="H314" s="400"/>
      <c r="I314" s="400"/>
      <c r="J314" s="400"/>
      <c r="K314" s="77"/>
      <c r="L314" s="376"/>
      <c r="M314" s="376"/>
      <c r="N314" s="388"/>
      <c r="O314" s="388"/>
      <c r="P314" s="388"/>
      <c r="Q314" s="388"/>
      <c r="R314" s="388"/>
      <c r="S314" s="389"/>
      <c r="T314" s="388"/>
      <c r="U314" s="389"/>
      <c r="V314" s="388"/>
      <c r="W314" s="389"/>
      <c r="X314" s="376"/>
      <c r="Y314" s="390"/>
      <c r="Z314" s="376"/>
      <c r="AA314" s="390"/>
      <c r="AB314" s="376"/>
      <c r="AC314" s="390"/>
      <c r="AD314" s="376"/>
      <c r="AE314" s="390"/>
      <c r="AF314" s="376"/>
      <c r="AG314" s="390"/>
      <c r="AH314" s="390"/>
      <c r="AI314" s="376"/>
      <c r="AJ314" s="390"/>
      <c r="AK314" s="3"/>
      <c r="AL314" s="522">
        <f t="shared" si="40"/>
        <v>0</v>
      </c>
      <c r="AM314" s="44" t="str">
        <f t="shared" si="41"/>
        <v>-</v>
      </c>
      <c r="AQ314" s="588"/>
      <c r="AR314" s="284">
        <f t="shared" si="42"/>
        <v>0</v>
      </c>
      <c r="AS314" s="284">
        <f t="shared" si="43"/>
        <v>0</v>
      </c>
      <c r="AT314" s="284">
        <f t="shared" si="44"/>
        <v>0</v>
      </c>
    </row>
    <row r="315" spans="1:46">
      <c r="A315" s="77"/>
      <c r="B315" s="77"/>
      <c r="C315" s="401"/>
      <c r="D315" s="408"/>
      <c r="E315" s="77"/>
      <c r="F315" s="400"/>
      <c r="G315" s="400"/>
      <c r="H315" s="400"/>
      <c r="I315" s="400"/>
      <c r="J315" s="400"/>
      <c r="K315" s="77"/>
      <c r="L315" s="376"/>
      <c r="M315" s="376"/>
      <c r="N315" s="388"/>
      <c r="O315" s="388"/>
      <c r="P315" s="388"/>
      <c r="Q315" s="388"/>
      <c r="R315" s="388"/>
      <c r="S315" s="389"/>
      <c r="T315" s="388"/>
      <c r="U315" s="389"/>
      <c r="V315" s="388"/>
      <c r="W315" s="389"/>
      <c r="X315" s="376"/>
      <c r="Y315" s="390"/>
      <c r="Z315" s="376"/>
      <c r="AA315" s="390"/>
      <c r="AB315" s="376"/>
      <c r="AC315" s="390"/>
      <c r="AD315" s="376"/>
      <c r="AE315" s="390"/>
      <c r="AF315" s="376"/>
      <c r="AG315" s="390"/>
      <c r="AH315" s="390"/>
      <c r="AI315" s="376"/>
      <c r="AJ315" s="390"/>
      <c r="AK315" s="3"/>
      <c r="AL315" s="522">
        <f t="shared" si="40"/>
        <v>0</v>
      </c>
      <c r="AM315" s="44" t="str">
        <f t="shared" si="41"/>
        <v>-</v>
      </c>
      <c r="AQ315" s="588"/>
      <c r="AR315" s="284">
        <f t="shared" si="42"/>
        <v>0</v>
      </c>
      <c r="AS315" s="284">
        <f t="shared" si="43"/>
        <v>0</v>
      </c>
      <c r="AT315" s="284">
        <f t="shared" si="44"/>
        <v>0</v>
      </c>
    </row>
    <row r="316" spans="1:46">
      <c r="A316" s="77"/>
      <c r="B316" s="77"/>
      <c r="C316" s="401"/>
      <c r="D316" s="408"/>
      <c r="E316" s="77"/>
      <c r="F316" s="400"/>
      <c r="G316" s="400"/>
      <c r="H316" s="400"/>
      <c r="I316" s="400"/>
      <c r="J316" s="400"/>
      <c r="K316" s="77"/>
      <c r="L316" s="376"/>
      <c r="M316" s="376"/>
      <c r="N316" s="388"/>
      <c r="O316" s="388"/>
      <c r="P316" s="388"/>
      <c r="Q316" s="388"/>
      <c r="R316" s="388"/>
      <c r="S316" s="389"/>
      <c r="T316" s="388"/>
      <c r="U316" s="389"/>
      <c r="V316" s="388"/>
      <c r="W316" s="389"/>
      <c r="X316" s="376"/>
      <c r="Y316" s="390"/>
      <c r="Z316" s="376"/>
      <c r="AA316" s="390"/>
      <c r="AB316" s="376"/>
      <c r="AC316" s="390"/>
      <c r="AD316" s="376"/>
      <c r="AE316" s="390"/>
      <c r="AF316" s="376"/>
      <c r="AG316" s="390"/>
      <c r="AH316" s="390"/>
      <c r="AI316" s="376"/>
      <c r="AJ316" s="390"/>
      <c r="AK316" s="3"/>
      <c r="AL316" s="522">
        <f t="shared" si="40"/>
        <v>0</v>
      </c>
      <c r="AM316" s="44" t="str">
        <f t="shared" si="41"/>
        <v>-</v>
      </c>
      <c r="AQ316" s="588"/>
      <c r="AR316" s="284">
        <f t="shared" si="42"/>
        <v>0</v>
      </c>
      <c r="AS316" s="284">
        <f t="shared" si="43"/>
        <v>0</v>
      </c>
      <c r="AT316" s="284">
        <f t="shared" si="44"/>
        <v>0</v>
      </c>
    </row>
    <row r="317" spans="1:46">
      <c r="A317" s="77"/>
      <c r="B317" s="77"/>
      <c r="C317" s="401"/>
      <c r="D317" s="408"/>
      <c r="E317" s="77"/>
      <c r="F317" s="400"/>
      <c r="G317" s="400"/>
      <c r="H317" s="400"/>
      <c r="I317" s="400"/>
      <c r="J317" s="400"/>
      <c r="K317" s="77"/>
      <c r="L317" s="376"/>
      <c r="M317" s="376"/>
      <c r="N317" s="388"/>
      <c r="O317" s="388"/>
      <c r="P317" s="388"/>
      <c r="Q317" s="388"/>
      <c r="R317" s="388"/>
      <c r="S317" s="389"/>
      <c r="T317" s="388"/>
      <c r="U317" s="389"/>
      <c r="V317" s="388"/>
      <c r="W317" s="389"/>
      <c r="X317" s="376"/>
      <c r="Y317" s="390"/>
      <c r="Z317" s="376"/>
      <c r="AA317" s="390"/>
      <c r="AB317" s="376"/>
      <c r="AC317" s="390"/>
      <c r="AD317" s="376"/>
      <c r="AE317" s="390"/>
      <c r="AF317" s="376"/>
      <c r="AG317" s="390"/>
      <c r="AH317" s="390"/>
      <c r="AI317" s="376"/>
      <c r="AJ317" s="390"/>
      <c r="AK317" s="3"/>
      <c r="AL317" s="522">
        <f t="shared" si="40"/>
        <v>0</v>
      </c>
      <c r="AM317" s="44" t="str">
        <f t="shared" si="41"/>
        <v>-</v>
      </c>
      <c r="AQ317" s="588"/>
      <c r="AR317" s="284">
        <f t="shared" si="42"/>
        <v>0</v>
      </c>
      <c r="AS317" s="284">
        <f t="shared" si="43"/>
        <v>0</v>
      </c>
      <c r="AT317" s="284">
        <f t="shared" si="44"/>
        <v>0</v>
      </c>
    </row>
    <row r="318" spans="1:46">
      <c r="A318" s="77"/>
      <c r="B318" s="77"/>
      <c r="C318" s="401"/>
      <c r="D318" s="408"/>
      <c r="E318" s="77"/>
      <c r="F318" s="400"/>
      <c r="G318" s="400"/>
      <c r="H318" s="400"/>
      <c r="I318" s="400"/>
      <c r="J318" s="400"/>
      <c r="K318" s="77"/>
      <c r="L318" s="376"/>
      <c r="M318" s="376"/>
      <c r="N318" s="388"/>
      <c r="O318" s="388"/>
      <c r="P318" s="388"/>
      <c r="Q318" s="388"/>
      <c r="R318" s="388"/>
      <c r="S318" s="389"/>
      <c r="T318" s="388"/>
      <c r="U318" s="389"/>
      <c r="V318" s="388"/>
      <c r="W318" s="389"/>
      <c r="X318" s="376"/>
      <c r="Y318" s="390"/>
      <c r="Z318" s="376"/>
      <c r="AA318" s="390"/>
      <c r="AB318" s="376"/>
      <c r="AC318" s="390"/>
      <c r="AD318" s="376"/>
      <c r="AE318" s="390"/>
      <c r="AF318" s="376"/>
      <c r="AG318" s="390"/>
      <c r="AH318" s="390"/>
      <c r="AI318" s="376"/>
      <c r="AJ318" s="390"/>
      <c r="AK318" s="3"/>
      <c r="AL318" s="522">
        <f t="shared" si="40"/>
        <v>0</v>
      </c>
      <c r="AM318" s="44" t="str">
        <f t="shared" si="41"/>
        <v>-</v>
      </c>
      <c r="AQ318" s="588"/>
      <c r="AR318" s="284">
        <f t="shared" si="42"/>
        <v>0</v>
      </c>
      <c r="AS318" s="284">
        <f t="shared" si="43"/>
        <v>0</v>
      </c>
      <c r="AT318" s="284">
        <f t="shared" si="44"/>
        <v>0</v>
      </c>
    </row>
    <row r="319" spans="1:46">
      <c r="A319" s="77"/>
      <c r="B319" s="77"/>
      <c r="C319" s="401"/>
      <c r="D319" s="408"/>
      <c r="E319" s="77"/>
      <c r="F319" s="400"/>
      <c r="G319" s="400"/>
      <c r="H319" s="400"/>
      <c r="I319" s="400"/>
      <c r="J319" s="400"/>
      <c r="K319" s="77"/>
      <c r="L319" s="376"/>
      <c r="M319" s="376"/>
      <c r="N319" s="388"/>
      <c r="O319" s="388"/>
      <c r="P319" s="388"/>
      <c r="Q319" s="388"/>
      <c r="R319" s="388"/>
      <c r="S319" s="389"/>
      <c r="T319" s="388"/>
      <c r="U319" s="389"/>
      <c r="V319" s="388"/>
      <c r="W319" s="389"/>
      <c r="X319" s="376"/>
      <c r="Y319" s="390"/>
      <c r="Z319" s="376"/>
      <c r="AA319" s="390"/>
      <c r="AB319" s="376"/>
      <c r="AC319" s="390"/>
      <c r="AD319" s="376"/>
      <c r="AE319" s="390"/>
      <c r="AF319" s="376"/>
      <c r="AG319" s="390"/>
      <c r="AH319" s="390"/>
      <c r="AI319" s="376"/>
      <c r="AJ319" s="390"/>
      <c r="AK319" s="3"/>
      <c r="AL319" s="522">
        <f t="shared" si="40"/>
        <v>0</v>
      </c>
      <c r="AM319" s="44" t="str">
        <f t="shared" si="41"/>
        <v>-</v>
      </c>
      <c r="AQ319" s="588"/>
      <c r="AR319" s="284">
        <f t="shared" si="42"/>
        <v>0</v>
      </c>
      <c r="AS319" s="284">
        <f t="shared" si="43"/>
        <v>0</v>
      </c>
      <c r="AT319" s="284">
        <f t="shared" si="44"/>
        <v>0</v>
      </c>
    </row>
    <row r="320" spans="1:46">
      <c r="A320" s="77"/>
      <c r="B320" s="77"/>
      <c r="C320" s="401"/>
      <c r="D320" s="408"/>
      <c r="E320" s="77"/>
      <c r="F320" s="400"/>
      <c r="G320" s="400"/>
      <c r="H320" s="400"/>
      <c r="I320" s="400"/>
      <c r="J320" s="400"/>
      <c r="K320" s="77"/>
      <c r="L320" s="376"/>
      <c r="M320" s="376"/>
      <c r="N320" s="388"/>
      <c r="O320" s="388"/>
      <c r="P320" s="388"/>
      <c r="Q320" s="388"/>
      <c r="R320" s="388"/>
      <c r="S320" s="389"/>
      <c r="T320" s="388"/>
      <c r="U320" s="389"/>
      <c r="V320" s="388"/>
      <c r="W320" s="389"/>
      <c r="X320" s="376"/>
      <c r="Y320" s="390"/>
      <c r="Z320" s="376"/>
      <c r="AA320" s="390"/>
      <c r="AB320" s="376"/>
      <c r="AC320" s="390"/>
      <c r="AD320" s="376"/>
      <c r="AE320" s="390"/>
      <c r="AF320" s="376"/>
      <c r="AG320" s="390"/>
      <c r="AH320" s="390"/>
      <c r="AI320" s="376"/>
      <c r="AJ320" s="390"/>
      <c r="AK320" s="3"/>
      <c r="AL320" s="522">
        <f t="shared" si="40"/>
        <v>0</v>
      </c>
      <c r="AM320" s="44" t="str">
        <f t="shared" si="41"/>
        <v>-</v>
      </c>
      <c r="AQ320" s="588"/>
      <c r="AR320" s="284">
        <f t="shared" si="42"/>
        <v>0</v>
      </c>
      <c r="AS320" s="284">
        <f t="shared" si="43"/>
        <v>0</v>
      </c>
      <c r="AT320" s="284">
        <f t="shared" si="44"/>
        <v>0</v>
      </c>
    </row>
    <row r="321" spans="1:46">
      <c r="A321" s="77"/>
      <c r="B321" s="77"/>
      <c r="C321" s="401"/>
      <c r="D321" s="408"/>
      <c r="E321" s="77"/>
      <c r="F321" s="400"/>
      <c r="G321" s="400"/>
      <c r="H321" s="400"/>
      <c r="I321" s="400"/>
      <c r="J321" s="400"/>
      <c r="K321" s="77"/>
      <c r="L321" s="376"/>
      <c r="M321" s="376"/>
      <c r="N321" s="388"/>
      <c r="O321" s="388"/>
      <c r="P321" s="388"/>
      <c r="Q321" s="388"/>
      <c r="R321" s="388"/>
      <c r="S321" s="389"/>
      <c r="T321" s="388"/>
      <c r="U321" s="389"/>
      <c r="V321" s="388"/>
      <c r="W321" s="389"/>
      <c r="X321" s="376"/>
      <c r="Y321" s="390"/>
      <c r="Z321" s="376"/>
      <c r="AA321" s="390"/>
      <c r="AB321" s="376"/>
      <c r="AC321" s="390"/>
      <c r="AD321" s="376"/>
      <c r="AE321" s="390"/>
      <c r="AF321" s="376"/>
      <c r="AG321" s="390"/>
      <c r="AH321" s="390"/>
      <c r="AI321" s="376"/>
      <c r="AJ321" s="390"/>
      <c r="AK321" s="3"/>
      <c r="AL321" s="522">
        <f t="shared" si="40"/>
        <v>0</v>
      </c>
      <c r="AM321" s="44" t="str">
        <f t="shared" si="41"/>
        <v>-</v>
      </c>
      <c r="AQ321" s="588"/>
      <c r="AR321" s="284">
        <f t="shared" si="42"/>
        <v>0</v>
      </c>
      <c r="AS321" s="284">
        <f t="shared" ref="AS321:AS328" si="45">B321</f>
        <v>0</v>
      </c>
      <c r="AT321" s="284">
        <f t="shared" ref="AT321:AT328" si="46">E321</f>
        <v>0</v>
      </c>
    </row>
    <row r="322" spans="1:46">
      <c r="A322" s="77"/>
      <c r="B322" s="77"/>
      <c r="C322" s="401"/>
      <c r="D322" s="408"/>
      <c r="E322" s="77"/>
      <c r="F322" s="400"/>
      <c r="G322" s="400"/>
      <c r="H322" s="400"/>
      <c r="I322" s="400"/>
      <c r="J322" s="400"/>
      <c r="K322" s="77"/>
      <c r="L322" s="376"/>
      <c r="M322" s="376"/>
      <c r="N322" s="388"/>
      <c r="O322" s="388"/>
      <c r="P322" s="388"/>
      <c r="Q322" s="388"/>
      <c r="R322" s="388"/>
      <c r="S322" s="389"/>
      <c r="T322" s="388"/>
      <c r="U322" s="389"/>
      <c r="V322" s="388"/>
      <c r="W322" s="389"/>
      <c r="X322" s="376"/>
      <c r="Y322" s="390"/>
      <c r="Z322" s="376"/>
      <c r="AA322" s="390"/>
      <c r="AB322" s="376"/>
      <c r="AC322" s="390"/>
      <c r="AD322" s="376"/>
      <c r="AE322" s="390"/>
      <c r="AF322" s="376"/>
      <c r="AG322" s="390"/>
      <c r="AH322" s="390"/>
      <c r="AI322" s="376"/>
      <c r="AJ322" s="390"/>
      <c r="AK322" s="3"/>
      <c r="AL322" s="522">
        <f t="shared" si="40"/>
        <v>0</v>
      </c>
      <c r="AM322" s="44" t="str">
        <f t="shared" si="41"/>
        <v>-</v>
      </c>
      <c r="AQ322" s="588"/>
      <c r="AR322" s="284">
        <f t="shared" si="42"/>
        <v>0</v>
      </c>
      <c r="AS322" s="284">
        <f t="shared" si="45"/>
        <v>0</v>
      </c>
      <c r="AT322" s="284">
        <f t="shared" si="46"/>
        <v>0</v>
      </c>
    </row>
    <row r="323" spans="1:46">
      <c r="AL323" s="522">
        <f>B323</f>
        <v>0</v>
      </c>
      <c r="AM323" s="44" t="str">
        <f>IF(C323="","-",C323)</f>
        <v>-</v>
      </c>
      <c r="AQ323" s="588"/>
      <c r="AR323" s="284">
        <f t="shared" si="42"/>
        <v>0</v>
      </c>
      <c r="AS323" s="284">
        <f t="shared" si="45"/>
        <v>0</v>
      </c>
      <c r="AT323" s="284">
        <f t="shared" si="46"/>
        <v>0</v>
      </c>
    </row>
    <row r="324" spans="1:46">
      <c r="AL324" s="522">
        <f>B324</f>
        <v>0</v>
      </c>
      <c r="AM324" s="44" t="str">
        <f>IF(C324="","-",C324)</f>
        <v>-</v>
      </c>
      <c r="AQ324" s="588"/>
      <c r="AR324" s="284">
        <f t="shared" si="42"/>
        <v>0</v>
      </c>
      <c r="AS324" s="284">
        <f t="shared" si="45"/>
        <v>0</v>
      </c>
      <c r="AT324" s="284">
        <f t="shared" si="46"/>
        <v>0</v>
      </c>
    </row>
    <row r="325" spans="1:46">
      <c r="AQ325" s="588"/>
      <c r="AR325" s="284">
        <f t="shared" si="42"/>
        <v>0</v>
      </c>
      <c r="AS325" s="284">
        <f t="shared" si="45"/>
        <v>0</v>
      </c>
      <c r="AT325" s="284">
        <f t="shared" si="46"/>
        <v>0</v>
      </c>
    </row>
    <row r="326" spans="1:46">
      <c r="AQ326" s="588"/>
      <c r="AR326" s="284">
        <f t="shared" si="42"/>
        <v>0</v>
      </c>
      <c r="AS326" s="284">
        <f t="shared" si="45"/>
        <v>0</v>
      </c>
      <c r="AT326" s="284">
        <f t="shared" si="46"/>
        <v>0</v>
      </c>
    </row>
    <row r="327" spans="1:46">
      <c r="AQ327" s="588"/>
      <c r="AR327" s="284">
        <f t="shared" si="42"/>
        <v>0</v>
      </c>
      <c r="AS327" s="284">
        <f t="shared" si="45"/>
        <v>0</v>
      </c>
      <c r="AT327" s="284">
        <f t="shared" si="46"/>
        <v>0</v>
      </c>
    </row>
    <row r="328" spans="1:46">
      <c r="AQ328" s="588"/>
      <c r="AR328" s="284">
        <f t="shared" si="42"/>
        <v>0</v>
      </c>
      <c r="AS328" s="284">
        <f t="shared" si="45"/>
        <v>0</v>
      </c>
      <c r="AT328" s="284">
        <f t="shared" si="46"/>
        <v>0</v>
      </c>
    </row>
    <row r="412" spans="30:30">
      <c r="AD412" s="949">
        <v>45636.44222222222</v>
      </c>
    </row>
    <row r="461" spans="30:30">
      <c r="AD461" s="949">
        <v>45607.437337962961</v>
      </c>
    </row>
    <row r="560" spans="30:30">
      <c r="AD560" s="949">
        <v>45587.631215277775</v>
      </c>
    </row>
    <row r="569" spans="30:30">
      <c r="AD569" s="949">
        <v>45587.631898148145</v>
      </c>
    </row>
    <row r="571" spans="30:30">
      <c r="AD571" s="949">
        <v>45580.675092592595</v>
      </c>
    </row>
    <row r="578" spans="30:30">
      <c r="AD578" s="949">
        <v>45593.606203703705</v>
      </c>
    </row>
    <row r="579" spans="30:30">
      <c r="AD579" s="949">
        <v>45593.606215277781</v>
      </c>
    </row>
    <row r="582" spans="30:30">
      <c r="AD582" s="949">
        <v>45593.606215277781</v>
      </c>
    </row>
    <row r="586" spans="30:30">
      <c r="AD586" s="949">
        <v>45593.691712962966</v>
      </c>
    </row>
    <row r="589" spans="30:30">
      <c r="AD589" s="949">
        <v>45593.606203703705</v>
      </c>
    </row>
    <row r="602" spans="30:30">
      <c r="AD602" s="949">
        <v>45573.63480324074</v>
      </c>
    </row>
    <row r="618" spans="30:30">
      <c r="AD618" s="949">
        <v>45593.606215277781</v>
      </c>
    </row>
    <row r="622" spans="30:30">
      <c r="AD622" s="949">
        <v>45593.606215277781</v>
      </c>
    </row>
    <row r="626" spans="30:30">
      <c r="AD626" s="949">
        <v>45593.606203703705</v>
      </c>
    </row>
    <row r="637" spans="30:30">
      <c r="AD637" s="949">
        <v>45587.631898148145</v>
      </c>
    </row>
    <row r="644" spans="30:30">
      <c r="AD644" s="949">
        <v>45593.606203703705</v>
      </c>
    </row>
    <row r="647" spans="30:30">
      <c r="AD647" s="949">
        <v>45593.606203703705</v>
      </c>
    </row>
    <row r="652" spans="30:30">
      <c r="AD652" s="949">
        <v>45593.606215277781</v>
      </c>
    </row>
    <row r="659" spans="30:30">
      <c r="AD659" s="949">
        <v>45619.608391203707</v>
      </c>
    </row>
    <row r="663" spans="30:30">
      <c r="AD663" s="949">
        <v>45619.608402777776</v>
      </c>
    </row>
    <row r="667" spans="30:30">
      <c r="AD667" s="949">
        <v>45619.608391203707</v>
      </c>
    </row>
    <row r="699" spans="30:30">
      <c r="AD699" s="949">
        <v>45593.652118055557</v>
      </c>
    </row>
    <row r="702" spans="30:30">
      <c r="AD702" s="949">
        <v>45622.604988425926</v>
      </c>
    </row>
    <row r="706" spans="30:30">
      <c r="AD706" s="949">
        <v>45619.608391203707</v>
      </c>
    </row>
    <row r="710" spans="30:30">
      <c r="AD710" s="949">
        <v>45619.608391203707</v>
      </c>
    </row>
    <row r="713" spans="30:30">
      <c r="AD713" s="949">
        <v>45619.608391203707</v>
      </c>
    </row>
    <row r="728" spans="30:30">
      <c r="AD728" s="949">
        <v>45602.3984837963</v>
      </c>
    </row>
    <row r="731" spans="30:30">
      <c r="AD731" s="949">
        <v>45602.3984837963</v>
      </c>
    </row>
    <row r="736" spans="30:30">
      <c r="AD736" s="949">
        <v>45602.434641203705</v>
      </c>
    </row>
    <row r="738" spans="30:30">
      <c r="AD738" s="949">
        <v>45622.605000000003</v>
      </c>
    </row>
    <row r="740" spans="30:30">
      <c r="AD740" s="949">
        <v>45619.608391203707</v>
      </c>
    </row>
    <row r="759" spans="30:30">
      <c r="AD759" s="949">
        <v>45622.573055555556</v>
      </c>
    </row>
    <row r="761" spans="30:30">
      <c r="AD761" s="949">
        <v>45602.436481481483</v>
      </c>
    </row>
    <row r="763" spans="30:30">
      <c r="AD763" s="949">
        <v>45622.605000000003</v>
      </c>
    </row>
    <row r="787" spans="30:30">
      <c r="AD787" s="949">
        <v>45607.418726851851</v>
      </c>
    </row>
    <row r="789" spans="30:30">
      <c r="AD789" s="949">
        <v>45613.428622685184</v>
      </c>
    </row>
    <row r="797" spans="30:30">
      <c r="AD797" s="949">
        <v>45607.418726851851</v>
      </c>
    </row>
    <row r="799" spans="30:30">
      <c r="AD799" s="949">
        <v>45613.425486111111</v>
      </c>
    </row>
    <row r="941" spans="30:30">
      <c r="AD941" s="949">
        <v>45626.496111111112</v>
      </c>
    </row>
    <row r="960" spans="30:30">
      <c r="AD960" s="949">
        <v>45619.608402777776</v>
      </c>
    </row>
    <row r="969" spans="30:30">
      <c r="AD969" s="949">
        <v>45635.622013888889</v>
      </c>
    </row>
    <row r="1006" spans="30:30">
      <c r="AD1006" s="949">
        <v>45635.622013888889</v>
      </c>
    </row>
    <row r="1010" spans="30:30">
      <c r="AD1010" s="949">
        <v>45619.387372685182</v>
      </c>
    </row>
    <row r="1019" spans="30:30">
      <c r="AD1019" s="949">
        <v>45635.622013888889</v>
      </c>
    </row>
    <row r="1025" spans="30:30">
      <c r="AD1025" s="949">
        <v>45635.622013888889</v>
      </c>
    </row>
    <row r="1031" spans="30:30">
      <c r="AD1031" s="949">
        <v>45633.466736111113</v>
      </c>
    </row>
    <row r="1033" spans="30:30">
      <c r="AD1033" s="949">
        <v>45633.466736111113</v>
      </c>
    </row>
    <row r="1036" spans="30:30">
      <c r="AD1036" s="949">
        <v>45635.622013888889</v>
      </c>
    </row>
    <row r="1045" spans="30:30">
      <c r="AD1045" s="949">
        <v>45633.466747685183</v>
      </c>
    </row>
    <row r="1051" spans="30:30">
      <c r="AD1051" s="949">
        <v>45633.467407407406</v>
      </c>
    </row>
    <row r="1056" spans="30:30">
      <c r="AD1056" s="949">
        <v>45635.622013888889</v>
      </c>
    </row>
    <row r="1060" spans="30:30">
      <c r="AD1060" s="949">
        <v>45635.622013888889</v>
      </c>
    </row>
    <row r="1062" spans="30:30">
      <c r="AD1062" s="949">
        <v>45635.622025462966</v>
      </c>
    </row>
    <row r="1073" spans="30:30">
      <c r="AD1073" s="949">
        <v>45635.622025462966</v>
      </c>
    </row>
    <row r="1098" spans="30:30">
      <c r="AD1098" s="949">
        <v>45636.44222222222</v>
      </c>
    </row>
  </sheetData>
  <autoFilter ref="D7:D328" xr:uid="{D6522026-7085-493F-B398-EA4E64FE7723}"/>
  <sortState xmlns:xlrd2="http://schemas.microsoft.com/office/spreadsheetml/2017/richdata2" ref="AU9:AV104">
    <sortCondition ref="AU8:AU104"/>
  </sortState>
  <customSheetViews>
    <customSheetView guid="{CE7484BD-F9E2-4C03-AA0F-F7057FD8E6EF}" showAutoFilter="1">
      <pane ySplit="7" topLeftCell="A98" activePane="bottomLeft" state="frozen"/>
      <selection pane="bottomLeft" activeCell="E121" sqref="E121"/>
      <colBreaks count="1" manualBreakCount="1">
        <brk id="12" max="1048575" man="1"/>
      </colBreaks>
      <pageMargins left="0.16" right="0.15748031496062992" top="0.15748031496062992" bottom="0.32" header="0.15748031496062992" footer="0.15748031496062992"/>
      <pageSetup paperSize="9" orientation="portrait" r:id="rId1"/>
      <headerFooter>
        <oddFooter>&amp;C&amp;P/&amp;N</oddFooter>
      </headerFooter>
      <autoFilter ref="E7:E157" xr:uid="{C0FA116A-104D-4526-8EAE-9CECD3366CBF}"/>
    </customSheetView>
  </customSheetViews>
  <phoneticPr fontId="36" type="noConversion"/>
  <pageMargins left="0.16" right="0.15748031496062992" top="0.15748031496062992" bottom="0.32" header="0.15748031496062992" footer="0.15748031496062992"/>
  <pageSetup paperSize="9" orientation="portrait" r:id="rId2"/>
  <headerFooter>
    <oddFooter>&amp;C&amp;P/&amp;N</oddFooter>
  </headerFooter>
  <colBreaks count="1" manualBreakCount="1">
    <brk id="12" max="1048575" man="1"/>
  </colBreaks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6146" r:id="rId6" name="CommandButton1">
          <controlPr defaultSize="0" autoLine="0" r:id="rId7">
            <anchor moveWithCells="1">
              <from>
                <xdr:col>21</xdr:col>
                <xdr:colOff>238125</xdr:colOff>
                <xdr:row>0</xdr:row>
                <xdr:rowOff>9525</xdr:rowOff>
              </from>
              <to>
                <xdr:col>23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46" r:id="rId6" name="CommandButton1"/>
      </mc:Fallback>
    </mc:AlternateContent>
    <mc:AlternateContent xmlns:mc="http://schemas.openxmlformats.org/markup-compatibility/2006">
      <mc:Choice Requires="x14">
        <control shapeId="6145" r:id="rId8" name="ListBox1">
          <controlPr defaultSize="0" autoLine="0" r:id="rId9">
            <anchor moveWithCells="1">
              <from>
                <xdr:col>13</xdr:col>
                <xdr:colOff>28575</xdr:colOff>
                <xdr:row>328</xdr:row>
                <xdr:rowOff>0</xdr:rowOff>
              </from>
              <to>
                <xdr:col>19</xdr:col>
                <xdr:colOff>0</xdr:colOff>
                <xdr:row>330</xdr:row>
                <xdr:rowOff>161925</xdr:rowOff>
              </to>
            </anchor>
          </controlPr>
        </control>
      </mc:Choice>
      <mc:Fallback>
        <control shapeId="6145" r:id="rId8" name="ListBox1"/>
      </mc:Fallback>
    </mc:AlternateContent>
    <mc:AlternateContent xmlns:mc="http://schemas.openxmlformats.org/markup-compatibility/2006">
      <mc:Choice Requires="x14">
        <control shapeId="6147" r:id="rId10" name="CommandButton2">
          <controlPr defaultSize="0" autoLine="0" r:id="rId11">
            <anchor moveWithCells="1">
              <from>
                <xdr:col>42</xdr:col>
                <xdr:colOff>409575</xdr:colOff>
                <xdr:row>328</xdr:row>
                <xdr:rowOff>0</xdr:rowOff>
              </from>
              <to>
                <xdr:col>44</xdr:col>
                <xdr:colOff>723900</xdr:colOff>
                <xdr:row>331</xdr:row>
                <xdr:rowOff>123825</xdr:rowOff>
              </to>
            </anchor>
          </controlPr>
        </control>
      </mc:Choice>
      <mc:Fallback>
        <control shapeId="6147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3E42E-D3EB-4A52-9DA8-9EE924B389ED}">
  <sheetPr codeName="Sheet31">
    <tabColor rgb="FFFF0000"/>
    <pageSetUpPr fitToPage="1"/>
  </sheetPr>
  <dimension ref="A1:AD1153"/>
  <sheetViews>
    <sheetView zoomScaleNormal="100" workbookViewId="0">
      <pane ySplit="9" topLeftCell="A985" activePane="bottomLeft" state="frozen"/>
      <selection activeCell="G90" sqref="G90"/>
      <selection pane="bottomLeft" activeCell="J994" sqref="J994"/>
    </sheetView>
  </sheetViews>
  <sheetFormatPr defaultRowHeight="15"/>
  <cols>
    <col min="1" max="1" width="11.85546875" customWidth="1"/>
    <col min="2" max="2" width="8.7109375" customWidth="1"/>
    <col min="3" max="3" width="4.85546875" customWidth="1"/>
    <col min="4" max="4" width="13" customWidth="1"/>
    <col min="5" max="5" width="16.42578125" customWidth="1"/>
    <col min="6" max="6" width="7.85546875" customWidth="1"/>
    <col min="7" max="7" width="10" customWidth="1"/>
    <col min="8" max="9" width="8.7109375" customWidth="1"/>
    <col min="10" max="10" width="10.140625" customWidth="1"/>
    <col min="11" max="11" width="10.5703125" customWidth="1"/>
    <col min="12" max="12" width="7.42578125" customWidth="1"/>
    <col min="13" max="13" width="9" customWidth="1"/>
    <col min="14" max="14" width="10.7109375" customWidth="1"/>
    <col min="15" max="15" width="9.140625" customWidth="1"/>
    <col min="16" max="16" width="10.140625" customWidth="1"/>
    <col min="17" max="17" width="10.42578125" customWidth="1"/>
    <col min="18" max="18" width="13.28515625" bestFit="1" customWidth="1"/>
    <col min="19" max="19" width="9.5703125" bestFit="1" customWidth="1"/>
    <col min="20" max="20" width="15.140625" bestFit="1" customWidth="1"/>
    <col min="21" max="21" width="10.7109375" customWidth="1"/>
    <col min="23" max="23" width="9.5703125" bestFit="1" customWidth="1"/>
    <col min="25" max="25" width="9.140625" customWidth="1"/>
    <col min="30" max="30" width="17.28515625" customWidth="1"/>
  </cols>
  <sheetData>
    <row r="1" spans="1:29" ht="19.5" customHeight="1">
      <c r="A1" s="928" t="s">
        <v>1432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1"/>
      <c r="O1" s="430"/>
      <c r="P1" s="919"/>
      <c r="Q1" s="920"/>
      <c r="R1" s="920"/>
      <c r="S1" s="920"/>
      <c r="T1" s="920"/>
      <c r="U1" s="927" t="s">
        <v>2963</v>
      </c>
      <c r="V1" s="925"/>
      <c r="W1" s="925"/>
      <c r="X1" s="924"/>
      <c r="Y1" s="612"/>
      <c r="Z1" s="612"/>
      <c r="AA1" s="612" t="s">
        <v>430</v>
      </c>
      <c r="AB1" s="612"/>
      <c r="AC1" s="612" t="s">
        <v>168</v>
      </c>
    </row>
    <row r="2" spans="1:29" ht="15" customHeight="1">
      <c r="A2" s="429"/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  <c r="N2" s="431"/>
      <c r="O2" s="430"/>
      <c r="P2" s="919"/>
      <c r="Q2" s="920"/>
      <c r="R2" s="920"/>
      <c r="S2" s="920"/>
      <c r="T2" s="920"/>
      <c r="U2" s="927"/>
      <c r="V2" s="925"/>
      <c r="W2" s="925"/>
      <c r="X2" s="924"/>
      <c r="Y2" s="612"/>
      <c r="Z2" s="612"/>
      <c r="AA2" s="612" t="s">
        <v>167</v>
      </c>
      <c r="AB2" s="612"/>
      <c r="AC2" s="612" t="s">
        <v>173</v>
      </c>
    </row>
    <row r="3" spans="1:29" ht="14.25" customHeight="1">
      <c r="A3" s="1158" t="s">
        <v>1425</v>
      </c>
      <c r="B3" s="1939">
        <f>MAX(B24:B9990)</f>
        <v>45638</v>
      </c>
      <c r="C3" s="1939"/>
      <c r="D3" s="1159"/>
      <c r="E3" s="1158" t="s">
        <v>1436</v>
      </c>
      <c r="F3" s="569">
        <f>COUNTIFS(N24:N9990, "&gt;0")</f>
        <v>103</v>
      </c>
      <c r="G3" s="1160">
        <f>SUM(N24:N9990)</f>
        <v>2210091.0725499988</v>
      </c>
      <c r="H3" s="1161"/>
      <c r="I3" s="570"/>
      <c r="J3" s="918" t="s">
        <v>1586</v>
      </c>
      <c r="K3" s="1935" t="s">
        <v>5541</v>
      </c>
      <c r="L3" s="1936"/>
      <c r="M3" s="1936"/>
      <c r="N3" s="1937"/>
      <c r="O3" s="572" t="str">
        <f>VLOOKUP(K3,AA1:AC8,3,FALSE)</f>
        <v>V350</v>
      </c>
      <c r="P3" s="921"/>
      <c r="Q3" s="922"/>
      <c r="R3" s="922"/>
      <c r="S3" s="922"/>
      <c r="T3" s="922"/>
      <c r="U3" s="927"/>
      <c r="V3" s="925"/>
      <c r="W3" s="925"/>
      <c r="X3" s="924"/>
      <c r="Y3" s="612"/>
      <c r="Z3" s="612"/>
      <c r="AA3" s="612" t="s">
        <v>4893</v>
      </c>
      <c r="AB3" s="612"/>
      <c r="AC3" s="612" t="s">
        <v>4892</v>
      </c>
    </row>
    <row r="4" spans="1:29" ht="18.75" customHeight="1">
      <c r="A4" s="1158" t="s">
        <v>973</v>
      </c>
      <c r="B4" s="1940">
        <f>SUMPRODUCT((A24:A9990&lt;&gt;"")/COUNTIF(A24:A9990,A24:A9990 &amp;""))</f>
        <v>131.00000000000031</v>
      </c>
      <c r="C4" s="1940"/>
      <c r="D4" s="1159"/>
      <c r="E4" s="1158" t="s">
        <v>1437</v>
      </c>
      <c r="F4" s="1162"/>
      <c r="G4" s="1160">
        <f>G3-(G3/1.05)</f>
        <v>105242.43202619068</v>
      </c>
      <c r="H4" s="1161"/>
      <c r="I4" s="570"/>
      <c r="J4" s="566" t="s">
        <v>973</v>
      </c>
      <c r="K4" s="571">
        <f>COUNTIFS(Q24:Q9990,"&gt;0",C24:C9990,O3)</f>
        <v>16</v>
      </c>
      <c r="L4" s="567"/>
      <c r="M4" s="566" t="s">
        <v>1588</v>
      </c>
      <c r="N4" s="677">
        <f>K4-COUNTIFS(O10:O9990,"&gt;0",C10:C9990,O3)</f>
        <v>6</v>
      </c>
      <c r="O4" s="573"/>
      <c r="P4" s="923"/>
      <c r="Q4" s="922"/>
      <c r="R4" s="922"/>
      <c r="S4" s="922"/>
      <c r="T4" s="922"/>
      <c r="U4" s="927"/>
      <c r="V4" s="926"/>
      <c r="W4" s="926"/>
      <c r="X4" s="612"/>
      <c r="Y4" s="612"/>
      <c r="Z4" s="612"/>
      <c r="AA4" s="612" t="s">
        <v>164</v>
      </c>
      <c r="AB4" s="612"/>
      <c r="AC4" s="612" t="s">
        <v>170</v>
      </c>
    </row>
    <row r="5" spans="1:29">
      <c r="A5" s="1158" t="s">
        <v>1434</v>
      </c>
      <c r="B5" s="1938">
        <f>SUM(Q24:Q9990)</f>
        <v>5603654.5940999975</v>
      </c>
      <c r="C5" s="1938"/>
      <c r="D5" s="1159"/>
      <c r="E5" s="1158" t="s">
        <v>1438</v>
      </c>
      <c r="F5" s="1162"/>
      <c r="G5" s="1160">
        <f>SUM(O23:O9990)</f>
        <v>2559964.9499999993</v>
      </c>
      <c r="H5" s="1161"/>
      <c r="I5" s="570"/>
      <c r="J5" s="566" t="s">
        <v>1441</v>
      </c>
      <c r="K5" s="571">
        <f>SUMIFS(Q24:Q9990,C24:C9990,O3)</f>
        <v>37302.51</v>
      </c>
      <c r="L5" s="567"/>
      <c r="M5" s="574" t="s">
        <v>1587</v>
      </c>
      <c r="N5" s="575">
        <f>K5-SUMIFS(O10:O9990,C10:C9990,O3)</f>
        <v>7219.7100000000028</v>
      </c>
      <c r="O5" s="573"/>
      <c r="P5" s="923"/>
      <c r="Q5" s="922"/>
      <c r="R5" s="922"/>
      <c r="S5" s="922"/>
      <c r="T5" s="922"/>
      <c r="U5" s="927"/>
      <c r="V5" s="612"/>
      <c r="W5" s="612"/>
      <c r="X5" s="612"/>
      <c r="Y5" s="612"/>
      <c r="Z5" s="612"/>
      <c r="AA5" s="612" t="s">
        <v>1379</v>
      </c>
      <c r="AB5" s="612"/>
      <c r="AC5" s="612" t="s">
        <v>171</v>
      </c>
    </row>
    <row r="6" spans="1:29" ht="15" customHeight="1">
      <c r="A6" s="1158" t="s">
        <v>1435</v>
      </c>
      <c r="B6" s="1938">
        <f>B5-(B5/1.05)</f>
        <v>266840.6949571427</v>
      </c>
      <c r="C6" s="1938"/>
      <c r="D6" s="1159"/>
      <c r="E6" s="1158" t="s">
        <v>1439</v>
      </c>
      <c r="F6" s="1162"/>
      <c r="G6" s="1160">
        <f>SUM(N24:N9990)</f>
        <v>2210091.0725499988</v>
      </c>
      <c r="H6" s="1161"/>
      <c r="I6" s="570"/>
      <c r="J6" s="566" t="s">
        <v>1442</v>
      </c>
      <c r="K6" s="571">
        <f>SUMIFS(O10:O9990,C10:C9990,O3)</f>
        <v>30082.799999999999</v>
      </c>
      <c r="L6" s="567"/>
      <c r="M6" s="566"/>
      <c r="N6" s="567"/>
      <c r="O6" s="567"/>
      <c r="P6" s="923"/>
      <c r="Q6" s="922"/>
      <c r="R6" s="922"/>
      <c r="S6" s="922"/>
      <c r="T6" s="922"/>
      <c r="U6" s="927"/>
      <c r="V6" s="612"/>
      <c r="W6" s="612"/>
      <c r="X6" s="612"/>
      <c r="Y6" s="612"/>
      <c r="Z6" s="612" t="s">
        <v>169</v>
      </c>
      <c r="AA6" s="612" t="s">
        <v>163</v>
      </c>
      <c r="AB6" s="612"/>
      <c r="AC6" s="612" t="s">
        <v>169</v>
      </c>
    </row>
    <row r="7" spans="1:29">
      <c r="A7" s="1158" t="s">
        <v>1445</v>
      </c>
      <c r="B7" s="1938">
        <f>SUM(N10:N9990)-SUM(O10:O9990)</f>
        <v>-323455.87745000049</v>
      </c>
      <c r="C7" s="1938"/>
      <c r="D7" s="1159"/>
      <c r="E7" s="1158" t="s">
        <v>1440</v>
      </c>
      <c r="F7" s="1162"/>
      <c r="G7" s="1160">
        <f>G5-G6</f>
        <v>349873.87745000049</v>
      </c>
      <c r="H7" s="1161"/>
      <c r="I7" s="570"/>
      <c r="J7" s="566" t="s">
        <v>1443</v>
      </c>
      <c r="K7" s="571">
        <f>SUMIFS(N24:N9990,C24:C9990,O3)</f>
        <v>33875.79</v>
      </c>
      <c r="L7" s="567"/>
      <c r="M7" s="566"/>
      <c r="N7" s="567"/>
      <c r="O7" s="567"/>
      <c r="P7" s="923"/>
      <c r="Q7" s="922"/>
      <c r="R7" s="922"/>
      <c r="S7" s="922"/>
      <c r="T7" s="922"/>
      <c r="U7" s="927"/>
      <c r="V7" s="612"/>
      <c r="W7" s="612"/>
      <c r="X7" s="612"/>
      <c r="Y7" s="612"/>
      <c r="Z7" s="612"/>
      <c r="AA7" s="612" t="s">
        <v>1589</v>
      </c>
      <c r="AB7" s="612"/>
      <c r="AC7" s="612" t="s">
        <v>168</v>
      </c>
    </row>
    <row r="8" spans="1:29">
      <c r="A8" s="1158" t="s">
        <v>1585</v>
      </c>
      <c r="B8" s="1163"/>
      <c r="C8" s="1163"/>
      <c r="D8" s="1159"/>
      <c r="E8" s="1158" t="s">
        <v>1446</v>
      </c>
      <c r="F8" s="1163"/>
      <c r="G8" s="1163"/>
      <c r="H8" s="1159"/>
      <c r="I8" s="570"/>
      <c r="J8" s="566" t="s">
        <v>1444</v>
      </c>
      <c r="K8" s="571">
        <f>K6-K7</f>
        <v>-3792.9900000000016</v>
      </c>
      <c r="L8" s="567"/>
      <c r="M8" s="568"/>
      <c r="N8" s="567"/>
      <c r="O8" s="567"/>
      <c r="P8" s="923"/>
      <c r="Q8" s="922"/>
      <c r="R8" s="922"/>
      <c r="S8" s="922"/>
      <c r="T8" s="922"/>
      <c r="U8" s="927"/>
      <c r="V8" s="612"/>
      <c r="W8" s="612"/>
      <c r="X8" s="612"/>
      <c r="Y8" s="612"/>
      <c r="Z8" s="612"/>
      <c r="AA8" s="612" t="s">
        <v>5541</v>
      </c>
      <c r="AB8" s="612"/>
      <c r="AC8" s="612" t="s">
        <v>172</v>
      </c>
    </row>
    <row r="9" spans="1:29" ht="29.25" customHeight="1">
      <c r="A9" s="55" t="s">
        <v>202</v>
      </c>
      <c r="B9" s="55" t="s">
        <v>4</v>
      </c>
      <c r="C9" s="55" t="s">
        <v>213</v>
      </c>
      <c r="D9" s="55" t="s">
        <v>10</v>
      </c>
      <c r="E9" s="293" t="s">
        <v>204</v>
      </c>
      <c r="F9" s="57" t="s">
        <v>205</v>
      </c>
      <c r="G9" s="57" t="s">
        <v>206</v>
      </c>
      <c r="H9" s="57" t="s">
        <v>207</v>
      </c>
      <c r="I9" s="57" t="s">
        <v>7</v>
      </c>
      <c r="J9" s="59" t="s">
        <v>203</v>
      </c>
      <c r="K9" s="59" t="s">
        <v>24</v>
      </c>
      <c r="L9" s="433" t="s">
        <v>24</v>
      </c>
      <c r="M9" s="433" t="s">
        <v>1123</v>
      </c>
      <c r="N9" s="434" t="s">
        <v>1206</v>
      </c>
      <c r="O9" s="433" t="s">
        <v>1207</v>
      </c>
      <c r="P9" s="433" t="s">
        <v>2899</v>
      </c>
      <c r="Q9" s="613" t="s">
        <v>1208</v>
      </c>
      <c r="R9" s="915" t="s">
        <v>2964</v>
      </c>
      <c r="S9" s="915" t="s">
        <v>2896</v>
      </c>
      <c r="T9" s="915" t="s">
        <v>2897</v>
      </c>
      <c r="U9" s="915" t="s">
        <v>2898</v>
      </c>
      <c r="V9" s="612"/>
      <c r="W9" s="612"/>
      <c r="X9" s="612"/>
      <c r="Y9" s="612"/>
      <c r="Z9" s="612"/>
      <c r="AA9" s="612" t="s">
        <v>1590</v>
      </c>
      <c r="AB9" s="612"/>
      <c r="AC9" s="612"/>
    </row>
    <row r="10" spans="1:29" ht="15" customHeight="1">
      <c r="A10" s="66" t="s">
        <v>1879</v>
      </c>
      <c r="B10" s="66" t="s">
        <v>1030</v>
      </c>
      <c r="C10" s="54" t="s">
        <v>168</v>
      </c>
      <c r="D10" s="435" t="str">
        <f>IFERROR(VLOOKUP(C10,Mychart!$A$125:$B$811,2,FALSE),"-")</f>
        <v>UTS Carrier</v>
      </c>
      <c r="E10" s="676" t="s">
        <v>236</v>
      </c>
      <c r="F10" s="58">
        <v>1</v>
      </c>
      <c r="G10" s="58"/>
      <c r="H10" s="58"/>
      <c r="I10" s="58"/>
      <c r="J10" s="137"/>
      <c r="K10" s="56" t="s">
        <v>1878</v>
      </c>
      <c r="L10" s="292">
        <v>258</v>
      </c>
      <c r="M10" s="292"/>
      <c r="N10" s="358"/>
      <c r="O10" s="292"/>
      <c r="P10" s="292"/>
      <c r="Q10" s="614"/>
      <c r="R10" s="913">
        <f t="shared" ref="R10:R33" si="0">O10-N10</f>
        <v>0</v>
      </c>
      <c r="S10" s="913">
        <f t="shared" ref="S10:S33" si="1">Q10-N10</f>
        <v>0</v>
      </c>
      <c r="T10" s="913">
        <f t="shared" ref="T10:T33" si="2">Q10-O10</f>
        <v>0</v>
      </c>
      <c r="U10" s="914">
        <f t="shared" ref="U10:U33" si="3">F10-P10</f>
        <v>1</v>
      </c>
      <c r="V10" s="612"/>
      <c r="W10" s="612"/>
      <c r="X10" s="612"/>
      <c r="Y10" s="612"/>
      <c r="Z10" s="612"/>
      <c r="AA10" s="612"/>
      <c r="AB10" s="612"/>
      <c r="AC10" s="612"/>
    </row>
    <row r="11" spans="1:29" ht="15" customHeight="1">
      <c r="A11" s="66" t="s">
        <v>1879</v>
      </c>
      <c r="B11" s="66" t="s">
        <v>1030</v>
      </c>
      <c r="C11" s="54" t="s">
        <v>168</v>
      </c>
      <c r="D11" s="435" t="str">
        <f>IFERROR(VLOOKUP(C11,Mychart!$A$125:$B$811,2,FALSE),"-")</f>
        <v>UTS Carrier</v>
      </c>
      <c r="E11" s="676" t="s">
        <v>237</v>
      </c>
      <c r="F11" s="58">
        <v>1</v>
      </c>
      <c r="G11" s="58"/>
      <c r="H11" s="58"/>
      <c r="I11" s="58"/>
      <c r="J11" s="137"/>
      <c r="K11" s="56" t="s">
        <v>1878</v>
      </c>
      <c r="L11" s="292">
        <v>258</v>
      </c>
      <c r="M11" s="292"/>
      <c r="N11" s="358"/>
      <c r="O11" s="292"/>
      <c r="P11" s="292"/>
      <c r="Q11" s="614"/>
      <c r="R11" s="913">
        <f t="shared" si="0"/>
        <v>0</v>
      </c>
      <c r="S11" s="913">
        <f t="shared" si="1"/>
        <v>0</v>
      </c>
      <c r="T11" s="913">
        <f t="shared" si="2"/>
        <v>0</v>
      </c>
      <c r="U11" s="914">
        <f t="shared" si="3"/>
        <v>1</v>
      </c>
      <c r="V11" s="612"/>
      <c r="W11" s="612"/>
      <c r="X11" s="612"/>
      <c r="Y11" s="612"/>
      <c r="Z11" s="612"/>
      <c r="AA11" s="612"/>
      <c r="AB11" s="612"/>
      <c r="AC11" s="612"/>
    </row>
    <row r="12" spans="1:29" ht="15" customHeight="1">
      <c r="A12" s="66" t="s">
        <v>1879</v>
      </c>
      <c r="B12" s="66" t="s">
        <v>1030</v>
      </c>
      <c r="C12" s="54" t="s">
        <v>168</v>
      </c>
      <c r="D12" s="435" t="str">
        <f>IFERROR(VLOOKUP(C12,Mychart!$A$125:$B$811,2,FALSE),"-")</f>
        <v>UTS Carrier</v>
      </c>
      <c r="E12" s="676" t="s">
        <v>238</v>
      </c>
      <c r="F12" s="58">
        <v>2</v>
      </c>
      <c r="G12" s="58"/>
      <c r="H12" s="58"/>
      <c r="I12" s="58"/>
      <c r="J12" s="137"/>
      <c r="K12" s="56" t="s">
        <v>1878</v>
      </c>
      <c r="L12" s="292">
        <v>258</v>
      </c>
      <c r="M12" s="292"/>
      <c r="N12" s="358"/>
      <c r="O12" s="292"/>
      <c r="P12" s="292"/>
      <c r="Q12" s="614"/>
      <c r="R12" s="913">
        <f t="shared" si="0"/>
        <v>0</v>
      </c>
      <c r="S12" s="913">
        <f t="shared" si="1"/>
        <v>0</v>
      </c>
      <c r="T12" s="913">
        <f t="shared" si="2"/>
        <v>0</v>
      </c>
      <c r="U12" s="914">
        <f t="shared" si="3"/>
        <v>2</v>
      </c>
      <c r="V12" s="612"/>
      <c r="W12" s="612"/>
      <c r="X12" s="612"/>
      <c r="Y12" s="612"/>
      <c r="Z12" s="612"/>
      <c r="AA12" s="612"/>
      <c r="AB12" s="612"/>
      <c r="AC12" s="612"/>
    </row>
    <row r="13" spans="1:29" ht="15" customHeight="1">
      <c r="A13" s="66" t="s">
        <v>1879</v>
      </c>
      <c r="B13" s="66" t="s">
        <v>1030</v>
      </c>
      <c r="C13" s="54" t="s">
        <v>168</v>
      </c>
      <c r="D13" s="435" t="str">
        <f>IFERROR(VLOOKUP(C13,Mychart!$A$125:$B$811,2,FALSE),"-")</f>
        <v>UTS Carrier</v>
      </c>
      <c r="E13" s="676" t="s">
        <v>239</v>
      </c>
      <c r="F13" s="58">
        <v>2</v>
      </c>
      <c r="G13" s="58"/>
      <c r="H13" s="58"/>
      <c r="I13" s="58"/>
      <c r="J13" s="137"/>
      <c r="K13" s="56" t="s">
        <v>1878</v>
      </c>
      <c r="L13" s="292">
        <v>258</v>
      </c>
      <c r="M13" s="292"/>
      <c r="N13" s="358"/>
      <c r="O13" s="292"/>
      <c r="P13" s="292"/>
      <c r="Q13" s="614"/>
      <c r="R13" s="913">
        <f t="shared" si="0"/>
        <v>0</v>
      </c>
      <c r="S13" s="913">
        <f t="shared" si="1"/>
        <v>0</v>
      </c>
      <c r="T13" s="913">
        <f t="shared" si="2"/>
        <v>0</v>
      </c>
      <c r="U13" s="914">
        <f t="shared" si="3"/>
        <v>2</v>
      </c>
      <c r="V13" s="612"/>
      <c r="W13" s="612"/>
      <c r="X13" s="612"/>
      <c r="Y13" s="612"/>
      <c r="Z13" s="612"/>
      <c r="AA13" s="612"/>
      <c r="AB13" s="612"/>
      <c r="AC13" s="612"/>
    </row>
    <row r="14" spans="1:29" ht="15" customHeight="1">
      <c r="A14" s="66" t="s">
        <v>1879</v>
      </c>
      <c r="B14" s="66" t="s">
        <v>1030</v>
      </c>
      <c r="C14" s="54" t="s">
        <v>168</v>
      </c>
      <c r="D14" s="435" t="str">
        <f>IFERROR(VLOOKUP(C14,Mychart!$A$125:$B$811,2,FALSE),"-")</f>
        <v>UTS Carrier</v>
      </c>
      <c r="E14" s="676" t="s">
        <v>234</v>
      </c>
      <c r="F14" s="58">
        <v>3</v>
      </c>
      <c r="G14" s="58"/>
      <c r="H14" s="58"/>
      <c r="I14" s="58"/>
      <c r="J14" s="137"/>
      <c r="K14" s="56" t="s">
        <v>1878</v>
      </c>
      <c r="L14" s="292">
        <v>258</v>
      </c>
      <c r="M14" s="292"/>
      <c r="N14" s="358"/>
      <c r="O14" s="292"/>
      <c r="P14" s="292"/>
      <c r="Q14" s="614"/>
      <c r="R14" s="913">
        <f t="shared" si="0"/>
        <v>0</v>
      </c>
      <c r="S14" s="913">
        <f t="shared" si="1"/>
        <v>0</v>
      </c>
      <c r="T14" s="913">
        <f t="shared" si="2"/>
        <v>0</v>
      </c>
      <c r="U14" s="914">
        <f t="shared" si="3"/>
        <v>3</v>
      </c>
      <c r="V14" s="612"/>
      <c r="W14" s="612"/>
      <c r="X14" s="612"/>
      <c r="Y14" s="612"/>
      <c r="Z14" s="612"/>
      <c r="AA14" s="612"/>
      <c r="AB14" s="612"/>
      <c r="AC14" s="612"/>
    </row>
    <row r="15" spans="1:29" ht="15" customHeight="1">
      <c r="A15" s="66" t="s">
        <v>1879</v>
      </c>
      <c r="B15" s="66" t="s">
        <v>1030</v>
      </c>
      <c r="C15" s="54" t="s">
        <v>168</v>
      </c>
      <c r="D15" s="435" t="str">
        <f>IFERROR(VLOOKUP(C15,Mychart!$A$125:$B$811,2,FALSE),"-")</f>
        <v>UTS Carrier</v>
      </c>
      <c r="E15" s="676" t="s">
        <v>235</v>
      </c>
      <c r="F15" s="58">
        <v>3</v>
      </c>
      <c r="G15" s="58"/>
      <c r="H15" s="58"/>
      <c r="I15" s="58"/>
      <c r="J15" s="137"/>
      <c r="K15" s="56" t="s">
        <v>1878</v>
      </c>
      <c r="L15" s="292">
        <v>258</v>
      </c>
      <c r="M15" s="292"/>
      <c r="N15" s="358"/>
      <c r="O15" s="292"/>
      <c r="P15" s="292"/>
      <c r="Q15" s="614"/>
      <c r="R15" s="913">
        <f t="shared" si="0"/>
        <v>0</v>
      </c>
      <c r="S15" s="913">
        <f t="shared" si="1"/>
        <v>0</v>
      </c>
      <c r="T15" s="913">
        <f t="shared" si="2"/>
        <v>0</v>
      </c>
      <c r="U15" s="914">
        <f t="shared" si="3"/>
        <v>3</v>
      </c>
      <c r="V15" s="612"/>
      <c r="W15" s="612"/>
      <c r="X15" s="612"/>
      <c r="Y15" s="612"/>
      <c r="Z15" s="612"/>
      <c r="AA15" s="612"/>
      <c r="AB15" s="612"/>
      <c r="AC15" s="612"/>
    </row>
    <row r="16" spans="1:29" ht="15" customHeight="1">
      <c r="A16" s="66" t="s">
        <v>1879</v>
      </c>
      <c r="B16" s="66" t="s">
        <v>1030</v>
      </c>
      <c r="C16" s="54" t="s">
        <v>168</v>
      </c>
      <c r="D16" s="435" t="str">
        <f>IFERROR(VLOOKUP(C16,Mychart!$A$125:$B$811,2,FALSE),"-")</f>
        <v>UTS Carrier</v>
      </c>
      <c r="E16" s="676" t="s">
        <v>232</v>
      </c>
      <c r="F16" s="58">
        <v>3</v>
      </c>
      <c r="G16" s="58"/>
      <c r="H16" s="58"/>
      <c r="I16" s="58"/>
      <c r="J16" s="137"/>
      <c r="K16" s="56" t="s">
        <v>1878</v>
      </c>
      <c r="L16" s="292">
        <v>258</v>
      </c>
      <c r="M16" s="292"/>
      <c r="N16" s="358"/>
      <c r="O16" s="292"/>
      <c r="P16" s="292"/>
      <c r="Q16" s="614"/>
      <c r="R16" s="913">
        <f t="shared" si="0"/>
        <v>0</v>
      </c>
      <c r="S16" s="913">
        <f t="shared" si="1"/>
        <v>0</v>
      </c>
      <c r="T16" s="913">
        <f t="shared" si="2"/>
        <v>0</v>
      </c>
      <c r="U16" s="914">
        <f t="shared" si="3"/>
        <v>3</v>
      </c>
      <c r="V16" s="612"/>
      <c r="W16" s="612"/>
      <c r="X16" s="612"/>
      <c r="Y16" s="612"/>
      <c r="Z16" s="612"/>
      <c r="AA16" s="612"/>
      <c r="AB16" s="612"/>
      <c r="AC16" s="612"/>
    </row>
    <row r="17" spans="1:30" ht="15" customHeight="1">
      <c r="A17" s="66" t="s">
        <v>1879</v>
      </c>
      <c r="B17" s="66" t="s">
        <v>1030</v>
      </c>
      <c r="C17" s="54" t="s">
        <v>168</v>
      </c>
      <c r="D17" s="435" t="str">
        <f>IFERROR(VLOOKUP(C17,Mychart!$A$125:$B$811,2,FALSE),"-")</f>
        <v>UTS Carrier</v>
      </c>
      <c r="E17" s="676" t="s">
        <v>233</v>
      </c>
      <c r="F17" s="58">
        <v>3</v>
      </c>
      <c r="G17" s="58"/>
      <c r="H17" s="58"/>
      <c r="I17" s="58"/>
      <c r="J17" s="137"/>
      <c r="K17" s="56" t="s">
        <v>1878</v>
      </c>
      <c r="L17" s="292">
        <v>258</v>
      </c>
      <c r="M17" s="292"/>
      <c r="N17" s="358"/>
      <c r="O17" s="292"/>
      <c r="P17" s="292"/>
      <c r="Q17" s="614"/>
      <c r="R17" s="913">
        <f t="shared" si="0"/>
        <v>0</v>
      </c>
      <c r="S17" s="913">
        <f t="shared" si="1"/>
        <v>0</v>
      </c>
      <c r="T17" s="913">
        <f t="shared" si="2"/>
        <v>0</v>
      </c>
      <c r="U17" s="914">
        <f t="shared" si="3"/>
        <v>3</v>
      </c>
      <c r="V17" s="612"/>
      <c r="W17" s="612"/>
      <c r="X17" s="612"/>
      <c r="Y17" s="612"/>
      <c r="Z17" s="612"/>
      <c r="AA17" s="612"/>
      <c r="AB17" s="612"/>
      <c r="AC17" s="612"/>
    </row>
    <row r="18" spans="1:30" ht="15" customHeight="1">
      <c r="A18" s="66" t="s">
        <v>1879</v>
      </c>
      <c r="B18" s="66" t="s">
        <v>1030</v>
      </c>
      <c r="C18" s="54" t="s">
        <v>168</v>
      </c>
      <c r="D18" s="435" t="str">
        <f>IFERROR(VLOOKUP(C18,Mychart!$A$125:$B$811,2,FALSE),"-")</f>
        <v>UTS Carrier</v>
      </c>
      <c r="E18" s="676" t="s">
        <v>1100</v>
      </c>
      <c r="F18" s="58">
        <v>3</v>
      </c>
      <c r="G18" s="58"/>
      <c r="H18" s="58"/>
      <c r="I18" s="58"/>
      <c r="J18" s="137"/>
      <c r="K18" s="56" t="s">
        <v>1878</v>
      </c>
      <c r="L18" s="292">
        <v>258</v>
      </c>
      <c r="M18" s="292"/>
      <c r="N18" s="358"/>
      <c r="O18" s="292"/>
      <c r="P18" s="292"/>
      <c r="Q18" s="614"/>
      <c r="R18" s="913">
        <f t="shared" si="0"/>
        <v>0</v>
      </c>
      <c r="S18" s="913">
        <f t="shared" si="1"/>
        <v>0</v>
      </c>
      <c r="T18" s="913">
        <f t="shared" si="2"/>
        <v>0</v>
      </c>
      <c r="U18" s="914">
        <f t="shared" si="3"/>
        <v>3</v>
      </c>
      <c r="V18" s="612"/>
      <c r="W18" s="612"/>
      <c r="X18" s="612"/>
      <c r="Y18" s="612"/>
      <c r="Z18" s="612"/>
      <c r="AA18" s="612"/>
      <c r="AB18" s="612"/>
      <c r="AC18" s="612"/>
    </row>
    <row r="19" spans="1:30" ht="15" customHeight="1">
      <c r="A19" s="66" t="s">
        <v>1879</v>
      </c>
      <c r="B19" s="66" t="s">
        <v>1030</v>
      </c>
      <c r="C19" s="54" t="s">
        <v>168</v>
      </c>
      <c r="D19" s="435" t="str">
        <f>IFERROR(VLOOKUP(C19,Mychart!$A$125:$B$811,2,FALSE),"-")</f>
        <v>UTS Carrier</v>
      </c>
      <c r="E19" s="676" t="s">
        <v>1099</v>
      </c>
      <c r="F19" s="58">
        <v>3</v>
      </c>
      <c r="G19" s="58"/>
      <c r="H19" s="58"/>
      <c r="I19" s="58"/>
      <c r="J19" s="137"/>
      <c r="K19" s="56" t="s">
        <v>1878</v>
      </c>
      <c r="L19" s="292">
        <v>258</v>
      </c>
      <c r="M19" s="292"/>
      <c r="N19" s="358"/>
      <c r="O19" s="292"/>
      <c r="P19" s="292"/>
      <c r="Q19" s="614"/>
      <c r="R19" s="913">
        <f t="shared" si="0"/>
        <v>0</v>
      </c>
      <c r="S19" s="913">
        <f t="shared" si="1"/>
        <v>0</v>
      </c>
      <c r="T19" s="913">
        <f t="shared" si="2"/>
        <v>0</v>
      </c>
      <c r="U19" s="914">
        <f t="shared" si="3"/>
        <v>3</v>
      </c>
      <c r="V19" s="612"/>
      <c r="W19" s="612"/>
      <c r="X19" s="612"/>
      <c r="Y19" s="612"/>
      <c r="Z19" s="612"/>
      <c r="AA19" s="612"/>
      <c r="AB19" s="612"/>
      <c r="AC19" s="612"/>
    </row>
    <row r="20" spans="1:30" ht="15" customHeight="1">
      <c r="A20" s="66" t="s">
        <v>1879</v>
      </c>
      <c r="B20" s="66" t="s">
        <v>1030</v>
      </c>
      <c r="C20" s="54" t="s">
        <v>168</v>
      </c>
      <c r="D20" s="435" t="str">
        <f>IFERROR(VLOOKUP(C20,Mychart!$A$125:$B$811,2,FALSE),"-")</f>
        <v>UTS Carrier</v>
      </c>
      <c r="E20" s="676" t="s">
        <v>1081</v>
      </c>
      <c r="F20" s="58">
        <v>1</v>
      </c>
      <c r="G20" s="58"/>
      <c r="H20" s="58"/>
      <c r="I20" s="58"/>
      <c r="J20" s="137"/>
      <c r="K20" s="56" t="s">
        <v>1878</v>
      </c>
      <c r="L20" s="292">
        <v>258</v>
      </c>
      <c r="M20" s="292"/>
      <c r="N20" s="358"/>
      <c r="O20" s="292"/>
      <c r="P20" s="292"/>
      <c r="Q20" s="614"/>
      <c r="R20" s="913">
        <f t="shared" si="0"/>
        <v>0</v>
      </c>
      <c r="S20" s="913">
        <f t="shared" si="1"/>
        <v>0</v>
      </c>
      <c r="T20" s="913">
        <f t="shared" si="2"/>
        <v>0</v>
      </c>
      <c r="U20" s="914">
        <f t="shared" si="3"/>
        <v>1</v>
      </c>
      <c r="V20" s="612"/>
      <c r="W20" s="612"/>
      <c r="X20" s="612"/>
      <c r="Y20" s="612"/>
      <c r="Z20" s="612"/>
      <c r="AA20" s="612"/>
      <c r="AB20" s="612"/>
      <c r="AC20" s="612"/>
    </row>
    <row r="21" spans="1:30" ht="15" customHeight="1">
      <c r="A21" s="66" t="s">
        <v>1879</v>
      </c>
      <c r="B21" s="66" t="s">
        <v>1030</v>
      </c>
      <c r="C21" s="54" t="s">
        <v>168</v>
      </c>
      <c r="D21" s="435" t="str">
        <f>IFERROR(VLOOKUP(C21,Mychart!$A$125:$B$811,2,FALSE),"-")</f>
        <v>UTS Carrier</v>
      </c>
      <c r="E21" s="676" t="s">
        <v>1082</v>
      </c>
      <c r="F21" s="58">
        <v>1</v>
      </c>
      <c r="G21" s="58"/>
      <c r="H21" s="58"/>
      <c r="I21" s="58"/>
      <c r="J21" s="137"/>
      <c r="K21" s="56" t="s">
        <v>1878</v>
      </c>
      <c r="L21" s="292">
        <v>258</v>
      </c>
      <c r="M21" s="292"/>
      <c r="N21" s="358"/>
      <c r="O21" s="292"/>
      <c r="P21" s="292"/>
      <c r="Q21" s="614"/>
      <c r="R21" s="913">
        <f t="shared" si="0"/>
        <v>0</v>
      </c>
      <c r="S21" s="913">
        <f t="shared" si="1"/>
        <v>0</v>
      </c>
      <c r="T21" s="913">
        <f t="shared" si="2"/>
        <v>0</v>
      </c>
      <c r="U21" s="914">
        <f t="shared" si="3"/>
        <v>1</v>
      </c>
      <c r="V21" s="612"/>
      <c r="W21" s="612"/>
      <c r="X21" s="612"/>
      <c r="Y21" s="612"/>
      <c r="Z21" s="612"/>
      <c r="AA21" s="612"/>
      <c r="AB21" s="612"/>
      <c r="AC21" s="612"/>
    </row>
    <row r="22" spans="1:30" ht="15" customHeight="1">
      <c r="A22" s="66" t="s">
        <v>1879</v>
      </c>
      <c r="B22" s="66" t="s">
        <v>1030</v>
      </c>
      <c r="C22" s="54" t="s">
        <v>168</v>
      </c>
      <c r="D22" s="435" t="str">
        <f>IFERROR(VLOOKUP(C22,Mychart!$A$125:$B$811,2,FALSE),"-")</f>
        <v>UTS Carrier</v>
      </c>
      <c r="E22" s="676" t="s">
        <v>1236</v>
      </c>
      <c r="F22" s="58">
        <v>9</v>
      </c>
      <c r="G22" s="58">
        <v>8090</v>
      </c>
      <c r="H22" s="58"/>
      <c r="I22" s="58"/>
      <c r="J22" s="137"/>
      <c r="K22" s="56" t="s">
        <v>1878</v>
      </c>
      <c r="L22" s="292">
        <v>258</v>
      </c>
      <c r="M22" s="292"/>
      <c r="N22" s="358"/>
      <c r="O22" s="292"/>
      <c r="P22" s="292"/>
      <c r="Q22" s="614"/>
      <c r="R22" s="913">
        <f t="shared" si="0"/>
        <v>0</v>
      </c>
      <c r="S22" s="913">
        <f t="shared" si="1"/>
        <v>0</v>
      </c>
      <c r="T22" s="913">
        <f t="shared" si="2"/>
        <v>0</v>
      </c>
      <c r="U22" s="914">
        <f t="shared" si="3"/>
        <v>9</v>
      </c>
      <c r="V22" s="612"/>
      <c r="W22" s="612"/>
      <c r="X22" s="612"/>
      <c r="Y22" s="612"/>
      <c r="Z22" s="612"/>
      <c r="AA22" s="612"/>
      <c r="AB22" s="612"/>
      <c r="AC22" s="612"/>
    </row>
    <row r="23" spans="1:30" ht="15" customHeight="1">
      <c r="A23" s="66" t="s">
        <v>1879</v>
      </c>
      <c r="B23" s="66" t="s">
        <v>1030</v>
      </c>
      <c r="C23" s="54" t="s">
        <v>168</v>
      </c>
      <c r="D23" s="435" t="str">
        <f>IFERROR(VLOOKUP(C23,Mychart!$A$125:$B$811,2,FALSE),"-")</f>
        <v>UTS Carrier</v>
      </c>
      <c r="E23" s="676"/>
      <c r="F23" s="58"/>
      <c r="G23" s="58"/>
      <c r="H23" s="58">
        <v>72810</v>
      </c>
      <c r="I23" s="58">
        <v>3640.5</v>
      </c>
      <c r="J23" s="137"/>
      <c r="K23" s="56" t="s">
        <v>1878</v>
      </c>
      <c r="L23" s="292">
        <v>258</v>
      </c>
      <c r="M23" s="292" t="s">
        <v>2962</v>
      </c>
      <c r="N23" s="358">
        <v>26418</v>
      </c>
      <c r="O23" s="292">
        <v>26418</v>
      </c>
      <c r="P23" s="292"/>
      <c r="Q23" s="614">
        <v>76450.5</v>
      </c>
      <c r="R23" s="913">
        <f t="shared" si="0"/>
        <v>0</v>
      </c>
      <c r="S23" s="913">
        <f t="shared" si="1"/>
        <v>50032.5</v>
      </c>
      <c r="T23" s="913">
        <f t="shared" si="2"/>
        <v>50032.5</v>
      </c>
      <c r="U23" s="914">
        <f t="shared" si="3"/>
        <v>0</v>
      </c>
      <c r="V23" s="612"/>
      <c r="W23" s="612"/>
      <c r="X23" s="612"/>
      <c r="Y23" s="612"/>
      <c r="Z23" s="612"/>
      <c r="AA23" s="612"/>
      <c r="AB23" s="612"/>
      <c r="AC23" s="612"/>
      <c r="AD23" s="930">
        <v>45573.635960648149</v>
      </c>
    </row>
    <row r="24" spans="1:30">
      <c r="A24" s="66" t="s">
        <v>5518</v>
      </c>
      <c r="B24" s="60"/>
      <c r="C24" s="54" t="s">
        <v>168</v>
      </c>
      <c r="D24" s="435" t="str">
        <f>IFERROR(VLOOKUP(C24,Mychart!$A$125:$B$811,2,FALSE),"-")</f>
        <v>UTS Carrier</v>
      </c>
      <c r="E24" s="676" t="s">
        <v>825</v>
      </c>
      <c r="F24" s="58">
        <v>1</v>
      </c>
      <c r="G24" s="58"/>
      <c r="H24" s="58"/>
      <c r="I24" s="58"/>
      <c r="J24" s="137"/>
      <c r="K24" s="56" t="s">
        <v>155</v>
      </c>
      <c r="L24" s="292">
        <v>225</v>
      </c>
      <c r="M24" s="292"/>
      <c r="N24" s="358"/>
      <c r="O24" s="292"/>
      <c r="P24" s="292">
        <v>1</v>
      </c>
      <c r="Q24" s="614">
        <v>0</v>
      </c>
      <c r="R24" s="913">
        <f t="shared" si="0"/>
        <v>0</v>
      </c>
      <c r="S24" s="913">
        <f t="shared" si="1"/>
        <v>0</v>
      </c>
      <c r="T24" s="913">
        <f t="shared" si="2"/>
        <v>0</v>
      </c>
      <c r="U24" s="914">
        <f t="shared" si="3"/>
        <v>0</v>
      </c>
      <c r="V24" s="612"/>
      <c r="W24" s="612"/>
      <c r="X24" s="612"/>
      <c r="Y24" s="612"/>
      <c r="Z24" s="612"/>
      <c r="AA24" s="612"/>
      <c r="AB24" s="612"/>
      <c r="AC24" s="612"/>
    </row>
    <row r="25" spans="1:30">
      <c r="A25" s="66" t="s">
        <v>5518</v>
      </c>
      <c r="B25" s="60"/>
      <c r="C25" s="54" t="s">
        <v>168</v>
      </c>
      <c r="D25" s="435" t="str">
        <f>IFERROR(VLOOKUP(C25,Mychart!$A$125:$B$811,2,FALSE),"-")</f>
        <v>UTS Carrier</v>
      </c>
      <c r="E25" s="676" t="s">
        <v>826</v>
      </c>
      <c r="F25" s="58">
        <v>1</v>
      </c>
      <c r="G25" s="58"/>
      <c r="H25" s="58"/>
      <c r="I25" s="58"/>
      <c r="J25" s="137"/>
      <c r="K25" s="56" t="s">
        <v>155</v>
      </c>
      <c r="L25" s="292">
        <v>225</v>
      </c>
      <c r="M25" s="292"/>
      <c r="N25" s="358"/>
      <c r="O25" s="292"/>
      <c r="P25" s="292">
        <v>1</v>
      </c>
      <c r="Q25" s="614">
        <v>0</v>
      </c>
      <c r="R25" s="913">
        <f t="shared" si="0"/>
        <v>0</v>
      </c>
      <c r="S25" s="913">
        <f t="shared" si="1"/>
        <v>0</v>
      </c>
      <c r="T25" s="913">
        <f t="shared" si="2"/>
        <v>0</v>
      </c>
      <c r="U25" s="914">
        <f t="shared" si="3"/>
        <v>0</v>
      </c>
      <c r="V25" s="612"/>
      <c r="W25" s="612"/>
      <c r="X25" s="612"/>
      <c r="Y25" s="612"/>
      <c r="Z25" s="612"/>
      <c r="AA25" s="612"/>
      <c r="AB25" s="612"/>
      <c r="AC25" s="612"/>
    </row>
    <row r="26" spans="1:30">
      <c r="A26" s="66" t="s">
        <v>5518</v>
      </c>
      <c r="B26" s="60"/>
      <c r="C26" s="54" t="s">
        <v>168</v>
      </c>
      <c r="D26" s="435" t="str">
        <f>IFERROR(VLOOKUP(C26,Mychart!$A$125:$B$811,2,FALSE),"-")</f>
        <v>UTS Carrier</v>
      </c>
      <c r="E26" s="676" t="s">
        <v>1168</v>
      </c>
      <c r="F26" s="58">
        <v>4</v>
      </c>
      <c r="G26" s="58"/>
      <c r="H26" s="58"/>
      <c r="I26" s="58"/>
      <c r="J26" s="137"/>
      <c r="K26" s="56" t="s">
        <v>155</v>
      </c>
      <c r="L26" s="292">
        <v>225</v>
      </c>
      <c r="M26" s="292"/>
      <c r="N26" s="358"/>
      <c r="O26" s="292"/>
      <c r="P26" s="292">
        <v>4</v>
      </c>
      <c r="Q26" s="614">
        <v>0</v>
      </c>
      <c r="R26" s="913">
        <f t="shared" si="0"/>
        <v>0</v>
      </c>
      <c r="S26" s="913">
        <f t="shared" si="1"/>
        <v>0</v>
      </c>
      <c r="T26" s="913">
        <f t="shared" si="2"/>
        <v>0</v>
      </c>
      <c r="U26" s="914">
        <f t="shared" si="3"/>
        <v>0</v>
      </c>
      <c r="V26" s="612"/>
      <c r="W26" s="612"/>
      <c r="X26" s="612"/>
      <c r="Y26" s="612"/>
      <c r="Z26" s="612"/>
      <c r="AA26" s="612"/>
      <c r="AB26" s="612"/>
      <c r="AC26" s="612"/>
    </row>
    <row r="27" spans="1:30" ht="15" customHeight="1">
      <c r="A27" s="66" t="s">
        <v>5518</v>
      </c>
      <c r="B27" s="60"/>
      <c r="C27" s="54" t="s">
        <v>168</v>
      </c>
      <c r="D27" s="435" t="str">
        <f>IFERROR(VLOOKUP(C27,Mychart!$A$125:$B$811,2,FALSE),"-")</f>
        <v>UTS Carrier</v>
      </c>
      <c r="E27" s="676" t="s">
        <v>828</v>
      </c>
      <c r="F27" s="58">
        <v>4</v>
      </c>
      <c r="G27" s="58"/>
      <c r="H27" s="58"/>
      <c r="I27" s="58"/>
      <c r="J27" s="137"/>
      <c r="K27" s="56" t="s">
        <v>155</v>
      </c>
      <c r="L27" s="292">
        <v>225</v>
      </c>
      <c r="M27" s="292"/>
      <c r="N27" s="358"/>
      <c r="O27" s="292"/>
      <c r="P27" s="292">
        <v>4</v>
      </c>
      <c r="Q27" s="614">
        <v>0</v>
      </c>
      <c r="R27" s="913">
        <f t="shared" si="0"/>
        <v>0</v>
      </c>
      <c r="S27" s="913">
        <f t="shared" si="1"/>
        <v>0</v>
      </c>
      <c r="T27" s="913">
        <f t="shared" si="2"/>
        <v>0</v>
      </c>
      <c r="U27" s="914">
        <f t="shared" si="3"/>
        <v>0</v>
      </c>
      <c r="V27" s="612"/>
      <c r="W27" s="612"/>
      <c r="X27" s="612"/>
      <c r="Y27" s="612"/>
      <c r="Z27" s="612"/>
      <c r="AA27" s="612"/>
      <c r="AB27" s="612"/>
      <c r="AC27" s="612"/>
    </row>
    <row r="28" spans="1:30" ht="15" customHeight="1">
      <c r="A28" s="66" t="s">
        <v>5518</v>
      </c>
      <c r="B28" s="60"/>
      <c r="C28" s="54" t="s">
        <v>168</v>
      </c>
      <c r="D28" s="435" t="str">
        <f>IFERROR(VLOOKUP(C28,Mychart!$A$125:$B$811,2,FALSE),"-")</f>
        <v>UTS Carrier</v>
      </c>
      <c r="E28" s="676" t="s">
        <v>234</v>
      </c>
      <c r="F28" s="58">
        <v>3</v>
      </c>
      <c r="G28" s="58"/>
      <c r="H28" s="58"/>
      <c r="I28" s="58"/>
      <c r="J28" s="137"/>
      <c r="K28" s="56" t="s">
        <v>155</v>
      </c>
      <c r="L28" s="292">
        <v>225</v>
      </c>
      <c r="M28" s="292"/>
      <c r="N28" s="358"/>
      <c r="O28" s="292"/>
      <c r="P28" s="292">
        <v>3</v>
      </c>
      <c r="Q28" s="614">
        <v>0</v>
      </c>
      <c r="R28" s="913">
        <f t="shared" si="0"/>
        <v>0</v>
      </c>
      <c r="S28" s="913">
        <f t="shared" si="1"/>
        <v>0</v>
      </c>
      <c r="T28" s="913">
        <f t="shared" si="2"/>
        <v>0</v>
      </c>
      <c r="U28" s="914">
        <f t="shared" si="3"/>
        <v>0</v>
      </c>
      <c r="V28" s="612"/>
      <c r="W28" s="612"/>
      <c r="X28" s="612"/>
      <c r="Y28" s="612"/>
      <c r="Z28" s="612"/>
      <c r="AA28" s="612"/>
      <c r="AB28" s="612"/>
      <c r="AC28" s="612"/>
    </row>
    <row r="29" spans="1:30" ht="15" customHeight="1">
      <c r="A29" s="66" t="s">
        <v>5518</v>
      </c>
      <c r="B29" s="60"/>
      <c r="C29" s="54" t="s">
        <v>168</v>
      </c>
      <c r="D29" s="435" t="str">
        <f>IFERROR(VLOOKUP(C29,Mychart!$A$125:$B$811,2,FALSE),"-")</f>
        <v>UTS Carrier</v>
      </c>
      <c r="E29" s="676" t="s">
        <v>235</v>
      </c>
      <c r="F29" s="58">
        <v>3</v>
      </c>
      <c r="G29" s="58"/>
      <c r="H29" s="58"/>
      <c r="I29" s="58"/>
      <c r="J29" s="137"/>
      <c r="K29" s="56" t="s">
        <v>155</v>
      </c>
      <c r="L29" s="292">
        <v>225</v>
      </c>
      <c r="M29" s="292"/>
      <c r="N29" s="358"/>
      <c r="O29" s="292"/>
      <c r="P29" s="292">
        <v>3</v>
      </c>
      <c r="Q29" s="614">
        <v>0</v>
      </c>
      <c r="R29" s="913">
        <f t="shared" si="0"/>
        <v>0</v>
      </c>
      <c r="S29" s="913">
        <f t="shared" si="1"/>
        <v>0</v>
      </c>
      <c r="T29" s="913">
        <f t="shared" si="2"/>
        <v>0</v>
      </c>
      <c r="U29" s="914">
        <f t="shared" si="3"/>
        <v>0</v>
      </c>
      <c r="V29" s="612"/>
      <c r="W29" s="612"/>
      <c r="X29" s="612"/>
      <c r="Y29" s="612"/>
      <c r="Z29" s="612"/>
      <c r="AA29" s="612"/>
      <c r="AB29" s="612"/>
      <c r="AC29" s="612"/>
    </row>
    <row r="30" spans="1:30" ht="15" customHeight="1">
      <c r="A30" s="66" t="s">
        <v>5518</v>
      </c>
      <c r="B30" s="60"/>
      <c r="C30" s="54" t="s">
        <v>168</v>
      </c>
      <c r="D30" s="435" t="str">
        <f>IFERROR(VLOOKUP(C30,Mychart!$A$125:$B$811,2,FALSE),"-")</f>
        <v>UTS Carrier</v>
      </c>
      <c r="E30" s="676" t="s">
        <v>232</v>
      </c>
      <c r="F30" s="58">
        <v>4</v>
      </c>
      <c r="G30" s="58"/>
      <c r="H30" s="58"/>
      <c r="I30" s="58"/>
      <c r="J30" s="137"/>
      <c r="K30" s="56" t="s">
        <v>155</v>
      </c>
      <c r="L30" s="292">
        <v>225</v>
      </c>
      <c r="M30" s="292"/>
      <c r="N30" s="358"/>
      <c r="O30" s="292"/>
      <c r="P30" s="292">
        <v>4</v>
      </c>
      <c r="Q30" s="614">
        <v>0</v>
      </c>
      <c r="R30" s="913">
        <f t="shared" si="0"/>
        <v>0</v>
      </c>
      <c r="S30" s="913">
        <f t="shared" si="1"/>
        <v>0</v>
      </c>
      <c r="T30" s="913">
        <f t="shared" si="2"/>
        <v>0</v>
      </c>
      <c r="U30" s="914">
        <f t="shared" si="3"/>
        <v>0</v>
      </c>
      <c r="V30" s="612"/>
      <c r="W30" s="612"/>
      <c r="X30" s="612"/>
      <c r="Y30" s="612"/>
      <c r="Z30" s="612"/>
      <c r="AA30" s="612"/>
      <c r="AB30" s="612"/>
      <c r="AC30" s="612"/>
    </row>
    <row r="31" spans="1:30" ht="15" customHeight="1">
      <c r="A31" s="66" t="s">
        <v>5518</v>
      </c>
      <c r="B31" s="60"/>
      <c r="C31" s="54" t="s">
        <v>168</v>
      </c>
      <c r="D31" s="435" t="str">
        <f>IFERROR(VLOOKUP(C31,Mychart!$A$125:$B$811,2,FALSE),"-")</f>
        <v>UTS Carrier</v>
      </c>
      <c r="E31" s="676" t="s">
        <v>233</v>
      </c>
      <c r="F31" s="58">
        <v>4</v>
      </c>
      <c r="G31" s="58"/>
      <c r="H31" s="58"/>
      <c r="I31" s="58"/>
      <c r="J31" s="137"/>
      <c r="K31" s="56" t="s">
        <v>155</v>
      </c>
      <c r="L31" s="292">
        <v>225</v>
      </c>
      <c r="M31" s="292"/>
      <c r="N31" s="358"/>
      <c r="O31" s="292"/>
      <c r="P31" s="292">
        <v>4</v>
      </c>
      <c r="Q31" s="614">
        <v>0</v>
      </c>
      <c r="R31" s="913">
        <f t="shared" si="0"/>
        <v>0</v>
      </c>
      <c r="S31" s="913">
        <f t="shared" si="1"/>
        <v>0</v>
      </c>
      <c r="T31" s="913">
        <f t="shared" si="2"/>
        <v>0</v>
      </c>
      <c r="U31" s="914">
        <f t="shared" si="3"/>
        <v>0</v>
      </c>
      <c r="V31" s="612"/>
      <c r="W31" s="612"/>
      <c r="X31" s="612"/>
      <c r="Y31" s="612"/>
      <c r="Z31" s="612"/>
      <c r="AA31" s="612"/>
      <c r="AB31" s="612"/>
      <c r="AC31" s="612"/>
    </row>
    <row r="32" spans="1:30">
      <c r="A32" s="66" t="s">
        <v>5518</v>
      </c>
      <c r="B32" s="60"/>
      <c r="C32" s="54" t="s">
        <v>168</v>
      </c>
      <c r="D32" s="435" t="str">
        <f>IFERROR(VLOOKUP(C32,Mychart!$A$125:$B$811,2,FALSE),"-")</f>
        <v>UTS Carrier</v>
      </c>
      <c r="E32" s="676" t="s">
        <v>1169</v>
      </c>
      <c r="F32" s="58">
        <v>1</v>
      </c>
      <c r="G32" s="58"/>
      <c r="H32" s="58"/>
      <c r="I32" s="58"/>
      <c r="J32" s="137"/>
      <c r="K32" s="56" t="s">
        <v>155</v>
      </c>
      <c r="L32" s="292">
        <v>225</v>
      </c>
      <c r="M32" s="292"/>
      <c r="N32" s="358"/>
      <c r="O32" s="292"/>
      <c r="P32" s="292">
        <v>1</v>
      </c>
      <c r="Q32" s="614">
        <v>0</v>
      </c>
      <c r="R32" s="913">
        <f t="shared" si="0"/>
        <v>0</v>
      </c>
      <c r="S32" s="913">
        <f t="shared" si="1"/>
        <v>0</v>
      </c>
      <c r="T32" s="913">
        <f t="shared" si="2"/>
        <v>0</v>
      </c>
      <c r="U32" s="914">
        <f t="shared" si="3"/>
        <v>0</v>
      </c>
      <c r="V32" s="612"/>
      <c r="W32" s="612"/>
      <c r="X32" s="612"/>
      <c r="Y32" s="612"/>
      <c r="Z32" s="612"/>
      <c r="AA32" s="612"/>
      <c r="AB32" s="612"/>
      <c r="AC32" s="612"/>
    </row>
    <row r="33" spans="1:30">
      <c r="A33" s="66" t="s">
        <v>5518</v>
      </c>
      <c r="B33" s="60"/>
      <c r="C33" s="54" t="s">
        <v>168</v>
      </c>
      <c r="D33" s="435" t="str">
        <f>IFERROR(VLOOKUP(C33,Mychart!$A$125:$B$811,2,FALSE),"-")</f>
        <v>UTS Carrier</v>
      </c>
      <c r="E33" s="676" t="s">
        <v>1170</v>
      </c>
      <c r="F33" s="58">
        <v>1</v>
      </c>
      <c r="G33" s="58"/>
      <c r="H33" s="58"/>
      <c r="I33" s="58"/>
      <c r="J33" s="137"/>
      <c r="K33" s="56" t="s">
        <v>155</v>
      </c>
      <c r="L33" s="292">
        <v>225</v>
      </c>
      <c r="M33" s="292"/>
      <c r="N33" s="358"/>
      <c r="O33" s="292"/>
      <c r="P33" s="292">
        <v>1</v>
      </c>
      <c r="Q33" s="614">
        <v>0</v>
      </c>
      <c r="R33" s="913">
        <f t="shared" si="0"/>
        <v>0</v>
      </c>
      <c r="S33" s="913">
        <f t="shared" si="1"/>
        <v>0</v>
      </c>
      <c r="T33" s="913">
        <f t="shared" si="2"/>
        <v>0</v>
      </c>
      <c r="U33" s="914">
        <f t="shared" si="3"/>
        <v>0</v>
      </c>
      <c r="V33" s="612"/>
      <c r="W33" s="612"/>
      <c r="X33" s="612"/>
      <c r="Y33" s="612"/>
      <c r="Z33" s="612"/>
      <c r="AA33" s="612"/>
      <c r="AB33" s="612"/>
      <c r="AC33" s="612"/>
    </row>
    <row r="34" spans="1:30">
      <c r="A34" s="66" t="s">
        <v>5518</v>
      </c>
      <c r="B34" s="60"/>
      <c r="C34" s="54" t="s">
        <v>168</v>
      </c>
      <c r="D34" s="435" t="str">
        <f>IFERROR(VLOOKUP(C34,Mychart!$A$125:$B$811,2,FALSE),"-")</f>
        <v>UTS Carrier</v>
      </c>
      <c r="E34" s="676"/>
      <c r="F34" s="58"/>
      <c r="G34" s="58"/>
      <c r="H34" s="58">
        <v>85465</v>
      </c>
      <c r="I34" s="58">
        <v>4273.25</v>
      </c>
      <c r="J34" s="137"/>
      <c r="K34" s="56" t="s">
        <v>155</v>
      </c>
      <c r="L34" s="292">
        <v>225</v>
      </c>
      <c r="M34" s="292" t="s">
        <v>5658</v>
      </c>
      <c r="N34" s="358">
        <v>89737</v>
      </c>
      <c r="O34" s="292">
        <f>89729</f>
        <v>89729</v>
      </c>
      <c r="P34" s="292"/>
      <c r="Q34" s="614">
        <v>89738.25</v>
      </c>
      <c r="R34" s="913">
        <f>O34-N34</f>
        <v>-8</v>
      </c>
      <c r="S34" s="913">
        <f>Q34-N34</f>
        <v>1.25</v>
      </c>
      <c r="T34" s="913">
        <f>Q34-O34</f>
        <v>9.25</v>
      </c>
      <c r="U34" s="914">
        <f>F34-P34</f>
        <v>0</v>
      </c>
      <c r="V34" s="612"/>
      <c r="W34" s="612"/>
      <c r="X34" s="612"/>
      <c r="Y34" s="612"/>
      <c r="Z34" s="612"/>
      <c r="AA34" s="612"/>
      <c r="AB34" s="612"/>
      <c r="AC34" s="612"/>
      <c r="AD34" s="930">
        <v>45614.407685185186</v>
      </c>
    </row>
    <row r="35" spans="1:30">
      <c r="A35" s="66" t="s">
        <v>1171</v>
      </c>
      <c r="B35" s="60"/>
      <c r="C35" s="54" t="s">
        <v>168</v>
      </c>
      <c r="D35" s="435" t="str">
        <f>IFERROR(VLOOKUP(C35,Mychart!$A$125:$B$811,2,FALSE),"-")</f>
        <v>UTS Carrier</v>
      </c>
      <c r="E35" s="676" t="s">
        <v>1172</v>
      </c>
      <c r="F35" s="58">
        <v>2</v>
      </c>
      <c r="G35" s="58"/>
      <c r="H35" s="58"/>
      <c r="I35" s="58"/>
      <c r="J35" s="137"/>
      <c r="K35" s="56" t="s">
        <v>1173</v>
      </c>
      <c r="L35" s="292">
        <v>227</v>
      </c>
      <c r="M35" s="292"/>
      <c r="N35" s="358"/>
      <c r="O35" s="292"/>
      <c r="P35" s="292">
        <v>2</v>
      </c>
      <c r="Q35" s="614">
        <v>0</v>
      </c>
      <c r="R35" s="913">
        <f t="shared" ref="R35:R77" si="4">O35-N35</f>
        <v>0</v>
      </c>
      <c r="S35" s="913">
        <f t="shared" ref="S35:S77" si="5">Q35-N35</f>
        <v>0</v>
      </c>
      <c r="T35" s="913">
        <f t="shared" ref="T35:T77" si="6">Q35-O35</f>
        <v>0</v>
      </c>
      <c r="U35" s="914">
        <f t="shared" ref="U35:U77" si="7">F35-P35</f>
        <v>0</v>
      </c>
      <c r="V35" s="612"/>
      <c r="W35" s="612"/>
      <c r="X35" s="612"/>
      <c r="Y35" s="612"/>
      <c r="Z35" s="612"/>
      <c r="AA35" s="612"/>
      <c r="AB35" s="612"/>
      <c r="AC35" s="612"/>
    </row>
    <row r="36" spans="1:30" ht="18.75" customHeight="1">
      <c r="A36" s="66" t="s">
        <v>1171</v>
      </c>
      <c r="B36" s="60"/>
      <c r="C36" s="54" t="s">
        <v>168</v>
      </c>
      <c r="D36" s="435" t="str">
        <f>IFERROR(VLOOKUP(C36,Mychart!$A$125:$B$811,2,FALSE),"-")</f>
        <v>UTS Carrier</v>
      </c>
      <c r="E36" s="676" t="s">
        <v>1174</v>
      </c>
      <c r="F36" s="58">
        <v>2</v>
      </c>
      <c r="G36" s="58"/>
      <c r="H36" s="58"/>
      <c r="I36" s="58"/>
      <c r="J36" s="137"/>
      <c r="K36" s="56" t="s">
        <v>1173</v>
      </c>
      <c r="L36" s="292">
        <v>227</v>
      </c>
      <c r="M36" s="292"/>
      <c r="N36" s="358"/>
      <c r="O36" s="292"/>
      <c r="P36" s="292">
        <v>2</v>
      </c>
      <c r="Q36" s="614">
        <v>0</v>
      </c>
      <c r="R36" s="913">
        <f t="shared" si="4"/>
        <v>0</v>
      </c>
      <c r="S36" s="913">
        <f t="shared" si="5"/>
        <v>0</v>
      </c>
      <c r="T36" s="913">
        <f t="shared" si="6"/>
        <v>0</v>
      </c>
      <c r="U36" s="914">
        <f t="shared" si="7"/>
        <v>0</v>
      </c>
      <c r="V36" s="612"/>
      <c r="W36" s="612"/>
      <c r="X36" s="612"/>
      <c r="Y36" s="612"/>
      <c r="Z36" s="612"/>
      <c r="AA36" s="612"/>
      <c r="AB36" s="612"/>
      <c r="AC36" s="612"/>
    </row>
    <row r="37" spans="1:30">
      <c r="A37" s="66" t="s">
        <v>1171</v>
      </c>
      <c r="B37" s="60"/>
      <c r="C37" s="54" t="s">
        <v>168</v>
      </c>
      <c r="D37" s="435" t="str">
        <f>IFERROR(VLOOKUP(C37,Mychart!$A$125:$B$811,2,FALSE),"-")</f>
        <v>UTS Carrier</v>
      </c>
      <c r="E37" s="676" t="s">
        <v>1175</v>
      </c>
      <c r="F37" s="58">
        <v>1</v>
      </c>
      <c r="G37" s="58"/>
      <c r="H37" s="58"/>
      <c r="I37" s="58"/>
      <c r="J37" s="137"/>
      <c r="K37" s="56" t="s">
        <v>1173</v>
      </c>
      <c r="L37" s="292">
        <v>227</v>
      </c>
      <c r="M37" s="292"/>
      <c r="N37" s="358"/>
      <c r="O37" s="292"/>
      <c r="P37" s="292">
        <v>1</v>
      </c>
      <c r="Q37" s="614">
        <v>0</v>
      </c>
      <c r="R37" s="913">
        <f t="shared" si="4"/>
        <v>0</v>
      </c>
      <c r="S37" s="913">
        <f t="shared" si="5"/>
        <v>0</v>
      </c>
      <c r="T37" s="913">
        <f t="shared" si="6"/>
        <v>0</v>
      </c>
      <c r="U37" s="914">
        <f t="shared" si="7"/>
        <v>0</v>
      </c>
      <c r="V37" s="612"/>
      <c r="W37" s="612"/>
      <c r="X37" s="612"/>
      <c r="Y37" s="612"/>
      <c r="Z37" s="612"/>
      <c r="AA37" s="612"/>
      <c r="AB37" s="612"/>
      <c r="AC37" s="612"/>
    </row>
    <row r="38" spans="1:30">
      <c r="A38" s="66" t="s">
        <v>1171</v>
      </c>
      <c r="B38" s="60"/>
      <c r="C38" s="54" t="s">
        <v>168</v>
      </c>
      <c r="D38" s="435" t="str">
        <f>IFERROR(VLOOKUP(C38,Mychart!$A$125:$B$811,2,FALSE),"-")</f>
        <v>UTS Carrier</v>
      </c>
      <c r="E38" s="676" t="s">
        <v>1176</v>
      </c>
      <c r="F38" s="58">
        <v>1</v>
      </c>
      <c r="G38" s="58"/>
      <c r="H38" s="58"/>
      <c r="I38" s="58"/>
      <c r="J38" s="137"/>
      <c r="K38" s="56" t="s">
        <v>1173</v>
      </c>
      <c r="L38" s="292">
        <v>227</v>
      </c>
      <c r="M38" s="292"/>
      <c r="N38" s="358"/>
      <c r="O38" s="292"/>
      <c r="P38" s="292">
        <v>1</v>
      </c>
      <c r="Q38" s="614">
        <v>0</v>
      </c>
      <c r="R38" s="913">
        <f t="shared" si="4"/>
        <v>0</v>
      </c>
      <c r="S38" s="913">
        <f t="shared" si="5"/>
        <v>0</v>
      </c>
      <c r="T38" s="913">
        <f t="shared" si="6"/>
        <v>0</v>
      </c>
      <c r="U38" s="914">
        <f t="shared" si="7"/>
        <v>0</v>
      </c>
      <c r="V38" s="612"/>
      <c r="W38" s="612"/>
      <c r="X38" s="612"/>
      <c r="Y38" s="612"/>
      <c r="Z38" s="612"/>
      <c r="AA38" s="612"/>
      <c r="AB38" s="612"/>
      <c r="AC38" s="612"/>
    </row>
    <row r="39" spans="1:30">
      <c r="A39" s="66" t="s">
        <v>1171</v>
      </c>
      <c r="B39" s="60"/>
      <c r="C39" s="54" t="s">
        <v>168</v>
      </c>
      <c r="D39" s="435" t="str">
        <f>IFERROR(VLOOKUP(C39,Mychart!$A$125:$B$811,2,FALSE),"-")</f>
        <v>UTS Carrier</v>
      </c>
      <c r="E39" s="676" t="s">
        <v>1177</v>
      </c>
      <c r="F39" s="58">
        <v>1</v>
      </c>
      <c r="G39" s="58"/>
      <c r="H39" s="58"/>
      <c r="I39" s="58"/>
      <c r="J39" s="137"/>
      <c r="K39" s="56" t="s">
        <v>1173</v>
      </c>
      <c r="L39" s="292">
        <v>227</v>
      </c>
      <c r="M39" s="292"/>
      <c r="N39" s="358"/>
      <c r="O39" s="292"/>
      <c r="P39" s="292">
        <v>1</v>
      </c>
      <c r="Q39" s="614">
        <v>0</v>
      </c>
      <c r="R39" s="913">
        <f t="shared" si="4"/>
        <v>0</v>
      </c>
      <c r="S39" s="913">
        <f t="shared" si="5"/>
        <v>0</v>
      </c>
      <c r="T39" s="913">
        <f t="shared" si="6"/>
        <v>0</v>
      </c>
      <c r="U39" s="914">
        <f t="shared" si="7"/>
        <v>0</v>
      </c>
      <c r="V39" s="612"/>
      <c r="W39" s="612"/>
      <c r="X39" s="612"/>
      <c r="Y39" s="612"/>
      <c r="Z39" s="612"/>
      <c r="AA39" s="612"/>
      <c r="AB39" s="612"/>
      <c r="AC39" s="612"/>
    </row>
    <row r="40" spans="1:30">
      <c r="A40" s="66" t="s">
        <v>1171</v>
      </c>
      <c r="B40" s="60"/>
      <c r="C40" s="54" t="s">
        <v>168</v>
      </c>
      <c r="D40" s="435" t="str">
        <f>IFERROR(VLOOKUP(C40,Mychart!$A$125:$B$811,2,FALSE),"-")</f>
        <v>UTS Carrier</v>
      </c>
      <c r="E40" s="676" t="s">
        <v>1178</v>
      </c>
      <c r="F40" s="58">
        <v>1</v>
      </c>
      <c r="G40" s="58"/>
      <c r="H40" s="58"/>
      <c r="I40" s="58"/>
      <c r="J40" s="137"/>
      <c r="K40" s="56" t="s">
        <v>1173</v>
      </c>
      <c r="L40" s="292">
        <v>227</v>
      </c>
      <c r="M40" s="292"/>
      <c r="N40" s="358"/>
      <c r="O40" s="292"/>
      <c r="P40" s="292">
        <v>1</v>
      </c>
      <c r="Q40" s="614">
        <v>0</v>
      </c>
      <c r="R40" s="913">
        <f t="shared" si="4"/>
        <v>0</v>
      </c>
      <c r="S40" s="913">
        <f t="shared" si="5"/>
        <v>0</v>
      </c>
      <c r="T40" s="913">
        <f t="shared" si="6"/>
        <v>0</v>
      </c>
      <c r="U40" s="914">
        <f t="shared" si="7"/>
        <v>0</v>
      </c>
      <c r="V40" s="612"/>
      <c r="W40" s="612"/>
      <c r="X40" s="612"/>
      <c r="Y40" s="612"/>
      <c r="Z40" s="612"/>
      <c r="AA40" s="612"/>
      <c r="AB40" s="612"/>
      <c r="AC40" s="612"/>
    </row>
    <row r="41" spans="1:30">
      <c r="A41" s="66" t="s">
        <v>1171</v>
      </c>
      <c r="B41" s="60"/>
      <c r="C41" s="54" t="s">
        <v>168</v>
      </c>
      <c r="D41" s="435" t="str">
        <f>IFERROR(VLOOKUP(C41,Mychart!$A$125:$B$811,2,FALSE),"-")</f>
        <v>UTS Carrier</v>
      </c>
      <c r="E41" s="676" t="s">
        <v>1179</v>
      </c>
      <c r="F41" s="58">
        <v>5</v>
      </c>
      <c r="G41" s="58"/>
      <c r="H41" s="58"/>
      <c r="I41" s="58"/>
      <c r="J41" s="137"/>
      <c r="K41" s="56" t="s">
        <v>1173</v>
      </c>
      <c r="L41" s="292">
        <v>227</v>
      </c>
      <c r="M41" s="292"/>
      <c r="N41" s="358"/>
      <c r="O41" s="292"/>
      <c r="P41" s="292">
        <v>5</v>
      </c>
      <c r="Q41" s="614">
        <v>0</v>
      </c>
      <c r="R41" s="913">
        <f t="shared" si="4"/>
        <v>0</v>
      </c>
      <c r="S41" s="913">
        <f t="shared" si="5"/>
        <v>0</v>
      </c>
      <c r="T41" s="913">
        <f t="shared" si="6"/>
        <v>0</v>
      </c>
      <c r="U41" s="914">
        <f t="shared" si="7"/>
        <v>0</v>
      </c>
      <c r="V41" s="612"/>
      <c r="W41" s="612"/>
      <c r="X41" s="612"/>
      <c r="Y41" s="612"/>
      <c r="Z41" s="612"/>
      <c r="AA41" s="612"/>
      <c r="AB41" s="612"/>
      <c r="AC41" s="612"/>
    </row>
    <row r="42" spans="1:30">
      <c r="A42" s="66" t="s">
        <v>1171</v>
      </c>
      <c r="B42" s="60"/>
      <c r="C42" s="54" t="s">
        <v>168</v>
      </c>
      <c r="D42" s="435" t="str">
        <f>IFERROR(VLOOKUP(C42,Mychart!$A$125:$B$811,2,FALSE),"-")</f>
        <v>UTS Carrier</v>
      </c>
      <c r="E42" s="676" t="s">
        <v>1180</v>
      </c>
      <c r="F42" s="58">
        <v>5</v>
      </c>
      <c r="G42" s="58"/>
      <c r="H42" s="58"/>
      <c r="I42" s="58"/>
      <c r="J42" s="137"/>
      <c r="K42" s="56" t="s">
        <v>1173</v>
      </c>
      <c r="L42" s="292">
        <v>227</v>
      </c>
      <c r="M42" s="292"/>
      <c r="N42" s="358"/>
      <c r="O42" s="292"/>
      <c r="P42" s="292">
        <v>5</v>
      </c>
      <c r="Q42" s="614">
        <v>0</v>
      </c>
      <c r="R42" s="913">
        <f t="shared" si="4"/>
        <v>0</v>
      </c>
      <c r="S42" s="913">
        <f t="shared" si="5"/>
        <v>0</v>
      </c>
      <c r="T42" s="913">
        <f t="shared" si="6"/>
        <v>0</v>
      </c>
      <c r="U42" s="914">
        <f t="shared" si="7"/>
        <v>0</v>
      </c>
      <c r="V42" s="612"/>
      <c r="W42" s="612"/>
      <c r="X42" s="612"/>
      <c r="Y42" s="612"/>
      <c r="Z42" s="612"/>
      <c r="AA42" s="612"/>
      <c r="AB42" s="612"/>
      <c r="AC42" s="612"/>
    </row>
    <row r="43" spans="1:30">
      <c r="A43" s="66" t="s">
        <v>1171</v>
      </c>
      <c r="B43" s="60"/>
      <c r="C43" s="54" t="s">
        <v>168</v>
      </c>
      <c r="D43" s="435" t="str">
        <f>IFERROR(VLOOKUP(C43,Mychart!$A$125:$B$811,2,FALSE),"-")</f>
        <v>UTS Carrier</v>
      </c>
      <c r="E43" s="676" t="s">
        <v>1181</v>
      </c>
      <c r="F43" s="58">
        <v>2</v>
      </c>
      <c r="G43" s="58"/>
      <c r="H43" s="58"/>
      <c r="I43" s="58"/>
      <c r="J43" s="137"/>
      <c r="K43" s="56" t="s">
        <v>1173</v>
      </c>
      <c r="L43" s="292">
        <v>227</v>
      </c>
      <c r="M43" s="292"/>
      <c r="N43" s="358"/>
      <c r="O43" s="292"/>
      <c r="P43" s="292">
        <v>2</v>
      </c>
      <c r="Q43" s="614">
        <v>0</v>
      </c>
      <c r="R43" s="913">
        <f t="shared" si="4"/>
        <v>0</v>
      </c>
      <c r="S43" s="913">
        <f t="shared" si="5"/>
        <v>0</v>
      </c>
      <c r="T43" s="913">
        <f t="shared" si="6"/>
        <v>0</v>
      </c>
      <c r="U43" s="914">
        <f t="shared" si="7"/>
        <v>0</v>
      </c>
      <c r="V43" s="612"/>
      <c r="W43" s="612"/>
      <c r="X43" s="612"/>
      <c r="Y43" s="612"/>
      <c r="Z43" s="612"/>
      <c r="AA43" s="612"/>
      <c r="AB43" s="612"/>
      <c r="AC43" s="612"/>
    </row>
    <row r="44" spans="1:30">
      <c r="A44" s="66" t="s">
        <v>1171</v>
      </c>
      <c r="B44" s="60"/>
      <c r="C44" s="54" t="s">
        <v>168</v>
      </c>
      <c r="D44" s="435" t="str">
        <f>IFERROR(VLOOKUP(C44,Mychart!$A$125:$B$811,2,FALSE),"-")</f>
        <v>UTS Carrier</v>
      </c>
      <c r="E44" s="676" t="s">
        <v>1182</v>
      </c>
      <c r="F44" s="58">
        <v>2</v>
      </c>
      <c r="G44" s="58"/>
      <c r="H44" s="58"/>
      <c r="I44" s="58"/>
      <c r="J44" s="137"/>
      <c r="K44" s="56" t="s">
        <v>1173</v>
      </c>
      <c r="L44" s="292">
        <v>227</v>
      </c>
      <c r="M44" s="292"/>
      <c r="N44" s="358"/>
      <c r="O44" s="292"/>
      <c r="P44" s="292">
        <v>2</v>
      </c>
      <c r="Q44" s="614">
        <v>0</v>
      </c>
      <c r="R44" s="913">
        <f t="shared" si="4"/>
        <v>0</v>
      </c>
      <c r="S44" s="913">
        <f t="shared" si="5"/>
        <v>0</v>
      </c>
      <c r="T44" s="913">
        <f t="shared" si="6"/>
        <v>0</v>
      </c>
      <c r="U44" s="914">
        <f t="shared" si="7"/>
        <v>0</v>
      </c>
      <c r="V44" s="612"/>
      <c r="W44" s="612"/>
      <c r="X44" s="612"/>
      <c r="Y44" s="612"/>
      <c r="Z44" s="612"/>
      <c r="AA44" s="612"/>
      <c r="AB44" s="612"/>
      <c r="AC44" s="612"/>
    </row>
    <row r="45" spans="1:30">
      <c r="A45" s="66" t="s">
        <v>1171</v>
      </c>
      <c r="B45" s="60"/>
      <c r="C45" s="54" t="s">
        <v>168</v>
      </c>
      <c r="D45" s="435" t="str">
        <f>IFERROR(VLOOKUP(C45,Mychart!$A$125:$B$811,2,FALSE),"-")</f>
        <v>UTS Carrier</v>
      </c>
      <c r="E45" s="676" t="s">
        <v>1183</v>
      </c>
      <c r="F45" s="58">
        <v>8</v>
      </c>
      <c r="G45" s="58"/>
      <c r="H45" s="58"/>
      <c r="I45" s="58"/>
      <c r="J45" s="137"/>
      <c r="K45" s="56" t="s">
        <v>1173</v>
      </c>
      <c r="L45" s="292">
        <v>227</v>
      </c>
      <c r="M45" s="292"/>
      <c r="N45" s="358"/>
      <c r="O45" s="292"/>
      <c r="P45" s="292">
        <v>8</v>
      </c>
      <c r="Q45" s="614">
        <v>0</v>
      </c>
      <c r="R45" s="913">
        <f t="shared" si="4"/>
        <v>0</v>
      </c>
      <c r="S45" s="913">
        <f t="shared" si="5"/>
        <v>0</v>
      </c>
      <c r="T45" s="913">
        <f t="shared" si="6"/>
        <v>0</v>
      </c>
      <c r="U45" s="914">
        <f t="shared" si="7"/>
        <v>0</v>
      </c>
      <c r="V45" s="612"/>
      <c r="W45" s="612"/>
      <c r="X45" s="612"/>
      <c r="Y45" s="612"/>
      <c r="Z45" s="612"/>
      <c r="AA45" s="612"/>
      <c r="AB45" s="612"/>
      <c r="AC45" s="612"/>
    </row>
    <row r="46" spans="1:30">
      <c r="A46" s="66" t="s">
        <v>1171</v>
      </c>
      <c r="B46" s="60"/>
      <c r="C46" s="54" t="s">
        <v>168</v>
      </c>
      <c r="D46" s="435" t="str">
        <f>IFERROR(VLOOKUP(C46,Mychart!$A$125:$B$811,2,FALSE),"-")</f>
        <v>UTS Carrier</v>
      </c>
      <c r="E46" s="676" t="s">
        <v>1184</v>
      </c>
      <c r="F46" s="58">
        <v>8</v>
      </c>
      <c r="G46" s="58"/>
      <c r="H46" s="58"/>
      <c r="I46" s="58"/>
      <c r="J46" s="137"/>
      <c r="K46" s="56" t="s">
        <v>1173</v>
      </c>
      <c r="L46" s="292">
        <v>227</v>
      </c>
      <c r="M46" s="292"/>
      <c r="N46" s="358"/>
      <c r="O46" s="292"/>
      <c r="P46" s="292">
        <v>8</v>
      </c>
      <c r="Q46" s="614">
        <v>0</v>
      </c>
      <c r="R46" s="913">
        <f t="shared" si="4"/>
        <v>0</v>
      </c>
      <c r="S46" s="913">
        <f t="shared" si="5"/>
        <v>0</v>
      </c>
      <c r="T46" s="913">
        <f t="shared" si="6"/>
        <v>0</v>
      </c>
      <c r="U46" s="914">
        <f t="shared" si="7"/>
        <v>0</v>
      </c>
      <c r="V46" s="612"/>
      <c r="W46" s="612"/>
      <c r="X46" s="612"/>
      <c r="Y46" s="612"/>
      <c r="Z46" s="612"/>
      <c r="AA46" s="612"/>
      <c r="AB46" s="612"/>
      <c r="AC46" s="612"/>
    </row>
    <row r="47" spans="1:30">
      <c r="A47" s="66" t="s">
        <v>1171</v>
      </c>
      <c r="B47" s="60"/>
      <c r="C47" s="54" t="s">
        <v>168</v>
      </c>
      <c r="D47" s="435" t="str">
        <f>IFERROR(VLOOKUP(C47,Mychart!$A$125:$B$811,2,FALSE),"-")</f>
        <v>UTS Carrier</v>
      </c>
      <c r="E47" s="676" t="s">
        <v>1185</v>
      </c>
      <c r="F47" s="58">
        <v>3</v>
      </c>
      <c r="G47" s="58"/>
      <c r="H47" s="58"/>
      <c r="I47" s="58"/>
      <c r="J47" s="137"/>
      <c r="K47" s="56" t="s">
        <v>1173</v>
      </c>
      <c r="L47" s="292">
        <v>227</v>
      </c>
      <c r="M47" s="292"/>
      <c r="N47" s="358"/>
      <c r="O47" s="292"/>
      <c r="P47" s="292">
        <v>3</v>
      </c>
      <c r="Q47" s="614">
        <v>0</v>
      </c>
      <c r="R47" s="913">
        <f t="shared" si="4"/>
        <v>0</v>
      </c>
      <c r="S47" s="913">
        <f t="shared" si="5"/>
        <v>0</v>
      </c>
      <c r="T47" s="913">
        <f t="shared" si="6"/>
        <v>0</v>
      </c>
      <c r="U47" s="914">
        <f t="shared" si="7"/>
        <v>0</v>
      </c>
      <c r="V47" s="612"/>
      <c r="W47" s="612"/>
      <c r="X47" s="612"/>
      <c r="Y47" s="612"/>
      <c r="Z47" s="612"/>
      <c r="AA47" s="612"/>
      <c r="AB47" s="612"/>
      <c r="AC47" s="612"/>
    </row>
    <row r="48" spans="1:30">
      <c r="A48" s="66" t="s">
        <v>1171</v>
      </c>
      <c r="B48" s="60"/>
      <c r="C48" s="54" t="s">
        <v>168</v>
      </c>
      <c r="D48" s="435" t="str">
        <f>IFERROR(VLOOKUP(C48,Mychart!$A$125:$B$811,2,FALSE),"-")</f>
        <v>UTS Carrier</v>
      </c>
      <c r="E48" s="676" t="s">
        <v>233</v>
      </c>
      <c r="F48" s="58">
        <v>3</v>
      </c>
      <c r="G48" s="58"/>
      <c r="H48" s="58"/>
      <c r="I48" s="58"/>
      <c r="J48" s="137"/>
      <c r="K48" s="56" t="s">
        <v>1173</v>
      </c>
      <c r="L48" s="292">
        <v>227</v>
      </c>
      <c r="M48" s="292"/>
      <c r="N48" s="358"/>
      <c r="O48" s="292"/>
      <c r="P48" s="292">
        <v>3</v>
      </c>
      <c r="Q48" s="614">
        <v>0</v>
      </c>
      <c r="R48" s="913">
        <f t="shared" si="4"/>
        <v>0</v>
      </c>
      <c r="S48" s="913">
        <f t="shared" si="5"/>
        <v>0</v>
      </c>
      <c r="T48" s="913">
        <f t="shared" si="6"/>
        <v>0</v>
      </c>
      <c r="U48" s="914">
        <f t="shared" si="7"/>
        <v>0</v>
      </c>
      <c r="V48" s="612"/>
      <c r="W48" s="612"/>
      <c r="X48" s="612"/>
      <c r="Y48" s="612"/>
      <c r="Z48" s="612"/>
      <c r="AA48" s="612"/>
      <c r="AB48" s="612"/>
      <c r="AC48" s="612"/>
    </row>
    <row r="49" spans="1:29">
      <c r="A49" s="66" t="s">
        <v>1171</v>
      </c>
      <c r="B49" s="60"/>
      <c r="C49" s="54" t="s">
        <v>168</v>
      </c>
      <c r="D49" s="435" t="str">
        <f>IFERROR(VLOOKUP(C49,Mychart!$A$125:$B$811,2,FALSE),"-")</f>
        <v>UTS Carrier</v>
      </c>
      <c r="E49" s="676" t="s">
        <v>1169</v>
      </c>
      <c r="F49" s="58">
        <v>1</v>
      </c>
      <c r="G49" s="58"/>
      <c r="H49" s="58"/>
      <c r="I49" s="58"/>
      <c r="J49" s="137"/>
      <c r="K49" s="56" t="s">
        <v>1173</v>
      </c>
      <c r="L49" s="292">
        <v>227</v>
      </c>
      <c r="M49" s="292"/>
      <c r="N49" s="358"/>
      <c r="O49" s="292"/>
      <c r="P49" s="292">
        <v>1</v>
      </c>
      <c r="Q49" s="614">
        <v>0</v>
      </c>
      <c r="R49" s="913">
        <f t="shared" si="4"/>
        <v>0</v>
      </c>
      <c r="S49" s="913">
        <f t="shared" si="5"/>
        <v>0</v>
      </c>
      <c r="T49" s="913">
        <f t="shared" si="6"/>
        <v>0</v>
      </c>
      <c r="U49" s="914">
        <f t="shared" si="7"/>
        <v>0</v>
      </c>
      <c r="V49" s="612"/>
      <c r="W49" s="612"/>
      <c r="X49" s="612"/>
      <c r="Y49" s="612"/>
      <c r="Z49" s="612"/>
      <c r="AA49" s="612"/>
      <c r="AB49" s="612"/>
      <c r="AC49" s="612"/>
    </row>
    <row r="50" spans="1:29">
      <c r="A50" s="66" t="s">
        <v>1171</v>
      </c>
      <c r="B50" s="60"/>
      <c r="C50" s="54" t="s">
        <v>168</v>
      </c>
      <c r="D50" s="435" t="str">
        <f>IFERROR(VLOOKUP(C50,Mychart!$A$125:$B$811,2,FALSE),"-")</f>
        <v>UTS Carrier</v>
      </c>
      <c r="E50" s="676" t="s">
        <v>1170</v>
      </c>
      <c r="F50" s="58">
        <v>1</v>
      </c>
      <c r="G50" s="58"/>
      <c r="H50" s="58"/>
      <c r="I50" s="58"/>
      <c r="J50" s="137"/>
      <c r="K50" s="56" t="s">
        <v>1173</v>
      </c>
      <c r="L50" s="292">
        <v>227</v>
      </c>
      <c r="M50" s="292"/>
      <c r="N50" s="358"/>
      <c r="O50" s="292"/>
      <c r="P50" s="292">
        <v>1</v>
      </c>
      <c r="Q50" s="614">
        <v>0</v>
      </c>
      <c r="R50" s="913">
        <f t="shared" si="4"/>
        <v>0</v>
      </c>
      <c r="S50" s="913">
        <f t="shared" si="5"/>
        <v>0</v>
      </c>
      <c r="T50" s="913">
        <f t="shared" si="6"/>
        <v>0</v>
      </c>
      <c r="U50" s="914">
        <f t="shared" si="7"/>
        <v>0</v>
      </c>
      <c r="V50" s="612"/>
      <c r="W50" s="612"/>
      <c r="X50" s="612"/>
      <c r="Y50" s="612"/>
      <c r="Z50" s="612"/>
      <c r="AA50" s="612"/>
      <c r="AB50" s="612"/>
      <c r="AC50" s="612"/>
    </row>
    <row r="51" spans="1:29">
      <c r="A51" s="66" t="s">
        <v>1171</v>
      </c>
      <c r="B51" s="60"/>
      <c r="C51" s="54" t="s">
        <v>168</v>
      </c>
      <c r="D51" s="435" t="str">
        <f>IFERROR(VLOOKUP(C51,Mychart!$A$125:$B$811,2,FALSE),"-")</f>
        <v>UTS Carrier</v>
      </c>
      <c r="E51" s="676" t="s">
        <v>832</v>
      </c>
      <c r="F51" s="58">
        <v>6</v>
      </c>
      <c r="G51" s="58"/>
      <c r="H51" s="58"/>
      <c r="I51" s="58"/>
      <c r="J51" s="137"/>
      <c r="K51" s="56" t="s">
        <v>1173</v>
      </c>
      <c r="L51" s="292">
        <v>227</v>
      </c>
      <c r="M51" s="292"/>
      <c r="N51" s="358"/>
      <c r="O51" s="292"/>
      <c r="P51" s="292">
        <v>4</v>
      </c>
      <c r="Q51" s="614">
        <v>0</v>
      </c>
      <c r="R51" s="913">
        <f t="shared" si="4"/>
        <v>0</v>
      </c>
      <c r="S51" s="913">
        <f t="shared" si="5"/>
        <v>0</v>
      </c>
      <c r="T51" s="913">
        <f t="shared" si="6"/>
        <v>0</v>
      </c>
      <c r="U51" s="914">
        <f t="shared" si="7"/>
        <v>2</v>
      </c>
      <c r="V51" s="612"/>
      <c r="W51" s="612"/>
      <c r="X51" s="612"/>
      <c r="Y51" s="612"/>
      <c r="Z51" s="612"/>
      <c r="AA51" s="612"/>
      <c r="AB51" s="612"/>
      <c r="AC51" s="612"/>
    </row>
    <row r="52" spans="1:29">
      <c r="A52" s="66" t="s">
        <v>1171</v>
      </c>
      <c r="B52" s="60"/>
      <c r="C52" s="54" t="s">
        <v>168</v>
      </c>
      <c r="D52" s="435" t="str">
        <f>IFERROR(VLOOKUP(C52,Mychart!$A$125:$B$811,2,FALSE),"-")</f>
        <v>UTS Carrier</v>
      </c>
      <c r="E52" s="676" t="s">
        <v>833</v>
      </c>
      <c r="F52" s="58">
        <v>6</v>
      </c>
      <c r="G52" s="58"/>
      <c r="H52" s="58"/>
      <c r="I52" s="58"/>
      <c r="J52" s="137"/>
      <c r="K52" s="56" t="s">
        <v>1173</v>
      </c>
      <c r="L52" s="292">
        <v>227</v>
      </c>
      <c r="M52" s="292"/>
      <c r="N52" s="358"/>
      <c r="O52" s="292"/>
      <c r="P52" s="292">
        <v>4</v>
      </c>
      <c r="Q52" s="614">
        <v>0</v>
      </c>
      <c r="R52" s="913">
        <f t="shared" si="4"/>
        <v>0</v>
      </c>
      <c r="S52" s="913">
        <f t="shared" si="5"/>
        <v>0</v>
      </c>
      <c r="T52" s="913">
        <f t="shared" si="6"/>
        <v>0</v>
      </c>
      <c r="U52" s="914">
        <f t="shared" si="7"/>
        <v>2</v>
      </c>
      <c r="V52" s="612"/>
      <c r="W52" s="612"/>
      <c r="X52" s="612"/>
      <c r="Y52" s="612"/>
      <c r="Z52" s="612"/>
      <c r="AA52" s="612"/>
      <c r="AB52" s="612"/>
      <c r="AC52" s="612"/>
    </row>
    <row r="53" spans="1:29">
      <c r="A53" s="66" t="s">
        <v>1171</v>
      </c>
      <c r="B53" s="60"/>
      <c r="C53" s="54" t="s">
        <v>168</v>
      </c>
      <c r="D53" s="435" t="str">
        <f>IFERROR(VLOOKUP(C53,Mychart!$A$125:$B$811,2,FALSE),"-")</f>
        <v>UTS Carrier</v>
      </c>
      <c r="E53" s="676"/>
      <c r="F53" s="58"/>
      <c r="G53" s="58"/>
      <c r="H53" s="58">
        <v>154275</v>
      </c>
      <c r="I53" s="58">
        <v>7713</v>
      </c>
      <c r="J53" s="137"/>
      <c r="K53" s="56" t="s">
        <v>1173</v>
      </c>
      <c r="L53" s="292">
        <v>227</v>
      </c>
      <c r="M53" s="292" t="s">
        <v>1848</v>
      </c>
      <c r="N53" s="358">
        <v>86854</v>
      </c>
      <c r="O53" s="292">
        <v>86855.5</v>
      </c>
      <c r="P53" s="292"/>
      <c r="Q53" s="614">
        <v>161988</v>
      </c>
      <c r="R53" s="913">
        <f t="shared" si="4"/>
        <v>1.5</v>
      </c>
      <c r="S53" s="913">
        <f t="shared" si="5"/>
        <v>75134</v>
      </c>
      <c r="T53" s="913">
        <f t="shared" si="6"/>
        <v>75132.5</v>
      </c>
      <c r="U53" s="914">
        <f t="shared" si="7"/>
        <v>0</v>
      </c>
      <c r="V53" s="612"/>
      <c r="W53" s="612"/>
      <c r="X53" s="612"/>
      <c r="Y53" s="612"/>
      <c r="Z53" s="612"/>
      <c r="AA53" s="612"/>
      <c r="AB53" s="612"/>
      <c r="AC53" s="612"/>
    </row>
    <row r="54" spans="1:29">
      <c r="A54" s="66" t="s">
        <v>1186</v>
      </c>
      <c r="B54" s="60"/>
      <c r="C54" s="54" t="s">
        <v>168</v>
      </c>
      <c r="D54" s="435" t="str">
        <f>IFERROR(VLOOKUP(C54,Mychart!$A$125:$B$811,2,FALSE),"-")</f>
        <v>UTS Carrier</v>
      </c>
      <c r="E54" s="676" t="s">
        <v>236</v>
      </c>
      <c r="F54" s="58">
        <v>4</v>
      </c>
      <c r="G54" s="58"/>
      <c r="H54" s="58"/>
      <c r="I54" s="58"/>
      <c r="J54" s="137"/>
      <c r="K54" s="56" t="s">
        <v>1187</v>
      </c>
      <c r="L54" s="292">
        <v>216</v>
      </c>
      <c r="M54" s="292"/>
      <c r="N54" s="358"/>
      <c r="O54" s="292"/>
      <c r="P54" s="292">
        <v>4</v>
      </c>
      <c r="Q54" s="614">
        <v>0</v>
      </c>
      <c r="R54" s="913">
        <f t="shared" si="4"/>
        <v>0</v>
      </c>
      <c r="S54" s="913">
        <f t="shared" si="5"/>
        <v>0</v>
      </c>
      <c r="T54" s="913">
        <f t="shared" si="6"/>
        <v>0</v>
      </c>
      <c r="U54" s="914">
        <f t="shared" si="7"/>
        <v>0</v>
      </c>
      <c r="V54" s="612"/>
      <c r="W54" s="612"/>
      <c r="X54" s="612"/>
      <c r="Y54" s="612"/>
      <c r="Z54" s="612"/>
      <c r="AA54" s="612"/>
      <c r="AB54" s="612"/>
      <c r="AC54" s="612"/>
    </row>
    <row r="55" spans="1:29">
      <c r="A55" s="66" t="s">
        <v>1186</v>
      </c>
      <c r="B55" s="60"/>
      <c r="C55" s="54" t="s">
        <v>168</v>
      </c>
      <c r="D55" s="435" t="str">
        <f>IFERROR(VLOOKUP(C55,Mychart!$A$125:$B$811,2,FALSE),"-")</f>
        <v>UTS Carrier</v>
      </c>
      <c r="E55" s="676" t="s">
        <v>237</v>
      </c>
      <c r="F55" s="58">
        <v>4</v>
      </c>
      <c r="G55" s="58"/>
      <c r="H55" s="58"/>
      <c r="I55" s="58"/>
      <c r="J55" s="137"/>
      <c r="K55" s="56" t="s">
        <v>1187</v>
      </c>
      <c r="L55" s="292">
        <v>216</v>
      </c>
      <c r="M55" s="292"/>
      <c r="N55" s="358"/>
      <c r="O55" s="292"/>
      <c r="P55" s="292">
        <v>4</v>
      </c>
      <c r="Q55" s="614">
        <v>0</v>
      </c>
      <c r="R55" s="913">
        <f t="shared" si="4"/>
        <v>0</v>
      </c>
      <c r="S55" s="913">
        <f t="shared" si="5"/>
        <v>0</v>
      </c>
      <c r="T55" s="913">
        <f t="shared" si="6"/>
        <v>0</v>
      </c>
      <c r="U55" s="914">
        <f t="shared" si="7"/>
        <v>0</v>
      </c>
      <c r="V55" s="612"/>
      <c r="W55" s="612"/>
      <c r="X55" s="612"/>
      <c r="Y55" s="612"/>
      <c r="Z55" s="612"/>
      <c r="AA55" s="612"/>
      <c r="AB55" s="612"/>
      <c r="AC55" s="612"/>
    </row>
    <row r="56" spans="1:29">
      <c r="A56" s="66" t="s">
        <v>1186</v>
      </c>
      <c r="B56" s="60"/>
      <c r="C56" s="54" t="s">
        <v>168</v>
      </c>
      <c r="D56" s="435" t="str">
        <f>IFERROR(VLOOKUP(C56,Mychart!$A$125:$B$811,2,FALSE),"-")</f>
        <v>UTS Carrier</v>
      </c>
      <c r="E56" s="676" t="s">
        <v>238</v>
      </c>
      <c r="F56" s="58">
        <v>1</v>
      </c>
      <c r="G56" s="58"/>
      <c r="H56" s="58"/>
      <c r="I56" s="58"/>
      <c r="J56" s="137"/>
      <c r="K56" s="56" t="s">
        <v>1187</v>
      </c>
      <c r="L56" s="292">
        <v>216</v>
      </c>
      <c r="M56" s="292"/>
      <c r="N56" s="358"/>
      <c r="O56" s="292"/>
      <c r="P56" s="292">
        <v>1</v>
      </c>
      <c r="Q56" s="614">
        <v>0</v>
      </c>
      <c r="R56" s="913">
        <f t="shared" si="4"/>
        <v>0</v>
      </c>
      <c r="S56" s="913">
        <f t="shared" si="5"/>
        <v>0</v>
      </c>
      <c r="T56" s="913">
        <f t="shared" si="6"/>
        <v>0</v>
      </c>
      <c r="U56" s="914">
        <f t="shared" si="7"/>
        <v>0</v>
      </c>
      <c r="V56" s="612"/>
      <c r="W56" s="612"/>
      <c r="X56" s="612"/>
      <c r="Y56" s="612"/>
      <c r="Z56" s="612"/>
      <c r="AA56" s="612"/>
      <c r="AB56" s="612"/>
      <c r="AC56" s="612"/>
    </row>
    <row r="57" spans="1:29">
      <c r="A57" s="66" t="s">
        <v>1186</v>
      </c>
      <c r="B57" s="60"/>
      <c r="C57" s="54" t="s">
        <v>168</v>
      </c>
      <c r="D57" s="435" t="str">
        <f>IFERROR(VLOOKUP(C57,Mychart!$A$125:$B$811,2,FALSE),"-")</f>
        <v>UTS Carrier</v>
      </c>
      <c r="E57" s="676" t="s">
        <v>239</v>
      </c>
      <c r="F57" s="58">
        <v>1</v>
      </c>
      <c r="G57" s="58"/>
      <c r="H57" s="58"/>
      <c r="I57" s="58"/>
      <c r="J57" s="137"/>
      <c r="K57" s="56" t="s">
        <v>1187</v>
      </c>
      <c r="L57" s="292">
        <v>216</v>
      </c>
      <c r="M57" s="292"/>
      <c r="N57" s="358"/>
      <c r="O57" s="292"/>
      <c r="P57" s="292">
        <v>1</v>
      </c>
      <c r="Q57" s="614">
        <v>0</v>
      </c>
      <c r="R57" s="913">
        <f t="shared" si="4"/>
        <v>0</v>
      </c>
      <c r="S57" s="913">
        <f t="shared" si="5"/>
        <v>0</v>
      </c>
      <c r="T57" s="913">
        <f t="shared" si="6"/>
        <v>0</v>
      </c>
      <c r="U57" s="914">
        <f t="shared" si="7"/>
        <v>0</v>
      </c>
      <c r="V57" s="612"/>
      <c r="W57" s="612"/>
      <c r="X57" s="612"/>
      <c r="Y57" s="612"/>
      <c r="Z57" s="612"/>
      <c r="AA57" s="612"/>
      <c r="AB57" s="612"/>
      <c r="AC57" s="612"/>
    </row>
    <row r="58" spans="1:29">
      <c r="A58" s="66" t="s">
        <v>1186</v>
      </c>
      <c r="B58" s="60"/>
      <c r="C58" s="54" t="s">
        <v>168</v>
      </c>
      <c r="D58" s="435" t="str">
        <f>IFERROR(VLOOKUP(C58,Mychart!$A$125:$B$811,2,FALSE),"-")</f>
        <v>UTS Carrier</v>
      </c>
      <c r="E58" s="676" t="s">
        <v>234</v>
      </c>
      <c r="F58" s="58">
        <v>2</v>
      </c>
      <c r="G58" s="58"/>
      <c r="H58" s="58"/>
      <c r="I58" s="58"/>
      <c r="J58" s="137"/>
      <c r="K58" s="56" t="s">
        <v>1187</v>
      </c>
      <c r="L58" s="292">
        <v>216</v>
      </c>
      <c r="M58" s="292"/>
      <c r="N58" s="358"/>
      <c r="O58" s="292"/>
      <c r="P58" s="292">
        <v>2</v>
      </c>
      <c r="Q58" s="614">
        <v>0</v>
      </c>
      <c r="R58" s="913">
        <f t="shared" si="4"/>
        <v>0</v>
      </c>
      <c r="S58" s="913">
        <f t="shared" si="5"/>
        <v>0</v>
      </c>
      <c r="T58" s="913">
        <f t="shared" si="6"/>
        <v>0</v>
      </c>
      <c r="U58" s="914">
        <f t="shared" si="7"/>
        <v>0</v>
      </c>
      <c r="V58" s="612"/>
      <c r="W58" s="612"/>
      <c r="X58" s="612"/>
      <c r="Y58" s="612"/>
      <c r="Z58" s="612"/>
      <c r="AA58" s="612"/>
      <c r="AB58" s="612"/>
      <c r="AC58" s="612"/>
    </row>
    <row r="59" spans="1:29">
      <c r="A59" s="66" t="s">
        <v>1186</v>
      </c>
      <c r="B59" s="60"/>
      <c r="C59" s="54" t="s">
        <v>168</v>
      </c>
      <c r="D59" s="435" t="str">
        <f>IFERROR(VLOOKUP(C59,Mychart!$A$125:$B$811,2,FALSE),"-")</f>
        <v>UTS Carrier</v>
      </c>
      <c r="E59" s="676" t="s">
        <v>235</v>
      </c>
      <c r="F59" s="58">
        <v>2</v>
      </c>
      <c r="G59" s="58"/>
      <c r="H59" s="58"/>
      <c r="I59" s="58"/>
      <c r="J59" s="137"/>
      <c r="K59" s="56" t="s">
        <v>1187</v>
      </c>
      <c r="L59" s="292">
        <v>216</v>
      </c>
      <c r="M59" s="292"/>
      <c r="N59" s="358"/>
      <c r="O59" s="292"/>
      <c r="P59" s="292">
        <v>2</v>
      </c>
      <c r="Q59" s="614">
        <v>0</v>
      </c>
      <c r="R59" s="913">
        <f t="shared" si="4"/>
        <v>0</v>
      </c>
      <c r="S59" s="913">
        <f t="shared" si="5"/>
        <v>0</v>
      </c>
      <c r="T59" s="913">
        <f t="shared" si="6"/>
        <v>0</v>
      </c>
      <c r="U59" s="914">
        <f t="shared" si="7"/>
        <v>0</v>
      </c>
      <c r="V59" s="612"/>
      <c r="W59" s="612"/>
      <c r="X59" s="612"/>
      <c r="Y59" s="612"/>
      <c r="Z59" s="612"/>
      <c r="AA59" s="612"/>
      <c r="AB59" s="612"/>
      <c r="AC59" s="612"/>
    </row>
    <row r="60" spans="1:29">
      <c r="A60" s="66" t="s">
        <v>1186</v>
      </c>
      <c r="B60" s="60"/>
      <c r="C60" s="54" t="s">
        <v>168</v>
      </c>
      <c r="D60" s="435" t="str">
        <f>IFERROR(VLOOKUP(C60,Mychart!$A$125:$B$811,2,FALSE),"-")</f>
        <v>UTS Carrier</v>
      </c>
      <c r="E60" s="676" t="s">
        <v>232</v>
      </c>
      <c r="F60" s="58">
        <v>2</v>
      </c>
      <c r="G60" s="58"/>
      <c r="H60" s="58"/>
      <c r="I60" s="58"/>
      <c r="J60" s="137"/>
      <c r="K60" s="56" t="s">
        <v>1187</v>
      </c>
      <c r="L60" s="292">
        <v>216</v>
      </c>
      <c r="M60" s="292"/>
      <c r="N60" s="358"/>
      <c r="O60" s="292"/>
      <c r="P60" s="292">
        <v>2</v>
      </c>
      <c r="Q60" s="614">
        <v>0</v>
      </c>
      <c r="R60" s="913">
        <f t="shared" si="4"/>
        <v>0</v>
      </c>
      <c r="S60" s="913">
        <f t="shared" si="5"/>
        <v>0</v>
      </c>
      <c r="T60" s="913">
        <f t="shared" si="6"/>
        <v>0</v>
      </c>
      <c r="U60" s="914">
        <f t="shared" si="7"/>
        <v>0</v>
      </c>
      <c r="V60" s="612"/>
      <c r="W60" s="612"/>
      <c r="X60" s="612"/>
      <c r="Y60" s="612"/>
      <c r="Z60" s="612"/>
      <c r="AA60" s="612"/>
      <c r="AB60" s="612"/>
      <c r="AC60" s="612"/>
    </row>
    <row r="61" spans="1:29">
      <c r="A61" s="66" t="s">
        <v>1186</v>
      </c>
      <c r="B61" s="60"/>
      <c r="C61" s="54" t="s">
        <v>168</v>
      </c>
      <c r="D61" s="435" t="str">
        <f>IFERROR(VLOOKUP(C61,Mychart!$A$125:$B$811,2,FALSE),"-")</f>
        <v>UTS Carrier</v>
      </c>
      <c r="E61" s="676" t="s">
        <v>233</v>
      </c>
      <c r="F61" s="58">
        <v>2</v>
      </c>
      <c r="G61" s="58"/>
      <c r="H61" s="58"/>
      <c r="I61" s="58"/>
      <c r="J61" s="137"/>
      <c r="K61" s="56" t="s">
        <v>1187</v>
      </c>
      <c r="L61" s="292">
        <v>216</v>
      </c>
      <c r="M61" s="292"/>
      <c r="N61" s="358"/>
      <c r="O61" s="292"/>
      <c r="P61" s="292">
        <v>2</v>
      </c>
      <c r="Q61" s="614">
        <v>0</v>
      </c>
      <c r="R61" s="913">
        <f t="shared" si="4"/>
        <v>0</v>
      </c>
      <c r="S61" s="913">
        <f t="shared" si="5"/>
        <v>0</v>
      </c>
      <c r="T61" s="913">
        <f t="shared" si="6"/>
        <v>0</v>
      </c>
      <c r="U61" s="914">
        <f t="shared" si="7"/>
        <v>0</v>
      </c>
      <c r="V61" s="612"/>
      <c r="W61" s="612"/>
      <c r="X61" s="612"/>
      <c r="Y61" s="612"/>
      <c r="Z61" s="612"/>
      <c r="AA61" s="612"/>
      <c r="AB61" s="612"/>
      <c r="AC61" s="612"/>
    </row>
    <row r="62" spans="1:29">
      <c r="A62" s="66" t="s">
        <v>1186</v>
      </c>
      <c r="B62" s="60"/>
      <c r="C62" s="54" t="s">
        <v>168</v>
      </c>
      <c r="D62" s="435" t="str">
        <f>IFERROR(VLOOKUP(C62,Mychart!$A$125:$B$811,2,FALSE),"-")</f>
        <v>UTS Carrier</v>
      </c>
      <c r="E62" s="676" t="s">
        <v>1169</v>
      </c>
      <c r="F62" s="58">
        <v>1</v>
      </c>
      <c r="G62" s="58"/>
      <c r="H62" s="58"/>
      <c r="I62" s="58"/>
      <c r="J62" s="137"/>
      <c r="K62" s="56" t="s">
        <v>1187</v>
      </c>
      <c r="L62" s="292">
        <v>216</v>
      </c>
      <c r="M62" s="292"/>
      <c r="N62" s="358"/>
      <c r="O62" s="292"/>
      <c r="P62" s="292">
        <v>1</v>
      </c>
      <c r="Q62" s="614">
        <v>0</v>
      </c>
      <c r="R62" s="913">
        <f t="shared" si="4"/>
        <v>0</v>
      </c>
      <c r="S62" s="913">
        <f t="shared" si="5"/>
        <v>0</v>
      </c>
      <c r="T62" s="913">
        <f t="shared" si="6"/>
        <v>0</v>
      </c>
      <c r="U62" s="914">
        <f t="shared" si="7"/>
        <v>0</v>
      </c>
      <c r="V62" s="612"/>
      <c r="W62" s="612"/>
      <c r="X62" s="612"/>
      <c r="Y62" s="612"/>
      <c r="Z62" s="612"/>
      <c r="AA62" s="612"/>
      <c r="AB62" s="612"/>
      <c r="AC62" s="612"/>
    </row>
    <row r="63" spans="1:29">
      <c r="A63" s="66" t="s">
        <v>1186</v>
      </c>
      <c r="B63" s="60"/>
      <c r="C63" s="54" t="s">
        <v>168</v>
      </c>
      <c r="D63" s="435" t="str">
        <f>IFERROR(VLOOKUP(C63,Mychart!$A$125:$B$811,2,FALSE),"-")</f>
        <v>UTS Carrier</v>
      </c>
      <c r="E63" s="676" t="s">
        <v>1170</v>
      </c>
      <c r="F63" s="58">
        <v>1</v>
      </c>
      <c r="G63" s="58"/>
      <c r="H63" s="58"/>
      <c r="I63" s="58"/>
      <c r="J63" s="137"/>
      <c r="K63" s="56" t="s">
        <v>1187</v>
      </c>
      <c r="L63" s="292">
        <v>216</v>
      </c>
      <c r="M63" s="292"/>
      <c r="N63" s="358"/>
      <c r="O63" s="292"/>
      <c r="P63" s="292">
        <v>1</v>
      </c>
      <c r="Q63" s="614">
        <v>0</v>
      </c>
      <c r="R63" s="913">
        <f t="shared" si="4"/>
        <v>0</v>
      </c>
      <c r="S63" s="913">
        <f t="shared" si="5"/>
        <v>0</v>
      </c>
      <c r="T63" s="913">
        <f t="shared" si="6"/>
        <v>0</v>
      </c>
      <c r="U63" s="914">
        <f t="shared" si="7"/>
        <v>0</v>
      </c>
      <c r="V63" s="612"/>
      <c r="W63" s="612"/>
      <c r="X63" s="612"/>
      <c r="Y63" s="612"/>
      <c r="Z63" s="612"/>
      <c r="AA63" s="612"/>
      <c r="AB63" s="612"/>
      <c r="AC63" s="612"/>
    </row>
    <row r="64" spans="1:29">
      <c r="A64" s="66" t="s">
        <v>1186</v>
      </c>
      <c r="B64" s="60"/>
      <c r="C64" s="54" t="s">
        <v>168</v>
      </c>
      <c r="D64" s="435" t="str">
        <f>IFERROR(VLOOKUP(C64,Mychart!$A$125:$B$811,2,FALSE),"-")</f>
        <v>UTS Carrier</v>
      </c>
      <c r="E64" s="676" t="s">
        <v>1188</v>
      </c>
      <c r="F64" s="58">
        <v>1</v>
      </c>
      <c r="G64" s="58"/>
      <c r="H64" s="58"/>
      <c r="I64" s="58"/>
      <c r="J64" s="137"/>
      <c r="K64" s="56" t="s">
        <v>1187</v>
      </c>
      <c r="L64" s="292">
        <v>216</v>
      </c>
      <c r="M64" s="292"/>
      <c r="N64" s="358"/>
      <c r="O64" s="292"/>
      <c r="P64" s="292">
        <v>1</v>
      </c>
      <c r="Q64" s="614">
        <v>0</v>
      </c>
      <c r="R64" s="913">
        <f t="shared" si="4"/>
        <v>0</v>
      </c>
      <c r="S64" s="913">
        <f t="shared" si="5"/>
        <v>0</v>
      </c>
      <c r="T64" s="913">
        <f t="shared" si="6"/>
        <v>0</v>
      </c>
      <c r="U64" s="914">
        <f t="shared" si="7"/>
        <v>0</v>
      </c>
      <c r="V64" s="612"/>
      <c r="W64" s="612"/>
      <c r="X64" s="612"/>
      <c r="Y64" s="612"/>
      <c r="Z64" s="612"/>
      <c r="AA64" s="612"/>
      <c r="AB64" s="612"/>
      <c r="AC64" s="612"/>
    </row>
    <row r="65" spans="1:29">
      <c r="A65" s="66" t="s">
        <v>1186</v>
      </c>
      <c r="B65" s="60"/>
      <c r="C65" s="54" t="s">
        <v>168</v>
      </c>
      <c r="D65" s="435" t="str">
        <f>IFERROR(VLOOKUP(C65,Mychart!$A$125:$B$811,2,FALSE),"-")</f>
        <v>UTS Carrier</v>
      </c>
      <c r="E65" s="676"/>
      <c r="F65" s="58"/>
      <c r="G65" s="58"/>
      <c r="H65" s="58">
        <v>81280</v>
      </c>
      <c r="I65" s="58">
        <v>4064</v>
      </c>
      <c r="J65" s="137"/>
      <c r="K65" s="308" t="s">
        <v>1187</v>
      </c>
      <c r="L65" s="310">
        <v>216</v>
      </c>
      <c r="M65" s="292" t="s">
        <v>1354</v>
      </c>
      <c r="N65" s="358">
        <v>85345</v>
      </c>
      <c r="O65" s="292">
        <v>85345</v>
      </c>
      <c r="P65" s="292"/>
      <c r="Q65" s="614">
        <v>85344</v>
      </c>
      <c r="R65" s="913">
        <f t="shared" si="4"/>
        <v>0</v>
      </c>
      <c r="S65" s="913">
        <f t="shared" si="5"/>
        <v>-1</v>
      </c>
      <c r="T65" s="913">
        <f t="shared" si="6"/>
        <v>-1</v>
      </c>
      <c r="U65" s="914">
        <f t="shared" si="7"/>
        <v>0</v>
      </c>
      <c r="V65" s="612"/>
      <c r="W65" s="612"/>
      <c r="X65" s="612"/>
      <c r="Y65" s="612"/>
      <c r="Z65" s="612"/>
      <c r="AA65" s="612"/>
      <c r="AB65" s="612"/>
      <c r="AC65" s="612"/>
    </row>
    <row r="66" spans="1:29">
      <c r="A66" s="66" t="s">
        <v>1189</v>
      </c>
      <c r="B66" s="60"/>
      <c r="C66" s="54" t="s">
        <v>168</v>
      </c>
      <c r="D66" s="435" t="str">
        <f>IFERROR(VLOOKUP(C66,Mychart!$A$125:$B$811,2,FALSE),"-")</f>
        <v>UTS Carrier</v>
      </c>
      <c r="E66" s="676" t="s">
        <v>236</v>
      </c>
      <c r="F66" s="58">
        <v>1</v>
      </c>
      <c r="G66" s="58"/>
      <c r="H66" s="58"/>
      <c r="I66" s="58"/>
      <c r="J66" s="137"/>
      <c r="K66" s="56" t="s">
        <v>1190</v>
      </c>
      <c r="L66" s="292">
        <v>254</v>
      </c>
      <c r="M66" s="292"/>
      <c r="N66" s="358"/>
      <c r="O66" s="292"/>
      <c r="P66" s="292"/>
      <c r="Q66" s="614">
        <v>0</v>
      </c>
      <c r="R66" s="913">
        <f t="shared" si="4"/>
        <v>0</v>
      </c>
      <c r="S66" s="913">
        <f t="shared" si="5"/>
        <v>0</v>
      </c>
      <c r="T66" s="913">
        <f t="shared" si="6"/>
        <v>0</v>
      </c>
      <c r="U66" s="914">
        <f t="shared" si="7"/>
        <v>1</v>
      </c>
      <c r="V66" s="612"/>
      <c r="W66" s="612"/>
      <c r="X66" s="612"/>
      <c r="Y66" s="612"/>
      <c r="Z66" s="612"/>
      <c r="AA66" s="612"/>
      <c r="AB66" s="612"/>
      <c r="AC66" s="612"/>
    </row>
    <row r="67" spans="1:29">
      <c r="A67" s="66" t="s">
        <v>1189</v>
      </c>
      <c r="B67" s="60"/>
      <c r="C67" s="54" t="s">
        <v>168</v>
      </c>
      <c r="D67" s="435" t="str">
        <f>IFERROR(VLOOKUP(C67,Mychart!$A$125:$B$811,2,FALSE),"-")</f>
        <v>UTS Carrier</v>
      </c>
      <c r="E67" s="676" t="s">
        <v>237</v>
      </c>
      <c r="F67" s="58">
        <v>1</v>
      </c>
      <c r="G67" s="58"/>
      <c r="H67" s="58"/>
      <c r="I67" s="58"/>
      <c r="J67" s="137"/>
      <c r="K67" s="56" t="s">
        <v>1190</v>
      </c>
      <c r="L67" s="292">
        <v>254</v>
      </c>
      <c r="M67" s="292"/>
      <c r="N67" s="358"/>
      <c r="O67" s="292"/>
      <c r="P67" s="292">
        <v>1</v>
      </c>
      <c r="Q67" s="614">
        <v>0</v>
      </c>
      <c r="R67" s="913">
        <f t="shared" si="4"/>
        <v>0</v>
      </c>
      <c r="S67" s="913">
        <f t="shared" si="5"/>
        <v>0</v>
      </c>
      <c r="T67" s="913">
        <f t="shared" si="6"/>
        <v>0</v>
      </c>
      <c r="U67" s="914">
        <f t="shared" si="7"/>
        <v>0</v>
      </c>
      <c r="V67" s="612"/>
      <c r="W67" s="612"/>
      <c r="X67" s="612"/>
      <c r="Y67" s="612"/>
      <c r="Z67" s="612"/>
      <c r="AA67" s="612"/>
      <c r="AB67" s="612"/>
      <c r="AC67" s="612"/>
    </row>
    <row r="68" spans="1:29">
      <c r="A68" s="66" t="s">
        <v>1189</v>
      </c>
      <c r="B68" s="60"/>
      <c r="C68" s="54" t="s">
        <v>168</v>
      </c>
      <c r="D68" s="435" t="str">
        <f>IFERROR(VLOOKUP(C68,Mychart!$A$125:$B$811,2,FALSE),"-")</f>
        <v>UTS Carrier</v>
      </c>
      <c r="E68" s="676" t="s">
        <v>827</v>
      </c>
      <c r="F68" s="58">
        <v>2</v>
      </c>
      <c r="G68" s="58"/>
      <c r="H68" s="58"/>
      <c r="I68" s="58"/>
      <c r="J68" s="137"/>
      <c r="K68" s="56" t="s">
        <v>1190</v>
      </c>
      <c r="L68" s="292">
        <v>254</v>
      </c>
      <c r="M68" s="292"/>
      <c r="N68" s="358"/>
      <c r="O68" s="292"/>
      <c r="P68" s="292"/>
      <c r="Q68" s="614">
        <v>0</v>
      </c>
      <c r="R68" s="913">
        <f t="shared" si="4"/>
        <v>0</v>
      </c>
      <c r="S68" s="913">
        <f t="shared" si="5"/>
        <v>0</v>
      </c>
      <c r="T68" s="913">
        <f t="shared" si="6"/>
        <v>0</v>
      </c>
      <c r="U68" s="914">
        <f t="shared" si="7"/>
        <v>2</v>
      </c>
      <c r="V68" s="612"/>
      <c r="W68" s="612"/>
      <c r="X68" s="612"/>
      <c r="Y68" s="612"/>
      <c r="Z68" s="612"/>
      <c r="AA68" s="612"/>
      <c r="AB68" s="612"/>
      <c r="AC68" s="612"/>
    </row>
    <row r="69" spans="1:29">
      <c r="A69" s="66" t="s">
        <v>1189</v>
      </c>
      <c r="B69" s="60"/>
      <c r="C69" s="54" t="s">
        <v>168</v>
      </c>
      <c r="D69" s="435" t="str">
        <f>IFERROR(VLOOKUP(C69,Mychart!$A$125:$B$811,2,FALSE),"-")</f>
        <v>UTS Carrier</v>
      </c>
      <c r="E69" s="676" t="s">
        <v>828</v>
      </c>
      <c r="F69" s="58">
        <v>2</v>
      </c>
      <c r="G69" s="58"/>
      <c r="H69" s="58"/>
      <c r="I69" s="58"/>
      <c r="J69" s="137"/>
      <c r="K69" s="56" t="s">
        <v>1190</v>
      </c>
      <c r="L69" s="292">
        <v>254</v>
      </c>
      <c r="M69" s="292"/>
      <c r="N69" s="358"/>
      <c r="O69" s="292"/>
      <c r="P69" s="292">
        <v>2</v>
      </c>
      <c r="Q69" s="614">
        <v>0</v>
      </c>
      <c r="R69" s="913">
        <f t="shared" si="4"/>
        <v>0</v>
      </c>
      <c r="S69" s="913">
        <f t="shared" si="5"/>
        <v>0</v>
      </c>
      <c r="T69" s="913">
        <f t="shared" si="6"/>
        <v>0</v>
      </c>
      <c r="U69" s="914">
        <f t="shared" si="7"/>
        <v>0</v>
      </c>
      <c r="V69" s="612"/>
      <c r="W69" s="612"/>
      <c r="X69" s="612"/>
      <c r="Y69" s="612"/>
      <c r="Z69" s="612"/>
      <c r="AA69" s="612"/>
      <c r="AB69" s="612"/>
      <c r="AC69" s="612"/>
    </row>
    <row r="70" spans="1:29">
      <c r="A70" s="66" t="s">
        <v>1189</v>
      </c>
      <c r="B70" s="60"/>
      <c r="C70" s="54" t="s">
        <v>168</v>
      </c>
      <c r="D70" s="435" t="str">
        <f>IFERROR(VLOOKUP(C70,Mychart!$A$125:$B$811,2,FALSE),"-")</f>
        <v>UTS Carrier</v>
      </c>
      <c r="E70" s="676" t="s">
        <v>238</v>
      </c>
      <c r="F70" s="58">
        <v>2</v>
      </c>
      <c r="G70" s="58"/>
      <c r="H70" s="58"/>
      <c r="I70" s="58"/>
      <c r="J70" s="137"/>
      <c r="K70" s="56" t="s">
        <v>1190</v>
      </c>
      <c r="L70" s="292">
        <v>254</v>
      </c>
      <c r="M70" s="292"/>
      <c r="N70" s="358"/>
      <c r="O70" s="292"/>
      <c r="P70" s="292"/>
      <c r="Q70" s="614">
        <v>0</v>
      </c>
      <c r="R70" s="913">
        <f t="shared" si="4"/>
        <v>0</v>
      </c>
      <c r="S70" s="913">
        <f t="shared" si="5"/>
        <v>0</v>
      </c>
      <c r="T70" s="913">
        <f t="shared" si="6"/>
        <v>0</v>
      </c>
      <c r="U70" s="914">
        <f t="shared" si="7"/>
        <v>2</v>
      </c>
      <c r="V70" s="612"/>
      <c r="W70" s="612"/>
      <c r="X70" s="612"/>
      <c r="Y70" s="612"/>
      <c r="Z70" s="612"/>
      <c r="AA70" s="612"/>
      <c r="AB70" s="612"/>
      <c r="AC70" s="612"/>
    </row>
    <row r="71" spans="1:29">
      <c r="A71" s="66" t="s">
        <v>1189</v>
      </c>
      <c r="B71" s="60"/>
      <c r="C71" s="54" t="s">
        <v>168</v>
      </c>
      <c r="D71" s="435" t="str">
        <f>IFERROR(VLOOKUP(C71,Mychart!$A$125:$B$811,2,FALSE),"-")</f>
        <v>UTS Carrier</v>
      </c>
      <c r="E71" s="676" t="s">
        <v>239</v>
      </c>
      <c r="F71" s="58">
        <v>2</v>
      </c>
      <c r="G71" s="58"/>
      <c r="H71" s="58"/>
      <c r="I71" s="58"/>
      <c r="J71" s="137"/>
      <c r="K71" s="56" t="s">
        <v>1190</v>
      </c>
      <c r="L71" s="292">
        <v>254</v>
      </c>
      <c r="M71" s="292"/>
      <c r="N71" s="358"/>
      <c r="O71" s="292"/>
      <c r="P71" s="292">
        <v>2</v>
      </c>
      <c r="Q71" s="614">
        <v>0</v>
      </c>
      <c r="R71" s="913">
        <f t="shared" si="4"/>
        <v>0</v>
      </c>
      <c r="S71" s="913">
        <f t="shared" si="5"/>
        <v>0</v>
      </c>
      <c r="T71" s="913">
        <f t="shared" si="6"/>
        <v>0</v>
      </c>
      <c r="U71" s="914">
        <f t="shared" si="7"/>
        <v>0</v>
      </c>
      <c r="V71" s="612"/>
      <c r="W71" s="612"/>
      <c r="X71" s="612"/>
      <c r="Y71" s="612"/>
      <c r="Z71" s="612"/>
      <c r="AA71" s="612"/>
      <c r="AB71" s="612"/>
      <c r="AC71" s="612"/>
    </row>
    <row r="72" spans="1:29">
      <c r="A72" s="66" t="s">
        <v>1189</v>
      </c>
      <c r="B72" s="60"/>
      <c r="C72" s="54" t="s">
        <v>168</v>
      </c>
      <c r="D72" s="435" t="str">
        <f>IFERROR(VLOOKUP(C72,Mychart!$A$125:$B$811,2,FALSE),"-")</f>
        <v>UTS Carrier</v>
      </c>
      <c r="E72" s="676" t="s">
        <v>234</v>
      </c>
      <c r="F72" s="58">
        <v>5</v>
      </c>
      <c r="G72" s="58"/>
      <c r="H72" s="58"/>
      <c r="I72" s="58"/>
      <c r="J72" s="137"/>
      <c r="K72" s="56" t="s">
        <v>1190</v>
      </c>
      <c r="L72" s="292">
        <v>254</v>
      </c>
      <c r="M72" s="292"/>
      <c r="N72" s="358"/>
      <c r="O72" s="292"/>
      <c r="P72" s="292"/>
      <c r="Q72" s="614">
        <v>0</v>
      </c>
      <c r="R72" s="913">
        <f t="shared" si="4"/>
        <v>0</v>
      </c>
      <c r="S72" s="913">
        <f t="shared" si="5"/>
        <v>0</v>
      </c>
      <c r="T72" s="913">
        <f t="shared" si="6"/>
        <v>0</v>
      </c>
      <c r="U72" s="914">
        <f t="shared" si="7"/>
        <v>5</v>
      </c>
      <c r="V72" s="612"/>
      <c r="W72" s="612"/>
      <c r="X72" s="612"/>
      <c r="Y72" s="612"/>
      <c r="Z72" s="612"/>
      <c r="AA72" s="612"/>
      <c r="AB72" s="612"/>
      <c r="AC72" s="612"/>
    </row>
    <row r="73" spans="1:29">
      <c r="A73" s="66" t="s">
        <v>1189</v>
      </c>
      <c r="B73" s="60"/>
      <c r="C73" s="54" t="s">
        <v>168</v>
      </c>
      <c r="D73" s="435" t="str">
        <f>IFERROR(VLOOKUP(C73,Mychart!$A$125:$B$811,2,FALSE),"-")</f>
        <v>UTS Carrier</v>
      </c>
      <c r="E73" s="676" t="s">
        <v>235</v>
      </c>
      <c r="F73" s="58">
        <v>5</v>
      </c>
      <c r="G73" s="58"/>
      <c r="H73" s="58"/>
      <c r="I73" s="58"/>
      <c r="J73" s="137"/>
      <c r="K73" s="56" t="s">
        <v>1190</v>
      </c>
      <c r="L73" s="292">
        <v>254</v>
      </c>
      <c r="M73" s="292"/>
      <c r="N73" s="358"/>
      <c r="O73" s="292"/>
      <c r="P73" s="292">
        <v>5</v>
      </c>
      <c r="Q73" s="614">
        <v>0</v>
      </c>
      <c r="R73" s="913">
        <f t="shared" si="4"/>
        <v>0</v>
      </c>
      <c r="S73" s="913">
        <f t="shared" si="5"/>
        <v>0</v>
      </c>
      <c r="T73" s="913">
        <f t="shared" si="6"/>
        <v>0</v>
      </c>
      <c r="U73" s="914">
        <f t="shared" si="7"/>
        <v>0</v>
      </c>
      <c r="V73" s="612"/>
      <c r="W73" s="612"/>
      <c r="X73" s="612"/>
      <c r="Y73" s="612"/>
      <c r="Z73" s="612"/>
      <c r="AA73" s="612"/>
      <c r="AB73" s="612"/>
      <c r="AC73" s="612"/>
    </row>
    <row r="74" spans="1:29">
      <c r="A74" s="66" t="s">
        <v>1189</v>
      </c>
      <c r="B74" s="60"/>
      <c r="C74" s="54" t="s">
        <v>168</v>
      </c>
      <c r="D74" s="435" t="str">
        <f>IFERROR(VLOOKUP(C74,Mychart!$A$125:$B$811,2,FALSE),"-")</f>
        <v>UTS Carrier</v>
      </c>
      <c r="E74" s="676" t="s">
        <v>232</v>
      </c>
      <c r="F74" s="58">
        <v>7</v>
      </c>
      <c r="G74" s="58"/>
      <c r="H74" s="58"/>
      <c r="I74" s="58"/>
      <c r="J74" s="137"/>
      <c r="K74" s="56" t="s">
        <v>1190</v>
      </c>
      <c r="L74" s="292">
        <v>254</v>
      </c>
      <c r="M74" s="292"/>
      <c r="N74" s="358"/>
      <c r="O74" s="292"/>
      <c r="P74" s="292"/>
      <c r="Q74" s="614">
        <v>0</v>
      </c>
      <c r="R74" s="913">
        <f t="shared" si="4"/>
        <v>0</v>
      </c>
      <c r="S74" s="913">
        <f t="shared" si="5"/>
        <v>0</v>
      </c>
      <c r="T74" s="913">
        <f t="shared" si="6"/>
        <v>0</v>
      </c>
      <c r="U74" s="914">
        <f t="shared" si="7"/>
        <v>7</v>
      </c>
      <c r="V74" s="612"/>
      <c r="W74" s="612"/>
      <c r="X74" s="612"/>
      <c r="Y74" s="612"/>
      <c r="Z74" s="612"/>
      <c r="AA74" s="612"/>
      <c r="AB74" s="612"/>
      <c r="AC74" s="612"/>
    </row>
    <row r="75" spans="1:29">
      <c r="A75" s="66" t="s">
        <v>1189</v>
      </c>
      <c r="B75" s="60"/>
      <c r="C75" s="54" t="s">
        <v>168</v>
      </c>
      <c r="D75" s="435" t="str">
        <f>IFERROR(VLOOKUP(C75,Mychart!$A$125:$B$811,2,FALSE),"-")</f>
        <v>UTS Carrier</v>
      </c>
      <c r="E75" s="676" t="s">
        <v>233</v>
      </c>
      <c r="F75" s="58">
        <v>7</v>
      </c>
      <c r="G75" s="58"/>
      <c r="H75" s="58"/>
      <c r="I75" s="58"/>
      <c r="J75" s="137"/>
      <c r="K75" s="56" t="s">
        <v>1190</v>
      </c>
      <c r="L75" s="292">
        <v>254</v>
      </c>
      <c r="M75" s="292"/>
      <c r="N75" s="358"/>
      <c r="O75" s="292"/>
      <c r="P75" s="292">
        <v>7</v>
      </c>
      <c r="Q75" s="614">
        <v>0</v>
      </c>
      <c r="R75" s="913">
        <f t="shared" si="4"/>
        <v>0</v>
      </c>
      <c r="S75" s="913">
        <f t="shared" si="5"/>
        <v>0</v>
      </c>
      <c r="T75" s="913">
        <f t="shared" si="6"/>
        <v>0</v>
      </c>
      <c r="U75" s="914">
        <f t="shared" si="7"/>
        <v>0</v>
      </c>
      <c r="V75" s="612"/>
      <c r="W75" s="612"/>
      <c r="X75" s="612"/>
      <c r="Y75" s="612"/>
      <c r="Z75" s="612"/>
      <c r="AA75" s="612"/>
      <c r="AB75" s="612"/>
      <c r="AC75" s="612"/>
    </row>
    <row r="76" spans="1:29">
      <c r="A76" s="66" t="s">
        <v>1189</v>
      </c>
      <c r="B76" s="60"/>
      <c r="C76" s="54" t="s">
        <v>168</v>
      </c>
      <c r="D76" s="435" t="str">
        <f>IFERROR(VLOOKUP(C76,Mychart!$A$125:$B$811,2,FALSE),"-")</f>
        <v>UTS Carrier</v>
      </c>
      <c r="E76" s="676" t="s">
        <v>1081</v>
      </c>
      <c r="F76" s="58">
        <v>1</v>
      </c>
      <c r="G76" s="58"/>
      <c r="H76" s="58"/>
      <c r="I76" s="58"/>
      <c r="J76" s="137"/>
      <c r="K76" s="56" t="s">
        <v>1190</v>
      </c>
      <c r="L76" s="292">
        <v>254</v>
      </c>
      <c r="M76" s="292"/>
      <c r="N76" s="358"/>
      <c r="O76" s="292"/>
      <c r="P76" s="292"/>
      <c r="Q76" s="614">
        <v>0</v>
      </c>
      <c r="R76" s="913">
        <f t="shared" si="4"/>
        <v>0</v>
      </c>
      <c r="S76" s="913">
        <f t="shared" si="5"/>
        <v>0</v>
      </c>
      <c r="T76" s="913">
        <f t="shared" si="6"/>
        <v>0</v>
      </c>
      <c r="U76" s="914">
        <f t="shared" si="7"/>
        <v>1</v>
      </c>
      <c r="V76" s="612"/>
      <c r="W76" s="612"/>
      <c r="X76" s="612"/>
      <c r="Y76" s="612"/>
      <c r="Z76" s="612"/>
      <c r="AA76" s="612"/>
      <c r="AB76" s="612"/>
      <c r="AC76" s="612"/>
    </row>
    <row r="77" spans="1:29">
      <c r="A77" s="66" t="s">
        <v>1189</v>
      </c>
      <c r="B77" s="60"/>
      <c r="C77" s="54" t="s">
        <v>168</v>
      </c>
      <c r="D77" s="435" t="str">
        <f>IFERROR(VLOOKUP(C77,Mychart!$A$125:$B$811,2,FALSE),"-")</f>
        <v>UTS Carrier</v>
      </c>
      <c r="E77" s="676" t="s">
        <v>1082</v>
      </c>
      <c r="F77" s="58">
        <v>1</v>
      </c>
      <c r="G77" s="58"/>
      <c r="H77" s="58"/>
      <c r="I77" s="58"/>
      <c r="J77" s="137"/>
      <c r="K77" s="56" t="s">
        <v>1190</v>
      </c>
      <c r="L77" s="292">
        <v>254</v>
      </c>
      <c r="M77" s="292"/>
      <c r="N77" s="358"/>
      <c r="O77" s="292"/>
      <c r="P77" s="292"/>
      <c r="Q77" s="614">
        <v>0</v>
      </c>
      <c r="R77" s="913">
        <f t="shared" si="4"/>
        <v>0</v>
      </c>
      <c r="S77" s="913">
        <f t="shared" si="5"/>
        <v>0</v>
      </c>
      <c r="T77" s="913">
        <f t="shared" si="6"/>
        <v>0</v>
      </c>
      <c r="U77" s="914">
        <f t="shared" si="7"/>
        <v>1</v>
      </c>
      <c r="V77" s="612"/>
      <c r="W77" s="612"/>
      <c r="X77" s="612"/>
      <c r="Y77" s="612"/>
      <c r="Z77" s="612"/>
      <c r="AA77" s="612"/>
      <c r="AB77" s="612"/>
      <c r="AC77" s="612"/>
    </row>
    <row r="78" spans="1:29">
      <c r="A78" s="66" t="s">
        <v>1189</v>
      </c>
      <c r="B78" s="60"/>
      <c r="C78" s="54" t="s">
        <v>168</v>
      </c>
      <c r="D78" s="435" t="str">
        <f>IFERROR(VLOOKUP(C78,Mychart!$A$125:$B$811,2,FALSE),"-")</f>
        <v>UTS Carrier</v>
      </c>
      <c r="E78" s="676" t="s">
        <v>834</v>
      </c>
      <c r="F78" s="58">
        <v>1</v>
      </c>
      <c r="G78" s="58"/>
      <c r="H78" s="58"/>
      <c r="I78" s="58"/>
      <c r="J78" s="137"/>
      <c r="K78" s="56" t="s">
        <v>1190</v>
      </c>
      <c r="L78" s="292">
        <v>254</v>
      </c>
      <c r="M78" s="292"/>
      <c r="N78" s="358"/>
      <c r="O78" s="292"/>
      <c r="P78" s="292"/>
      <c r="Q78" s="614">
        <v>0</v>
      </c>
      <c r="R78" s="913">
        <f t="shared" ref="R78:R141" si="8">O78-N78</f>
        <v>0</v>
      </c>
      <c r="S78" s="913">
        <f t="shared" ref="S78:S141" si="9">Q78-N78</f>
        <v>0</v>
      </c>
      <c r="T78" s="913">
        <f t="shared" ref="T78:T141" si="10">Q78-O78</f>
        <v>0</v>
      </c>
      <c r="U78" s="914">
        <f t="shared" ref="U78:U141" si="11">F78-P78</f>
        <v>1</v>
      </c>
      <c r="V78" s="612"/>
      <c r="W78" s="612"/>
      <c r="X78" s="612"/>
      <c r="Y78" s="612"/>
      <c r="Z78" s="612"/>
      <c r="AA78" s="612"/>
      <c r="AB78" s="612"/>
      <c r="AC78" s="612"/>
    </row>
    <row r="79" spans="1:29">
      <c r="A79" s="66" t="s">
        <v>1189</v>
      </c>
      <c r="B79" s="60"/>
      <c r="C79" s="54" t="s">
        <v>168</v>
      </c>
      <c r="D79" s="435" t="str">
        <f>IFERROR(VLOOKUP(C79,Mychart!$A$125:$B$811,2,FALSE),"-")</f>
        <v>UTS Carrier</v>
      </c>
      <c r="E79" s="676" t="s">
        <v>835</v>
      </c>
      <c r="F79" s="58">
        <v>1</v>
      </c>
      <c r="G79" s="58"/>
      <c r="H79" s="58"/>
      <c r="I79" s="58"/>
      <c r="J79" s="137"/>
      <c r="K79" s="56" t="s">
        <v>1190</v>
      </c>
      <c r="L79" s="292">
        <v>254</v>
      </c>
      <c r="M79" s="292"/>
      <c r="N79" s="358"/>
      <c r="O79" s="292"/>
      <c r="P79" s="292"/>
      <c r="Q79" s="614">
        <v>0</v>
      </c>
      <c r="R79" s="913">
        <f t="shared" si="8"/>
        <v>0</v>
      </c>
      <c r="S79" s="913">
        <f t="shared" si="9"/>
        <v>0</v>
      </c>
      <c r="T79" s="913">
        <f t="shared" si="10"/>
        <v>0</v>
      </c>
      <c r="U79" s="914">
        <f t="shared" si="11"/>
        <v>1</v>
      </c>
      <c r="V79" s="612"/>
      <c r="W79" s="612"/>
      <c r="X79" s="612"/>
      <c r="Y79" s="612"/>
      <c r="Z79" s="612"/>
      <c r="AA79" s="612"/>
      <c r="AB79" s="612"/>
      <c r="AC79" s="612"/>
    </row>
    <row r="80" spans="1:29">
      <c r="A80" s="66" t="s">
        <v>1189</v>
      </c>
      <c r="B80" s="60"/>
      <c r="C80" s="54" t="s">
        <v>168</v>
      </c>
      <c r="D80" s="435" t="str">
        <f>IFERROR(VLOOKUP(C80,Mychart!$A$125:$B$811,2,FALSE),"-")</f>
        <v>UTS Carrier</v>
      </c>
      <c r="E80" s="676"/>
      <c r="F80" s="58"/>
      <c r="G80" s="58"/>
      <c r="H80" s="58">
        <v>131265</v>
      </c>
      <c r="I80" s="58">
        <v>6563.25</v>
      </c>
      <c r="J80" s="137"/>
      <c r="K80" s="56" t="s">
        <v>1190</v>
      </c>
      <c r="L80" s="292">
        <v>254</v>
      </c>
      <c r="M80" s="292"/>
      <c r="N80" s="358">
        <v>49192</v>
      </c>
      <c r="O80" s="292">
        <v>49487</v>
      </c>
      <c r="P80" s="292"/>
      <c r="Q80" s="614">
        <v>137828.25</v>
      </c>
      <c r="R80" s="913">
        <f t="shared" si="8"/>
        <v>295</v>
      </c>
      <c r="S80" s="913">
        <f t="shared" si="9"/>
        <v>88636.25</v>
      </c>
      <c r="T80" s="913">
        <f t="shared" si="10"/>
        <v>88341.25</v>
      </c>
      <c r="U80" s="914">
        <f t="shared" si="11"/>
        <v>0</v>
      </c>
      <c r="V80" s="612"/>
      <c r="W80" s="612"/>
      <c r="X80" s="612"/>
      <c r="Y80" s="612"/>
      <c r="Z80" s="612"/>
      <c r="AA80" s="612"/>
      <c r="AB80" s="612"/>
      <c r="AC80" s="612"/>
    </row>
    <row r="81" spans="1:29">
      <c r="A81" s="66" t="s">
        <v>1191</v>
      </c>
      <c r="B81" s="60"/>
      <c r="C81" s="54" t="s">
        <v>168</v>
      </c>
      <c r="D81" s="435" t="str">
        <f>IFERROR(VLOOKUP(C81,Mychart!$A$125:$B$811,2,FALSE),"-")</f>
        <v>UTS Carrier</v>
      </c>
      <c r="E81" s="676" t="s">
        <v>1177</v>
      </c>
      <c r="F81" s="58">
        <v>5</v>
      </c>
      <c r="G81" s="58"/>
      <c r="H81" s="58"/>
      <c r="I81" s="58"/>
      <c r="J81" s="137"/>
      <c r="K81" s="56" t="s">
        <v>1192</v>
      </c>
      <c r="L81" s="292">
        <v>221</v>
      </c>
      <c r="M81" s="292"/>
      <c r="N81" s="358"/>
      <c r="O81" s="292"/>
      <c r="P81" s="292">
        <v>5</v>
      </c>
      <c r="Q81" s="614">
        <v>0</v>
      </c>
      <c r="R81" s="913">
        <f t="shared" si="8"/>
        <v>0</v>
      </c>
      <c r="S81" s="913">
        <f t="shared" si="9"/>
        <v>0</v>
      </c>
      <c r="T81" s="913">
        <f t="shared" si="10"/>
        <v>0</v>
      </c>
      <c r="U81" s="914">
        <f t="shared" si="11"/>
        <v>0</v>
      </c>
      <c r="V81" s="612"/>
      <c r="W81" s="612"/>
      <c r="X81" s="612"/>
      <c r="Y81" s="612"/>
      <c r="Z81" s="612"/>
      <c r="AA81" s="612"/>
      <c r="AB81" s="612"/>
      <c r="AC81" s="612"/>
    </row>
    <row r="82" spans="1:29">
      <c r="A82" s="66" t="s">
        <v>1191</v>
      </c>
      <c r="B82" s="60"/>
      <c r="C82" s="54" t="s">
        <v>168</v>
      </c>
      <c r="D82" s="435" t="str">
        <f>IFERROR(VLOOKUP(C82,Mychart!$A$125:$B$811,2,FALSE),"-")</f>
        <v>UTS Carrier</v>
      </c>
      <c r="E82" s="676" t="s">
        <v>237</v>
      </c>
      <c r="F82" s="58">
        <v>5</v>
      </c>
      <c r="G82" s="58"/>
      <c r="H82" s="58"/>
      <c r="I82" s="58"/>
      <c r="J82" s="137"/>
      <c r="K82" s="56" t="s">
        <v>1192</v>
      </c>
      <c r="L82" s="292">
        <v>221</v>
      </c>
      <c r="M82" s="292"/>
      <c r="N82" s="358"/>
      <c r="O82" s="292"/>
      <c r="P82" s="292">
        <v>5</v>
      </c>
      <c r="Q82" s="614">
        <v>0</v>
      </c>
      <c r="R82" s="913">
        <f t="shared" si="8"/>
        <v>0</v>
      </c>
      <c r="S82" s="913">
        <f t="shared" si="9"/>
        <v>0</v>
      </c>
      <c r="T82" s="913">
        <f t="shared" si="10"/>
        <v>0</v>
      </c>
      <c r="U82" s="914">
        <f t="shared" si="11"/>
        <v>0</v>
      </c>
      <c r="V82" s="612"/>
      <c r="W82" s="612"/>
      <c r="X82" s="612"/>
      <c r="Y82" s="612"/>
      <c r="Z82" s="612"/>
      <c r="AA82" s="612"/>
      <c r="AB82" s="612"/>
      <c r="AC82" s="612"/>
    </row>
    <row r="83" spans="1:29">
      <c r="A83" s="66" t="s">
        <v>1191</v>
      </c>
      <c r="B83" s="60"/>
      <c r="C83" s="54" t="s">
        <v>168</v>
      </c>
      <c r="D83" s="435" t="str">
        <f>IFERROR(VLOOKUP(C83,Mychart!$A$125:$B$811,2,FALSE),"-")</f>
        <v>UTS Carrier</v>
      </c>
      <c r="E83" s="676" t="s">
        <v>1168</v>
      </c>
      <c r="F83" s="58">
        <v>1</v>
      </c>
      <c r="G83" s="58"/>
      <c r="H83" s="58"/>
      <c r="I83" s="58"/>
      <c r="J83" s="137"/>
      <c r="K83" s="56" t="s">
        <v>1192</v>
      </c>
      <c r="L83" s="292">
        <v>221</v>
      </c>
      <c r="M83" s="292"/>
      <c r="N83" s="358"/>
      <c r="O83" s="292"/>
      <c r="P83" s="292">
        <v>1</v>
      </c>
      <c r="Q83" s="614">
        <v>0</v>
      </c>
      <c r="R83" s="913">
        <f t="shared" si="8"/>
        <v>0</v>
      </c>
      <c r="S83" s="913">
        <f t="shared" si="9"/>
        <v>0</v>
      </c>
      <c r="T83" s="913">
        <f t="shared" si="10"/>
        <v>0</v>
      </c>
      <c r="U83" s="914">
        <f t="shared" si="11"/>
        <v>0</v>
      </c>
      <c r="V83" s="612"/>
      <c r="W83" s="612"/>
      <c r="X83" s="612"/>
      <c r="Y83" s="612"/>
      <c r="Z83" s="612"/>
      <c r="AA83" s="612"/>
      <c r="AB83" s="612"/>
      <c r="AC83" s="612"/>
    </row>
    <row r="84" spans="1:29">
      <c r="A84" s="66" t="s">
        <v>1191</v>
      </c>
      <c r="B84" s="60"/>
      <c r="C84" s="54" t="s">
        <v>168</v>
      </c>
      <c r="D84" s="435" t="str">
        <f>IFERROR(VLOOKUP(C84,Mychart!$A$125:$B$811,2,FALSE),"-")</f>
        <v>UTS Carrier</v>
      </c>
      <c r="E84" s="676" t="s">
        <v>828</v>
      </c>
      <c r="F84" s="58">
        <v>1</v>
      </c>
      <c r="G84" s="58"/>
      <c r="H84" s="58"/>
      <c r="I84" s="58"/>
      <c r="J84" s="137"/>
      <c r="K84" s="56" t="s">
        <v>1192</v>
      </c>
      <c r="L84" s="292">
        <v>221</v>
      </c>
      <c r="M84" s="292"/>
      <c r="N84" s="358"/>
      <c r="O84" s="292"/>
      <c r="P84" s="292">
        <v>1</v>
      </c>
      <c r="Q84" s="614">
        <v>0</v>
      </c>
      <c r="R84" s="913">
        <f t="shared" si="8"/>
        <v>0</v>
      </c>
      <c r="S84" s="913">
        <f t="shared" si="9"/>
        <v>0</v>
      </c>
      <c r="T84" s="913">
        <f t="shared" si="10"/>
        <v>0</v>
      </c>
      <c r="U84" s="914">
        <f t="shared" si="11"/>
        <v>0</v>
      </c>
      <c r="V84" s="612"/>
      <c r="W84" s="612"/>
      <c r="X84" s="612"/>
      <c r="Y84" s="612"/>
      <c r="Z84" s="612"/>
      <c r="AA84" s="612"/>
      <c r="AB84" s="612"/>
      <c r="AC84" s="612"/>
    </row>
    <row r="85" spans="1:29">
      <c r="A85" s="66" t="s">
        <v>1191</v>
      </c>
      <c r="B85" s="60"/>
      <c r="C85" s="54" t="s">
        <v>168</v>
      </c>
      <c r="D85" s="435" t="str">
        <f>IFERROR(VLOOKUP(C85,Mychart!$A$125:$B$811,2,FALSE),"-")</f>
        <v>UTS Carrier</v>
      </c>
      <c r="E85" s="676" t="s">
        <v>1183</v>
      </c>
      <c r="F85" s="58">
        <v>2</v>
      </c>
      <c r="G85" s="58"/>
      <c r="H85" s="58"/>
      <c r="I85" s="58"/>
      <c r="J85" s="137"/>
      <c r="K85" s="56" t="s">
        <v>1192</v>
      </c>
      <c r="L85" s="292">
        <v>221</v>
      </c>
      <c r="M85" s="292"/>
      <c r="N85" s="358"/>
      <c r="O85" s="292"/>
      <c r="P85" s="292">
        <v>2</v>
      </c>
      <c r="Q85" s="614">
        <v>0</v>
      </c>
      <c r="R85" s="913">
        <f t="shared" si="8"/>
        <v>0</v>
      </c>
      <c r="S85" s="913">
        <f t="shared" si="9"/>
        <v>0</v>
      </c>
      <c r="T85" s="913">
        <f t="shared" si="10"/>
        <v>0</v>
      </c>
      <c r="U85" s="914">
        <f t="shared" si="11"/>
        <v>0</v>
      </c>
      <c r="V85" s="612"/>
      <c r="W85" s="612"/>
      <c r="X85" s="612"/>
      <c r="Y85" s="612"/>
      <c r="Z85" s="612"/>
      <c r="AA85" s="612"/>
      <c r="AB85" s="612"/>
      <c r="AC85" s="612"/>
    </row>
    <row r="86" spans="1:29">
      <c r="A86" s="66" t="s">
        <v>1191</v>
      </c>
      <c r="B86" s="60"/>
      <c r="C86" s="54" t="s">
        <v>168</v>
      </c>
      <c r="D86" s="435" t="str">
        <f>IFERROR(VLOOKUP(C86,Mychart!$A$125:$B$811,2,FALSE),"-")</f>
        <v>UTS Carrier</v>
      </c>
      <c r="E86" s="676" t="s">
        <v>1184</v>
      </c>
      <c r="F86" s="58">
        <v>2</v>
      </c>
      <c r="G86" s="58"/>
      <c r="H86" s="58"/>
      <c r="I86" s="58"/>
      <c r="J86" s="137"/>
      <c r="K86" s="56" t="s">
        <v>1192</v>
      </c>
      <c r="L86" s="292">
        <v>221</v>
      </c>
      <c r="M86" s="292"/>
      <c r="N86" s="358"/>
      <c r="O86" s="292"/>
      <c r="P86" s="292">
        <v>2</v>
      </c>
      <c r="Q86" s="614">
        <v>0</v>
      </c>
      <c r="R86" s="913">
        <f t="shared" si="8"/>
        <v>0</v>
      </c>
      <c r="S86" s="913">
        <f t="shared" si="9"/>
        <v>0</v>
      </c>
      <c r="T86" s="913">
        <f t="shared" si="10"/>
        <v>0</v>
      </c>
      <c r="U86" s="914">
        <f t="shared" si="11"/>
        <v>0</v>
      </c>
      <c r="V86" s="612"/>
      <c r="W86" s="612"/>
      <c r="X86" s="612"/>
      <c r="Y86" s="612"/>
      <c r="Z86" s="612"/>
      <c r="AA86" s="612"/>
      <c r="AB86" s="612"/>
      <c r="AC86" s="612"/>
    </row>
    <row r="87" spans="1:29">
      <c r="A87" s="66" t="s">
        <v>1191</v>
      </c>
      <c r="B87" s="60"/>
      <c r="C87" s="54" t="s">
        <v>168</v>
      </c>
      <c r="D87" s="435" t="str">
        <f>IFERROR(VLOOKUP(C87,Mychart!$A$125:$B$811,2,FALSE),"-")</f>
        <v>UTS Carrier</v>
      </c>
      <c r="E87" s="676" t="s">
        <v>1185</v>
      </c>
      <c r="F87" s="58">
        <v>2</v>
      </c>
      <c r="G87" s="58"/>
      <c r="H87" s="58"/>
      <c r="I87" s="58"/>
      <c r="J87" s="137"/>
      <c r="K87" s="56" t="s">
        <v>1192</v>
      </c>
      <c r="L87" s="292">
        <v>221</v>
      </c>
      <c r="M87" s="292"/>
      <c r="N87" s="358"/>
      <c r="O87" s="292"/>
      <c r="P87" s="292">
        <v>2</v>
      </c>
      <c r="Q87" s="614">
        <v>0</v>
      </c>
      <c r="R87" s="913">
        <f t="shared" si="8"/>
        <v>0</v>
      </c>
      <c r="S87" s="913">
        <f t="shared" si="9"/>
        <v>0</v>
      </c>
      <c r="T87" s="913">
        <f t="shared" si="10"/>
        <v>0</v>
      </c>
      <c r="U87" s="914">
        <f t="shared" si="11"/>
        <v>0</v>
      </c>
      <c r="V87" s="612"/>
      <c r="W87" s="612"/>
      <c r="X87" s="612"/>
      <c r="Y87" s="612"/>
      <c r="Z87" s="612"/>
      <c r="AA87" s="612"/>
      <c r="AB87" s="612"/>
      <c r="AC87" s="612"/>
    </row>
    <row r="88" spans="1:29">
      <c r="A88" s="66" t="s">
        <v>1191</v>
      </c>
      <c r="B88" s="60"/>
      <c r="C88" s="54" t="s">
        <v>168</v>
      </c>
      <c r="D88" s="435" t="str">
        <f>IFERROR(VLOOKUP(C88,Mychart!$A$125:$B$811,2,FALSE),"-")</f>
        <v>UTS Carrier</v>
      </c>
      <c r="E88" s="676" t="s">
        <v>1193</v>
      </c>
      <c r="F88" s="58">
        <v>2</v>
      </c>
      <c r="G88" s="58"/>
      <c r="H88" s="58"/>
      <c r="I88" s="58"/>
      <c r="J88" s="137"/>
      <c r="K88" s="56" t="s">
        <v>1192</v>
      </c>
      <c r="L88" s="292">
        <v>221</v>
      </c>
      <c r="M88" s="292"/>
      <c r="N88" s="358"/>
      <c r="O88" s="292"/>
      <c r="P88" s="292">
        <v>2</v>
      </c>
      <c r="Q88" s="614">
        <v>0</v>
      </c>
      <c r="R88" s="913">
        <f t="shared" si="8"/>
        <v>0</v>
      </c>
      <c r="S88" s="913">
        <f t="shared" si="9"/>
        <v>0</v>
      </c>
      <c r="T88" s="913">
        <f t="shared" si="10"/>
        <v>0</v>
      </c>
      <c r="U88" s="914">
        <f t="shared" si="11"/>
        <v>0</v>
      </c>
      <c r="V88" s="612"/>
      <c r="W88" s="612"/>
      <c r="X88" s="612"/>
      <c r="Y88" s="612"/>
      <c r="Z88" s="612"/>
      <c r="AA88" s="612"/>
      <c r="AB88" s="612"/>
      <c r="AC88" s="612"/>
    </row>
    <row r="89" spans="1:29">
      <c r="A89" s="66" t="s">
        <v>1191</v>
      </c>
      <c r="B89" s="60"/>
      <c r="C89" s="54" t="s">
        <v>168</v>
      </c>
      <c r="D89" s="435" t="str">
        <f>IFERROR(VLOOKUP(C89,Mychart!$A$125:$B$811,2,FALSE),"-")</f>
        <v>UTS Carrier</v>
      </c>
      <c r="E89" s="676" t="s">
        <v>832</v>
      </c>
      <c r="F89" s="58">
        <v>2</v>
      </c>
      <c r="G89" s="58"/>
      <c r="H89" s="58"/>
      <c r="I89" s="58"/>
      <c r="J89" s="137"/>
      <c r="K89" s="56" t="s">
        <v>1192</v>
      </c>
      <c r="L89" s="292">
        <v>221</v>
      </c>
      <c r="M89" s="292"/>
      <c r="N89" s="358"/>
      <c r="O89" s="292"/>
      <c r="P89" s="292">
        <v>2</v>
      </c>
      <c r="Q89" s="614">
        <v>0</v>
      </c>
      <c r="R89" s="913">
        <f t="shared" si="8"/>
        <v>0</v>
      </c>
      <c r="S89" s="913">
        <f t="shared" si="9"/>
        <v>0</v>
      </c>
      <c r="T89" s="913">
        <f t="shared" si="10"/>
        <v>0</v>
      </c>
      <c r="U89" s="914">
        <f t="shared" si="11"/>
        <v>0</v>
      </c>
      <c r="V89" s="612"/>
      <c r="W89" s="612"/>
      <c r="X89" s="612"/>
      <c r="Y89" s="612"/>
      <c r="Z89" s="612"/>
      <c r="AA89" s="612"/>
      <c r="AB89" s="612"/>
      <c r="AC89" s="612"/>
    </row>
    <row r="90" spans="1:29">
      <c r="A90" s="66" t="s">
        <v>1191</v>
      </c>
      <c r="B90" s="60"/>
      <c r="C90" s="54" t="s">
        <v>168</v>
      </c>
      <c r="D90" s="435" t="str">
        <f>IFERROR(VLOOKUP(C90,Mychart!$A$125:$B$811,2,FALSE),"-")</f>
        <v>UTS Carrier</v>
      </c>
      <c r="E90" s="676" t="s">
        <v>1194</v>
      </c>
      <c r="F90" s="58">
        <v>2</v>
      </c>
      <c r="G90" s="58"/>
      <c r="H90" s="58"/>
      <c r="I90" s="58"/>
      <c r="J90" s="137"/>
      <c r="K90" s="56" t="s">
        <v>1192</v>
      </c>
      <c r="L90" s="292">
        <v>221</v>
      </c>
      <c r="M90" s="292"/>
      <c r="N90" s="358"/>
      <c r="O90" s="292"/>
      <c r="P90" s="292">
        <v>2</v>
      </c>
      <c r="Q90" s="614">
        <v>0</v>
      </c>
      <c r="R90" s="913">
        <f t="shared" si="8"/>
        <v>0</v>
      </c>
      <c r="S90" s="913">
        <f t="shared" si="9"/>
        <v>0</v>
      </c>
      <c r="T90" s="913">
        <f t="shared" si="10"/>
        <v>0</v>
      </c>
      <c r="U90" s="914">
        <f t="shared" si="11"/>
        <v>0</v>
      </c>
      <c r="V90" s="612"/>
      <c r="W90" s="612"/>
      <c r="X90" s="612"/>
      <c r="Y90" s="612"/>
      <c r="Z90" s="612"/>
      <c r="AA90" s="612"/>
      <c r="AB90" s="612"/>
      <c r="AC90" s="612"/>
    </row>
    <row r="91" spans="1:29">
      <c r="A91" s="66" t="s">
        <v>1191</v>
      </c>
      <c r="B91" s="60"/>
      <c r="C91" s="54" t="s">
        <v>168</v>
      </c>
      <c r="D91" s="435" t="str">
        <f>IFERROR(VLOOKUP(C91,Mychart!$A$125:$B$811,2,FALSE),"-")</f>
        <v>UTS Carrier</v>
      </c>
      <c r="E91" s="676" t="s">
        <v>1195</v>
      </c>
      <c r="F91" s="58">
        <v>1</v>
      </c>
      <c r="G91" s="58"/>
      <c r="H91" s="58"/>
      <c r="I91" s="58"/>
      <c r="J91" s="137"/>
      <c r="K91" s="56" t="s">
        <v>1192</v>
      </c>
      <c r="L91" s="292">
        <v>221</v>
      </c>
      <c r="M91" s="292"/>
      <c r="N91" s="358"/>
      <c r="O91" s="292"/>
      <c r="P91" s="292">
        <v>1</v>
      </c>
      <c r="Q91" s="614">
        <v>0</v>
      </c>
      <c r="R91" s="913">
        <f t="shared" si="8"/>
        <v>0</v>
      </c>
      <c r="S91" s="913">
        <f t="shared" si="9"/>
        <v>0</v>
      </c>
      <c r="T91" s="913">
        <f t="shared" si="10"/>
        <v>0</v>
      </c>
      <c r="U91" s="914">
        <f t="shared" si="11"/>
        <v>0</v>
      </c>
      <c r="V91" s="612"/>
      <c r="W91" s="612"/>
      <c r="X91" s="612"/>
      <c r="Y91" s="612"/>
      <c r="Z91" s="612"/>
      <c r="AA91" s="612"/>
      <c r="AB91" s="612"/>
      <c r="AC91" s="612"/>
    </row>
    <row r="92" spans="1:29">
      <c r="A92" s="66" t="s">
        <v>1191</v>
      </c>
      <c r="B92" s="60"/>
      <c r="C92" s="54" t="s">
        <v>168</v>
      </c>
      <c r="D92" s="435" t="str">
        <f>IFERROR(VLOOKUP(C92,Mychart!$A$125:$B$811,2,FALSE),"-")</f>
        <v>UTS Carrier</v>
      </c>
      <c r="E92" s="676" t="s">
        <v>1196</v>
      </c>
      <c r="F92" s="58">
        <v>1</v>
      </c>
      <c r="G92" s="58"/>
      <c r="H92" s="58"/>
      <c r="I92" s="58"/>
      <c r="J92" s="137"/>
      <c r="K92" s="56" t="s">
        <v>1192</v>
      </c>
      <c r="L92" s="292">
        <v>221</v>
      </c>
      <c r="M92" s="292"/>
      <c r="N92" s="358"/>
      <c r="O92" s="292"/>
      <c r="P92" s="292">
        <v>1</v>
      </c>
      <c r="Q92" s="614">
        <v>0</v>
      </c>
      <c r="R92" s="913">
        <f t="shared" si="8"/>
        <v>0</v>
      </c>
      <c r="S92" s="913">
        <f t="shared" si="9"/>
        <v>0</v>
      </c>
      <c r="T92" s="913">
        <f t="shared" si="10"/>
        <v>0</v>
      </c>
      <c r="U92" s="914">
        <f t="shared" si="11"/>
        <v>0</v>
      </c>
      <c r="V92" s="612"/>
      <c r="W92" s="612"/>
      <c r="X92" s="612"/>
      <c r="Y92" s="612"/>
      <c r="Z92" s="612"/>
      <c r="AA92" s="612"/>
      <c r="AB92" s="612"/>
      <c r="AC92" s="612"/>
    </row>
    <row r="93" spans="1:29">
      <c r="A93" s="66" t="s">
        <v>1191</v>
      </c>
      <c r="B93" s="60"/>
      <c r="C93" s="54" t="s">
        <v>168</v>
      </c>
      <c r="D93" s="435" t="str">
        <f>IFERROR(VLOOKUP(C93,Mychart!$A$125:$B$811,2,FALSE),"-")</f>
        <v>UTS Carrier</v>
      </c>
      <c r="E93" s="676"/>
      <c r="F93" s="58"/>
      <c r="G93" s="58"/>
      <c r="H93" s="58">
        <v>72700</v>
      </c>
      <c r="I93" s="58">
        <v>3635</v>
      </c>
      <c r="J93" s="137"/>
      <c r="K93" s="56" t="s">
        <v>1192</v>
      </c>
      <c r="L93" s="292">
        <v>221</v>
      </c>
      <c r="M93" s="292" t="s">
        <v>1307</v>
      </c>
      <c r="N93" s="358">
        <v>34403</v>
      </c>
      <c r="O93" s="292">
        <v>39334</v>
      </c>
      <c r="P93" s="292"/>
      <c r="Q93" s="614">
        <v>76335</v>
      </c>
      <c r="R93" s="1650">
        <f t="shared" si="8"/>
        <v>4931</v>
      </c>
      <c r="S93" s="913">
        <f t="shared" si="9"/>
        <v>41932</v>
      </c>
      <c r="T93" s="913">
        <f t="shared" si="10"/>
        <v>37001</v>
      </c>
      <c r="U93" s="914">
        <f t="shared" si="11"/>
        <v>0</v>
      </c>
      <c r="V93" s="612"/>
      <c r="W93" s="612"/>
      <c r="X93" s="612"/>
      <c r="Y93" s="612"/>
      <c r="Z93" s="612"/>
      <c r="AA93" s="612"/>
      <c r="AB93" s="612"/>
      <c r="AC93" s="612"/>
    </row>
    <row r="94" spans="1:29">
      <c r="A94" s="66" t="s">
        <v>1302</v>
      </c>
      <c r="B94" s="60"/>
      <c r="C94" s="54" t="s">
        <v>168</v>
      </c>
      <c r="D94" s="435" t="str">
        <f>IFERROR(VLOOKUP(C94,Mychart!$A$125:$B$811,2,FALSE),"-")</f>
        <v>UTS Carrier</v>
      </c>
      <c r="E94" s="676" t="s">
        <v>825</v>
      </c>
      <c r="F94" s="58">
        <v>5</v>
      </c>
      <c r="G94" s="58"/>
      <c r="H94" s="58"/>
      <c r="I94" s="58"/>
      <c r="J94" s="137"/>
      <c r="K94" s="56" t="s">
        <v>1197</v>
      </c>
      <c r="L94" s="292">
        <v>252</v>
      </c>
      <c r="M94" s="292"/>
      <c r="N94" s="358"/>
      <c r="O94" s="292"/>
      <c r="P94" s="292">
        <v>5</v>
      </c>
      <c r="Q94" s="614">
        <v>0</v>
      </c>
      <c r="R94" s="913">
        <f t="shared" si="8"/>
        <v>0</v>
      </c>
      <c r="S94" s="913">
        <f t="shared" si="9"/>
        <v>0</v>
      </c>
      <c r="T94" s="913">
        <f t="shared" si="10"/>
        <v>0</v>
      </c>
      <c r="U94" s="914">
        <f t="shared" si="11"/>
        <v>0</v>
      </c>
      <c r="V94" s="612"/>
      <c r="W94" s="612"/>
      <c r="X94" s="612"/>
      <c r="Y94" s="612"/>
      <c r="Z94" s="612"/>
      <c r="AA94" s="612"/>
      <c r="AB94" s="612"/>
      <c r="AC94" s="612"/>
    </row>
    <row r="95" spans="1:29">
      <c r="A95" s="66" t="s">
        <v>1302</v>
      </c>
      <c r="B95" s="60"/>
      <c r="C95" s="54" t="s">
        <v>168</v>
      </c>
      <c r="D95" s="435" t="str">
        <f>IFERROR(VLOOKUP(C95,Mychart!$A$125:$B$811,2,FALSE),"-")</f>
        <v>UTS Carrier</v>
      </c>
      <c r="E95" s="676" t="s">
        <v>826</v>
      </c>
      <c r="F95" s="58">
        <v>5</v>
      </c>
      <c r="G95" s="58"/>
      <c r="H95" s="58"/>
      <c r="I95" s="58"/>
      <c r="J95" s="137"/>
      <c r="K95" s="56" t="s">
        <v>1197</v>
      </c>
      <c r="L95" s="292">
        <v>252</v>
      </c>
      <c r="M95" s="292"/>
      <c r="N95" s="358"/>
      <c r="O95" s="292"/>
      <c r="P95" s="292">
        <v>5</v>
      </c>
      <c r="Q95" s="614">
        <v>0</v>
      </c>
      <c r="R95" s="913">
        <f t="shared" si="8"/>
        <v>0</v>
      </c>
      <c r="S95" s="913">
        <f t="shared" si="9"/>
        <v>0</v>
      </c>
      <c r="T95" s="913">
        <f t="shared" si="10"/>
        <v>0</v>
      </c>
      <c r="U95" s="914">
        <f t="shared" si="11"/>
        <v>0</v>
      </c>
      <c r="V95" s="612"/>
      <c r="W95" s="612"/>
      <c r="X95" s="612"/>
      <c r="Y95" s="612"/>
      <c r="Z95" s="612"/>
      <c r="AA95" s="612"/>
      <c r="AB95" s="612"/>
      <c r="AC95" s="612"/>
    </row>
    <row r="96" spans="1:29">
      <c r="A96" s="66" t="s">
        <v>1302</v>
      </c>
      <c r="B96" s="60"/>
      <c r="C96" s="54" t="s">
        <v>168</v>
      </c>
      <c r="D96" s="435" t="str">
        <f>IFERROR(VLOOKUP(C96,Mychart!$A$125:$B$811,2,FALSE),"-")</f>
        <v>UTS Carrier</v>
      </c>
      <c r="E96" s="676" t="s">
        <v>236</v>
      </c>
      <c r="F96" s="58">
        <v>2</v>
      </c>
      <c r="G96" s="58"/>
      <c r="H96" s="58"/>
      <c r="I96" s="58"/>
      <c r="J96" s="137"/>
      <c r="K96" s="56" t="s">
        <v>1197</v>
      </c>
      <c r="L96" s="292">
        <v>252</v>
      </c>
      <c r="M96" s="292"/>
      <c r="N96" s="358"/>
      <c r="O96" s="292"/>
      <c r="P96" s="292">
        <v>2</v>
      </c>
      <c r="Q96" s="614">
        <v>0</v>
      </c>
      <c r="R96" s="913">
        <f t="shared" si="8"/>
        <v>0</v>
      </c>
      <c r="S96" s="913">
        <f t="shared" si="9"/>
        <v>0</v>
      </c>
      <c r="T96" s="913">
        <f t="shared" si="10"/>
        <v>0</v>
      </c>
      <c r="U96" s="914">
        <f t="shared" si="11"/>
        <v>0</v>
      </c>
      <c r="V96" s="612"/>
      <c r="W96" s="612"/>
      <c r="X96" s="612"/>
      <c r="Y96" s="612"/>
      <c r="Z96" s="612"/>
      <c r="AA96" s="612"/>
      <c r="AB96" s="612"/>
      <c r="AC96" s="612"/>
    </row>
    <row r="97" spans="1:29">
      <c r="A97" s="66" t="s">
        <v>1302</v>
      </c>
      <c r="B97" s="60"/>
      <c r="C97" s="54" t="s">
        <v>168</v>
      </c>
      <c r="D97" s="435" t="str">
        <f>IFERROR(VLOOKUP(C97,Mychart!$A$125:$B$811,2,FALSE),"-")</f>
        <v>UTS Carrier</v>
      </c>
      <c r="E97" s="676" t="s">
        <v>237</v>
      </c>
      <c r="F97" s="58">
        <v>2</v>
      </c>
      <c r="G97" s="58"/>
      <c r="H97" s="58"/>
      <c r="I97" s="58"/>
      <c r="J97" s="137"/>
      <c r="K97" s="56" t="s">
        <v>1197</v>
      </c>
      <c r="L97" s="292">
        <v>252</v>
      </c>
      <c r="M97" s="292"/>
      <c r="N97" s="358"/>
      <c r="O97" s="292"/>
      <c r="P97" s="292">
        <v>2</v>
      </c>
      <c r="Q97" s="614">
        <v>0</v>
      </c>
      <c r="R97" s="913">
        <f t="shared" si="8"/>
        <v>0</v>
      </c>
      <c r="S97" s="913">
        <f t="shared" si="9"/>
        <v>0</v>
      </c>
      <c r="T97" s="913">
        <f t="shared" si="10"/>
        <v>0</v>
      </c>
      <c r="U97" s="914">
        <f t="shared" si="11"/>
        <v>0</v>
      </c>
      <c r="V97" s="612"/>
      <c r="W97" s="612"/>
      <c r="X97" s="612"/>
      <c r="Y97" s="612"/>
      <c r="Z97" s="612"/>
      <c r="AA97" s="612"/>
      <c r="AB97" s="612"/>
      <c r="AC97" s="612"/>
    </row>
    <row r="98" spans="1:29">
      <c r="A98" s="66" t="s">
        <v>1302</v>
      </c>
      <c r="B98" s="60"/>
      <c r="C98" s="54" t="s">
        <v>168</v>
      </c>
      <c r="D98" s="435" t="str">
        <f>IFERROR(VLOOKUP(C98,Mychart!$A$125:$B$811,2,FALSE),"-")</f>
        <v>UTS Carrier</v>
      </c>
      <c r="E98" s="676" t="s">
        <v>827</v>
      </c>
      <c r="F98" s="58">
        <v>3</v>
      </c>
      <c r="G98" s="58"/>
      <c r="H98" s="58"/>
      <c r="I98" s="58"/>
      <c r="J98" s="137"/>
      <c r="K98" s="56" t="s">
        <v>1197</v>
      </c>
      <c r="L98" s="292">
        <v>252</v>
      </c>
      <c r="M98" s="292"/>
      <c r="N98" s="358"/>
      <c r="O98" s="292"/>
      <c r="P98" s="292">
        <v>3</v>
      </c>
      <c r="Q98" s="614">
        <v>0</v>
      </c>
      <c r="R98" s="913">
        <f t="shared" si="8"/>
        <v>0</v>
      </c>
      <c r="S98" s="913">
        <f t="shared" si="9"/>
        <v>0</v>
      </c>
      <c r="T98" s="913">
        <f t="shared" si="10"/>
        <v>0</v>
      </c>
      <c r="U98" s="914">
        <f t="shared" si="11"/>
        <v>0</v>
      </c>
      <c r="V98" s="612"/>
      <c r="W98" s="612"/>
      <c r="X98" s="612"/>
      <c r="Y98" s="612"/>
      <c r="Z98" s="612"/>
      <c r="AA98" s="612"/>
      <c r="AB98" s="612"/>
      <c r="AC98" s="612"/>
    </row>
    <row r="99" spans="1:29">
      <c r="A99" s="66" t="s">
        <v>1302</v>
      </c>
      <c r="B99" s="60"/>
      <c r="C99" s="54" t="s">
        <v>168</v>
      </c>
      <c r="D99" s="435" t="str">
        <f>IFERROR(VLOOKUP(C99,Mychart!$A$125:$B$811,2,FALSE),"-")</f>
        <v>UTS Carrier</v>
      </c>
      <c r="E99" s="676" t="s">
        <v>828</v>
      </c>
      <c r="F99" s="58">
        <v>3</v>
      </c>
      <c r="G99" s="58"/>
      <c r="H99" s="58"/>
      <c r="I99" s="58"/>
      <c r="J99" s="137"/>
      <c r="K99" s="56" t="s">
        <v>1197</v>
      </c>
      <c r="L99" s="292">
        <v>252</v>
      </c>
      <c r="M99" s="292"/>
      <c r="N99" s="358"/>
      <c r="O99" s="292"/>
      <c r="P99" s="292">
        <v>3</v>
      </c>
      <c r="Q99" s="614">
        <v>0</v>
      </c>
      <c r="R99" s="913">
        <f t="shared" si="8"/>
        <v>0</v>
      </c>
      <c r="S99" s="913">
        <f t="shared" si="9"/>
        <v>0</v>
      </c>
      <c r="T99" s="913">
        <f t="shared" si="10"/>
        <v>0</v>
      </c>
      <c r="U99" s="914">
        <f t="shared" si="11"/>
        <v>0</v>
      </c>
      <c r="V99" s="612"/>
      <c r="W99" s="612"/>
      <c r="X99" s="612"/>
      <c r="Y99" s="612"/>
      <c r="Z99" s="612"/>
      <c r="AA99" s="612"/>
      <c r="AB99" s="612"/>
      <c r="AC99" s="612"/>
    </row>
    <row r="100" spans="1:29">
      <c r="A100" s="66" t="s">
        <v>1302</v>
      </c>
      <c r="B100" s="60"/>
      <c r="C100" s="54" t="s">
        <v>168</v>
      </c>
      <c r="D100" s="435" t="str">
        <f>IFERROR(VLOOKUP(C100,Mychart!$A$125:$B$811,2,FALSE),"-")</f>
        <v>UTS Carrier</v>
      </c>
      <c r="E100" s="676" t="s">
        <v>238</v>
      </c>
      <c r="F100" s="58">
        <v>1</v>
      </c>
      <c r="G100" s="58"/>
      <c r="H100" s="58"/>
      <c r="I100" s="58"/>
      <c r="J100" s="137"/>
      <c r="K100" s="56" t="s">
        <v>1197</v>
      </c>
      <c r="L100" s="292">
        <v>252</v>
      </c>
      <c r="M100" s="292"/>
      <c r="N100" s="358"/>
      <c r="O100" s="292"/>
      <c r="P100" s="292" t="s">
        <v>1732</v>
      </c>
      <c r="Q100" s="614">
        <v>0</v>
      </c>
      <c r="R100" s="913">
        <f t="shared" si="8"/>
        <v>0</v>
      </c>
      <c r="S100" s="913">
        <f t="shared" si="9"/>
        <v>0</v>
      </c>
      <c r="T100" s="913">
        <f t="shared" si="10"/>
        <v>0</v>
      </c>
      <c r="U100" s="914" t="e">
        <f t="shared" si="11"/>
        <v>#VALUE!</v>
      </c>
      <c r="V100" s="612"/>
      <c r="W100" s="612"/>
      <c r="X100" s="612"/>
      <c r="Y100" s="612"/>
      <c r="Z100" s="612"/>
      <c r="AA100" s="612"/>
      <c r="AB100" s="612"/>
      <c r="AC100" s="612"/>
    </row>
    <row r="101" spans="1:29">
      <c r="A101" s="66" t="s">
        <v>1302</v>
      </c>
      <c r="B101" s="60"/>
      <c r="C101" s="54" t="s">
        <v>168</v>
      </c>
      <c r="D101" s="435" t="str">
        <f>IFERROR(VLOOKUP(C101,Mychart!$A$125:$B$811,2,FALSE),"-")</f>
        <v>UTS Carrier</v>
      </c>
      <c r="E101" s="676" t="s">
        <v>239</v>
      </c>
      <c r="F101" s="58">
        <v>1</v>
      </c>
      <c r="G101" s="58"/>
      <c r="H101" s="58"/>
      <c r="I101" s="58"/>
      <c r="J101" s="137"/>
      <c r="K101" s="56" t="s">
        <v>1197</v>
      </c>
      <c r="L101" s="292">
        <v>252</v>
      </c>
      <c r="M101" s="292"/>
      <c r="N101" s="358"/>
      <c r="O101" s="292"/>
      <c r="P101" s="292">
        <v>1</v>
      </c>
      <c r="Q101" s="614">
        <v>0</v>
      </c>
      <c r="R101" s="913">
        <f t="shared" si="8"/>
        <v>0</v>
      </c>
      <c r="S101" s="913">
        <f t="shared" si="9"/>
        <v>0</v>
      </c>
      <c r="T101" s="913">
        <f t="shared" si="10"/>
        <v>0</v>
      </c>
      <c r="U101" s="914">
        <f t="shared" si="11"/>
        <v>0</v>
      </c>
      <c r="V101" s="612"/>
      <c r="W101" s="612"/>
      <c r="X101" s="612"/>
      <c r="Y101" s="612"/>
      <c r="Z101" s="612"/>
      <c r="AA101" s="612"/>
      <c r="AB101" s="612"/>
      <c r="AC101" s="612"/>
    </row>
    <row r="102" spans="1:29">
      <c r="A102" s="66" t="s">
        <v>1302</v>
      </c>
      <c r="B102" s="60"/>
      <c r="C102" s="54" t="s">
        <v>168</v>
      </c>
      <c r="D102" s="435" t="str">
        <f>IFERROR(VLOOKUP(C102,Mychart!$A$125:$B$811,2,FALSE),"-")</f>
        <v>UTS Carrier</v>
      </c>
      <c r="E102" s="676" t="s">
        <v>234</v>
      </c>
      <c r="F102" s="58">
        <v>1</v>
      </c>
      <c r="G102" s="58"/>
      <c r="H102" s="58"/>
      <c r="I102" s="58"/>
      <c r="J102" s="137"/>
      <c r="K102" s="56" t="s">
        <v>1197</v>
      </c>
      <c r="L102" s="292">
        <v>252</v>
      </c>
      <c r="M102" s="292"/>
      <c r="N102" s="358"/>
      <c r="O102" s="292"/>
      <c r="P102" s="292" t="s">
        <v>1733</v>
      </c>
      <c r="Q102" s="614">
        <v>0</v>
      </c>
      <c r="R102" s="913">
        <f t="shared" si="8"/>
        <v>0</v>
      </c>
      <c r="S102" s="913">
        <f t="shared" si="9"/>
        <v>0</v>
      </c>
      <c r="T102" s="913">
        <f t="shared" si="10"/>
        <v>0</v>
      </c>
      <c r="U102" s="914" t="e">
        <f t="shared" si="11"/>
        <v>#VALUE!</v>
      </c>
      <c r="V102" s="612"/>
      <c r="W102" s="612"/>
      <c r="X102" s="612"/>
      <c r="Y102" s="612"/>
      <c r="Z102" s="612"/>
      <c r="AA102" s="612"/>
      <c r="AB102" s="612"/>
      <c r="AC102" s="612"/>
    </row>
    <row r="103" spans="1:29">
      <c r="A103" s="66" t="s">
        <v>1302</v>
      </c>
      <c r="B103" s="60"/>
      <c r="C103" s="54" t="s">
        <v>168</v>
      </c>
      <c r="D103" s="435" t="str">
        <f>IFERROR(VLOOKUP(C103,Mychart!$A$125:$B$811,2,FALSE),"-")</f>
        <v>UTS Carrier</v>
      </c>
      <c r="E103" s="676" t="s">
        <v>235</v>
      </c>
      <c r="F103" s="58">
        <v>1</v>
      </c>
      <c r="G103" s="58"/>
      <c r="H103" s="58"/>
      <c r="I103" s="58"/>
      <c r="J103" s="137"/>
      <c r="K103" s="56" t="s">
        <v>1197</v>
      </c>
      <c r="L103" s="292">
        <v>252</v>
      </c>
      <c r="M103" s="292"/>
      <c r="N103" s="358"/>
      <c r="O103" s="292"/>
      <c r="P103" s="292">
        <v>1</v>
      </c>
      <c r="Q103" s="614">
        <v>0</v>
      </c>
      <c r="R103" s="913">
        <f t="shared" si="8"/>
        <v>0</v>
      </c>
      <c r="S103" s="913">
        <f t="shared" si="9"/>
        <v>0</v>
      </c>
      <c r="T103" s="913">
        <f t="shared" si="10"/>
        <v>0</v>
      </c>
      <c r="U103" s="914">
        <f t="shared" si="11"/>
        <v>0</v>
      </c>
      <c r="V103" s="612"/>
      <c r="W103" s="612"/>
      <c r="X103" s="612"/>
      <c r="Y103" s="612"/>
      <c r="Z103" s="612"/>
      <c r="AA103" s="612"/>
      <c r="AB103" s="612"/>
      <c r="AC103" s="612"/>
    </row>
    <row r="104" spans="1:29">
      <c r="A104" s="66" t="s">
        <v>1302</v>
      </c>
      <c r="B104" s="60"/>
      <c r="C104" s="54" t="s">
        <v>168</v>
      </c>
      <c r="D104" s="435" t="str">
        <f>IFERROR(VLOOKUP(C104,Mychart!$A$125:$B$811,2,FALSE),"-")</f>
        <v>UTS Carrier</v>
      </c>
      <c r="E104" s="676" t="s">
        <v>232</v>
      </c>
      <c r="F104" s="58">
        <v>3</v>
      </c>
      <c r="G104" s="58"/>
      <c r="H104" s="58"/>
      <c r="I104" s="58"/>
      <c r="J104" s="137"/>
      <c r="K104" s="56" t="s">
        <v>1197</v>
      </c>
      <c r="L104" s="292">
        <v>252</v>
      </c>
      <c r="M104" s="292"/>
      <c r="N104" s="358"/>
      <c r="O104" s="292"/>
      <c r="P104" s="292">
        <v>3</v>
      </c>
      <c r="Q104" s="614">
        <v>0</v>
      </c>
      <c r="R104" s="913">
        <f t="shared" si="8"/>
        <v>0</v>
      </c>
      <c r="S104" s="913">
        <f t="shared" si="9"/>
        <v>0</v>
      </c>
      <c r="T104" s="913">
        <f t="shared" si="10"/>
        <v>0</v>
      </c>
      <c r="U104" s="914">
        <f t="shared" si="11"/>
        <v>0</v>
      </c>
      <c r="V104" s="612"/>
      <c r="W104" s="612"/>
      <c r="X104" s="612"/>
      <c r="Y104" s="612"/>
      <c r="Z104" s="612"/>
      <c r="AA104" s="612"/>
      <c r="AB104" s="612"/>
      <c r="AC104" s="612"/>
    </row>
    <row r="105" spans="1:29">
      <c r="A105" s="66" t="s">
        <v>1302</v>
      </c>
      <c r="B105" s="60"/>
      <c r="C105" s="54" t="s">
        <v>168</v>
      </c>
      <c r="D105" s="435" t="str">
        <f>IFERROR(VLOOKUP(C105,Mychart!$A$125:$B$811,2,FALSE),"-")</f>
        <v>UTS Carrier</v>
      </c>
      <c r="E105" s="676" t="s">
        <v>233</v>
      </c>
      <c r="F105" s="58">
        <v>3</v>
      </c>
      <c r="G105" s="58"/>
      <c r="H105" s="58"/>
      <c r="I105" s="58"/>
      <c r="J105" s="137"/>
      <c r="K105" s="56" t="s">
        <v>1197</v>
      </c>
      <c r="L105" s="292">
        <v>252</v>
      </c>
      <c r="M105" s="292"/>
      <c r="N105" s="358"/>
      <c r="O105" s="292"/>
      <c r="P105" s="292">
        <v>3</v>
      </c>
      <c r="Q105" s="614">
        <v>0</v>
      </c>
      <c r="R105" s="913">
        <f t="shared" si="8"/>
        <v>0</v>
      </c>
      <c r="S105" s="913">
        <f t="shared" si="9"/>
        <v>0</v>
      </c>
      <c r="T105" s="913">
        <f t="shared" si="10"/>
        <v>0</v>
      </c>
      <c r="U105" s="914">
        <f t="shared" si="11"/>
        <v>0</v>
      </c>
      <c r="V105" s="612"/>
      <c r="W105" s="612"/>
      <c r="X105" s="612"/>
      <c r="Y105" s="612"/>
      <c r="Z105" s="612"/>
      <c r="AA105" s="612"/>
      <c r="AB105" s="612"/>
      <c r="AC105" s="612"/>
    </row>
    <row r="106" spans="1:29">
      <c r="A106" s="66" t="s">
        <v>1302</v>
      </c>
      <c r="B106" s="60"/>
      <c r="C106" s="54" t="s">
        <v>168</v>
      </c>
      <c r="D106" s="435" t="str">
        <f>IFERROR(VLOOKUP(C106,Mychart!$A$125:$B$811,2,FALSE),"-")</f>
        <v>UTS Carrier</v>
      </c>
      <c r="E106" s="676" t="s">
        <v>1099</v>
      </c>
      <c r="F106" s="58">
        <v>3</v>
      </c>
      <c r="G106" s="58"/>
      <c r="H106" s="58"/>
      <c r="I106" s="58"/>
      <c r="J106" s="137"/>
      <c r="K106" s="56" t="s">
        <v>1197</v>
      </c>
      <c r="L106" s="292">
        <v>252</v>
      </c>
      <c r="M106" s="292"/>
      <c r="N106" s="358"/>
      <c r="O106" s="292"/>
      <c r="P106" s="292">
        <v>3</v>
      </c>
      <c r="Q106" s="614">
        <v>0</v>
      </c>
      <c r="R106" s="913">
        <f t="shared" si="8"/>
        <v>0</v>
      </c>
      <c r="S106" s="913">
        <f t="shared" si="9"/>
        <v>0</v>
      </c>
      <c r="T106" s="913">
        <f t="shared" si="10"/>
        <v>0</v>
      </c>
      <c r="U106" s="914">
        <f t="shared" si="11"/>
        <v>0</v>
      </c>
      <c r="V106" s="612"/>
      <c r="W106" s="612"/>
      <c r="X106" s="612"/>
      <c r="Y106" s="612"/>
      <c r="Z106" s="612"/>
      <c r="AA106" s="612"/>
      <c r="AB106" s="612"/>
      <c r="AC106" s="612"/>
    </row>
    <row r="107" spans="1:29">
      <c r="A107" s="66" t="s">
        <v>1302</v>
      </c>
      <c r="B107" s="60"/>
      <c r="C107" s="54" t="s">
        <v>168</v>
      </c>
      <c r="D107" s="435" t="str">
        <f>IFERROR(VLOOKUP(C107,Mychart!$A$125:$B$811,2,FALSE),"-")</f>
        <v>UTS Carrier</v>
      </c>
      <c r="E107" s="676" t="s">
        <v>1100</v>
      </c>
      <c r="F107" s="58">
        <v>3</v>
      </c>
      <c r="G107" s="58"/>
      <c r="H107" s="58"/>
      <c r="I107" s="58"/>
      <c r="J107" s="137"/>
      <c r="K107" s="56" t="s">
        <v>1197</v>
      </c>
      <c r="L107" s="292">
        <v>252</v>
      </c>
      <c r="M107" s="292"/>
      <c r="N107" s="358"/>
      <c r="O107" s="292"/>
      <c r="P107" s="292">
        <v>3</v>
      </c>
      <c r="Q107" s="614">
        <v>0</v>
      </c>
      <c r="R107" s="913">
        <f t="shared" si="8"/>
        <v>0</v>
      </c>
      <c r="S107" s="913">
        <f t="shared" si="9"/>
        <v>0</v>
      </c>
      <c r="T107" s="913">
        <f t="shared" si="10"/>
        <v>0</v>
      </c>
      <c r="U107" s="914">
        <f t="shared" si="11"/>
        <v>0</v>
      </c>
      <c r="V107" s="612"/>
      <c r="W107" s="612"/>
      <c r="X107" s="612"/>
      <c r="Y107" s="612"/>
      <c r="Z107" s="612"/>
      <c r="AA107" s="612"/>
      <c r="AB107" s="612"/>
      <c r="AC107" s="612"/>
    </row>
    <row r="108" spans="1:29">
      <c r="A108" s="66" t="s">
        <v>1302</v>
      </c>
      <c r="B108" s="60"/>
      <c r="C108" s="54" t="s">
        <v>168</v>
      </c>
      <c r="D108" s="435" t="str">
        <f>IFERROR(VLOOKUP(C108,Mychart!$A$125:$B$811,2,FALSE),"-")</f>
        <v>UTS Carrier</v>
      </c>
      <c r="E108" s="676" t="s">
        <v>1236</v>
      </c>
      <c r="F108" s="58">
        <v>15</v>
      </c>
      <c r="G108" s="58"/>
      <c r="H108" s="58"/>
      <c r="I108" s="58"/>
      <c r="J108" s="137"/>
      <c r="K108" s="56" t="s">
        <v>1197</v>
      </c>
      <c r="L108" s="292">
        <v>252</v>
      </c>
      <c r="M108" s="292"/>
      <c r="N108" s="358"/>
      <c r="O108" s="292"/>
      <c r="P108" s="292">
        <v>15</v>
      </c>
      <c r="Q108" s="614"/>
      <c r="R108" s="913">
        <f t="shared" si="8"/>
        <v>0</v>
      </c>
      <c r="S108" s="913">
        <f t="shared" si="9"/>
        <v>0</v>
      </c>
      <c r="T108" s="913">
        <f t="shared" si="10"/>
        <v>0</v>
      </c>
      <c r="U108" s="914">
        <f t="shared" si="11"/>
        <v>0</v>
      </c>
      <c r="V108" s="612"/>
      <c r="W108" s="612"/>
      <c r="X108" s="612"/>
      <c r="Y108" s="612"/>
      <c r="Z108" s="612"/>
      <c r="AA108" s="612"/>
      <c r="AB108" s="612"/>
      <c r="AC108" s="612"/>
    </row>
    <row r="109" spans="1:29">
      <c r="A109" s="66" t="s">
        <v>1302</v>
      </c>
      <c r="B109" s="60"/>
      <c r="C109" s="54" t="s">
        <v>168</v>
      </c>
      <c r="D109" s="435" t="str">
        <f>IFERROR(VLOOKUP(C109,Mychart!$A$125:$B$811,2,FALSE),"-")</f>
        <v>UTS Carrier</v>
      </c>
      <c r="E109" s="676"/>
      <c r="F109" s="58"/>
      <c r="G109" s="58"/>
      <c r="H109" s="58"/>
      <c r="I109" s="58"/>
      <c r="J109" s="137"/>
      <c r="K109" s="56" t="s">
        <v>1197</v>
      </c>
      <c r="L109" s="292">
        <v>252</v>
      </c>
      <c r="M109" s="292" t="s">
        <v>1734</v>
      </c>
      <c r="N109" s="358">
        <v>90007</v>
      </c>
      <c r="O109" s="292">
        <v>90007</v>
      </c>
      <c r="P109" s="292"/>
      <c r="Q109" s="614">
        <v>98852.25</v>
      </c>
      <c r="R109" s="913">
        <f t="shared" si="8"/>
        <v>0</v>
      </c>
      <c r="S109" s="913">
        <f t="shared" si="9"/>
        <v>8845.25</v>
      </c>
      <c r="T109" s="913">
        <f t="shared" si="10"/>
        <v>8845.25</v>
      </c>
      <c r="U109" s="914">
        <f t="shared" si="11"/>
        <v>0</v>
      </c>
      <c r="V109" s="612"/>
      <c r="W109" s="612"/>
      <c r="X109" s="612"/>
      <c r="Y109" s="612"/>
      <c r="Z109" s="612"/>
      <c r="AA109" s="612"/>
      <c r="AB109" s="612"/>
      <c r="AC109" s="612"/>
    </row>
    <row r="110" spans="1:29">
      <c r="A110" s="66" t="s">
        <v>1198</v>
      </c>
      <c r="B110" s="60"/>
      <c r="C110" s="54" t="s">
        <v>168</v>
      </c>
      <c r="D110" s="435" t="str">
        <f>IFERROR(VLOOKUP(C110,Mychart!$A$125:$B$811,2,FALSE),"-")</f>
        <v>UTS Carrier</v>
      </c>
      <c r="E110" s="676" t="s">
        <v>1175</v>
      </c>
      <c r="F110" s="58">
        <v>2</v>
      </c>
      <c r="G110" s="58"/>
      <c r="H110" s="58"/>
      <c r="I110" s="58"/>
      <c r="J110" s="137"/>
      <c r="K110" s="56" t="s">
        <v>1199</v>
      </c>
      <c r="L110" s="292">
        <v>241</v>
      </c>
      <c r="M110" s="292"/>
      <c r="N110" s="358"/>
      <c r="O110" s="292"/>
      <c r="P110" s="292"/>
      <c r="Q110" s="614">
        <v>0</v>
      </c>
      <c r="R110" s="913">
        <f t="shared" si="8"/>
        <v>0</v>
      </c>
      <c r="S110" s="913">
        <f t="shared" si="9"/>
        <v>0</v>
      </c>
      <c r="T110" s="913">
        <f t="shared" si="10"/>
        <v>0</v>
      </c>
      <c r="U110" s="914">
        <f t="shared" si="11"/>
        <v>2</v>
      </c>
      <c r="V110" s="612"/>
      <c r="W110" s="612"/>
      <c r="X110" s="612"/>
      <c r="Y110" s="612"/>
      <c r="Z110" s="612"/>
      <c r="AA110" s="612"/>
      <c r="AB110" s="612"/>
      <c r="AC110" s="612"/>
    </row>
    <row r="111" spans="1:29">
      <c r="A111" s="66" t="s">
        <v>1198</v>
      </c>
      <c r="B111" s="60"/>
      <c r="C111" s="54" t="s">
        <v>168</v>
      </c>
      <c r="D111" s="435" t="str">
        <f>IFERROR(VLOOKUP(C111,Mychart!$A$125:$B$811,2,FALSE),"-")</f>
        <v>UTS Carrier</v>
      </c>
      <c r="E111" s="676" t="s">
        <v>826</v>
      </c>
      <c r="F111" s="58">
        <v>2</v>
      </c>
      <c r="G111" s="58"/>
      <c r="H111" s="58"/>
      <c r="I111" s="58"/>
      <c r="J111" s="137"/>
      <c r="K111" s="56" t="s">
        <v>1199</v>
      </c>
      <c r="L111" s="292">
        <v>241</v>
      </c>
      <c r="M111" s="292"/>
      <c r="N111" s="358"/>
      <c r="O111" s="292"/>
      <c r="P111" s="292">
        <v>2</v>
      </c>
      <c r="Q111" s="614">
        <v>0</v>
      </c>
      <c r="R111" s="913">
        <f t="shared" si="8"/>
        <v>0</v>
      </c>
      <c r="S111" s="913">
        <f t="shared" si="9"/>
        <v>0</v>
      </c>
      <c r="T111" s="913">
        <f t="shared" si="10"/>
        <v>0</v>
      </c>
      <c r="U111" s="914">
        <f t="shared" si="11"/>
        <v>0</v>
      </c>
      <c r="V111" s="612"/>
      <c r="W111" s="612"/>
      <c r="X111" s="612"/>
      <c r="Y111" s="612"/>
      <c r="Z111" s="612"/>
      <c r="AA111" s="612"/>
      <c r="AB111" s="612"/>
      <c r="AC111" s="612"/>
    </row>
    <row r="112" spans="1:29">
      <c r="A112" s="66" t="s">
        <v>1198</v>
      </c>
      <c r="B112" s="60"/>
      <c r="C112" s="54" t="s">
        <v>168</v>
      </c>
      <c r="D112" s="435" t="str">
        <f>IFERROR(VLOOKUP(C112,Mychart!$A$125:$B$811,2,FALSE),"-")</f>
        <v>UTS Carrier</v>
      </c>
      <c r="E112" s="676" t="s">
        <v>1177</v>
      </c>
      <c r="F112" s="58">
        <v>2</v>
      </c>
      <c r="G112" s="58"/>
      <c r="H112" s="58"/>
      <c r="I112" s="58"/>
      <c r="J112" s="137"/>
      <c r="K112" s="56" t="s">
        <v>1199</v>
      </c>
      <c r="L112" s="292">
        <v>241</v>
      </c>
      <c r="M112" s="292"/>
      <c r="N112" s="358"/>
      <c r="O112" s="292"/>
      <c r="P112" s="292"/>
      <c r="Q112" s="614">
        <v>0</v>
      </c>
      <c r="R112" s="913">
        <f t="shared" si="8"/>
        <v>0</v>
      </c>
      <c r="S112" s="913">
        <f t="shared" si="9"/>
        <v>0</v>
      </c>
      <c r="T112" s="913">
        <f t="shared" si="10"/>
        <v>0</v>
      </c>
      <c r="U112" s="914">
        <f t="shared" si="11"/>
        <v>2</v>
      </c>
      <c r="V112" s="612"/>
      <c r="W112" s="612"/>
      <c r="X112" s="612"/>
      <c r="Y112" s="612"/>
      <c r="Z112" s="612"/>
      <c r="AA112" s="612"/>
      <c r="AB112" s="612"/>
      <c r="AC112" s="612"/>
    </row>
    <row r="113" spans="1:29">
      <c r="A113" s="66" t="s">
        <v>1198</v>
      </c>
      <c r="B113" s="60"/>
      <c r="C113" s="54" t="s">
        <v>168</v>
      </c>
      <c r="D113" s="435" t="str">
        <f>IFERROR(VLOOKUP(C113,Mychart!$A$125:$B$811,2,FALSE),"-")</f>
        <v>UTS Carrier</v>
      </c>
      <c r="E113" s="676" t="s">
        <v>237</v>
      </c>
      <c r="F113" s="58">
        <v>2</v>
      </c>
      <c r="G113" s="58"/>
      <c r="H113" s="58"/>
      <c r="I113" s="58"/>
      <c r="J113" s="137"/>
      <c r="K113" s="56" t="s">
        <v>1199</v>
      </c>
      <c r="L113" s="292">
        <v>241</v>
      </c>
      <c r="M113" s="292"/>
      <c r="N113" s="358"/>
      <c r="O113" s="292"/>
      <c r="P113" s="292">
        <v>2</v>
      </c>
      <c r="Q113" s="614">
        <v>0</v>
      </c>
      <c r="R113" s="913">
        <f t="shared" si="8"/>
        <v>0</v>
      </c>
      <c r="S113" s="913">
        <f t="shared" si="9"/>
        <v>0</v>
      </c>
      <c r="T113" s="913">
        <f t="shared" si="10"/>
        <v>0</v>
      </c>
      <c r="U113" s="914">
        <f t="shared" si="11"/>
        <v>0</v>
      </c>
      <c r="V113" s="612"/>
      <c r="W113" s="612"/>
      <c r="X113" s="612"/>
      <c r="Y113" s="612"/>
      <c r="Z113" s="612"/>
      <c r="AA113" s="612"/>
      <c r="AB113" s="612"/>
      <c r="AC113" s="612"/>
    </row>
    <row r="114" spans="1:29">
      <c r="A114" s="66" t="s">
        <v>1198</v>
      </c>
      <c r="B114" s="60"/>
      <c r="C114" s="54" t="s">
        <v>168</v>
      </c>
      <c r="D114" s="435" t="str">
        <f>IFERROR(VLOOKUP(C114,Mychart!$A$125:$B$811,2,FALSE),"-")</f>
        <v>UTS Carrier</v>
      </c>
      <c r="E114" s="676" t="s">
        <v>1200</v>
      </c>
      <c r="F114" s="58">
        <v>2</v>
      </c>
      <c r="G114" s="58"/>
      <c r="H114" s="58"/>
      <c r="I114" s="58"/>
      <c r="J114" s="137"/>
      <c r="K114" s="56" t="s">
        <v>1199</v>
      </c>
      <c r="L114" s="292">
        <v>241</v>
      </c>
      <c r="M114" s="292"/>
      <c r="N114" s="358"/>
      <c r="O114" s="292"/>
      <c r="P114" s="292"/>
      <c r="Q114" s="614">
        <v>0</v>
      </c>
      <c r="R114" s="913">
        <f t="shared" si="8"/>
        <v>0</v>
      </c>
      <c r="S114" s="913">
        <f t="shared" si="9"/>
        <v>0</v>
      </c>
      <c r="T114" s="913">
        <f t="shared" si="10"/>
        <v>0</v>
      </c>
      <c r="U114" s="914">
        <f t="shared" si="11"/>
        <v>2</v>
      </c>
      <c r="V114" s="612"/>
      <c r="W114" s="612"/>
      <c r="X114" s="612"/>
      <c r="Y114" s="612"/>
      <c r="Z114" s="612"/>
      <c r="AA114" s="612"/>
      <c r="AB114" s="612"/>
      <c r="AC114" s="612"/>
    </row>
    <row r="115" spans="1:29">
      <c r="A115" s="66" t="s">
        <v>1198</v>
      </c>
      <c r="B115" s="60"/>
      <c r="C115" s="54" t="s">
        <v>168</v>
      </c>
      <c r="D115" s="435" t="str">
        <f>IFERROR(VLOOKUP(C115,Mychart!$A$125:$B$811,2,FALSE),"-")</f>
        <v>UTS Carrier</v>
      </c>
      <c r="E115" s="676" t="s">
        <v>239</v>
      </c>
      <c r="F115" s="58">
        <v>2</v>
      </c>
      <c r="G115" s="58"/>
      <c r="H115" s="58"/>
      <c r="I115" s="58"/>
      <c r="J115" s="137"/>
      <c r="K115" s="56" t="s">
        <v>1199</v>
      </c>
      <c r="L115" s="292">
        <v>241</v>
      </c>
      <c r="M115" s="292"/>
      <c r="N115" s="358"/>
      <c r="O115" s="292"/>
      <c r="P115" s="292">
        <v>2</v>
      </c>
      <c r="Q115" s="614">
        <v>0</v>
      </c>
      <c r="R115" s="913">
        <f t="shared" si="8"/>
        <v>0</v>
      </c>
      <c r="S115" s="913">
        <f t="shared" si="9"/>
        <v>0</v>
      </c>
      <c r="T115" s="913">
        <f t="shared" si="10"/>
        <v>0</v>
      </c>
      <c r="U115" s="914">
        <f t="shared" si="11"/>
        <v>0</v>
      </c>
      <c r="V115" s="612"/>
      <c r="W115" s="612"/>
      <c r="X115" s="612"/>
      <c r="Y115" s="612"/>
      <c r="Z115" s="612"/>
      <c r="AA115" s="612"/>
      <c r="AB115" s="612"/>
      <c r="AC115" s="612"/>
    </row>
    <row r="116" spans="1:29">
      <c r="A116" s="66" t="s">
        <v>1198</v>
      </c>
      <c r="B116" s="60"/>
      <c r="C116" s="54" t="s">
        <v>168</v>
      </c>
      <c r="D116" s="435" t="str">
        <f>IFERROR(VLOOKUP(C116,Mychart!$A$125:$B$811,2,FALSE),"-")</f>
        <v>UTS Carrier</v>
      </c>
      <c r="E116" s="676" t="s">
        <v>1183</v>
      </c>
      <c r="F116" s="58">
        <v>1</v>
      </c>
      <c r="G116" s="58"/>
      <c r="H116" s="58"/>
      <c r="I116" s="58"/>
      <c r="J116" s="137"/>
      <c r="K116" s="56" t="s">
        <v>1199</v>
      </c>
      <c r="L116" s="292">
        <v>241</v>
      </c>
      <c r="M116" s="292"/>
      <c r="N116" s="358"/>
      <c r="O116" s="292"/>
      <c r="P116" s="292"/>
      <c r="Q116" s="614">
        <v>0</v>
      </c>
      <c r="R116" s="913">
        <f t="shared" si="8"/>
        <v>0</v>
      </c>
      <c r="S116" s="913">
        <f t="shared" si="9"/>
        <v>0</v>
      </c>
      <c r="T116" s="913">
        <f t="shared" si="10"/>
        <v>0</v>
      </c>
      <c r="U116" s="914">
        <f t="shared" si="11"/>
        <v>1</v>
      </c>
      <c r="V116" s="612"/>
      <c r="W116" s="612"/>
      <c r="X116" s="612"/>
      <c r="Y116" s="612"/>
      <c r="Z116" s="612"/>
      <c r="AA116" s="612"/>
      <c r="AB116" s="612"/>
      <c r="AC116" s="612"/>
    </row>
    <row r="117" spans="1:29">
      <c r="A117" s="66" t="s">
        <v>1198</v>
      </c>
      <c r="B117" s="60"/>
      <c r="C117" s="54" t="s">
        <v>168</v>
      </c>
      <c r="D117" s="435" t="str">
        <f>IFERROR(VLOOKUP(C117,Mychart!$A$125:$B$811,2,FALSE),"-")</f>
        <v>UTS Carrier</v>
      </c>
      <c r="E117" s="676" t="s">
        <v>1184</v>
      </c>
      <c r="F117" s="58">
        <v>1</v>
      </c>
      <c r="G117" s="58"/>
      <c r="H117" s="58"/>
      <c r="I117" s="58"/>
      <c r="J117" s="137"/>
      <c r="K117" s="56" t="s">
        <v>1199</v>
      </c>
      <c r="L117" s="292">
        <v>241</v>
      </c>
      <c r="M117" s="292"/>
      <c r="N117" s="358"/>
      <c r="O117" s="292"/>
      <c r="P117" s="292">
        <v>1</v>
      </c>
      <c r="Q117" s="614">
        <v>0</v>
      </c>
      <c r="R117" s="913">
        <f t="shared" si="8"/>
        <v>0</v>
      </c>
      <c r="S117" s="913">
        <f t="shared" si="9"/>
        <v>0</v>
      </c>
      <c r="T117" s="913">
        <f t="shared" si="10"/>
        <v>0</v>
      </c>
      <c r="U117" s="914">
        <f t="shared" si="11"/>
        <v>0</v>
      </c>
      <c r="V117" s="612"/>
      <c r="W117" s="612"/>
      <c r="X117" s="612"/>
      <c r="Y117" s="612"/>
      <c r="Z117" s="612"/>
      <c r="AA117" s="612"/>
      <c r="AB117" s="612"/>
      <c r="AC117" s="612"/>
    </row>
    <row r="118" spans="1:29">
      <c r="A118" s="66" t="s">
        <v>1198</v>
      </c>
      <c r="B118" s="60"/>
      <c r="C118" s="54" t="s">
        <v>168</v>
      </c>
      <c r="D118" s="435" t="str">
        <f>IFERROR(VLOOKUP(C118,Mychart!$A$125:$B$811,2,FALSE),"-")</f>
        <v>UTS Carrier</v>
      </c>
      <c r="E118" s="676" t="s">
        <v>1185</v>
      </c>
      <c r="F118" s="58">
        <v>5</v>
      </c>
      <c r="G118" s="58"/>
      <c r="H118" s="58"/>
      <c r="I118" s="58"/>
      <c r="J118" s="137"/>
      <c r="K118" s="56" t="s">
        <v>1199</v>
      </c>
      <c r="L118" s="292">
        <v>241</v>
      </c>
      <c r="M118" s="292"/>
      <c r="N118" s="358"/>
      <c r="O118" s="292"/>
      <c r="P118" s="292"/>
      <c r="Q118" s="614">
        <v>0</v>
      </c>
      <c r="R118" s="913">
        <f t="shared" si="8"/>
        <v>0</v>
      </c>
      <c r="S118" s="913">
        <f t="shared" si="9"/>
        <v>0</v>
      </c>
      <c r="T118" s="913">
        <f t="shared" si="10"/>
        <v>0</v>
      </c>
      <c r="U118" s="914">
        <f t="shared" si="11"/>
        <v>5</v>
      </c>
      <c r="V118" s="612"/>
      <c r="W118" s="612"/>
      <c r="X118" s="612"/>
      <c r="Y118" s="612"/>
      <c r="Z118" s="612"/>
      <c r="AA118" s="612"/>
      <c r="AB118" s="612"/>
      <c r="AC118" s="612"/>
    </row>
    <row r="119" spans="1:29">
      <c r="A119" s="66" t="s">
        <v>1198</v>
      </c>
      <c r="B119" s="60"/>
      <c r="C119" s="54" t="s">
        <v>168</v>
      </c>
      <c r="D119" s="435" t="str">
        <f>IFERROR(VLOOKUP(C119,Mychart!$A$125:$B$811,2,FALSE),"-")</f>
        <v>UTS Carrier</v>
      </c>
      <c r="E119" s="676" t="s">
        <v>1193</v>
      </c>
      <c r="F119" s="58">
        <v>5</v>
      </c>
      <c r="G119" s="58"/>
      <c r="H119" s="58"/>
      <c r="I119" s="58"/>
      <c r="J119" s="137"/>
      <c r="K119" s="56" t="s">
        <v>1199</v>
      </c>
      <c r="L119" s="292">
        <v>241</v>
      </c>
      <c r="M119" s="292"/>
      <c r="N119" s="358"/>
      <c r="O119" s="292"/>
      <c r="P119" s="292">
        <v>5</v>
      </c>
      <c r="Q119" s="614">
        <v>0</v>
      </c>
      <c r="R119" s="913">
        <f t="shared" si="8"/>
        <v>0</v>
      </c>
      <c r="S119" s="913">
        <f t="shared" si="9"/>
        <v>0</v>
      </c>
      <c r="T119" s="913">
        <f t="shared" si="10"/>
        <v>0</v>
      </c>
      <c r="U119" s="914">
        <f t="shared" si="11"/>
        <v>0</v>
      </c>
      <c r="V119" s="612"/>
      <c r="W119" s="612"/>
      <c r="X119" s="612"/>
      <c r="Y119" s="612"/>
      <c r="Z119" s="612"/>
      <c r="AA119" s="612"/>
      <c r="AB119" s="612"/>
      <c r="AC119" s="612"/>
    </row>
    <row r="120" spans="1:29">
      <c r="A120" s="66" t="s">
        <v>1198</v>
      </c>
      <c r="B120" s="60"/>
      <c r="C120" s="54" t="s">
        <v>168</v>
      </c>
      <c r="D120" s="435" t="str">
        <f>IFERROR(VLOOKUP(C120,Mychart!$A$125:$B$811,2,FALSE),"-")</f>
        <v>UTS Carrier</v>
      </c>
      <c r="E120" s="676" t="s">
        <v>832</v>
      </c>
      <c r="F120" s="58">
        <v>4</v>
      </c>
      <c r="G120" s="58"/>
      <c r="H120" s="58"/>
      <c r="I120" s="58"/>
      <c r="J120" s="137"/>
      <c r="K120" s="56" t="s">
        <v>1199</v>
      </c>
      <c r="L120" s="292">
        <v>241</v>
      </c>
      <c r="M120" s="292"/>
      <c r="N120" s="358"/>
      <c r="O120" s="292"/>
      <c r="P120" s="292"/>
      <c r="Q120" s="614">
        <v>0</v>
      </c>
      <c r="R120" s="913">
        <f t="shared" si="8"/>
        <v>0</v>
      </c>
      <c r="S120" s="913">
        <f t="shared" si="9"/>
        <v>0</v>
      </c>
      <c r="T120" s="913">
        <f t="shared" si="10"/>
        <v>0</v>
      </c>
      <c r="U120" s="914">
        <f t="shared" si="11"/>
        <v>4</v>
      </c>
      <c r="V120" s="612"/>
      <c r="W120" s="612"/>
      <c r="X120" s="612"/>
      <c r="Y120" s="612"/>
      <c r="Z120" s="612"/>
      <c r="AA120" s="612"/>
      <c r="AB120" s="612"/>
      <c r="AC120" s="612"/>
    </row>
    <row r="121" spans="1:29">
      <c r="A121" s="66" t="s">
        <v>1198</v>
      </c>
      <c r="B121" s="60"/>
      <c r="C121" s="54" t="s">
        <v>168</v>
      </c>
      <c r="D121" s="435" t="str">
        <f>IFERROR(VLOOKUP(C121,Mychart!$A$125:$B$811,2,FALSE),"-")</f>
        <v>UTS Carrier</v>
      </c>
      <c r="E121" s="676" t="s">
        <v>1194</v>
      </c>
      <c r="F121" s="58">
        <v>4</v>
      </c>
      <c r="G121" s="58"/>
      <c r="H121" s="58"/>
      <c r="I121" s="58"/>
      <c r="J121" s="137"/>
      <c r="K121" s="56" t="s">
        <v>1199</v>
      </c>
      <c r="L121" s="292">
        <v>241</v>
      </c>
      <c r="M121" s="292"/>
      <c r="N121" s="358"/>
      <c r="O121" s="292"/>
      <c r="P121" s="292"/>
      <c r="Q121" s="614">
        <v>0</v>
      </c>
      <c r="R121" s="913">
        <f t="shared" si="8"/>
        <v>0</v>
      </c>
      <c r="S121" s="913">
        <f t="shared" si="9"/>
        <v>0</v>
      </c>
      <c r="T121" s="913">
        <f t="shared" si="10"/>
        <v>0</v>
      </c>
      <c r="U121" s="914">
        <f t="shared" si="11"/>
        <v>4</v>
      </c>
      <c r="V121" s="612"/>
      <c r="W121" s="612"/>
      <c r="X121" s="612"/>
      <c r="Y121" s="612"/>
      <c r="Z121" s="612"/>
      <c r="AA121" s="612"/>
      <c r="AB121" s="612"/>
      <c r="AC121" s="612"/>
    </row>
    <row r="122" spans="1:29">
      <c r="A122" s="66" t="s">
        <v>1198</v>
      </c>
      <c r="B122" s="60"/>
      <c r="C122" s="54" t="s">
        <v>168</v>
      </c>
      <c r="D122" s="435" t="str">
        <f>IFERROR(VLOOKUP(C122,Mychart!$A$125:$B$811,2,FALSE),"-")</f>
        <v>UTS Carrier</v>
      </c>
      <c r="E122" s="676" t="s">
        <v>1195</v>
      </c>
      <c r="F122" s="58">
        <v>1</v>
      </c>
      <c r="G122" s="58"/>
      <c r="H122" s="58"/>
      <c r="I122" s="58"/>
      <c r="J122" s="137"/>
      <c r="K122" s="56" t="s">
        <v>1199</v>
      </c>
      <c r="L122" s="292">
        <v>241</v>
      </c>
      <c r="M122" s="292"/>
      <c r="N122" s="358"/>
      <c r="O122" s="292"/>
      <c r="P122" s="292"/>
      <c r="Q122" s="614">
        <v>0</v>
      </c>
      <c r="R122" s="913">
        <f t="shared" si="8"/>
        <v>0</v>
      </c>
      <c r="S122" s="913">
        <f t="shared" si="9"/>
        <v>0</v>
      </c>
      <c r="T122" s="913">
        <f t="shared" si="10"/>
        <v>0</v>
      </c>
      <c r="U122" s="914">
        <f t="shared" si="11"/>
        <v>1</v>
      </c>
      <c r="V122" s="612"/>
      <c r="W122" s="612"/>
      <c r="X122" s="612"/>
      <c r="Y122" s="612"/>
      <c r="Z122" s="612"/>
      <c r="AA122" s="612"/>
      <c r="AB122" s="612"/>
      <c r="AC122" s="612"/>
    </row>
    <row r="123" spans="1:29">
      <c r="A123" s="66" t="s">
        <v>1198</v>
      </c>
      <c r="B123" s="60"/>
      <c r="C123" s="54" t="s">
        <v>168</v>
      </c>
      <c r="D123" s="435" t="str">
        <f>IFERROR(VLOOKUP(C123,Mychart!$A$125:$B$811,2,FALSE),"-")</f>
        <v>UTS Carrier</v>
      </c>
      <c r="E123" s="676" t="s">
        <v>1196</v>
      </c>
      <c r="F123" s="58">
        <v>1</v>
      </c>
      <c r="G123" s="58"/>
      <c r="H123" s="58"/>
      <c r="I123" s="58"/>
      <c r="J123" s="137"/>
      <c r="K123" s="56" t="s">
        <v>1199</v>
      </c>
      <c r="L123" s="292">
        <v>241</v>
      </c>
      <c r="M123" s="292" t="s">
        <v>1777</v>
      </c>
      <c r="N123" s="358"/>
      <c r="O123" s="292">
        <v>0</v>
      </c>
      <c r="P123" s="292"/>
      <c r="Q123" s="614">
        <v>0</v>
      </c>
      <c r="R123" s="913">
        <f t="shared" si="8"/>
        <v>0</v>
      </c>
      <c r="S123" s="913">
        <f t="shared" si="9"/>
        <v>0</v>
      </c>
      <c r="T123" s="913">
        <f t="shared" si="10"/>
        <v>0</v>
      </c>
      <c r="U123" s="914">
        <f t="shared" si="11"/>
        <v>1</v>
      </c>
      <c r="V123" s="612"/>
      <c r="W123" s="612"/>
      <c r="X123" s="612"/>
      <c r="Y123" s="612"/>
      <c r="Z123" s="612"/>
      <c r="AA123" s="612"/>
      <c r="AB123" s="612"/>
      <c r="AC123" s="612"/>
    </row>
    <row r="124" spans="1:29">
      <c r="A124" s="66" t="s">
        <v>1198</v>
      </c>
      <c r="B124" s="60"/>
      <c r="C124" s="54" t="s">
        <v>168</v>
      </c>
      <c r="D124" s="435" t="str">
        <f>IFERROR(VLOOKUP(C124,Mychart!$A$125:$B$811,2,FALSE),"-")</f>
        <v>UTS Carrier</v>
      </c>
      <c r="E124" s="676"/>
      <c r="F124" s="58"/>
      <c r="G124" s="58"/>
      <c r="H124" s="58">
        <v>95425</v>
      </c>
      <c r="I124" s="58">
        <v>4771.25</v>
      </c>
      <c r="J124" s="137"/>
      <c r="K124" s="56" t="s">
        <v>1199</v>
      </c>
      <c r="L124" s="292">
        <v>241</v>
      </c>
      <c r="M124" s="292"/>
      <c r="N124" s="358">
        <v>32208</v>
      </c>
      <c r="O124" s="292">
        <v>33936</v>
      </c>
      <c r="P124" s="292"/>
      <c r="Q124" s="614">
        <v>100196.25</v>
      </c>
      <c r="R124" s="913">
        <f t="shared" si="8"/>
        <v>1728</v>
      </c>
      <c r="S124" s="913">
        <f t="shared" si="9"/>
        <v>67988.25</v>
      </c>
      <c r="T124" s="913">
        <f t="shared" si="10"/>
        <v>66260.25</v>
      </c>
      <c r="U124" s="914">
        <f t="shared" si="11"/>
        <v>0</v>
      </c>
      <c r="V124" s="612"/>
      <c r="W124" s="612"/>
      <c r="X124" s="612"/>
      <c r="Y124" s="612"/>
      <c r="Z124" s="612"/>
      <c r="AA124" s="612"/>
      <c r="AB124" s="612"/>
      <c r="AC124" s="612"/>
    </row>
    <row r="125" spans="1:29">
      <c r="A125" s="66" t="s">
        <v>5906</v>
      </c>
      <c r="B125" s="60"/>
      <c r="C125" s="54" t="s">
        <v>168</v>
      </c>
      <c r="D125" s="435" t="str">
        <f>IFERROR(VLOOKUP(C125,Mychart!$A$125:$B$811,2,FALSE),"-")</f>
        <v>UTS Carrier</v>
      </c>
      <c r="E125" s="676" t="s">
        <v>825</v>
      </c>
      <c r="F125" s="58">
        <v>1</v>
      </c>
      <c r="G125" s="58"/>
      <c r="H125" s="58"/>
      <c r="I125" s="58"/>
      <c r="J125" s="137"/>
      <c r="K125" s="56" t="s">
        <v>1202</v>
      </c>
      <c r="L125" s="292">
        <v>262</v>
      </c>
      <c r="M125" s="292"/>
      <c r="N125" s="358"/>
      <c r="O125" s="292"/>
      <c r="P125" s="292"/>
      <c r="Q125" s="614">
        <v>0</v>
      </c>
      <c r="R125" s="913">
        <f t="shared" si="8"/>
        <v>0</v>
      </c>
      <c r="S125" s="913">
        <f t="shared" si="9"/>
        <v>0</v>
      </c>
      <c r="T125" s="913">
        <f t="shared" si="10"/>
        <v>0</v>
      </c>
      <c r="U125" s="914">
        <f t="shared" si="11"/>
        <v>1</v>
      </c>
      <c r="V125" s="612"/>
      <c r="W125" s="612"/>
      <c r="X125" s="612"/>
      <c r="Y125" s="612"/>
      <c r="Z125" s="612"/>
      <c r="AA125" s="612"/>
      <c r="AB125" s="612"/>
      <c r="AC125" s="612"/>
    </row>
    <row r="126" spans="1:29">
      <c r="A126" s="66" t="s">
        <v>5906</v>
      </c>
      <c r="B126" s="60"/>
      <c r="C126" s="54" t="s">
        <v>168</v>
      </c>
      <c r="D126" s="435" t="str">
        <f>IFERROR(VLOOKUP(C126,Mychart!$A$125:$B$811,2,FALSE),"-")</f>
        <v>UTS Carrier</v>
      </c>
      <c r="E126" s="676" t="s">
        <v>826</v>
      </c>
      <c r="F126" s="58">
        <v>1</v>
      </c>
      <c r="G126" s="58"/>
      <c r="H126" s="58"/>
      <c r="I126" s="58"/>
      <c r="J126" s="137"/>
      <c r="K126" s="56" t="s">
        <v>1202</v>
      </c>
      <c r="L126" s="292">
        <v>262</v>
      </c>
      <c r="M126" s="292"/>
      <c r="N126" s="358"/>
      <c r="O126" s="292"/>
      <c r="P126" s="292">
        <v>1</v>
      </c>
      <c r="Q126" s="614">
        <v>0</v>
      </c>
      <c r="R126" s="913">
        <f t="shared" si="8"/>
        <v>0</v>
      </c>
      <c r="S126" s="913">
        <f t="shared" si="9"/>
        <v>0</v>
      </c>
      <c r="T126" s="913">
        <f t="shared" si="10"/>
        <v>0</v>
      </c>
      <c r="U126" s="914">
        <f t="shared" si="11"/>
        <v>0</v>
      </c>
      <c r="V126" s="612"/>
      <c r="W126" s="612"/>
      <c r="X126" s="612"/>
      <c r="Y126" s="612"/>
      <c r="Z126" s="612"/>
      <c r="AA126" s="612"/>
      <c r="AB126" s="612"/>
      <c r="AC126" s="612"/>
    </row>
    <row r="127" spans="1:29">
      <c r="A127" s="66" t="s">
        <v>5906</v>
      </c>
      <c r="B127" s="60"/>
      <c r="C127" s="54" t="s">
        <v>168</v>
      </c>
      <c r="D127" s="435" t="str">
        <f>IFERROR(VLOOKUP(C127,Mychart!$A$125:$B$811,2,FALSE),"-")</f>
        <v>UTS Carrier</v>
      </c>
      <c r="E127" s="676" t="s">
        <v>236</v>
      </c>
      <c r="F127" s="58">
        <v>1</v>
      </c>
      <c r="G127" s="58"/>
      <c r="H127" s="58"/>
      <c r="I127" s="58"/>
      <c r="J127" s="137"/>
      <c r="K127" s="56" t="s">
        <v>1202</v>
      </c>
      <c r="L127" s="292">
        <v>262</v>
      </c>
      <c r="M127" s="292"/>
      <c r="N127" s="358"/>
      <c r="O127" s="292"/>
      <c r="P127" s="292"/>
      <c r="Q127" s="614">
        <v>0</v>
      </c>
      <c r="R127" s="913">
        <f t="shared" si="8"/>
        <v>0</v>
      </c>
      <c r="S127" s="913">
        <f t="shared" si="9"/>
        <v>0</v>
      </c>
      <c r="T127" s="913">
        <f t="shared" si="10"/>
        <v>0</v>
      </c>
      <c r="U127" s="914">
        <f t="shared" si="11"/>
        <v>1</v>
      </c>
      <c r="V127" s="612"/>
      <c r="W127" s="612"/>
      <c r="X127" s="612"/>
      <c r="Y127" s="612"/>
      <c r="Z127" s="612"/>
      <c r="AA127" s="612"/>
      <c r="AB127" s="612"/>
      <c r="AC127" s="612"/>
    </row>
    <row r="128" spans="1:29">
      <c r="A128" s="66" t="s">
        <v>5906</v>
      </c>
      <c r="B128" s="60"/>
      <c r="C128" s="54" t="s">
        <v>168</v>
      </c>
      <c r="D128" s="435" t="str">
        <f>IFERROR(VLOOKUP(C128,Mychart!$A$125:$B$811,2,FALSE),"-")</f>
        <v>UTS Carrier</v>
      </c>
      <c r="E128" s="676" t="s">
        <v>237</v>
      </c>
      <c r="F128" s="58">
        <v>1</v>
      </c>
      <c r="G128" s="58"/>
      <c r="H128" s="58"/>
      <c r="I128" s="58"/>
      <c r="J128" s="137"/>
      <c r="K128" s="56" t="s">
        <v>1202</v>
      </c>
      <c r="L128" s="292">
        <v>262</v>
      </c>
      <c r="M128" s="292"/>
      <c r="N128" s="358"/>
      <c r="O128" s="292"/>
      <c r="P128" s="292">
        <v>1</v>
      </c>
      <c r="Q128" s="614">
        <v>0</v>
      </c>
      <c r="R128" s="913">
        <f t="shared" si="8"/>
        <v>0</v>
      </c>
      <c r="S128" s="913">
        <f t="shared" si="9"/>
        <v>0</v>
      </c>
      <c r="T128" s="913">
        <f t="shared" si="10"/>
        <v>0</v>
      </c>
      <c r="U128" s="914">
        <f t="shared" si="11"/>
        <v>0</v>
      </c>
      <c r="V128" s="612"/>
      <c r="W128" s="612"/>
      <c r="X128" s="612"/>
      <c r="Y128" s="612"/>
      <c r="Z128" s="612"/>
      <c r="AA128" s="612"/>
      <c r="AB128" s="612"/>
      <c r="AC128" s="612"/>
    </row>
    <row r="129" spans="1:30">
      <c r="A129" s="66" t="s">
        <v>5906</v>
      </c>
      <c r="B129" s="60"/>
      <c r="C129" s="54" t="s">
        <v>168</v>
      </c>
      <c r="D129" s="435" t="str">
        <f>IFERROR(VLOOKUP(C129,Mychart!$A$125:$B$811,2,FALSE),"-")</f>
        <v>UTS Carrier</v>
      </c>
      <c r="E129" s="676" t="s">
        <v>827</v>
      </c>
      <c r="F129" s="58">
        <v>1</v>
      </c>
      <c r="G129" s="58"/>
      <c r="H129" s="58"/>
      <c r="I129" s="58"/>
      <c r="J129" s="137"/>
      <c r="K129" s="56" t="s">
        <v>1202</v>
      </c>
      <c r="L129" s="292">
        <v>262</v>
      </c>
      <c r="M129" s="292"/>
      <c r="N129" s="358"/>
      <c r="O129" s="292"/>
      <c r="P129" s="292"/>
      <c r="Q129" s="614">
        <v>0</v>
      </c>
      <c r="R129" s="913">
        <f t="shared" si="8"/>
        <v>0</v>
      </c>
      <c r="S129" s="913">
        <f t="shared" si="9"/>
        <v>0</v>
      </c>
      <c r="T129" s="913">
        <f t="shared" si="10"/>
        <v>0</v>
      </c>
      <c r="U129" s="914">
        <f t="shared" si="11"/>
        <v>1</v>
      </c>
      <c r="V129" s="612"/>
      <c r="W129" s="612"/>
      <c r="X129" s="612"/>
      <c r="Y129" s="612"/>
      <c r="Z129" s="612"/>
      <c r="AA129" s="612"/>
      <c r="AB129" s="612"/>
      <c r="AC129" s="612"/>
    </row>
    <row r="130" spans="1:30">
      <c r="A130" s="66" t="s">
        <v>5906</v>
      </c>
      <c r="B130" s="60"/>
      <c r="C130" s="54" t="s">
        <v>168</v>
      </c>
      <c r="D130" s="435" t="str">
        <f>IFERROR(VLOOKUP(C130,Mychart!$A$125:$B$811,2,FALSE),"-")</f>
        <v>UTS Carrier</v>
      </c>
      <c r="E130" s="676" t="s">
        <v>828</v>
      </c>
      <c r="F130" s="58">
        <v>1</v>
      </c>
      <c r="G130" s="58"/>
      <c r="H130" s="58"/>
      <c r="I130" s="58"/>
      <c r="J130" s="137"/>
      <c r="K130" s="56" t="s">
        <v>1202</v>
      </c>
      <c r="L130" s="292">
        <v>262</v>
      </c>
      <c r="M130" s="292"/>
      <c r="N130" s="358"/>
      <c r="O130" s="292"/>
      <c r="P130" s="292">
        <v>1</v>
      </c>
      <c r="Q130" s="614">
        <v>0</v>
      </c>
      <c r="R130" s="913">
        <f t="shared" si="8"/>
        <v>0</v>
      </c>
      <c r="S130" s="913">
        <f t="shared" si="9"/>
        <v>0</v>
      </c>
      <c r="T130" s="913">
        <f t="shared" si="10"/>
        <v>0</v>
      </c>
      <c r="U130" s="914">
        <f t="shared" si="11"/>
        <v>0</v>
      </c>
      <c r="V130" s="612"/>
      <c r="W130" s="612"/>
      <c r="X130" s="612"/>
      <c r="Y130" s="612"/>
      <c r="Z130" s="612"/>
      <c r="AA130" s="612"/>
      <c r="AB130" s="612"/>
      <c r="AC130" s="612"/>
    </row>
    <row r="131" spans="1:30">
      <c r="A131" s="66" t="s">
        <v>5906</v>
      </c>
      <c r="B131" s="60"/>
      <c r="C131" s="54" t="s">
        <v>168</v>
      </c>
      <c r="D131" s="435" t="str">
        <f>IFERROR(VLOOKUP(C131,Mychart!$A$125:$B$811,2,FALSE),"-")</f>
        <v>UTS Carrier</v>
      </c>
      <c r="E131" s="676" t="s">
        <v>232</v>
      </c>
      <c r="F131" s="58">
        <v>6</v>
      </c>
      <c r="G131" s="58"/>
      <c r="H131" s="58"/>
      <c r="I131" s="58"/>
      <c r="J131" s="137"/>
      <c r="K131" s="56" t="s">
        <v>1202</v>
      </c>
      <c r="L131" s="292">
        <v>262</v>
      </c>
      <c r="M131" s="292"/>
      <c r="N131" s="358"/>
      <c r="O131" s="292"/>
      <c r="P131" s="292"/>
      <c r="Q131" s="614">
        <v>0</v>
      </c>
      <c r="R131" s="913">
        <f t="shared" si="8"/>
        <v>0</v>
      </c>
      <c r="S131" s="913">
        <f t="shared" si="9"/>
        <v>0</v>
      </c>
      <c r="T131" s="913">
        <f t="shared" si="10"/>
        <v>0</v>
      </c>
      <c r="U131" s="914">
        <f t="shared" si="11"/>
        <v>6</v>
      </c>
      <c r="V131" s="612"/>
      <c r="W131" s="612"/>
      <c r="X131" s="612"/>
      <c r="Y131" s="612"/>
      <c r="Z131" s="612"/>
      <c r="AA131" s="612"/>
      <c r="AB131" s="612"/>
      <c r="AC131" s="612"/>
    </row>
    <row r="132" spans="1:30">
      <c r="A132" s="66" t="s">
        <v>5906</v>
      </c>
      <c r="B132" s="60"/>
      <c r="C132" s="54" t="s">
        <v>168</v>
      </c>
      <c r="D132" s="435" t="str">
        <f>IFERROR(VLOOKUP(C132,Mychart!$A$125:$B$811,2,FALSE),"-")</f>
        <v>UTS Carrier</v>
      </c>
      <c r="E132" s="676" t="s">
        <v>233</v>
      </c>
      <c r="F132" s="58">
        <v>6</v>
      </c>
      <c r="G132" s="58"/>
      <c r="H132" s="58"/>
      <c r="I132" s="58"/>
      <c r="J132" s="137"/>
      <c r="K132" s="56" t="s">
        <v>1202</v>
      </c>
      <c r="L132" s="292">
        <v>262</v>
      </c>
      <c r="M132" s="292"/>
      <c r="N132" s="358"/>
      <c r="O132" s="292"/>
      <c r="P132" s="292">
        <v>6</v>
      </c>
      <c r="Q132" s="614">
        <v>0</v>
      </c>
      <c r="R132" s="913">
        <f t="shared" si="8"/>
        <v>0</v>
      </c>
      <c r="S132" s="913">
        <f t="shared" si="9"/>
        <v>0</v>
      </c>
      <c r="T132" s="913">
        <f t="shared" si="10"/>
        <v>0</v>
      </c>
      <c r="U132" s="914">
        <f t="shared" si="11"/>
        <v>0</v>
      </c>
      <c r="V132" s="612"/>
      <c r="W132" s="612"/>
      <c r="X132" s="612"/>
      <c r="Y132" s="612"/>
      <c r="Z132" s="612"/>
      <c r="AA132" s="612"/>
      <c r="AB132" s="612"/>
      <c r="AC132" s="612"/>
    </row>
    <row r="133" spans="1:30">
      <c r="A133" s="66" t="s">
        <v>5906</v>
      </c>
      <c r="B133" s="60"/>
      <c r="C133" s="54" t="s">
        <v>168</v>
      </c>
      <c r="D133" s="435" t="str">
        <f>IFERROR(VLOOKUP(C133,Mychart!$A$125:$B$811,2,FALSE),"-")</f>
        <v>UTS Carrier</v>
      </c>
      <c r="E133" s="676" t="s">
        <v>1099</v>
      </c>
      <c r="F133" s="58">
        <v>1</v>
      </c>
      <c r="G133" s="58"/>
      <c r="H133" s="58"/>
      <c r="I133" s="58"/>
      <c r="J133" s="137"/>
      <c r="K133" s="56" t="s">
        <v>1202</v>
      </c>
      <c r="L133" s="292">
        <v>262</v>
      </c>
      <c r="M133" s="292"/>
      <c r="N133" s="358"/>
      <c r="O133" s="292"/>
      <c r="P133" s="292"/>
      <c r="Q133" s="614">
        <v>0</v>
      </c>
      <c r="R133" s="913">
        <f t="shared" si="8"/>
        <v>0</v>
      </c>
      <c r="S133" s="913">
        <f t="shared" si="9"/>
        <v>0</v>
      </c>
      <c r="T133" s="913">
        <f t="shared" si="10"/>
        <v>0</v>
      </c>
      <c r="U133" s="914">
        <f t="shared" si="11"/>
        <v>1</v>
      </c>
      <c r="V133" s="612"/>
      <c r="W133" s="612"/>
      <c r="X133" s="612"/>
      <c r="Y133" s="612"/>
      <c r="Z133" s="612"/>
      <c r="AA133" s="612"/>
      <c r="AB133" s="612"/>
      <c r="AC133" s="612"/>
    </row>
    <row r="134" spans="1:30">
      <c r="A134" s="66" t="s">
        <v>5906</v>
      </c>
      <c r="B134" s="60"/>
      <c r="C134" s="54" t="s">
        <v>168</v>
      </c>
      <c r="D134" s="435" t="str">
        <f>IFERROR(VLOOKUP(C134,Mychart!$A$125:$B$811,2,FALSE),"-")</f>
        <v>UTS Carrier</v>
      </c>
      <c r="E134" s="676" t="s">
        <v>1100</v>
      </c>
      <c r="F134" s="58">
        <v>1</v>
      </c>
      <c r="G134" s="58"/>
      <c r="H134" s="58"/>
      <c r="I134" s="58"/>
      <c r="J134" s="137"/>
      <c r="K134" s="56" t="s">
        <v>1202</v>
      </c>
      <c r="L134" s="292">
        <v>262</v>
      </c>
      <c r="M134" s="292"/>
      <c r="N134" s="358"/>
      <c r="O134" s="292"/>
      <c r="P134" s="292"/>
      <c r="Q134" s="614">
        <v>0</v>
      </c>
      <c r="R134" s="913">
        <f t="shared" si="8"/>
        <v>0</v>
      </c>
      <c r="S134" s="913">
        <f t="shared" si="9"/>
        <v>0</v>
      </c>
      <c r="T134" s="913">
        <f t="shared" si="10"/>
        <v>0</v>
      </c>
      <c r="U134" s="914">
        <f t="shared" si="11"/>
        <v>1</v>
      </c>
      <c r="V134" s="612"/>
      <c r="W134" s="612"/>
      <c r="X134" s="612"/>
      <c r="Y134" s="612"/>
      <c r="Z134" s="612"/>
      <c r="AA134" s="612"/>
      <c r="AB134" s="612"/>
      <c r="AC134" s="612"/>
    </row>
    <row r="135" spans="1:30">
      <c r="A135" s="66" t="s">
        <v>5906</v>
      </c>
      <c r="B135" s="60"/>
      <c r="C135" s="54" t="s">
        <v>168</v>
      </c>
      <c r="D135" s="435" t="str">
        <f>IFERROR(VLOOKUP(C135,Mychart!$A$125:$B$811,2,FALSE),"-")</f>
        <v>UTS Carrier</v>
      </c>
      <c r="E135" s="676" t="s">
        <v>832</v>
      </c>
      <c r="F135" s="58">
        <v>1</v>
      </c>
      <c r="G135" s="58"/>
      <c r="H135" s="58"/>
      <c r="I135" s="58"/>
      <c r="J135" s="137"/>
      <c r="K135" s="56" t="s">
        <v>1202</v>
      </c>
      <c r="L135" s="292">
        <v>262</v>
      </c>
      <c r="M135" s="292"/>
      <c r="N135" s="358"/>
      <c r="O135" s="292"/>
      <c r="P135" s="292"/>
      <c r="Q135" s="614">
        <v>0</v>
      </c>
      <c r="R135" s="913">
        <f t="shared" si="8"/>
        <v>0</v>
      </c>
      <c r="S135" s="913">
        <f t="shared" si="9"/>
        <v>0</v>
      </c>
      <c r="T135" s="913">
        <f t="shared" si="10"/>
        <v>0</v>
      </c>
      <c r="U135" s="914">
        <f t="shared" si="11"/>
        <v>1</v>
      </c>
      <c r="V135" s="612"/>
      <c r="W135" s="612"/>
      <c r="X135" s="612"/>
      <c r="Y135" s="612"/>
      <c r="Z135" s="612"/>
      <c r="AA135" s="612"/>
      <c r="AB135" s="612"/>
      <c r="AC135" s="612"/>
    </row>
    <row r="136" spans="1:30">
      <c r="A136" s="66" t="s">
        <v>5906</v>
      </c>
      <c r="B136" s="60"/>
      <c r="C136" s="54" t="s">
        <v>168</v>
      </c>
      <c r="D136" s="435" t="str">
        <f>IFERROR(VLOOKUP(C136,Mychart!$A$125:$B$811,2,FALSE),"-")</f>
        <v>UTS Carrier</v>
      </c>
      <c r="E136" s="676" t="s">
        <v>833</v>
      </c>
      <c r="F136" s="58">
        <v>1</v>
      </c>
      <c r="G136" s="58"/>
      <c r="H136" s="58"/>
      <c r="I136" s="58"/>
      <c r="J136" s="137"/>
      <c r="K136" s="56" t="s">
        <v>1202</v>
      </c>
      <c r="L136" s="292">
        <v>262</v>
      </c>
      <c r="M136" s="292"/>
      <c r="N136" s="358"/>
      <c r="O136" s="292"/>
      <c r="P136" s="292"/>
      <c r="Q136" s="614">
        <v>0</v>
      </c>
      <c r="R136" s="913">
        <f t="shared" si="8"/>
        <v>0</v>
      </c>
      <c r="S136" s="913">
        <f t="shared" si="9"/>
        <v>0</v>
      </c>
      <c r="T136" s="913">
        <f t="shared" si="10"/>
        <v>0</v>
      </c>
      <c r="U136" s="914">
        <f t="shared" si="11"/>
        <v>1</v>
      </c>
      <c r="V136" s="612"/>
      <c r="W136" s="612"/>
      <c r="X136" s="612"/>
      <c r="Y136" s="612"/>
      <c r="Z136" s="612"/>
      <c r="AA136" s="612"/>
      <c r="AB136" s="612"/>
      <c r="AC136" s="612"/>
    </row>
    <row r="137" spans="1:30">
      <c r="A137" s="66" t="s">
        <v>5906</v>
      </c>
      <c r="B137" s="60"/>
      <c r="C137" s="54" t="s">
        <v>168</v>
      </c>
      <c r="D137" s="435" t="str">
        <f>IFERROR(VLOOKUP(C137,Mychart!$A$125:$B$811,2,FALSE),"-")</f>
        <v>UTS Carrier</v>
      </c>
      <c r="E137" s="676" t="s">
        <v>1203</v>
      </c>
      <c r="F137" s="58">
        <v>1</v>
      </c>
      <c r="G137" s="58"/>
      <c r="H137" s="58"/>
      <c r="I137" s="58"/>
      <c r="J137" s="137"/>
      <c r="K137" s="56" t="s">
        <v>1202</v>
      </c>
      <c r="L137" s="292">
        <v>262</v>
      </c>
      <c r="M137" s="292"/>
      <c r="N137" s="358"/>
      <c r="O137" s="292"/>
      <c r="P137" s="292"/>
      <c r="Q137" s="614">
        <v>0</v>
      </c>
      <c r="R137" s="913">
        <f t="shared" si="8"/>
        <v>0</v>
      </c>
      <c r="S137" s="913">
        <f t="shared" si="9"/>
        <v>0</v>
      </c>
      <c r="T137" s="913">
        <f t="shared" si="10"/>
        <v>0</v>
      </c>
      <c r="U137" s="914">
        <f t="shared" si="11"/>
        <v>1</v>
      </c>
      <c r="V137" s="612"/>
      <c r="W137" s="612"/>
      <c r="X137" s="612"/>
      <c r="Y137" s="612"/>
      <c r="Z137" s="612"/>
      <c r="AA137" s="612"/>
      <c r="AB137" s="612"/>
      <c r="AC137" s="612"/>
    </row>
    <row r="138" spans="1:30">
      <c r="A138" s="66" t="s">
        <v>5906</v>
      </c>
      <c r="B138" s="60"/>
      <c r="C138" s="54" t="s">
        <v>168</v>
      </c>
      <c r="D138" s="435" t="str">
        <f>IFERROR(VLOOKUP(C138,Mychart!$A$125:$B$811,2,FALSE),"-")</f>
        <v>UTS Carrier</v>
      </c>
      <c r="E138" s="676" t="s">
        <v>1204</v>
      </c>
      <c r="F138" s="58">
        <v>1</v>
      </c>
      <c r="G138" s="58"/>
      <c r="H138" s="58"/>
      <c r="I138" s="58"/>
      <c r="J138" s="137"/>
      <c r="K138" s="56" t="s">
        <v>1202</v>
      </c>
      <c r="L138" s="292">
        <v>262</v>
      </c>
      <c r="M138" s="292"/>
      <c r="N138" s="358"/>
      <c r="O138" s="292"/>
      <c r="P138" s="292"/>
      <c r="Q138" s="614">
        <v>0</v>
      </c>
      <c r="R138" s="913">
        <f t="shared" si="8"/>
        <v>0</v>
      </c>
      <c r="S138" s="913">
        <f t="shared" si="9"/>
        <v>0</v>
      </c>
      <c r="T138" s="913">
        <f t="shared" si="10"/>
        <v>0</v>
      </c>
      <c r="U138" s="914">
        <f t="shared" si="11"/>
        <v>1</v>
      </c>
      <c r="V138" s="612"/>
      <c r="W138" s="612"/>
      <c r="X138" s="612"/>
      <c r="Y138" s="612"/>
      <c r="Z138" s="612"/>
      <c r="AA138" s="612"/>
      <c r="AB138" s="612"/>
      <c r="AC138" s="612"/>
    </row>
    <row r="139" spans="1:30">
      <c r="A139" s="66" t="s">
        <v>5906</v>
      </c>
      <c r="B139" s="60"/>
      <c r="C139" s="54" t="s">
        <v>168</v>
      </c>
      <c r="D139" s="435" t="str">
        <f>IFERROR(VLOOKUP(C139,Mychart!$A$125:$B$811,2,FALSE),"-")</f>
        <v>UTS Carrier</v>
      </c>
      <c r="E139" s="676"/>
      <c r="F139" s="58"/>
      <c r="G139" s="58"/>
      <c r="H139" s="58">
        <v>75460</v>
      </c>
      <c r="I139" s="58">
        <v>3773</v>
      </c>
      <c r="J139" s="137"/>
      <c r="K139" s="56" t="s">
        <v>1202</v>
      </c>
      <c r="L139" s="292">
        <v>262</v>
      </c>
      <c r="M139" s="292" t="s">
        <v>6025</v>
      </c>
      <c r="N139" s="358">
        <v>33101.5</v>
      </c>
      <c r="O139" s="292">
        <v>33102</v>
      </c>
      <c r="P139" s="292"/>
      <c r="Q139" s="614">
        <v>79233</v>
      </c>
      <c r="R139" s="913">
        <f t="shared" si="8"/>
        <v>0.5</v>
      </c>
      <c r="S139" s="913">
        <f t="shared" si="9"/>
        <v>46131.5</v>
      </c>
      <c r="T139" s="913">
        <f t="shared" si="10"/>
        <v>46131</v>
      </c>
      <c r="U139" s="914">
        <f t="shared" si="11"/>
        <v>0</v>
      </c>
      <c r="V139" s="612"/>
      <c r="W139" s="612"/>
      <c r="X139" s="612"/>
      <c r="Y139" s="612"/>
      <c r="Z139" s="612"/>
      <c r="AA139" s="612"/>
      <c r="AB139" s="612"/>
      <c r="AC139" s="612"/>
      <c r="AD139" s="930">
        <v>45633.466724537036</v>
      </c>
    </row>
    <row r="140" spans="1:30">
      <c r="A140" s="66" t="s">
        <v>1225</v>
      </c>
      <c r="B140" s="60"/>
      <c r="C140" s="54" t="s">
        <v>168</v>
      </c>
      <c r="D140" s="435" t="str">
        <f>IFERROR(VLOOKUP(C140,Mychart!$A$125:$B$811,2,FALSE),"-")</f>
        <v>UTS Carrier</v>
      </c>
      <c r="E140" s="676" t="s">
        <v>1177</v>
      </c>
      <c r="F140" s="58">
        <v>1</v>
      </c>
      <c r="G140" s="58"/>
      <c r="H140" s="58"/>
      <c r="I140" s="58"/>
      <c r="J140" s="137"/>
      <c r="K140" s="56" t="s">
        <v>192</v>
      </c>
      <c r="L140" s="292">
        <v>245</v>
      </c>
      <c r="M140" s="292"/>
      <c r="N140" s="358"/>
      <c r="O140" s="292"/>
      <c r="P140" s="292"/>
      <c r="Q140" s="614">
        <v>0</v>
      </c>
      <c r="R140" s="913">
        <f t="shared" si="8"/>
        <v>0</v>
      </c>
      <c r="S140" s="913">
        <f t="shared" si="9"/>
        <v>0</v>
      </c>
      <c r="T140" s="913">
        <f t="shared" si="10"/>
        <v>0</v>
      </c>
      <c r="U140" s="914">
        <f t="shared" si="11"/>
        <v>1</v>
      </c>
      <c r="V140" s="612"/>
      <c r="W140" s="612"/>
      <c r="X140" s="612"/>
      <c r="Y140" s="612"/>
      <c r="Z140" s="612"/>
      <c r="AA140" s="612"/>
      <c r="AB140" s="612"/>
      <c r="AC140" s="612"/>
    </row>
    <row r="141" spans="1:30">
      <c r="A141" s="66" t="s">
        <v>1225</v>
      </c>
      <c r="B141" s="60"/>
      <c r="C141" s="54" t="s">
        <v>168</v>
      </c>
      <c r="D141" s="435" t="str">
        <f>IFERROR(VLOOKUP(C141,Mychart!$A$125:$B$811,2,FALSE),"-")</f>
        <v>UTS Carrier</v>
      </c>
      <c r="E141" s="676" t="s">
        <v>237</v>
      </c>
      <c r="F141" s="58">
        <v>1</v>
      </c>
      <c r="G141" s="58"/>
      <c r="H141" s="58"/>
      <c r="I141" s="58"/>
      <c r="J141" s="137"/>
      <c r="K141" s="56" t="s">
        <v>192</v>
      </c>
      <c r="L141" s="292">
        <v>245</v>
      </c>
      <c r="M141" s="292"/>
      <c r="N141" s="358"/>
      <c r="O141" s="292"/>
      <c r="P141" s="292">
        <v>1</v>
      </c>
      <c r="Q141" s="614">
        <v>0</v>
      </c>
      <c r="R141" s="913">
        <f t="shared" si="8"/>
        <v>0</v>
      </c>
      <c r="S141" s="913">
        <f t="shared" si="9"/>
        <v>0</v>
      </c>
      <c r="T141" s="913">
        <f t="shared" si="10"/>
        <v>0</v>
      </c>
      <c r="U141" s="914">
        <f t="shared" si="11"/>
        <v>0</v>
      </c>
      <c r="V141" s="612"/>
      <c r="W141" s="612"/>
      <c r="X141" s="612"/>
      <c r="Y141" s="612"/>
      <c r="Z141" s="612"/>
      <c r="AA141" s="612"/>
      <c r="AB141" s="612"/>
      <c r="AC141" s="612"/>
    </row>
    <row r="142" spans="1:30">
      <c r="A142" s="66" t="s">
        <v>1225</v>
      </c>
      <c r="B142" s="60"/>
      <c r="C142" s="54" t="s">
        <v>168</v>
      </c>
      <c r="D142" s="435" t="str">
        <f>IFERROR(VLOOKUP(C142,Mychart!$A$125:$B$811,2,FALSE),"-")</f>
        <v>UTS Carrier</v>
      </c>
      <c r="E142" s="676" t="s">
        <v>1168</v>
      </c>
      <c r="F142" s="58">
        <v>3</v>
      </c>
      <c r="G142" s="58"/>
      <c r="H142" s="58"/>
      <c r="I142" s="58"/>
      <c r="J142" s="137"/>
      <c r="K142" s="56" t="s">
        <v>192</v>
      </c>
      <c r="L142" s="292">
        <v>245</v>
      </c>
      <c r="M142" s="292"/>
      <c r="N142" s="358"/>
      <c r="O142" s="292"/>
      <c r="P142" s="292"/>
      <c r="Q142" s="614">
        <v>0</v>
      </c>
      <c r="R142" s="913">
        <f t="shared" ref="R142:R205" si="12">O142-N142</f>
        <v>0</v>
      </c>
      <c r="S142" s="913">
        <f t="shared" ref="S142:S205" si="13">Q142-N142</f>
        <v>0</v>
      </c>
      <c r="T142" s="913">
        <f t="shared" ref="T142:T205" si="14">Q142-O142</f>
        <v>0</v>
      </c>
      <c r="U142" s="914">
        <f t="shared" ref="U142:U205" si="15">F142-P142</f>
        <v>3</v>
      </c>
      <c r="V142" s="612"/>
      <c r="W142" s="612"/>
      <c r="X142" s="612"/>
      <c r="Y142" s="612"/>
      <c r="Z142" s="612"/>
      <c r="AA142" s="612"/>
      <c r="AB142" s="612"/>
      <c r="AC142" s="612"/>
    </row>
    <row r="143" spans="1:30">
      <c r="A143" s="66" t="s">
        <v>1225</v>
      </c>
      <c r="B143" s="60"/>
      <c r="C143" s="54" t="s">
        <v>168</v>
      </c>
      <c r="D143" s="435" t="str">
        <f>IFERROR(VLOOKUP(C143,Mychart!$A$125:$B$811,2,FALSE),"-")</f>
        <v>UTS Carrier</v>
      </c>
      <c r="E143" s="676" t="s">
        <v>1226</v>
      </c>
      <c r="F143" s="58">
        <v>3</v>
      </c>
      <c r="G143" s="58"/>
      <c r="H143" s="58"/>
      <c r="I143" s="58"/>
      <c r="J143" s="137"/>
      <c r="K143" s="56" t="s">
        <v>192</v>
      </c>
      <c r="L143" s="292">
        <v>245</v>
      </c>
      <c r="M143" s="292"/>
      <c r="N143" s="358"/>
      <c r="O143" s="292"/>
      <c r="P143" s="292">
        <v>3</v>
      </c>
      <c r="Q143" s="614">
        <v>0</v>
      </c>
      <c r="R143" s="913">
        <f t="shared" si="12"/>
        <v>0</v>
      </c>
      <c r="S143" s="913">
        <f t="shared" si="13"/>
        <v>0</v>
      </c>
      <c r="T143" s="913">
        <f t="shared" si="14"/>
        <v>0</v>
      </c>
      <c r="U143" s="914">
        <f t="shared" si="15"/>
        <v>0</v>
      </c>
      <c r="V143" s="612"/>
      <c r="W143" s="612"/>
      <c r="X143" s="612"/>
      <c r="Y143" s="612"/>
      <c r="Z143" s="612"/>
      <c r="AA143" s="612"/>
      <c r="AB143" s="612"/>
      <c r="AC143" s="612"/>
    </row>
    <row r="144" spans="1:30">
      <c r="A144" s="66" t="s">
        <v>1225</v>
      </c>
      <c r="B144" s="60"/>
      <c r="C144" s="54" t="s">
        <v>168</v>
      </c>
      <c r="D144" s="435" t="str">
        <f>IFERROR(VLOOKUP(C144,Mychart!$A$125:$B$811,2,FALSE),"-")</f>
        <v>UTS Carrier</v>
      </c>
      <c r="E144" s="676" t="s">
        <v>1185</v>
      </c>
      <c r="F144" s="58">
        <v>6</v>
      </c>
      <c r="G144" s="58"/>
      <c r="H144" s="58"/>
      <c r="I144" s="58"/>
      <c r="J144" s="137"/>
      <c r="K144" s="56" t="s">
        <v>192</v>
      </c>
      <c r="L144" s="292">
        <v>245</v>
      </c>
      <c r="M144" s="292"/>
      <c r="N144" s="358"/>
      <c r="O144" s="292"/>
      <c r="P144" s="292"/>
      <c r="Q144" s="614">
        <v>0</v>
      </c>
      <c r="R144" s="913">
        <f t="shared" si="12"/>
        <v>0</v>
      </c>
      <c r="S144" s="913">
        <f t="shared" si="13"/>
        <v>0</v>
      </c>
      <c r="T144" s="913">
        <f t="shared" si="14"/>
        <v>0</v>
      </c>
      <c r="U144" s="914">
        <f t="shared" si="15"/>
        <v>6</v>
      </c>
      <c r="V144" s="612"/>
      <c r="W144" s="612"/>
      <c r="X144" s="612"/>
      <c r="Y144" s="612"/>
      <c r="Z144" s="612"/>
      <c r="AA144" s="612"/>
      <c r="AB144" s="612"/>
      <c r="AC144" s="612"/>
    </row>
    <row r="145" spans="1:29">
      <c r="A145" s="66" t="s">
        <v>1225</v>
      </c>
      <c r="B145" s="60"/>
      <c r="C145" s="54" t="s">
        <v>168</v>
      </c>
      <c r="D145" s="435" t="str">
        <f>IFERROR(VLOOKUP(C145,Mychart!$A$125:$B$811,2,FALSE),"-")</f>
        <v>UTS Carrier</v>
      </c>
      <c r="E145" s="676" t="s">
        <v>233</v>
      </c>
      <c r="F145" s="58">
        <v>6</v>
      </c>
      <c r="G145" s="58"/>
      <c r="H145" s="58"/>
      <c r="I145" s="58"/>
      <c r="J145" s="137"/>
      <c r="K145" s="56" t="s">
        <v>192</v>
      </c>
      <c r="L145" s="292">
        <v>245</v>
      </c>
      <c r="M145" s="292"/>
      <c r="N145" s="358"/>
      <c r="O145" s="292"/>
      <c r="P145" s="292">
        <v>6</v>
      </c>
      <c r="Q145" s="614">
        <v>0</v>
      </c>
      <c r="R145" s="913">
        <f t="shared" si="12"/>
        <v>0</v>
      </c>
      <c r="S145" s="913">
        <f t="shared" si="13"/>
        <v>0</v>
      </c>
      <c r="T145" s="913">
        <f t="shared" si="14"/>
        <v>0</v>
      </c>
      <c r="U145" s="914">
        <f t="shared" si="15"/>
        <v>0</v>
      </c>
      <c r="V145" s="612"/>
      <c r="W145" s="612"/>
      <c r="X145" s="612"/>
      <c r="Y145" s="612"/>
      <c r="Z145" s="612"/>
      <c r="AA145" s="612"/>
      <c r="AB145" s="612"/>
      <c r="AC145" s="612"/>
    </row>
    <row r="146" spans="1:29">
      <c r="A146" s="66" t="s">
        <v>1225</v>
      </c>
      <c r="B146" s="60"/>
      <c r="C146" s="54" t="s">
        <v>168</v>
      </c>
      <c r="D146" s="435" t="str">
        <f>IFERROR(VLOOKUP(C146,Mychart!$A$125:$B$811,2,FALSE),"-")</f>
        <v>UTS Carrier</v>
      </c>
      <c r="E146" s="676" t="s">
        <v>1169</v>
      </c>
      <c r="F146" s="58">
        <v>2</v>
      </c>
      <c r="G146" s="58"/>
      <c r="H146" s="58"/>
      <c r="I146" s="58"/>
      <c r="J146" s="137"/>
      <c r="K146" s="56" t="s">
        <v>192</v>
      </c>
      <c r="L146" s="292">
        <v>245</v>
      </c>
      <c r="M146" s="292"/>
      <c r="N146" s="358"/>
      <c r="O146" s="292"/>
      <c r="P146" s="292"/>
      <c r="Q146" s="614">
        <v>0</v>
      </c>
      <c r="R146" s="913">
        <f t="shared" si="12"/>
        <v>0</v>
      </c>
      <c r="S146" s="913">
        <f t="shared" si="13"/>
        <v>0</v>
      </c>
      <c r="T146" s="913">
        <f t="shared" si="14"/>
        <v>0</v>
      </c>
      <c r="U146" s="914">
        <f t="shared" si="15"/>
        <v>2</v>
      </c>
      <c r="V146" s="612"/>
      <c r="W146" s="612"/>
      <c r="X146" s="612"/>
      <c r="Y146" s="612"/>
      <c r="Z146" s="612"/>
      <c r="AA146" s="612"/>
      <c r="AB146" s="612"/>
      <c r="AC146" s="612"/>
    </row>
    <row r="147" spans="1:29">
      <c r="A147" s="66" t="s">
        <v>1225</v>
      </c>
      <c r="B147" s="60"/>
      <c r="C147" s="54" t="s">
        <v>168</v>
      </c>
      <c r="D147" s="435" t="str">
        <f>IFERROR(VLOOKUP(C147,Mychart!$A$125:$B$811,2,FALSE),"-")</f>
        <v>UTS Carrier</v>
      </c>
      <c r="E147" s="676" t="s">
        <v>1227</v>
      </c>
      <c r="F147" s="58">
        <v>2</v>
      </c>
      <c r="G147" s="58"/>
      <c r="H147" s="58"/>
      <c r="I147" s="58"/>
      <c r="J147" s="137"/>
      <c r="K147" s="56" t="s">
        <v>192</v>
      </c>
      <c r="L147" s="292">
        <v>245</v>
      </c>
      <c r="M147" s="292"/>
      <c r="N147" s="358"/>
      <c r="O147" s="292"/>
      <c r="P147" s="292"/>
      <c r="Q147" s="614">
        <v>0</v>
      </c>
      <c r="R147" s="913">
        <f t="shared" si="12"/>
        <v>0</v>
      </c>
      <c r="S147" s="913">
        <f t="shared" si="13"/>
        <v>0</v>
      </c>
      <c r="T147" s="913">
        <f t="shared" si="14"/>
        <v>0</v>
      </c>
      <c r="U147" s="914">
        <f t="shared" si="15"/>
        <v>2</v>
      </c>
      <c r="V147" s="612"/>
      <c r="W147" s="612"/>
      <c r="X147" s="612"/>
      <c r="Y147" s="612"/>
      <c r="Z147" s="612"/>
      <c r="AA147" s="612"/>
      <c r="AB147" s="612"/>
      <c r="AC147" s="612"/>
    </row>
    <row r="148" spans="1:29">
      <c r="A148" s="66" t="s">
        <v>1225</v>
      </c>
      <c r="B148" s="60"/>
      <c r="C148" s="54" t="s">
        <v>168</v>
      </c>
      <c r="D148" s="435" t="str">
        <f>IFERROR(VLOOKUP(C148,Mychart!$A$125:$B$811,2,FALSE),"-")</f>
        <v>UTS Carrier</v>
      </c>
      <c r="E148" s="676" t="s">
        <v>1228</v>
      </c>
      <c r="F148" s="58">
        <v>3</v>
      </c>
      <c r="G148" s="58"/>
      <c r="H148" s="58"/>
      <c r="I148" s="58"/>
      <c r="J148" s="137"/>
      <c r="K148" s="56" t="s">
        <v>192</v>
      </c>
      <c r="L148" s="292">
        <v>245</v>
      </c>
      <c r="M148" s="292"/>
      <c r="N148" s="358"/>
      <c r="O148" s="292"/>
      <c r="P148" s="292"/>
      <c r="Q148" s="614">
        <v>0</v>
      </c>
      <c r="R148" s="913">
        <f t="shared" si="12"/>
        <v>0</v>
      </c>
      <c r="S148" s="913">
        <f t="shared" si="13"/>
        <v>0</v>
      </c>
      <c r="T148" s="913">
        <f t="shared" si="14"/>
        <v>0</v>
      </c>
      <c r="U148" s="914">
        <f t="shared" si="15"/>
        <v>3</v>
      </c>
      <c r="V148" s="612"/>
      <c r="W148" s="612"/>
      <c r="X148" s="612"/>
      <c r="Y148" s="612"/>
      <c r="Z148" s="612"/>
      <c r="AA148" s="612"/>
      <c r="AB148" s="612"/>
      <c r="AC148" s="612"/>
    </row>
    <row r="149" spans="1:29">
      <c r="A149" s="66" t="s">
        <v>1225</v>
      </c>
      <c r="B149" s="60"/>
      <c r="C149" s="54" t="s">
        <v>168</v>
      </c>
      <c r="D149" s="435" t="str">
        <f>IFERROR(VLOOKUP(C149,Mychart!$A$125:$B$811,2,FALSE),"-")</f>
        <v>UTS Carrier</v>
      </c>
      <c r="E149" s="676" t="s">
        <v>833</v>
      </c>
      <c r="F149" s="58">
        <v>3</v>
      </c>
      <c r="G149" s="58"/>
      <c r="H149" s="58"/>
      <c r="I149" s="58"/>
      <c r="J149" s="137"/>
      <c r="K149" s="56" t="s">
        <v>192</v>
      </c>
      <c r="L149" s="292">
        <v>245</v>
      </c>
      <c r="M149" s="292"/>
      <c r="N149" s="358"/>
      <c r="O149" s="292"/>
      <c r="P149" s="292"/>
      <c r="Q149" s="614">
        <v>0</v>
      </c>
      <c r="R149" s="913">
        <f t="shared" si="12"/>
        <v>0</v>
      </c>
      <c r="S149" s="913">
        <f t="shared" si="13"/>
        <v>0</v>
      </c>
      <c r="T149" s="913">
        <f t="shared" si="14"/>
        <v>0</v>
      </c>
      <c r="U149" s="914">
        <f t="shared" si="15"/>
        <v>3</v>
      </c>
      <c r="V149" s="612"/>
      <c r="W149" s="612"/>
      <c r="X149" s="612"/>
      <c r="Y149" s="612"/>
      <c r="Z149" s="612"/>
      <c r="AA149" s="612"/>
      <c r="AB149" s="612"/>
      <c r="AC149" s="612"/>
    </row>
    <row r="150" spans="1:29">
      <c r="A150" s="66" t="s">
        <v>1225</v>
      </c>
      <c r="B150" s="60"/>
      <c r="C150" s="54" t="s">
        <v>168</v>
      </c>
      <c r="D150" s="435" t="str">
        <f>IFERROR(VLOOKUP(C150,Mychart!$A$125:$B$811,2,FALSE),"-")</f>
        <v>UTS Carrier</v>
      </c>
      <c r="E150" s="676" t="s">
        <v>1081</v>
      </c>
      <c r="F150" s="58">
        <v>1</v>
      </c>
      <c r="G150" s="58"/>
      <c r="H150" s="58"/>
      <c r="I150" s="58"/>
      <c r="J150" s="137"/>
      <c r="K150" s="56" t="s">
        <v>192</v>
      </c>
      <c r="L150" s="292">
        <v>245</v>
      </c>
      <c r="M150" s="292"/>
      <c r="N150" s="358"/>
      <c r="O150" s="292"/>
      <c r="P150" s="292"/>
      <c r="Q150" s="614">
        <v>0</v>
      </c>
      <c r="R150" s="913">
        <f t="shared" si="12"/>
        <v>0</v>
      </c>
      <c r="S150" s="913">
        <f t="shared" si="13"/>
        <v>0</v>
      </c>
      <c r="T150" s="913">
        <f t="shared" si="14"/>
        <v>0</v>
      </c>
      <c r="U150" s="914">
        <f t="shared" si="15"/>
        <v>1</v>
      </c>
      <c r="V150" s="612"/>
      <c r="W150" s="612"/>
      <c r="X150" s="612"/>
      <c r="Y150" s="612"/>
      <c r="Z150" s="612"/>
      <c r="AA150" s="612"/>
      <c r="AB150" s="612"/>
      <c r="AC150" s="612"/>
    </row>
    <row r="151" spans="1:29">
      <c r="A151" s="66" t="s">
        <v>1225</v>
      </c>
      <c r="B151" s="60"/>
      <c r="C151" s="54" t="s">
        <v>168</v>
      </c>
      <c r="D151" s="435" t="str">
        <f>IFERROR(VLOOKUP(C151,Mychart!$A$125:$B$811,2,FALSE),"-")</f>
        <v>UTS Carrier</v>
      </c>
      <c r="E151" s="676" t="s">
        <v>1229</v>
      </c>
      <c r="F151" s="58">
        <v>1</v>
      </c>
      <c r="G151" s="58"/>
      <c r="H151" s="58"/>
      <c r="I151" s="58"/>
      <c r="J151" s="137"/>
      <c r="K151" s="56" t="s">
        <v>192</v>
      </c>
      <c r="L151" s="292">
        <v>245</v>
      </c>
      <c r="M151" s="292"/>
      <c r="N151" s="358"/>
      <c r="O151" s="292"/>
      <c r="P151" s="292"/>
      <c r="Q151" s="614">
        <v>0</v>
      </c>
      <c r="R151" s="913">
        <f t="shared" si="12"/>
        <v>0</v>
      </c>
      <c r="S151" s="913">
        <f t="shared" si="13"/>
        <v>0</v>
      </c>
      <c r="T151" s="913">
        <f t="shared" si="14"/>
        <v>0</v>
      </c>
      <c r="U151" s="914">
        <f t="shared" si="15"/>
        <v>1</v>
      </c>
      <c r="V151" s="612"/>
      <c r="W151" s="612"/>
      <c r="X151" s="612"/>
      <c r="Y151" s="612"/>
      <c r="Z151" s="612"/>
      <c r="AA151" s="612"/>
      <c r="AB151" s="612"/>
      <c r="AC151" s="612"/>
    </row>
    <row r="152" spans="1:29">
      <c r="A152" s="66" t="s">
        <v>1225</v>
      </c>
      <c r="B152" s="60"/>
      <c r="C152" s="54" t="s">
        <v>168</v>
      </c>
      <c r="D152" s="435" t="str">
        <f>IFERROR(VLOOKUP(C152,Mychart!$A$125:$B$811,2,FALSE),"-")</f>
        <v>UTS Carrier</v>
      </c>
      <c r="E152" s="676" t="s">
        <v>1230</v>
      </c>
      <c r="F152" s="58">
        <v>1</v>
      </c>
      <c r="G152" s="58"/>
      <c r="H152" s="58"/>
      <c r="I152" s="58"/>
      <c r="J152" s="137"/>
      <c r="K152" s="56" t="s">
        <v>192</v>
      </c>
      <c r="L152" s="292">
        <v>245</v>
      </c>
      <c r="M152" s="292"/>
      <c r="N152" s="358"/>
      <c r="O152" s="292"/>
      <c r="P152" s="292"/>
      <c r="Q152" s="614">
        <v>0</v>
      </c>
      <c r="R152" s="913">
        <f t="shared" si="12"/>
        <v>0</v>
      </c>
      <c r="S152" s="913">
        <f t="shared" si="13"/>
        <v>0</v>
      </c>
      <c r="T152" s="913">
        <f t="shared" si="14"/>
        <v>0</v>
      </c>
      <c r="U152" s="914">
        <f t="shared" si="15"/>
        <v>1</v>
      </c>
      <c r="V152" s="612"/>
      <c r="W152" s="612"/>
      <c r="X152" s="612"/>
      <c r="Y152" s="612"/>
      <c r="Z152" s="612"/>
      <c r="AA152" s="612"/>
      <c r="AB152" s="612"/>
      <c r="AC152" s="612"/>
    </row>
    <row r="153" spans="1:29">
      <c r="A153" s="66" t="s">
        <v>1225</v>
      </c>
      <c r="B153" s="60"/>
      <c r="C153" s="54" t="s">
        <v>168</v>
      </c>
      <c r="D153" s="435" t="str">
        <f>IFERROR(VLOOKUP(C153,Mychart!$A$125:$B$811,2,FALSE),"-")</f>
        <v>UTS Carrier</v>
      </c>
      <c r="E153" s="676"/>
      <c r="F153" s="58"/>
      <c r="G153" s="58"/>
      <c r="H153" s="58"/>
      <c r="I153" s="58"/>
      <c r="J153" s="137"/>
      <c r="K153" s="56" t="s">
        <v>192</v>
      </c>
      <c r="L153" s="292">
        <v>245</v>
      </c>
      <c r="M153" s="292"/>
      <c r="N153" s="358">
        <v>28980</v>
      </c>
      <c r="O153" s="292">
        <v>28980</v>
      </c>
      <c r="P153" s="292"/>
      <c r="Q153" s="614">
        <v>103587</v>
      </c>
      <c r="R153" s="913">
        <f t="shared" si="12"/>
        <v>0</v>
      </c>
      <c r="S153" s="913">
        <f t="shared" si="13"/>
        <v>74607</v>
      </c>
      <c r="T153" s="913">
        <f t="shared" si="14"/>
        <v>74607</v>
      </c>
      <c r="U153" s="914">
        <f t="shared" si="15"/>
        <v>0</v>
      </c>
      <c r="V153" s="612"/>
      <c r="W153" s="612"/>
      <c r="X153" s="612"/>
      <c r="Y153" s="612"/>
      <c r="Z153" s="612"/>
      <c r="AA153" s="612"/>
      <c r="AB153" s="612"/>
      <c r="AC153" s="612"/>
    </row>
    <row r="154" spans="1:29">
      <c r="A154" s="66" t="s">
        <v>1231</v>
      </c>
      <c r="B154" s="60"/>
      <c r="C154" s="54" t="s">
        <v>168</v>
      </c>
      <c r="D154" s="435" t="str">
        <f>IFERROR(VLOOKUP(C154,Mychart!$A$125:$B$811,2,FALSE),"-")</f>
        <v>UTS Carrier</v>
      </c>
      <c r="E154" s="676" t="s">
        <v>827</v>
      </c>
      <c r="F154" s="58">
        <v>5</v>
      </c>
      <c r="G154" s="58"/>
      <c r="H154" s="58"/>
      <c r="I154" s="58"/>
      <c r="J154" s="137"/>
      <c r="K154" s="56" t="s">
        <v>1232</v>
      </c>
      <c r="L154" s="292">
        <v>251</v>
      </c>
      <c r="M154" s="292"/>
      <c r="N154" s="358"/>
      <c r="O154" s="292"/>
      <c r="P154" s="292"/>
      <c r="Q154" s="614">
        <v>0</v>
      </c>
      <c r="R154" s="913">
        <f t="shared" si="12"/>
        <v>0</v>
      </c>
      <c r="S154" s="913">
        <f t="shared" si="13"/>
        <v>0</v>
      </c>
      <c r="T154" s="913">
        <f t="shared" si="14"/>
        <v>0</v>
      </c>
      <c r="U154" s="914">
        <f t="shared" si="15"/>
        <v>5</v>
      </c>
      <c r="V154" s="612"/>
      <c r="W154" s="612"/>
      <c r="X154" s="612"/>
      <c r="Y154" s="612"/>
      <c r="Z154" s="612"/>
      <c r="AA154" s="612"/>
      <c r="AB154" s="612"/>
      <c r="AC154" s="612"/>
    </row>
    <row r="155" spans="1:29">
      <c r="A155" s="66" t="s">
        <v>1231</v>
      </c>
      <c r="B155" s="60"/>
      <c r="C155" s="54" t="s">
        <v>168</v>
      </c>
      <c r="D155" s="435" t="str">
        <f>IFERROR(VLOOKUP(C155,Mychart!$A$125:$B$811,2,FALSE),"-")</f>
        <v>UTS Carrier</v>
      </c>
      <c r="E155" s="676" t="s">
        <v>828</v>
      </c>
      <c r="F155" s="58">
        <v>5</v>
      </c>
      <c r="G155" s="58"/>
      <c r="H155" s="58"/>
      <c r="I155" s="58"/>
      <c r="J155" s="137"/>
      <c r="K155" s="56" t="s">
        <v>1232</v>
      </c>
      <c r="L155" s="292">
        <v>251</v>
      </c>
      <c r="M155" s="292"/>
      <c r="N155" s="358"/>
      <c r="O155" s="292"/>
      <c r="P155" s="292">
        <v>5</v>
      </c>
      <c r="Q155" s="614">
        <v>0</v>
      </c>
      <c r="R155" s="913">
        <f t="shared" si="12"/>
        <v>0</v>
      </c>
      <c r="S155" s="913">
        <f t="shared" si="13"/>
        <v>0</v>
      </c>
      <c r="T155" s="913">
        <f t="shared" si="14"/>
        <v>0</v>
      </c>
      <c r="U155" s="914">
        <f t="shared" si="15"/>
        <v>0</v>
      </c>
      <c r="V155" s="612"/>
      <c r="W155" s="612"/>
      <c r="X155" s="612"/>
      <c r="Y155" s="612"/>
      <c r="Z155" s="612"/>
      <c r="AA155" s="612"/>
      <c r="AB155" s="612"/>
      <c r="AC155" s="612"/>
    </row>
    <row r="156" spans="1:29">
      <c r="A156" s="66" t="s">
        <v>1231</v>
      </c>
      <c r="B156" s="60"/>
      <c r="C156" s="54" t="s">
        <v>168</v>
      </c>
      <c r="D156" s="435" t="str">
        <f>IFERROR(VLOOKUP(C156,Mychart!$A$125:$B$811,2,FALSE),"-")</f>
        <v>UTS Carrier</v>
      </c>
      <c r="E156" s="676" t="s">
        <v>238</v>
      </c>
      <c r="F156" s="58">
        <v>2</v>
      </c>
      <c r="G156" s="58"/>
      <c r="H156" s="58"/>
      <c r="I156" s="58"/>
      <c r="J156" s="137"/>
      <c r="K156" s="56" t="s">
        <v>1232</v>
      </c>
      <c r="L156" s="292">
        <v>251</v>
      </c>
      <c r="M156" s="292"/>
      <c r="N156" s="358"/>
      <c r="O156" s="292"/>
      <c r="P156" s="292"/>
      <c r="Q156" s="614">
        <v>0</v>
      </c>
      <c r="R156" s="913">
        <f t="shared" si="12"/>
        <v>0</v>
      </c>
      <c r="S156" s="913">
        <f t="shared" si="13"/>
        <v>0</v>
      </c>
      <c r="T156" s="913">
        <f t="shared" si="14"/>
        <v>0</v>
      </c>
      <c r="U156" s="914">
        <f t="shared" si="15"/>
        <v>2</v>
      </c>
      <c r="V156" s="612"/>
      <c r="W156" s="612"/>
      <c r="X156" s="612"/>
      <c r="Y156" s="612"/>
      <c r="Z156" s="612"/>
      <c r="AA156" s="612"/>
      <c r="AB156" s="612"/>
      <c r="AC156" s="612"/>
    </row>
    <row r="157" spans="1:29">
      <c r="A157" s="66" t="s">
        <v>1231</v>
      </c>
      <c r="B157" s="60"/>
      <c r="C157" s="54" t="s">
        <v>168</v>
      </c>
      <c r="D157" s="435" t="str">
        <f>IFERROR(VLOOKUP(C157,Mychart!$A$125:$B$811,2,FALSE),"-")</f>
        <v>UTS Carrier</v>
      </c>
      <c r="E157" s="676" t="s">
        <v>239</v>
      </c>
      <c r="F157" s="58">
        <v>2</v>
      </c>
      <c r="G157" s="58"/>
      <c r="H157" s="58"/>
      <c r="I157" s="58"/>
      <c r="J157" s="137"/>
      <c r="K157" s="56" t="s">
        <v>1232</v>
      </c>
      <c r="L157" s="292">
        <v>251</v>
      </c>
      <c r="M157" s="292"/>
      <c r="N157" s="358"/>
      <c r="O157" s="292"/>
      <c r="P157" s="292">
        <v>2</v>
      </c>
      <c r="Q157" s="614">
        <v>0</v>
      </c>
      <c r="R157" s="913">
        <f t="shared" si="12"/>
        <v>0</v>
      </c>
      <c r="S157" s="913">
        <f t="shared" si="13"/>
        <v>0</v>
      </c>
      <c r="T157" s="913">
        <f t="shared" si="14"/>
        <v>0</v>
      </c>
      <c r="U157" s="914">
        <f t="shared" si="15"/>
        <v>0</v>
      </c>
      <c r="V157" s="612"/>
      <c r="W157" s="612"/>
      <c r="X157" s="612"/>
      <c r="Y157" s="612"/>
      <c r="Z157" s="612"/>
      <c r="AA157" s="612"/>
      <c r="AB157" s="612"/>
      <c r="AC157" s="612"/>
    </row>
    <row r="158" spans="1:29">
      <c r="A158" s="66" t="s">
        <v>1231</v>
      </c>
      <c r="B158" s="60"/>
      <c r="C158" s="54" t="s">
        <v>168</v>
      </c>
      <c r="D158" s="435" t="str">
        <f>IFERROR(VLOOKUP(C158,Mychart!$A$125:$B$811,2,FALSE),"-")</f>
        <v>UTS Carrier</v>
      </c>
      <c r="E158" s="676" t="s">
        <v>234</v>
      </c>
      <c r="F158" s="58">
        <v>1</v>
      </c>
      <c r="G158" s="58"/>
      <c r="H158" s="58"/>
      <c r="I158" s="58"/>
      <c r="J158" s="137"/>
      <c r="K158" s="56" t="s">
        <v>1232</v>
      </c>
      <c r="L158" s="292">
        <v>251</v>
      </c>
      <c r="M158" s="292"/>
      <c r="N158" s="358"/>
      <c r="O158" s="292"/>
      <c r="P158" s="292"/>
      <c r="Q158" s="614">
        <v>0</v>
      </c>
      <c r="R158" s="913">
        <f t="shared" si="12"/>
        <v>0</v>
      </c>
      <c r="S158" s="913">
        <f t="shared" si="13"/>
        <v>0</v>
      </c>
      <c r="T158" s="913">
        <f t="shared" si="14"/>
        <v>0</v>
      </c>
      <c r="U158" s="914">
        <f t="shared" si="15"/>
        <v>1</v>
      </c>
      <c r="V158" s="612"/>
      <c r="W158" s="612"/>
      <c r="X158" s="612"/>
      <c r="Y158" s="612"/>
      <c r="Z158" s="612"/>
      <c r="AA158" s="612"/>
      <c r="AB158" s="612"/>
      <c r="AC158" s="612"/>
    </row>
    <row r="159" spans="1:29">
      <c r="A159" s="66" t="s">
        <v>1231</v>
      </c>
      <c r="B159" s="60"/>
      <c r="C159" s="54" t="s">
        <v>168</v>
      </c>
      <c r="D159" s="435" t="str">
        <f>IFERROR(VLOOKUP(C159,Mychart!$A$125:$B$811,2,FALSE),"-")</f>
        <v>UTS Carrier</v>
      </c>
      <c r="E159" s="676" t="s">
        <v>235</v>
      </c>
      <c r="F159" s="58">
        <v>1</v>
      </c>
      <c r="G159" s="58"/>
      <c r="H159" s="58"/>
      <c r="I159" s="58"/>
      <c r="J159" s="137"/>
      <c r="K159" s="56" t="s">
        <v>1232</v>
      </c>
      <c r="L159" s="292">
        <v>251</v>
      </c>
      <c r="M159" s="292"/>
      <c r="N159" s="358"/>
      <c r="O159" s="292"/>
      <c r="P159" s="292">
        <v>1</v>
      </c>
      <c r="Q159" s="614">
        <v>0</v>
      </c>
      <c r="R159" s="913">
        <f t="shared" si="12"/>
        <v>0</v>
      </c>
      <c r="S159" s="913">
        <f t="shared" si="13"/>
        <v>0</v>
      </c>
      <c r="T159" s="913">
        <f t="shared" si="14"/>
        <v>0</v>
      </c>
      <c r="U159" s="914">
        <f t="shared" si="15"/>
        <v>0</v>
      </c>
      <c r="V159" s="612"/>
      <c r="W159" s="612"/>
      <c r="X159" s="612"/>
      <c r="Y159" s="612"/>
      <c r="Z159" s="612"/>
      <c r="AA159" s="612"/>
      <c r="AB159" s="612"/>
      <c r="AC159" s="612"/>
    </row>
    <row r="160" spans="1:29">
      <c r="A160" s="66" t="s">
        <v>1231</v>
      </c>
      <c r="B160" s="60"/>
      <c r="C160" s="54" t="s">
        <v>168</v>
      </c>
      <c r="D160" s="435" t="str">
        <f>IFERROR(VLOOKUP(C160,Mychart!$A$125:$B$811,2,FALSE),"-")</f>
        <v>UTS Carrier</v>
      </c>
      <c r="E160" s="676" t="s">
        <v>232</v>
      </c>
      <c r="F160" s="58">
        <v>4</v>
      </c>
      <c r="G160" s="58"/>
      <c r="H160" s="58"/>
      <c r="I160" s="58"/>
      <c r="J160" s="137"/>
      <c r="K160" s="56" t="s">
        <v>1232</v>
      </c>
      <c r="L160" s="292">
        <v>251</v>
      </c>
      <c r="M160" s="292"/>
      <c r="N160" s="358"/>
      <c r="O160" s="292"/>
      <c r="P160" s="292"/>
      <c r="Q160" s="614">
        <v>0</v>
      </c>
      <c r="R160" s="913">
        <f t="shared" si="12"/>
        <v>0</v>
      </c>
      <c r="S160" s="913">
        <f t="shared" si="13"/>
        <v>0</v>
      </c>
      <c r="T160" s="913">
        <f t="shared" si="14"/>
        <v>0</v>
      </c>
      <c r="U160" s="914">
        <f t="shared" si="15"/>
        <v>4</v>
      </c>
      <c r="V160" s="612"/>
      <c r="W160" s="612"/>
      <c r="X160" s="612"/>
      <c r="Y160" s="612"/>
      <c r="Z160" s="612"/>
      <c r="AA160" s="612"/>
      <c r="AB160" s="612"/>
      <c r="AC160" s="612"/>
    </row>
    <row r="161" spans="1:29">
      <c r="A161" s="66" t="s">
        <v>1231</v>
      </c>
      <c r="B161" s="60"/>
      <c r="C161" s="54" t="s">
        <v>168</v>
      </c>
      <c r="D161" s="435" t="str">
        <f>IFERROR(VLOOKUP(C161,Mychart!$A$125:$B$811,2,FALSE),"-")</f>
        <v>UTS Carrier</v>
      </c>
      <c r="E161" s="676" t="s">
        <v>233</v>
      </c>
      <c r="F161" s="58">
        <v>4</v>
      </c>
      <c r="G161" s="58"/>
      <c r="H161" s="58"/>
      <c r="I161" s="58"/>
      <c r="J161" s="137"/>
      <c r="K161" s="56" t="s">
        <v>1232</v>
      </c>
      <c r="L161" s="292">
        <v>251</v>
      </c>
      <c r="M161" s="292"/>
      <c r="N161" s="358"/>
      <c r="O161" s="292"/>
      <c r="P161" s="292">
        <v>4</v>
      </c>
      <c r="Q161" s="614">
        <v>0</v>
      </c>
      <c r="R161" s="913">
        <f t="shared" si="12"/>
        <v>0</v>
      </c>
      <c r="S161" s="913">
        <f t="shared" si="13"/>
        <v>0</v>
      </c>
      <c r="T161" s="913">
        <f t="shared" si="14"/>
        <v>0</v>
      </c>
      <c r="U161" s="914">
        <f t="shared" si="15"/>
        <v>0</v>
      </c>
      <c r="V161" s="612"/>
      <c r="W161" s="612"/>
      <c r="X161" s="612"/>
      <c r="Y161" s="612"/>
      <c r="Z161" s="612"/>
      <c r="AA161" s="612"/>
      <c r="AB161" s="612"/>
      <c r="AC161" s="612"/>
    </row>
    <row r="162" spans="1:29">
      <c r="A162" s="66" t="s">
        <v>1231</v>
      </c>
      <c r="B162" s="60"/>
      <c r="C162" s="54" t="s">
        <v>168</v>
      </c>
      <c r="D162" s="435" t="str">
        <f>IFERROR(VLOOKUP(C162,Mychart!$A$125:$B$811,2,FALSE),"-")</f>
        <v>UTS Carrier</v>
      </c>
      <c r="E162" s="676" t="s">
        <v>1099</v>
      </c>
      <c r="F162" s="58">
        <v>1</v>
      </c>
      <c r="G162" s="58"/>
      <c r="H162" s="58"/>
      <c r="I162" s="58"/>
      <c r="J162" s="137"/>
      <c r="K162" s="56" t="s">
        <v>1232</v>
      </c>
      <c r="L162" s="292">
        <v>251</v>
      </c>
      <c r="M162" s="292"/>
      <c r="N162" s="358"/>
      <c r="O162" s="292"/>
      <c r="P162" s="292"/>
      <c r="Q162" s="614">
        <v>0</v>
      </c>
      <c r="R162" s="913">
        <f t="shared" si="12"/>
        <v>0</v>
      </c>
      <c r="S162" s="913">
        <f t="shared" si="13"/>
        <v>0</v>
      </c>
      <c r="T162" s="913">
        <f t="shared" si="14"/>
        <v>0</v>
      </c>
      <c r="U162" s="914">
        <f t="shared" si="15"/>
        <v>1</v>
      </c>
      <c r="V162" s="612"/>
      <c r="W162" s="612"/>
      <c r="X162" s="612"/>
      <c r="Y162" s="612"/>
      <c r="Z162" s="612"/>
      <c r="AA162" s="612"/>
      <c r="AB162" s="612"/>
      <c r="AC162" s="612"/>
    </row>
    <row r="163" spans="1:29">
      <c r="A163" s="66" t="s">
        <v>1231</v>
      </c>
      <c r="B163" s="60"/>
      <c r="C163" s="54" t="s">
        <v>168</v>
      </c>
      <c r="D163" s="435" t="str">
        <f>IFERROR(VLOOKUP(C163,Mychart!$A$125:$B$811,2,FALSE),"-")</f>
        <v>UTS Carrier</v>
      </c>
      <c r="E163" s="676" t="s">
        <v>1100</v>
      </c>
      <c r="F163" s="58">
        <v>1</v>
      </c>
      <c r="G163" s="58"/>
      <c r="H163" s="58"/>
      <c r="I163" s="58"/>
      <c r="J163" s="137"/>
      <c r="K163" s="56" t="s">
        <v>1232</v>
      </c>
      <c r="L163" s="292">
        <v>251</v>
      </c>
      <c r="M163" s="292"/>
      <c r="N163" s="358"/>
      <c r="O163" s="292"/>
      <c r="P163" s="292"/>
      <c r="Q163" s="614">
        <v>0</v>
      </c>
      <c r="R163" s="913">
        <f t="shared" si="12"/>
        <v>0</v>
      </c>
      <c r="S163" s="913">
        <f t="shared" si="13"/>
        <v>0</v>
      </c>
      <c r="T163" s="913">
        <f t="shared" si="14"/>
        <v>0</v>
      </c>
      <c r="U163" s="914">
        <f t="shared" si="15"/>
        <v>1</v>
      </c>
      <c r="V163" s="612"/>
      <c r="W163" s="612"/>
      <c r="X163" s="612"/>
      <c r="Y163" s="612"/>
      <c r="Z163" s="612"/>
      <c r="AA163" s="612"/>
      <c r="AB163" s="612"/>
      <c r="AC163" s="612"/>
    </row>
    <row r="164" spans="1:29">
      <c r="A164" s="66" t="s">
        <v>1231</v>
      </c>
      <c r="B164" s="60"/>
      <c r="C164" s="54" t="s">
        <v>168</v>
      </c>
      <c r="D164" s="435" t="str">
        <f>IFERROR(VLOOKUP(C164,Mychart!$A$125:$B$811,2,FALSE),"-")</f>
        <v>UTS Carrier</v>
      </c>
      <c r="E164" s="676" t="s">
        <v>832</v>
      </c>
      <c r="F164" s="58">
        <v>2</v>
      </c>
      <c r="G164" s="58"/>
      <c r="H164" s="58"/>
      <c r="I164" s="58"/>
      <c r="J164" s="137"/>
      <c r="K164" s="56" t="s">
        <v>1232</v>
      </c>
      <c r="L164" s="292">
        <v>251</v>
      </c>
      <c r="M164" s="292"/>
      <c r="N164" s="358"/>
      <c r="O164" s="292"/>
      <c r="P164" s="292"/>
      <c r="Q164" s="614">
        <v>0</v>
      </c>
      <c r="R164" s="913">
        <f t="shared" si="12"/>
        <v>0</v>
      </c>
      <c r="S164" s="913">
        <f t="shared" si="13"/>
        <v>0</v>
      </c>
      <c r="T164" s="913">
        <f t="shared" si="14"/>
        <v>0</v>
      </c>
      <c r="U164" s="914">
        <f t="shared" si="15"/>
        <v>2</v>
      </c>
      <c r="V164" s="612"/>
      <c r="W164" s="612"/>
      <c r="X164" s="612"/>
      <c r="Y164" s="612"/>
      <c r="Z164" s="612"/>
      <c r="AA164" s="612"/>
      <c r="AB164" s="612"/>
      <c r="AC164" s="612"/>
    </row>
    <row r="165" spans="1:29">
      <c r="A165" s="66" t="s">
        <v>1231</v>
      </c>
      <c r="B165" s="60"/>
      <c r="C165" s="54" t="s">
        <v>168</v>
      </c>
      <c r="D165" s="435" t="str">
        <f>IFERROR(VLOOKUP(C165,Mychart!$A$125:$B$811,2,FALSE),"-")</f>
        <v>UTS Carrier</v>
      </c>
      <c r="E165" s="676" t="s">
        <v>833</v>
      </c>
      <c r="F165" s="58">
        <v>2</v>
      </c>
      <c r="G165" s="58"/>
      <c r="H165" s="58"/>
      <c r="I165" s="58"/>
      <c r="J165" s="137"/>
      <c r="K165" s="56" t="s">
        <v>1232</v>
      </c>
      <c r="L165" s="292">
        <v>251</v>
      </c>
      <c r="M165" s="292"/>
      <c r="N165" s="358"/>
      <c r="O165" s="292"/>
      <c r="P165" s="292"/>
      <c r="Q165" s="614">
        <v>0</v>
      </c>
      <c r="R165" s="913">
        <f t="shared" si="12"/>
        <v>0</v>
      </c>
      <c r="S165" s="913">
        <f t="shared" si="13"/>
        <v>0</v>
      </c>
      <c r="T165" s="913">
        <f t="shared" si="14"/>
        <v>0</v>
      </c>
      <c r="U165" s="914">
        <f t="shared" si="15"/>
        <v>2</v>
      </c>
      <c r="V165" s="612"/>
      <c r="W165" s="612"/>
      <c r="X165" s="612"/>
      <c r="Y165" s="612"/>
      <c r="Z165" s="612"/>
      <c r="AA165" s="612"/>
      <c r="AB165" s="612"/>
      <c r="AC165" s="612"/>
    </row>
    <row r="166" spans="1:29">
      <c r="A166" s="66" t="s">
        <v>1231</v>
      </c>
      <c r="B166" s="60"/>
      <c r="C166" s="54" t="s">
        <v>168</v>
      </c>
      <c r="D166" s="435" t="str">
        <f>IFERROR(VLOOKUP(C166,Mychart!$A$125:$B$811,2,FALSE),"-")</f>
        <v>UTS Carrier</v>
      </c>
      <c r="E166" s="676" t="s">
        <v>1081</v>
      </c>
      <c r="F166" s="58">
        <v>3</v>
      </c>
      <c r="G166" s="58"/>
      <c r="H166" s="58"/>
      <c r="I166" s="58"/>
      <c r="J166" s="137"/>
      <c r="K166" s="56" t="s">
        <v>1232</v>
      </c>
      <c r="L166" s="292">
        <v>251</v>
      </c>
      <c r="M166" s="292"/>
      <c r="N166" s="358"/>
      <c r="O166" s="292"/>
      <c r="P166" s="292"/>
      <c r="Q166" s="614">
        <v>0</v>
      </c>
      <c r="R166" s="913">
        <f t="shared" si="12"/>
        <v>0</v>
      </c>
      <c r="S166" s="913">
        <f t="shared" si="13"/>
        <v>0</v>
      </c>
      <c r="T166" s="913">
        <f t="shared" si="14"/>
        <v>0</v>
      </c>
      <c r="U166" s="914">
        <f t="shared" si="15"/>
        <v>3</v>
      </c>
      <c r="V166" s="612"/>
      <c r="W166" s="612"/>
      <c r="X166" s="612"/>
      <c r="Y166" s="612"/>
      <c r="Z166" s="612"/>
      <c r="AA166" s="612"/>
      <c r="AB166" s="612"/>
      <c r="AC166" s="612"/>
    </row>
    <row r="167" spans="1:29">
      <c r="A167" s="66" t="s">
        <v>1231</v>
      </c>
      <c r="B167" s="60"/>
      <c r="C167" s="54" t="s">
        <v>168</v>
      </c>
      <c r="D167" s="435" t="str">
        <f>IFERROR(VLOOKUP(C167,Mychart!$A$125:$B$811,2,FALSE),"-")</f>
        <v>UTS Carrier</v>
      </c>
      <c r="E167" s="676" t="s">
        <v>1082</v>
      </c>
      <c r="F167" s="58">
        <v>3</v>
      </c>
      <c r="G167" s="58"/>
      <c r="H167" s="58"/>
      <c r="I167" s="58"/>
      <c r="J167" s="137"/>
      <c r="K167" s="56" t="s">
        <v>1232</v>
      </c>
      <c r="L167" s="292">
        <v>251</v>
      </c>
      <c r="M167" s="292"/>
      <c r="N167" s="358"/>
      <c r="O167" s="292"/>
      <c r="P167" s="292"/>
      <c r="Q167" s="614">
        <v>0</v>
      </c>
      <c r="R167" s="913">
        <f t="shared" si="12"/>
        <v>0</v>
      </c>
      <c r="S167" s="913">
        <f t="shared" si="13"/>
        <v>0</v>
      </c>
      <c r="T167" s="913">
        <f t="shared" si="14"/>
        <v>0</v>
      </c>
      <c r="U167" s="914">
        <f t="shared" si="15"/>
        <v>3</v>
      </c>
      <c r="V167" s="612"/>
      <c r="W167" s="612"/>
      <c r="X167" s="612"/>
      <c r="Y167" s="612"/>
      <c r="Z167" s="612"/>
      <c r="AA167" s="612"/>
      <c r="AB167" s="612"/>
      <c r="AC167" s="612"/>
    </row>
    <row r="168" spans="1:29">
      <c r="A168" s="66" t="s">
        <v>1231</v>
      </c>
      <c r="B168" s="60"/>
      <c r="C168" s="54" t="s">
        <v>168</v>
      </c>
      <c r="D168" s="435" t="str">
        <f>IFERROR(VLOOKUP(C168,Mychart!$A$125:$B$811,2,FALSE),"-")</f>
        <v>UTS Carrier</v>
      </c>
      <c r="E168" s="676"/>
      <c r="F168" s="58"/>
      <c r="G168" s="58"/>
      <c r="H168" s="58"/>
      <c r="I168" s="58"/>
      <c r="J168" s="137"/>
      <c r="K168" s="56" t="s">
        <v>1232</v>
      </c>
      <c r="L168" s="292">
        <v>251</v>
      </c>
      <c r="M168" s="292"/>
      <c r="N168" s="358">
        <v>32776</v>
      </c>
      <c r="O168" s="292">
        <v>32776</v>
      </c>
      <c r="P168" s="292"/>
      <c r="Q168" s="614">
        <v>97335</v>
      </c>
      <c r="R168" s="913">
        <f t="shared" si="12"/>
        <v>0</v>
      </c>
      <c r="S168" s="913">
        <f t="shared" si="13"/>
        <v>64559</v>
      </c>
      <c r="T168" s="913">
        <f t="shared" si="14"/>
        <v>64559</v>
      </c>
      <c r="U168" s="914">
        <f t="shared" si="15"/>
        <v>0</v>
      </c>
      <c r="V168" s="612"/>
      <c r="W168" s="612"/>
      <c r="X168" s="612"/>
      <c r="Y168" s="612"/>
      <c r="Z168" s="612"/>
      <c r="AA168" s="612"/>
      <c r="AB168" s="612"/>
      <c r="AC168" s="612"/>
    </row>
    <row r="169" spans="1:29">
      <c r="A169" s="66" t="s">
        <v>1299</v>
      </c>
      <c r="B169" s="60"/>
      <c r="C169" s="54" t="s">
        <v>168</v>
      </c>
      <c r="D169" s="435" t="str">
        <f>IFERROR(VLOOKUP(C169,Mychart!$A$125:$B$811,2,FALSE),"-")</f>
        <v>UTS Carrier</v>
      </c>
      <c r="E169" s="676" t="s">
        <v>1177</v>
      </c>
      <c r="F169" s="58">
        <v>3</v>
      </c>
      <c r="G169" s="58"/>
      <c r="H169" s="58"/>
      <c r="I169" s="58"/>
      <c r="J169" s="137"/>
      <c r="K169" s="56" t="s">
        <v>1233</v>
      </c>
      <c r="L169" s="292">
        <v>242</v>
      </c>
      <c r="M169" s="292"/>
      <c r="N169" s="358"/>
      <c r="O169" s="292"/>
      <c r="P169" s="292">
        <v>3</v>
      </c>
      <c r="Q169" s="614">
        <v>0</v>
      </c>
      <c r="R169" s="913">
        <f t="shared" si="12"/>
        <v>0</v>
      </c>
      <c r="S169" s="913">
        <f t="shared" si="13"/>
        <v>0</v>
      </c>
      <c r="T169" s="913">
        <f t="shared" si="14"/>
        <v>0</v>
      </c>
      <c r="U169" s="914">
        <f t="shared" si="15"/>
        <v>0</v>
      </c>
      <c r="V169" s="612"/>
      <c r="W169" s="612"/>
      <c r="X169" s="612"/>
      <c r="Y169" s="612"/>
      <c r="Z169" s="612"/>
      <c r="AA169" s="612"/>
      <c r="AB169" s="612"/>
      <c r="AC169" s="612"/>
    </row>
    <row r="170" spans="1:29">
      <c r="A170" s="66" t="s">
        <v>1299</v>
      </c>
      <c r="B170" s="60"/>
      <c r="C170" s="54" t="s">
        <v>168</v>
      </c>
      <c r="D170" s="435" t="str">
        <f>IFERROR(VLOOKUP(C170,Mychart!$A$125:$B$811,2,FALSE),"-")</f>
        <v>UTS Carrier</v>
      </c>
      <c r="E170" s="676" t="s">
        <v>237</v>
      </c>
      <c r="F170" s="58">
        <v>3</v>
      </c>
      <c r="G170" s="58"/>
      <c r="H170" s="58"/>
      <c r="I170" s="58"/>
      <c r="J170" s="137"/>
      <c r="K170" s="56" t="s">
        <v>1233</v>
      </c>
      <c r="L170" s="292">
        <v>242</v>
      </c>
      <c r="M170" s="292"/>
      <c r="N170" s="358"/>
      <c r="O170" s="292"/>
      <c r="P170" s="292">
        <v>3</v>
      </c>
      <c r="Q170" s="614">
        <v>0</v>
      </c>
      <c r="R170" s="913">
        <f t="shared" si="12"/>
        <v>0</v>
      </c>
      <c r="S170" s="913">
        <f t="shared" si="13"/>
        <v>0</v>
      </c>
      <c r="T170" s="913">
        <f t="shared" si="14"/>
        <v>0</v>
      </c>
      <c r="U170" s="914">
        <f t="shared" si="15"/>
        <v>0</v>
      </c>
      <c r="V170" s="612"/>
      <c r="W170" s="612"/>
      <c r="X170" s="612"/>
      <c r="Y170" s="612"/>
      <c r="Z170" s="612"/>
      <c r="AA170" s="612"/>
      <c r="AB170" s="612"/>
      <c r="AC170" s="612"/>
    </row>
    <row r="171" spans="1:29">
      <c r="A171" s="66" t="s">
        <v>1299</v>
      </c>
      <c r="B171" s="60"/>
      <c r="C171" s="54" t="s">
        <v>168</v>
      </c>
      <c r="D171" s="435" t="str">
        <f>IFERROR(VLOOKUP(C171,Mychart!$A$125:$B$811,2,FALSE),"-")</f>
        <v>UTS Carrier</v>
      </c>
      <c r="E171" s="676" t="s">
        <v>1200</v>
      </c>
      <c r="F171" s="58">
        <v>3</v>
      </c>
      <c r="G171" s="58"/>
      <c r="H171" s="58"/>
      <c r="I171" s="58"/>
      <c r="J171" s="137"/>
      <c r="K171" s="56" t="s">
        <v>1233</v>
      </c>
      <c r="L171" s="292">
        <v>242</v>
      </c>
      <c r="M171" s="292"/>
      <c r="N171" s="358"/>
      <c r="O171" s="292"/>
      <c r="P171" s="292">
        <v>3</v>
      </c>
      <c r="Q171" s="614">
        <v>0</v>
      </c>
      <c r="R171" s="913">
        <f t="shared" si="12"/>
        <v>0</v>
      </c>
      <c r="S171" s="913">
        <f t="shared" si="13"/>
        <v>0</v>
      </c>
      <c r="T171" s="913">
        <f t="shared" si="14"/>
        <v>0</v>
      </c>
      <c r="U171" s="914">
        <f t="shared" si="15"/>
        <v>0</v>
      </c>
      <c r="V171" s="612"/>
      <c r="W171" s="612"/>
      <c r="X171" s="612"/>
      <c r="Y171" s="612"/>
      <c r="Z171" s="612"/>
      <c r="AA171" s="612"/>
      <c r="AB171" s="612"/>
      <c r="AC171" s="612"/>
    </row>
    <row r="172" spans="1:29">
      <c r="A172" s="66" t="s">
        <v>1299</v>
      </c>
      <c r="B172" s="60"/>
      <c r="C172" s="54" t="s">
        <v>168</v>
      </c>
      <c r="D172" s="435" t="str">
        <f>IFERROR(VLOOKUP(C172,Mychart!$A$125:$B$811,2,FALSE),"-")</f>
        <v>UTS Carrier</v>
      </c>
      <c r="E172" s="676" t="s">
        <v>239</v>
      </c>
      <c r="F172" s="58">
        <v>3</v>
      </c>
      <c r="G172" s="58"/>
      <c r="H172" s="58"/>
      <c r="I172" s="58"/>
      <c r="J172" s="137"/>
      <c r="K172" s="56" t="s">
        <v>1233</v>
      </c>
      <c r="L172" s="292">
        <v>242</v>
      </c>
      <c r="M172" s="292"/>
      <c r="N172" s="358"/>
      <c r="O172" s="292"/>
      <c r="P172" s="292">
        <v>3</v>
      </c>
      <c r="Q172" s="614">
        <v>0</v>
      </c>
      <c r="R172" s="913">
        <f t="shared" si="12"/>
        <v>0</v>
      </c>
      <c r="S172" s="913">
        <f t="shared" si="13"/>
        <v>0</v>
      </c>
      <c r="T172" s="913">
        <f t="shared" si="14"/>
        <v>0</v>
      </c>
      <c r="U172" s="914">
        <f t="shared" si="15"/>
        <v>0</v>
      </c>
      <c r="V172" s="612"/>
      <c r="W172" s="612"/>
      <c r="X172" s="612"/>
      <c r="Y172" s="612"/>
      <c r="Z172" s="612"/>
      <c r="AA172" s="612"/>
      <c r="AB172" s="612"/>
      <c r="AC172" s="612"/>
    </row>
    <row r="173" spans="1:29">
      <c r="A173" s="66" t="s">
        <v>1299</v>
      </c>
      <c r="B173" s="60"/>
      <c r="C173" s="54" t="s">
        <v>168</v>
      </c>
      <c r="D173" s="435" t="str">
        <f>IFERROR(VLOOKUP(C173,Mychart!$A$125:$B$811,2,FALSE),"-")</f>
        <v>UTS Carrier</v>
      </c>
      <c r="E173" s="676" t="s">
        <v>1183</v>
      </c>
      <c r="F173" s="58">
        <v>4</v>
      </c>
      <c r="G173" s="58"/>
      <c r="H173" s="58"/>
      <c r="I173" s="58"/>
      <c r="J173" s="137"/>
      <c r="K173" s="56" t="s">
        <v>1233</v>
      </c>
      <c r="L173" s="292">
        <v>242</v>
      </c>
      <c r="M173" s="292"/>
      <c r="N173" s="358"/>
      <c r="O173" s="292"/>
      <c r="P173" s="292"/>
      <c r="Q173" s="614">
        <v>0</v>
      </c>
      <c r="R173" s="913">
        <f t="shared" si="12"/>
        <v>0</v>
      </c>
      <c r="S173" s="913">
        <f t="shared" si="13"/>
        <v>0</v>
      </c>
      <c r="T173" s="913">
        <f t="shared" si="14"/>
        <v>0</v>
      </c>
      <c r="U173" s="914">
        <f t="shared" si="15"/>
        <v>4</v>
      </c>
      <c r="V173" s="612"/>
      <c r="W173" s="612"/>
      <c r="X173" s="612"/>
      <c r="Y173" s="612"/>
      <c r="Z173" s="612"/>
      <c r="AA173" s="612"/>
      <c r="AB173" s="612"/>
      <c r="AC173" s="612"/>
    </row>
    <row r="174" spans="1:29">
      <c r="A174" s="66" t="s">
        <v>1299</v>
      </c>
      <c r="B174" s="60"/>
      <c r="C174" s="54" t="s">
        <v>168</v>
      </c>
      <c r="D174" s="435" t="str">
        <f>IFERROR(VLOOKUP(C174,Mychart!$A$125:$B$811,2,FALSE),"-")</f>
        <v>UTS Carrier</v>
      </c>
      <c r="E174" s="676" t="s">
        <v>235</v>
      </c>
      <c r="F174" s="58">
        <v>4</v>
      </c>
      <c r="G174" s="58"/>
      <c r="H174" s="58"/>
      <c r="I174" s="58"/>
      <c r="J174" s="137"/>
      <c r="K174" s="56" t="s">
        <v>1233</v>
      </c>
      <c r="L174" s="292">
        <v>242</v>
      </c>
      <c r="M174" s="292"/>
      <c r="N174" s="358"/>
      <c r="O174" s="292"/>
      <c r="P174" s="292">
        <v>4</v>
      </c>
      <c r="Q174" s="614">
        <v>0</v>
      </c>
      <c r="R174" s="913">
        <f t="shared" si="12"/>
        <v>0</v>
      </c>
      <c r="S174" s="913">
        <f t="shared" si="13"/>
        <v>0</v>
      </c>
      <c r="T174" s="913">
        <f t="shared" si="14"/>
        <v>0</v>
      </c>
      <c r="U174" s="914">
        <f t="shared" si="15"/>
        <v>0</v>
      </c>
      <c r="V174" s="612"/>
      <c r="W174" s="612"/>
      <c r="X174" s="612"/>
      <c r="Y174" s="612"/>
      <c r="Z174" s="612"/>
      <c r="AA174" s="612"/>
      <c r="AB174" s="612"/>
      <c r="AC174" s="612"/>
    </row>
    <row r="175" spans="1:29">
      <c r="A175" s="66" t="s">
        <v>1299</v>
      </c>
      <c r="B175" s="60"/>
      <c r="C175" s="54" t="s">
        <v>168</v>
      </c>
      <c r="D175" s="435" t="str">
        <f>IFERROR(VLOOKUP(C175,Mychart!$A$125:$B$811,2,FALSE),"-")</f>
        <v>UTS Carrier</v>
      </c>
      <c r="E175" s="676" t="s">
        <v>1185</v>
      </c>
      <c r="F175" s="58">
        <v>3</v>
      </c>
      <c r="G175" s="58"/>
      <c r="H175" s="58"/>
      <c r="I175" s="58"/>
      <c r="J175" s="137"/>
      <c r="K175" s="56" t="s">
        <v>1233</v>
      </c>
      <c r="L175" s="292">
        <v>242</v>
      </c>
      <c r="M175" s="292"/>
      <c r="N175" s="358"/>
      <c r="O175" s="292"/>
      <c r="P175" s="292">
        <v>3</v>
      </c>
      <c r="Q175" s="614">
        <v>0</v>
      </c>
      <c r="R175" s="913">
        <f t="shared" si="12"/>
        <v>0</v>
      </c>
      <c r="S175" s="913">
        <f t="shared" si="13"/>
        <v>0</v>
      </c>
      <c r="T175" s="913">
        <f t="shared" si="14"/>
        <v>0</v>
      </c>
      <c r="U175" s="914">
        <f t="shared" si="15"/>
        <v>0</v>
      </c>
      <c r="V175" s="612"/>
      <c r="W175" s="612"/>
      <c r="X175" s="612"/>
      <c r="Y175" s="612"/>
      <c r="Z175" s="612"/>
      <c r="AA175" s="612"/>
      <c r="AB175" s="612"/>
      <c r="AC175" s="612"/>
    </row>
    <row r="176" spans="1:29">
      <c r="A176" s="66" t="s">
        <v>1299</v>
      </c>
      <c r="B176" s="60"/>
      <c r="C176" s="54" t="s">
        <v>168</v>
      </c>
      <c r="D176" s="435" t="str">
        <f>IFERROR(VLOOKUP(C176,Mychart!$A$125:$B$811,2,FALSE),"-")</f>
        <v>UTS Carrier</v>
      </c>
      <c r="E176" s="676" t="s">
        <v>233</v>
      </c>
      <c r="F176" s="58">
        <v>3</v>
      </c>
      <c r="G176" s="58"/>
      <c r="H176" s="58"/>
      <c r="I176" s="58"/>
      <c r="J176" s="137"/>
      <c r="K176" s="56" t="s">
        <v>1233</v>
      </c>
      <c r="L176" s="292">
        <v>242</v>
      </c>
      <c r="M176" s="292"/>
      <c r="N176" s="358"/>
      <c r="O176" s="292"/>
      <c r="P176" s="292">
        <v>3</v>
      </c>
      <c r="Q176" s="614">
        <v>0</v>
      </c>
      <c r="R176" s="913">
        <f t="shared" si="12"/>
        <v>0</v>
      </c>
      <c r="S176" s="913">
        <f t="shared" si="13"/>
        <v>0</v>
      </c>
      <c r="T176" s="913">
        <f t="shared" si="14"/>
        <v>0</v>
      </c>
      <c r="U176" s="914">
        <f t="shared" si="15"/>
        <v>0</v>
      </c>
      <c r="V176" s="612"/>
      <c r="W176" s="612"/>
      <c r="X176" s="612"/>
      <c r="Y176" s="612"/>
      <c r="Z176" s="612"/>
      <c r="AA176" s="612"/>
      <c r="AB176" s="612"/>
      <c r="AC176" s="612"/>
    </row>
    <row r="177" spans="1:29">
      <c r="A177" s="66" t="s">
        <v>1299</v>
      </c>
      <c r="B177" s="60"/>
      <c r="C177" s="54" t="s">
        <v>168</v>
      </c>
      <c r="D177" s="435" t="str">
        <f>IFERROR(VLOOKUP(C177,Mychart!$A$125:$B$811,2,FALSE),"-")</f>
        <v>UTS Carrier</v>
      </c>
      <c r="E177" s="676" t="s">
        <v>832</v>
      </c>
      <c r="F177" s="58">
        <v>4</v>
      </c>
      <c r="G177" s="58"/>
      <c r="H177" s="58"/>
      <c r="I177" s="58"/>
      <c r="J177" s="137"/>
      <c r="K177" s="56" t="s">
        <v>1233</v>
      </c>
      <c r="L177" s="292">
        <v>242</v>
      </c>
      <c r="M177" s="292"/>
      <c r="N177" s="358"/>
      <c r="O177" s="292"/>
      <c r="P177" s="292">
        <v>4</v>
      </c>
      <c r="Q177" s="614">
        <v>0</v>
      </c>
      <c r="R177" s="913">
        <f t="shared" si="12"/>
        <v>0</v>
      </c>
      <c r="S177" s="913">
        <f t="shared" si="13"/>
        <v>0</v>
      </c>
      <c r="T177" s="913">
        <f t="shared" si="14"/>
        <v>0</v>
      </c>
      <c r="U177" s="914">
        <f t="shared" si="15"/>
        <v>0</v>
      </c>
      <c r="V177" s="612"/>
      <c r="W177" s="612"/>
      <c r="X177" s="612"/>
      <c r="Y177" s="612"/>
      <c r="Z177" s="612"/>
      <c r="AA177" s="612"/>
      <c r="AB177" s="612"/>
      <c r="AC177" s="612"/>
    </row>
    <row r="178" spans="1:29">
      <c r="A178" s="66" t="s">
        <v>1299</v>
      </c>
      <c r="B178" s="60"/>
      <c r="C178" s="54" t="s">
        <v>168</v>
      </c>
      <c r="D178" s="435" t="str">
        <f>IFERROR(VLOOKUP(C178,Mychart!$A$125:$B$811,2,FALSE),"-")</f>
        <v>UTS Carrier</v>
      </c>
      <c r="E178" s="676" t="s">
        <v>833</v>
      </c>
      <c r="F178" s="58">
        <v>4</v>
      </c>
      <c r="G178" s="58"/>
      <c r="H178" s="58"/>
      <c r="I178" s="58"/>
      <c r="J178" s="137"/>
      <c r="K178" s="56" t="s">
        <v>1233</v>
      </c>
      <c r="L178" s="292">
        <v>242</v>
      </c>
      <c r="M178" s="292"/>
      <c r="N178" s="358"/>
      <c r="O178" s="292"/>
      <c r="P178" s="292">
        <v>4</v>
      </c>
      <c r="Q178" s="614">
        <v>0</v>
      </c>
      <c r="R178" s="913">
        <f t="shared" si="12"/>
        <v>0</v>
      </c>
      <c r="S178" s="913">
        <f t="shared" si="13"/>
        <v>0</v>
      </c>
      <c r="T178" s="913">
        <f t="shared" si="14"/>
        <v>0</v>
      </c>
      <c r="U178" s="914">
        <f t="shared" si="15"/>
        <v>0</v>
      </c>
      <c r="V178" s="612"/>
      <c r="W178" s="612"/>
      <c r="X178" s="612"/>
      <c r="Y178" s="612"/>
      <c r="Z178" s="612"/>
      <c r="AA178" s="612"/>
      <c r="AB178" s="612"/>
      <c r="AC178" s="612"/>
    </row>
    <row r="179" spans="1:29">
      <c r="A179" s="66" t="s">
        <v>1299</v>
      </c>
      <c r="B179" s="60"/>
      <c r="C179" s="54" t="s">
        <v>168</v>
      </c>
      <c r="D179" s="435" t="str">
        <f>IFERROR(VLOOKUP(C179,Mychart!$A$125:$B$811,2,FALSE),"-")</f>
        <v>UTS Carrier</v>
      </c>
      <c r="E179" s="676" t="s">
        <v>1300</v>
      </c>
      <c r="F179" s="58">
        <v>13</v>
      </c>
      <c r="G179" s="58"/>
      <c r="H179" s="58"/>
      <c r="I179" s="58"/>
      <c r="J179" s="137"/>
      <c r="K179" s="56" t="s">
        <v>1233</v>
      </c>
      <c r="L179" s="292">
        <v>242</v>
      </c>
      <c r="M179" s="292"/>
      <c r="N179" s="358"/>
      <c r="O179" s="292"/>
      <c r="P179" s="292"/>
      <c r="Q179" s="614">
        <v>0</v>
      </c>
      <c r="R179" s="913">
        <f t="shared" si="12"/>
        <v>0</v>
      </c>
      <c r="S179" s="913">
        <f t="shared" si="13"/>
        <v>0</v>
      </c>
      <c r="T179" s="913">
        <f t="shared" si="14"/>
        <v>0</v>
      </c>
      <c r="U179" s="914">
        <f t="shared" si="15"/>
        <v>13</v>
      </c>
      <c r="V179" s="612"/>
      <c r="W179" s="612"/>
      <c r="X179" s="612"/>
      <c r="Y179" s="612"/>
      <c r="Z179" s="612"/>
      <c r="AA179" s="612"/>
      <c r="AB179" s="612"/>
      <c r="AC179" s="612"/>
    </row>
    <row r="180" spans="1:29">
      <c r="A180" s="66" t="s">
        <v>1299</v>
      </c>
      <c r="B180" s="60"/>
      <c r="C180" s="54" t="s">
        <v>168</v>
      </c>
      <c r="D180" s="435" t="str">
        <f>IFERROR(VLOOKUP(C180,Mychart!$A$125:$B$811,2,FALSE),"-")</f>
        <v>UTS Carrier</v>
      </c>
      <c r="E180" s="676" t="s">
        <v>1203</v>
      </c>
      <c r="F180" s="58">
        <v>1</v>
      </c>
      <c r="G180" s="58"/>
      <c r="H180" s="58"/>
      <c r="I180" s="58"/>
      <c r="J180" s="137"/>
      <c r="K180" s="56" t="s">
        <v>1233</v>
      </c>
      <c r="L180" s="292">
        <v>242</v>
      </c>
      <c r="M180" s="292"/>
      <c r="N180" s="358"/>
      <c r="O180" s="292"/>
      <c r="P180" s="292">
        <v>1</v>
      </c>
      <c r="Q180" s="614">
        <v>0</v>
      </c>
      <c r="R180" s="913">
        <f t="shared" si="12"/>
        <v>0</v>
      </c>
      <c r="S180" s="913">
        <f t="shared" si="13"/>
        <v>0</v>
      </c>
      <c r="T180" s="913">
        <f t="shared" si="14"/>
        <v>0</v>
      </c>
      <c r="U180" s="914">
        <f t="shared" si="15"/>
        <v>0</v>
      </c>
      <c r="V180" s="612"/>
      <c r="W180" s="612"/>
      <c r="X180" s="612"/>
      <c r="Y180" s="612"/>
      <c r="Z180" s="612"/>
      <c r="AA180" s="612"/>
      <c r="AB180" s="612"/>
      <c r="AC180" s="612"/>
    </row>
    <row r="181" spans="1:29">
      <c r="A181" s="66" t="s">
        <v>1299</v>
      </c>
      <c r="B181" s="60"/>
      <c r="C181" s="54" t="s">
        <v>168</v>
      </c>
      <c r="D181" s="435" t="str">
        <f>IFERROR(VLOOKUP(C181,Mychart!$A$125:$B$811,2,FALSE),"-")</f>
        <v>UTS Carrier</v>
      </c>
      <c r="E181" s="676" t="s">
        <v>1204</v>
      </c>
      <c r="F181" s="58">
        <v>1</v>
      </c>
      <c r="G181" s="58"/>
      <c r="H181" s="58"/>
      <c r="I181" s="58"/>
      <c r="J181" s="137"/>
      <c r="K181" s="56" t="s">
        <v>1233</v>
      </c>
      <c r="L181" s="292">
        <v>242</v>
      </c>
      <c r="M181" s="292"/>
      <c r="N181" s="358"/>
      <c r="O181" s="292"/>
      <c r="P181" s="292">
        <v>1</v>
      </c>
      <c r="Q181" s="614">
        <v>0</v>
      </c>
      <c r="R181" s="913">
        <f t="shared" si="12"/>
        <v>0</v>
      </c>
      <c r="S181" s="913">
        <f t="shared" si="13"/>
        <v>0</v>
      </c>
      <c r="T181" s="913">
        <f t="shared" si="14"/>
        <v>0</v>
      </c>
      <c r="U181" s="914">
        <f t="shared" si="15"/>
        <v>0</v>
      </c>
      <c r="V181" s="612"/>
      <c r="W181" s="612"/>
      <c r="X181" s="612"/>
      <c r="Y181" s="612"/>
      <c r="Z181" s="612"/>
      <c r="AA181" s="612"/>
      <c r="AB181" s="612"/>
      <c r="AC181" s="612"/>
    </row>
    <row r="182" spans="1:29">
      <c r="A182" s="66" t="s">
        <v>1299</v>
      </c>
      <c r="B182" s="60"/>
      <c r="C182" s="54" t="s">
        <v>168</v>
      </c>
      <c r="D182" s="435" t="str">
        <f>IFERROR(VLOOKUP(C182,Mychart!$A$125:$B$811,2,FALSE),"-")</f>
        <v>UTS Carrier</v>
      </c>
      <c r="E182" s="676" t="s">
        <v>1301</v>
      </c>
      <c r="F182" s="58">
        <v>1</v>
      </c>
      <c r="G182" s="58"/>
      <c r="H182" s="58"/>
      <c r="I182" s="58"/>
      <c r="J182" s="137"/>
      <c r="K182" s="56" t="s">
        <v>1233</v>
      </c>
      <c r="L182" s="292">
        <v>242</v>
      </c>
      <c r="M182" s="292"/>
      <c r="N182" s="358"/>
      <c r="O182" s="292"/>
      <c r="P182" s="292">
        <v>1</v>
      </c>
      <c r="Q182" s="614">
        <v>0</v>
      </c>
      <c r="R182" s="913">
        <f t="shared" si="12"/>
        <v>0</v>
      </c>
      <c r="S182" s="913">
        <f t="shared" si="13"/>
        <v>0</v>
      </c>
      <c r="T182" s="913">
        <f t="shared" si="14"/>
        <v>0</v>
      </c>
      <c r="U182" s="914">
        <f t="shared" si="15"/>
        <v>0</v>
      </c>
      <c r="V182" s="612"/>
      <c r="W182" s="612"/>
      <c r="X182" s="612"/>
      <c r="Y182" s="612"/>
      <c r="Z182" s="612"/>
      <c r="AA182" s="612"/>
      <c r="AB182" s="612"/>
      <c r="AC182" s="612"/>
    </row>
    <row r="183" spans="1:29">
      <c r="A183" s="66" t="s">
        <v>1299</v>
      </c>
      <c r="B183" s="60"/>
      <c r="C183" s="54" t="s">
        <v>168</v>
      </c>
      <c r="D183" s="435" t="str">
        <f>IFERROR(VLOOKUP(C183,Mychart!$A$125:$B$811,2,FALSE),"-")</f>
        <v>UTS Carrier</v>
      </c>
      <c r="E183" s="676"/>
      <c r="F183" s="58"/>
      <c r="G183" s="58"/>
      <c r="H183" s="58"/>
      <c r="I183" s="58"/>
      <c r="J183" s="137"/>
      <c r="K183" s="56" t="s">
        <v>1233</v>
      </c>
      <c r="L183" s="292">
        <v>242</v>
      </c>
      <c r="M183" s="292" t="s">
        <v>1355</v>
      </c>
      <c r="N183" s="358">
        <v>90421</v>
      </c>
      <c r="O183" s="292">
        <v>90422</v>
      </c>
      <c r="P183" s="292"/>
      <c r="Q183" s="614">
        <v>109614.75</v>
      </c>
      <c r="R183" s="913">
        <f t="shared" si="12"/>
        <v>1</v>
      </c>
      <c r="S183" s="913">
        <f t="shared" si="13"/>
        <v>19193.75</v>
      </c>
      <c r="T183" s="913">
        <f t="shared" si="14"/>
        <v>19192.75</v>
      </c>
      <c r="U183" s="914">
        <f t="shared" si="15"/>
        <v>0</v>
      </c>
      <c r="V183" s="612"/>
      <c r="W183" s="612"/>
      <c r="X183" s="612"/>
      <c r="Y183" s="612"/>
      <c r="Z183" s="612"/>
      <c r="AA183" s="612"/>
      <c r="AB183" s="612"/>
      <c r="AC183" s="612"/>
    </row>
    <row r="184" spans="1:29">
      <c r="A184" s="66" t="s">
        <v>3021</v>
      </c>
      <c r="B184" s="60"/>
      <c r="C184" s="54" t="s">
        <v>168</v>
      </c>
      <c r="D184" s="435" t="str">
        <f>IFERROR(VLOOKUP(C184,Mychart!$A$125:$B$811,2,FALSE),"-")</f>
        <v>UTS Carrier</v>
      </c>
      <c r="E184" s="676" t="s">
        <v>236</v>
      </c>
      <c r="F184" s="58">
        <v>2</v>
      </c>
      <c r="G184" s="58"/>
      <c r="H184" s="58"/>
      <c r="I184" s="58"/>
      <c r="J184" s="137"/>
      <c r="K184" s="56" t="s">
        <v>1235</v>
      </c>
      <c r="L184" s="292">
        <v>249</v>
      </c>
      <c r="M184" s="292"/>
      <c r="N184" s="358"/>
      <c r="O184" s="292"/>
      <c r="P184" s="292">
        <v>2</v>
      </c>
      <c r="Q184" s="614">
        <v>0</v>
      </c>
      <c r="R184" s="913">
        <f t="shared" si="12"/>
        <v>0</v>
      </c>
      <c r="S184" s="913">
        <f t="shared" si="13"/>
        <v>0</v>
      </c>
      <c r="T184" s="913">
        <f t="shared" si="14"/>
        <v>0</v>
      </c>
      <c r="U184" s="914">
        <f t="shared" si="15"/>
        <v>0</v>
      </c>
      <c r="V184" s="612"/>
      <c r="W184" s="612"/>
      <c r="X184" s="612"/>
      <c r="Y184" s="612"/>
      <c r="Z184" s="612"/>
      <c r="AA184" s="612"/>
      <c r="AB184" s="612"/>
      <c r="AC184" s="612"/>
    </row>
    <row r="185" spans="1:29">
      <c r="A185" s="66" t="s">
        <v>3021</v>
      </c>
      <c r="B185" s="60"/>
      <c r="C185" s="54" t="s">
        <v>168</v>
      </c>
      <c r="D185" s="435" t="str">
        <f>IFERROR(VLOOKUP(C185,Mychart!$A$125:$B$811,2,FALSE),"-")</f>
        <v>UTS Carrier</v>
      </c>
      <c r="E185" s="676" t="s">
        <v>237</v>
      </c>
      <c r="F185" s="58">
        <v>2</v>
      </c>
      <c r="G185" s="58"/>
      <c r="H185" s="58"/>
      <c r="I185" s="58"/>
      <c r="J185" s="137"/>
      <c r="K185" s="56" t="s">
        <v>1235</v>
      </c>
      <c r="L185" s="292">
        <v>249</v>
      </c>
      <c r="M185" s="292"/>
      <c r="N185" s="358"/>
      <c r="O185" s="292"/>
      <c r="P185" s="292">
        <v>2</v>
      </c>
      <c r="Q185" s="614">
        <v>0</v>
      </c>
      <c r="R185" s="913">
        <f t="shared" si="12"/>
        <v>0</v>
      </c>
      <c r="S185" s="913">
        <f t="shared" si="13"/>
        <v>0</v>
      </c>
      <c r="T185" s="913">
        <f t="shared" si="14"/>
        <v>0</v>
      </c>
      <c r="U185" s="914">
        <f t="shared" si="15"/>
        <v>0</v>
      </c>
      <c r="V185" s="612"/>
      <c r="W185" s="612"/>
      <c r="X185" s="612"/>
      <c r="Y185" s="612"/>
      <c r="Z185" s="612"/>
      <c r="AA185" s="612"/>
      <c r="AB185" s="612"/>
      <c r="AC185" s="612"/>
    </row>
    <row r="186" spans="1:29">
      <c r="A186" s="66" t="s">
        <v>3021</v>
      </c>
      <c r="B186" s="60"/>
      <c r="C186" s="54" t="s">
        <v>168</v>
      </c>
      <c r="D186" s="435" t="str">
        <f>IFERROR(VLOOKUP(C186,Mychart!$A$125:$B$811,2,FALSE),"-")</f>
        <v>UTS Carrier</v>
      </c>
      <c r="E186" s="676" t="s">
        <v>827</v>
      </c>
      <c r="F186" s="58">
        <v>1</v>
      </c>
      <c r="G186" s="58"/>
      <c r="H186" s="58"/>
      <c r="I186" s="58"/>
      <c r="J186" s="137"/>
      <c r="K186" s="56" t="s">
        <v>1235</v>
      </c>
      <c r="L186" s="292">
        <v>249</v>
      </c>
      <c r="M186" s="292"/>
      <c r="N186" s="358"/>
      <c r="O186" s="292"/>
      <c r="P186" s="292">
        <v>1</v>
      </c>
      <c r="Q186" s="614">
        <v>0</v>
      </c>
      <c r="R186" s="913">
        <f t="shared" si="12"/>
        <v>0</v>
      </c>
      <c r="S186" s="913">
        <f t="shared" si="13"/>
        <v>0</v>
      </c>
      <c r="T186" s="913">
        <f t="shared" si="14"/>
        <v>0</v>
      </c>
      <c r="U186" s="914">
        <f t="shared" si="15"/>
        <v>0</v>
      </c>
      <c r="V186" s="612"/>
      <c r="W186" s="612"/>
      <c r="X186" s="612"/>
      <c r="Y186" s="612"/>
      <c r="Z186" s="612"/>
      <c r="AA186" s="612"/>
      <c r="AB186" s="612"/>
      <c r="AC186" s="612"/>
    </row>
    <row r="187" spans="1:29">
      <c r="A187" s="66" t="s">
        <v>3021</v>
      </c>
      <c r="B187" s="60"/>
      <c r="C187" s="54" t="s">
        <v>168</v>
      </c>
      <c r="D187" s="435" t="str">
        <f>IFERROR(VLOOKUP(C187,Mychart!$A$125:$B$811,2,FALSE),"-")</f>
        <v>UTS Carrier</v>
      </c>
      <c r="E187" s="676" t="s">
        <v>828</v>
      </c>
      <c r="F187" s="58">
        <v>1</v>
      </c>
      <c r="G187" s="58"/>
      <c r="H187" s="58"/>
      <c r="I187" s="58"/>
      <c r="J187" s="137"/>
      <c r="K187" s="56" t="s">
        <v>1235</v>
      </c>
      <c r="L187" s="292">
        <v>249</v>
      </c>
      <c r="M187" s="292"/>
      <c r="N187" s="358"/>
      <c r="O187" s="292"/>
      <c r="P187" s="292">
        <v>1</v>
      </c>
      <c r="Q187" s="614">
        <v>0</v>
      </c>
      <c r="R187" s="913">
        <f t="shared" si="12"/>
        <v>0</v>
      </c>
      <c r="S187" s="913">
        <f t="shared" si="13"/>
        <v>0</v>
      </c>
      <c r="T187" s="913">
        <f t="shared" si="14"/>
        <v>0</v>
      </c>
      <c r="U187" s="914">
        <f t="shared" si="15"/>
        <v>0</v>
      </c>
      <c r="V187" s="612"/>
      <c r="W187" s="612"/>
      <c r="X187" s="612"/>
      <c r="Y187" s="612"/>
      <c r="Z187" s="612"/>
      <c r="AA187" s="612"/>
      <c r="AB187" s="612"/>
      <c r="AC187" s="612"/>
    </row>
    <row r="188" spans="1:29">
      <c r="A188" s="66" t="s">
        <v>3021</v>
      </c>
      <c r="B188" s="60"/>
      <c r="C188" s="54" t="s">
        <v>168</v>
      </c>
      <c r="D188" s="435" t="str">
        <f>IFERROR(VLOOKUP(C188,Mychart!$A$125:$B$811,2,FALSE),"-")</f>
        <v>UTS Carrier</v>
      </c>
      <c r="E188" s="676" t="s">
        <v>238</v>
      </c>
      <c r="F188" s="58">
        <v>1</v>
      </c>
      <c r="G188" s="58"/>
      <c r="H188" s="58"/>
      <c r="I188" s="58"/>
      <c r="J188" s="137"/>
      <c r="K188" s="56" t="s">
        <v>1235</v>
      </c>
      <c r="L188" s="292">
        <v>249</v>
      </c>
      <c r="M188" s="292"/>
      <c r="N188" s="358"/>
      <c r="O188" s="292"/>
      <c r="P188" s="292">
        <v>1</v>
      </c>
      <c r="Q188" s="614">
        <v>0</v>
      </c>
      <c r="R188" s="913">
        <f t="shared" si="12"/>
        <v>0</v>
      </c>
      <c r="S188" s="913">
        <f t="shared" si="13"/>
        <v>0</v>
      </c>
      <c r="T188" s="913">
        <f t="shared" si="14"/>
        <v>0</v>
      </c>
      <c r="U188" s="914">
        <f t="shared" si="15"/>
        <v>0</v>
      </c>
      <c r="V188" s="612"/>
      <c r="W188" s="612"/>
      <c r="X188" s="612"/>
      <c r="Y188" s="612"/>
      <c r="Z188" s="612"/>
      <c r="AA188" s="612"/>
      <c r="AB188" s="612"/>
      <c r="AC188" s="612"/>
    </row>
    <row r="189" spans="1:29">
      <c r="A189" s="66" t="s">
        <v>3021</v>
      </c>
      <c r="B189" s="60"/>
      <c r="C189" s="54" t="s">
        <v>168</v>
      </c>
      <c r="D189" s="435" t="str">
        <f>IFERROR(VLOOKUP(C189,Mychart!$A$125:$B$811,2,FALSE),"-")</f>
        <v>UTS Carrier</v>
      </c>
      <c r="E189" s="676" t="s">
        <v>239</v>
      </c>
      <c r="F189" s="58">
        <v>1</v>
      </c>
      <c r="G189" s="58"/>
      <c r="H189" s="58"/>
      <c r="I189" s="58"/>
      <c r="J189" s="137"/>
      <c r="K189" s="56" t="s">
        <v>1235</v>
      </c>
      <c r="L189" s="292">
        <v>249</v>
      </c>
      <c r="M189" s="292"/>
      <c r="N189" s="358"/>
      <c r="O189" s="292"/>
      <c r="P189" s="292">
        <v>1</v>
      </c>
      <c r="Q189" s="614">
        <v>0</v>
      </c>
      <c r="R189" s="913">
        <f t="shared" si="12"/>
        <v>0</v>
      </c>
      <c r="S189" s="913">
        <f t="shared" si="13"/>
        <v>0</v>
      </c>
      <c r="T189" s="913">
        <f t="shared" si="14"/>
        <v>0</v>
      </c>
      <c r="U189" s="914">
        <f t="shared" si="15"/>
        <v>0</v>
      </c>
      <c r="V189" s="612"/>
      <c r="W189" s="612"/>
      <c r="X189" s="612"/>
      <c r="Y189" s="612"/>
      <c r="Z189" s="612"/>
      <c r="AA189" s="612"/>
      <c r="AB189" s="612"/>
      <c r="AC189" s="612"/>
    </row>
    <row r="190" spans="1:29">
      <c r="A190" s="66" t="s">
        <v>3021</v>
      </c>
      <c r="B190" s="60"/>
      <c r="C190" s="54" t="s">
        <v>168</v>
      </c>
      <c r="D190" s="435" t="str">
        <f>IFERROR(VLOOKUP(C190,Mychart!$A$125:$B$811,2,FALSE),"-")</f>
        <v>UTS Carrier</v>
      </c>
      <c r="E190" s="676" t="s">
        <v>232</v>
      </c>
      <c r="F190" s="58">
        <v>13</v>
      </c>
      <c r="G190" s="58"/>
      <c r="H190" s="58"/>
      <c r="I190" s="58"/>
      <c r="J190" s="137"/>
      <c r="K190" s="56" t="s">
        <v>1235</v>
      </c>
      <c r="L190" s="292">
        <v>249</v>
      </c>
      <c r="M190" s="292"/>
      <c r="N190" s="358"/>
      <c r="O190" s="292"/>
      <c r="P190" s="292">
        <v>13</v>
      </c>
      <c r="Q190" s="614">
        <v>0</v>
      </c>
      <c r="R190" s="913">
        <f t="shared" si="12"/>
        <v>0</v>
      </c>
      <c r="S190" s="913">
        <f t="shared" si="13"/>
        <v>0</v>
      </c>
      <c r="T190" s="913">
        <f t="shared" si="14"/>
        <v>0</v>
      </c>
      <c r="U190" s="914">
        <f t="shared" si="15"/>
        <v>0</v>
      </c>
      <c r="V190" s="612"/>
      <c r="W190" s="612"/>
      <c r="X190" s="612"/>
      <c r="Y190" s="612"/>
      <c r="Z190" s="612"/>
      <c r="AA190" s="612"/>
      <c r="AB190" s="612"/>
      <c r="AC190" s="612"/>
    </row>
    <row r="191" spans="1:29">
      <c r="A191" s="66" t="s">
        <v>3021</v>
      </c>
      <c r="B191" s="60"/>
      <c r="C191" s="54" t="s">
        <v>168</v>
      </c>
      <c r="D191" s="435" t="str">
        <f>IFERROR(VLOOKUP(C191,Mychart!$A$125:$B$811,2,FALSE),"-")</f>
        <v>UTS Carrier</v>
      </c>
      <c r="E191" s="676" t="s">
        <v>233</v>
      </c>
      <c r="F191" s="58">
        <v>13</v>
      </c>
      <c r="G191" s="58"/>
      <c r="H191" s="58"/>
      <c r="I191" s="58"/>
      <c r="J191" s="137"/>
      <c r="K191" s="56" t="s">
        <v>1235</v>
      </c>
      <c r="L191" s="292">
        <v>249</v>
      </c>
      <c r="M191" s="292"/>
      <c r="N191" s="358"/>
      <c r="O191" s="292"/>
      <c r="P191" s="292">
        <v>13</v>
      </c>
      <c r="Q191" s="614">
        <v>0</v>
      </c>
      <c r="R191" s="913">
        <f t="shared" si="12"/>
        <v>0</v>
      </c>
      <c r="S191" s="913">
        <f t="shared" si="13"/>
        <v>0</v>
      </c>
      <c r="T191" s="913">
        <f t="shared" si="14"/>
        <v>0</v>
      </c>
      <c r="U191" s="914">
        <f t="shared" si="15"/>
        <v>0</v>
      </c>
      <c r="V191" s="612"/>
      <c r="W191" s="612"/>
      <c r="X191" s="612"/>
      <c r="Y191" s="612"/>
      <c r="Z191" s="612"/>
      <c r="AA191" s="612"/>
      <c r="AB191" s="612"/>
      <c r="AC191" s="612"/>
    </row>
    <row r="192" spans="1:29">
      <c r="A192" s="66" t="s">
        <v>3021</v>
      </c>
      <c r="B192" s="60"/>
      <c r="C192" s="54" t="s">
        <v>168</v>
      </c>
      <c r="D192" s="435" t="str">
        <f>IFERROR(VLOOKUP(C192,Mychart!$A$125:$B$811,2,FALSE),"-")</f>
        <v>UTS Carrier</v>
      </c>
      <c r="E192" s="676" t="s">
        <v>1236</v>
      </c>
      <c r="F192" s="58">
        <v>17</v>
      </c>
      <c r="G192" s="58"/>
      <c r="H192" s="58"/>
      <c r="I192" s="58"/>
      <c r="J192" s="137"/>
      <c r="K192" s="56" t="s">
        <v>1235</v>
      </c>
      <c r="L192" s="292">
        <v>249</v>
      </c>
      <c r="M192" s="292"/>
      <c r="N192" s="358"/>
      <c r="O192" s="292"/>
      <c r="P192" s="292">
        <v>17</v>
      </c>
      <c r="Q192" s="614">
        <v>0</v>
      </c>
      <c r="R192" s="913">
        <f t="shared" si="12"/>
        <v>0</v>
      </c>
      <c r="S192" s="913">
        <f t="shared" si="13"/>
        <v>0</v>
      </c>
      <c r="T192" s="913">
        <f t="shared" si="14"/>
        <v>0</v>
      </c>
      <c r="U192" s="914">
        <f t="shared" si="15"/>
        <v>0</v>
      </c>
      <c r="V192" s="612"/>
      <c r="W192" s="612"/>
      <c r="X192" s="612"/>
      <c r="Y192" s="612"/>
      <c r="Z192" s="612"/>
      <c r="AA192" s="612"/>
      <c r="AB192" s="612"/>
      <c r="AC192" s="612"/>
    </row>
    <row r="193" spans="1:30">
      <c r="A193" s="66" t="s">
        <v>3021</v>
      </c>
      <c r="B193" s="60"/>
      <c r="C193" s="54" t="s">
        <v>168</v>
      </c>
      <c r="D193" s="435" t="str">
        <f>IFERROR(VLOOKUP(C193,Mychart!$A$125:$B$811,2,FALSE),"-")</f>
        <v>UTS Carrier</v>
      </c>
      <c r="E193" s="676"/>
      <c r="F193" s="58"/>
      <c r="G193" s="58"/>
      <c r="H193" s="58"/>
      <c r="I193" s="58"/>
      <c r="J193" s="137"/>
      <c r="K193" s="56" t="s">
        <v>1235</v>
      </c>
      <c r="L193" s="292">
        <v>249</v>
      </c>
      <c r="M193" s="292" t="s">
        <v>5227</v>
      </c>
      <c r="N193" s="358">
        <v>137938.75</v>
      </c>
      <c r="O193" s="292">
        <v>137938</v>
      </c>
      <c r="P193" s="292"/>
      <c r="Q193" s="614">
        <v>137938</v>
      </c>
      <c r="R193" s="913">
        <f t="shared" si="12"/>
        <v>-0.75</v>
      </c>
      <c r="S193" s="913">
        <f t="shared" si="13"/>
        <v>-0.75</v>
      </c>
      <c r="T193" s="913">
        <f t="shared" si="14"/>
        <v>0</v>
      </c>
      <c r="U193" s="914">
        <f t="shared" si="15"/>
        <v>0</v>
      </c>
      <c r="V193" s="612"/>
      <c r="W193" s="612"/>
      <c r="X193" s="612"/>
      <c r="Y193" s="612"/>
      <c r="Z193" s="612"/>
      <c r="AA193" s="612"/>
      <c r="AB193" s="612"/>
      <c r="AC193" s="612"/>
      <c r="AD193" s="930">
        <v>45593.618541666663</v>
      </c>
    </row>
    <row r="194" spans="1:30">
      <c r="A194" s="66" t="s">
        <v>1237</v>
      </c>
      <c r="B194" s="60"/>
      <c r="C194" s="54" t="s">
        <v>168</v>
      </c>
      <c r="D194" s="435" t="str">
        <f>IFERROR(VLOOKUP(C194,Mychart!$A$125:$B$811,2,FALSE),"-")</f>
        <v>UTS Carrier</v>
      </c>
      <c r="E194" s="676" t="s">
        <v>825</v>
      </c>
      <c r="F194" s="58">
        <v>1</v>
      </c>
      <c r="G194" s="58"/>
      <c r="H194" s="58"/>
      <c r="I194" s="58"/>
      <c r="J194" s="137"/>
      <c r="K194" s="56" t="s">
        <v>1238</v>
      </c>
      <c r="L194" s="292">
        <v>197</v>
      </c>
      <c r="M194" s="292"/>
      <c r="N194" s="358"/>
      <c r="O194" s="292"/>
      <c r="P194" s="292"/>
      <c r="Q194" s="614">
        <v>0</v>
      </c>
      <c r="R194" s="913">
        <f t="shared" si="12"/>
        <v>0</v>
      </c>
      <c r="S194" s="913">
        <f t="shared" si="13"/>
        <v>0</v>
      </c>
      <c r="T194" s="913">
        <f t="shared" si="14"/>
        <v>0</v>
      </c>
      <c r="U194" s="914">
        <f t="shared" si="15"/>
        <v>1</v>
      </c>
      <c r="V194" s="612"/>
      <c r="W194" s="612"/>
      <c r="X194" s="612"/>
      <c r="Y194" s="612"/>
      <c r="Z194" s="612"/>
      <c r="AA194" s="612"/>
      <c r="AB194" s="612"/>
      <c r="AC194" s="612"/>
    </row>
    <row r="195" spans="1:30">
      <c r="A195" s="66" t="s">
        <v>1237</v>
      </c>
      <c r="B195" s="60"/>
      <c r="C195" s="54" t="s">
        <v>168</v>
      </c>
      <c r="D195" s="435" t="str">
        <f>IFERROR(VLOOKUP(C195,Mychart!$A$125:$B$811,2,FALSE),"-")</f>
        <v>UTS Carrier</v>
      </c>
      <c r="E195" s="676" t="s">
        <v>826</v>
      </c>
      <c r="F195" s="58">
        <v>1</v>
      </c>
      <c r="G195" s="58"/>
      <c r="H195" s="58"/>
      <c r="I195" s="58"/>
      <c r="J195" s="137"/>
      <c r="K195" s="56" t="s">
        <v>1238</v>
      </c>
      <c r="L195" s="292">
        <v>197</v>
      </c>
      <c r="M195" s="292"/>
      <c r="N195" s="358"/>
      <c r="O195" s="292"/>
      <c r="P195" s="292">
        <v>1</v>
      </c>
      <c r="Q195" s="614">
        <v>0</v>
      </c>
      <c r="R195" s="913">
        <f t="shared" si="12"/>
        <v>0</v>
      </c>
      <c r="S195" s="913">
        <f t="shared" si="13"/>
        <v>0</v>
      </c>
      <c r="T195" s="913">
        <f t="shared" si="14"/>
        <v>0</v>
      </c>
      <c r="U195" s="914">
        <f t="shared" si="15"/>
        <v>0</v>
      </c>
      <c r="V195" s="612"/>
      <c r="W195" s="612"/>
      <c r="X195" s="612"/>
      <c r="Y195" s="612"/>
      <c r="Z195" s="612"/>
      <c r="AA195" s="612"/>
      <c r="AB195" s="612"/>
      <c r="AC195" s="612"/>
    </row>
    <row r="196" spans="1:30">
      <c r="A196" s="66" t="s">
        <v>1237</v>
      </c>
      <c r="B196" s="60"/>
      <c r="C196" s="54" t="s">
        <v>168</v>
      </c>
      <c r="D196" s="435" t="str">
        <f>IFERROR(VLOOKUP(C196,Mychart!$A$125:$B$811,2,FALSE),"-")</f>
        <v>UTS Carrier</v>
      </c>
      <c r="E196" s="676" t="s">
        <v>827</v>
      </c>
      <c r="F196" s="58">
        <v>4</v>
      </c>
      <c r="G196" s="58"/>
      <c r="H196" s="58"/>
      <c r="I196" s="58"/>
      <c r="J196" s="137"/>
      <c r="K196" s="56" t="s">
        <v>1238</v>
      </c>
      <c r="L196" s="292">
        <v>197</v>
      </c>
      <c r="M196" s="292"/>
      <c r="N196" s="358"/>
      <c r="O196" s="292"/>
      <c r="P196" s="292">
        <v>4</v>
      </c>
      <c r="Q196" s="614">
        <v>0</v>
      </c>
      <c r="R196" s="913">
        <f t="shared" si="12"/>
        <v>0</v>
      </c>
      <c r="S196" s="913">
        <f t="shared" si="13"/>
        <v>0</v>
      </c>
      <c r="T196" s="913">
        <f t="shared" si="14"/>
        <v>0</v>
      </c>
      <c r="U196" s="914">
        <f t="shared" si="15"/>
        <v>0</v>
      </c>
      <c r="V196" s="612"/>
      <c r="W196" s="612"/>
      <c r="X196" s="612"/>
      <c r="Y196" s="612"/>
      <c r="Z196" s="612"/>
      <c r="AA196" s="612"/>
      <c r="AB196" s="612"/>
      <c r="AC196" s="612"/>
    </row>
    <row r="197" spans="1:30">
      <c r="A197" s="66" t="s">
        <v>1237</v>
      </c>
      <c r="B197" s="60"/>
      <c r="C197" s="54" t="s">
        <v>168</v>
      </c>
      <c r="D197" s="435" t="str">
        <f>IFERROR(VLOOKUP(C197,Mychart!$A$125:$B$811,2,FALSE),"-")</f>
        <v>UTS Carrier</v>
      </c>
      <c r="E197" s="676" t="s">
        <v>828</v>
      </c>
      <c r="F197" s="58">
        <v>4</v>
      </c>
      <c r="G197" s="58"/>
      <c r="H197" s="58"/>
      <c r="I197" s="58"/>
      <c r="J197" s="137"/>
      <c r="K197" s="56" t="s">
        <v>1238</v>
      </c>
      <c r="L197" s="292">
        <v>197</v>
      </c>
      <c r="M197" s="292"/>
      <c r="N197" s="358"/>
      <c r="O197" s="292"/>
      <c r="P197" s="292">
        <v>4</v>
      </c>
      <c r="Q197" s="614">
        <v>0</v>
      </c>
      <c r="R197" s="913">
        <f t="shared" si="12"/>
        <v>0</v>
      </c>
      <c r="S197" s="913">
        <f t="shared" si="13"/>
        <v>0</v>
      </c>
      <c r="T197" s="913">
        <f t="shared" si="14"/>
        <v>0</v>
      </c>
      <c r="U197" s="914">
        <f t="shared" si="15"/>
        <v>0</v>
      </c>
      <c r="V197" s="612"/>
      <c r="W197" s="612"/>
      <c r="X197" s="612"/>
      <c r="Y197" s="612"/>
      <c r="Z197" s="612"/>
      <c r="AA197" s="612"/>
      <c r="AB197" s="612"/>
      <c r="AC197" s="612"/>
    </row>
    <row r="198" spans="1:30">
      <c r="A198" s="66" t="s">
        <v>1237</v>
      </c>
      <c r="B198" s="60"/>
      <c r="C198" s="54" t="s">
        <v>168</v>
      </c>
      <c r="D198" s="435" t="str">
        <f>IFERROR(VLOOKUP(C198,Mychart!$A$125:$B$811,2,FALSE),"-")</f>
        <v>UTS Carrier</v>
      </c>
      <c r="E198" s="676" t="s">
        <v>238</v>
      </c>
      <c r="F198" s="58">
        <v>1</v>
      </c>
      <c r="G198" s="58"/>
      <c r="H198" s="58"/>
      <c r="I198" s="58"/>
      <c r="J198" s="137"/>
      <c r="K198" s="56" t="s">
        <v>1238</v>
      </c>
      <c r="L198" s="292">
        <v>197</v>
      </c>
      <c r="M198" s="292"/>
      <c r="N198" s="358"/>
      <c r="O198" s="292"/>
      <c r="P198" s="292">
        <v>1</v>
      </c>
      <c r="Q198" s="614">
        <v>0</v>
      </c>
      <c r="R198" s="913">
        <f t="shared" si="12"/>
        <v>0</v>
      </c>
      <c r="S198" s="913">
        <f t="shared" si="13"/>
        <v>0</v>
      </c>
      <c r="T198" s="913">
        <f t="shared" si="14"/>
        <v>0</v>
      </c>
      <c r="U198" s="914">
        <f t="shared" si="15"/>
        <v>0</v>
      </c>
      <c r="V198" s="612"/>
      <c r="W198" s="612"/>
      <c r="X198" s="612"/>
      <c r="Y198" s="612"/>
      <c r="Z198" s="612"/>
      <c r="AA198" s="612"/>
      <c r="AB198" s="612"/>
      <c r="AC198" s="612"/>
    </row>
    <row r="199" spans="1:30">
      <c r="A199" s="66" t="s">
        <v>1237</v>
      </c>
      <c r="B199" s="60"/>
      <c r="C199" s="54" t="s">
        <v>168</v>
      </c>
      <c r="D199" s="435" t="str">
        <f>IFERROR(VLOOKUP(C199,Mychart!$A$125:$B$811,2,FALSE),"-")</f>
        <v>UTS Carrier</v>
      </c>
      <c r="E199" s="676" t="s">
        <v>239</v>
      </c>
      <c r="F199" s="58">
        <v>1</v>
      </c>
      <c r="G199" s="58"/>
      <c r="H199" s="58"/>
      <c r="I199" s="58"/>
      <c r="J199" s="137"/>
      <c r="K199" s="56" t="s">
        <v>1238</v>
      </c>
      <c r="L199" s="292">
        <v>197</v>
      </c>
      <c r="M199" s="292"/>
      <c r="N199" s="358"/>
      <c r="O199" s="292"/>
      <c r="P199" s="292">
        <v>1</v>
      </c>
      <c r="Q199" s="614">
        <v>0</v>
      </c>
      <c r="R199" s="913">
        <f t="shared" si="12"/>
        <v>0</v>
      </c>
      <c r="S199" s="913">
        <f t="shared" si="13"/>
        <v>0</v>
      </c>
      <c r="T199" s="913">
        <f t="shared" si="14"/>
        <v>0</v>
      </c>
      <c r="U199" s="914">
        <f t="shared" si="15"/>
        <v>0</v>
      </c>
      <c r="V199" s="612"/>
      <c r="W199" s="612"/>
      <c r="X199" s="612"/>
      <c r="Y199" s="612"/>
      <c r="Z199" s="612"/>
      <c r="AA199" s="612"/>
      <c r="AB199" s="612"/>
      <c r="AC199" s="612"/>
    </row>
    <row r="200" spans="1:30">
      <c r="A200" s="66" t="s">
        <v>1237</v>
      </c>
      <c r="B200" s="60"/>
      <c r="C200" s="54" t="s">
        <v>168</v>
      </c>
      <c r="D200" s="435" t="str">
        <f>IFERROR(VLOOKUP(C200,Mychart!$A$125:$B$811,2,FALSE),"-")</f>
        <v>UTS Carrier</v>
      </c>
      <c r="E200" s="676" t="s">
        <v>234</v>
      </c>
      <c r="F200" s="58">
        <v>5</v>
      </c>
      <c r="G200" s="58"/>
      <c r="H200" s="58"/>
      <c r="I200" s="58"/>
      <c r="J200" s="137"/>
      <c r="K200" s="56" t="s">
        <v>1238</v>
      </c>
      <c r="L200" s="292">
        <v>197</v>
      </c>
      <c r="M200" s="292"/>
      <c r="N200" s="358"/>
      <c r="O200" s="292"/>
      <c r="P200" s="292">
        <v>5</v>
      </c>
      <c r="Q200" s="614">
        <v>0</v>
      </c>
      <c r="R200" s="913">
        <f t="shared" si="12"/>
        <v>0</v>
      </c>
      <c r="S200" s="913">
        <f t="shared" si="13"/>
        <v>0</v>
      </c>
      <c r="T200" s="913">
        <f t="shared" si="14"/>
        <v>0</v>
      </c>
      <c r="U200" s="914">
        <f t="shared" si="15"/>
        <v>0</v>
      </c>
      <c r="V200" s="612"/>
      <c r="W200" s="612"/>
      <c r="X200" s="612"/>
      <c r="Y200" s="612"/>
      <c r="Z200" s="612"/>
      <c r="AA200" s="612"/>
      <c r="AB200" s="612"/>
      <c r="AC200" s="612"/>
    </row>
    <row r="201" spans="1:30">
      <c r="A201" s="66" t="s">
        <v>1237</v>
      </c>
      <c r="B201" s="60"/>
      <c r="C201" s="54" t="s">
        <v>168</v>
      </c>
      <c r="D201" s="435" t="str">
        <f>IFERROR(VLOOKUP(C201,Mychart!$A$125:$B$811,2,FALSE),"-")</f>
        <v>UTS Carrier</v>
      </c>
      <c r="E201" s="676" t="s">
        <v>235</v>
      </c>
      <c r="F201" s="58">
        <v>5</v>
      </c>
      <c r="G201" s="58"/>
      <c r="H201" s="58"/>
      <c r="I201" s="58"/>
      <c r="J201" s="137"/>
      <c r="K201" s="56" t="s">
        <v>1238</v>
      </c>
      <c r="L201" s="292">
        <v>197</v>
      </c>
      <c r="M201" s="292"/>
      <c r="N201" s="358"/>
      <c r="O201" s="292"/>
      <c r="P201" s="292">
        <v>5</v>
      </c>
      <c r="Q201" s="614">
        <v>0</v>
      </c>
      <c r="R201" s="913">
        <f t="shared" si="12"/>
        <v>0</v>
      </c>
      <c r="S201" s="913">
        <f t="shared" si="13"/>
        <v>0</v>
      </c>
      <c r="T201" s="913">
        <f t="shared" si="14"/>
        <v>0</v>
      </c>
      <c r="U201" s="914">
        <f t="shared" si="15"/>
        <v>0</v>
      </c>
      <c r="V201" s="612"/>
      <c r="W201" s="612"/>
      <c r="X201" s="612"/>
      <c r="Y201" s="612"/>
      <c r="Z201" s="612"/>
      <c r="AA201" s="612"/>
      <c r="AB201" s="612"/>
      <c r="AC201" s="612"/>
    </row>
    <row r="202" spans="1:30">
      <c r="A202" s="66" t="s">
        <v>1237</v>
      </c>
      <c r="B202" s="60"/>
      <c r="C202" s="54" t="s">
        <v>168</v>
      </c>
      <c r="D202" s="435" t="str">
        <f>IFERROR(VLOOKUP(C202,Mychart!$A$125:$B$811,2,FALSE),"-")</f>
        <v>UTS Carrier</v>
      </c>
      <c r="E202" s="676" t="s">
        <v>232</v>
      </c>
      <c r="F202" s="58">
        <v>3</v>
      </c>
      <c r="G202" s="58"/>
      <c r="H202" s="58"/>
      <c r="I202" s="58"/>
      <c r="J202" s="137"/>
      <c r="K202" s="56" t="s">
        <v>1238</v>
      </c>
      <c r="L202" s="292">
        <v>197</v>
      </c>
      <c r="M202" s="292"/>
      <c r="N202" s="358"/>
      <c r="O202" s="292"/>
      <c r="P202" s="292"/>
      <c r="Q202" s="614">
        <v>0</v>
      </c>
      <c r="R202" s="913">
        <f t="shared" si="12"/>
        <v>0</v>
      </c>
      <c r="S202" s="913">
        <f t="shared" si="13"/>
        <v>0</v>
      </c>
      <c r="T202" s="913">
        <f t="shared" si="14"/>
        <v>0</v>
      </c>
      <c r="U202" s="914">
        <f t="shared" si="15"/>
        <v>3</v>
      </c>
      <c r="V202" s="612"/>
      <c r="W202" s="612"/>
      <c r="X202" s="612"/>
      <c r="Y202" s="612"/>
      <c r="Z202" s="612"/>
      <c r="AA202" s="612"/>
      <c r="AB202" s="612"/>
      <c r="AC202" s="612"/>
    </row>
    <row r="203" spans="1:30">
      <c r="A203" s="66" t="s">
        <v>1237</v>
      </c>
      <c r="B203" s="60"/>
      <c r="C203" s="54" t="s">
        <v>168</v>
      </c>
      <c r="D203" s="435" t="str">
        <f>IFERROR(VLOOKUP(C203,Mychart!$A$125:$B$811,2,FALSE),"-")</f>
        <v>UTS Carrier</v>
      </c>
      <c r="E203" s="676" t="s">
        <v>233</v>
      </c>
      <c r="F203" s="58">
        <v>3</v>
      </c>
      <c r="G203" s="58"/>
      <c r="H203" s="58"/>
      <c r="I203" s="58"/>
      <c r="J203" s="137"/>
      <c r="K203" s="56" t="s">
        <v>1238</v>
      </c>
      <c r="L203" s="292">
        <v>197</v>
      </c>
      <c r="M203" s="292"/>
      <c r="N203" s="358"/>
      <c r="O203" s="292"/>
      <c r="P203" s="292">
        <v>3</v>
      </c>
      <c r="Q203" s="614">
        <v>0</v>
      </c>
      <c r="R203" s="913">
        <f t="shared" si="12"/>
        <v>0</v>
      </c>
      <c r="S203" s="913">
        <f t="shared" si="13"/>
        <v>0</v>
      </c>
      <c r="T203" s="913">
        <f t="shared" si="14"/>
        <v>0</v>
      </c>
      <c r="U203" s="914">
        <f t="shared" si="15"/>
        <v>0</v>
      </c>
      <c r="V203" s="612"/>
      <c r="W203" s="612"/>
      <c r="X203" s="612"/>
      <c r="Y203" s="612"/>
      <c r="Z203" s="612"/>
      <c r="AA203" s="612"/>
      <c r="AB203" s="612"/>
      <c r="AC203" s="612"/>
    </row>
    <row r="204" spans="1:30">
      <c r="A204" s="66" t="s">
        <v>1237</v>
      </c>
      <c r="B204" s="60"/>
      <c r="C204" s="54" t="s">
        <v>168</v>
      </c>
      <c r="D204" s="435" t="str">
        <f>IFERROR(VLOOKUP(C204,Mychart!$A$125:$B$811,2,FALSE),"-")</f>
        <v>UTS Carrier</v>
      </c>
      <c r="E204" s="676" t="s">
        <v>1236</v>
      </c>
      <c r="F204" s="58">
        <v>14</v>
      </c>
      <c r="G204" s="58"/>
      <c r="H204" s="58"/>
      <c r="I204" s="58"/>
      <c r="J204" s="137"/>
      <c r="K204" s="56" t="s">
        <v>1238</v>
      </c>
      <c r="L204" s="292">
        <v>197</v>
      </c>
      <c r="M204" s="292"/>
      <c r="N204" s="358"/>
      <c r="O204" s="292"/>
      <c r="P204" s="292">
        <v>5</v>
      </c>
      <c r="Q204" s="614">
        <v>0</v>
      </c>
      <c r="R204" s="913">
        <f t="shared" si="12"/>
        <v>0</v>
      </c>
      <c r="S204" s="913">
        <f t="shared" si="13"/>
        <v>0</v>
      </c>
      <c r="T204" s="913">
        <f t="shared" si="14"/>
        <v>0</v>
      </c>
      <c r="U204" s="914">
        <f t="shared" si="15"/>
        <v>9</v>
      </c>
      <c r="V204" s="612"/>
      <c r="W204" s="612"/>
      <c r="X204" s="612"/>
      <c r="Y204" s="612"/>
      <c r="Z204" s="612"/>
      <c r="AA204" s="612"/>
      <c r="AB204" s="612"/>
      <c r="AC204" s="612"/>
    </row>
    <row r="205" spans="1:30">
      <c r="A205" s="66" t="s">
        <v>1237</v>
      </c>
      <c r="B205" s="60"/>
      <c r="C205" s="54" t="s">
        <v>168</v>
      </c>
      <c r="D205" s="435" t="str">
        <f>IFERROR(VLOOKUP(C205,Mychart!$A$125:$B$811,2,FALSE),"-")</f>
        <v>UTS Carrier</v>
      </c>
      <c r="E205" s="676" t="s">
        <v>1169</v>
      </c>
      <c r="F205" s="58">
        <v>1</v>
      </c>
      <c r="G205" s="58"/>
      <c r="H205" s="58"/>
      <c r="I205" s="58"/>
      <c r="J205" s="137"/>
      <c r="K205" s="56" t="s">
        <v>1238</v>
      </c>
      <c r="L205" s="292">
        <v>197</v>
      </c>
      <c r="M205" s="292"/>
      <c r="N205" s="358"/>
      <c r="O205" s="292"/>
      <c r="P205" s="292">
        <v>1</v>
      </c>
      <c r="Q205" s="614">
        <v>0</v>
      </c>
      <c r="R205" s="913">
        <f t="shared" si="12"/>
        <v>0</v>
      </c>
      <c r="S205" s="913">
        <f t="shared" si="13"/>
        <v>0</v>
      </c>
      <c r="T205" s="913">
        <f t="shared" si="14"/>
        <v>0</v>
      </c>
      <c r="U205" s="914">
        <f t="shared" si="15"/>
        <v>0</v>
      </c>
      <c r="V205" s="612"/>
      <c r="W205" s="612"/>
      <c r="X205" s="612"/>
      <c r="Y205" s="612"/>
      <c r="Z205" s="612"/>
      <c r="AA205" s="612"/>
      <c r="AB205" s="612"/>
      <c r="AC205" s="612"/>
    </row>
    <row r="206" spans="1:30">
      <c r="A206" s="66" t="s">
        <v>1237</v>
      </c>
      <c r="B206" s="60"/>
      <c r="C206" s="54" t="s">
        <v>168</v>
      </c>
      <c r="D206" s="435" t="str">
        <f>IFERROR(VLOOKUP(C206,Mychart!$A$125:$B$811,2,FALSE),"-")</f>
        <v>UTS Carrier</v>
      </c>
      <c r="E206" s="676" t="s">
        <v>1170</v>
      </c>
      <c r="F206" s="58">
        <v>1</v>
      </c>
      <c r="G206" s="58"/>
      <c r="H206" s="58"/>
      <c r="I206" s="58"/>
      <c r="J206" s="137"/>
      <c r="K206" s="56" t="s">
        <v>1238</v>
      </c>
      <c r="L206" s="292">
        <v>197</v>
      </c>
      <c r="M206" s="292"/>
      <c r="N206" s="358"/>
      <c r="O206" s="292"/>
      <c r="P206" s="292">
        <v>1</v>
      </c>
      <c r="Q206" s="614">
        <v>0</v>
      </c>
      <c r="R206" s="913">
        <f t="shared" ref="R206:R269" si="16">O206-N206</f>
        <v>0</v>
      </c>
      <c r="S206" s="913">
        <f t="shared" ref="S206:S269" si="17">Q206-N206</f>
        <v>0</v>
      </c>
      <c r="T206" s="913">
        <f t="shared" ref="T206:T269" si="18">Q206-O206</f>
        <v>0</v>
      </c>
      <c r="U206" s="914">
        <f t="shared" ref="U206:U269" si="19">F206-P206</f>
        <v>0</v>
      </c>
      <c r="V206" s="612"/>
      <c r="W206" s="612"/>
      <c r="X206" s="612"/>
      <c r="Y206" s="612"/>
      <c r="Z206" s="612"/>
      <c r="AA206" s="612"/>
      <c r="AB206" s="612"/>
      <c r="AC206" s="612"/>
    </row>
    <row r="207" spans="1:30">
      <c r="A207" s="66" t="s">
        <v>1237</v>
      </c>
      <c r="B207" s="60"/>
      <c r="C207" s="54" t="s">
        <v>168</v>
      </c>
      <c r="D207" s="435" t="str">
        <f>IFERROR(VLOOKUP(C207,Mychart!$A$125:$B$811,2,FALSE),"-")</f>
        <v>UTS Carrier</v>
      </c>
      <c r="E207" s="676" t="s">
        <v>832</v>
      </c>
      <c r="F207" s="58">
        <v>2</v>
      </c>
      <c r="G207" s="58"/>
      <c r="H207" s="58"/>
      <c r="I207" s="58"/>
      <c r="J207" s="137"/>
      <c r="K207" s="56" t="s">
        <v>1238</v>
      </c>
      <c r="L207" s="292">
        <v>197</v>
      </c>
      <c r="M207" s="292"/>
      <c r="N207" s="358"/>
      <c r="O207" s="292"/>
      <c r="P207" s="292">
        <v>2</v>
      </c>
      <c r="Q207" s="614">
        <v>0</v>
      </c>
      <c r="R207" s="913">
        <f t="shared" si="16"/>
        <v>0</v>
      </c>
      <c r="S207" s="913">
        <f t="shared" si="17"/>
        <v>0</v>
      </c>
      <c r="T207" s="913">
        <f t="shared" si="18"/>
        <v>0</v>
      </c>
      <c r="U207" s="914">
        <f t="shared" si="19"/>
        <v>0</v>
      </c>
      <c r="V207" s="612"/>
      <c r="W207" s="612"/>
      <c r="X207" s="612"/>
      <c r="Y207" s="612"/>
      <c r="Z207" s="612"/>
      <c r="AA207" s="612"/>
      <c r="AB207" s="612"/>
      <c r="AC207" s="612"/>
    </row>
    <row r="208" spans="1:30">
      <c r="A208" s="66" t="s">
        <v>1237</v>
      </c>
      <c r="B208" s="60"/>
      <c r="C208" s="54" t="s">
        <v>168</v>
      </c>
      <c r="D208" s="435" t="str">
        <f>IFERROR(VLOOKUP(C208,Mychart!$A$125:$B$811,2,FALSE),"-")</f>
        <v>UTS Carrier</v>
      </c>
      <c r="E208" s="676" t="s">
        <v>833</v>
      </c>
      <c r="F208" s="58">
        <v>2</v>
      </c>
      <c r="G208" s="58"/>
      <c r="H208" s="58"/>
      <c r="I208" s="58"/>
      <c r="J208" s="137"/>
      <c r="K208" s="56" t="s">
        <v>1238</v>
      </c>
      <c r="L208" s="292">
        <v>197</v>
      </c>
      <c r="M208" s="292"/>
      <c r="N208" s="358"/>
      <c r="O208" s="292"/>
      <c r="P208" s="292">
        <v>2</v>
      </c>
      <c r="Q208" s="614">
        <v>0</v>
      </c>
      <c r="R208" s="913">
        <f t="shared" si="16"/>
        <v>0</v>
      </c>
      <c r="S208" s="913">
        <f t="shared" si="17"/>
        <v>0</v>
      </c>
      <c r="T208" s="913">
        <f t="shared" si="18"/>
        <v>0</v>
      </c>
      <c r="U208" s="914">
        <f t="shared" si="19"/>
        <v>0</v>
      </c>
      <c r="V208" s="612"/>
      <c r="W208" s="612"/>
      <c r="X208" s="612"/>
      <c r="Y208" s="612"/>
      <c r="Z208" s="612"/>
      <c r="AA208" s="612"/>
      <c r="AB208" s="612"/>
      <c r="AC208" s="612"/>
    </row>
    <row r="209" spans="1:29">
      <c r="A209" s="66" t="s">
        <v>1237</v>
      </c>
      <c r="B209" s="60"/>
      <c r="C209" s="54" t="s">
        <v>168</v>
      </c>
      <c r="D209" s="435" t="str">
        <f>IFERROR(VLOOKUP(C209,Mychart!$A$125:$B$811,2,FALSE),"-")</f>
        <v>UTS Carrier</v>
      </c>
      <c r="E209" s="676" t="s">
        <v>1081</v>
      </c>
      <c r="F209" s="58">
        <v>1</v>
      </c>
      <c r="G209" s="58"/>
      <c r="H209" s="58"/>
      <c r="I209" s="58"/>
      <c r="J209" s="137"/>
      <c r="K209" s="56" t="s">
        <v>1238</v>
      </c>
      <c r="L209" s="292">
        <v>197</v>
      </c>
      <c r="M209" s="292"/>
      <c r="N209" s="358"/>
      <c r="O209" s="292"/>
      <c r="P209" s="292">
        <v>1</v>
      </c>
      <c r="Q209" s="614">
        <v>0</v>
      </c>
      <c r="R209" s="913">
        <f t="shared" si="16"/>
        <v>0</v>
      </c>
      <c r="S209" s="913">
        <f t="shared" si="17"/>
        <v>0</v>
      </c>
      <c r="T209" s="913">
        <f t="shared" si="18"/>
        <v>0</v>
      </c>
      <c r="U209" s="914">
        <f t="shared" si="19"/>
        <v>0</v>
      </c>
      <c r="V209" s="612"/>
      <c r="W209" s="612"/>
      <c r="X209" s="612"/>
      <c r="Y209" s="612"/>
      <c r="Z209" s="612"/>
      <c r="AA209" s="612"/>
      <c r="AB209" s="612"/>
      <c r="AC209" s="612"/>
    </row>
    <row r="210" spans="1:29">
      <c r="A210" s="66" t="s">
        <v>1237</v>
      </c>
      <c r="B210" s="60"/>
      <c r="C210" s="54" t="s">
        <v>168</v>
      </c>
      <c r="D210" s="435" t="str">
        <f>IFERROR(VLOOKUP(C210,Mychart!$A$125:$B$811,2,FALSE),"-")</f>
        <v>UTS Carrier</v>
      </c>
      <c r="E210" s="676" t="s">
        <v>1082</v>
      </c>
      <c r="F210" s="58">
        <v>1</v>
      </c>
      <c r="G210" s="58"/>
      <c r="H210" s="58"/>
      <c r="I210" s="58"/>
      <c r="J210" s="137"/>
      <c r="K210" s="56" t="s">
        <v>1238</v>
      </c>
      <c r="L210" s="292">
        <v>197</v>
      </c>
      <c r="M210" s="292"/>
      <c r="N210" s="358"/>
      <c r="O210" s="292"/>
      <c r="P210" s="292">
        <v>1</v>
      </c>
      <c r="Q210" s="614">
        <v>0</v>
      </c>
      <c r="R210" s="913">
        <f t="shared" si="16"/>
        <v>0</v>
      </c>
      <c r="S210" s="913">
        <f t="shared" si="17"/>
        <v>0</v>
      </c>
      <c r="T210" s="913">
        <f t="shared" si="18"/>
        <v>0</v>
      </c>
      <c r="U210" s="914">
        <f t="shared" si="19"/>
        <v>0</v>
      </c>
      <c r="V210" s="612"/>
      <c r="W210" s="612"/>
      <c r="X210" s="612"/>
      <c r="Y210" s="612"/>
      <c r="Z210" s="612"/>
      <c r="AA210" s="612"/>
      <c r="AB210" s="612"/>
      <c r="AC210" s="612"/>
    </row>
    <row r="211" spans="1:29">
      <c r="A211" s="66" t="s">
        <v>1237</v>
      </c>
      <c r="B211" s="60"/>
      <c r="C211" s="54" t="s">
        <v>168</v>
      </c>
      <c r="D211" s="435" t="str">
        <f>IFERROR(VLOOKUP(C211,Mychart!$A$125:$B$811,2,FALSE),"-")</f>
        <v>UTS Carrier</v>
      </c>
      <c r="E211" s="676"/>
      <c r="F211" s="58"/>
      <c r="G211" s="58"/>
      <c r="H211" s="58"/>
      <c r="I211" s="58"/>
      <c r="J211" s="137"/>
      <c r="K211" s="308" t="s">
        <v>1238</v>
      </c>
      <c r="L211" s="292">
        <v>197</v>
      </c>
      <c r="M211" s="292" t="s">
        <v>1294</v>
      </c>
      <c r="N211" s="358">
        <v>85994</v>
      </c>
      <c r="O211" s="292">
        <v>85994</v>
      </c>
      <c r="P211" s="292"/>
      <c r="Q211" s="614">
        <v>107100</v>
      </c>
      <c r="R211" s="913">
        <f t="shared" si="16"/>
        <v>0</v>
      </c>
      <c r="S211" s="913">
        <f t="shared" si="17"/>
        <v>21106</v>
      </c>
      <c r="T211" s="913">
        <f t="shared" si="18"/>
        <v>21106</v>
      </c>
      <c r="U211" s="914">
        <f t="shared" si="19"/>
        <v>0</v>
      </c>
      <c r="V211" s="612"/>
      <c r="W211" s="612"/>
      <c r="X211" s="612"/>
      <c r="Y211" s="612"/>
      <c r="Z211" s="612"/>
      <c r="AA211" s="612"/>
      <c r="AB211" s="612"/>
      <c r="AC211" s="612"/>
    </row>
    <row r="212" spans="1:29">
      <c r="A212" s="66" t="s">
        <v>1240</v>
      </c>
      <c r="B212" s="60"/>
      <c r="C212" s="54" t="s">
        <v>168</v>
      </c>
      <c r="D212" s="435" t="str">
        <f>IFERROR(VLOOKUP(C212,Mychart!$A$125:$B$811,2,FALSE),"-")</f>
        <v>UTS Carrier</v>
      </c>
      <c r="E212" s="676" t="s">
        <v>825</v>
      </c>
      <c r="F212" s="58">
        <v>1</v>
      </c>
      <c r="G212" s="58"/>
      <c r="H212" s="58"/>
      <c r="I212" s="58"/>
      <c r="J212" s="137"/>
      <c r="K212" s="56" t="s">
        <v>1241</v>
      </c>
      <c r="L212" s="292">
        <v>217</v>
      </c>
      <c r="M212" s="292"/>
      <c r="N212" s="358"/>
      <c r="O212" s="292"/>
      <c r="P212" s="292"/>
      <c r="Q212" s="614">
        <v>0</v>
      </c>
      <c r="R212" s="913">
        <f t="shared" si="16"/>
        <v>0</v>
      </c>
      <c r="S212" s="913">
        <f t="shared" si="17"/>
        <v>0</v>
      </c>
      <c r="T212" s="913">
        <f t="shared" si="18"/>
        <v>0</v>
      </c>
      <c r="U212" s="914">
        <f t="shared" si="19"/>
        <v>1</v>
      </c>
      <c r="V212" s="612"/>
      <c r="W212" s="612"/>
      <c r="X212" s="612"/>
      <c r="Y212" s="612"/>
      <c r="Z212" s="612"/>
      <c r="AA212" s="612"/>
      <c r="AB212" s="612"/>
      <c r="AC212" s="612"/>
    </row>
    <row r="213" spans="1:29">
      <c r="A213" s="66" t="s">
        <v>1240</v>
      </c>
      <c r="B213" s="60"/>
      <c r="C213" s="54" t="s">
        <v>168</v>
      </c>
      <c r="D213" s="435" t="str">
        <f>IFERROR(VLOOKUP(C213,Mychart!$A$125:$B$811,2,FALSE),"-")</f>
        <v>UTS Carrier</v>
      </c>
      <c r="E213" s="676" t="s">
        <v>826</v>
      </c>
      <c r="F213" s="58">
        <v>1</v>
      </c>
      <c r="G213" s="58"/>
      <c r="H213" s="58"/>
      <c r="I213" s="58"/>
      <c r="J213" s="137"/>
      <c r="K213" s="56" t="s">
        <v>1241</v>
      </c>
      <c r="L213" s="292">
        <v>217</v>
      </c>
      <c r="M213" s="292"/>
      <c r="N213" s="358"/>
      <c r="O213" s="292"/>
      <c r="P213" s="292">
        <v>1</v>
      </c>
      <c r="Q213" s="614">
        <v>0</v>
      </c>
      <c r="R213" s="913">
        <f t="shared" si="16"/>
        <v>0</v>
      </c>
      <c r="S213" s="913">
        <f t="shared" si="17"/>
        <v>0</v>
      </c>
      <c r="T213" s="913">
        <f t="shared" si="18"/>
        <v>0</v>
      </c>
      <c r="U213" s="914">
        <f t="shared" si="19"/>
        <v>0</v>
      </c>
      <c r="V213" s="612"/>
      <c r="W213" s="612"/>
      <c r="X213" s="612"/>
      <c r="Y213" s="612"/>
      <c r="Z213" s="612"/>
      <c r="AA213" s="612"/>
      <c r="AB213" s="612"/>
      <c r="AC213" s="612"/>
    </row>
    <row r="214" spans="1:29">
      <c r="A214" s="66" t="s">
        <v>1240</v>
      </c>
      <c r="B214" s="60"/>
      <c r="C214" s="54" t="s">
        <v>168</v>
      </c>
      <c r="D214" s="435" t="str">
        <f>IFERROR(VLOOKUP(C214,Mychart!$A$125:$B$811,2,FALSE),"-")</f>
        <v>UTS Carrier</v>
      </c>
      <c r="E214" s="676" t="s">
        <v>827</v>
      </c>
      <c r="F214" s="58">
        <v>4</v>
      </c>
      <c r="G214" s="58"/>
      <c r="H214" s="58"/>
      <c r="I214" s="58"/>
      <c r="J214" s="137"/>
      <c r="K214" s="56" t="s">
        <v>1241</v>
      </c>
      <c r="L214" s="292">
        <v>217</v>
      </c>
      <c r="M214" s="292"/>
      <c r="N214" s="358"/>
      <c r="O214" s="292"/>
      <c r="P214" s="292">
        <v>4</v>
      </c>
      <c r="Q214" s="614">
        <v>0</v>
      </c>
      <c r="R214" s="913">
        <f t="shared" si="16"/>
        <v>0</v>
      </c>
      <c r="S214" s="913">
        <f t="shared" si="17"/>
        <v>0</v>
      </c>
      <c r="T214" s="913">
        <f t="shared" si="18"/>
        <v>0</v>
      </c>
      <c r="U214" s="914">
        <f t="shared" si="19"/>
        <v>0</v>
      </c>
      <c r="V214" s="612"/>
      <c r="W214" s="612"/>
      <c r="X214" s="612"/>
      <c r="Y214" s="612"/>
      <c r="Z214" s="612"/>
      <c r="AA214" s="612"/>
      <c r="AB214" s="612"/>
      <c r="AC214" s="612"/>
    </row>
    <row r="215" spans="1:29">
      <c r="A215" s="66" t="s">
        <v>1240</v>
      </c>
      <c r="B215" s="60"/>
      <c r="C215" s="54" t="s">
        <v>168</v>
      </c>
      <c r="D215" s="435" t="str">
        <f>IFERROR(VLOOKUP(C215,Mychart!$A$125:$B$811,2,FALSE),"-")</f>
        <v>UTS Carrier</v>
      </c>
      <c r="E215" s="676" t="s">
        <v>828</v>
      </c>
      <c r="F215" s="58">
        <v>4</v>
      </c>
      <c r="G215" s="58"/>
      <c r="H215" s="58"/>
      <c r="I215" s="58"/>
      <c r="J215" s="137"/>
      <c r="K215" s="56" t="s">
        <v>1241</v>
      </c>
      <c r="L215" s="292">
        <v>217</v>
      </c>
      <c r="M215" s="292"/>
      <c r="N215" s="358"/>
      <c r="O215" s="292"/>
      <c r="P215" s="292">
        <v>4</v>
      </c>
      <c r="Q215" s="614">
        <v>0</v>
      </c>
      <c r="R215" s="913">
        <f t="shared" si="16"/>
        <v>0</v>
      </c>
      <c r="S215" s="913">
        <f t="shared" si="17"/>
        <v>0</v>
      </c>
      <c r="T215" s="913">
        <f t="shared" si="18"/>
        <v>0</v>
      </c>
      <c r="U215" s="914">
        <f t="shared" si="19"/>
        <v>0</v>
      </c>
      <c r="V215" s="612"/>
      <c r="W215" s="612"/>
      <c r="X215" s="612"/>
      <c r="Y215" s="612"/>
      <c r="Z215" s="612"/>
      <c r="AA215" s="612"/>
      <c r="AB215" s="612"/>
      <c r="AC215" s="612"/>
    </row>
    <row r="216" spans="1:29">
      <c r="A216" s="66" t="s">
        <v>1240</v>
      </c>
      <c r="B216" s="60"/>
      <c r="C216" s="54" t="s">
        <v>168</v>
      </c>
      <c r="D216" s="435" t="str">
        <f>IFERROR(VLOOKUP(C216,Mychart!$A$125:$B$811,2,FALSE),"-")</f>
        <v>UTS Carrier</v>
      </c>
      <c r="E216" s="676" t="s">
        <v>238</v>
      </c>
      <c r="F216" s="58">
        <v>3</v>
      </c>
      <c r="G216" s="58"/>
      <c r="H216" s="58"/>
      <c r="I216" s="58"/>
      <c r="J216" s="137"/>
      <c r="K216" s="56" t="s">
        <v>1241</v>
      </c>
      <c r="L216" s="292">
        <v>217</v>
      </c>
      <c r="M216" s="292"/>
      <c r="N216" s="358"/>
      <c r="O216" s="292"/>
      <c r="P216" s="292">
        <v>3</v>
      </c>
      <c r="Q216" s="614">
        <v>0</v>
      </c>
      <c r="R216" s="913">
        <f t="shared" si="16"/>
        <v>0</v>
      </c>
      <c r="S216" s="913">
        <f t="shared" si="17"/>
        <v>0</v>
      </c>
      <c r="T216" s="913">
        <f t="shared" si="18"/>
        <v>0</v>
      </c>
      <c r="U216" s="914">
        <f t="shared" si="19"/>
        <v>0</v>
      </c>
      <c r="V216" s="612"/>
      <c r="W216" s="612"/>
      <c r="X216" s="612"/>
      <c r="Y216" s="612"/>
      <c r="Z216" s="612"/>
      <c r="AA216" s="612"/>
      <c r="AB216" s="612"/>
      <c r="AC216" s="612"/>
    </row>
    <row r="217" spans="1:29">
      <c r="A217" s="66" t="s">
        <v>1240</v>
      </c>
      <c r="B217" s="60"/>
      <c r="C217" s="54" t="s">
        <v>168</v>
      </c>
      <c r="D217" s="435" t="str">
        <f>IFERROR(VLOOKUP(C217,Mychart!$A$125:$B$811,2,FALSE),"-")</f>
        <v>UTS Carrier</v>
      </c>
      <c r="E217" s="676" t="s">
        <v>239</v>
      </c>
      <c r="F217" s="58">
        <v>3</v>
      </c>
      <c r="G217" s="58"/>
      <c r="H217" s="58"/>
      <c r="I217" s="58"/>
      <c r="J217" s="137"/>
      <c r="K217" s="56" t="s">
        <v>1241</v>
      </c>
      <c r="L217" s="292">
        <v>217</v>
      </c>
      <c r="M217" s="292"/>
      <c r="N217" s="358"/>
      <c r="O217" s="292"/>
      <c r="P217" s="292">
        <v>3</v>
      </c>
      <c r="Q217" s="614">
        <v>0</v>
      </c>
      <c r="R217" s="913">
        <f t="shared" si="16"/>
        <v>0</v>
      </c>
      <c r="S217" s="913">
        <f t="shared" si="17"/>
        <v>0</v>
      </c>
      <c r="T217" s="913">
        <f t="shared" si="18"/>
        <v>0</v>
      </c>
      <c r="U217" s="914">
        <f t="shared" si="19"/>
        <v>0</v>
      </c>
      <c r="V217" s="612"/>
      <c r="W217" s="612"/>
      <c r="X217" s="612"/>
      <c r="Y217" s="612"/>
      <c r="Z217" s="612"/>
      <c r="AA217" s="612"/>
      <c r="AB217" s="612"/>
      <c r="AC217" s="612"/>
    </row>
    <row r="218" spans="1:29">
      <c r="A218" s="66" t="s">
        <v>1240</v>
      </c>
      <c r="B218" s="60"/>
      <c r="C218" s="54" t="s">
        <v>168</v>
      </c>
      <c r="D218" s="435" t="str">
        <f>IFERROR(VLOOKUP(C218,Mychart!$A$125:$B$811,2,FALSE),"-")</f>
        <v>UTS Carrier</v>
      </c>
      <c r="E218" s="676" t="s">
        <v>234</v>
      </c>
      <c r="F218" s="58">
        <v>4</v>
      </c>
      <c r="G218" s="58"/>
      <c r="H218" s="58"/>
      <c r="I218" s="58"/>
      <c r="J218" s="137"/>
      <c r="K218" s="56" t="s">
        <v>1241</v>
      </c>
      <c r="L218" s="292">
        <v>217</v>
      </c>
      <c r="M218" s="292"/>
      <c r="N218" s="358"/>
      <c r="O218" s="292"/>
      <c r="P218" s="292">
        <v>4</v>
      </c>
      <c r="Q218" s="614">
        <v>0</v>
      </c>
      <c r="R218" s="913">
        <f t="shared" si="16"/>
        <v>0</v>
      </c>
      <c r="S218" s="913">
        <f t="shared" si="17"/>
        <v>0</v>
      </c>
      <c r="T218" s="913">
        <f t="shared" si="18"/>
        <v>0</v>
      </c>
      <c r="U218" s="914">
        <f t="shared" si="19"/>
        <v>0</v>
      </c>
      <c r="V218" s="612"/>
      <c r="W218" s="612"/>
      <c r="X218" s="612"/>
      <c r="Y218" s="612"/>
      <c r="Z218" s="612"/>
      <c r="AA218" s="612"/>
      <c r="AB218" s="612"/>
      <c r="AC218" s="612"/>
    </row>
    <row r="219" spans="1:29">
      <c r="A219" s="66" t="s">
        <v>1240</v>
      </c>
      <c r="B219" s="60"/>
      <c r="C219" s="54" t="s">
        <v>168</v>
      </c>
      <c r="D219" s="435" t="str">
        <f>IFERROR(VLOOKUP(C219,Mychart!$A$125:$B$811,2,FALSE),"-")</f>
        <v>UTS Carrier</v>
      </c>
      <c r="E219" s="676" t="s">
        <v>235</v>
      </c>
      <c r="F219" s="58">
        <v>4</v>
      </c>
      <c r="G219" s="58"/>
      <c r="H219" s="58"/>
      <c r="I219" s="58"/>
      <c r="J219" s="137"/>
      <c r="K219" s="56" t="s">
        <v>1241</v>
      </c>
      <c r="L219" s="292">
        <v>217</v>
      </c>
      <c r="M219" s="292"/>
      <c r="N219" s="358"/>
      <c r="O219" s="292"/>
      <c r="P219" s="292">
        <v>4</v>
      </c>
      <c r="Q219" s="614">
        <v>0</v>
      </c>
      <c r="R219" s="913">
        <f t="shared" si="16"/>
        <v>0</v>
      </c>
      <c r="S219" s="913">
        <f t="shared" si="17"/>
        <v>0</v>
      </c>
      <c r="T219" s="913">
        <f t="shared" si="18"/>
        <v>0</v>
      </c>
      <c r="U219" s="914">
        <f t="shared" si="19"/>
        <v>0</v>
      </c>
      <c r="V219" s="612"/>
      <c r="W219" s="612"/>
      <c r="X219" s="612"/>
      <c r="Y219" s="612"/>
      <c r="Z219" s="612"/>
      <c r="AA219" s="612"/>
      <c r="AB219" s="612"/>
      <c r="AC219" s="612"/>
    </row>
    <row r="220" spans="1:29">
      <c r="A220" s="66" t="s">
        <v>1240</v>
      </c>
      <c r="B220" s="60"/>
      <c r="C220" s="54" t="s">
        <v>168</v>
      </c>
      <c r="D220" s="435" t="str">
        <f>IFERROR(VLOOKUP(C220,Mychart!$A$125:$B$811,2,FALSE),"-")</f>
        <v>UTS Carrier</v>
      </c>
      <c r="E220" s="676" t="s">
        <v>232</v>
      </c>
      <c r="F220" s="58">
        <v>2</v>
      </c>
      <c r="G220" s="58"/>
      <c r="H220" s="58"/>
      <c r="I220" s="58"/>
      <c r="J220" s="137"/>
      <c r="K220" s="56" t="s">
        <v>1241</v>
      </c>
      <c r="L220" s="292">
        <v>217</v>
      </c>
      <c r="M220" s="292"/>
      <c r="N220" s="358"/>
      <c r="O220" s="292"/>
      <c r="P220" s="292">
        <v>2</v>
      </c>
      <c r="Q220" s="614">
        <v>0</v>
      </c>
      <c r="R220" s="913">
        <f t="shared" si="16"/>
        <v>0</v>
      </c>
      <c r="S220" s="913">
        <f t="shared" si="17"/>
        <v>0</v>
      </c>
      <c r="T220" s="913">
        <f t="shared" si="18"/>
        <v>0</v>
      </c>
      <c r="U220" s="914">
        <f t="shared" si="19"/>
        <v>0</v>
      </c>
      <c r="V220" s="612"/>
      <c r="W220" s="612"/>
      <c r="X220" s="612"/>
      <c r="Y220" s="612"/>
      <c r="Z220" s="612"/>
      <c r="AA220" s="612"/>
      <c r="AB220" s="612"/>
      <c r="AC220" s="612"/>
    </row>
    <row r="221" spans="1:29">
      <c r="A221" s="66" t="s">
        <v>1240</v>
      </c>
      <c r="B221" s="60"/>
      <c r="C221" s="54" t="s">
        <v>168</v>
      </c>
      <c r="D221" s="435" t="str">
        <f>IFERROR(VLOOKUP(C221,Mychart!$A$125:$B$811,2,FALSE),"-")</f>
        <v>UTS Carrier</v>
      </c>
      <c r="E221" s="676" t="s">
        <v>233</v>
      </c>
      <c r="F221" s="58">
        <v>2</v>
      </c>
      <c r="G221" s="58"/>
      <c r="H221" s="58"/>
      <c r="I221" s="58"/>
      <c r="J221" s="137"/>
      <c r="K221" s="56" t="s">
        <v>1241</v>
      </c>
      <c r="L221" s="292">
        <v>217</v>
      </c>
      <c r="M221" s="292"/>
      <c r="N221" s="358"/>
      <c r="O221" s="292"/>
      <c r="P221" s="292">
        <v>2</v>
      </c>
      <c r="Q221" s="614">
        <v>0</v>
      </c>
      <c r="R221" s="913">
        <f t="shared" si="16"/>
        <v>0</v>
      </c>
      <c r="S221" s="913">
        <f t="shared" si="17"/>
        <v>0</v>
      </c>
      <c r="T221" s="913">
        <f t="shared" si="18"/>
        <v>0</v>
      </c>
      <c r="U221" s="914">
        <f t="shared" si="19"/>
        <v>0</v>
      </c>
      <c r="V221" s="612"/>
      <c r="W221" s="612"/>
      <c r="X221" s="612"/>
      <c r="Y221" s="612"/>
      <c r="Z221" s="612"/>
      <c r="AA221" s="612"/>
      <c r="AB221" s="612"/>
      <c r="AC221" s="612"/>
    </row>
    <row r="222" spans="1:29">
      <c r="A222" s="66" t="s">
        <v>1240</v>
      </c>
      <c r="B222" s="60"/>
      <c r="C222" s="54" t="s">
        <v>168</v>
      </c>
      <c r="D222" s="435" t="str">
        <f>IFERROR(VLOOKUP(C222,Mychart!$A$125:$B$811,2,FALSE),"-")</f>
        <v>UTS Carrier</v>
      </c>
      <c r="E222" s="676"/>
      <c r="F222" s="58"/>
      <c r="G222" s="58"/>
      <c r="H222" s="58"/>
      <c r="I222" s="58"/>
      <c r="J222" s="137"/>
      <c r="K222" s="56" t="s">
        <v>1241</v>
      </c>
      <c r="L222" s="292">
        <v>217</v>
      </c>
      <c r="M222" s="292" t="s">
        <v>1353</v>
      </c>
      <c r="N222" s="358">
        <v>99481</v>
      </c>
      <c r="O222" s="292">
        <v>99482</v>
      </c>
      <c r="P222" s="292"/>
      <c r="Q222" s="614">
        <v>96631</v>
      </c>
      <c r="R222" s="913">
        <f t="shared" si="16"/>
        <v>1</v>
      </c>
      <c r="S222" s="913">
        <f t="shared" si="17"/>
        <v>-2850</v>
      </c>
      <c r="T222" s="913">
        <f t="shared" si="18"/>
        <v>-2851</v>
      </c>
      <c r="U222" s="914">
        <f t="shared" si="19"/>
        <v>0</v>
      </c>
      <c r="V222" s="612"/>
      <c r="W222" s="612"/>
      <c r="X222" s="612"/>
      <c r="Y222" s="612"/>
      <c r="Z222" s="612"/>
      <c r="AA222" s="612"/>
      <c r="AB222" s="612"/>
      <c r="AC222" s="612"/>
    </row>
    <row r="223" spans="1:29">
      <c r="A223" s="66" t="s">
        <v>1259</v>
      </c>
      <c r="B223" s="60"/>
      <c r="C223" s="54" t="s">
        <v>168</v>
      </c>
      <c r="D223" s="435" t="str">
        <f>IFERROR(VLOOKUP(C223,Mychart!$A$125:$B$811,2,FALSE),"-")</f>
        <v>UTS Carrier</v>
      </c>
      <c r="E223" s="676" t="s">
        <v>825</v>
      </c>
      <c r="F223" s="58">
        <v>1</v>
      </c>
      <c r="G223" s="58"/>
      <c r="H223" s="58"/>
      <c r="I223" s="58"/>
      <c r="J223" s="137"/>
      <c r="K223" s="56" t="s">
        <v>1265</v>
      </c>
      <c r="L223" s="292">
        <v>257</v>
      </c>
      <c r="M223" s="292"/>
      <c r="N223" s="358"/>
      <c r="O223" s="292"/>
      <c r="P223" s="292">
        <v>1</v>
      </c>
      <c r="Q223" s="614"/>
      <c r="R223" s="913">
        <f t="shared" si="16"/>
        <v>0</v>
      </c>
      <c r="S223" s="913">
        <f t="shared" si="17"/>
        <v>0</v>
      </c>
      <c r="T223" s="913">
        <f t="shared" si="18"/>
        <v>0</v>
      </c>
      <c r="U223" s="914">
        <f t="shared" si="19"/>
        <v>0</v>
      </c>
      <c r="V223" s="612"/>
      <c r="W223" s="612"/>
      <c r="X223" s="612"/>
      <c r="Y223" s="612"/>
      <c r="Z223" s="612"/>
      <c r="AA223" s="612"/>
      <c r="AB223" s="612"/>
      <c r="AC223" s="612"/>
    </row>
    <row r="224" spans="1:29">
      <c r="A224" s="66" t="s">
        <v>1259</v>
      </c>
      <c r="B224" s="60"/>
      <c r="C224" s="54" t="s">
        <v>168</v>
      </c>
      <c r="D224" s="435" t="str">
        <f>IFERROR(VLOOKUP(C224,Mychart!$A$125:$B$811,2,FALSE),"-")</f>
        <v>UTS Carrier</v>
      </c>
      <c r="E224" s="676" t="s">
        <v>826</v>
      </c>
      <c r="F224" s="58">
        <v>1</v>
      </c>
      <c r="G224" s="58"/>
      <c r="H224" s="58"/>
      <c r="I224" s="58"/>
      <c r="J224" s="137"/>
      <c r="K224" s="56" t="s">
        <v>1265</v>
      </c>
      <c r="L224" s="292">
        <v>257</v>
      </c>
      <c r="M224" s="292"/>
      <c r="N224" s="358"/>
      <c r="O224" s="292"/>
      <c r="P224" s="292">
        <v>1</v>
      </c>
      <c r="Q224" s="614"/>
      <c r="R224" s="913">
        <f t="shared" si="16"/>
        <v>0</v>
      </c>
      <c r="S224" s="913">
        <f t="shared" si="17"/>
        <v>0</v>
      </c>
      <c r="T224" s="913">
        <f t="shared" si="18"/>
        <v>0</v>
      </c>
      <c r="U224" s="914">
        <f t="shared" si="19"/>
        <v>0</v>
      </c>
      <c r="V224" s="612"/>
      <c r="W224" s="612"/>
      <c r="X224" s="612"/>
      <c r="Y224" s="612"/>
      <c r="Z224" s="612"/>
      <c r="AA224" s="612"/>
      <c r="AB224" s="612"/>
      <c r="AC224" s="612"/>
    </row>
    <row r="225" spans="1:30">
      <c r="A225" s="66" t="s">
        <v>1259</v>
      </c>
      <c r="B225" s="60"/>
      <c r="C225" s="54" t="s">
        <v>168</v>
      </c>
      <c r="D225" s="435" t="str">
        <f>IFERROR(VLOOKUP(C225,Mychart!$A$125:$B$811,2,FALSE),"-")</f>
        <v>UTS Carrier</v>
      </c>
      <c r="E225" s="676" t="s">
        <v>236</v>
      </c>
      <c r="F225" s="58">
        <v>5</v>
      </c>
      <c r="G225" s="58"/>
      <c r="H225" s="58"/>
      <c r="I225" s="58"/>
      <c r="J225" s="137"/>
      <c r="K225" s="56" t="s">
        <v>1265</v>
      </c>
      <c r="L225" s="292">
        <v>257</v>
      </c>
      <c r="M225" s="292"/>
      <c r="N225" s="358"/>
      <c r="O225" s="292"/>
      <c r="P225" s="292">
        <v>5</v>
      </c>
      <c r="Q225" s="614"/>
      <c r="R225" s="913">
        <f t="shared" si="16"/>
        <v>0</v>
      </c>
      <c r="S225" s="913">
        <f t="shared" si="17"/>
        <v>0</v>
      </c>
      <c r="T225" s="913">
        <f t="shared" si="18"/>
        <v>0</v>
      </c>
      <c r="U225" s="914">
        <f t="shared" si="19"/>
        <v>0</v>
      </c>
      <c r="V225" s="612"/>
      <c r="W225" s="612"/>
      <c r="X225" s="612"/>
      <c r="Y225" s="612"/>
      <c r="Z225" s="612"/>
      <c r="AA225" s="612"/>
      <c r="AB225" s="612"/>
      <c r="AC225" s="612"/>
    </row>
    <row r="226" spans="1:30">
      <c r="A226" s="66" t="s">
        <v>1259</v>
      </c>
      <c r="B226" s="60"/>
      <c r="C226" s="54" t="s">
        <v>168</v>
      </c>
      <c r="D226" s="435" t="str">
        <f>IFERROR(VLOOKUP(C226,Mychart!$A$125:$B$811,2,FALSE),"-")</f>
        <v>UTS Carrier</v>
      </c>
      <c r="E226" s="676" t="s">
        <v>237</v>
      </c>
      <c r="F226" s="58">
        <v>5</v>
      </c>
      <c r="G226" s="58"/>
      <c r="H226" s="58"/>
      <c r="I226" s="58"/>
      <c r="J226" s="137"/>
      <c r="K226" s="56" t="s">
        <v>1265</v>
      </c>
      <c r="L226" s="292">
        <v>257</v>
      </c>
      <c r="M226" s="292"/>
      <c r="N226" s="358"/>
      <c r="O226" s="292"/>
      <c r="P226" s="292">
        <v>5</v>
      </c>
      <c r="Q226" s="614"/>
      <c r="R226" s="913">
        <f t="shared" si="16"/>
        <v>0</v>
      </c>
      <c r="S226" s="913">
        <f t="shared" si="17"/>
        <v>0</v>
      </c>
      <c r="T226" s="913">
        <f t="shared" si="18"/>
        <v>0</v>
      </c>
      <c r="U226" s="914">
        <f t="shared" si="19"/>
        <v>0</v>
      </c>
      <c r="V226" s="612"/>
      <c r="W226" s="612"/>
      <c r="X226" s="612"/>
      <c r="Y226" s="612"/>
      <c r="Z226" s="612"/>
      <c r="AA226" s="612"/>
      <c r="AB226" s="612"/>
      <c r="AC226" s="612"/>
    </row>
    <row r="227" spans="1:30">
      <c r="A227" s="66" t="s">
        <v>1259</v>
      </c>
      <c r="B227" s="60"/>
      <c r="C227" s="54" t="s">
        <v>168</v>
      </c>
      <c r="D227" s="435" t="str">
        <f>IFERROR(VLOOKUP(C227,Mychart!$A$125:$B$811,2,FALSE),"-")</f>
        <v>UTS Carrier</v>
      </c>
      <c r="E227" s="676" t="s">
        <v>234</v>
      </c>
      <c r="F227" s="58">
        <v>6</v>
      </c>
      <c r="G227" s="58"/>
      <c r="H227" s="58"/>
      <c r="I227" s="58"/>
      <c r="J227" s="137"/>
      <c r="K227" s="56" t="s">
        <v>1265</v>
      </c>
      <c r="L227" s="292">
        <v>257</v>
      </c>
      <c r="M227" s="292"/>
      <c r="N227" s="358"/>
      <c r="O227" s="292"/>
      <c r="P227" s="292">
        <v>4</v>
      </c>
      <c r="Q227" s="614"/>
      <c r="R227" s="913">
        <f t="shared" si="16"/>
        <v>0</v>
      </c>
      <c r="S227" s="913">
        <f t="shared" si="17"/>
        <v>0</v>
      </c>
      <c r="T227" s="913">
        <f t="shared" si="18"/>
        <v>0</v>
      </c>
      <c r="U227" s="914">
        <f t="shared" si="19"/>
        <v>2</v>
      </c>
      <c r="V227" s="612"/>
      <c r="W227" s="612"/>
      <c r="X227" s="612"/>
      <c r="Y227" s="612"/>
      <c r="Z227" s="612"/>
      <c r="AA227" s="612"/>
      <c r="AB227" s="612"/>
      <c r="AC227" s="612"/>
    </row>
    <row r="228" spans="1:30">
      <c r="A228" s="66" t="s">
        <v>1259</v>
      </c>
      <c r="B228" s="60"/>
      <c r="C228" s="54" t="s">
        <v>168</v>
      </c>
      <c r="D228" s="435" t="str">
        <f>IFERROR(VLOOKUP(C228,Mychart!$A$125:$B$811,2,FALSE),"-")</f>
        <v>UTS Carrier</v>
      </c>
      <c r="E228" s="676" t="s">
        <v>235</v>
      </c>
      <c r="F228" s="58">
        <v>6</v>
      </c>
      <c r="G228" s="58"/>
      <c r="H228" s="58"/>
      <c r="I228" s="58"/>
      <c r="J228" s="137"/>
      <c r="K228" s="56" t="s">
        <v>1265</v>
      </c>
      <c r="L228" s="292">
        <v>257</v>
      </c>
      <c r="M228" s="292"/>
      <c r="N228" s="358"/>
      <c r="O228" s="292"/>
      <c r="P228" s="292">
        <v>6</v>
      </c>
      <c r="Q228" s="614"/>
      <c r="R228" s="913">
        <f t="shared" si="16"/>
        <v>0</v>
      </c>
      <c r="S228" s="913">
        <f t="shared" si="17"/>
        <v>0</v>
      </c>
      <c r="T228" s="913">
        <f t="shared" si="18"/>
        <v>0</v>
      </c>
      <c r="U228" s="914">
        <f t="shared" si="19"/>
        <v>0</v>
      </c>
      <c r="V228" s="612"/>
      <c r="W228" s="612"/>
      <c r="X228" s="612"/>
      <c r="Y228" s="612"/>
      <c r="Z228" s="612"/>
      <c r="AA228" s="612"/>
      <c r="AB228" s="612"/>
      <c r="AC228" s="612"/>
    </row>
    <row r="229" spans="1:30">
      <c r="A229" s="66" t="s">
        <v>1259</v>
      </c>
      <c r="B229" s="60"/>
      <c r="C229" s="54" t="s">
        <v>168</v>
      </c>
      <c r="D229" s="435" t="str">
        <f>IFERROR(VLOOKUP(C229,Mychart!$A$125:$B$811,2,FALSE),"-")</f>
        <v>UTS Carrier</v>
      </c>
      <c r="E229" s="676" t="s">
        <v>232</v>
      </c>
      <c r="F229" s="58">
        <v>1</v>
      </c>
      <c r="G229" s="58"/>
      <c r="H229" s="58"/>
      <c r="I229" s="58"/>
      <c r="J229" s="137"/>
      <c r="K229" s="56" t="s">
        <v>1265</v>
      </c>
      <c r="L229" s="292">
        <v>257</v>
      </c>
      <c r="M229" s="292"/>
      <c r="N229" s="358"/>
      <c r="O229" s="292"/>
      <c r="P229" s="292">
        <v>1</v>
      </c>
      <c r="Q229" s="614"/>
      <c r="R229" s="913">
        <f t="shared" si="16"/>
        <v>0</v>
      </c>
      <c r="S229" s="913">
        <f t="shared" si="17"/>
        <v>0</v>
      </c>
      <c r="T229" s="913">
        <f t="shared" si="18"/>
        <v>0</v>
      </c>
      <c r="U229" s="914">
        <f t="shared" si="19"/>
        <v>0</v>
      </c>
      <c r="V229" s="612"/>
      <c r="W229" s="612"/>
      <c r="X229" s="612"/>
      <c r="Y229" s="612"/>
      <c r="Z229" s="612"/>
      <c r="AA229" s="612"/>
      <c r="AB229" s="612"/>
      <c r="AC229" s="612"/>
    </row>
    <row r="230" spans="1:30">
      <c r="A230" s="66" t="s">
        <v>1259</v>
      </c>
      <c r="B230" s="60"/>
      <c r="C230" s="54" t="s">
        <v>168</v>
      </c>
      <c r="D230" s="435" t="str">
        <f>IFERROR(VLOOKUP(C230,Mychart!$A$125:$B$811,2,FALSE),"-")</f>
        <v>UTS Carrier</v>
      </c>
      <c r="E230" s="676" t="s">
        <v>233</v>
      </c>
      <c r="F230" s="58">
        <v>1</v>
      </c>
      <c r="G230" s="58"/>
      <c r="H230" s="58"/>
      <c r="I230" s="58"/>
      <c r="J230" s="137"/>
      <c r="K230" s="56" t="s">
        <v>1265</v>
      </c>
      <c r="L230" s="292">
        <v>257</v>
      </c>
      <c r="M230" s="292"/>
      <c r="N230" s="358"/>
      <c r="O230" s="292"/>
      <c r="P230" s="292">
        <v>1</v>
      </c>
      <c r="Q230" s="614"/>
      <c r="R230" s="913">
        <f t="shared" si="16"/>
        <v>0</v>
      </c>
      <c r="S230" s="913">
        <f t="shared" si="17"/>
        <v>0</v>
      </c>
      <c r="T230" s="913">
        <f t="shared" si="18"/>
        <v>0</v>
      </c>
      <c r="U230" s="914">
        <f t="shared" si="19"/>
        <v>0</v>
      </c>
      <c r="V230" s="612"/>
      <c r="W230" s="612"/>
      <c r="X230" s="612"/>
      <c r="Y230" s="612"/>
      <c r="Z230" s="612"/>
      <c r="AA230" s="612"/>
      <c r="AB230" s="612"/>
      <c r="AC230" s="612"/>
    </row>
    <row r="231" spans="1:30">
      <c r="A231" s="66" t="s">
        <v>1259</v>
      </c>
      <c r="B231" s="60"/>
      <c r="C231" s="54" t="s">
        <v>168</v>
      </c>
      <c r="D231" s="435" t="str">
        <f>IFERROR(VLOOKUP(C231,Mychart!$A$125:$B$811,2,FALSE),"-")</f>
        <v>UTS Carrier</v>
      </c>
      <c r="E231" s="676" t="s">
        <v>1099</v>
      </c>
      <c r="F231" s="58">
        <v>3</v>
      </c>
      <c r="G231" s="58"/>
      <c r="H231" s="58"/>
      <c r="I231" s="58"/>
      <c r="J231" s="137"/>
      <c r="K231" s="56" t="s">
        <v>1265</v>
      </c>
      <c r="L231" s="292">
        <v>257</v>
      </c>
      <c r="M231" s="292"/>
      <c r="N231" s="358"/>
      <c r="O231" s="292"/>
      <c r="P231" s="292">
        <v>3</v>
      </c>
      <c r="Q231" s="614"/>
      <c r="R231" s="913">
        <f t="shared" si="16"/>
        <v>0</v>
      </c>
      <c r="S231" s="913">
        <f t="shared" si="17"/>
        <v>0</v>
      </c>
      <c r="T231" s="913">
        <f t="shared" si="18"/>
        <v>0</v>
      </c>
      <c r="U231" s="914">
        <f t="shared" si="19"/>
        <v>0</v>
      </c>
      <c r="V231" s="612"/>
      <c r="W231" s="612"/>
      <c r="X231" s="612"/>
      <c r="Y231" s="612"/>
      <c r="Z231" s="612"/>
      <c r="AA231" s="612"/>
      <c r="AB231" s="612"/>
      <c r="AC231" s="612"/>
    </row>
    <row r="232" spans="1:30">
      <c r="A232" s="66" t="s">
        <v>1259</v>
      </c>
      <c r="B232" s="60"/>
      <c r="C232" s="54" t="s">
        <v>168</v>
      </c>
      <c r="D232" s="435" t="str">
        <f>IFERROR(VLOOKUP(C232,Mychart!$A$125:$B$811,2,FALSE),"-")</f>
        <v>UTS Carrier</v>
      </c>
      <c r="E232" s="676" t="s">
        <v>1100</v>
      </c>
      <c r="F232" s="58">
        <v>3</v>
      </c>
      <c r="G232" s="58"/>
      <c r="H232" s="58"/>
      <c r="I232" s="58"/>
      <c r="J232" s="137"/>
      <c r="K232" s="56" t="s">
        <v>1265</v>
      </c>
      <c r="L232" s="292">
        <v>257</v>
      </c>
      <c r="M232" s="292"/>
      <c r="N232" s="358"/>
      <c r="O232" s="292"/>
      <c r="P232" s="292">
        <v>3</v>
      </c>
      <c r="Q232" s="614"/>
      <c r="R232" s="913">
        <f t="shared" si="16"/>
        <v>0</v>
      </c>
      <c r="S232" s="913">
        <f t="shared" si="17"/>
        <v>0</v>
      </c>
      <c r="T232" s="913">
        <f t="shared" si="18"/>
        <v>0</v>
      </c>
      <c r="U232" s="914">
        <f t="shared" si="19"/>
        <v>0</v>
      </c>
      <c r="V232" s="612"/>
      <c r="W232" s="612"/>
      <c r="X232" s="612"/>
      <c r="Y232" s="612"/>
      <c r="Z232" s="612"/>
      <c r="AA232" s="612"/>
      <c r="AB232" s="612"/>
      <c r="AC232" s="612"/>
    </row>
    <row r="233" spans="1:30">
      <c r="A233" s="66" t="s">
        <v>1259</v>
      </c>
      <c r="B233" s="60"/>
      <c r="C233" s="54" t="s">
        <v>168</v>
      </c>
      <c r="D233" s="435" t="str">
        <f>IFERROR(VLOOKUP(C233,Mychart!$A$125:$B$811,2,FALSE),"-")</f>
        <v>UTS Carrier</v>
      </c>
      <c r="E233" s="676" t="s">
        <v>834</v>
      </c>
      <c r="F233" s="58">
        <v>1</v>
      </c>
      <c r="G233" s="58"/>
      <c r="H233" s="58"/>
      <c r="I233" s="58"/>
      <c r="J233" s="137"/>
      <c r="K233" s="56" t="s">
        <v>1265</v>
      </c>
      <c r="L233" s="292">
        <v>257</v>
      </c>
      <c r="M233" s="292"/>
      <c r="N233" s="358"/>
      <c r="O233" s="292"/>
      <c r="P233" s="292">
        <v>1</v>
      </c>
      <c r="Q233" s="614"/>
      <c r="R233" s="913">
        <f t="shared" si="16"/>
        <v>0</v>
      </c>
      <c r="S233" s="913">
        <f t="shared" si="17"/>
        <v>0</v>
      </c>
      <c r="T233" s="913">
        <f t="shared" si="18"/>
        <v>0</v>
      </c>
      <c r="U233" s="914">
        <f t="shared" si="19"/>
        <v>0</v>
      </c>
      <c r="V233" s="612"/>
      <c r="W233" s="612"/>
      <c r="X233" s="612"/>
      <c r="Y233" s="612"/>
      <c r="Z233" s="612"/>
      <c r="AA233" s="612"/>
      <c r="AB233" s="612"/>
      <c r="AC233" s="612"/>
    </row>
    <row r="234" spans="1:30">
      <c r="A234" s="66" t="s">
        <v>1259</v>
      </c>
      <c r="B234" s="60"/>
      <c r="C234" s="54" t="s">
        <v>168</v>
      </c>
      <c r="D234" s="435" t="str">
        <f>IFERROR(VLOOKUP(C234,Mychart!$A$125:$B$811,2,FALSE),"-")</f>
        <v>UTS Carrier</v>
      </c>
      <c r="E234" s="676" t="s">
        <v>835</v>
      </c>
      <c r="F234" s="58">
        <v>1</v>
      </c>
      <c r="G234" s="58"/>
      <c r="H234" s="58"/>
      <c r="I234" s="58"/>
      <c r="J234" s="137"/>
      <c r="K234" s="56" t="s">
        <v>1265</v>
      </c>
      <c r="L234" s="292">
        <v>257</v>
      </c>
      <c r="M234" s="292"/>
      <c r="N234" s="358"/>
      <c r="O234" s="292"/>
      <c r="P234" s="292">
        <v>1</v>
      </c>
      <c r="Q234" s="614"/>
      <c r="R234" s="913">
        <f t="shared" si="16"/>
        <v>0</v>
      </c>
      <c r="S234" s="913">
        <f t="shared" si="17"/>
        <v>0</v>
      </c>
      <c r="T234" s="913">
        <f t="shared" si="18"/>
        <v>0</v>
      </c>
      <c r="U234" s="914">
        <f t="shared" si="19"/>
        <v>0</v>
      </c>
      <c r="V234" s="612"/>
      <c r="W234" s="612"/>
      <c r="X234" s="612"/>
      <c r="Y234" s="612"/>
      <c r="Z234" s="612"/>
      <c r="AA234" s="612"/>
      <c r="AB234" s="612"/>
      <c r="AC234" s="612"/>
    </row>
    <row r="235" spans="1:30">
      <c r="A235" s="66" t="s">
        <v>1259</v>
      </c>
      <c r="B235" s="60"/>
      <c r="C235" s="54" t="s">
        <v>168</v>
      </c>
      <c r="D235" s="435" t="str">
        <f>IFERROR(VLOOKUP(C235,Mychart!$A$125:$B$811,2,FALSE),"-")</f>
        <v>UTS Carrier</v>
      </c>
      <c r="E235" s="676" t="s">
        <v>1236</v>
      </c>
      <c r="F235" s="58">
        <v>13</v>
      </c>
      <c r="G235" s="58"/>
      <c r="H235" s="58"/>
      <c r="I235" s="58"/>
      <c r="J235" s="137"/>
      <c r="K235" s="56" t="s">
        <v>1265</v>
      </c>
      <c r="L235" s="292">
        <v>257</v>
      </c>
      <c r="M235" s="292"/>
      <c r="N235" s="358"/>
      <c r="O235" s="292"/>
      <c r="P235" s="292"/>
      <c r="Q235" s="614"/>
      <c r="R235" s="913">
        <f t="shared" si="16"/>
        <v>0</v>
      </c>
      <c r="S235" s="913">
        <f t="shared" si="17"/>
        <v>0</v>
      </c>
      <c r="T235" s="913">
        <f t="shared" si="18"/>
        <v>0</v>
      </c>
      <c r="U235" s="914">
        <f t="shared" si="19"/>
        <v>13</v>
      </c>
      <c r="V235" s="612"/>
      <c r="W235" s="612"/>
      <c r="X235" s="612"/>
      <c r="Y235" s="612"/>
      <c r="Z235" s="612"/>
      <c r="AA235" s="612"/>
      <c r="AB235" s="612"/>
      <c r="AC235" s="612"/>
    </row>
    <row r="236" spans="1:30">
      <c r="A236" s="66" t="s">
        <v>1259</v>
      </c>
      <c r="B236" s="60"/>
      <c r="C236" s="54" t="s">
        <v>168</v>
      </c>
      <c r="D236" s="435" t="str">
        <f>IFERROR(VLOOKUP(C236,Mychart!$A$125:$B$811,2,FALSE),"-")</f>
        <v>UTS Carrier</v>
      </c>
      <c r="E236" s="676"/>
      <c r="F236" s="58"/>
      <c r="G236" s="58"/>
      <c r="H236" s="58"/>
      <c r="I236" s="58"/>
      <c r="J236" s="137"/>
      <c r="K236" s="56" t="s">
        <v>1265</v>
      </c>
      <c r="L236" s="292">
        <v>257</v>
      </c>
      <c r="M236" s="292" t="s">
        <v>5915</v>
      </c>
      <c r="N236" s="358">
        <v>97776.25</v>
      </c>
      <c r="O236" s="292">
        <v>97744.5</v>
      </c>
      <c r="P236" s="292"/>
      <c r="Q236" s="614">
        <v>97744.5</v>
      </c>
      <c r="R236" s="913">
        <f t="shared" si="16"/>
        <v>-31.75</v>
      </c>
      <c r="S236" s="913">
        <f t="shared" si="17"/>
        <v>-31.75</v>
      </c>
      <c r="T236" s="913">
        <f t="shared" si="18"/>
        <v>0</v>
      </c>
      <c r="U236" s="914">
        <f t="shared" si="19"/>
        <v>0</v>
      </c>
      <c r="V236" s="612"/>
      <c r="W236" s="612"/>
      <c r="X236" s="612"/>
      <c r="Y236" s="612"/>
      <c r="Z236" s="612"/>
      <c r="AA236" s="612"/>
      <c r="AB236" s="612"/>
      <c r="AC236" s="612"/>
      <c r="AD236" s="930">
        <v>45626.496122685188</v>
      </c>
    </row>
    <row r="237" spans="1:30">
      <c r="A237" s="66" t="s">
        <v>1260</v>
      </c>
      <c r="B237" s="60"/>
      <c r="C237" s="54" t="s">
        <v>168</v>
      </c>
      <c r="D237" s="435" t="str">
        <f>IFERROR(VLOOKUP(C237,Mychart!$A$125:$B$811,2,FALSE),"-")</f>
        <v>UTS Carrier</v>
      </c>
      <c r="E237" s="676" t="s">
        <v>1100</v>
      </c>
      <c r="F237" s="58">
        <v>2</v>
      </c>
      <c r="G237" s="58"/>
      <c r="H237" s="58"/>
      <c r="I237" s="58"/>
      <c r="J237" s="137"/>
      <c r="K237" s="56" t="s">
        <v>1266</v>
      </c>
      <c r="L237" s="292">
        <v>246</v>
      </c>
      <c r="M237" s="292"/>
      <c r="N237" s="358"/>
      <c r="O237" s="292"/>
      <c r="P237" s="292"/>
      <c r="Q237" s="614"/>
      <c r="R237" s="913">
        <f t="shared" si="16"/>
        <v>0</v>
      </c>
      <c r="S237" s="913">
        <f t="shared" si="17"/>
        <v>0</v>
      </c>
      <c r="T237" s="913">
        <f t="shared" si="18"/>
        <v>0</v>
      </c>
      <c r="U237" s="914">
        <f t="shared" si="19"/>
        <v>2</v>
      </c>
      <c r="V237" s="612"/>
      <c r="W237" s="612"/>
      <c r="X237" s="612"/>
      <c r="Y237" s="612"/>
      <c r="Z237" s="612"/>
      <c r="AA237" s="612"/>
      <c r="AB237" s="612"/>
      <c r="AC237" s="612"/>
    </row>
    <row r="238" spans="1:30">
      <c r="A238" s="66" t="s">
        <v>1260</v>
      </c>
      <c r="B238" s="60"/>
      <c r="C238" s="54" t="s">
        <v>168</v>
      </c>
      <c r="D238" s="435" t="str">
        <f>IFERROR(VLOOKUP(C238,Mychart!$A$125:$B$811,2,FALSE),"-")</f>
        <v>UTS Carrier</v>
      </c>
      <c r="E238" s="676" t="s">
        <v>1099</v>
      </c>
      <c r="F238" s="58">
        <v>2</v>
      </c>
      <c r="G238" s="58"/>
      <c r="H238" s="58"/>
      <c r="I238" s="58"/>
      <c r="J238" s="137"/>
      <c r="K238" s="56" t="s">
        <v>1266</v>
      </c>
      <c r="L238" s="292">
        <v>246</v>
      </c>
      <c r="M238" s="292"/>
      <c r="N238" s="358"/>
      <c r="O238" s="292"/>
      <c r="P238" s="292"/>
      <c r="Q238" s="614"/>
      <c r="R238" s="913">
        <f t="shared" si="16"/>
        <v>0</v>
      </c>
      <c r="S238" s="913">
        <f t="shared" si="17"/>
        <v>0</v>
      </c>
      <c r="T238" s="913">
        <f t="shared" si="18"/>
        <v>0</v>
      </c>
      <c r="U238" s="914">
        <f t="shared" si="19"/>
        <v>2</v>
      </c>
      <c r="V238" s="612"/>
      <c r="W238" s="612"/>
      <c r="X238" s="612"/>
      <c r="Y238" s="612"/>
      <c r="Z238" s="612"/>
      <c r="AA238" s="612"/>
      <c r="AB238" s="612"/>
      <c r="AC238" s="612"/>
    </row>
    <row r="239" spans="1:30">
      <c r="A239" s="66" t="s">
        <v>1260</v>
      </c>
      <c r="B239" s="60"/>
      <c r="C239" s="54" t="s">
        <v>168</v>
      </c>
      <c r="D239" s="435" t="str">
        <f>IFERROR(VLOOKUP(C239,Mychart!$A$125:$B$811,2,FALSE),"-")</f>
        <v>UTS Carrier</v>
      </c>
      <c r="E239" s="676" t="s">
        <v>833</v>
      </c>
      <c r="F239" s="58">
        <v>3</v>
      </c>
      <c r="G239" s="58"/>
      <c r="H239" s="58"/>
      <c r="I239" s="58"/>
      <c r="J239" s="137"/>
      <c r="K239" s="56" t="s">
        <v>1266</v>
      </c>
      <c r="L239" s="292">
        <v>246</v>
      </c>
      <c r="M239" s="292"/>
      <c r="N239" s="358"/>
      <c r="O239" s="292"/>
      <c r="P239" s="292"/>
      <c r="Q239" s="614"/>
      <c r="R239" s="913">
        <f t="shared" si="16"/>
        <v>0</v>
      </c>
      <c r="S239" s="913">
        <f t="shared" si="17"/>
        <v>0</v>
      </c>
      <c r="T239" s="913">
        <f t="shared" si="18"/>
        <v>0</v>
      </c>
      <c r="U239" s="914">
        <f t="shared" si="19"/>
        <v>3</v>
      </c>
      <c r="V239" s="612"/>
      <c r="W239" s="612"/>
      <c r="X239" s="612"/>
      <c r="Y239" s="612"/>
      <c r="Z239" s="612"/>
      <c r="AA239" s="612"/>
      <c r="AB239" s="612"/>
      <c r="AC239" s="612"/>
    </row>
    <row r="240" spans="1:30">
      <c r="A240" s="66" t="s">
        <v>1260</v>
      </c>
      <c r="B240" s="60"/>
      <c r="C240" s="54" t="s">
        <v>168</v>
      </c>
      <c r="D240" s="435" t="str">
        <f>IFERROR(VLOOKUP(C240,Mychart!$A$125:$B$811,2,FALSE),"-")</f>
        <v>UTS Carrier</v>
      </c>
      <c r="E240" s="676" t="s">
        <v>832</v>
      </c>
      <c r="F240" s="58">
        <v>3</v>
      </c>
      <c r="G240" s="58"/>
      <c r="H240" s="58"/>
      <c r="I240" s="58"/>
      <c r="J240" s="137"/>
      <c r="K240" s="56" t="s">
        <v>1266</v>
      </c>
      <c r="L240" s="292">
        <v>246</v>
      </c>
      <c r="M240" s="292"/>
      <c r="N240" s="358"/>
      <c r="O240" s="292"/>
      <c r="P240" s="292"/>
      <c r="Q240" s="614"/>
      <c r="R240" s="913">
        <f t="shared" si="16"/>
        <v>0</v>
      </c>
      <c r="S240" s="913">
        <f t="shared" si="17"/>
        <v>0</v>
      </c>
      <c r="T240" s="913">
        <f t="shared" si="18"/>
        <v>0</v>
      </c>
      <c r="U240" s="914">
        <f t="shared" si="19"/>
        <v>3</v>
      </c>
      <c r="V240" s="612"/>
      <c r="W240" s="612"/>
      <c r="X240" s="612"/>
      <c r="Y240" s="612"/>
      <c r="Z240" s="612"/>
      <c r="AA240" s="612"/>
      <c r="AB240" s="612"/>
      <c r="AC240" s="612"/>
    </row>
    <row r="241" spans="1:29">
      <c r="A241" s="66" t="s">
        <v>1260</v>
      </c>
      <c r="B241" s="60"/>
      <c r="C241" s="54" t="s">
        <v>168</v>
      </c>
      <c r="D241" s="435" t="str">
        <f>IFERROR(VLOOKUP(C241,Mychart!$A$125:$B$811,2,FALSE),"-")</f>
        <v>UTS Carrier</v>
      </c>
      <c r="E241" s="676" t="s">
        <v>1170</v>
      </c>
      <c r="F241" s="58">
        <v>1</v>
      </c>
      <c r="G241" s="58"/>
      <c r="H241" s="58"/>
      <c r="I241" s="58"/>
      <c r="J241" s="137"/>
      <c r="K241" s="56" t="s">
        <v>1266</v>
      </c>
      <c r="L241" s="292">
        <v>246</v>
      </c>
      <c r="M241" s="292"/>
      <c r="N241" s="358"/>
      <c r="O241" s="292"/>
      <c r="P241" s="292"/>
      <c r="Q241" s="614"/>
      <c r="R241" s="913">
        <f t="shared" si="16"/>
        <v>0</v>
      </c>
      <c r="S241" s="913">
        <f t="shared" si="17"/>
        <v>0</v>
      </c>
      <c r="T241" s="913">
        <f t="shared" si="18"/>
        <v>0</v>
      </c>
      <c r="U241" s="914">
        <f t="shared" si="19"/>
        <v>1</v>
      </c>
      <c r="V241" s="612"/>
      <c r="W241" s="612"/>
      <c r="X241" s="612"/>
      <c r="Y241" s="612"/>
      <c r="Z241" s="612"/>
      <c r="AA241" s="612"/>
      <c r="AB241" s="612"/>
      <c r="AC241" s="612"/>
    </row>
    <row r="242" spans="1:29">
      <c r="A242" s="66" t="s">
        <v>1260</v>
      </c>
      <c r="B242" s="60"/>
      <c r="C242" s="54" t="s">
        <v>168</v>
      </c>
      <c r="D242" s="435" t="str">
        <f>IFERROR(VLOOKUP(C242,Mychart!$A$125:$B$811,2,FALSE),"-")</f>
        <v>UTS Carrier</v>
      </c>
      <c r="E242" s="676" t="s">
        <v>1169</v>
      </c>
      <c r="F242" s="58">
        <v>1</v>
      </c>
      <c r="G242" s="58"/>
      <c r="H242" s="58"/>
      <c r="I242" s="58"/>
      <c r="J242" s="137"/>
      <c r="K242" s="56" t="s">
        <v>1266</v>
      </c>
      <c r="L242" s="292">
        <v>246</v>
      </c>
      <c r="M242" s="292"/>
      <c r="N242" s="358"/>
      <c r="O242" s="292"/>
      <c r="P242" s="292"/>
      <c r="Q242" s="614"/>
      <c r="R242" s="913">
        <f t="shared" si="16"/>
        <v>0</v>
      </c>
      <c r="S242" s="913">
        <f t="shared" si="17"/>
        <v>0</v>
      </c>
      <c r="T242" s="913">
        <f t="shared" si="18"/>
        <v>0</v>
      </c>
      <c r="U242" s="914">
        <f t="shared" si="19"/>
        <v>1</v>
      </c>
      <c r="V242" s="612"/>
      <c r="W242" s="612"/>
      <c r="X242" s="612"/>
      <c r="Y242" s="612"/>
      <c r="Z242" s="612"/>
      <c r="AA242" s="612"/>
      <c r="AB242" s="612"/>
      <c r="AC242" s="612"/>
    </row>
    <row r="243" spans="1:29">
      <c r="A243" s="66" t="s">
        <v>1260</v>
      </c>
      <c r="B243" s="60"/>
      <c r="C243" s="54" t="s">
        <v>168</v>
      </c>
      <c r="D243" s="435" t="str">
        <f>IFERROR(VLOOKUP(C243,Mychart!$A$125:$B$811,2,FALSE),"-")</f>
        <v>UTS Carrier</v>
      </c>
      <c r="E243" s="676" t="s">
        <v>237</v>
      </c>
      <c r="F243" s="58">
        <v>1</v>
      </c>
      <c r="G243" s="58"/>
      <c r="H243" s="58"/>
      <c r="I243" s="58"/>
      <c r="J243" s="137"/>
      <c r="K243" s="56" t="s">
        <v>1266</v>
      </c>
      <c r="L243" s="292">
        <v>246</v>
      </c>
      <c r="M243" s="292"/>
      <c r="N243" s="358"/>
      <c r="O243" s="292"/>
      <c r="P243" s="292"/>
      <c r="Q243" s="614"/>
      <c r="R243" s="913">
        <f t="shared" si="16"/>
        <v>0</v>
      </c>
      <c r="S243" s="913">
        <f t="shared" si="17"/>
        <v>0</v>
      </c>
      <c r="T243" s="913">
        <f t="shared" si="18"/>
        <v>0</v>
      </c>
      <c r="U243" s="914">
        <f t="shared" si="19"/>
        <v>1</v>
      </c>
      <c r="V243" s="612"/>
      <c r="W243" s="612"/>
      <c r="X243" s="612"/>
      <c r="Y243" s="612"/>
      <c r="Z243" s="612"/>
      <c r="AA243" s="612"/>
      <c r="AB243" s="612"/>
      <c r="AC243" s="612"/>
    </row>
    <row r="244" spans="1:29">
      <c r="A244" s="66" t="s">
        <v>1260</v>
      </c>
      <c r="B244" s="60"/>
      <c r="C244" s="54" t="s">
        <v>168</v>
      </c>
      <c r="D244" s="435" t="str">
        <f>IFERROR(VLOOKUP(C244,Mychart!$A$125:$B$811,2,FALSE),"-")</f>
        <v>UTS Carrier</v>
      </c>
      <c r="E244" s="676" t="s">
        <v>236</v>
      </c>
      <c r="F244" s="58">
        <v>1</v>
      </c>
      <c r="G244" s="58"/>
      <c r="H244" s="58"/>
      <c r="I244" s="58"/>
      <c r="J244" s="137"/>
      <c r="K244" s="56" t="s">
        <v>1266</v>
      </c>
      <c r="L244" s="292">
        <v>246</v>
      </c>
      <c r="M244" s="292"/>
      <c r="N244" s="358"/>
      <c r="O244" s="292"/>
      <c r="P244" s="292"/>
      <c r="Q244" s="614"/>
      <c r="R244" s="913">
        <f t="shared" si="16"/>
        <v>0</v>
      </c>
      <c r="S244" s="913">
        <f t="shared" si="17"/>
        <v>0</v>
      </c>
      <c r="T244" s="913">
        <f t="shared" si="18"/>
        <v>0</v>
      </c>
      <c r="U244" s="914">
        <f t="shared" si="19"/>
        <v>1</v>
      </c>
      <c r="V244" s="612"/>
      <c r="W244" s="612"/>
      <c r="X244" s="612"/>
      <c r="Y244" s="612"/>
      <c r="Z244" s="612"/>
      <c r="AA244" s="612"/>
      <c r="AB244" s="612"/>
      <c r="AC244" s="612"/>
    </row>
    <row r="245" spans="1:29">
      <c r="A245" s="66" t="s">
        <v>1260</v>
      </c>
      <c r="B245" s="60"/>
      <c r="C245" s="54" t="s">
        <v>168</v>
      </c>
      <c r="D245" s="435" t="str">
        <f>IFERROR(VLOOKUP(C245,Mychart!$A$125:$B$811,2,FALSE),"-")</f>
        <v>UTS Carrier</v>
      </c>
      <c r="E245" s="676" t="s">
        <v>828</v>
      </c>
      <c r="F245" s="58">
        <v>2</v>
      </c>
      <c r="G245" s="58"/>
      <c r="H245" s="58"/>
      <c r="I245" s="58"/>
      <c r="J245" s="137"/>
      <c r="K245" s="56" t="s">
        <v>1266</v>
      </c>
      <c r="L245" s="292">
        <v>246</v>
      </c>
      <c r="M245" s="292"/>
      <c r="N245" s="358"/>
      <c r="O245" s="292"/>
      <c r="P245" s="292"/>
      <c r="Q245" s="614"/>
      <c r="R245" s="913">
        <f t="shared" si="16"/>
        <v>0</v>
      </c>
      <c r="S245" s="913">
        <f t="shared" si="17"/>
        <v>0</v>
      </c>
      <c r="T245" s="913">
        <f t="shared" si="18"/>
        <v>0</v>
      </c>
      <c r="U245" s="914">
        <f t="shared" si="19"/>
        <v>2</v>
      </c>
      <c r="V245" s="612"/>
      <c r="W245" s="612"/>
      <c r="X245" s="612"/>
      <c r="Y245" s="612"/>
      <c r="Z245" s="612"/>
      <c r="AA245" s="612"/>
      <c r="AB245" s="612"/>
      <c r="AC245" s="612"/>
    </row>
    <row r="246" spans="1:29">
      <c r="A246" s="66" t="s">
        <v>1260</v>
      </c>
      <c r="B246" s="60"/>
      <c r="C246" s="54" t="s">
        <v>168</v>
      </c>
      <c r="D246" s="435" t="str">
        <f>IFERROR(VLOOKUP(C246,Mychart!$A$125:$B$811,2,FALSE),"-")</f>
        <v>UTS Carrier</v>
      </c>
      <c r="E246" s="676" t="s">
        <v>827</v>
      </c>
      <c r="F246" s="58">
        <v>2</v>
      </c>
      <c r="G246" s="58"/>
      <c r="H246" s="58"/>
      <c r="I246" s="58"/>
      <c r="J246" s="137"/>
      <c r="K246" s="56" t="s">
        <v>1266</v>
      </c>
      <c r="L246" s="292">
        <v>246</v>
      </c>
      <c r="M246" s="292"/>
      <c r="N246" s="358"/>
      <c r="O246" s="292"/>
      <c r="P246" s="292"/>
      <c r="Q246" s="614"/>
      <c r="R246" s="913">
        <f t="shared" si="16"/>
        <v>0</v>
      </c>
      <c r="S246" s="913">
        <f t="shared" si="17"/>
        <v>0</v>
      </c>
      <c r="T246" s="913">
        <f t="shared" si="18"/>
        <v>0</v>
      </c>
      <c r="U246" s="914">
        <f t="shared" si="19"/>
        <v>2</v>
      </c>
      <c r="V246" s="612"/>
      <c r="W246" s="612"/>
      <c r="X246" s="612"/>
      <c r="Y246" s="612"/>
      <c r="Z246" s="612"/>
      <c r="AA246" s="612"/>
      <c r="AB246" s="612"/>
      <c r="AC246" s="612"/>
    </row>
    <row r="247" spans="1:29">
      <c r="A247" s="66" t="s">
        <v>1260</v>
      </c>
      <c r="B247" s="60"/>
      <c r="C247" s="54" t="s">
        <v>168</v>
      </c>
      <c r="D247" s="435" t="str">
        <f>IFERROR(VLOOKUP(C247,Mychart!$A$125:$B$811,2,FALSE),"-")</f>
        <v>UTS Carrier</v>
      </c>
      <c r="E247" s="676" t="s">
        <v>235</v>
      </c>
      <c r="F247" s="58">
        <v>1</v>
      </c>
      <c r="G247" s="58"/>
      <c r="H247" s="58"/>
      <c r="I247" s="58"/>
      <c r="J247" s="137"/>
      <c r="K247" s="56" t="s">
        <v>1266</v>
      </c>
      <c r="L247" s="292">
        <v>246</v>
      </c>
      <c r="M247" s="292"/>
      <c r="N247" s="358"/>
      <c r="O247" s="292"/>
      <c r="P247" s="292"/>
      <c r="Q247" s="614"/>
      <c r="R247" s="913">
        <f t="shared" si="16"/>
        <v>0</v>
      </c>
      <c r="S247" s="913">
        <f t="shared" si="17"/>
        <v>0</v>
      </c>
      <c r="T247" s="913">
        <f t="shared" si="18"/>
        <v>0</v>
      </c>
      <c r="U247" s="914">
        <f t="shared" si="19"/>
        <v>1</v>
      </c>
      <c r="V247" s="612"/>
      <c r="W247" s="612"/>
      <c r="X247" s="612"/>
      <c r="Y247" s="612"/>
      <c r="Z247" s="612"/>
      <c r="AA247" s="612"/>
      <c r="AB247" s="612"/>
      <c r="AC247" s="612"/>
    </row>
    <row r="248" spans="1:29">
      <c r="A248" s="66" t="s">
        <v>1260</v>
      </c>
      <c r="B248" s="60"/>
      <c r="C248" s="54" t="s">
        <v>168</v>
      </c>
      <c r="D248" s="435" t="str">
        <f>IFERROR(VLOOKUP(C248,Mychart!$A$125:$B$811,2,FALSE),"-")</f>
        <v>UTS Carrier</v>
      </c>
      <c r="E248" s="676" t="s">
        <v>234</v>
      </c>
      <c r="F248" s="58">
        <v>1</v>
      </c>
      <c r="G248" s="58"/>
      <c r="H248" s="58"/>
      <c r="I248" s="58"/>
      <c r="J248" s="137"/>
      <c r="K248" s="56" t="s">
        <v>1266</v>
      </c>
      <c r="L248" s="292">
        <v>246</v>
      </c>
      <c r="M248" s="292"/>
      <c r="N248" s="358"/>
      <c r="O248" s="292"/>
      <c r="P248" s="292"/>
      <c r="Q248" s="614"/>
      <c r="R248" s="913">
        <f t="shared" si="16"/>
        <v>0</v>
      </c>
      <c r="S248" s="913">
        <f t="shared" si="17"/>
        <v>0</v>
      </c>
      <c r="T248" s="913">
        <f t="shared" si="18"/>
        <v>0</v>
      </c>
      <c r="U248" s="914">
        <f t="shared" si="19"/>
        <v>1</v>
      </c>
      <c r="V248" s="612"/>
      <c r="W248" s="612"/>
      <c r="X248" s="612"/>
      <c r="Y248" s="612"/>
      <c r="Z248" s="612"/>
      <c r="AA248" s="612"/>
      <c r="AB248" s="612"/>
      <c r="AC248" s="612"/>
    </row>
    <row r="249" spans="1:29">
      <c r="A249" s="66" t="s">
        <v>1260</v>
      </c>
      <c r="B249" s="60"/>
      <c r="C249" s="54" t="s">
        <v>168</v>
      </c>
      <c r="D249" s="435" t="str">
        <f>IFERROR(VLOOKUP(C249,Mychart!$A$125:$B$811,2,FALSE),"-")</f>
        <v>UTS Carrier</v>
      </c>
      <c r="E249" s="676" t="s">
        <v>233</v>
      </c>
      <c r="F249" s="58">
        <v>7</v>
      </c>
      <c r="G249" s="58"/>
      <c r="H249" s="58"/>
      <c r="I249" s="58"/>
      <c r="J249" s="137"/>
      <c r="K249" s="56" t="s">
        <v>1266</v>
      </c>
      <c r="L249" s="292">
        <v>246</v>
      </c>
      <c r="M249" s="292"/>
      <c r="N249" s="358"/>
      <c r="O249" s="292"/>
      <c r="P249" s="292"/>
      <c r="Q249" s="614"/>
      <c r="R249" s="913">
        <f t="shared" si="16"/>
        <v>0</v>
      </c>
      <c r="S249" s="913">
        <f t="shared" si="17"/>
        <v>0</v>
      </c>
      <c r="T249" s="913">
        <f t="shared" si="18"/>
        <v>0</v>
      </c>
      <c r="U249" s="914">
        <f t="shared" si="19"/>
        <v>7</v>
      </c>
      <c r="V249" s="612"/>
      <c r="W249" s="612"/>
      <c r="X249" s="612"/>
      <c r="Y249" s="612"/>
      <c r="Z249" s="612"/>
      <c r="AA249" s="612"/>
      <c r="AB249" s="612"/>
      <c r="AC249" s="612"/>
    </row>
    <row r="250" spans="1:29">
      <c r="A250" s="66" t="s">
        <v>1260</v>
      </c>
      <c r="B250" s="60"/>
      <c r="C250" s="54" t="s">
        <v>168</v>
      </c>
      <c r="D250" s="435" t="str">
        <f>IFERROR(VLOOKUP(C250,Mychart!$A$125:$B$811,2,FALSE),"-")</f>
        <v>UTS Carrier</v>
      </c>
      <c r="E250" s="676" t="s">
        <v>232</v>
      </c>
      <c r="F250" s="58">
        <v>7</v>
      </c>
      <c r="G250" s="58"/>
      <c r="H250" s="58"/>
      <c r="I250" s="58"/>
      <c r="J250" s="137"/>
      <c r="K250" s="56" t="s">
        <v>1266</v>
      </c>
      <c r="L250" s="292">
        <v>246</v>
      </c>
      <c r="M250" s="292"/>
      <c r="N250" s="358"/>
      <c r="O250" s="292"/>
      <c r="P250" s="292"/>
      <c r="Q250" s="614"/>
      <c r="R250" s="913">
        <f t="shared" si="16"/>
        <v>0</v>
      </c>
      <c r="S250" s="913">
        <f t="shared" si="17"/>
        <v>0</v>
      </c>
      <c r="T250" s="913">
        <f t="shared" si="18"/>
        <v>0</v>
      </c>
      <c r="U250" s="914">
        <f t="shared" si="19"/>
        <v>7</v>
      </c>
      <c r="V250" s="612"/>
      <c r="W250" s="612"/>
      <c r="X250" s="612"/>
      <c r="Y250" s="612"/>
      <c r="Z250" s="612"/>
      <c r="AA250" s="612"/>
      <c r="AB250" s="612"/>
      <c r="AC250" s="612"/>
    </row>
    <row r="251" spans="1:29">
      <c r="A251" s="66" t="s">
        <v>1260</v>
      </c>
      <c r="B251" s="60"/>
      <c r="C251" s="54" t="s">
        <v>168</v>
      </c>
      <c r="D251" s="435" t="str">
        <f>IFERROR(VLOOKUP(C251,Mychart!$A$125:$B$811,2,FALSE),"-")</f>
        <v>UTS Carrier</v>
      </c>
      <c r="E251" s="676"/>
      <c r="F251" s="58"/>
      <c r="G251" s="58"/>
      <c r="H251" s="58"/>
      <c r="I251" s="58"/>
      <c r="J251" s="137"/>
      <c r="K251" s="56" t="s">
        <v>1266</v>
      </c>
      <c r="L251" s="292">
        <v>246</v>
      </c>
      <c r="M251" s="292"/>
      <c r="N251" s="358">
        <v>32892</v>
      </c>
      <c r="O251" s="292">
        <v>32892</v>
      </c>
      <c r="P251" s="292"/>
      <c r="Q251" s="614">
        <v>98857.5</v>
      </c>
      <c r="R251" s="913">
        <f t="shared" si="16"/>
        <v>0</v>
      </c>
      <c r="S251" s="913">
        <f t="shared" si="17"/>
        <v>65965.5</v>
      </c>
      <c r="T251" s="913">
        <f t="shared" si="18"/>
        <v>65965.5</v>
      </c>
      <c r="U251" s="914">
        <f t="shared" si="19"/>
        <v>0</v>
      </c>
      <c r="V251" s="612"/>
      <c r="W251" s="612"/>
      <c r="X251" s="612"/>
      <c r="Y251" s="612"/>
      <c r="Z251" s="612"/>
      <c r="AA251" s="612"/>
      <c r="AB251" s="612"/>
      <c r="AC251" s="612"/>
    </row>
    <row r="252" spans="1:29">
      <c r="A252" s="66" t="s">
        <v>1261</v>
      </c>
      <c r="B252" s="60"/>
      <c r="C252" s="54" t="s">
        <v>168</v>
      </c>
      <c r="D252" s="435" t="str">
        <f>IFERROR(VLOOKUP(C252,Mychart!$A$125:$B$811,2,FALSE),"-")</f>
        <v>UTS Carrier</v>
      </c>
      <c r="E252" s="676" t="s">
        <v>825</v>
      </c>
      <c r="F252" s="58">
        <v>1</v>
      </c>
      <c r="G252" s="58"/>
      <c r="H252" s="58"/>
      <c r="I252" s="58"/>
      <c r="J252" s="137"/>
      <c r="K252" s="56" t="s">
        <v>1267</v>
      </c>
      <c r="L252" s="292">
        <v>197</v>
      </c>
      <c r="M252" s="292"/>
      <c r="N252" s="358"/>
      <c r="O252" s="292"/>
      <c r="P252" s="292"/>
      <c r="Q252" s="614"/>
      <c r="R252" s="913">
        <f t="shared" si="16"/>
        <v>0</v>
      </c>
      <c r="S252" s="913">
        <f t="shared" si="17"/>
        <v>0</v>
      </c>
      <c r="T252" s="913">
        <f t="shared" si="18"/>
        <v>0</v>
      </c>
      <c r="U252" s="914">
        <f t="shared" si="19"/>
        <v>1</v>
      </c>
      <c r="V252" s="612"/>
      <c r="W252" s="612"/>
      <c r="X252" s="612"/>
      <c r="Y252" s="612"/>
      <c r="Z252" s="612"/>
      <c r="AA252" s="612"/>
      <c r="AB252" s="612"/>
      <c r="AC252" s="612"/>
    </row>
    <row r="253" spans="1:29">
      <c r="A253" s="66" t="s">
        <v>1261</v>
      </c>
      <c r="B253" s="60"/>
      <c r="C253" s="54" t="s">
        <v>168</v>
      </c>
      <c r="D253" s="435" t="str">
        <f>IFERROR(VLOOKUP(C253,Mychart!$A$125:$B$811,2,FALSE),"-")</f>
        <v>UTS Carrier</v>
      </c>
      <c r="E253" s="676" t="s">
        <v>232</v>
      </c>
      <c r="F253" s="58">
        <v>3</v>
      </c>
      <c r="G253" s="58"/>
      <c r="H253" s="58"/>
      <c r="I253" s="58"/>
      <c r="J253" s="137"/>
      <c r="K253" s="56" t="s">
        <v>1267</v>
      </c>
      <c r="L253" s="292">
        <v>197</v>
      </c>
      <c r="M253" s="292"/>
      <c r="N253" s="358"/>
      <c r="O253" s="292"/>
      <c r="P253" s="292"/>
      <c r="Q253" s="614"/>
      <c r="R253" s="913">
        <f t="shared" si="16"/>
        <v>0</v>
      </c>
      <c r="S253" s="913">
        <f t="shared" si="17"/>
        <v>0</v>
      </c>
      <c r="T253" s="913">
        <f t="shared" si="18"/>
        <v>0</v>
      </c>
      <c r="U253" s="914">
        <f t="shared" si="19"/>
        <v>3</v>
      </c>
      <c r="V253" s="612"/>
      <c r="W253" s="612"/>
      <c r="X253" s="612"/>
      <c r="Y253" s="612"/>
      <c r="Z253" s="612"/>
      <c r="AA253" s="612"/>
      <c r="AB253" s="612"/>
      <c r="AC253" s="612"/>
    </row>
    <row r="254" spans="1:29">
      <c r="A254" s="66" t="s">
        <v>1261</v>
      </c>
      <c r="B254" s="60"/>
      <c r="C254" s="54" t="s">
        <v>168</v>
      </c>
      <c r="D254" s="435" t="str">
        <f>IFERROR(VLOOKUP(C254,Mychart!$A$125:$B$811,2,FALSE),"-")</f>
        <v>UTS Carrier</v>
      </c>
      <c r="E254" s="676" t="s">
        <v>1236</v>
      </c>
      <c r="F254" s="58">
        <v>4</v>
      </c>
      <c r="G254" s="58"/>
      <c r="H254" s="58"/>
      <c r="I254" s="58"/>
      <c r="J254" s="137"/>
      <c r="K254" s="56" t="s">
        <v>1267</v>
      </c>
      <c r="L254" s="292">
        <v>197</v>
      </c>
      <c r="M254" s="292"/>
      <c r="N254" s="358"/>
      <c r="O254" s="292"/>
      <c r="P254" s="292"/>
      <c r="Q254" s="614"/>
      <c r="R254" s="913">
        <f t="shared" si="16"/>
        <v>0</v>
      </c>
      <c r="S254" s="913">
        <f t="shared" si="17"/>
        <v>0</v>
      </c>
      <c r="T254" s="913">
        <f t="shared" si="18"/>
        <v>0</v>
      </c>
      <c r="U254" s="914">
        <f t="shared" si="19"/>
        <v>4</v>
      </c>
      <c r="V254" s="612"/>
      <c r="W254" s="612"/>
      <c r="X254" s="612"/>
      <c r="Y254" s="612"/>
      <c r="Z254" s="612"/>
      <c r="AA254" s="612"/>
      <c r="AB254" s="612"/>
      <c r="AC254" s="612"/>
    </row>
    <row r="255" spans="1:29">
      <c r="A255" s="66" t="s">
        <v>1261</v>
      </c>
      <c r="B255" s="60"/>
      <c r="C255" s="54" t="s">
        <v>168</v>
      </c>
      <c r="D255" s="435" t="str">
        <f>IFERROR(VLOOKUP(C255,Mychart!$A$125:$B$811,2,FALSE),"-")</f>
        <v>UTS Carrier</v>
      </c>
      <c r="E255" s="676" t="s">
        <v>1268</v>
      </c>
      <c r="F255" s="58">
        <v>1</v>
      </c>
      <c r="G255" s="58"/>
      <c r="H255" s="58"/>
      <c r="I255" s="58"/>
      <c r="J255" s="137"/>
      <c r="K255" s="56" t="s">
        <v>1267</v>
      </c>
      <c r="L255" s="292">
        <v>197</v>
      </c>
      <c r="M255" s="292"/>
      <c r="N255" s="358"/>
      <c r="O255" s="292"/>
      <c r="P255" s="292"/>
      <c r="Q255" s="614"/>
      <c r="R255" s="913">
        <f t="shared" si="16"/>
        <v>0</v>
      </c>
      <c r="S255" s="913">
        <f t="shared" si="17"/>
        <v>0</v>
      </c>
      <c r="T255" s="913">
        <f t="shared" si="18"/>
        <v>0</v>
      </c>
      <c r="U255" s="914">
        <f t="shared" si="19"/>
        <v>1</v>
      </c>
      <c r="V255" s="612"/>
      <c r="W255" s="612"/>
      <c r="X255" s="612"/>
      <c r="Y255" s="612"/>
      <c r="Z255" s="612"/>
      <c r="AA255" s="612"/>
      <c r="AB255" s="612"/>
      <c r="AC255" s="612"/>
    </row>
    <row r="256" spans="1:29">
      <c r="A256" s="66" t="s">
        <v>1261</v>
      </c>
      <c r="B256" s="60"/>
      <c r="C256" s="54" t="s">
        <v>168</v>
      </c>
      <c r="D256" s="435" t="str">
        <f>IFERROR(VLOOKUP(C256,Mychart!$A$125:$B$811,2,FALSE),"-")</f>
        <v>UTS Carrier</v>
      </c>
      <c r="E256" s="676" t="s">
        <v>1170</v>
      </c>
      <c r="F256" s="58">
        <v>1</v>
      </c>
      <c r="G256" s="58"/>
      <c r="H256" s="58"/>
      <c r="I256" s="58"/>
      <c r="J256" s="137"/>
      <c r="K256" s="56" t="s">
        <v>1267</v>
      </c>
      <c r="L256" s="292">
        <v>197</v>
      </c>
      <c r="M256" s="292"/>
      <c r="N256" s="358"/>
      <c r="O256" s="292"/>
      <c r="P256" s="292"/>
      <c r="Q256" s="614"/>
      <c r="R256" s="913">
        <f t="shared" si="16"/>
        <v>0</v>
      </c>
      <c r="S256" s="913">
        <f t="shared" si="17"/>
        <v>0</v>
      </c>
      <c r="T256" s="913">
        <f t="shared" si="18"/>
        <v>0</v>
      </c>
      <c r="U256" s="914">
        <f t="shared" si="19"/>
        <v>1</v>
      </c>
      <c r="V256" s="612"/>
      <c r="W256" s="612"/>
      <c r="X256" s="612"/>
      <c r="Y256" s="612"/>
      <c r="Z256" s="612"/>
      <c r="AA256" s="612"/>
      <c r="AB256" s="612"/>
      <c r="AC256" s="612"/>
    </row>
    <row r="257" spans="1:29">
      <c r="A257" s="66" t="s">
        <v>1261</v>
      </c>
      <c r="B257" s="60"/>
      <c r="C257" s="54" t="s">
        <v>168</v>
      </c>
      <c r="D257" s="435" t="str">
        <f>IFERROR(VLOOKUP(C257,Mychart!$A$125:$B$811,2,FALSE),"-")</f>
        <v>UTS Carrier</v>
      </c>
      <c r="E257" s="676" t="s">
        <v>832</v>
      </c>
      <c r="F257" s="58">
        <v>2</v>
      </c>
      <c r="G257" s="58"/>
      <c r="H257" s="58"/>
      <c r="I257" s="58"/>
      <c r="J257" s="137"/>
      <c r="K257" s="56" t="s">
        <v>1267</v>
      </c>
      <c r="L257" s="292">
        <v>197</v>
      </c>
      <c r="M257" s="292"/>
      <c r="N257" s="358"/>
      <c r="O257" s="292"/>
      <c r="P257" s="292"/>
      <c r="Q257" s="614"/>
      <c r="R257" s="913">
        <f t="shared" si="16"/>
        <v>0</v>
      </c>
      <c r="S257" s="913">
        <f t="shared" si="17"/>
        <v>0</v>
      </c>
      <c r="T257" s="913">
        <f t="shared" si="18"/>
        <v>0</v>
      </c>
      <c r="U257" s="914">
        <f t="shared" si="19"/>
        <v>2</v>
      </c>
      <c r="V257" s="612"/>
      <c r="W257" s="612"/>
      <c r="X257" s="612"/>
      <c r="Y257" s="612"/>
      <c r="Z257" s="612"/>
      <c r="AA257" s="612"/>
      <c r="AB257" s="612"/>
      <c r="AC257" s="612"/>
    </row>
    <row r="258" spans="1:29">
      <c r="A258" s="66" t="s">
        <v>1261</v>
      </c>
      <c r="B258" s="60"/>
      <c r="C258" s="54" t="s">
        <v>168</v>
      </c>
      <c r="D258" s="435" t="str">
        <f>IFERROR(VLOOKUP(C258,Mychart!$A$125:$B$811,2,FALSE),"-")</f>
        <v>UTS Carrier</v>
      </c>
      <c r="E258" s="676" t="s">
        <v>833</v>
      </c>
      <c r="F258" s="58">
        <v>2</v>
      </c>
      <c r="G258" s="58"/>
      <c r="H258" s="58"/>
      <c r="I258" s="58"/>
      <c r="J258" s="137"/>
      <c r="K258" s="56" t="s">
        <v>1267</v>
      </c>
      <c r="L258" s="292">
        <v>197</v>
      </c>
      <c r="M258" s="292"/>
      <c r="N258" s="358"/>
      <c r="O258" s="292"/>
      <c r="P258" s="292"/>
      <c r="Q258" s="614"/>
      <c r="R258" s="913">
        <f t="shared" si="16"/>
        <v>0</v>
      </c>
      <c r="S258" s="913">
        <f t="shared" si="17"/>
        <v>0</v>
      </c>
      <c r="T258" s="913">
        <f t="shared" si="18"/>
        <v>0</v>
      </c>
      <c r="U258" s="914">
        <f t="shared" si="19"/>
        <v>2</v>
      </c>
      <c r="V258" s="612"/>
      <c r="W258" s="612"/>
      <c r="X258" s="612"/>
      <c r="Y258" s="612"/>
      <c r="Z258" s="612"/>
      <c r="AA258" s="612"/>
      <c r="AB258" s="612"/>
      <c r="AC258" s="612"/>
    </row>
    <row r="259" spans="1:29">
      <c r="A259" s="66" t="s">
        <v>1261</v>
      </c>
      <c r="B259" s="60"/>
      <c r="C259" s="54" t="s">
        <v>168</v>
      </c>
      <c r="D259" s="435" t="str">
        <f>IFERROR(VLOOKUP(C259,Mychart!$A$125:$B$811,2,FALSE),"-")</f>
        <v>UTS Carrier</v>
      </c>
      <c r="E259" s="676" t="s">
        <v>1081</v>
      </c>
      <c r="F259" s="58">
        <v>1</v>
      </c>
      <c r="G259" s="58"/>
      <c r="H259" s="58"/>
      <c r="I259" s="58"/>
      <c r="J259" s="137"/>
      <c r="K259" s="56" t="s">
        <v>1267</v>
      </c>
      <c r="L259" s="292">
        <v>197</v>
      </c>
      <c r="M259" s="292"/>
      <c r="N259" s="358"/>
      <c r="O259" s="292"/>
      <c r="P259" s="292"/>
      <c r="Q259" s="614"/>
      <c r="R259" s="913">
        <f t="shared" si="16"/>
        <v>0</v>
      </c>
      <c r="S259" s="913">
        <f t="shared" si="17"/>
        <v>0</v>
      </c>
      <c r="T259" s="913">
        <f t="shared" si="18"/>
        <v>0</v>
      </c>
      <c r="U259" s="914">
        <f t="shared" si="19"/>
        <v>1</v>
      </c>
      <c r="V259" s="612"/>
      <c r="W259" s="612"/>
      <c r="X259" s="612"/>
      <c r="Y259" s="612"/>
      <c r="Z259" s="612"/>
      <c r="AA259" s="612"/>
      <c r="AB259" s="612"/>
      <c r="AC259" s="612"/>
    </row>
    <row r="260" spans="1:29">
      <c r="A260" s="66" t="s">
        <v>1261</v>
      </c>
      <c r="B260" s="60"/>
      <c r="C260" s="54" t="s">
        <v>168</v>
      </c>
      <c r="D260" s="435" t="str">
        <f>IFERROR(VLOOKUP(C260,Mychart!$A$125:$B$811,2,FALSE),"-")</f>
        <v>UTS Carrier</v>
      </c>
      <c r="E260" s="676" t="s">
        <v>1082</v>
      </c>
      <c r="F260" s="58">
        <v>1</v>
      </c>
      <c r="G260" s="58"/>
      <c r="H260" s="58"/>
      <c r="I260" s="58"/>
      <c r="J260" s="137"/>
      <c r="K260" s="56" t="s">
        <v>1267</v>
      </c>
      <c r="L260" s="292">
        <v>197</v>
      </c>
      <c r="M260" s="292"/>
      <c r="N260" s="358"/>
      <c r="O260" s="292"/>
      <c r="P260" s="292"/>
      <c r="Q260" s="614"/>
      <c r="R260" s="913">
        <f t="shared" si="16"/>
        <v>0</v>
      </c>
      <c r="S260" s="913">
        <f t="shared" si="17"/>
        <v>0</v>
      </c>
      <c r="T260" s="913">
        <f t="shared" si="18"/>
        <v>0</v>
      </c>
      <c r="U260" s="914">
        <f t="shared" si="19"/>
        <v>1</v>
      </c>
      <c r="V260" s="612"/>
      <c r="W260" s="612"/>
      <c r="X260" s="612"/>
      <c r="Y260" s="612"/>
      <c r="Z260" s="612"/>
      <c r="AA260" s="612"/>
      <c r="AB260" s="612"/>
      <c r="AC260" s="612"/>
    </row>
    <row r="261" spans="1:29">
      <c r="A261" s="66" t="s">
        <v>1261</v>
      </c>
      <c r="B261" s="60"/>
      <c r="C261" s="54" t="s">
        <v>168</v>
      </c>
      <c r="D261" s="435" t="str">
        <f>IFERROR(VLOOKUP(C261,Mychart!$A$125:$B$811,2,FALSE),"-")</f>
        <v>UTS Carrier</v>
      </c>
      <c r="E261" s="676"/>
      <c r="F261" s="58"/>
      <c r="G261" s="58"/>
      <c r="H261" s="58"/>
      <c r="I261" s="58"/>
      <c r="J261" s="137"/>
      <c r="K261" s="308" t="s">
        <v>1267</v>
      </c>
      <c r="L261" s="292">
        <v>197</v>
      </c>
      <c r="M261" s="292" t="s">
        <v>1293</v>
      </c>
      <c r="N261" s="358"/>
      <c r="O261" s="292"/>
      <c r="P261" s="292"/>
      <c r="Q261" s="614">
        <v>30035.25</v>
      </c>
      <c r="R261" s="913">
        <f t="shared" si="16"/>
        <v>0</v>
      </c>
      <c r="S261" s="913">
        <f t="shared" si="17"/>
        <v>30035.25</v>
      </c>
      <c r="T261" s="913">
        <f t="shared" si="18"/>
        <v>30035.25</v>
      </c>
      <c r="U261" s="914">
        <f t="shared" si="19"/>
        <v>0</v>
      </c>
      <c r="V261" s="612"/>
      <c r="W261" s="612"/>
      <c r="X261" s="612"/>
      <c r="Y261" s="612"/>
      <c r="Z261" s="612"/>
      <c r="AA261" s="612"/>
      <c r="AB261" s="612"/>
      <c r="AC261" s="612"/>
    </row>
    <row r="262" spans="1:29">
      <c r="A262" s="66" t="s">
        <v>1269</v>
      </c>
      <c r="B262" s="60"/>
      <c r="C262" s="54" t="s">
        <v>168</v>
      </c>
      <c r="D262" s="435" t="str">
        <f>IFERROR(VLOOKUP(C262,Mychart!$A$125:$B$811,2,FALSE),"-")</f>
        <v>UTS Carrier</v>
      </c>
      <c r="E262" s="676" t="s">
        <v>827</v>
      </c>
      <c r="F262" s="58">
        <v>1</v>
      </c>
      <c r="G262" s="58"/>
      <c r="H262" s="58"/>
      <c r="I262" s="58"/>
      <c r="J262" s="137"/>
      <c r="K262" s="56" t="s">
        <v>1270</v>
      </c>
      <c r="L262" s="292">
        <v>250</v>
      </c>
      <c r="M262" s="292"/>
      <c r="N262" s="358"/>
      <c r="O262" s="292"/>
      <c r="P262" s="292"/>
      <c r="Q262" s="614"/>
      <c r="R262" s="913">
        <f t="shared" si="16"/>
        <v>0</v>
      </c>
      <c r="S262" s="913">
        <f t="shared" si="17"/>
        <v>0</v>
      </c>
      <c r="T262" s="913">
        <f t="shared" si="18"/>
        <v>0</v>
      </c>
      <c r="U262" s="914">
        <f t="shared" si="19"/>
        <v>1</v>
      </c>
      <c r="V262" s="612"/>
      <c r="W262" s="612"/>
      <c r="X262" s="612"/>
      <c r="Y262" s="612"/>
      <c r="Z262" s="612"/>
      <c r="AA262" s="612"/>
      <c r="AB262" s="612"/>
      <c r="AC262" s="612"/>
    </row>
    <row r="263" spans="1:29">
      <c r="A263" s="66" t="s">
        <v>1269</v>
      </c>
      <c r="B263" s="60"/>
      <c r="C263" s="54" t="s">
        <v>168</v>
      </c>
      <c r="D263" s="435" t="str">
        <f>IFERROR(VLOOKUP(C263,Mychart!$A$125:$B$811,2,FALSE),"-")</f>
        <v>UTS Carrier</v>
      </c>
      <c r="E263" s="676" t="s">
        <v>828</v>
      </c>
      <c r="F263" s="58">
        <v>1</v>
      </c>
      <c r="G263" s="58"/>
      <c r="H263" s="58"/>
      <c r="I263" s="58"/>
      <c r="J263" s="137"/>
      <c r="K263" s="56" t="s">
        <v>1270</v>
      </c>
      <c r="L263" s="292">
        <v>250</v>
      </c>
      <c r="M263" s="292"/>
      <c r="N263" s="358"/>
      <c r="O263" s="292"/>
      <c r="P263" s="292"/>
      <c r="Q263" s="614"/>
      <c r="R263" s="913">
        <f t="shared" si="16"/>
        <v>0</v>
      </c>
      <c r="S263" s="913">
        <f t="shared" si="17"/>
        <v>0</v>
      </c>
      <c r="T263" s="913">
        <f t="shared" si="18"/>
        <v>0</v>
      </c>
      <c r="U263" s="914">
        <f t="shared" si="19"/>
        <v>1</v>
      </c>
      <c r="V263" s="612"/>
      <c r="W263" s="612"/>
      <c r="X263" s="612"/>
      <c r="Y263" s="612"/>
      <c r="Z263" s="612"/>
      <c r="AA263" s="612"/>
      <c r="AB263" s="612"/>
      <c r="AC263" s="612"/>
    </row>
    <row r="264" spans="1:29">
      <c r="A264" s="66" t="s">
        <v>1269</v>
      </c>
      <c r="B264" s="60"/>
      <c r="C264" s="54" t="s">
        <v>168</v>
      </c>
      <c r="D264" s="435" t="str">
        <f>IFERROR(VLOOKUP(C264,Mychart!$A$125:$B$811,2,FALSE),"-")</f>
        <v>UTS Carrier</v>
      </c>
      <c r="E264" s="676" t="s">
        <v>238</v>
      </c>
      <c r="F264" s="58">
        <v>1</v>
      </c>
      <c r="G264" s="58"/>
      <c r="H264" s="58"/>
      <c r="I264" s="58"/>
      <c r="J264" s="137"/>
      <c r="K264" s="56" t="s">
        <v>1270</v>
      </c>
      <c r="L264" s="292">
        <v>250</v>
      </c>
      <c r="M264" s="292"/>
      <c r="N264" s="358"/>
      <c r="O264" s="292"/>
      <c r="P264" s="292"/>
      <c r="Q264" s="614"/>
      <c r="R264" s="913">
        <f t="shared" si="16"/>
        <v>0</v>
      </c>
      <c r="S264" s="913">
        <f t="shared" si="17"/>
        <v>0</v>
      </c>
      <c r="T264" s="913">
        <f t="shared" si="18"/>
        <v>0</v>
      </c>
      <c r="U264" s="914">
        <f t="shared" si="19"/>
        <v>1</v>
      </c>
      <c r="V264" s="612"/>
      <c r="W264" s="612"/>
      <c r="X264" s="612"/>
      <c r="Y264" s="612"/>
      <c r="Z264" s="612"/>
      <c r="AA264" s="612"/>
      <c r="AB264" s="612"/>
      <c r="AC264" s="612"/>
    </row>
    <row r="265" spans="1:29">
      <c r="A265" s="66" t="s">
        <v>1269</v>
      </c>
      <c r="B265" s="60"/>
      <c r="C265" s="54" t="s">
        <v>168</v>
      </c>
      <c r="D265" s="435" t="str">
        <f>IFERROR(VLOOKUP(C265,Mychart!$A$125:$B$811,2,FALSE),"-")</f>
        <v>UTS Carrier</v>
      </c>
      <c r="E265" s="676" t="s">
        <v>239</v>
      </c>
      <c r="F265" s="58">
        <v>1</v>
      </c>
      <c r="G265" s="58"/>
      <c r="H265" s="58"/>
      <c r="I265" s="58"/>
      <c r="J265" s="137"/>
      <c r="K265" s="56" t="s">
        <v>1270</v>
      </c>
      <c r="L265" s="292">
        <v>250</v>
      </c>
      <c r="M265" s="292"/>
      <c r="N265" s="358"/>
      <c r="O265" s="292"/>
      <c r="P265" s="292"/>
      <c r="Q265" s="614"/>
      <c r="R265" s="913">
        <f t="shared" si="16"/>
        <v>0</v>
      </c>
      <c r="S265" s="913">
        <f t="shared" si="17"/>
        <v>0</v>
      </c>
      <c r="T265" s="913">
        <f t="shared" si="18"/>
        <v>0</v>
      </c>
      <c r="U265" s="914">
        <f t="shared" si="19"/>
        <v>1</v>
      </c>
      <c r="V265" s="612"/>
      <c r="W265" s="612"/>
      <c r="X265" s="612"/>
      <c r="Y265" s="612"/>
      <c r="Z265" s="612"/>
      <c r="AA265" s="612"/>
      <c r="AB265" s="612"/>
      <c r="AC265" s="612"/>
    </row>
    <row r="266" spans="1:29">
      <c r="A266" s="66" t="s">
        <v>1269</v>
      </c>
      <c r="B266" s="60"/>
      <c r="C266" s="54" t="s">
        <v>168</v>
      </c>
      <c r="D266" s="435" t="str">
        <f>IFERROR(VLOOKUP(C266,Mychart!$A$125:$B$811,2,FALSE),"-")</f>
        <v>UTS Carrier</v>
      </c>
      <c r="E266" s="676" t="s">
        <v>234</v>
      </c>
      <c r="F266" s="58">
        <v>1</v>
      </c>
      <c r="G266" s="58"/>
      <c r="H266" s="58"/>
      <c r="I266" s="58"/>
      <c r="J266" s="137"/>
      <c r="K266" s="56" t="s">
        <v>1270</v>
      </c>
      <c r="L266" s="292">
        <v>250</v>
      </c>
      <c r="M266" s="292"/>
      <c r="N266" s="358"/>
      <c r="O266" s="292"/>
      <c r="P266" s="292"/>
      <c r="Q266" s="614"/>
      <c r="R266" s="913">
        <f t="shared" si="16"/>
        <v>0</v>
      </c>
      <c r="S266" s="913">
        <f t="shared" si="17"/>
        <v>0</v>
      </c>
      <c r="T266" s="913">
        <f t="shared" si="18"/>
        <v>0</v>
      </c>
      <c r="U266" s="914">
        <f t="shared" si="19"/>
        <v>1</v>
      </c>
      <c r="V266" s="612"/>
      <c r="W266" s="612"/>
      <c r="X266" s="612"/>
      <c r="Y266" s="612"/>
      <c r="Z266" s="612"/>
      <c r="AA266" s="612"/>
      <c r="AB266" s="612"/>
      <c r="AC266" s="612"/>
    </row>
    <row r="267" spans="1:29">
      <c r="A267" s="66" t="s">
        <v>1269</v>
      </c>
      <c r="B267" s="60"/>
      <c r="C267" s="54" t="s">
        <v>168</v>
      </c>
      <c r="D267" s="435" t="str">
        <f>IFERROR(VLOOKUP(C267,Mychart!$A$125:$B$811,2,FALSE),"-")</f>
        <v>UTS Carrier</v>
      </c>
      <c r="E267" s="676" t="s">
        <v>235</v>
      </c>
      <c r="F267" s="58">
        <v>1</v>
      </c>
      <c r="G267" s="58"/>
      <c r="H267" s="58"/>
      <c r="I267" s="58"/>
      <c r="J267" s="137"/>
      <c r="K267" s="56" t="s">
        <v>1270</v>
      </c>
      <c r="L267" s="292">
        <v>250</v>
      </c>
      <c r="M267" s="292"/>
      <c r="N267" s="358"/>
      <c r="O267" s="292"/>
      <c r="P267" s="292"/>
      <c r="Q267" s="614"/>
      <c r="R267" s="913">
        <f t="shared" si="16"/>
        <v>0</v>
      </c>
      <c r="S267" s="913">
        <f t="shared" si="17"/>
        <v>0</v>
      </c>
      <c r="T267" s="913">
        <f t="shared" si="18"/>
        <v>0</v>
      </c>
      <c r="U267" s="914">
        <f t="shared" si="19"/>
        <v>1</v>
      </c>
      <c r="V267" s="612"/>
      <c r="W267" s="612"/>
      <c r="X267" s="612"/>
      <c r="Y267" s="612"/>
      <c r="Z267" s="612"/>
      <c r="AA267" s="612"/>
      <c r="AB267" s="612"/>
      <c r="AC267" s="612"/>
    </row>
    <row r="268" spans="1:29">
      <c r="A268" s="66" t="s">
        <v>1269</v>
      </c>
      <c r="B268" s="60"/>
      <c r="C268" s="54" t="s">
        <v>168</v>
      </c>
      <c r="D268" s="435" t="str">
        <f>IFERROR(VLOOKUP(C268,Mychart!$A$125:$B$811,2,FALSE),"-")</f>
        <v>UTS Carrier</v>
      </c>
      <c r="E268" s="676" t="s">
        <v>232</v>
      </c>
      <c r="F268" s="58">
        <v>2</v>
      </c>
      <c r="G268" s="58"/>
      <c r="H268" s="58"/>
      <c r="I268" s="58"/>
      <c r="J268" s="137"/>
      <c r="K268" s="56" t="s">
        <v>1270</v>
      </c>
      <c r="L268" s="292">
        <v>250</v>
      </c>
      <c r="M268" s="292"/>
      <c r="N268" s="358"/>
      <c r="O268" s="292"/>
      <c r="P268" s="292">
        <v>2</v>
      </c>
      <c r="Q268" s="614"/>
      <c r="R268" s="913">
        <f t="shared" si="16"/>
        <v>0</v>
      </c>
      <c r="S268" s="913">
        <f t="shared" si="17"/>
        <v>0</v>
      </c>
      <c r="T268" s="913">
        <f t="shared" si="18"/>
        <v>0</v>
      </c>
      <c r="U268" s="914">
        <f t="shared" si="19"/>
        <v>0</v>
      </c>
      <c r="V268" s="612"/>
      <c r="W268" s="612"/>
      <c r="X268" s="612"/>
      <c r="Y268" s="612"/>
      <c r="Z268" s="612"/>
      <c r="AA268" s="612"/>
      <c r="AB268" s="612"/>
      <c r="AC268" s="612"/>
    </row>
    <row r="269" spans="1:29">
      <c r="A269" s="66" t="s">
        <v>1269</v>
      </c>
      <c r="B269" s="60"/>
      <c r="C269" s="54" t="s">
        <v>168</v>
      </c>
      <c r="D269" s="435" t="str">
        <f>IFERROR(VLOOKUP(C269,Mychart!$A$125:$B$811,2,FALSE),"-")</f>
        <v>UTS Carrier</v>
      </c>
      <c r="E269" s="676" t="s">
        <v>233</v>
      </c>
      <c r="F269" s="58">
        <v>2</v>
      </c>
      <c r="G269" s="58"/>
      <c r="H269" s="58"/>
      <c r="I269" s="58"/>
      <c r="J269" s="137"/>
      <c r="K269" s="56" t="s">
        <v>1270</v>
      </c>
      <c r="L269" s="292">
        <v>250</v>
      </c>
      <c r="M269" s="292"/>
      <c r="N269" s="358"/>
      <c r="O269" s="292"/>
      <c r="P269" s="292"/>
      <c r="Q269" s="614"/>
      <c r="R269" s="913">
        <f t="shared" si="16"/>
        <v>0</v>
      </c>
      <c r="S269" s="913">
        <f t="shared" si="17"/>
        <v>0</v>
      </c>
      <c r="T269" s="913">
        <f t="shared" si="18"/>
        <v>0</v>
      </c>
      <c r="U269" s="914">
        <f t="shared" si="19"/>
        <v>2</v>
      </c>
      <c r="V269" s="612"/>
      <c r="W269" s="612"/>
      <c r="X269" s="612"/>
      <c r="Y269" s="612"/>
      <c r="Z269" s="612"/>
      <c r="AA269" s="612"/>
      <c r="AB269" s="612"/>
      <c r="AC269" s="612"/>
    </row>
    <row r="270" spans="1:29">
      <c r="A270" s="66" t="s">
        <v>1269</v>
      </c>
      <c r="B270" s="60"/>
      <c r="C270" s="54" t="s">
        <v>168</v>
      </c>
      <c r="D270" s="435" t="str">
        <f>IFERROR(VLOOKUP(C270,Mychart!$A$125:$B$811,2,FALSE),"-")</f>
        <v>UTS Carrier</v>
      </c>
      <c r="E270" s="676" t="s">
        <v>832</v>
      </c>
      <c r="F270" s="58">
        <v>3</v>
      </c>
      <c r="G270" s="58"/>
      <c r="H270" s="58"/>
      <c r="I270" s="58"/>
      <c r="J270" s="137"/>
      <c r="K270" s="56" t="s">
        <v>1270</v>
      </c>
      <c r="L270" s="292">
        <v>250</v>
      </c>
      <c r="M270" s="292"/>
      <c r="N270" s="358"/>
      <c r="O270" s="292"/>
      <c r="P270" s="292"/>
      <c r="Q270" s="614"/>
      <c r="R270" s="913">
        <f t="shared" ref="R270:R333" si="20">O270-N270</f>
        <v>0</v>
      </c>
      <c r="S270" s="913">
        <f t="shared" ref="S270:S333" si="21">Q270-N270</f>
        <v>0</v>
      </c>
      <c r="T270" s="913">
        <f t="shared" ref="T270:T333" si="22">Q270-O270</f>
        <v>0</v>
      </c>
      <c r="U270" s="914">
        <f t="shared" ref="U270:U333" si="23">F270-P270</f>
        <v>3</v>
      </c>
      <c r="V270" s="612"/>
      <c r="W270" s="612"/>
      <c r="X270" s="612"/>
      <c r="Y270" s="612"/>
      <c r="Z270" s="612"/>
      <c r="AA270" s="612"/>
      <c r="AB270" s="612"/>
      <c r="AC270" s="612"/>
    </row>
    <row r="271" spans="1:29">
      <c r="A271" s="66" t="s">
        <v>1269</v>
      </c>
      <c r="B271" s="60"/>
      <c r="C271" s="54" t="s">
        <v>168</v>
      </c>
      <c r="D271" s="435" t="str">
        <f>IFERROR(VLOOKUP(C271,Mychart!$A$125:$B$811,2,FALSE),"-")</f>
        <v>UTS Carrier</v>
      </c>
      <c r="E271" s="676" t="s">
        <v>833</v>
      </c>
      <c r="F271" s="58">
        <v>3</v>
      </c>
      <c r="G271" s="58"/>
      <c r="H271" s="58"/>
      <c r="I271" s="58"/>
      <c r="J271" s="137"/>
      <c r="K271" s="56" t="s">
        <v>1270</v>
      </c>
      <c r="L271" s="292">
        <v>250</v>
      </c>
      <c r="M271" s="292"/>
      <c r="N271" s="358"/>
      <c r="O271" s="292"/>
      <c r="P271" s="292"/>
      <c r="Q271" s="614"/>
      <c r="R271" s="913">
        <f t="shared" si="20"/>
        <v>0</v>
      </c>
      <c r="S271" s="913">
        <f t="shared" si="21"/>
        <v>0</v>
      </c>
      <c r="T271" s="913">
        <f t="shared" si="22"/>
        <v>0</v>
      </c>
      <c r="U271" s="914">
        <f t="shared" si="23"/>
        <v>3</v>
      </c>
      <c r="V271" s="612"/>
      <c r="W271" s="612"/>
      <c r="X271" s="612"/>
      <c r="Y271" s="612"/>
      <c r="Z271" s="612"/>
      <c r="AA271" s="612"/>
      <c r="AB271" s="612"/>
      <c r="AC271" s="612"/>
    </row>
    <row r="272" spans="1:29">
      <c r="A272" s="66" t="s">
        <v>1269</v>
      </c>
      <c r="B272" s="60"/>
      <c r="C272" s="54" t="s">
        <v>168</v>
      </c>
      <c r="D272" s="435" t="str">
        <f>IFERROR(VLOOKUP(C272,Mychart!$A$125:$B$811,2,FALSE),"-")</f>
        <v>UTS Carrier</v>
      </c>
      <c r="E272" s="676" t="s">
        <v>834</v>
      </c>
      <c r="F272" s="58">
        <v>1</v>
      </c>
      <c r="G272" s="58"/>
      <c r="H272" s="58"/>
      <c r="I272" s="58"/>
      <c r="J272" s="137"/>
      <c r="K272" s="56" t="s">
        <v>1270</v>
      </c>
      <c r="L272" s="292">
        <v>250</v>
      </c>
      <c r="M272" s="292"/>
      <c r="N272" s="358"/>
      <c r="O272" s="292"/>
      <c r="P272" s="292"/>
      <c r="Q272" s="614"/>
      <c r="R272" s="913">
        <f t="shared" si="20"/>
        <v>0</v>
      </c>
      <c r="S272" s="913">
        <f t="shared" si="21"/>
        <v>0</v>
      </c>
      <c r="T272" s="913">
        <f t="shared" si="22"/>
        <v>0</v>
      </c>
      <c r="U272" s="914">
        <f t="shared" si="23"/>
        <v>1</v>
      </c>
      <c r="V272" s="612"/>
      <c r="W272" s="612"/>
      <c r="X272" s="612"/>
      <c r="Y272" s="612"/>
      <c r="Z272" s="612"/>
      <c r="AA272" s="612"/>
      <c r="AB272" s="612"/>
      <c r="AC272" s="612"/>
    </row>
    <row r="273" spans="1:29">
      <c r="A273" s="66" t="s">
        <v>1269</v>
      </c>
      <c r="B273" s="60"/>
      <c r="C273" s="54" t="s">
        <v>168</v>
      </c>
      <c r="D273" s="435" t="str">
        <f>IFERROR(VLOOKUP(C273,Mychart!$A$125:$B$811,2,FALSE),"-")</f>
        <v>UTS Carrier</v>
      </c>
      <c r="E273" s="676" t="s">
        <v>835</v>
      </c>
      <c r="F273" s="58">
        <v>1</v>
      </c>
      <c r="G273" s="58"/>
      <c r="H273" s="58"/>
      <c r="I273" s="58"/>
      <c r="J273" s="137"/>
      <c r="K273" s="56" t="s">
        <v>1270</v>
      </c>
      <c r="L273" s="292">
        <v>250</v>
      </c>
      <c r="M273" s="292"/>
      <c r="N273" s="358"/>
      <c r="O273" s="292"/>
      <c r="P273" s="292"/>
      <c r="Q273" s="614"/>
      <c r="R273" s="913">
        <f t="shared" si="20"/>
        <v>0</v>
      </c>
      <c r="S273" s="913">
        <f t="shared" si="21"/>
        <v>0</v>
      </c>
      <c r="T273" s="913">
        <f t="shared" si="22"/>
        <v>0</v>
      </c>
      <c r="U273" s="914">
        <f t="shared" si="23"/>
        <v>1</v>
      </c>
      <c r="V273" s="612"/>
      <c r="W273" s="612"/>
      <c r="X273" s="612"/>
      <c r="Y273" s="612"/>
      <c r="Z273" s="612"/>
      <c r="AA273" s="612"/>
      <c r="AB273" s="612"/>
      <c r="AC273" s="612"/>
    </row>
    <row r="274" spans="1:29">
      <c r="A274" s="66" t="s">
        <v>1269</v>
      </c>
      <c r="B274" s="60"/>
      <c r="C274" s="54" t="s">
        <v>168</v>
      </c>
      <c r="D274" s="435" t="str">
        <f>IFERROR(VLOOKUP(C274,Mychart!$A$125:$B$811,2,FALSE),"-")</f>
        <v>UTS Carrier</v>
      </c>
      <c r="E274" s="676" t="s">
        <v>1236</v>
      </c>
      <c r="F274" s="58">
        <v>5</v>
      </c>
      <c r="G274" s="58"/>
      <c r="H274" s="58"/>
      <c r="I274" s="58"/>
      <c r="J274" s="137"/>
      <c r="K274" s="56" t="s">
        <v>1270</v>
      </c>
      <c r="L274" s="292">
        <v>250</v>
      </c>
      <c r="M274" s="292"/>
      <c r="N274" s="358"/>
      <c r="O274" s="292"/>
      <c r="P274" s="292"/>
      <c r="Q274" s="614"/>
      <c r="R274" s="913">
        <f t="shared" si="20"/>
        <v>0</v>
      </c>
      <c r="S274" s="913">
        <f t="shared" si="21"/>
        <v>0</v>
      </c>
      <c r="T274" s="913">
        <f t="shared" si="22"/>
        <v>0</v>
      </c>
      <c r="U274" s="914">
        <f t="shared" si="23"/>
        <v>5</v>
      </c>
      <c r="V274" s="612"/>
      <c r="W274" s="612"/>
      <c r="X274" s="612"/>
      <c r="Y274" s="612"/>
      <c r="Z274" s="612"/>
      <c r="AA274" s="612"/>
      <c r="AB274" s="612"/>
      <c r="AC274" s="612"/>
    </row>
    <row r="275" spans="1:29">
      <c r="A275" s="66" t="s">
        <v>1269</v>
      </c>
      <c r="B275" s="60"/>
      <c r="C275" s="54" t="s">
        <v>168</v>
      </c>
      <c r="D275" s="435" t="str">
        <f>IFERROR(VLOOKUP(C275,Mychart!$A$125:$B$811,2,FALSE),"-")</f>
        <v>UTS Carrier</v>
      </c>
      <c r="E275" s="676"/>
      <c r="F275" s="58"/>
      <c r="G275" s="58"/>
      <c r="H275" s="58"/>
      <c r="I275" s="58"/>
      <c r="J275" s="137"/>
      <c r="K275" s="56" t="s">
        <v>1270</v>
      </c>
      <c r="L275" s="292">
        <v>250</v>
      </c>
      <c r="M275" s="292" t="s">
        <v>1352</v>
      </c>
      <c r="N275" s="358">
        <v>48164</v>
      </c>
      <c r="O275" s="292">
        <v>48164</v>
      </c>
      <c r="P275" s="292"/>
      <c r="Q275" s="614">
        <v>48153</v>
      </c>
      <c r="R275" s="913">
        <f t="shared" si="20"/>
        <v>0</v>
      </c>
      <c r="S275" s="913">
        <f t="shared" si="21"/>
        <v>-11</v>
      </c>
      <c r="T275" s="913">
        <f t="shared" si="22"/>
        <v>-11</v>
      </c>
      <c r="U275" s="914">
        <f t="shared" si="23"/>
        <v>0</v>
      </c>
      <c r="V275" s="612"/>
      <c r="W275" s="612"/>
      <c r="X275" s="612"/>
      <c r="Y275" s="612"/>
      <c r="Z275" s="612"/>
      <c r="AA275" s="612"/>
      <c r="AB275" s="612"/>
      <c r="AC275" s="612"/>
    </row>
    <row r="276" spans="1:29">
      <c r="A276" s="66" t="s">
        <v>1404</v>
      </c>
      <c r="B276" s="60"/>
      <c r="C276" s="54" t="s">
        <v>168</v>
      </c>
      <c r="D276" s="435" t="str">
        <f>IFERROR(VLOOKUP(C276,Mychart!$A$125:$B$811,2,FALSE),"-")</f>
        <v>UTS Carrier</v>
      </c>
      <c r="E276" s="676" t="s">
        <v>1177</v>
      </c>
      <c r="F276" s="58">
        <v>4</v>
      </c>
      <c r="G276" s="58"/>
      <c r="H276" s="58"/>
      <c r="I276" s="58"/>
      <c r="J276" s="137"/>
      <c r="K276" s="56" t="s">
        <v>671</v>
      </c>
      <c r="L276" s="292">
        <v>216</v>
      </c>
      <c r="M276" s="292"/>
      <c r="N276" s="358"/>
      <c r="O276" s="292"/>
      <c r="P276" s="292">
        <v>4</v>
      </c>
      <c r="Q276" s="614"/>
      <c r="R276" s="913">
        <f t="shared" si="20"/>
        <v>0</v>
      </c>
      <c r="S276" s="913">
        <f t="shared" si="21"/>
        <v>0</v>
      </c>
      <c r="T276" s="913">
        <f t="shared" si="22"/>
        <v>0</v>
      </c>
      <c r="U276" s="914">
        <f t="shared" si="23"/>
        <v>0</v>
      </c>
      <c r="V276" s="612"/>
      <c r="W276" s="612"/>
      <c r="X276" s="612"/>
      <c r="Y276" s="612"/>
      <c r="Z276" s="612"/>
      <c r="AA276" s="612"/>
      <c r="AB276" s="612"/>
      <c r="AC276" s="612"/>
    </row>
    <row r="277" spans="1:29">
      <c r="A277" s="66" t="s">
        <v>1404</v>
      </c>
      <c r="B277" s="60"/>
      <c r="C277" s="54" t="s">
        <v>168</v>
      </c>
      <c r="D277" s="435" t="str">
        <f>IFERROR(VLOOKUP(C277,Mychart!$A$125:$B$811,2,FALSE),"-")</f>
        <v>UTS Carrier</v>
      </c>
      <c r="E277" s="676" t="s">
        <v>237</v>
      </c>
      <c r="F277" s="58">
        <v>4</v>
      </c>
      <c r="G277" s="58"/>
      <c r="H277" s="58"/>
      <c r="I277" s="58"/>
      <c r="J277" s="137"/>
      <c r="K277" s="56" t="s">
        <v>671</v>
      </c>
      <c r="L277" s="292">
        <v>216</v>
      </c>
      <c r="M277" s="292"/>
      <c r="N277" s="358"/>
      <c r="O277" s="292"/>
      <c r="P277" s="292">
        <v>4</v>
      </c>
      <c r="Q277" s="614"/>
      <c r="R277" s="913">
        <f t="shared" si="20"/>
        <v>0</v>
      </c>
      <c r="S277" s="913">
        <f t="shared" si="21"/>
        <v>0</v>
      </c>
      <c r="T277" s="913">
        <f t="shared" si="22"/>
        <v>0</v>
      </c>
      <c r="U277" s="914">
        <f t="shared" si="23"/>
        <v>0</v>
      </c>
      <c r="V277" s="612"/>
      <c r="W277" s="612"/>
      <c r="X277" s="612"/>
      <c r="Y277" s="612"/>
      <c r="Z277" s="612"/>
      <c r="AA277" s="612"/>
      <c r="AB277" s="612"/>
      <c r="AC277" s="612"/>
    </row>
    <row r="278" spans="1:29">
      <c r="A278" s="66" t="s">
        <v>1404</v>
      </c>
      <c r="B278" s="60"/>
      <c r="C278" s="54" t="s">
        <v>168</v>
      </c>
      <c r="D278" s="435" t="str">
        <f>IFERROR(VLOOKUP(C278,Mychart!$A$125:$B$811,2,FALSE),"-")</f>
        <v>UTS Carrier</v>
      </c>
      <c r="E278" s="676" t="s">
        <v>238</v>
      </c>
      <c r="F278" s="58">
        <v>1</v>
      </c>
      <c r="G278" s="58"/>
      <c r="H278" s="58"/>
      <c r="I278" s="58"/>
      <c r="J278" s="137"/>
      <c r="K278" s="56" t="s">
        <v>671</v>
      </c>
      <c r="L278" s="292">
        <v>216</v>
      </c>
      <c r="M278" s="292"/>
      <c r="N278" s="358"/>
      <c r="O278" s="292"/>
      <c r="P278" s="292">
        <v>1</v>
      </c>
      <c r="Q278" s="614"/>
      <c r="R278" s="913">
        <f t="shared" si="20"/>
        <v>0</v>
      </c>
      <c r="S278" s="913">
        <f t="shared" si="21"/>
        <v>0</v>
      </c>
      <c r="T278" s="913">
        <f t="shared" si="22"/>
        <v>0</v>
      </c>
      <c r="U278" s="914">
        <f t="shared" si="23"/>
        <v>0</v>
      </c>
      <c r="V278" s="612"/>
      <c r="W278" s="612"/>
      <c r="X278" s="612"/>
      <c r="Y278" s="612"/>
      <c r="Z278" s="612"/>
      <c r="AA278" s="612"/>
      <c r="AB278" s="612"/>
      <c r="AC278" s="612"/>
    </row>
    <row r="279" spans="1:29">
      <c r="A279" s="66" t="s">
        <v>1404</v>
      </c>
      <c r="B279" s="60"/>
      <c r="C279" s="54" t="s">
        <v>168</v>
      </c>
      <c r="D279" s="435" t="str">
        <f>IFERROR(VLOOKUP(C279,Mychart!$A$125:$B$811,2,FALSE),"-")</f>
        <v>UTS Carrier</v>
      </c>
      <c r="E279" s="676" t="s">
        <v>239</v>
      </c>
      <c r="F279" s="58">
        <v>1</v>
      </c>
      <c r="G279" s="58"/>
      <c r="H279" s="58"/>
      <c r="I279" s="58"/>
      <c r="J279" s="137"/>
      <c r="K279" s="56" t="s">
        <v>671</v>
      </c>
      <c r="L279" s="292">
        <v>216</v>
      </c>
      <c r="M279" s="292"/>
      <c r="N279" s="358"/>
      <c r="O279" s="292"/>
      <c r="P279" s="292">
        <v>1</v>
      </c>
      <c r="Q279" s="614"/>
      <c r="R279" s="913">
        <f t="shared" si="20"/>
        <v>0</v>
      </c>
      <c r="S279" s="913">
        <f t="shared" si="21"/>
        <v>0</v>
      </c>
      <c r="T279" s="913">
        <f t="shared" si="22"/>
        <v>0</v>
      </c>
      <c r="U279" s="914">
        <f t="shared" si="23"/>
        <v>0</v>
      </c>
      <c r="V279" s="612"/>
      <c r="W279" s="612"/>
      <c r="X279" s="612"/>
      <c r="Y279" s="612"/>
      <c r="Z279" s="612"/>
      <c r="AA279" s="612"/>
      <c r="AB279" s="612"/>
      <c r="AC279" s="612"/>
    </row>
    <row r="280" spans="1:29">
      <c r="A280" s="66" t="s">
        <v>1404</v>
      </c>
      <c r="B280" s="60"/>
      <c r="C280" s="54" t="s">
        <v>168</v>
      </c>
      <c r="D280" s="435" t="str">
        <f>IFERROR(VLOOKUP(C280,Mychart!$A$125:$B$811,2,FALSE),"-")</f>
        <v>UTS Carrier</v>
      </c>
      <c r="E280" s="676" t="s">
        <v>234</v>
      </c>
      <c r="F280" s="58">
        <v>2</v>
      </c>
      <c r="G280" s="58"/>
      <c r="H280" s="58"/>
      <c r="I280" s="58"/>
      <c r="J280" s="137"/>
      <c r="K280" s="56" t="s">
        <v>671</v>
      </c>
      <c r="L280" s="292">
        <v>216</v>
      </c>
      <c r="M280" s="292"/>
      <c r="N280" s="358"/>
      <c r="O280" s="292"/>
      <c r="P280" s="292">
        <v>2</v>
      </c>
      <c r="Q280" s="614"/>
      <c r="R280" s="913">
        <f t="shared" si="20"/>
        <v>0</v>
      </c>
      <c r="S280" s="913">
        <f t="shared" si="21"/>
        <v>0</v>
      </c>
      <c r="T280" s="913">
        <f t="shared" si="22"/>
        <v>0</v>
      </c>
      <c r="U280" s="914">
        <f t="shared" si="23"/>
        <v>0</v>
      </c>
      <c r="V280" s="612"/>
      <c r="W280" s="612"/>
      <c r="X280" s="612"/>
      <c r="Y280" s="612"/>
      <c r="Z280" s="612"/>
      <c r="AA280" s="612"/>
      <c r="AB280" s="612"/>
      <c r="AC280" s="612"/>
    </row>
    <row r="281" spans="1:29">
      <c r="A281" s="66" t="s">
        <v>1404</v>
      </c>
      <c r="B281" s="60"/>
      <c r="C281" s="54" t="s">
        <v>168</v>
      </c>
      <c r="D281" s="435" t="str">
        <f>IFERROR(VLOOKUP(C281,Mychart!$A$125:$B$811,2,FALSE),"-")</f>
        <v>UTS Carrier</v>
      </c>
      <c r="E281" s="676" t="s">
        <v>235</v>
      </c>
      <c r="F281" s="58">
        <v>2</v>
      </c>
      <c r="G281" s="58"/>
      <c r="H281" s="58"/>
      <c r="I281" s="58"/>
      <c r="J281" s="137"/>
      <c r="K281" s="56" t="s">
        <v>671</v>
      </c>
      <c r="L281" s="292">
        <v>216</v>
      </c>
      <c r="M281" s="292"/>
      <c r="N281" s="358"/>
      <c r="O281" s="292"/>
      <c r="P281" s="292">
        <v>2</v>
      </c>
      <c r="Q281" s="614"/>
      <c r="R281" s="913">
        <f t="shared" si="20"/>
        <v>0</v>
      </c>
      <c r="S281" s="913">
        <f t="shared" si="21"/>
        <v>0</v>
      </c>
      <c r="T281" s="913">
        <f t="shared" si="22"/>
        <v>0</v>
      </c>
      <c r="U281" s="914">
        <f t="shared" si="23"/>
        <v>0</v>
      </c>
      <c r="V281" s="612"/>
      <c r="W281" s="612"/>
      <c r="X281" s="612"/>
      <c r="Y281" s="612"/>
      <c r="Z281" s="612"/>
      <c r="AA281" s="612"/>
      <c r="AB281" s="612"/>
      <c r="AC281" s="612"/>
    </row>
    <row r="282" spans="1:29">
      <c r="A282" s="66" t="s">
        <v>1404</v>
      </c>
      <c r="B282" s="60"/>
      <c r="C282" s="54" t="s">
        <v>168</v>
      </c>
      <c r="D282" s="435" t="str">
        <f>IFERROR(VLOOKUP(C282,Mychart!$A$125:$B$811,2,FALSE),"-")</f>
        <v>UTS Carrier</v>
      </c>
      <c r="E282" s="676" t="s">
        <v>232</v>
      </c>
      <c r="F282" s="58">
        <v>2</v>
      </c>
      <c r="G282" s="58"/>
      <c r="H282" s="58"/>
      <c r="I282" s="58"/>
      <c r="J282" s="137"/>
      <c r="K282" s="56" t="s">
        <v>671</v>
      </c>
      <c r="L282" s="292">
        <v>216</v>
      </c>
      <c r="M282" s="292"/>
      <c r="N282" s="358"/>
      <c r="O282" s="292"/>
      <c r="P282" s="292">
        <v>2</v>
      </c>
      <c r="Q282" s="614"/>
      <c r="R282" s="913">
        <f t="shared" si="20"/>
        <v>0</v>
      </c>
      <c r="S282" s="913">
        <f t="shared" si="21"/>
        <v>0</v>
      </c>
      <c r="T282" s="913">
        <f t="shared" si="22"/>
        <v>0</v>
      </c>
      <c r="U282" s="914">
        <f t="shared" si="23"/>
        <v>0</v>
      </c>
      <c r="V282" s="612"/>
      <c r="W282" s="612"/>
      <c r="X282" s="612"/>
      <c r="Y282" s="612"/>
      <c r="Z282" s="612"/>
      <c r="AA282" s="612"/>
      <c r="AB282" s="612"/>
      <c r="AC282" s="612"/>
    </row>
    <row r="283" spans="1:29">
      <c r="A283" s="66" t="s">
        <v>1404</v>
      </c>
      <c r="B283" s="60"/>
      <c r="C283" s="54" t="s">
        <v>168</v>
      </c>
      <c r="D283" s="435" t="str">
        <f>IFERROR(VLOOKUP(C283,Mychart!$A$125:$B$811,2,FALSE),"-")</f>
        <v>UTS Carrier</v>
      </c>
      <c r="E283" s="676" t="s">
        <v>233</v>
      </c>
      <c r="F283" s="58">
        <v>2</v>
      </c>
      <c r="G283" s="58"/>
      <c r="H283" s="58"/>
      <c r="I283" s="58"/>
      <c r="J283" s="137"/>
      <c r="K283" s="56" t="s">
        <v>671</v>
      </c>
      <c r="L283" s="292">
        <v>216</v>
      </c>
      <c r="M283" s="292"/>
      <c r="N283" s="358"/>
      <c r="O283" s="292"/>
      <c r="P283" s="292">
        <v>2</v>
      </c>
      <c r="Q283" s="614"/>
      <c r="R283" s="913">
        <f t="shared" si="20"/>
        <v>0</v>
      </c>
      <c r="S283" s="913">
        <f t="shared" si="21"/>
        <v>0</v>
      </c>
      <c r="T283" s="913">
        <f t="shared" si="22"/>
        <v>0</v>
      </c>
      <c r="U283" s="914">
        <f t="shared" si="23"/>
        <v>0</v>
      </c>
      <c r="V283" s="612"/>
      <c r="W283" s="612"/>
      <c r="X283" s="612"/>
      <c r="Y283" s="612"/>
      <c r="Z283" s="612"/>
      <c r="AA283" s="612"/>
      <c r="AB283" s="612"/>
      <c r="AC283" s="612"/>
    </row>
    <row r="284" spans="1:29">
      <c r="A284" s="66" t="s">
        <v>1404</v>
      </c>
      <c r="B284" s="60"/>
      <c r="C284" s="54" t="s">
        <v>168</v>
      </c>
      <c r="D284" s="435" t="str">
        <f>IFERROR(VLOOKUP(C284,Mychart!$A$125:$B$811,2,FALSE),"-")</f>
        <v>UTS Carrier</v>
      </c>
      <c r="E284" s="676" t="s">
        <v>1169</v>
      </c>
      <c r="F284" s="58">
        <v>1</v>
      </c>
      <c r="G284" s="58"/>
      <c r="H284" s="58"/>
      <c r="I284" s="58"/>
      <c r="J284" s="137"/>
      <c r="K284" s="56" t="s">
        <v>671</v>
      </c>
      <c r="L284" s="292">
        <v>216</v>
      </c>
      <c r="M284" s="292"/>
      <c r="N284" s="358"/>
      <c r="O284" s="292"/>
      <c r="P284" s="292">
        <v>1</v>
      </c>
      <c r="Q284" s="614"/>
      <c r="R284" s="913">
        <f t="shared" si="20"/>
        <v>0</v>
      </c>
      <c r="S284" s="913">
        <f t="shared" si="21"/>
        <v>0</v>
      </c>
      <c r="T284" s="913">
        <f t="shared" si="22"/>
        <v>0</v>
      </c>
      <c r="U284" s="914">
        <f t="shared" si="23"/>
        <v>0</v>
      </c>
      <c r="V284" s="612"/>
      <c r="W284" s="612"/>
      <c r="X284" s="612"/>
      <c r="Y284" s="612"/>
      <c r="Z284" s="612"/>
      <c r="AA284" s="612"/>
      <c r="AB284" s="612"/>
      <c r="AC284" s="612"/>
    </row>
    <row r="285" spans="1:29">
      <c r="A285" s="66" t="s">
        <v>1404</v>
      </c>
      <c r="B285" s="60"/>
      <c r="C285" s="54" t="s">
        <v>168</v>
      </c>
      <c r="D285" s="435" t="str">
        <f>IFERROR(VLOOKUP(C285,Mychart!$A$125:$B$811,2,FALSE),"-")</f>
        <v>UTS Carrier</v>
      </c>
      <c r="E285" s="676" t="s">
        <v>1170</v>
      </c>
      <c r="F285" s="58">
        <v>1</v>
      </c>
      <c r="G285" s="58"/>
      <c r="H285" s="58"/>
      <c r="I285" s="58"/>
      <c r="J285" s="137"/>
      <c r="K285" s="56" t="s">
        <v>671</v>
      </c>
      <c r="L285" s="292">
        <v>216</v>
      </c>
      <c r="M285" s="292"/>
      <c r="N285" s="358"/>
      <c r="O285" s="292"/>
      <c r="P285" s="292">
        <v>1</v>
      </c>
      <c r="Q285" s="614"/>
      <c r="R285" s="913">
        <f t="shared" si="20"/>
        <v>0</v>
      </c>
      <c r="S285" s="913">
        <f t="shared" si="21"/>
        <v>0</v>
      </c>
      <c r="T285" s="913">
        <f t="shared" si="22"/>
        <v>0</v>
      </c>
      <c r="U285" s="914">
        <f t="shared" si="23"/>
        <v>0</v>
      </c>
      <c r="V285" s="612"/>
      <c r="W285" s="612"/>
      <c r="X285" s="612"/>
      <c r="Y285" s="612"/>
      <c r="Z285" s="612"/>
      <c r="AA285" s="612"/>
      <c r="AB285" s="612"/>
      <c r="AC285" s="612"/>
    </row>
    <row r="286" spans="1:29">
      <c r="A286" s="66" t="s">
        <v>1404</v>
      </c>
      <c r="B286" s="60"/>
      <c r="C286" s="54" t="s">
        <v>168</v>
      </c>
      <c r="D286" s="435" t="str">
        <f>IFERROR(VLOOKUP(C286,Mychart!$A$125:$B$811,2,FALSE),"-")</f>
        <v>UTS Carrier</v>
      </c>
      <c r="E286" s="676" t="s">
        <v>1188</v>
      </c>
      <c r="F286" s="58">
        <v>1</v>
      </c>
      <c r="G286" s="58"/>
      <c r="H286" s="58"/>
      <c r="I286" s="58"/>
      <c r="J286" s="137"/>
      <c r="K286" s="56" t="s">
        <v>671</v>
      </c>
      <c r="L286" s="292">
        <v>216</v>
      </c>
      <c r="M286" s="292"/>
      <c r="N286" s="358"/>
      <c r="O286" s="292"/>
      <c r="P286" s="292">
        <v>1</v>
      </c>
      <c r="Q286" s="614"/>
      <c r="R286" s="913">
        <f t="shared" si="20"/>
        <v>0</v>
      </c>
      <c r="S286" s="913">
        <f t="shared" si="21"/>
        <v>0</v>
      </c>
      <c r="T286" s="913">
        <f t="shared" si="22"/>
        <v>0</v>
      </c>
      <c r="U286" s="914">
        <f t="shared" si="23"/>
        <v>0</v>
      </c>
      <c r="V286" s="612"/>
      <c r="W286" s="612"/>
      <c r="X286" s="612"/>
      <c r="Y286" s="612"/>
      <c r="Z286" s="612"/>
      <c r="AA286" s="612"/>
      <c r="AB286" s="612"/>
      <c r="AC286" s="612"/>
    </row>
    <row r="287" spans="1:29">
      <c r="A287" s="66" t="s">
        <v>1404</v>
      </c>
      <c r="B287" s="60"/>
      <c r="C287" s="54" t="s">
        <v>168</v>
      </c>
      <c r="D287" s="435" t="str">
        <f>IFERROR(VLOOKUP(C287,Mychart!$A$125:$B$811,2,FALSE),"-")</f>
        <v>UTS Carrier</v>
      </c>
      <c r="E287" s="676" t="s">
        <v>1236</v>
      </c>
      <c r="F287" s="58">
        <v>9</v>
      </c>
      <c r="G287" s="58"/>
      <c r="H287" s="58"/>
      <c r="I287" s="58"/>
      <c r="J287" s="137"/>
      <c r="K287" s="56" t="s">
        <v>671</v>
      </c>
      <c r="L287" s="292">
        <v>216</v>
      </c>
      <c r="M287" s="292"/>
      <c r="N287" s="358"/>
      <c r="O287" s="292"/>
      <c r="P287" s="292"/>
      <c r="Q287" s="614"/>
      <c r="R287" s="913">
        <f t="shared" si="20"/>
        <v>0</v>
      </c>
      <c r="S287" s="913">
        <f t="shared" si="21"/>
        <v>0</v>
      </c>
      <c r="T287" s="913">
        <f t="shared" si="22"/>
        <v>0</v>
      </c>
      <c r="U287" s="914">
        <f t="shared" si="23"/>
        <v>9</v>
      </c>
      <c r="V287" s="612"/>
      <c r="W287" s="612"/>
      <c r="X287" s="612"/>
      <c r="Y287" s="612"/>
      <c r="Z287" s="612"/>
      <c r="AA287" s="612"/>
      <c r="AB287" s="612"/>
      <c r="AC287" s="612"/>
    </row>
    <row r="288" spans="1:29">
      <c r="A288" s="66" t="s">
        <v>1404</v>
      </c>
      <c r="B288" s="60"/>
      <c r="C288" s="54" t="s">
        <v>168</v>
      </c>
      <c r="D288" s="435" t="str">
        <f>IFERROR(VLOOKUP(C288,Mychart!$A$125:$B$811,2,FALSE),"-")</f>
        <v>UTS Carrier</v>
      </c>
      <c r="E288" s="676" t="s">
        <v>1271</v>
      </c>
      <c r="F288" s="58">
        <v>1</v>
      </c>
      <c r="G288" s="58"/>
      <c r="H288" s="58"/>
      <c r="I288" s="58"/>
      <c r="J288" s="137"/>
      <c r="K288" s="56" t="s">
        <v>671</v>
      </c>
      <c r="L288" s="292">
        <v>216</v>
      </c>
      <c r="M288" s="292"/>
      <c r="N288" s="358"/>
      <c r="O288" s="292"/>
      <c r="P288" s="292"/>
      <c r="Q288" s="614"/>
      <c r="R288" s="913">
        <f t="shared" si="20"/>
        <v>0</v>
      </c>
      <c r="S288" s="913">
        <f t="shared" si="21"/>
        <v>0</v>
      </c>
      <c r="T288" s="913">
        <f t="shared" si="22"/>
        <v>0</v>
      </c>
      <c r="U288" s="914">
        <f t="shared" si="23"/>
        <v>1</v>
      </c>
      <c r="V288" s="612"/>
      <c r="W288" s="612"/>
      <c r="X288" s="612"/>
      <c r="Y288" s="612"/>
      <c r="Z288" s="612"/>
      <c r="AA288" s="612"/>
      <c r="AB288" s="612"/>
      <c r="AC288" s="612"/>
    </row>
    <row r="289" spans="1:29">
      <c r="A289" s="66" t="s">
        <v>1404</v>
      </c>
      <c r="B289" s="60"/>
      <c r="C289" s="54" t="s">
        <v>168</v>
      </c>
      <c r="D289" s="435" t="str">
        <f>IFERROR(VLOOKUP(C289,Mychart!$A$125:$B$811,2,FALSE),"-")</f>
        <v>UTS Carrier</v>
      </c>
      <c r="E289" s="676"/>
      <c r="F289" s="58"/>
      <c r="G289" s="58"/>
      <c r="H289" s="58"/>
      <c r="I289" s="58"/>
      <c r="J289" s="137"/>
      <c r="K289" s="308" t="s">
        <v>671</v>
      </c>
      <c r="L289" s="310">
        <v>216</v>
      </c>
      <c r="M289" s="292"/>
      <c r="N289" s="358">
        <v>85345</v>
      </c>
      <c r="O289" s="292">
        <v>85345</v>
      </c>
      <c r="P289" s="292"/>
      <c r="Q289" s="614">
        <v>85344</v>
      </c>
      <c r="R289" s="913">
        <f t="shared" si="20"/>
        <v>0</v>
      </c>
      <c r="S289" s="913">
        <f t="shared" si="21"/>
        <v>-1</v>
      </c>
      <c r="T289" s="913">
        <f t="shared" si="22"/>
        <v>-1</v>
      </c>
      <c r="U289" s="914">
        <f t="shared" si="23"/>
        <v>0</v>
      </c>
      <c r="V289" s="612"/>
      <c r="W289" s="612"/>
      <c r="X289" s="612"/>
      <c r="Y289" s="612"/>
      <c r="Z289" s="612"/>
      <c r="AA289" s="612"/>
      <c r="AB289" s="612"/>
      <c r="AC289" s="612"/>
    </row>
    <row r="290" spans="1:29">
      <c r="A290" s="66" t="s">
        <v>1255</v>
      </c>
      <c r="B290" s="60"/>
      <c r="C290" s="54" t="s">
        <v>168</v>
      </c>
      <c r="D290" s="435" t="str">
        <f>IFERROR(VLOOKUP(C290,Mychart!$A$125:$B$811,2,FALSE),"-")</f>
        <v>UTS Carrier</v>
      </c>
      <c r="E290" s="676" t="s">
        <v>1175</v>
      </c>
      <c r="F290" s="58">
        <v>1</v>
      </c>
      <c r="G290" s="58"/>
      <c r="H290" s="58"/>
      <c r="I290" s="58"/>
      <c r="J290" s="137"/>
      <c r="K290" s="56" t="s">
        <v>1272</v>
      </c>
      <c r="L290" s="292">
        <v>233</v>
      </c>
      <c r="M290" s="292"/>
      <c r="N290" s="358"/>
      <c r="O290" s="292"/>
      <c r="P290" s="292"/>
      <c r="Q290" s="614"/>
      <c r="R290" s="913">
        <f t="shared" si="20"/>
        <v>0</v>
      </c>
      <c r="S290" s="913">
        <f t="shared" si="21"/>
        <v>0</v>
      </c>
      <c r="T290" s="913">
        <f t="shared" si="22"/>
        <v>0</v>
      </c>
      <c r="U290" s="914">
        <f t="shared" si="23"/>
        <v>1</v>
      </c>
      <c r="V290" s="612"/>
      <c r="W290" s="612"/>
      <c r="X290" s="612"/>
      <c r="Y290" s="612"/>
      <c r="Z290" s="612"/>
      <c r="AA290" s="612"/>
      <c r="AB290" s="612"/>
      <c r="AC290" s="612"/>
    </row>
    <row r="291" spans="1:29">
      <c r="A291" s="66" t="s">
        <v>1255</v>
      </c>
      <c r="B291" s="60"/>
      <c r="C291" s="54" t="s">
        <v>168</v>
      </c>
      <c r="D291" s="435" t="str">
        <f>IFERROR(VLOOKUP(C291,Mychart!$A$125:$B$811,2,FALSE),"-")</f>
        <v>UTS Carrier</v>
      </c>
      <c r="E291" s="676" t="s">
        <v>1176</v>
      </c>
      <c r="F291" s="58">
        <v>1</v>
      </c>
      <c r="G291" s="58"/>
      <c r="H291" s="58"/>
      <c r="I291" s="58"/>
      <c r="J291" s="137"/>
      <c r="K291" s="56" t="s">
        <v>1272</v>
      </c>
      <c r="L291" s="292">
        <v>233</v>
      </c>
      <c r="M291" s="292"/>
      <c r="N291" s="358"/>
      <c r="O291" s="292"/>
      <c r="P291" s="292"/>
      <c r="Q291" s="614"/>
      <c r="R291" s="913">
        <f t="shared" si="20"/>
        <v>0</v>
      </c>
      <c r="S291" s="913">
        <f t="shared" si="21"/>
        <v>0</v>
      </c>
      <c r="T291" s="913">
        <f t="shared" si="22"/>
        <v>0</v>
      </c>
      <c r="U291" s="914">
        <f t="shared" si="23"/>
        <v>1</v>
      </c>
      <c r="V291" s="612"/>
      <c r="W291" s="612"/>
      <c r="X291" s="612"/>
      <c r="Y291" s="612"/>
      <c r="Z291" s="612"/>
      <c r="AA291" s="612"/>
      <c r="AB291" s="612"/>
      <c r="AC291" s="612"/>
    </row>
    <row r="292" spans="1:29">
      <c r="A292" s="66" t="s">
        <v>1255</v>
      </c>
      <c r="B292" s="60"/>
      <c r="C292" s="54" t="s">
        <v>168</v>
      </c>
      <c r="D292" s="435" t="str">
        <f>IFERROR(VLOOKUP(C292,Mychart!$A$125:$B$811,2,FALSE),"-")</f>
        <v>UTS Carrier</v>
      </c>
      <c r="E292" s="676" t="s">
        <v>1177</v>
      </c>
      <c r="F292" s="58">
        <v>1</v>
      </c>
      <c r="G292" s="58"/>
      <c r="H292" s="58"/>
      <c r="I292" s="58"/>
      <c r="J292" s="137"/>
      <c r="K292" s="56" t="s">
        <v>1272</v>
      </c>
      <c r="L292" s="292">
        <v>233</v>
      </c>
      <c r="M292" s="292"/>
      <c r="N292" s="358"/>
      <c r="O292" s="292"/>
      <c r="P292" s="292"/>
      <c r="Q292" s="614"/>
      <c r="R292" s="913">
        <f t="shared" si="20"/>
        <v>0</v>
      </c>
      <c r="S292" s="913">
        <f t="shared" si="21"/>
        <v>0</v>
      </c>
      <c r="T292" s="913">
        <f t="shared" si="22"/>
        <v>0</v>
      </c>
      <c r="U292" s="914">
        <f t="shared" si="23"/>
        <v>1</v>
      </c>
      <c r="V292" s="612"/>
      <c r="W292" s="612"/>
      <c r="X292" s="612"/>
      <c r="Y292" s="612"/>
      <c r="Z292" s="612"/>
      <c r="AA292" s="612"/>
      <c r="AB292" s="612"/>
      <c r="AC292" s="612"/>
    </row>
    <row r="293" spans="1:29">
      <c r="A293" s="66" t="s">
        <v>1255</v>
      </c>
      <c r="B293" s="60"/>
      <c r="C293" s="54" t="s">
        <v>168</v>
      </c>
      <c r="D293" s="435" t="str">
        <f>IFERROR(VLOOKUP(C293,Mychart!$A$125:$B$811,2,FALSE),"-")</f>
        <v>UTS Carrier</v>
      </c>
      <c r="E293" s="676" t="s">
        <v>1178</v>
      </c>
      <c r="F293" s="58">
        <v>1</v>
      </c>
      <c r="G293" s="58"/>
      <c r="H293" s="58"/>
      <c r="I293" s="58"/>
      <c r="J293" s="137"/>
      <c r="K293" s="56" t="s">
        <v>1272</v>
      </c>
      <c r="L293" s="292">
        <v>233</v>
      </c>
      <c r="M293" s="292"/>
      <c r="N293" s="358"/>
      <c r="O293" s="292"/>
      <c r="P293" s="292"/>
      <c r="Q293" s="614"/>
      <c r="R293" s="913">
        <f t="shared" si="20"/>
        <v>0</v>
      </c>
      <c r="S293" s="913">
        <f t="shared" si="21"/>
        <v>0</v>
      </c>
      <c r="T293" s="913">
        <f t="shared" si="22"/>
        <v>0</v>
      </c>
      <c r="U293" s="914">
        <f t="shared" si="23"/>
        <v>1</v>
      </c>
      <c r="V293" s="612"/>
      <c r="W293" s="612"/>
      <c r="X293" s="612"/>
      <c r="Y293" s="612"/>
      <c r="Z293" s="612"/>
      <c r="AA293" s="612"/>
      <c r="AB293" s="612"/>
      <c r="AC293" s="612"/>
    </row>
    <row r="294" spans="1:29">
      <c r="A294" s="66" t="s">
        <v>1255</v>
      </c>
      <c r="B294" s="60"/>
      <c r="C294" s="54" t="s">
        <v>168</v>
      </c>
      <c r="D294" s="435" t="str">
        <f>IFERROR(VLOOKUP(C294,Mychart!$A$125:$B$811,2,FALSE),"-")</f>
        <v>UTS Carrier</v>
      </c>
      <c r="E294" s="676" t="s">
        <v>1168</v>
      </c>
      <c r="F294" s="58">
        <v>1</v>
      </c>
      <c r="G294" s="58"/>
      <c r="H294" s="58"/>
      <c r="I294" s="58"/>
      <c r="J294" s="137"/>
      <c r="K294" s="56" t="s">
        <v>1272</v>
      </c>
      <c r="L294" s="292">
        <v>233</v>
      </c>
      <c r="M294" s="292"/>
      <c r="N294" s="358"/>
      <c r="O294" s="292"/>
      <c r="P294" s="292"/>
      <c r="Q294" s="614"/>
      <c r="R294" s="913">
        <f t="shared" si="20"/>
        <v>0</v>
      </c>
      <c r="S294" s="913">
        <f t="shared" si="21"/>
        <v>0</v>
      </c>
      <c r="T294" s="913">
        <f t="shared" si="22"/>
        <v>0</v>
      </c>
      <c r="U294" s="914">
        <f t="shared" si="23"/>
        <v>1</v>
      </c>
      <c r="V294" s="612"/>
      <c r="W294" s="612"/>
      <c r="X294" s="612"/>
      <c r="Y294" s="612"/>
      <c r="Z294" s="612"/>
      <c r="AA294" s="612"/>
      <c r="AB294" s="612"/>
      <c r="AC294" s="612"/>
    </row>
    <row r="295" spans="1:29">
      <c r="A295" s="66" t="s">
        <v>1255</v>
      </c>
      <c r="B295" s="60"/>
      <c r="C295" s="54" t="s">
        <v>168</v>
      </c>
      <c r="D295" s="435" t="str">
        <f>IFERROR(VLOOKUP(C295,Mychart!$A$125:$B$811,2,FALSE),"-")</f>
        <v>UTS Carrier</v>
      </c>
      <c r="E295" s="676" t="s">
        <v>828</v>
      </c>
      <c r="F295" s="58">
        <v>1</v>
      </c>
      <c r="G295" s="58"/>
      <c r="H295" s="58"/>
      <c r="I295" s="58"/>
      <c r="J295" s="137"/>
      <c r="K295" s="56" t="s">
        <v>1272</v>
      </c>
      <c r="L295" s="292">
        <v>233</v>
      </c>
      <c r="M295" s="292"/>
      <c r="N295" s="358"/>
      <c r="O295" s="292"/>
      <c r="P295" s="292"/>
      <c r="Q295" s="614"/>
      <c r="R295" s="913">
        <f t="shared" si="20"/>
        <v>0</v>
      </c>
      <c r="S295" s="913">
        <f t="shared" si="21"/>
        <v>0</v>
      </c>
      <c r="T295" s="913">
        <f t="shared" si="22"/>
        <v>0</v>
      </c>
      <c r="U295" s="914">
        <f t="shared" si="23"/>
        <v>1</v>
      </c>
      <c r="V295" s="612"/>
      <c r="W295" s="612"/>
      <c r="X295" s="612"/>
      <c r="Y295" s="612"/>
      <c r="Z295" s="612"/>
      <c r="AA295" s="612"/>
      <c r="AB295" s="612"/>
      <c r="AC295" s="612"/>
    </row>
    <row r="296" spans="1:29">
      <c r="A296" s="66" t="s">
        <v>1255</v>
      </c>
      <c r="B296" s="60"/>
      <c r="C296" s="54" t="s">
        <v>168</v>
      </c>
      <c r="D296" s="435" t="str">
        <f>IFERROR(VLOOKUP(C296,Mychart!$A$125:$B$811,2,FALSE),"-")</f>
        <v>UTS Carrier</v>
      </c>
      <c r="E296" s="676" t="s">
        <v>1200</v>
      </c>
      <c r="F296" s="58">
        <v>1</v>
      </c>
      <c r="G296" s="58"/>
      <c r="H296" s="58"/>
      <c r="I296" s="58"/>
      <c r="J296" s="137"/>
      <c r="K296" s="56" t="s">
        <v>1272</v>
      </c>
      <c r="L296" s="292">
        <v>233</v>
      </c>
      <c r="M296" s="292"/>
      <c r="N296" s="358"/>
      <c r="O296" s="292"/>
      <c r="P296" s="292"/>
      <c r="Q296" s="614"/>
      <c r="R296" s="913">
        <f t="shared" si="20"/>
        <v>0</v>
      </c>
      <c r="S296" s="913">
        <f t="shared" si="21"/>
        <v>0</v>
      </c>
      <c r="T296" s="913">
        <f t="shared" si="22"/>
        <v>0</v>
      </c>
      <c r="U296" s="914">
        <f t="shared" si="23"/>
        <v>1</v>
      </c>
      <c r="V296" s="612"/>
      <c r="W296" s="612"/>
      <c r="X296" s="612"/>
      <c r="Y296" s="612"/>
      <c r="Z296" s="612"/>
      <c r="AA296" s="612"/>
      <c r="AB296" s="612"/>
      <c r="AC296" s="612"/>
    </row>
    <row r="297" spans="1:29">
      <c r="A297" s="66" t="s">
        <v>1255</v>
      </c>
      <c r="B297" s="60"/>
      <c r="C297" s="54" t="s">
        <v>168</v>
      </c>
      <c r="D297" s="435" t="str">
        <f>IFERROR(VLOOKUP(C297,Mychart!$A$125:$B$811,2,FALSE),"-")</f>
        <v>UTS Carrier</v>
      </c>
      <c r="E297" s="676" t="s">
        <v>1182</v>
      </c>
      <c r="F297" s="58">
        <v>1</v>
      </c>
      <c r="G297" s="58"/>
      <c r="H297" s="58"/>
      <c r="I297" s="58"/>
      <c r="J297" s="137"/>
      <c r="K297" s="56" t="s">
        <v>1272</v>
      </c>
      <c r="L297" s="292">
        <v>233</v>
      </c>
      <c r="M297" s="292"/>
      <c r="N297" s="358"/>
      <c r="O297" s="292"/>
      <c r="P297" s="292"/>
      <c r="Q297" s="614"/>
      <c r="R297" s="913">
        <f t="shared" si="20"/>
        <v>0</v>
      </c>
      <c r="S297" s="913">
        <f t="shared" si="21"/>
        <v>0</v>
      </c>
      <c r="T297" s="913">
        <f t="shared" si="22"/>
        <v>0</v>
      </c>
      <c r="U297" s="914">
        <f t="shared" si="23"/>
        <v>1</v>
      </c>
      <c r="V297" s="612"/>
      <c r="W297" s="612"/>
      <c r="X297" s="612"/>
      <c r="Y297" s="612"/>
      <c r="Z297" s="612"/>
      <c r="AA297" s="612"/>
      <c r="AB297" s="612"/>
      <c r="AC297" s="612"/>
    </row>
    <row r="298" spans="1:29">
      <c r="A298" s="66" t="s">
        <v>1255</v>
      </c>
      <c r="B298" s="60"/>
      <c r="C298" s="54" t="s">
        <v>168</v>
      </c>
      <c r="D298" s="435" t="str">
        <f>IFERROR(VLOOKUP(C298,Mychart!$A$125:$B$811,2,FALSE),"-")</f>
        <v>UTS Carrier</v>
      </c>
      <c r="E298" s="676" t="s">
        <v>1183</v>
      </c>
      <c r="F298" s="58">
        <v>7</v>
      </c>
      <c r="G298" s="58"/>
      <c r="H298" s="58"/>
      <c r="I298" s="58"/>
      <c r="J298" s="137"/>
      <c r="K298" s="56" t="s">
        <v>1272</v>
      </c>
      <c r="L298" s="292">
        <v>233</v>
      </c>
      <c r="M298" s="292"/>
      <c r="N298" s="358"/>
      <c r="O298" s="292"/>
      <c r="P298" s="292"/>
      <c r="Q298" s="614"/>
      <c r="R298" s="913">
        <f t="shared" si="20"/>
        <v>0</v>
      </c>
      <c r="S298" s="913">
        <f t="shared" si="21"/>
        <v>0</v>
      </c>
      <c r="T298" s="913">
        <f t="shared" si="22"/>
        <v>0</v>
      </c>
      <c r="U298" s="914">
        <f t="shared" si="23"/>
        <v>7</v>
      </c>
      <c r="V298" s="612"/>
      <c r="W298" s="612"/>
      <c r="X298" s="612"/>
      <c r="Y298" s="612"/>
      <c r="Z298" s="612"/>
      <c r="AA298" s="612"/>
      <c r="AB298" s="612"/>
      <c r="AC298" s="612"/>
    </row>
    <row r="299" spans="1:29">
      <c r="A299" s="66" t="s">
        <v>1255</v>
      </c>
      <c r="B299" s="60"/>
      <c r="C299" s="54" t="s">
        <v>168</v>
      </c>
      <c r="D299" s="435" t="str">
        <f>IFERROR(VLOOKUP(C299,Mychart!$A$125:$B$811,2,FALSE),"-")</f>
        <v>UTS Carrier</v>
      </c>
      <c r="E299" s="676" t="s">
        <v>1184</v>
      </c>
      <c r="F299" s="58">
        <v>7</v>
      </c>
      <c r="G299" s="58"/>
      <c r="H299" s="58"/>
      <c r="I299" s="58"/>
      <c r="J299" s="137"/>
      <c r="K299" s="56" t="s">
        <v>1272</v>
      </c>
      <c r="L299" s="292">
        <v>233</v>
      </c>
      <c r="M299" s="292"/>
      <c r="N299" s="358"/>
      <c r="O299" s="292"/>
      <c r="P299" s="292"/>
      <c r="Q299" s="614"/>
      <c r="R299" s="913">
        <f t="shared" si="20"/>
        <v>0</v>
      </c>
      <c r="S299" s="913">
        <f t="shared" si="21"/>
        <v>0</v>
      </c>
      <c r="T299" s="913">
        <f t="shared" si="22"/>
        <v>0</v>
      </c>
      <c r="U299" s="914">
        <f t="shared" si="23"/>
        <v>7</v>
      </c>
      <c r="V299" s="612"/>
      <c r="W299" s="612"/>
      <c r="X299" s="612"/>
      <c r="Y299" s="612"/>
      <c r="Z299" s="612"/>
      <c r="AA299" s="612"/>
      <c r="AB299" s="612"/>
      <c r="AC299" s="612"/>
    </row>
    <row r="300" spans="1:29">
      <c r="A300" s="66" t="s">
        <v>1255</v>
      </c>
      <c r="B300" s="60"/>
      <c r="C300" s="54" t="s">
        <v>168</v>
      </c>
      <c r="D300" s="435" t="str">
        <f>IFERROR(VLOOKUP(C300,Mychart!$A$125:$B$811,2,FALSE),"-")</f>
        <v>UTS Carrier</v>
      </c>
      <c r="E300" s="676" t="s">
        <v>1185</v>
      </c>
      <c r="F300" s="58">
        <v>4</v>
      </c>
      <c r="G300" s="58"/>
      <c r="H300" s="58"/>
      <c r="I300" s="58"/>
      <c r="J300" s="137"/>
      <c r="K300" s="56" t="s">
        <v>1272</v>
      </c>
      <c r="L300" s="292">
        <v>233</v>
      </c>
      <c r="M300" s="292"/>
      <c r="N300" s="358"/>
      <c r="O300" s="292"/>
      <c r="P300" s="292"/>
      <c r="Q300" s="614"/>
      <c r="R300" s="913">
        <f t="shared" si="20"/>
        <v>0</v>
      </c>
      <c r="S300" s="913">
        <f t="shared" si="21"/>
        <v>0</v>
      </c>
      <c r="T300" s="913">
        <f t="shared" si="22"/>
        <v>0</v>
      </c>
      <c r="U300" s="914">
        <f t="shared" si="23"/>
        <v>4</v>
      </c>
      <c r="V300" s="612"/>
      <c r="W300" s="612"/>
      <c r="X300" s="612"/>
      <c r="Y300" s="612"/>
      <c r="Z300" s="612"/>
      <c r="AA300" s="612"/>
      <c r="AB300" s="612"/>
      <c r="AC300" s="612"/>
    </row>
    <row r="301" spans="1:29">
      <c r="A301" s="66" t="s">
        <v>1255</v>
      </c>
      <c r="B301" s="60"/>
      <c r="C301" s="54" t="s">
        <v>168</v>
      </c>
      <c r="D301" s="435" t="str">
        <f>IFERROR(VLOOKUP(C301,Mychart!$A$125:$B$811,2,FALSE),"-")</f>
        <v>UTS Carrier</v>
      </c>
      <c r="E301" s="676" t="s">
        <v>1193</v>
      </c>
      <c r="F301" s="58">
        <v>4</v>
      </c>
      <c r="G301" s="58"/>
      <c r="H301" s="58"/>
      <c r="I301" s="58"/>
      <c r="J301" s="137"/>
      <c r="K301" s="56" t="s">
        <v>1272</v>
      </c>
      <c r="L301" s="292">
        <v>233</v>
      </c>
      <c r="M301" s="292"/>
      <c r="N301" s="358"/>
      <c r="O301" s="292"/>
      <c r="P301" s="292"/>
      <c r="Q301" s="614"/>
      <c r="R301" s="913">
        <f t="shared" si="20"/>
        <v>0</v>
      </c>
      <c r="S301" s="913">
        <f t="shared" si="21"/>
        <v>0</v>
      </c>
      <c r="T301" s="913">
        <f t="shared" si="22"/>
        <v>0</v>
      </c>
      <c r="U301" s="914">
        <f t="shared" si="23"/>
        <v>4</v>
      </c>
      <c r="V301" s="612"/>
      <c r="W301" s="612"/>
      <c r="X301" s="612"/>
      <c r="Y301" s="612"/>
      <c r="Z301" s="612"/>
      <c r="AA301" s="612"/>
      <c r="AB301" s="612"/>
      <c r="AC301" s="612"/>
    </row>
    <row r="302" spans="1:29">
      <c r="A302" s="66" t="s">
        <v>1255</v>
      </c>
      <c r="B302" s="60"/>
      <c r="C302" s="54" t="s">
        <v>168</v>
      </c>
      <c r="D302" s="435" t="str">
        <f>IFERROR(VLOOKUP(C302,Mychart!$A$125:$B$811,2,FALSE),"-")</f>
        <v>UTS Carrier</v>
      </c>
      <c r="E302" s="676" t="s">
        <v>1169</v>
      </c>
      <c r="F302" s="58">
        <v>1</v>
      </c>
      <c r="G302" s="58"/>
      <c r="H302" s="58"/>
      <c r="I302" s="58"/>
      <c r="J302" s="137"/>
      <c r="K302" s="56" t="s">
        <v>1272</v>
      </c>
      <c r="L302" s="292">
        <v>233</v>
      </c>
      <c r="M302" s="292"/>
      <c r="N302" s="358"/>
      <c r="O302" s="292"/>
      <c r="P302" s="292"/>
      <c r="Q302" s="614"/>
      <c r="R302" s="913">
        <f t="shared" si="20"/>
        <v>0</v>
      </c>
      <c r="S302" s="913">
        <f t="shared" si="21"/>
        <v>0</v>
      </c>
      <c r="T302" s="913">
        <f t="shared" si="22"/>
        <v>0</v>
      </c>
      <c r="U302" s="914">
        <f t="shared" si="23"/>
        <v>1</v>
      </c>
      <c r="V302" s="612"/>
      <c r="W302" s="612"/>
      <c r="X302" s="612"/>
      <c r="Y302" s="612"/>
      <c r="Z302" s="612"/>
      <c r="AA302" s="612"/>
      <c r="AB302" s="612"/>
      <c r="AC302" s="612"/>
    </row>
    <row r="303" spans="1:29">
      <c r="A303" s="66" t="s">
        <v>1255</v>
      </c>
      <c r="B303" s="60"/>
      <c r="C303" s="54" t="s">
        <v>168</v>
      </c>
      <c r="D303" s="435" t="str">
        <f>IFERROR(VLOOKUP(C303,Mychart!$A$125:$B$811,2,FALSE),"-")</f>
        <v>UTS Carrier</v>
      </c>
      <c r="E303" s="676" t="s">
        <v>1170</v>
      </c>
      <c r="F303" s="58">
        <v>1</v>
      </c>
      <c r="G303" s="58"/>
      <c r="H303" s="58"/>
      <c r="I303" s="58"/>
      <c r="J303" s="137"/>
      <c r="K303" s="56" t="s">
        <v>1272</v>
      </c>
      <c r="L303" s="292">
        <v>233</v>
      </c>
      <c r="M303" s="292"/>
      <c r="N303" s="358"/>
      <c r="O303" s="292"/>
      <c r="P303" s="292"/>
      <c r="Q303" s="614"/>
      <c r="R303" s="913">
        <f t="shared" si="20"/>
        <v>0</v>
      </c>
      <c r="S303" s="913">
        <f t="shared" si="21"/>
        <v>0</v>
      </c>
      <c r="T303" s="913">
        <f t="shared" si="22"/>
        <v>0</v>
      </c>
      <c r="U303" s="914">
        <f t="shared" si="23"/>
        <v>1</v>
      </c>
      <c r="V303" s="612"/>
      <c r="W303" s="612"/>
      <c r="X303" s="612"/>
      <c r="Y303" s="612"/>
      <c r="Z303" s="612"/>
      <c r="AA303" s="612"/>
      <c r="AB303" s="612"/>
      <c r="AC303" s="612"/>
    </row>
    <row r="304" spans="1:29">
      <c r="A304" s="66" t="s">
        <v>1255</v>
      </c>
      <c r="B304" s="60"/>
      <c r="C304" s="54" t="s">
        <v>168</v>
      </c>
      <c r="D304" s="435" t="str">
        <f>IFERROR(VLOOKUP(C304,Mychart!$A$125:$B$811,2,FALSE),"-")</f>
        <v>UTS Carrier</v>
      </c>
      <c r="E304" s="676" t="s">
        <v>1228</v>
      </c>
      <c r="F304" s="58">
        <v>2</v>
      </c>
      <c r="G304" s="58"/>
      <c r="H304" s="58"/>
      <c r="I304" s="58"/>
      <c r="J304" s="137"/>
      <c r="K304" s="56" t="s">
        <v>1272</v>
      </c>
      <c r="L304" s="292">
        <v>233</v>
      </c>
      <c r="M304" s="292"/>
      <c r="N304" s="358"/>
      <c r="O304" s="292"/>
      <c r="P304" s="292"/>
      <c r="Q304" s="614"/>
      <c r="R304" s="913">
        <f t="shared" si="20"/>
        <v>0</v>
      </c>
      <c r="S304" s="913">
        <f t="shared" si="21"/>
        <v>0</v>
      </c>
      <c r="T304" s="913">
        <f t="shared" si="22"/>
        <v>0</v>
      </c>
      <c r="U304" s="914">
        <f t="shared" si="23"/>
        <v>2</v>
      </c>
      <c r="V304" s="612"/>
      <c r="W304" s="612"/>
      <c r="X304" s="612"/>
      <c r="Y304" s="612"/>
      <c r="Z304" s="612"/>
      <c r="AA304" s="612"/>
      <c r="AB304" s="612"/>
      <c r="AC304" s="612"/>
    </row>
    <row r="305" spans="1:29">
      <c r="A305" s="66" t="s">
        <v>1255</v>
      </c>
      <c r="B305" s="60"/>
      <c r="C305" s="54" t="s">
        <v>168</v>
      </c>
      <c r="D305" s="435" t="str">
        <f>IFERROR(VLOOKUP(C305,Mychart!$A$125:$B$811,2,FALSE),"-")</f>
        <v>UTS Carrier</v>
      </c>
      <c r="E305" s="676" t="s">
        <v>1194</v>
      </c>
      <c r="F305" s="58">
        <v>2</v>
      </c>
      <c r="G305" s="58"/>
      <c r="H305" s="58"/>
      <c r="I305" s="58"/>
      <c r="J305" s="137"/>
      <c r="K305" s="56" t="s">
        <v>1272</v>
      </c>
      <c r="L305" s="292">
        <v>233</v>
      </c>
      <c r="M305" s="292"/>
      <c r="N305" s="358"/>
      <c r="O305" s="292"/>
      <c r="P305" s="292"/>
      <c r="Q305" s="614"/>
      <c r="R305" s="913">
        <f t="shared" si="20"/>
        <v>0</v>
      </c>
      <c r="S305" s="913">
        <f t="shared" si="21"/>
        <v>0</v>
      </c>
      <c r="T305" s="913">
        <f t="shared" si="22"/>
        <v>0</v>
      </c>
      <c r="U305" s="914">
        <f t="shared" si="23"/>
        <v>2</v>
      </c>
      <c r="V305" s="612"/>
      <c r="W305" s="612"/>
      <c r="X305" s="612"/>
      <c r="Y305" s="612"/>
      <c r="Z305" s="612"/>
      <c r="AA305" s="612"/>
      <c r="AB305" s="612"/>
      <c r="AC305" s="612"/>
    </row>
    <row r="306" spans="1:29">
      <c r="A306" s="66" t="s">
        <v>1255</v>
      </c>
      <c r="B306" s="60"/>
      <c r="C306" s="54" t="s">
        <v>168</v>
      </c>
      <c r="D306" s="435" t="str">
        <f>IFERROR(VLOOKUP(C306,Mychart!$A$125:$B$811,2,FALSE),"-")</f>
        <v>UTS Carrier</v>
      </c>
      <c r="E306" s="676" t="s">
        <v>1273</v>
      </c>
      <c r="F306" s="58">
        <v>3</v>
      </c>
      <c r="G306" s="58"/>
      <c r="H306" s="58"/>
      <c r="I306" s="58"/>
      <c r="J306" s="137"/>
      <c r="K306" s="56" t="s">
        <v>1272</v>
      </c>
      <c r="L306" s="292">
        <v>233</v>
      </c>
      <c r="M306" s="292"/>
      <c r="N306" s="358"/>
      <c r="O306" s="292"/>
      <c r="P306" s="292"/>
      <c r="Q306" s="614"/>
      <c r="R306" s="913">
        <f t="shared" si="20"/>
        <v>0</v>
      </c>
      <c r="S306" s="913">
        <f t="shared" si="21"/>
        <v>0</v>
      </c>
      <c r="T306" s="913">
        <f t="shared" si="22"/>
        <v>0</v>
      </c>
      <c r="U306" s="914">
        <f t="shared" si="23"/>
        <v>3</v>
      </c>
      <c r="V306" s="612"/>
      <c r="W306" s="612"/>
      <c r="X306" s="612"/>
      <c r="Y306" s="612"/>
      <c r="Z306" s="612"/>
      <c r="AA306" s="612"/>
      <c r="AB306" s="612"/>
      <c r="AC306" s="612"/>
    </row>
    <row r="307" spans="1:29">
      <c r="A307" s="66" t="s">
        <v>1255</v>
      </c>
      <c r="B307" s="60"/>
      <c r="C307" s="54" t="s">
        <v>168</v>
      </c>
      <c r="D307" s="435" t="str">
        <f>IFERROR(VLOOKUP(C307,Mychart!$A$125:$B$811,2,FALSE),"-")</f>
        <v>UTS Carrier</v>
      </c>
      <c r="E307" s="676" t="s">
        <v>1229</v>
      </c>
      <c r="F307" s="58">
        <v>3</v>
      </c>
      <c r="G307" s="58"/>
      <c r="H307" s="58"/>
      <c r="I307" s="58"/>
      <c r="J307" s="137"/>
      <c r="K307" s="56" t="s">
        <v>1272</v>
      </c>
      <c r="L307" s="292">
        <v>233</v>
      </c>
      <c r="M307" s="292"/>
      <c r="N307" s="358"/>
      <c r="O307" s="292"/>
      <c r="P307" s="292"/>
      <c r="Q307" s="614"/>
      <c r="R307" s="913">
        <f t="shared" si="20"/>
        <v>0</v>
      </c>
      <c r="S307" s="913">
        <f t="shared" si="21"/>
        <v>0</v>
      </c>
      <c r="T307" s="913">
        <f t="shared" si="22"/>
        <v>0</v>
      </c>
      <c r="U307" s="914">
        <f t="shared" si="23"/>
        <v>3</v>
      </c>
      <c r="V307" s="612"/>
      <c r="W307" s="612"/>
      <c r="X307" s="612"/>
      <c r="Y307" s="612"/>
      <c r="Z307" s="612"/>
      <c r="AA307" s="612"/>
      <c r="AB307" s="612"/>
      <c r="AC307" s="612"/>
    </row>
    <row r="308" spans="1:29">
      <c r="A308" s="66" t="s">
        <v>1255</v>
      </c>
      <c r="B308" s="60"/>
      <c r="C308" s="54" t="s">
        <v>168</v>
      </c>
      <c r="D308" s="435" t="str">
        <f>IFERROR(VLOOKUP(C308,Mychart!$A$125:$B$811,2,FALSE),"-")</f>
        <v>UTS Carrier</v>
      </c>
      <c r="E308" s="676" t="s">
        <v>834</v>
      </c>
      <c r="F308" s="58">
        <v>1</v>
      </c>
      <c r="G308" s="58"/>
      <c r="H308" s="58"/>
      <c r="I308" s="58"/>
      <c r="J308" s="137"/>
      <c r="K308" s="56" t="s">
        <v>1272</v>
      </c>
      <c r="L308" s="292">
        <v>233</v>
      </c>
      <c r="M308" s="292"/>
      <c r="N308" s="358"/>
      <c r="O308" s="292"/>
      <c r="P308" s="292"/>
      <c r="Q308" s="614"/>
      <c r="R308" s="913">
        <f t="shared" si="20"/>
        <v>0</v>
      </c>
      <c r="S308" s="913">
        <f t="shared" si="21"/>
        <v>0</v>
      </c>
      <c r="T308" s="913">
        <f t="shared" si="22"/>
        <v>0</v>
      </c>
      <c r="U308" s="914">
        <f t="shared" si="23"/>
        <v>1</v>
      </c>
      <c r="V308" s="612"/>
      <c r="W308" s="612"/>
      <c r="X308" s="612"/>
      <c r="Y308" s="612"/>
      <c r="Z308" s="612"/>
      <c r="AA308" s="612"/>
      <c r="AB308" s="612"/>
      <c r="AC308" s="612"/>
    </row>
    <row r="309" spans="1:29">
      <c r="A309" s="66" t="s">
        <v>1255</v>
      </c>
      <c r="B309" s="60"/>
      <c r="C309" s="54" t="s">
        <v>168</v>
      </c>
      <c r="D309" s="435" t="str">
        <f>IFERROR(VLOOKUP(C309,Mychart!$A$125:$B$811,2,FALSE),"-")</f>
        <v>UTS Carrier</v>
      </c>
      <c r="E309" s="676" t="s">
        <v>835</v>
      </c>
      <c r="F309" s="58">
        <v>1</v>
      </c>
      <c r="G309" s="58"/>
      <c r="H309" s="58"/>
      <c r="I309" s="58"/>
      <c r="J309" s="137"/>
      <c r="K309" s="56" t="s">
        <v>1272</v>
      </c>
      <c r="L309" s="292">
        <v>233</v>
      </c>
      <c r="M309" s="292"/>
      <c r="N309" s="358"/>
      <c r="O309" s="292"/>
      <c r="P309" s="292"/>
      <c r="Q309" s="614"/>
      <c r="R309" s="913">
        <f t="shared" si="20"/>
        <v>0</v>
      </c>
      <c r="S309" s="913">
        <f t="shared" si="21"/>
        <v>0</v>
      </c>
      <c r="T309" s="913">
        <f t="shared" si="22"/>
        <v>0</v>
      </c>
      <c r="U309" s="914">
        <f t="shared" si="23"/>
        <v>1</v>
      </c>
      <c r="V309" s="612"/>
      <c r="W309" s="612"/>
      <c r="X309" s="612"/>
      <c r="Y309" s="612"/>
      <c r="Z309" s="612"/>
      <c r="AA309" s="612"/>
      <c r="AB309" s="612"/>
      <c r="AC309" s="612"/>
    </row>
    <row r="310" spans="1:29">
      <c r="A310" s="66" t="s">
        <v>1255</v>
      </c>
      <c r="B310" s="60"/>
      <c r="C310" s="54" t="s">
        <v>168</v>
      </c>
      <c r="D310" s="435" t="str">
        <f>IFERROR(VLOOKUP(C310,Mychart!$A$125:$B$811,2,FALSE),"-")</f>
        <v>UTS Carrier</v>
      </c>
      <c r="E310" s="676" t="s">
        <v>1274</v>
      </c>
      <c r="F310" s="58">
        <v>15</v>
      </c>
      <c r="G310" s="58"/>
      <c r="H310" s="58"/>
      <c r="I310" s="58"/>
      <c r="J310" s="137"/>
      <c r="K310" s="56" t="s">
        <v>1272</v>
      </c>
      <c r="L310" s="292">
        <v>233</v>
      </c>
      <c r="M310" s="292"/>
      <c r="N310" s="358"/>
      <c r="O310" s="292"/>
      <c r="P310" s="292"/>
      <c r="Q310" s="614"/>
      <c r="R310" s="913">
        <f t="shared" si="20"/>
        <v>0</v>
      </c>
      <c r="S310" s="913">
        <f t="shared" si="21"/>
        <v>0</v>
      </c>
      <c r="T310" s="913">
        <f t="shared" si="22"/>
        <v>0</v>
      </c>
      <c r="U310" s="914">
        <f t="shared" si="23"/>
        <v>15</v>
      </c>
      <c r="V310" s="612"/>
      <c r="W310" s="612"/>
      <c r="X310" s="612"/>
      <c r="Y310" s="612"/>
      <c r="Z310" s="612"/>
      <c r="AA310" s="612"/>
      <c r="AB310" s="612"/>
      <c r="AC310" s="612"/>
    </row>
    <row r="311" spans="1:29">
      <c r="A311" s="66" t="s">
        <v>1255</v>
      </c>
      <c r="B311" s="60"/>
      <c r="C311" s="54" t="s">
        <v>168</v>
      </c>
      <c r="D311" s="435" t="str">
        <f>IFERROR(VLOOKUP(C311,Mychart!$A$125:$B$811,2,FALSE),"-")</f>
        <v>UTS Carrier</v>
      </c>
      <c r="E311" s="676"/>
      <c r="F311" s="58"/>
      <c r="G311" s="58"/>
      <c r="H311" s="58"/>
      <c r="I311" s="58"/>
      <c r="J311" s="137"/>
      <c r="K311" s="56" t="s">
        <v>1272</v>
      </c>
      <c r="L311" s="292">
        <v>233</v>
      </c>
      <c r="M311" s="292"/>
      <c r="N311" s="358">
        <v>129675</v>
      </c>
      <c r="O311" s="292">
        <v>129675</v>
      </c>
      <c r="P311" s="292"/>
      <c r="Q311" s="614">
        <v>129675</v>
      </c>
      <c r="R311" s="913">
        <f t="shared" si="20"/>
        <v>0</v>
      </c>
      <c r="S311" s="913">
        <f t="shared" si="21"/>
        <v>0</v>
      </c>
      <c r="T311" s="913">
        <f t="shared" si="22"/>
        <v>0</v>
      </c>
      <c r="U311" s="914">
        <f t="shared" si="23"/>
        <v>0</v>
      </c>
      <c r="V311" s="612"/>
      <c r="W311" s="612"/>
      <c r="X311" s="612"/>
      <c r="Y311" s="612"/>
      <c r="Z311" s="612"/>
      <c r="AA311" s="612"/>
      <c r="AB311" s="612"/>
      <c r="AC311" s="612"/>
    </row>
    <row r="312" spans="1:29">
      <c r="A312" s="66" t="s">
        <v>1256</v>
      </c>
      <c r="B312" s="60"/>
      <c r="C312" s="54" t="s">
        <v>168</v>
      </c>
      <c r="D312" s="435" t="str">
        <f>IFERROR(VLOOKUP(C312,Mychart!$A$125:$B$811,2,FALSE),"-")</f>
        <v>UTS Carrier</v>
      </c>
      <c r="E312" s="676" t="s">
        <v>1175</v>
      </c>
      <c r="F312" s="58">
        <v>1</v>
      </c>
      <c r="G312" s="58"/>
      <c r="H312" s="58"/>
      <c r="I312" s="58"/>
      <c r="J312" s="137"/>
      <c r="K312" s="56" t="s">
        <v>609</v>
      </c>
      <c r="L312" s="292">
        <v>234</v>
      </c>
      <c r="M312" s="292"/>
      <c r="N312" s="358"/>
      <c r="O312" s="292"/>
      <c r="P312" s="292"/>
      <c r="Q312" s="614"/>
      <c r="R312" s="913">
        <f t="shared" si="20"/>
        <v>0</v>
      </c>
      <c r="S312" s="913">
        <f t="shared" si="21"/>
        <v>0</v>
      </c>
      <c r="T312" s="913">
        <f t="shared" si="22"/>
        <v>0</v>
      </c>
      <c r="U312" s="914">
        <f t="shared" si="23"/>
        <v>1</v>
      </c>
      <c r="V312" s="612"/>
      <c r="W312" s="612"/>
      <c r="X312" s="612"/>
      <c r="Y312" s="612"/>
      <c r="Z312" s="612"/>
      <c r="AA312" s="612"/>
      <c r="AB312" s="612"/>
      <c r="AC312" s="612"/>
    </row>
    <row r="313" spans="1:29">
      <c r="A313" s="66" t="s">
        <v>1256</v>
      </c>
      <c r="B313" s="60"/>
      <c r="C313" s="54" t="s">
        <v>168</v>
      </c>
      <c r="D313" s="435" t="str">
        <f>IFERROR(VLOOKUP(C313,Mychart!$A$125:$B$811,2,FALSE),"-")</f>
        <v>UTS Carrier</v>
      </c>
      <c r="E313" s="676" t="s">
        <v>826</v>
      </c>
      <c r="F313" s="58">
        <v>1</v>
      </c>
      <c r="G313" s="58"/>
      <c r="H313" s="58"/>
      <c r="I313" s="58"/>
      <c r="J313" s="137"/>
      <c r="K313" s="56" t="s">
        <v>609</v>
      </c>
      <c r="L313" s="292">
        <v>234</v>
      </c>
      <c r="M313" s="292"/>
      <c r="N313" s="358"/>
      <c r="O313" s="292"/>
      <c r="P313" s="292"/>
      <c r="Q313" s="614"/>
      <c r="R313" s="913">
        <f t="shared" si="20"/>
        <v>0</v>
      </c>
      <c r="S313" s="913">
        <f t="shared" si="21"/>
        <v>0</v>
      </c>
      <c r="T313" s="913">
        <f t="shared" si="22"/>
        <v>0</v>
      </c>
      <c r="U313" s="914">
        <f t="shared" si="23"/>
        <v>1</v>
      </c>
      <c r="V313" s="612"/>
      <c r="W313" s="612"/>
      <c r="X313" s="612"/>
      <c r="Y313" s="612"/>
      <c r="Z313" s="612"/>
      <c r="AA313" s="612"/>
      <c r="AB313" s="612"/>
      <c r="AC313" s="612"/>
    </row>
    <row r="314" spans="1:29">
      <c r="A314" s="66" t="s">
        <v>1256</v>
      </c>
      <c r="B314" s="60"/>
      <c r="C314" s="54" t="s">
        <v>168</v>
      </c>
      <c r="D314" s="435" t="str">
        <f>IFERROR(VLOOKUP(C314,Mychart!$A$125:$B$811,2,FALSE),"-")</f>
        <v>UTS Carrier</v>
      </c>
      <c r="E314" s="676" t="s">
        <v>1168</v>
      </c>
      <c r="F314" s="58">
        <v>4</v>
      </c>
      <c r="G314" s="58"/>
      <c r="H314" s="58"/>
      <c r="I314" s="58"/>
      <c r="J314" s="137"/>
      <c r="K314" s="56" t="s">
        <v>609</v>
      </c>
      <c r="L314" s="292">
        <v>234</v>
      </c>
      <c r="M314" s="292"/>
      <c r="N314" s="358"/>
      <c r="O314" s="292"/>
      <c r="P314" s="292"/>
      <c r="Q314" s="614"/>
      <c r="R314" s="913">
        <f t="shared" si="20"/>
        <v>0</v>
      </c>
      <c r="S314" s="913">
        <f t="shared" si="21"/>
        <v>0</v>
      </c>
      <c r="T314" s="913">
        <f t="shared" si="22"/>
        <v>0</v>
      </c>
      <c r="U314" s="914">
        <f t="shared" si="23"/>
        <v>4</v>
      </c>
      <c r="V314" s="612"/>
      <c r="W314" s="612"/>
      <c r="X314" s="612"/>
      <c r="Y314" s="612"/>
      <c r="Z314" s="612"/>
      <c r="AA314" s="612"/>
      <c r="AB314" s="612"/>
      <c r="AC314" s="612"/>
    </row>
    <row r="315" spans="1:29">
      <c r="A315" s="66" t="s">
        <v>1256</v>
      </c>
      <c r="B315" s="60"/>
      <c r="C315" s="54" t="s">
        <v>168</v>
      </c>
      <c r="D315" s="435" t="str">
        <f>IFERROR(VLOOKUP(C315,Mychart!$A$125:$B$811,2,FALSE),"-")</f>
        <v>UTS Carrier</v>
      </c>
      <c r="E315" s="676" t="s">
        <v>1226</v>
      </c>
      <c r="F315" s="58">
        <v>4</v>
      </c>
      <c r="G315" s="58"/>
      <c r="H315" s="58"/>
      <c r="I315" s="58"/>
      <c r="J315" s="137"/>
      <c r="K315" s="56" t="s">
        <v>609</v>
      </c>
      <c r="L315" s="292">
        <v>234</v>
      </c>
      <c r="M315" s="292"/>
      <c r="N315" s="358"/>
      <c r="O315" s="292"/>
      <c r="P315" s="292"/>
      <c r="Q315" s="614"/>
      <c r="R315" s="913">
        <f t="shared" si="20"/>
        <v>0</v>
      </c>
      <c r="S315" s="913">
        <f t="shared" si="21"/>
        <v>0</v>
      </c>
      <c r="T315" s="913">
        <f t="shared" si="22"/>
        <v>0</v>
      </c>
      <c r="U315" s="914">
        <f t="shared" si="23"/>
        <v>4</v>
      </c>
      <c r="V315" s="612"/>
      <c r="W315" s="612"/>
      <c r="X315" s="612"/>
      <c r="Y315" s="612"/>
      <c r="Z315" s="612"/>
      <c r="AA315" s="612"/>
      <c r="AB315" s="612"/>
      <c r="AC315" s="612"/>
    </row>
    <row r="316" spans="1:29">
      <c r="A316" s="66" t="s">
        <v>1256</v>
      </c>
      <c r="B316" s="60"/>
      <c r="C316" s="54" t="s">
        <v>168</v>
      </c>
      <c r="D316" s="435" t="str">
        <f>IFERROR(VLOOKUP(C316,Mychart!$A$125:$B$811,2,FALSE),"-")</f>
        <v>UTS Carrier</v>
      </c>
      <c r="E316" s="676" t="s">
        <v>1183</v>
      </c>
      <c r="F316" s="58">
        <v>1</v>
      </c>
      <c r="G316" s="58"/>
      <c r="H316" s="58"/>
      <c r="I316" s="58"/>
      <c r="J316" s="137"/>
      <c r="K316" s="56" t="s">
        <v>609</v>
      </c>
      <c r="L316" s="292">
        <v>234</v>
      </c>
      <c r="M316" s="292"/>
      <c r="N316" s="358"/>
      <c r="O316" s="292"/>
      <c r="P316" s="292"/>
      <c r="Q316" s="614"/>
      <c r="R316" s="913">
        <f t="shared" si="20"/>
        <v>0</v>
      </c>
      <c r="S316" s="913">
        <f t="shared" si="21"/>
        <v>0</v>
      </c>
      <c r="T316" s="913">
        <f t="shared" si="22"/>
        <v>0</v>
      </c>
      <c r="U316" s="914">
        <f t="shared" si="23"/>
        <v>1</v>
      </c>
      <c r="V316" s="612"/>
      <c r="W316" s="612"/>
      <c r="X316" s="612"/>
      <c r="Y316" s="612"/>
      <c r="Z316" s="612"/>
      <c r="AA316" s="612"/>
      <c r="AB316" s="612"/>
      <c r="AC316" s="612"/>
    </row>
    <row r="317" spans="1:29">
      <c r="A317" s="66" t="s">
        <v>1256</v>
      </c>
      <c r="B317" s="60"/>
      <c r="C317" s="54" t="s">
        <v>168</v>
      </c>
      <c r="D317" s="435" t="str">
        <f>IFERROR(VLOOKUP(C317,Mychart!$A$125:$B$811,2,FALSE),"-")</f>
        <v>UTS Carrier</v>
      </c>
      <c r="E317" s="676" t="s">
        <v>1184</v>
      </c>
      <c r="F317" s="58">
        <v>1</v>
      </c>
      <c r="G317" s="58"/>
      <c r="H317" s="58"/>
      <c r="I317" s="58"/>
      <c r="J317" s="137"/>
      <c r="K317" s="56" t="s">
        <v>609</v>
      </c>
      <c r="L317" s="292">
        <v>234</v>
      </c>
      <c r="M317" s="292"/>
      <c r="N317" s="358"/>
      <c r="O317" s="292"/>
      <c r="P317" s="292"/>
      <c r="Q317" s="614"/>
      <c r="R317" s="913">
        <f t="shared" si="20"/>
        <v>0</v>
      </c>
      <c r="S317" s="913">
        <f t="shared" si="21"/>
        <v>0</v>
      </c>
      <c r="T317" s="913">
        <f t="shared" si="22"/>
        <v>0</v>
      </c>
      <c r="U317" s="914">
        <f t="shared" si="23"/>
        <v>1</v>
      </c>
      <c r="V317" s="612"/>
      <c r="W317" s="612"/>
      <c r="X317" s="612"/>
      <c r="Y317" s="612"/>
      <c r="Z317" s="612"/>
      <c r="AA317" s="612"/>
      <c r="AB317" s="612"/>
      <c r="AC317" s="612"/>
    </row>
    <row r="318" spans="1:29">
      <c r="A318" s="66" t="s">
        <v>1256</v>
      </c>
      <c r="B318" s="60"/>
      <c r="C318" s="54" t="s">
        <v>168</v>
      </c>
      <c r="D318" s="435" t="str">
        <f>IFERROR(VLOOKUP(C318,Mychart!$A$125:$B$811,2,FALSE),"-")</f>
        <v>UTS Carrier</v>
      </c>
      <c r="E318" s="676" t="s">
        <v>1185</v>
      </c>
      <c r="F318" s="58">
        <v>3</v>
      </c>
      <c r="G318" s="58"/>
      <c r="H318" s="58"/>
      <c r="I318" s="58"/>
      <c r="J318" s="137"/>
      <c r="K318" s="56" t="s">
        <v>609</v>
      </c>
      <c r="L318" s="292">
        <v>234</v>
      </c>
      <c r="M318" s="292"/>
      <c r="N318" s="358"/>
      <c r="O318" s="292"/>
      <c r="P318" s="292"/>
      <c r="Q318" s="614"/>
      <c r="R318" s="913">
        <f t="shared" si="20"/>
        <v>0</v>
      </c>
      <c r="S318" s="913">
        <f t="shared" si="21"/>
        <v>0</v>
      </c>
      <c r="T318" s="913">
        <f t="shared" si="22"/>
        <v>0</v>
      </c>
      <c r="U318" s="914">
        <f t="shared" si="23"/>
        <v>3</v>
      </c>
      <c r="V318" s="612"/>
      <c r="W318" s="612"/>
      <c r="X318" s="612"/>
      <c r="Y318" s="612"/>
      <c r="Z318" s="612"/>
      <c r="AA318" s="612"/>
      <c r="AB318" s="612"/>
      <c r="AC318" s="612"/>
    </row>
    <row r="319" spans="1:29">
      <c r="A319" s="66" t="s">
        <v>1256</v>
      </c>
      <c r="B319" s="60"/>
      <c r="C319" s="54" t="s">
        <v>168</v>
      </c>
      <c r="D319" s="435" t="str">
        <f>IFERROR(VLOOKUP(C319,Mychart!$A$125:$B$811,2,FALSE),"-")</f>
        <v>UTS Carrier</v>
      </c>
      <c r="E319" s="676" t="s">
        <v>1193</v>
      </c>
      <c r="F319" s="58">
        <v>3</v>
      </c>
      <c r="G319" s="58"/>
      <c r="H319" s="58"/>
      <c r="I319" s="58"/>
      <c r="J319" s="137"/>
      <c r="K319" s="56" t="s">
        <v>609</v>
      </c>
      <c r="L319" s="292">
        <v>234</v>
      </c>
      <c r="M319" s="292"/>
      <c r="N319" s="358"/>
      <c r="O319" s="292"/>
      <c r="P319" s="292"/>
      <c r="Q319" s="614"/>
      <c r="R319" s="913">
        <f t="shared" si="20"/>
        <v>0</v>
      </c>
      <c r="S319" s="913">
        <f t="shared" si="21"/>
        <v>0</v>
      </c>
      <c r="T319" s="913">
        <f t="shared" si="22"/>
        <v>0</v>
      </c>
      <c r="U319" s="914">
        <f t="shared" si="23"/>
        <v>3</v>
      </c>
      <c r="V319" s="612"/>
      <c r="W319" s="612"/>
      <c r="X319" s="612"/>
      <c r="Y319" s="612"/>
      <c r="Z319" s="612"/>
      <c r="AA319" s="612"/>
      <c r="AB319" s="612"/>
      <c r="AC319" s="612"/>
    </row>
    <row r="320" spans="1:29">
      <c r="A320" s="66" t="s">
        <v>1256</v>
      </c>
      <c r="B320" s="60"/>
      <c r="C320" s="54" t="s">
        <v>168</v>
      </c>
      <c r="D320" s="435" t="str">
        <f>IFERROR(VLOOKUP(C320,Mychart!$A$125:$B$811,2,FALSE),"-")</f>
        <v>UTS Carrier</v>
      </c>
      <c r="E320" s="676" t="s">
        <v>1169</v>
      </c>
      <c r="F320" s="58">
        <v>1</v>
      </c>
      <c r="G320" s="58"/>
      <c r="H320" s="58"/>
      <c r="I320" s="58"/>
      <c r="J320" s="137"/>
      <c r="K320" s="56" t="s">
        <v>609</v>
      </c>
      <c r="L320" s="292">
        <v>234</v>
      </c>
      <c r="M320" s="292"/>
      <c r="N320" s="358"/>
      <c r="O320" s="292"/>
      <c r="P320" s="292"/>
      <c r="Q320" s="614"/>
      <c r="R320" s="913">
        <f t="shared" si="20"/>
        <v>0</v>
      </c>
      <c r="S320" s="913">
        <f t="shared" si="21"/>
        <v>0</v>
      </c>
      <c r="T320" s="913">
        <f t="shared" si="22"/>
        <v>0</v>
      </c>
      <c r="U320" s="914">
        <f t="shared" si="23"/>
        <v>1</v>
      </c>
      <c r="V320" s="612"/>
      <c r="W320" s="612"/>
      <c r="X320" s="612"/>
      <c r="Y320" s="612"/>
      <c r="Z320" s="612"/>
      <c r="AA320" s="612"/>
      <c r="AB320" s="612"/>
      <c r="AC320" s="612"/>
    </row>
    <row r="321" spans="1:29">
      <c r="A321" s="66" t="s">
        <v>1256</v>
      </c>
      <c r="B321" s="60"/>
      <c r="C321" s="54" t="s">
        <v>168</v>
      </c>
      <c r="D321" s="435" t="str">
        <f>IFERROR(VLOOKUP(C321,Mychart!$A$125:$B$811,2,FALSE),"-")</f>
        <v>UTS Carrier</v>
      </c>
      <c r="E321" s="676" t="s">
        <v>1170</v>
      </c>
      <c r="F321" s="58">
        <v>1</v>
      </c>
      <c r="G321" s="58"/>
      <c r="H321" s="58"/>
      <c r="I321" s="58"/>
      <c r="J321" s="137"/>
      <c r="K321" s="56" t="s">
        <v>609</v>
      </c>
      <c r="L321" s="292">
        <v>234</v>
      </c>
      <c r="M321" s="292"/>
      <c r="N321" s="358"/>
      <c r="O321" s="292"/>
      <c r="P321" s="292"/>
      <c r="Q321" s="614"/>
      <c r="R321" s="913">
        <f t="shared" si="20"/>
        <v>0</v>
      </c>
      <c r="S321" s="913">
        <f t="shared" si="21"/>
        <v>0</v>
      </c>
      <c r="T321" s="913">
        <f t="shared" si="22"/>
        <v>0</v>
      </c>
      <c r="U321" s="914">
        <f t="shared" si="23"/>
        <v>1</v>
      </c>
      <c r="V321" s="612"/>
      <c r="W321" s="612"/>
      <c r="X321" s="612"/>
      <c r="Y321" s="612"/>
      <c r="Z321" s="612"/>
      <c r="AA321" s="612"/>
      <c r="AB321" s="612"/>
      <c r="AC321" s="612"/>
    </row>
    <row r="322" spans="1:29">
      <c r="A322" s="66" t="s">
        <v>1256</v>
      </c>
      <c r="B322" s="60"/>
      <c r="C322" s="54" t="s">
        <v>168</v>
      </c>
      <c r="D322" s="435" t="str">
        <f>IFERROR(VLOOKUP(C322,Mychart!$A$125:$B$811,2,FALSE),"-")</f>
        <v>UTS Carrier</v>
      </c>
      <c r="E322" s="676" t="s">
        <v>832</v>
      </c>
      <c r="F322" s="58">
        <v>2</v>
      </c>
      <c r="G322" s="58"/>
      <c r="H322" s="58"/>
      <c r="I322" s="58"/>
      <c r="J322" s="137"/>
      <c r="K322" s="56" t="s">
        <v>609</v>
      </c>
      <c r="L322" s="292">
        <v>234</v>
      </c>
      <c r="M322" s="292"/>
      <c r="N322" s="358"/>
      <c r="O322" s="292"/>
      <c r="P322" s="292"/>
      <c r="Q322" s="614"/>
      <c r="R322" s="913">
        <f t="shared" si="20"/>
        <v>0</v>
      </c>
      <c r="S322" s="913">
        <f t="shared" si="21"/>
        <v>0</v>
      </c>
      <c r="T322" s="913">
        <f t="shared" si="22"/>
        <v>0</v>
      </c>
      <c r="U322" s="914">
        <f t="shared" si="23"/>
        <v>2</v>
      </c>
      <c r="V322" s="612"/>
      <c r="W322" s="612"/>
      <c r="X322" s="612"/>
      <c r="Y322" s="612"/>
      <c r="Z322" s="612"/>
      <c r="AA322" s="612"/>
      <c r="AB322" s="612"/>
      <c r="AC322" s="612"/>
    </row>
    <row r="323" spans="1:29">
      <c r="A323" s="66" t="s">
        <v>1256</v>
      </c>
      <c r="B323" s="60"/>
      <c r="C323" s="54" t="s">
        <v>168</v>
      </c>
      <c r="D323" s="435" t="str">
        <f>IFERROR(VLOOKUP(C323,Mychart!$A$125:$B$811,2,FALSE),"-")</f>
        <v>UTS Carrier</v>
      </c>
      <c r="E323" s="676" t="s">
        <v>833</v>
      </c>
      <c r="F323" s="58">
        <v>2</v>
      </c>
      <c r="G323" s="58"/>
      <c r="H323" s="58"/>
      <c r="I323" s="58"/>
      <c r="J323" s="137"/>
      <c r="K323" s="56" t="s">
        <v>609</v>
      </c>
      <c r="L323" s="292">
        <v>234</v>
      </c>
      <c r="M323" s="292"/>
      <c r="N323" s="358"/>
      <c r="O323" s="292"/>
      <c r="P323" s="292"/>
      <c r="Q323" s="614"/>
      <c r="R323" s="913">
        <f t="shared" si="20"/>
        <v>0</v>
      </c>
      <c r="S323" s="913">
        <f t="shared" si="21"/>
        <v>0</v>
      </c>
      <c r="T323" s="913">
        <f t="shared" si="22"/>
        <v>0</v>
      </c>
      <c r="U323" s="914">
        <f t="shared" si="23"/>
        <v>2</v>
      </c>
      <c r="V323" s="612"/>
      <c r="W323" s="612"/>
      <c r="X323" s="612"/>
      <c r="Y323" s="612"/>
      <c r="Z323" s="612"/>
      <c r="AA323" s="612"/>
      <c r="AB323" s="612"/>
      <c r="AC323" s="612"/>
    </row>
    <row r="324" spans="1:29">
      <c r="A324" s="66" t="s">
        <v>1256</v>
      </c>
      <c r="B324" s="60"/>
      <c r="C324" s="54" t="s">
        <v>168</v>
      </c>
      <c r="D324" s="435" t="str">
        <f>IFERROR(VLOOKUP(C324,Mychart!$A$125:$B$811,2,FALSE),"-")</f>
        <v>UTS Carrier</v>
      </c>
      <c r="E324" s="676" t="s">
        <v>1274</v>
      </c>
      <c r="F324" s="58">
        <v>9</v>
      </c>
      <c r="G324" s="58"/>
      <c r="H324" s="58"/>
      <c r="I324" s="58"/>
      <c r="J324" s="137"/>
      <c r="K324" s="56" t="s">
        <v>609</v>
      </c>
      <c r="L324" s="292">
        <v>234</v>
      </c>
      <c r="M324" s="292"/>
      <c r="N324" s="358"/>
      <c r="O324" s="292"/>
      <c r="P324" s="292"/>
      <c r="Q324" s="614"/>
      <c r="R324" s="913">
        <f t="shared" si="20"/>
        <v>0</v>
      </c>
      <c r="S324" s="913">
        <f t="shared" si="21"/>
        <v>0</v>
      </c>
      <c r="T324" s="913">
        <f t="shared" si="22"/>
        <v>0</v>
      </c>
      <c r="U324" s="914">
        <f t="shared" si="23"/>
        <v>9</v>
      </c>
      <c r="V324" s="612"/>
      <c r="W324" s="612"/>
      <c r="X324" s="612"/>
      <c r="Y324" s="612"/>
      <c r="Z324" s="612"/>
      <c r="AA324" s="612"/>
      <c r="AB324" s="612"/>
      <c r="AC324" s="612"/>
    </row>
    <row r="325" spans="1:29">
      <c r="A325" s="66" t="s">
        <v>1256</v>
      </c>
      <c r="B325" s="60"/>
      <c r="C325" s="54" t="s">
        <v>168</v>
      </c>
      <c r="D325" s="435" t="str">
        <f>IFERROR(VLOOKUP(C325,Mychart!$A$125:$B$811,2,FALSE),"-")</f>
        <v>UTS Carrier</v>
      </c>
      <c r="E325" s="676"/>
      <c r="F325" s="58"/>
      <c r="G325" s="58"/>
      <c r="H325" s="58"/>
      <c r="I325" s="58"/>
      <c r="J325" s="137"/>
      <c r="K325" s="56" t="s">
        <v>609</v>
      </c>
      <c r="L325" s="292">
        <v>234</v>
      </c>
      <c r="M325" s="292"/>
      <c r="N325" s="358">
        <v>69054</v>
      </c>
      <c r="O325" s="292">
        <v>69054</v>
      </c>
      <c r="P325" s="292"/>
      <c r="Q325" s="614">
        <v>70696.5</v>
      </c>
      <c r="R325" s="913">
        <f t="shared" si="20"/>
        <v>0</v>
      </c>
      <c r="S325" s="913">
        <f t="shared" si="21"/>
        <v>1642.5</v>
      </c>
      <c r="T325" s="913">
        <f t="shared" si="22"/>
        <v>1642.5</v>
      </c>
      <c r="U325" s="914">
        <f t="shared" si="23"/>
        <v>0</v>
      </c>
      <c r="V325" s="612"/>
      <c r="W325" s="612"/>
      <c r="X325" s="612"/>
      <c r="Y325" s="612"/>
      <c r="Z325" s="612"/>
      <c r="AA325" s="612"/>
      <c r="AB325" s="612"/>
      <c r="AC325" s="612"/>
    </row>
    <row r="326" spans="1:29">
      <c r="A326" s="66" t="s">
        <v>486</v>
      </c>
      <c r="B326" s="60"/>
      <c r="C326" s="54" t="s">
        <v>168</v>
      </c>
      <c r="D326" s="435" t="str">
        <f>IFERROR(VLOOKUP(C326,Mychart!$A$125:$B$811,2,FALSE),"-")</f>
        <v>UTS Carrier</v>
      </c>
      <c r="E326" s="676" t="s">
        <v>1082</v>
      </c>
      <c r="F326" s="58">
        <v>1</v>
      </c>
      <c r="G326" s="58"/>
      <c r="H326" s="58"/>
      <c r="I326" s="58"/>
      <c r="J326" s="137"/>
      <c r="K326" s="56" t="s">
        <v>482</v>
      </c>
      <c r="L326" s="292">
        <v>253</v>
      </c>
      <c r="M326" s="292"/>
      <c r="N326" s="358"/>
      <c r="O326" s="292"/>
      <c r="P326" s="292"/>
      <c r="Q326" s="614"/>
      <c r="R326" s="913">
        <f t="shared" si="20"/>
        <v>0</v>
      </c>
      <c r="S326" s="913">
        <f t="shared" si="21"/>
        <v>0</v>
      </c>
      <c r="T326" s="913">
        <f t="shared" si="22"/>
        <v>0</v>
      </c>
      <c r="U326" s="914">
        <f t="shared" si="23"/>
        <v>1</v>
      </c>
      <c r="V326" s="612"/>
      <c r="W326" s="612"/>
      <c r="X326" s="612"/>
      <c r="Y326" s="612"/>
      <c r="Z326" s="612"/>
      <c r="AA326" s="612"/>
      <c r="AB326" s="612"/>
      <c r="AC326" s="612"/>
    </row>
    <row r="327" spans="1:29">
      <c r="A327" s="66" t="s">
        <v>486</v>
      </c>
      <c r="B327" s="60"/>
      <c r="C327" s="54" t="s">
        <v>168</v>
      </c>
      <c r="D327" s="435" t="str">
        <f>IFERROR(VLOOKUP(C327,Mychart!$A$125:$B$811,2,FALSE),"-")</f>
        <v>UTS Carrier</v>
      </c>
      <c r="E327" s="676" t="s">
        <v>1081</v>
      </c>
      <c r="F327" s="58">
        <v>1</v>
      </c>
      <c r="G327" s="58"/>
      <c r="H327" s="58"/>
      <c r="I327" s="58"/>
      <c r="J327" s="137"/>
      <c r="K327" s="56" t="s">
        <v>482</v>
      </c>
      <c r="L327" s="292">
        <v>253</v>
      </c>
      <c r="M327" s="292"/>
      <c r="N327" s="358"/>
      <c r="O327" s="292"/>
      <c r="P327" s="292"/>
      <c r="Q327" s="614"/>
      <c r="R327" s="913">
        <f t="shared" si="20"/>
        <v>0</v>
      </c>
      <c r="S327" s="913">
        <f t="shared" si="21"/>
        <v>0</v>
      </c>
      <c r="T327" s="913">
        <f t="shared" si="22"/>
        <v>0</v>
      </c>
      <c r="U327" s="914">
        <f t="shared" si="23"/>
        <v>1</v>
      </c>
      <c r="V327" s="612"/>
      <c r="W327" s="612"/>
      <c r="X327" s="612"/>
      <c r="Y327" s="612"/>
      <c r="Z327" s="612"/>
      <c r="AA327" s="612"/>
      <c r="AB327" s="612"/>
      <c r="AC327" s="612"/>
    </row>
    <row r="328" spans="1:29">
      <c r="A328" s="66" t="s">
        <v>486</v>
      </c>
      <c r="B328" s="60"/>
      <c r="C328" s="54" t="s">
        <v>168</v>
      </c>
      <c r="D328" s="435" t="str">
        <f>IFERROR(VLOOKUP(C328,Mychart!$A$125:$B$811,2,FALSE),"-")</f>
        <v>UTS Carrier</v>
      </c>
      <c r="E328" s="676" t="s">
        <v>1275</v>
      </c>
      <c r="F328" s="58">
        <v>2</v>
      </c>
      <c r="G328" s="58"/>
      <c r="H328" s="58"/>
      <c r="I328" s="58"/>
      <c r="J328" s="137"/>
      <c r="K328" s="56" t="s">
        <v>482</v>
      </c>
      <c r="L328" s="292">
        <v>253</v>
      </c>
      <c r="M328" s="292"/>
      <c r="N328" s="358"/>
      <c r="O328" s="292"/>
      <c r="P328" s="292"/>
      <c r="Q328" s="614"/>
      <c r="R328" s="913">
        <f t="shared" si="20"/>
        <v>0</v>
      </c>
      <c r="S328" s="913">
        <f t="shared" si="21"/>
        <v>0</v>
      </c>
      <c r="T328" s="913">
        <f t="shared" si="22"/>
        <v>0</v>
      </c>
      <c r="U328" s="914">
        <f t="shared" si="23"/>
        <v>2</v>
      </c>
      <c r="V328" s="612"/>
      <c r="W328" s="612"/>
      <c r="X328" s="612"/>
      <c r="Y328" s="612"/>
      <c r="Z328" s="612"/>
      <c r="AA328" s="612"/>
      <c r="AB328" s="612"/>
      <c r="AC328" s="612"/>
    </row>
    <row r="329" spans="1:29">
      <c r="A329" s="66" t="s">
        <v>486</v>
      </c>
      <c r="B329" s="60"/>
      <c r="C329" s="54" t="s">
        <v>168</v>
      </c>
      <c r="D329" s="435" t="str">
        <f>IFERROR(VLOOKUP(C329,Mychart!$A$125:$B$811,2,FALSE),"-")</f>
        <v>UTS Carrier</v>
      </c>
      <c r="E329" s="676" t="s">
        <v>1175</v>
      </c>
      <c r="F329" s="58">
        <v>2</v>
      </c>
      <c r="G329" s="58"/>
      <c r="H329" s="58"/>
      <c r="I329" s="58"/>
      <c r="J329" s="137"/>
      <c r="K329" s="56" t="s">
        <v>482</v>
      </c>
      <c r="L329" s="292">
        <v>253</v>
      </c>
      <c r="M329" s="292"/>
      <c r="N329" s="358"/>
      <c r="O329" s="292"/>
      <c r="P329" s="292"/>
      <c r="Q329" s="614"/>
      <c r="R329" s="913">
        <f t="shared" si="20"/>
        <v>0</v>
      </c>
      <c r="S329" s="913">
        <f t="shared" si="21"/>
        <v>0</v>
      </c>
      <c r="T329" s="913">
        <f t="shared" si="22"/>
        <v>0</v>
      </c>
      <c r="U329" s="914">
        <f t="shared" si="23"/>
        <v>2</v>
      </c>
      <c r="V329" s="612"/>
      <c r="W329" s="612"/>
      <c r="X329" s="612"/>
      <c r="Y329" s="612"/>
      <c r="Z329" s="612"/>
      <c r="AA329" s="612"/>
      <c r="AB329" s="612"/>
      <c r="AC329" s="612"/>
    </row>
    <row r="330" spans="1:29">
      <c r="A330" s="66" t="s">
        <v>486</v>
      </c>
      <c r="B330" s="60"/>
      <c r="C330" s="54" t="s">
        <v>168</v>
      </c>
      <c r="D330" s="435" t="str">
        <f>IFERROR(VLOOKUP(C330,Mychart!$A$125:$B$811,2,FALSE),"-")</f>
        <v>UTS Carrier</v>
      </c>
      <c r="E330" s="676" t="s">
        <v>1276</v>
      </c>
      <c r="F330" s="58">
        <v>1</v>
      </c>
      <c r="G330" s="58"/>
      <c r="H330" s="58"/>
      <c r="I330" s="58"/>
      <c r="J330" s="137"/>
      <c r="K330" s="56" t="s">
        <v>482</v>
      </c>
      <c r="L330" s="292">
        <v>253</v>
      </c>
      <c r="M330" s="292"/>
      <c r="N330" s="358"/>
      <c r="O330" s="292"/>
      <c r="P330" s="292"/>
      <c r="Q330" s="614"/>
      <c r="R330" s="913">
        <f t="shared" si="20"/>
        <v>0</v>
      </c>
      <c r="S330" s="913">
        <f t="shared" si="21"/>
        <v>0</v>
      </c>
      <c r="T330" s="913">
        <f t="shared" si="22"/>
        <v>0</v>
      </c>
      <c r="U330" s="914">
        <f t="shared" si="23"/>
        <v>1</v>
      </c>
      <c r="V330" s="612"/>
      <c r="W330" s="612"/>
      <c r="X330" s="612"/>
      <c r="Y330" s="612"/>
      <c r="Z330" s="612"/>
      <c r="AA330" s="612"/>
      <c r="AB330" s="612"/>
      <c r="AC330" s="612"/>
    </row>
    <row r="331" spans="1:29">
      <c r="A331" s="66" t="s">
        <v>486</v>
      </c>
      <c r="B331" s="60"/>
      <c r="C331" s="54" t="s">
        <v>168</v>
      </c>
      <c r="D331" s="435" t="str">
        <f>IFERROR(VLOOKUP(C331,Mychart!$A$125:$B$811,2,FALSE),"-")</f>
        <v>UTS Carrier</v>
      </c>
      <c r="E331" s="676" t="s">
        <v>827</v>
      </c>
      <c r="F331" s="58">
        <v>1</v>
      </c>
      <c r="G331" s="58"/>
      <c r="H331" s="58"/>
      <c r="I331" s="58"/>
      <c r="J331" s="137"/>
      <c r="K331" s="56" t="s">
        <v>482</v>
      </c>
      <c r="L331" s="292">
        <v>253</v>
      </c>
      <c r="M331" s="292"/>
      <c r="N331" s="358"/>
      <c r="O331" s="292"/>
      <c r="P331" s="292"/>
      <c r="Q331" s="614"/>
      <c r="R331" s="913">
        <f t="shared" si="20"/>
        <v>0</v>
      </c>
      <c r="S331" s="913">
        <f t="shared" si="21"/>
        <v>0</v>
      </c>
      <c r="T331" s="913">
        <f t="shared" si="22"/>
        <v>0</v>
      </c>
      <c r="U331" s="914">
        <f t="shared" si="23"/>
        <v>1</v>
      </c>
      <c r="V331" s="612"/>
      <c r="W331" s="612"/>
      <c r="X331" s="612"/>
      <c r="Y331" s="612"/>
      <c r="Z331" s="612"/>
      <c r="AA331" s="612"/>
      <c r="AB331" s="612"/>
      <c r="AC331" s="612"/>
    </row>
    <row r="332" spans="1:29">
      <c r="A332" s="66" t="s">
        <v>486</v>
      </c>
      <c r="B332" s="60"/>
      <c r="C332" s="54" t="s">
        <v>168</v>
      </c>
      <c r="D332" s="435" t="str">
        <f>IFERROR(VLOOKUP(C332,Mychart!$A$125:$B$811,2,FALSE),"-")</f>
        <v>UTS Carrier</v>
      </c>
      <c r="E332" s="676" t="s">
        <v>1277</v>
      </c>
      <c r="F332" s="58">
        <v>1</v>
      </c>
      <c r="G332" s="58"/>
      <c r="H332" s="58"/>
      <c r="I332" s="58"/>
      <c r="J332" s="137"/>
      <c r="K332" s="56" t="s">
        <v>482</v>
      </c>
      <c r="L332" s="292">
        <v>253</v>
      </c>
      <c r="M332" s="292"/>
      <c r="N332" s="358"/>
      <c r="O332" s="292"/>
      <c r="P332" s="292"/>
      <c r="Q332" s="614"/>
      <c r="R332" s="913">
        <f t="shared" si="20"/>
        <v>0</v>
      </c>
      <c r="S332" s="913">
        <f t="shared" si="21"/>
        <v>0</v>
      </c>
      <c r="T332" s="913">
        <f t="shared" si="22"/>
        <v>0</v>
      </c>
      <c r="U332" s="914">
        <f t="shared" si="23"/>
        <v>1</v>
      </c>
      <c r="V332" s="612"/>
      <c r="W332" s="612"/>
      <c r="X332" s="612"/>
      <c r="Y332" s="612"/>
      <c r="Z332" s="612"/>
      <c r="AA332" s="612"/>
      <c r="AB332" s="612"/>
      <c r="AC332" s="612"/>
    </row>
    <row r="333" spans="1:29">
      <c r="A333" s="66" t="s">
        <v>486</v>
      </c>
      <c r="B333" s="60"/>
      <c r="C333" s="54" t="s">
        <v>168</v>
      </c>
      <c r="D333" s="435" t="str">
        <f>IFERROR(VLOOKUP(C333,Mychart!$A$125:$B$811,2,FALSE),"-")</f>
        <v>UTS Carrier</v>
      </c>
      <c r="E333" s="676" t="s">
        <v>1183</v>
      </c>
      <c r="F333" s="58">
        <v>1</v>
      </c>
      <c r="G333" s="58"/>
      <c r="H333" s="58"/>
      <c r="I333" s="58"/>
      <c r="J333" s="137"/>
      <c r="K333" s="56" t="s">
        <v>482</v>
      </c>
      <c r="L333" s="292">
        <v>253</v>
      </c>
      <c r="M333" s="292"/>
      <c r="N333" s="358"/>
      <c r="O333" s="292"/>
      <c r="P333" s="292"/>
      <c r="Q333" s="614"/>
      <c r="R333" s="913">
        <f t="shared" si="20"/>
        <v>0</v>
      </c>
      <c r="S333" s="913">
        <f t="shared" si="21"/>
        <v>0</v>
      </c>
      <c r="T333" s="913">
        <f t="shared" si="22"/>
        <v>0</v>
      </c>
      <c r="U333" s="914">
        <f t="shared" si="23"/>
        <v>1</v>
      </c>
      <c r="V333" s="612"/>
      <c r="W333" s="612"/>
      <c r="X333" s="612"/>
      <c r="Y333" s="612"/>
      <c r="Z333" s="612"/>
      <c r="AA333" s="612"/>
      <c r="AB333" s="612"/>
      <c r="AC333" s="612"/>
    </row>
    <row r="334" spans="1:29">
      <c r="A334" s="66" t="s">
        <v>486</v>
      </c>
      <c r="B334" s="60"/>
      <c r="C334" s="54" t="s">
        <v>168</v>
      </c>
      <c r="D334" s="435" t="str">
        <f>IFERROR(VLOOKUP(C334,Mychart!$A$125:$B$811,2,FALSE),"-")</f>
        <v>UTS Carrier</v>
      </c>
      <c r="E334" s="676"/>
      <c r="F334" s="58"/>
      <c r="G334" s="58"/>
      <c r="H334" s="58"/>
      <c r="I334" s="58"/>
      <c r="J334" s="137"/>
      <c r="K334" s="56" t="s">
        <v>482</v>
      </c>
      <c r="L334" s="292">
        <v>253</v>
      </c>
      <c r="M334" s="292"/>
      <c r="N334" s="358">
        <v>7188</v>
      </c>
      <c r="O334" s="292">
        <v>7188</v>
      </c>
      <c r="P334" s="292"/>
      <c r="Q334" s="614">
        <v>23199.75</v>
      </c>
      <c r="R334" s="913">
        <f t="shared" ref="R334:R397" si="24">O334-N334</f>
        <v>0</v>
      </c>
      <c r="S334" s="913">
        <f t="shared" ref="S334:S397" si="25">Q334-N334</f>
        <v>16011.75</v>
      </c>
      <c r="T334" s="913">
        <f t="shared" ref="T334:T397" si="26">Q334-O334</f>
        <v>16011.75</v>
      </c>
      <c r="U334" s="914">
        <f t="shared" ref="U334:U397" si="27">F334-P334</f>
        <v>0</v>
      </c>
      <c r="V334" s="612"/>
      <c r="W334" s="612"/>
      <c r="X334" s="612"/>
      <c r="Y334" s="612"/>
      <c r="Z334" s="612"/>
      <c r="AA334" s="612"/>
      <c r="AB334" s="612"/>
      <c r="AC334" s="612"/>
    </row>
    <row r="335" spans="1:29">
      <c r="A335" s="66" t="s">
        <v>1258</v>
      </c>
      <c r="B335" s="60"/>
      <c r="C335" s="54" t="s">
        <v>168</v>
      </c>
      <c r="D335" s="435" t="str">
        <f>IFERROR(VLOOKUP(C335,Mychart!$A$125:$B$811,2,FALSE),"-")</f>
        <v>UTS Carrier</v>
      </c>
      <c r="E335" s="676" t="s">
        <v>825</v>
      </c>
      <c r="F335" s="58">
        <v>1</v>
      </c>
      <c r="G335" s="58"/>
      <c r="H335" s="58"/>
      <c r="I335" s="58"/>
      <c r="J335" s="137"/>
      <c r="K335" s="56" t="s">
        <v>1278</v>
      </c>
      <c r="L335" s="292">
        <v>215</v>
      </c>
      <c r="M335" s="292"/>
      <c r="N335" s="358"/>
      <c r="O335" s="292"/>
      <c r="P335" s="292"/>
      <c r="Q335" s="614"/>
      <c r="R335" s="913">
        <f t="shared" si="24"/>
        <v>0</v>
      </c>
      <c r="S335" s="913">
        <f t="shared" si="25"/>
        <v>0</v>
      </c>
      <c r="T335" s="913">
        <f t="shared" si="26"/>
        <v>0</v>
      </c>
      <c r="U335" s="914">
        <f t="shared" si="27"/>
        <v>1</v>
      </c>
      <c r="V335" s="612"/>
      <c r="W335" s="612"/>
      <c r="X335" s="612"/>
      <c r="Y335" s="612"/>
      <c r="Z335" s="612"/>
      <c r="AA335" s="612"/>
      <c r="AB335" s="612"/>
      <c r="AC335" s="612"/>
    </row>
    <row r="336" spans="1:29">
      <c r="A336" s="66" t="s">
        <v>1258</v>
      </c>
      <c r="B336" s="60"/>
      <c r="C336" s="54" t="s">
        <v>168</v>
      </c>
      <c r="D336" s="435" t="str">
        <f>IFERROR(VLOOKUP(C336,Mychart!$A$125:$B$811,2,FALSE),"-")</f>
        <v>UTS Carrier</v>
      </c>
      <c r="E336" s="676" t="s">
        <v>236</v>
      </c>
      <c r="F336" s="58">
        <v>5</v>
      </c>
      <c r="G336" s="58"/>
      <c r="H336" s="58"/>
      <c r="I336" s="58"/>
      <c r="J336" s="137"/>
      <c r="K336" s="56" t="s">
        <v>1278</v>
      </c>
      <c r="L336" s="292">
        <v>215</v>
      </c>
      <c r="M336" s="292"/>
      <c r="N336" s="358"/>
      <c r="O336" s="292"/>
      <c r="P336" s="292"/>
      <c r="Q336" s="614"/>
      <c r="R336" s="913">
        <f t="shared" si="24"/>
        <v>0</v>
      </c>
      <c r="S336" s="913">
        <f t="shared" si="25"/>
        <v>0</v>
      </c>
      <c r="T336" s="913">
        <f t="shared" si="26"/>
        <v>0</v>
      </c>
      <c r="U336" s="914">
        <f t="shared" si="27"/>
        <v>5</v>
      </c>
      <c r="V336" s="612"/>
      <c r="W336" s="612"/>
      <c r="X336" s="612"/>
      <c r="Y336" s="612"/>
      <c r="Z336" s="612"/>
      <c r="AA336" s="612"/>
      <c r="AB336" s="612"/>
      <c r="AC336" s="612"/>
    </row>
    <row r="337" spans="1:29">
      <c r="A337" s="66" t="s">
        <v>1258</v>
      </c>
      <c r="B337" s="60"/>
      <c r="C337" s="54" t="s">
        <v>168</v>
      </c>
      <c r="D337" s="435" t="str">
        <f>IFERROR(VLOOKUP(C337,Mychart!$A$125:$B$811,2,FALSE),"-")</f>
        <v>UTS Carrier</v>
      </c>
      <c r="E337" s="676" t="s">
        <v>234</v>
      </c>
      <c r="F337" s="58">
        <v>1</v>
      </c>
      <c r="G337" s="58"/>
      <c r="H337" s="58"/>
      <c r="I337" s="58"/>
      <c r="J337" s="137"/>
      <c r="K337" s="56" t="s">
        <v>1278</v>
      </c>
      <c r="L337" s="292">
        <v>215</v>
      </c>
      <c r="M337" s="292"/>
      <c r="N337" s="358"/>
      <c r="O337" s="292"/>
      <c r="P337" s="292"/>
      <c r="Q337" s="614"/>
      <c r="R337" s="913">
        <f t="shared" si="24"/>
        <v>0</v>
      </c>
      <c r="S337" s="913">
        <f t="shared" si="25"/>
        <v>0</v>
      </c>
      <c r="T337" s="913">
        <f t="shared" si="26"/>
        <v>0</v>
      </c>
      <c r="U337" s="914">
        <f t="shared" si="27"/>
        <v>1</v>
      </c>
      <c r="V337" s="612"/>
      <c r="W337" s="612"/>
      <c r="X337" s="612"/>
      <c r="Y337" s="612"/>
      <c r="Z337" s="612"/>
      <c r="AA337" s="612"/>
      <c r="AB337" s="612"/>
      <c r="AC337" s="612"/>
    </row>
    <row r="338" spans="1:29">
      <c r="A338" s="66" t="s">
        <v>1258</v>
      </c>
      <c r="B338" s="60"/>
      <c r="C338" s="54" t="s">
        <v>168</v>
      </c>
      <c r="D338" s="435" t="str">
        <f>IFERROR(VLOOKUP(C338,Mychart!$A$125:$B$811,2,FALSE),"-")</f>
        <v>UTS Carrier</v>
      </c>
      <c r="E338" s="676" t="s">
        <v>232</v>
      </c>
      <c r="F338" s="58">
        <v>12</v>
      </c>
      <c r="G338" s="58"/>
      <c r="H338" s="58"/>
      <c r="I338" s="58"/>
      <c r="J338" s="137"/>
      <c r="K338" s="56" t="s">
        <v>1278</v>
      </c>
      <c r="L338" s="292">
        <v>215</v>
      </c>
      <c r="M338" s="292"/>
      <c r="N338" s="358"/>
      <c r="O338" s="292"/>
      <c r="P338" s="292"/>
      <c r="Q338" s="614"/>
      <c r="R338" s="913">
        <f t="shared" si="24"/>
        <v>0</v>
      </c>
      <c r="S338" s="913">
        <f t="shared" si="25"/>
        <v>0</v>
      </c>
      <c r="T338" s="913">
        <f t="shared" si="26"/>
        <v>0</v>
      </c>
      <c r="U338" s="914">
        <f t="shared" si="27"/>
        <v>12</v>
      </c>
      <c r="V338" s="612"/>
      <c r="W338" s="612"/>
      <c r="X338" s="612"/>
      <c r="Y338" s="612"/>
      <c r="Z338" s="612"/>
      <c r="AA338" s="612"/>
      <c r="AB338" s="612"/>
      <c r="AC338" s="612"/>
    </row>
    <row r="339" spans="1:29">
      <c r="A339" s="66" t="s">
        <v>1258</v>
      </c>
      <c r="B339" s="60"/>
      <c r="C339" s="54" t="s">
        <v>168</v>
      </c>
      <c r="D339" s="435" t="str">
        <f>IFERROR(VLOOKUP(C339,Mychart!$A$125:$B$811,2,FALSE),"-")</f>
        <v>UTS Carrier</v>
      </c>
      <c r="E339" s="676" t="s">
        <v>832</v>
      </c>
      <c r="F339" s="58">
        <v>5</v>
      </c>
      <c r="G339" s="58"/>
      <c r="H339" s="58"/>
      <c r="I339" s="58"/>
      <c r="J339" s="137"/>
      <c r="K339" s="56" t="s">
        <v>1278</v>
      </c>
      <c r="L339" s="292">
        <v>215</v>
      </c>
      <c r="M339" s="292"/>
      <c r="N339" s="358"/>
      <c r="O339" s="292"/>
      <c r="P339" s="292"/>
      <c r="Q339" s="614"/>
      <c r="R339" s="913">
        <f t="shared" si="24"/>
        <v>0</v>
      </c>
      <c r="S339" s="913">
        <f t="shared" si="25"/>
        <v>0</v>
      </c>
      <c r="T339" s="913">
        <f t="shared" si="26"/>
        <v>0</v>
      </c>
      <c r="U339" s="914">
        <f t="shared" si="27"/>
        <v>5</v>
      </c>
      <c r="V339" s="612"/>
      <c r="W339" s="612"/>
      <c r="X339" s="612"/>
      <c r="Y339" s="612"/>
      <c r="Z339" s="612"/>
      <c r="AA339" s="612"/>
      <c r="AB339" s="612"/>
      <c r="AC339" s="612"/>
    </row>
    <row r="340" spans="1:29">
      <c r="A340" s="66" t="s">
        <v>1258</v>
      </c>
      <c r="B340" s="60"/>
      <c r="C340" s="54" t="s">
        <v>168</v>
      </c>
      <c r="D340" s="435" t="str">
        <f>IFERROR(VLOOKUP(C340,Mychart!$A$125:$B$811,2,FALSE),"-")</f>
        <v>UTS Carrier</v>
      </c>
      <c r="E340" s="676" t="s">
        <v>833</v>
      </c>
      <c r="F340" s="58">
        <v>5</v>
      </c>
      <c r="G340" s="58"/>
      <c r="H340" s="58"/>
      <c r="I340" s="58"/>
      <c r="J340" s="137"/>
      <c r="K340" s="56" t="s">
        <v>1278</v>
      </c>
      <c r="L340" s="292">
        <v>215</v>
      </c>
      <c r="M340" s="292"/>
      <c r="N340" s="358"/>
      <c r="O340" s="292"/>
      <c r="P340" s="292"/>
      <c r="Q340" s="614"/>
      <c r="R340" s="913">
        <f t="shared" si="24"/>
        <v>0</v>
      </c>
      <c r="S340" s="913">
        <f t="shared" si="25"/>
        <v>0</v>
      </c>
      <c r="T340" s="913">
        <f t="shared" si="26"/>
        <v>0</v>
      </c>
      <c r="U340" s="914">
        <f t="shared" si="27"/>
        <v>5</v>
      </c>
      <c r="V340" s="612"/>
      <c r="W340" s="612"/>
      <c r="X340" s="612"/>
      <c r="Y340" s="612"/>
      <c r="Z340" s="612"/>
      <c r="AA340" s="612"/>
      <c r="AB340" s="612"/>
      <c r="AC340" s="612"/>
    </row>
    <row r="341" spans="1:29">
      <c r="A341" s="66" t="s">
        <v>1258</v>
      </c>
      <c r="B341" s="60"/>
      <c r="C341" s="54" t="s">
        <v>168</v>
      </c>
      <c r="D341" s="435" t="str">
        <f>IFERROR(VLOOKUP(C341,Mychart!$A$125:$B$811,2,FALSE),"-")</f>
        <v>UTS Carrier</v>
      </c>
      <c r="E341" s="676" t="s">
        <v>1279</v>
      </c>
      <c r="F341" s="58">
        <v>2</v>
      </c>
      <c r="G341" s="58"/>
      <c r="H341" s="58"/>
      <c r="I341" s="58"/>
      <c r="J341" s="137"/>
      <c r="K341" s="56" t="s">
        <v>1278</v>
      </c>
      <c r="L341" s="292">
        <v>215</v>
      </c>
      <c r="M341" s="292"/>
      <c r="N341" s="358"/>
      <c r="O341" s="292"/>
      <c r="P341" s="292"/>
      <c r="Q341" s="614"/>
      <c r="R341" s="913">
        <f t="shared" si="24"/>
        <v>0</v>
      </c>
      <c r="S341" s="913">
        <f t="shared" si="25"/>
        <v>0</v>
      </c>
      <c r="T341" s="913">
        <f t="shared" si="26"/>
        <v>0</v>
      </c>
      <c r="U341" s="914">
        <f t="shared" si="27"/>
        <v>2</v>
      </c>
      <c r="V341" s="612"/>
      <c r="W341" s="612"/>
      <c r="X341" s="612"/>
      <c r="Y341" s="612"/>
      <c r="Z341" s="612"/>
      <c r="AA341" s="612"/>
      <c r="AB341" s="612"/>
      <c r="AC341" s="612"/>
    </row>
    <row r="342" spans="1:29">
      <c r="A342" s="66" t="s">
        <v>1258</v>
      </c>
      <c r="B342" s="60"/>
      <c r="C342" s="54" t="s">
        <v>168</v>
      </c>
      <c r="D342" s="435" t="str">
        <f>IFERROR(VLOOKUP(C342,Mychart!$A$125:$B$811,2,FALSE),"-")</f>
        <v>UTS Carrier</v>
      </c>
      <c r="E342" s="676" t="s">
        <v>1280</v>
      </c>
      <c r="F342" s="58">
        <v>2</v>
      </c>
      <c r="G342" s="58"/>
      <c r="H342" s="58"/>
      <c r="I342" s="58"/>
      <c r="J342" s="137"/>
      <c r="K342" s="56" t="s">
        <v>1278</v>
      </c>
      <c r="L342" s="292">
        <v>215</v>
      </c>
      <c r="M342" s="292"/>
      <c r="N342" s="358"/>
      <c r="O342" s="292"/>
      <c r="P342" s="292"/>
      <c r="Q342" s="614"/>
      <c r="R342" s="913">
        <f t="shared" si="24"/>
        <v>0</v>
      </c>
      <c r="S342" s="913">
        <f t="shared" si="25"/>
        <v>0</v>
      </c>
      <c r="T342" s="913">
        <f t="shared" si="26"/>
        <v>0</v>
      </c>
      <c r="U342" s="914">
        <f t="shared" si="27"/>
        <v>2</v>
      </c>
      <c r="V342" s="612"/>
      <c r="W342" s="612"/>
      <c r="X342" s="612"/>
      <c r="Y342" s="612"/>
      <c r="Z342" s="612"/>
      <c r="AA342" s="612"/>
      <c r="AB342" s="612"/>
      <c r="AC342" s="612"/>
    </row>
    <row r="343" spans="1:29">
      <c r="A343" s="66" t="s">
        <v>1258</v>
      </c>
      <c r="B343" s="60"/>
      <c r="C343" s="54" t="s">
        <v>168</v>
      </c>
      <c r="D343" s="435" t="str">
        <f>IFERROR(VLOOKUP(C343,Mychart!$A$125:$B$811,2,FALSE),"-")</f>
        <v>UTS Carrier</v>
      </c>
      <c r="E343" s="676" t="s">
        <v>1281</v>
      </c>
      <c r="F343" s="58">
        <v>1</v>
      </c>
      <c r="G343" s="58"/>
      <c r="H343" s="58"/>
      <c r="I343" s="58"/>
      <c r="J343" s="137"/>
      <c r="K343" s="56" t="s">
        <v>1278</v>
      </c>
      <c r="L343" s="292">
        <v>215</v>
      </c>
      <c r="M343" s="292"/>
      <c r="N343" s="358"/>
      <c r="O343" s="292"/>
      <c r="P343" s="292"/>
      <c r="Q343" s="614"/>
      <c r="R343" s="913">
        <f t="shared" si="24"/>
        <v>0</v>
      </c>
      <c r="S343" s="913">
        <f t="shared" si="25"/>
        <v>0</v>
      </c>
      <c r="T343" s="913">
        <f t="shared" si="26"/>
        <v>0</v>
      </c>
      <c r="U343" s="914">
        <f t="shared" si="27"/>
        <v>1</v>
      </c>
      <c r="V343" s="612"/>
      <c r="W343" s="612"/>
      <c r="X343" s="612"/>
      <c r="Y343" s="612"/>
      <c r="Z343" s="612"/>
      <c r="AA343" s="612"/>
      <c r="AB343" s="612"/>
      <c r="AC343" s="612"/>
    </row>
    <row r="344" spans="1:29">
      <c r="A344" s="66" t="s">
        <v>1258</v>
      </c>
      <c r="B344" s="60"/>
      <c r="C344" s="54" t="s">
        <v>168</v>
      </c>
      <c r="D344" s="435" t="str">
        <f>IFERROR(VLOOKUP(C344,Mychart!$A$125:$B$811,2,FALSE),"-")</f>
        <v>UTS Carrier</v>
      </c>
      <c r="E344" s="676"/>
      <c r="F344" s="58"/>
      <c r="G344" s="58"/>
      <c r="H344" s="58"/>
      <c r="I344" s="58"/>
      <c r="J344" s="137"/>
      <c r="K344" s="56" t="s">
        <v>1291</v>
      </c>
      <c r="L344" s="292">
        <v>215</v>
      </c>
      <c r="M344" s="292" t="s">
        <v>1296</v>
      </c>
      <c r="N344" s="432">
        <v>158681</v>
      </c>
      <c r="O344" s="310">
        <v>158681</v>
      </c>
      <c r="P344" s="309"/>
      <c r="Q344" s="614">
        <v>191441.25</v>
      </c>
      <c r="R344" s="913">
        <f t="shared" si="24"/>
        <v>0</v>
      </c>
      <c r="S344" s="913">
        <f t="shared" si="25"/>
        <v>32760.25</v>
      </c>
      <c r="T344" s="913">
        <f t="shared" si="26"/>
        <v>32760.25</v>
      </c>
      <c r="U344" s="914">
        <f t="shared" si="27"/>
        <v>0</v>
      </c>
      <c r="V344" s="612"/>
      <c r="W344" s="612"/>
      <c r="X344" s="612"/>
      <c r="Y344" s="612"/>
      <c r="Z344" s="612"/>
      <c r="AA344" s="612"/>
      <c r="AB344" s="612"/>
      <c r="AC344" s="612"/>
    </row>
    <row r="345" spans="1:29">
      <c r="A345" s="66" t="s">
        <v>1282</v>
      </c>
      <c r="B345" s="60"/>
      <c r="C345" s="54" t="s">
        <v>168</v>
      </c>
      <c r="D345" s="435" t="str">
        <f>IFERROR(VLOOKUP(C345,Mychart!$A$125:$B$811,2,FALSE),"-")</f>
        <v>UTS Carrier</v>
      </c>
      <c r="E345" s="676" t="s">
        <v>1175</v>
      </c>
      <c r="F345" s="58">
        <v>1</v>
      </c>
      <c r="G345" s="58"/>
      <c r="H345" s="58"/>
      <c r="I345" s="58"/>
      <c r="J345" s="137"/>
      <c r="K345" s="56" t="s">
        <v>1283</v>
      </c>
      <c r="L345" s="292">
        <v>238</v>
      </c>
      <c r="M345" s="292"/>
      <c r="N345" s="358"/>
      <c r="O345" s="292"/>
      <c r="P345" s="292"/>
      <c r="Q345" s="614"/>
      <c r="R345" s="913">
        <f t="shared" si="24"/>
        <v>0</v>
      </c>
      <c r="S345" s="913">
        <f t="shared" si="25"/>
        <v>0</v>
      </c>
      <c r="T345" s="913">
        <f t="shared" si="26"/>
        <v>0</v>
      </c>
      <c r="U345" s="914">
        <f t="shared" si="27"/>
        <v>1</v>
      </c>
      <c r="V345" s="612"/>
      <c r="W345" s="612"/>
      <c r="X345" s="612"/>
      <c r="Y345" s="612"/>
      <c r="Z345" s="612"/>
      <c r="AA345" s="612"/>
      <c r="AB345" s="612"/>
      <c r="AC345" s="612"/>
    </row>
    <row r="346" spans="1:29">
      <c r="A346" s="66" t="s">
        <v>1282</v>
      </c>
      <c r="B346" s="60"/>
      <c r="C346" s="54" t="s">
        <v>168</v>
      </c>
      <c r="D346" s="435" t="str">
        <f>IFERROR(VLOOKUP(C346,Mychart!$A$125:$B$811,2,FALSE),"-")</f>
        <v>UTS Carrier</v>
      </c>
      <c r="E346" s="676" t="s">
        <v>1284</v>
      </c>
      <c r="F346" s="58">
        <v>1</v>
      </c>
      <c r="G346" s="58"/>
      <c r="H346" s="58"/>
      <c r="I346" s="58"/>
      <c r="J346" s="137"/>
      <c r="K346" s="56" t="s">
        <v>1283</v>
      </c>
      <c r="L346" s="292">
        <v>238</v>
      </c>
      <c r="M346" s="292"/>
      <c r="N346" s="358"/>
      <c r="O346" s="292"/>
      <c r="P346" s="292"/>
      <c r="Q346" s="614"/>
      <c r="R346" s="913">
        <f t="shared" si="24"/>
        <v>0</v>
      </c>
      <c r="S346" s="913">
        <f t="shared" si="25"/>
        <v>0</v>
      </c>
      <c r="T346" s="913">
        <f t="shared" si="26"/>
        <v>0</v>
      </c>
      <c r="U346" s="914">
        <f t="shared" si="27"/>
        <v>1</v>
      </c>
      <c r="V346" s="612"/>
      <c r="W346" s="612"/>
      <c r="X346" s="612"/>
      <c r="Y346" s="612"/>
      <c r="Z346" s="612"/>
      <c r="AA346" s="612"/>
      <c r="AB346" s="612"/>
      <c r="AC346" s="612"/>
    </row>
    <row r="347" spans="1:29">
      <c r="A347" s="66" t="s">
        <v>1282</v>
      </c>
      <c r="B347" s="60"/>
      <c r="C347" s="54" t="s">
        <v>168</v>
      </c>
      <c r="D347" s="435" t="str">
        <f>IFERROR(VLOOKUP(C347,Mychart!$A$125:$B$811,2,FALSE),"-")</f>
        <v>UTS Carrier</v>
      </c>
      <c r="E347" s="676" t="s">
        <v>1168</v>
      </c>
      <c r="F347" s="58">
        <v>1</v>
      </c>
      <c r="G347" s="58"/>
      <c r="H347" s="58"/>
      <c r="I347" s="58"/>
      <c r="J347" s="137"/>
      <c r="K347" s="56" t="s">
        <v>1283</v>
      </c>
      <c r="L347" s="292">
        <v>238</v>
      </c>
      <c r="M347" s="292"/>
      <c r="N347" s="358"/>
      <c r="O347" s="292"/>
      <c r="P347" s="292"/>
      <c r="Q347" s="614"/>
      <c r="R347" s="913">
        <f t="shared" si="24"/>
        <v>0</v>
      </c>
      <c r="S347" s="913">
        <f t="shared" si="25"/>
        <v>0</v>
      </c>
      <c r="T347" s="913">
        <f t="shared" si="26"/>
        <v>0</v>
      </c>
      <c r="U347" s="914">
        <f t="shared" si="27"/>
        <v>1</v>
      </c>
      <c r="V347" s="612"/>
      <c r="W347" s="612"/>
      <c r="X347" s="612"/>
      <c r="Y347" s="612"/>
      <c r="Z347" s="612"/>
      <c r="AA347" s="612"/>
      <c r="AB347" s="612"/>
      <c r="AC347" s="612"/>
    </row>
    <row r="348" spans="1:29">
      <c r="A348" s="66" t="s">
        <v>1282</v>
      </c>
      <c r="B348" s="60"/>
      <c r="C348" s="54" t="s">
        <v>168</v>
      </c>
      <c r="D348" s="435" t="str">
        <f>IFERROR(VLOOKUP(C348,Mychart!$A$125:$B$811,2,FALSE),"-")</f>
        <v>UTS Carrier</v>
      </c>
      <c r="E348" s="676" t="s">
        <v>1285</v>
      </c>
      <c r="F348" s="58">
        <v>1</v>
      </c>
      <c r="G348" s="58"/>
      <c r="H348" s="58"/>
      <c r="I348" s="58"/>
      <c r="J348" s="137"/>
      <c r="K348" s="56" t="s">
        <v>1283</v>
      </c>
      <c r="L348" s="292">
        <v>238</v>
      </c>
      <c r="M348" s="292"/>
      <c r="N348" s="358"/>
      <c r="O348" s="292"/>
      <c r="P348" s="292"/>
      <c r="Q348" s="614"/>
      <c r="R348" s="913">
        <f t="shared" si="24"/>
        <v>0</v>
      </c>
      <c r="S348" s="913">
        <f t="shared" si="25"/>
        <v>0</v>
      </c>
      <c r="T348" s="913">
        <f t="shared" si="26"/>
        <v>0</v>
      </c>
      <c r="U348" s="914">
        <f t="shared" si="27"/>
        <v>1</v>
      </c>
      <c r="V348" s="612"/>
      <c r="W348" s="612"/>
      <c r="X348" s="612"/>
      <c r="Y348" s="612"/>
      <c r="Z348" s="612"/>
      <c r="AA348" s="612"/>
      <c r="AB348" s="612"/>
      <c r="AC348" s="612"/>
    </row>
    <row r="349" spans="1:29">
      <c r="A349" s="66" t="s">
        <v>1282</v>
      </c>
      <c r="B349" s="60"/>
      <c r="C349" s="54" t="s">
        <v>168</v>
      </c>
      <c r="D349" s="435" t="str">
        <f>IFERROR(VLOOKUP(C349,Mychart!$A$125:$B$811,2,FALSE),"-")</f>
        <v>UTS Carrier</v>
      </c>
      <c r="E349" s="676" t="s">
        <v>1183</v>
      </c>
      <c r="F349" s="58">
        <v>7</v>
      </c>
      <c r="G349" s="58"/>
      <c r="H349" s="58"/>
      <c r="I349" s="58"/>
      <c r="J349" s="137"/>
      <c r="K349" s="56" t="s">
        <v>1283</v>
      </c>
      <c r="L349" s="292">
        <v>238</v>
      </c>
      <c r="M349" s="292"/>
      <c r="N349" s="358"/>
      <c r="O349" s="292"/>
      <c r="P349" s="292"/>
      <c r="Q349" s="614"/>
      <c r="R349" s="913">
        <f t="shared" si="24"/>
        <v>0</v>
      </c>
      <c r="S349" s="913">
        <f t="shared" si="25"/>
        <v>0</v>
      </c>
      <c r="T349" s="913">
        <f t="shared" si="26"/>
        <v>0</v>
      </c>
      <c r="U349" s="914">
        <f t="shared" si="27"/>
        <v>7</v>
      </c>
      <c r="V349" s="612"/>
      <c r="W349" s="612"/>
      <c r="X349" s="612"/>
      <c r="Y349" s="612"/>
      <c r="Z349" s="612"/>
      <c r="AA349" s="612"/>
      <c r="AB349" s="612"/>
      <c r="AC349" s="612"/>
    </row>
    <row r="350" spans="1:29">
      <c r="A350" s="66" t="s">
        <v>1282</v>
      </c>
      <c r="B350" s="60"/>
      <c r="C350" s="54" t="s">
        <v>168</v>
      </c>
      <c r="D350" s="435" t="str">
        <f>IFERROR(VLOOKUP(C350,Mychart!$A$125:$B$811,2,FALSE),"-")</f>
        <v>UTS Carrier</v>
      </c>
      <c r="E350" s="676" t="s">
        <v>1286</v>
      </c>
      <c r="F350" s="58">
        <v>7</v>
      </c>
      <c r="G350" s="58"/>
      <c r="H350" s="58"/>
      <c r="I350" s="58"/>
      <c r="J350" s="137"/>
      <c r="K350" s="56" t="s">
        <v>1283</v>
      </c>
      <c r="L350" s="292">
        <v>238</v>
      </c>
      <c r="M350" s="292"/>
      <c r="N350" s="358"/>
      <c r="O350" s="292"/>
      <c r="P350" s="292"/>
      <c r="Q350" s="614"/>
      <c r="R350" s="913">
        <f t="shared" si="24"/>
        <v>0</v>
      </c>
      <c r="S350" s="913">
        <f t="shared" si="25"/>
        <v>0</v>
      </c>
      <c r="T350" s="913">
        <f t="shared" si="26"/>
        <v>0</v>
      </c>
      <c r="U350" s="914">
        <f t="shared" si="27"/>
        <v>7</v>
      </c>
      <c r="V350" s="612"/>
      <c r="W350" s="612"/>
      <c r="X350" s="612"/>
      <c r="Y350" s="612"/>
      <c r="Z350" s="612"/>
      <c r="AA350" s="612"/>
      <c r="AB350" s="612"/>
      <c r="AC350" s="612"/>
    </row>
    <row r="351" spans="1:29">
      <c r="A351" s="66" t="s">
        <v>1282</v>
      </c>
      <c r="B351" s="60"/>
      <c r="C351" s="54" t="s">
        <v>168</v>
      </c>
      <c r="D351" s="435" t="str">
        <f>IFERROR(VLOOKUP(C351,Mychart!$A$125:$B$811,2,FALSE),"-")</f>
        <v>UTS Carrier</v>
      </c>
      <c r="E351" s="676" t="s">
        <v>1185</v>
      </c>
      <c r="F351" s="58">
        <v>2</v>
      </c>
      <c r="G351" s="58"/>
      <c r="H351" s="58"/>
      <c r="I351" s="58"/>
      <c r="J351" s="137"/>
      <c r="K351" s="56" t="s">
        <v>1283</v>
      </c>
      <c r="L351" s="292">
        <v>238</v>
      </c>
      <c r="M351" s="292"/>
      <c r="N351" s="358"/>
      <c r="O351" s="292"/>
      <c r="P351" s="292"/>
      <c r="Q351" s="614"/>
      <c r="R351" s="913">
        <f t="shared" si="24"/>
        <v>0</v>
      </c>
      <c r="S351" s="913">
        <f t="shared" si="25"/>
        <v>0</v>
      </c>
      <c r="T351" s="913">
        <f t="shared" si="26"/>
        <v>0</v>
      </c>
      <c r="U351" s="914">
        <f t="shared" si="27"/>
        <v>2</v>
      </c>
      <c r="V351" s="612"/>
      <c r="W351" s="612"/>
      <c r="X351" s="612"/>
      <c r="Y351" s="612"/>
      <c r="Z351" s="612"/>
      <c r="AA351" s="612"/>
      <c r="AB351" s="612"/>
      <c r="AC351" s="612"/>
    </row>
    <row r="352" spans="1:29">
      <c r="A352" s="66" t="s">
        <v>1282</v>
      </c>
      <c r="B352" s="60"/>
      <c r="C352" s="54" t="s">
        <v>168</v>
      </c>
      <c r="D352" s="435" t="str">
        <f>IFERROR(VLOOKUP(C352,Mychart!$A$125:$B$811,2,FALSE),"-")</f>
        <v>UTS Carrier</v>
      </c>
      <c r="E352" s="676" t="s">
        <v>1287</v>
      </c>
      <c r="F352" s="58">
        <v>2</v>
      </c>
      <c r="G352" s="58"/>
      <c r="H352" s="58"/>
      <c r="I352" s="58"/>
      <c r="J352" s="137"/>
      <c r="K352" s="56" t="s">
        <v>1283</v>
      </c>
      <c r="L352" s="292">
        <v>238</v>
      </c>
      <c r="M352" s="292"/>
      <c r="N352" s="358"/>
      <c r="O352" s="292"/>
      <c r="P352" s="292"/>
      <c r="Q352" s="614"/>
      <c r="R352" s="913">
        <f t="shared" si="24"/>
        <v>0</v>
      </c>
      <c r="S352" s="913">
        <f t="shared" si="25"/>
        <v>0</v>
      </c>
      <c r="T352" s="913">
        <f t="shared" si="26"/>
        <v>0</v>
      </c>
      <c r="U352" s="914">
        <f t="shared" si="27"/>
        <v>2</v>
      </c>
      <c r="V352" s="612"/>
      <c r="W352" s="612"/>
      <c r="X352" s="612"/>
      <c r="Y352" s="612"/>
      <c r="Z352" s="612"/>
      <c r="AA352" s="612"/>
      <c r="AB352" s="612"/>
      <c r="AC352" s="612"/>
    </row>
    <row r="353" spans="1:29">
      <c r="A353" s="66" t="s">
        <v>1282</v>
      </c>
      <c r="B353" s="60"/>
      <c r="C353" s="54" t="s">
        <v>168</v>
      </c>
      <c r="D353" s="435" t="str">
        <f>IFERROR(VLOOKUP(C353,Mychart!$A$125:$B$811,2,FALSE),"-")</f>
        <v>UTS Carrier</v>
      </c>
      <c r="E353" s="676" t="s">
        <v>1288</v>
      </c>
      <c r="F353" s="58">
        <v>1</v>
      </c>
      <c r="G353" s="58"/>
      <c r="H353" s="58"/>
      <c r="I353" s="58"/>
      <c r="J353" s="137"/>
      <c r="K353" s="56" t="s">
        <v>1283</v>
      </c>
      <c r="L353" s="292">
        <v>238</v>
      </c>
      <c r="M353" s="292"/>
      <c r="N353" s="358"/>
      <c r="O353" s="292"/>
      <c r="P353" s="292"/>
      <c r="Q353" s="614"/>
      <c r="R353" s="913">
        <f t="shared" si="24"/>
        <v>0</v>
      </c>
      <c r="S353" s="913">
        <f t="shared" si="25"/>
        <v>0</v>
      </c>
      <c r="T353" s="913">
        <f t="shared" si="26"/>
        <v>0</v>
      </c>
      <c r="U353" s="914">
        <f t="shared" si="27"/>
        <v>1</v>
      </c>
      <c r="V353" s="612"/>
      <c r="W353" s="612"/>
      <c r="X353" s="612"/>
      <c r="Y353" s="612"/>
      <c r="Z353" s="612"/>
      <c r="AA353" s="612"/>
      <c r="AB353" s="612"/>
      <c r="AC353" s="612"/>
    </row>
    <row r="354" spans="1:29">
      <c r="A354" s="66" t="s">
        <v>1282</v>
      </c>
      <c r="B354" s="60"/>
      <c r="C354" s="54" t="s">
        <v>168</v>
      </c>
      <c r="D354" s="435" t="str">
        <f>IFERROR(VLOOKUP(C354,Mychart!$A$125:$B$811,2,FALSE),"-")</f>
        <v>UTS Carrier</v>
      </c>
      <c r="E354" s="676" t="s">
        <v>1289</v>
      </c>
      <c r="F354" s="58">
        <v>1</v>
      </c>
      <c r="G354" s="58"/>
      <c r="H354" s="58"/>
      <c r="I354" s="58"/>
      <c r="J354" s="137"/>
      <c r="K354" s="56" t="s">
        <v>1283</v>
      </c>
      <c r="L354" s="292">
        <v>238</v>
      </c>
      <c r="M354" s="292"/>
      <c r="N354" s="358"/>
      <c r="O354" s="292"/>
      <c r="P354" s="292"/>
      <c r="Q354" s="614"/>
      <c r="R354" s="913">
        <f t="shared" si="24"/>
        <v>0</v>
      </c>
      <c r="S354" s="913">
        <f t="shared" si="25"/>
        <v>0</v>
      </c>
      <c r="T354" s="913">
        <f t="shared" si="26"/>
        <v>0</v>
      </c>
      <c r="U354" s="914">
        <f t="shared" si="27"/>
        <v>1</v>
      </c>
      <c r="V354" s="612"/>
      <c r="W354" s="612"/>
      <c r="X354" s="612"/>
      <c r="Y354" s="612"/>
      <c r="Z354" s="612"/>
      <c r="AA354" s="612"/>
      <c r="AB354" s="612"/>
      <c r="AC354" s="612"/>
    </row>
    <row r="355" spans="1:29">
      <c r="A355" s="66" t="s">
        <v>1282</v>
      </c>
      <c r="B355" s="60"/>
      <c r="C355" s="54" t="s">
        <v>168</v>
      </c>
      <c r="D355" s="435" t="str">
        <f>IFERROR(VLOOKUP(C355,Mychart!$A$125:$B$811,2,FALSE),"-")</f>
        <v>UTS Carrier</v>
      </c>
      <c r="E355" s="676"/>
      <c r="F355" s="58"/>
      <c r="G355" s="58"/>
      <c r="H355" s="58"/>
      <c r="I355" s="58"/>
      <c r="J355" s="137"/>
      <c r="K355" s="56" t="s">
        <v>1283</v>
      </c>
      <c r="L355" s="292">
        <v>238</v>
      </c>
      <c r="M355" s="292"/>
      <c r="N355" s="358">
        <v>23982</v>
      </c>
      <c r="O355" s="292">
        <v>23982</v>
      </c>
      <c r="P355" s="292"/>
      <c r="Q355" s="614">
        <v>96815.25</v>
      </c>
      <c r="R355" s="913">
        <f t="shared" si="24"/>
        <v>0</v>
      </c>
      <c r="S355" s="913">
        <f t="shared" si="25"/>
        <v>72833.25</v>
      </c>
      <c r="T355" s="913">
        <f t="shared" si="26"/>
        <v>72833.25</v>
      </c>
      <c r="U355" s="914">
        <f t="shared" si="27"/>
        <v>0</v>
      </c>
      <c r="V355" s="612"/>
      <c r="W355" s="612"/>
      <c r="X355" s="612"/>
      <c r="Y355" s="612"/>
      <c r="Z355" s="612"/>
      <c r="AA355" s="612"/>
      <c r="AB355" s="612"/>
      <c r="AC355" s="612"/>
    </row>
    <row r="356" spans="1:29">
      <c r="A356" s="66" t="s">
        <v>1290</v>
      </c>
      <c r="B356" s="60"/>
      <c r="C356" s="54" t="s">
        <v>168</v>
      </c>
      <c r="D356" s="435" t="str">
        <f>IFERROR(VLOOKUP(C356,Mychart!$A$125:$B$811,2,FALSE),"-")</f>
        <v>UTS Carrier</v>
      </c>
      <c r="E356" s="676" t="s">
        <v>1177</v>
      </c>
      <c r="F356" s="58">
        <v>5</v>
      </c>
      <c r="G356" s="58"/>
      <c r="H356" s="58"/>
      <c r="I356" s="58"/>
      <c r="J356" s="137"/>
      <c r="K356" s="56" t="s">
        <v>501</v>
      </c>
      <c r="L356" s="292">
        <v>221</v>
      </c>
      <c r="M356" s="292"/>
      <c r="N356" s="358"/>
      <c r="O356" s="292"/>
      <c r="P356" s="292"/>
      <c r="Q356" s="614"/>
      <c r="R356" s="913">
        <f t="shared" si="24"/>
        <v>0</v>
      </c>
      <c r="S356" s="913">
        <f t="shared" si="25"/>
        <v>0</v>
      </c>
      <c r="T356" s="913">
        <f t="shared" si="26"/>
        <v>0</v>
      </c>
      <c r="U356" s="914">
        <f t="shared" si="27"/>
        <v>5</v>
      </c>
      <c r="V356" s="612"/>
      <c r="W356" s="612"/>
      <c r="X356" s="612"/>
      <c r="Y356" s="612"/>
      <c r="Z356" s="612"/>
      <c r="AA356" s="612"/>
      <c r="AB356" s="612"/>
      <c r="AC356" s="612"/>
    </row>
    <row r="357" spans="1:29">
      <c r="A357" s="66" t="s">
        <v>1290</v>
      </c>
      <c r="B357" s="60"/>
      <c r="C357" s="54" t="s">
        <v>168</v>
      </c>
      <c r="D357" s="435" t="str">
        <f>IFERROR(VLOOKUP(C357,Mychart!$A$125:$B$811,2,FALSE),"-")</f>
        <v>UTS Carrier</v>
      </c>
      <c r="E357" s="676" t="s">
        <v>237</v>
      </c>
      <c r="F357" s="58">
        <v>5</v>
      </c>
      <c r="G357" s="58"/>
      <c r="H357" s="58"/>
      <c r="I357" s="58"/>
      <c r="J357" s="137"/>
      <c r="K357" s="56" t="s">
        <v>501</v>
      </c>
      <c r="L357" s="292">
        <v>221</v>
      </c>
      <c r="M357" s="292"/>
      <c r="N357" s="358"/>
      <c r="O357" s="292"/>
      <c r="P357" s="292"/>
      <c r="Q357" s="614"/>
      <c r="R357" s="913">
        <f t="shared" si="24"/>
        <v>0</v>
      </c>
      <c r="S357" s="913">
        <f t="shared" si="25"/>
        <v>0</v>
      </c>
      <c r="T357" s="913">
        <f t="shared" si="26"/>
        <v>0</v>
      </c>
      <c r="U357" s="914">
        <f t="shared" si="27"/>
        <v>5</v>
      </c>
      <c r="V357" s="612"/>
      <c r="W357" s="612"/>
      <c r="X357" s="612"/>
      <c r="Y357" s="612"/>
      <c r="Z357" s="612"/>
      <c r="AA357" s="612"/>
      <c r="AB357" s="612"/>
      <c r="AC357" s="612"/>
    </row>
    <row r="358" spans="1:29">
      <c r="A358" s="66" t="s">
        <v>1290</v>
      </c>
      <c r="B358" s="60"/>
      <c r="C358" s="54" t="s">
        <v>168</v>
      </c>
      <c r="D358" s="435" t="str">
        <f>IFERROR(VLOOKUP(C358,Mychart!$A$125:$B$811,2,FALSE),"-")</f>
        <v>UTS Carrier</v>
      </c>
      <c r="E358" s="676" t="s">
        <v>1168</v>
      </c>
      <c r="F358" s="58">
        <v>1</v>
      </c>
      <c r="G358" s="58"/>
      <c r="H358" s="58"/>
      <c r="I358" s="58"/>
      <c r="J358" s="137"/>
      <c r="K358" s="56" t="s">
        <v>501</v>
      </c>
      <c r="L358" s="292">
        <v>221</v>
      </c>
      <c r="M358" s="292"/>
      <c r="N358" s="358"/>
      <c r="O358" s="292"/>
      <c r="P358" s="292"/>
      <c r="Q358" s="614"/>
      <c r="R358" s="913">
        <f t="shared" si="24"/>
        <v>0</v>
      </c>
      <c r="S358" s="913">
        <f t="shared" si="25"/>
        <v>0</v>
      </c>
      <c r="T358" s="913">
        <f t="shared" si="26"/>
        <v>0</v>
      </c>
      <c r="U358" s="914">
        <f t="shared" si="27"/>
        <v>1</v>
      </c>
      <c r="V358" s="612"/>
      <c r="W358" s="612"/>
      <c r="X358" s="612"/>
      <c r="Y358" s="612"/>
      <c r="Z358" s="612"/>
      <c r="AA358" s="612"/>
      <c r="AB358" s="612"/>
      <c r="AC358" s="612"/>
    </row>
    <row r="359" spans="1:29">
      <c r="A359" s="66" t="s">
        <v>1290</v>
      </c>
      <c r="B359" s="60"/>
      <c r="C359" s="54" t="s">
        <v>168</v>
      </c>
      <c r="D359" s="435" t="str">
        <f>IFERROR(VLOOKUP(C359,Mychart!$A$125:$B$811,2,FALSE),"-")</f>
        <v>UTS Carrier</v>
      </c>
      <c r="E359" s="676" t="s">
        <v>828</v>
      </c>
      <c r="F359" s="58">
        <v>1</v>
      </c>
      <c r="G359" s="58"/>
      <c r="H359" s="58"/>
      <c r="I359" s="58"/>
      <c r="J359" s="137"/>
      <c r="K359" s="56" t="s">
        <v>501</v>
      </c>
      <c r="L359" s="292">
        <v>221</v>
      </c>
      <c r="M359" s="292"/>
      <c r="N359" s="358"/>
      <c r="O359" s="292"/>
      <c r="P359" s="292"/>
      <c r="Q359" s="614"/>
      <c r="R359" s="913">
        <f t="shared" si="24"/>
        <v>0</v>
      </c>
      <c r="S359" s="913">
        <f t="shared" si="25"/>
        <v>0</v>
      </c>
      <c r="T359" s="913">
        <f t="shared" si="26"/>
        <v>0</v>
      </c>
      <c r="U359" s="914">
        <f t="shared" si="27"/>
        <v>1</v>
      </c>
      <c r="V359" s="612"/>
      <c r="W359" s="612"/>
      <c r="X359" s="612"/>
      <c r="Y359" s="612"/>
      <c r="Z359" s="612"/>
      <c r="AA359" s="612"/>
      <c r="AB359" s="612"/>
      <c r="AC359" s="612"/>
    </row>
    <row r="360" spans="1:29">
      <c r="A360" s="66" t="s">
        <v>1290</v>
      </c>
      <c r="B360" s="60"/>
      <c r="C360" s="54" t="s">
        <v>168</v>
      </c>
      <c r="D360" s="435" t="str">
        <f>IFERROR(VLOOKUP(C360,Mychart!$A$125:$B$811,2,FALSE),"-")</f>
        <v>UTS Carrier</v>
      </c>
      <c r="E360" s="676" t="s">
        <v>1183</v>
      </c>
      <c r="F360" s="58">
        <v>2</v>
      </c>
      <c r="G360" s="58"/>
      <c r="H360" s="58"/>
      <c r="I360" s="58"/>
      <c r="J360" s="137"/>
      <c r="K360" s="56" t="s">
        <v>501</v>
      </c>
      <c r="L360" s="292">
        <v>221</v>
      </c>
      <c r="M360" s="292"/>
      <c r="N360" s="358"/>
      <c r="O360" s="292"/>
      <c r="P360" s="292"/>
      <c r="Q360" s="614"/>
      <c r="R360" s="913">
        <f t="shared" si="24"/>
        <v>0</v>
      </c>
      <c r="S360" s="913">
        <f t="shared" si="25"/>
        <v>0</v>
      </c>
      <c r="T360" s="913">
        <f t="shared" si="26"/>
        <v>0</v>
      </c>
      <c r="U360" s="914">
        <f t="shared" si="27"/>
        <v>2</v>
      </c>
      <c r="V360" s="612"/>
      <c r="W360" s="612"/>
      <c r="X360" s="612"/>
      <c r="Y360" s="612"/>
      <c r="Z360" s="612"/>
      <c r="AA360" s="612"/>
      <c r="AB360" s="612"/>
      <c r="AC360" s="612"/>
    </row>
    <row r="361" spans="1:29">
      <c r="A361" s="66" t="s">
        <v>1290</v>
      </c>
      <c r="B361" s="60"/>
      <c r="C361" s="54" t="s">
        <v>168</v>
      </c>
      <c r="D361" s="435" t="str">
        <f>IFERROR(VLOOKUP(C361,Mychart!$A$125:$B$811,2,FALSE),"-")</f>
        <v>UTS Carrier</v>
      </c>
      <c r="E361" s="676" t="s">
        <v>1184</v>
      </c>
      <c r="F361" s="58">
        <v>2</v>
      </c>
      <c r="G361" s="58"/>
      <c r="H361" s="58"/>
      <c r="I361" s="58"/>
      <c r="J361" s="137"/>
      <c r="K361" s="56" t="s">
        <v>501</v>
      </c>
      <c r="L361" s="292">
        <v>221</v>
      </c>
      <c r="M361" s="292"/>
      <c r="N361" s="358"/>
      <c r="O361" s="292"/>
      <c r="P361" s="292"/>
      <c r="Q361" s="614"/>
      <c r="R361" s="913">
        <f t="shared" si="24"/>
        <v>0</v>
      </c>
      <c r="S361" s="913">
        <f t="shared" si="25"/>
        <v>0</v>
      </c>
      <c r="T361" s="913">
        <f t="shared" si="26"/>
        <v>0</v>
      </c>
      <c r="U361" s="914">
        <f t="shared" si="27"/>
        <v>2</v>
      </c>
      <c r="V361" s="612"/>
      <c r="W361" s="612"/>
      <c r="X361" s="612"/>
      <c r="Y361" s="612"/>
      <c r="Z361" s="612"/>
      <c r="AA361" s="612"/>
      <c r="AB361" s="612"/>
      <c r="AC361" s="612"/>
    </row>
    <row r="362" spans="1:29">
      <c r="A362" s="66" t="s">
        <v>1290</v>
      </c>
      <c r="B362" s="60"/>
      <c r="C362" s="54" t="s">
        <v>168</v>
      </c>
      <c r="D362" s="435" t="str">
        <f>IFERROR(VLOOKUP(C362,Mychart!$A$125:$B$811,2,FALSE),"-")</f>
        <v>UTS Carrier</v>
      </c>
      <c r="E362" s="676" t="s">
        <v>1185</v>
      </c>
      <c r="F362" s="58">
        <v>2</v>
      </c>
      <c r="G362" s="58"/>
      <c r="H362" s="58"/>
      <c r="I362" s="58"/>
      <c r="J362" s="137"/>
      <c r="K362" s="56" t="s">
        <v>501</v>
      </c>
      <c r="L362" s="292">
        <v>221</v>
      </c>
      <c r="M362" s="292"/>
      <c r="N362" s="358"/>
      <c r="O362" s="292"/>
      <c r="P362" s="292"/>
      <c r="Q362" s="614"/>
      <c r="R362" s="913">
        <f t="shared" si="24"/>
        <v>0</v>
      </c>
      <c r="S362" s="913">
        <f t="shared" si="25"/>
        <v>0</v>
      </c>
      <c r="T362" s="913">
        <f t="shared" si="26"/>
        <v>0</v>
      </c>
      <c r="U362" s="914">
        <f t="shared" si="27"/>
        <v>2</v>
      </c>
      <c r="V362" s="612"/>
      <c r="W362" s="612"/>
      <c r="X362" s="612"/>
      <c r="Y362" s="612"/>
      <c r="Z362" s="612"/>
      <c r="AA362" s="612"/>
      <c r="AB362" s="612"/>
      <c r="AC362" s="612"/>
    </row>
    <row r="363" spans="1:29">
      <c r="A363" s="66" t="s">
        <v>1290</v>
      </c>
      <c r="B363" s="60"/>
      <c r="C363" s="54" t="s">
        <v>168</v>
      </c>
      <c r="D363" s="435" t="str">
        <f>IFERROR(VLOOKUP(C363,Mychart!$A$125:$B$811,2,FALSE),"-")</f>
        <v>UTS Carrier</v>
      </c>
      <c r="E363" s="676" t="s">
        <v>1193</v>
      </c>
      <c r="F363" s="58">
        <v>2</v>
      </c>
      <c r="G363" s="58"/>
      <c r="H363" s="58"/>
      <c r="I363" s="58"/>
      <c r="J363" s="137"/>
      <c r="K363" s="56" t="s">
        <v>501</v>
      </c>
      <c r="L363" s="292">
        <v>221</v>
      </c>
      <c r="M363" s="292"/>
      <c r="N363" s="358"/>
      <c r="O363" s="292"/>
      <c r="P363" s="292"/>
      <c r="Q363" s="614"/>
      <c r="R363" s="913">
        <f t="shared" si="24"/>
        <v>0</v>
      </c>
      <c r="S363" s="913">
        <f t="shared" si="25"/>
        <v>0</v>
      </c>
      <c r="T363" s="913">
        <f t="shared" si="26"/>
        <v>0</v>
      </c>
      <c r="U363" s="914">
        <f t="shared" si="27"/>
        <v>2</v>
      </c>
      <c r="V363" s="612"/>
      <c r="W363" s="612"/>
      <c r="X363" s="612"/>
      <c r="Y363" s="612"/>
      <c r="Z363" s="612"/>
      <c r="AA363" s="612"/>
      <c r="AB363" s="612"/>
      <c r="AC363" s="612"/>
    </row>
    <row r="364" spans="1:29">
      <c r="A364" s="66" t="s">
        <v>1290</v>
      </c>
      <c r="B364" s="60"/>
      <c r="C364" s="54" t="s">
        <v>168</v>
      </c>
      <c r="D364" s="435" t="str">
        <f>IFERROR(VLOOKUP(C364,Mychart!$A$125:$B$811,2,FALSE),"-")</f>
        <v>UTS Carrier</v>
      </c>
      <c r="E364" s="676" t="s">
        <v>832</v>
      </c>
      <c r="F364" s="58">
        <v>2</v>
      </c>
      <c r="G364" s="58"/>
      <c r="H364" s="58"/>
      <c r="I364" s="58"/>
      <c r="J364" s="137"/>
      <c r="K364" s="56" t="s">
        <v>501</v>
      </c>
      <c r="L364" s="292">
        <v>221</v>
      </c>
      <c r="M364" s="292"/>
      <c r="N364" s="358"/>
      <c r="O364" s="292"/>
      <c r="P364" s="292"/>
      <c r="Q364" s="614"/>
      <c r="R364" s="913">
        <f t="shared" si="24"/>
        <v>0</v>
      </c>
      <c r="S364" s="913">
        <f t="shared" si="25"/>
        <v>0</v>
      </c>
      <c r="T364" s="913">
        <f t="shared" si="26"/>
        <v>0</v>
      </c>
      <c r="U364" s="914">
        <f t="shared" si="27"/>
        <v>2</v>
      </c>
      <c r="V364" s="612"/>
      <c r="W364" s="612"/>
      <c r="X364" s="612"/>
      <c r="Y364" s="612"/>
      <c r="Z364" s="612"/>
      <c r="AA364" s="612"/>
      <c r="AB364" s="612"/>
      <c r="AC364" s="612"/>
    </row>
    <row r="365" spans="1:29">
      <c r="A365" s="66" t="s">
        <v>1290</v>
      </c>
      <c r="B365" s="60"/>
      <c r="C365" s="54" t="s">
        <v>168</v>
      </c>
      <c r="D365" s="435" t="str">
        <f>IFERROR(VLOOKUP(C365,Mychart!$A$125:$B$811,2,FALSE),"-")</f>
        <v>UTS Carrier</v>
      </c>
      <c r="E365" s="676" t="s">
        <v>1194</v>
      </c>
      <c r="F365" s="58">
        <v>2</v>
      </c>
      <c r="G365" s="58"/>
      <c r="H365" s="58"/>
      <c r="I365" s="58"/>
      <c r="J365" s="137"/>
      <c r="K365" s="56" t="s">
        <v>501</v>
      </c>
      <c r="L365" s="292">
        <v>221</v>
      </c>
      <c r="M365" s="292"/>
      <c r="N365" s="358"/>
      <c r="O365" s="292"/>
      <c r="P365" s="292"/>
      <c r="Q365" s="614"/>
      <c r="R365" s="913">
        <f t="shared" si="24"/>
        <v>0</v>
      </c>
      <c r="S365" s="913">
        <f t="shared" si="25"/>
        <v>0</v>
      </c>
      <c r="T365" s="913">
        <f t="shared" si="26"/>
        <v>0</v>
      </c>
      <c r="U365" s="914">
        <f t="shared" si="27"/>
        <v>2</v>
      </c>
      <c r="V365" s="612"/>
      <c r="W365" s="612"/>
      <c r="X365" s="612"/>
      <c r="Y365" s="612"/>
      <c r="Z365" s="612"/>
      <c r="AA365" s="612"/>
      <c r="AB365" s="612"/>
      <c r="AC365" s="612"/>
    </row>
    <row r="366" spans="1:29">
      <c r="A366" s="66" t="s">
        <v>1290</v>
      </c>
      <c r="B366" s="60"/>
      <c r="C366" s="54" t="s">
        <v>168</v>
      </c>
      <c r="D366" s="435" t="str">
        <f>IFERROR(VLOOKUP(C366,Mychart!$A$125:$B$811,2,FALSE),"-")</f>
        <v>UTS Carrier</v>
      </c>
      <c r="E366" s="676" t="s">
        <v>1195</v>
      </c>
      <c r="F366" s="58">
        <v>1</v>
      </c>
      <c r="G366" s="58"/>
      <c r="H366" s="58"/>
      <c r="I366" s="58"/>
      <c r="J366" s="137"/>
      <c r="K366" s="56" t="s">
        <v>501</v>
      </c>
      <c r="L366" s="292">
        <v>221</v>
      </c>
      <c r="M366" s="292"/>
      <c r="N366" s="358"/>
      <c r="O366" s="292"/>
      <c r="P366" s="292"/>
      <c r="Q366" s="614"/>
      <c r="R366" s="913">
        <f t="shared" si="24"/>
        <v>0</v>
      </c>
      <c r="S366" s="913">
        <f t="shared" si="25"/>
        <v>0</v>
      </c>
      <c r="T366" s="913">
        <f t="shared" si="26"/>
        <v>0</v>
      </c>
      <c r="U366" s="914">
        <f t="shared" si="27"/>
        <v>1</v>
      </c>
      <c r="V366" s="612"/>
      <c r="W366" s="612"/>
      <c r="X366" s="612"/>
      <c r="Y366" s="612"/>
      <c r="Z366" s="612"/>
      <c r="AA366" s="612"/>
      <c r="AB366" s="612"/>
      <c r="AC366" s="612"/>
    </row>
    <row r="367" spans="1:29">
      <c r="A367" s="66" t="s">
        <v>1290</v>
      </c>
      <c r="B367" s="60"/>
      <c r="C367" s="54" t="s">
        <v>168</v>
      </c>
      <c r="D367" s="435" t="str">
        <f>IFERROR(VLOOKUP(C367,Mychart!$A$125:$B$811,2,FALSE),"-")</f>
        <v>UTS Carrier</v>
      </c>
      <c r="E367" s="676" t="s">
        <v>1196</v>
      </c>
      <c r="F367" s="58">
        <v>1</v>
      </c>
      <c r="G367" s="58"/>
      <c r="H367" s="58"/>
      <c r="I367" s="58"/>
      <c r="J367" s="137"/>
      <c r="K367" s="56" t="s">
        <v>501</v>
      </c>
      <c r="L367" s="292">
        <v>221</v>
      </c>
      <c r="M367" s="292"/>
      <c r="N367" s="358"/>
      <c r="O367" s="292"/>
      <c r="P367" s="292"/>
      <c r="Q367" s="614"/>
      <c r="R367" s="913">
        <f t="shared" si="24"/>
        <v>0</v>
      </c>
      <c r="S367" s="913">
        <f t="shared" si="25"/>
        <v>0</v>
      </c>
      <c r="T367" s="913">
        <f t="shared" si="26"/>
        <v>0</v>
      </c>
      <c r="U367" s="914">
        <f t="shared" si="27"/>
        <v>1</v>
      </c>
      <c r="V367" s="612"/>
      <c r="W367" s="612"/>
      <c r="X367" s="612"/>
      <c r="Y367" s="612"/>
      <c r="Z367" s="612"/>
      <c r="AA367" s="612"/>
      <c r="AB367" s="612"/>
      <c r="AC367" s="612"/>
    </row>
    <row r="368" spans="1:29">
      <c r="A368" s="66" t="s">
        <v>1290</v>
      </c>
      <c r="B368" s="60"/>
      <c r="C368" s="54" t="s">
        <v>168</v>
      </c>
      <c r="D368" s="435" t="str">
        <f>IFERROR(VLOOKUP(C368,Mychart!$A$125:$B$811,2,FALSE),"-")</f>
        <v>UTS Carrier</v>
      </c>
      <c r="E368" s="676" t="s">
        <v>1274</v>
      </c>
      <c r="F368" s="58">
        <v>10</v>
      </c>
      <c r="G368" s="58"/>
      <c r="H368" s="58"/>
      <c r="I368" s="58"/>
      <c r="J368" s="137"/>
      <c r="K368" s="56" t="s">
        <v>501</v>
      </c>
      <c r="L368" s="292">
        <v>221</v>
      </c>
      <c r="M368" s="292"/>
      <c r="N368" s="358"/>
      <c r="O368" s="292"/>
      <c r="P368" s="292"/>
      <c r="Q368" s="614"/>
      <c r="R368" s="913">
        <f t="shared" si="24"/>
        <v>0</v>
      </c>
      <c r="S368" s="913">
        <f t="shared" si="25"/>
        <v>0</v>
      </c>
      <c r="T368" s="913">
        <f t="shared" si="26"/>
        <v>0</v>
      </c>
      <c r="U368" s="914">
        <f t="shared" si="27"/>
        <v>10</v>
      </c>
      <c r="V368" s="612"/>
      <c r="W368" s="612"/>
      <c r="X368" s="612"/>
      <c r="Y368" s="612"/>
      <c r="Z368" s="612"/>
      <c r="AA368" s="612"/>
      <c r="AB368" s="612"/>
      <c r="AC368" s="612"/>
    </row>
    <row r="369" spans="1:29">
      <c r="A369" s="66" t="s">
        <v>1290</v>
      </c>
      <c r="B369" s="60"/>
      <c r="C369" s="54" t="s">
        <v>168</v>
      </c>
      <c r="D369" s="435" t="str">
        <f>IFERROR(VLOOKUP(C369,Mychart!$A$125:$B$811,2,FALSE),"-")</f>
        <v>UTS Carrier</v>
      </c>
      <c r="E369" s="676"/>
      <c r="F369" s="58"/>
      <c r="G369" s="58"/>
      <c r="H369" s="58"/>
      <c r="I369" s="58"/>
      <c r="J369" s="137"/>
      <c r="K369" s="56" t="s">
        <v>501</v>
      </c>
      <c r="L369" s="292">
        <v>221</v>
      </c>
      <c r="M369" s="292"/>
      <c r="N369" s="358">
        <v>76335</v>
      </c>
      <c r="O369" s="292">
        <v>76335</v>
      </c>
      <c r="P369" s="292"/>
      <c r="Q369" s="614">
        <v>76335</v>
      </c>
      <c r="R369" s="913">
        <f t="shared" si="24"/>
        <v>0</v>
      </c>
      <c r="S369" s="913">
        <f t="shared" si="25"/>
        <v>0</v>
      </c>
      <c r="T369" s="913">
        <f t="shared" si="26"/>
        <v>0</v>
      </c>
      <c r="U369" s="914">
        <f t="shared" si="27"/>
        <v>0</v>
      </c>
      <c r="V369" s="612"/>
      <c r="W369" s="612"/>
      <c r="X369" s="612"/>
      <c r="Y369" s="612"/>
      <c r="Z369" s="612"/>
      <c r="AA369" s="612"/>
      <c r="AB369" s="612"/>
      <c r="AC369" s="612"/>
    </row>
    <row r="370" spans="1:29">
      <c r="A370" s="66" t="s">
        <v>190</v>
      </c>
      <c r="B370" s="60"/>
      <c r="C370" s="54" t="s">
        <v>168</v>
      </c>
      <c r="D370" s="435" t="str">
        <f>IFERROR(VLOOKUP(C370,Mychart!$A$125:$B$811,2,FALSE),"-")</f>
        <v>UTS Carrier</v>
      </c>
      <c r="E370" s="676" t="s">
        <v>1177</v>
      </c>
      <c r="F370" s="58">
        <v>1</v>
      </c>
      <c r="G370" s="58"/>
      <c r="H370" s="58"/>
      <c r="I370" s="58"/>
      <c r="J370" s="137"/>
      <c r="K370" s="56" t="s">
        <v>1305</v>
      </c>
      <c r="L370" s="292">
        <v>243</v>
      </c>
      <c r="M370" s="292"/>
      <c r="N370" s="358"/>
      <c r="O370" s="292"/>
      <c r="P370" s="292">
        <v>1</v>
      </c>
      <c r="Q370" s="614"/>
      <c r="R370" s="913">
        <f t="shared" si="24"/>
        <v>0</v>
      </c>
      <c r="S370" s="913">
        <f t="shared" si="25"/>
        <v>0</v>
      </c>
      <c r="T370" s="913">
        <f t="shared" si="26"/>
        <v>0</v>
      </c>
      <c r="U370" s="914">
        <f t="shared" si="27"/>
        <v>0</v>
      </c>
      <c r="V370" s="612"/>
      <c r="W370" s="612"/>
      <c r="X370" s="612"/>
      <c r="Y370" s="612"/>
      <c r="Z370" s="612"/>
      <c r="AA370" s="612"/>
      <c r="AB370" s="612"/>
      <c r="AC370" s="612"/>
    </row>
    <row r="371" spans="1:29">
      <c r="A371" s="66" t="s">
        <v>190</v>
      </c>
      <c r="B371" s="60"/>
      <c r="C371" s="54" t="s">
        <v>168</v>
      </c>
      <c r="D371" s="435" t="str">
        <f>IFERROR(VLOOKUP(C371,Mychart!$A$125:$B$811,2,FALSE),"-")</f>
        <v>UTS Carrier</v>
      </c>
      <c r="E371" s="676" t="s">
        <v>237</v>
      </c>
      <c r="F371" s="58">
        <v>1</v>
      </c>
      <c r="G371" s="58"/>
      <c r="H371" s="58"/>
      <c r="I371" s="58"/>
      <c r="J371" s="137"/>
      <c r="K371" s="56" t="s">
        <v>1305</v>
      </c>
      <c r="L371" s="292">
        <v>243</v>
      </c>
      <c r="M371" s="292"/>
      <c r="N371" s="358"/>
      <c r="O371" s="292"/>
      <c r="P371" s="292">
        <v>1</v>
      </c>
      <c r="Q371" s="614"/>
      <c r="R371" s="913">
        <f t="shared" si="24"/>
        <v>0</v>
      </c>
      <c r="S371" s="913">
        <f t="shared" si="25"/>
        <v>0</v>
      </c>
      <c r="T371" s="913">
        <f t="shared" si="26"/>
        <v>0</v>
      </c>
      <c r="U371" s="914">
        <f t="shared" si="27"/>
        <v>0</v>
      </c>
      <c r="V371" s="612"/>
      <c r="W371" s="612"/>
      <c r="X371" s="612"/>
      <c r="Y371" s="612"/>
      <c r="Z371" s="612"/>
      <c r="AA371" s="612"/>
      <c r="AB371" s="612"/>
      <c r="AC371" s="612"/>
    </row>
    <row r="372" spans="1:29">
      <c r="A372" s="66" t="s">
        <v>190</v>
      </c>
      <c r="B372" s="60"/>
      <c r="C372" s="54" t="s">
        <v>168</v>
      </c>
      <c r="D372" s="435" t="str">
        <f>IFERROR(VLOOKUP(C372,Mychart!$A$125:$B$811,2,FALSE),"-")</f>
        <v>UTS Carrier</v>
      </c>
      <c r="E372" s="676" t="s">
        <v>1168</v>
      </c>
      <c r="F372" s="58">
        <v>1</v>
      </c>
      <c r="G372" s="58"/>
      <c r="H372" s="58"/>
      <c r="I372" s="58"/>
      <c r="J372" s="137"/>
      <c r="K372" s="56" t="s">
        <v>1305</v>
      </c>
      <c r="L372" s="292">
        <v>243</v>
      </c>
      <c r="M372" s="292"/>
      <c r="N372" s="358"/>
      <c r="O372" s="292"/>
      <c r="P372" s="292">
        <v>1</v>
      </c>
      <c r="Q372" s="614"/>
      <c r="R372" s="913">
        <f t="shared" si="24"/>
        <v>0</v>
      </c>
      <c r="S372" s="913">
        <f t="shared" si="25"/>
        <v>0</v>
      </c>
      <c r="T372" s="913">
        <f t="shared" si="26"/>
        <v>0</v>
      </c>
      <c r="U372" s="914">
        <f t="shared" si="27"/>
        <v>0</v>
      </c>
      <c r="V372" s="612"/>
      <c r="W372" s="612"/>
      <c r="X372" s="612"/>
      <c r="Y372" s="612"/>
      <c r="Z372" s="612"/>
      <c r="AA372" s="612"/>
      <c r="AB372" s="612"/>
      <c r="AC372" s="612"/>
    </row>
    <row r="373" spans="1:29">
      <c r="A373" s="66" t="s">
        <v>190</v>
      </c>
      <c r="B373" s="60"/>
      <c r="C373" s="54" t="s">
        <v>168</v>
      </c>
      <c r="D373" s="435" t="str">
        <f>IFERROR(VLOOKUP(C373,Mychart!$A$125:$B$811,2,FALSE),"-")</f>
        <v>UTS Carrier</v>
      </c>
      <c r="E373" s="676" t="s">
        <v>828</v>
      </c>
      <c r="F373" s="58">
        <v>1</v>
      </c>
      <c r="G373" s="58"/>
      <c r="H373" s="58"/>
      <c r="I373" s="58"/>
      <c r="J373" s="137"/>
      <c r="K373" s="56" t="s">
        <v>1305</v>
      </c>
      <c r="L373" s="292">
        <v>243</v>
      </c>
      <c r="M373" s="292"/>
      <c r="N373" s="358"/>
      <c r="O373" s="292"/>
      <c r="P373" s="292">
        <v>1</v>
      </c>
      <c r="Q373" s="614"/>
      <c r="R373" s="913">
        <f t="shared" si="24"/>
        <v>0</v>
      </c>
      <c r="S373" s="913">
        <f t="shared" si="25"/>
        <v>0</v>
      </c>
      <c r="T373" s="913">
        <f t="shared" si="26"/>
        <v>0</v>
      </c>
      <c r="U373" s="914">
        <f t="shared" si="27"/>
        <v>0</v>
      </c>
      <c r="V373" s="612"/>
      <c r="W373" s="612"/>
      <c r="X373" s="612"/>
      <c r="Y373" s="612"/>
      <c r="Z373" s="612"/>
      <c r="AA373" s="612"/>
      <c r="AB373" s="612"/>
      <c r="AC373" s="612"/>
    </row>
    <row r="374" spans="1:29">
      <c r="A374" s="66" t="s">
        <v>190</v>
      </c>
      <c r="B374" s="60"/>
      <c r="C374" s="54" t="s">
        <v>168</v>
      </c>
      <c r="D374" s="435" t="str">
        <f>IFERROR(VLOOKUP(C374,Mychart!$A$125:$B$811,2,FALSE),"-")</f>
        <v>UTS Carrier</v>
      </c>
      <c r="E374" s="676" t="s">
        <v>1185</v>
      </c>
      <c r="F374" s="58">
        <v>4</v>
      </c>
      <c r="G374" s="58"/>
      <c r="H374" s="58"/>
      <c r="I374" s="58"/>
      <c r="J374" s="137"/>
      <c r="K374" s="56" t="s">
        <v>1305</v>
      </c>
      <c r="L374" s="292">
        <v>243</v>
      </c>
      <c r="M374" s="292"/>
      <c r="N374" s="358"/>
      <c r="O374" s="292"/>
      <c r="P374" s="292">
        <v>4</v>
      </c>
      <c r="Q374" s="614"/>
      <c r="R374" s="913">
        <f t="shared" si="24"/>
        <v>0</v>
      </c>
      <c r="S374" s="913">
        <f t="shared" si="25"/>
        <v>0</v>
      </c>
      <c r="T374" s="913">
        <f t="shared" si="26"/>
        <v>0</v>
      </c>
      <c r="U374" s="914">
        <f t="shared" si="27"/>
        <v>0</v>
      </c>
      <c r="V374" s="612"/>
      <c r="W374" s="612"/>
      <c r="X374" s="612"/>
      <c r="Y374" s="612"/>
      <c r="Z374" s="612"/>
      <c r="AA374" s="612"/>
      <c r="AB374" s="612"/>
      <c r="AC374" s="612"/>
    </row>
    <row r="375" spans="1:29">
      <c r="A375" s="66" t="s">
        <v>190</v>
      </c>
      <c r="B375" s="60"/>
      <c r="C375" s="54" t="s">
        <v>168</v>
      </c>
      <c r="D375" s="435" t="str">
        <f>IFERROR(VLOOKUP(C375,Mychart!$A$125:$B$811,2,FALSE),"-")</f>
        <v>UTS Carrier</v>
      </c>
      <c r="E375" s="676" t="s">
        <v>1193</v>
      </c>
      <c r="F375" s="58">
        <v>4</v>
      </c>
      <c r="G375" s="58"/>
      <c r="H375" s="58"/>
      <c r="I375" s="58"/>
      <c r="J375" s="137"/>
      <c r="K375" s="56" t="s">
        <v>1305</v>
      </c>
      <c r="L375" s="292">
        <v>243</v>
      </c>
      <c r="M375" s="292"/>
      <c r="N375" s="358"/>
      <c r="O375" s="292"/>
      <c r="P375" s="292">
        <v>4</v>
      </c>
      <c r="Q375" s="614"/>
      <c r="R375" s="913">
        <f t="shared" si="24"/>
        <v>0</v>
      </c>
      <c r="S375" s="913">
        <f t="shared" si="25"/>
        <v>0</v>
      </c>
      <c r="T375" s="913">
        <f t="shared" si="26"/>
        <v>0</v>
      </c>
      <c r="U375" s="914">
        <f t="shared" si="27"/>
        <v>0</v>
      </c>
      <c r="V375" s="612"/>
      <c r="W375" s="612"/>
      <c r="X375" s="612"/>
      <c r="Y375" s="612"/>
      <c r="Z375" s="612"/>
      <c r="AA375" s="612"/>
      <c r="AB375" s="612"/>
      <c r="AC375" s="612"/>
    </row>
    <row r="376" spans="1:29">
      <c r="A376" s="66" t="s">
        <v>190</v>
      </c>
      <c r="B376" s="60"/>
      <c r="C376" s="54" t="s">
        <v>168</v>
      </c>
      <c r="D376" s="435" t="str">
        <f>IFERROR(VLOOKUP(C376,Mychart!$A$125:$B$811,2,FALSE),"-")</f>
        <v>UTS Carrier</v>
      </c>
      <c r="E376" s="676" t="s">
        <v>1304</v>
      </c>
      <c r="F376" s="58">
        <v>3</v>
      </c>
      <c r="G376" s="58"/>
      <c r="H376" s="58"/>
      <c r="I376" s="58"/>
      <c r="J376" s="137"/>
      <c r="K376" s="56" t="s">
        <v>1305</v>
      </c>
      <c r="L376" s="292">
        <v>243</v>
      </c>
      <c r="M376" s="292"/>
      <c r="N376" s="358"/>
      <c r="O376" s="292"/>
      <c r="P376" s="292">
        <v>3</v>
      </c>
      <c r="Q376" s="614"/>
      <c r="R376" s="913">
        <f t="shared" si="24"/>
        <v>0</v>
      </c>
      <c r="S376" s="913">
        <f t="shared" si="25"/>
        <v>0</v>
      </c>
      <c r="T376" s="913">
        <f t="shared" si="26"/>
        <v>0</v>
      </c>
      <c r="U376" s="914">
        <f t="shared" si="27"/>
        <v>0</v>
      </c>
      <c r="V376" s="612"/>
      <c r="W376" s="612"/>
      <c r="X376" s="612"/>
      <c r="Y376" s="612"/>
      <c r="Z376" s="612"/>
      <c r="AA376" s="612"/>
      <c r="AB376" s="612"/>
      <c r="AC376" s="612"/>
    </row>
    <row r="377" spans="1:29">
      <c r="A377" s="66" t="s">
        <v>190</v>
      </c>
      <c r="B377" s="60"/>
      <c r="C377" s="54" t="s">
        <v>168</v>
      </c>
      <c r="D377" s="435" t="str">
        <f>IFERROR(VLOOKUP(C377,Mychart!$A$125:$B$811,2,FALSE),"-")</f>
        <v>UTS Carrier</v>
      </c>
      <c r="E377" s="676" t="s">
        <v>1170</v>
      </c>
      <c r="F377" s="58">
        <v>3</v>
      </c>
      <c r="G377" s="58"/>
      <c r="H377" s="58"/>
      <c r="I377" s="58"/>
      <c r="J377" s="137"/>
      <c r="K377" s="56" t="s">
        <v>1305</v>
      </c>
      <c r="L377" s="292">
        <v>243</v>
      </c>
      <c r="M377" s="292"/>
      <c r="N377" s="358"/>
      <c r="O377" s="292"/>
      <c r="P377" s="292">
        <v>3</v>
      </c>
      <c r="Q377" s="614"/>
      <c r="R377" s="913">
        <f t="shared" si="24"/>
        <v>0</v>
      </c>
      <c r="S377" s="913">
        <f t="shared" si="25"/>
        <v>0</v>
      </c>
      <c r="T377" s="913">
        <f t="shared" si="26"/>
        <v>0</v>
      </c>
      <c r="U377" s="914">
        <f t="shared" si="27"/>
        <v>0</v>
      </c>
      <c r="V377" s="612"/>
      <c r="W377" s="612"/>
      <c r="X377" s="612"/>
      <c r="Y377" s="612"/>
      <c r="Z377" s="612"/>
      <c r="AA377" s="612"/>
      <c r="AB377" s="612"/>
      <c r="AC377" s="612"/>
    </row>
    <row r="378" spans="1:29">
      <c r="A378" s="66" t="s">
        <v>190</v>
      </c>
      <c r="B378" s="60"/>
      <c r="C378" s="54" t="s">
        <v>168</v>
      </c>
      <c r="D378" s="435" t="str">
        <f>IFERROR(VLOOKUP(C378,Mychart!$A$125:$B$811,2,FALSE),"-")</f>
        <v>UTS Carrier</v>
      </c>
      <c r="E378" s="676" t="s">
        <v>832</v>
      </c>
      <c r="F378" s="58">
        <v>4</v>
      </c>
      <c r="G378" s="58"/>
      <c r="H378" s="58"/>
      <c r="I378" s="58"/>
      <c r="J378" s="137"/>
      <c r="K378" s="56" t="s">
        <v>1305</v>
      </c>
      <c r="L378" s="292">
        <v>243</v>
      </c>
      <c r="M378" s="292"/>
      <c r="N378" s="358"/>
      <c r="O378" s="292"/>
      <c r="P378" s="292">
        <v>4</v>
      </c>
      <c r="Q378" s="614"/>
      <c r="R378" s="913">
        <f t="shared" si="24"/>
        <v>0</v>
      </c>
      <c r="S378" s="913">
        <f t="shared" si="25"/>
        <v>0</v>
      </c>
      <c r="T378" s="913">
        <f t="shared" si="26"/>
        <v>0</v>
      </c>
      <c r="U378" s="914">
        <f t="shared" si="27"/>
        <v>0</v>
      </c>
      <c r="V378" s="612"/>
      <c r="W378" s="612"/>
      <c r="X378" s="612"/>
      <c r="Y378" s="612"/>
      <c r="Z378" s="612"/>
      <c r="AA378" s="612"/>
      <c r="AB378" s="612"/>
      <c r="AC378" s="612"/>
    </row>
    <row r="379" spans="1:29">
      <c r="A379" s="66" t="s">
        <v>190</v>
      </c>
      <c r="B379" s="60"/>
      <c r="C379" s="54" t="s">
        <v>168</v>
      </c>
      <c r="D379" s="435" t="str">
        <f>IFERROR(VLOOKUP(C379,Mychart!$A$125:$B$811,2,FALSE),"-")</f>
        <v>UTS Carrier</v>
      </c>
      <c r="E379" s="676" t="s">
        <v>833</v>
      </c>
      <c r="F379" s="58">
        <v>4</v>
      </c>
      <c r="G379" s="58"/>
      <c r="H379" s="58"/>
      <c r="I379" s="58"/>
      <c r="J379" s="137"/>
      <c r="K379" s="56" t="s">
        <v>1305</v>
      </c>
      <c r="L379" s="292">
        <v>243</v>
      </c>
      <c r="M379" s="292"/>
      <c r="N379" s="358"/>
      <c r="O379" s="292"/>
      <c r="P379" s="292">
        <v>4</v>
      </c>
      <c r="Q379" s="614"/>
      <c r="R379" s="913">
        <f t="shared" si="24"/>
        <v>0</v>
      </c>
      <c r="S379" s="913">
        <f t="shared" si="25"/>
        <v>0</v>
      </c>
      <c r="T379" s="913">
        <f t="shared" si="26"/>
        <v>0</v>
      </c>
      <c r="U379" s="914">
        <f t="shared" si="27"/>
        <v>0</v>
      </c>
      <c r="V379" s="612"/>
      <c r="W379" s="612"/>
      <c r="X379" s="612"/>
      <c r="Y379" s="612"/>
      <c r="Z379" s="612"/>
      <c r="AA379" s="612"/>
      <c r="AB379" s="612"/>
      <c r="AC379" s="612"/>
    </row>
    <row r="380" spans="1:29">
      <c r="A380" s="66" t="s">
        <v>190</v>
      </c>
      <c r="B380" s="60"/>
      <c r="C380" s="54" t="s">
        <v>168</v>
      </c>
      <c r="D380" s="435" t="str">
        <f>IFERROR(VLOOKUP(C380,Mychart!$A$125:$B$811,2,FALSE),"-")</f>
        <v>UTS Carrier</v>
      </c>
      <c r="E380" s="676" t="s">
        <v>1081</v>
      </c>
      <c r="F380" s="58">
        <v>3</v>
      </c>
      <c r="G380" s="58"/>
      <c r="H380" s="58"/>
      <c r="I380" s="58"/>
      <c r="J380" s="137"/>
      <c r="K380" s="56" t="s">
        <v>1305</v>
      </c>
      <c r="L380" s="292">
        <v>243</v>
      </c>
      <c r="M380" s="292"/>
      <c r="N380" s="358"/>
      <c r="O380" s="292"/>
      <c r="P380" s="292">
        <v>3</v>
      </c>
      <c r="Q380" s="614"/>
      <c r="R380" s="913">
        <f t="shared" si="24"/>
        <v>0</v>
      </c>
      <c r="S380" s="913">
        <f t="shared" si="25"/>
        <v>0</v>
      </c>
      <c r="T380" s="913">
        <f t="shared" si="26"/>
        <v>0</v>
      </c>
      <c r="U380" s="914">
        <f t="shared" si="27"/>
        <v>0</v>
      </c>
      <c r="V380" s="612"/>
      <c r="W380" s="612"/>
      <c r="X380" s="612"/>
      <c r="Y380" s="612"/>
      <c r="Z380" s="612"/>
      <c r="AA380" s="612"/>
      <c r="AB380" s="612"/>
      <c r="AC380" s="612"/>
    </row>
    <row r="381" spans="1:29">
      <c r="A381" s="66" t="s">
        <v>190</v>
      </c>
      <c r="B381" s="60"/>
      <c r="C381" s="54" t="s">
        <v>168</v>
      </c>
      <c r="D381" s="435" t="str">
        <f>IFERROR(VLOOKUP(C381,Mychart!$A$125:$B$811,2,FALSE),"-")</f>
        <v>UTS Carrier</v>
      </c>
      <c r="E381" s="676" t="s">
        <v>1082</v>
      </c>
      <c r="F381" s="58">
        <v>3</v>
      </c>
      <c r="G381" s="58"/>
      <c r="H381" s="58"/>
      <c r="I381" s="58"/>
      <c r="J381" s="137"/>
      <c r="K381" s="56" t="s">
        <v>1305</v>
      </c>
      <c r="L381" s="292">
        <v>243</v>
      </c>
      <c r="M381" s="292"/>
      <c r="N381" s="358"/>
      <c r="O381" s="292"/>
      <c r="P381" s="292">
        <v>3</v>
      </c>
      <c r="Q381" s="614"/>
      <c r="R381" s="913">
        <f t="shared" si="24"/>
        <v>0</v>
      </c>
      <c r="S381" s="913">
        <f t="shared" si="25"/>
        <v>0</v>
      </c>
      <c r="T381" s="913">
        <f t="shared" si="26"/>
        <v>0</v>
      </c>
      <c r="U381" s="914">
        <f t="shared" si="27"/>
        <v>0</v>
      </c>
      <c r="V381" s="612"/>
      <c r="W381" s="612"/>
      <c r="X381" s="612"/>
      <c r="Y381" s="612"/>
      <c r="Z381" s="612"/>
      <c r="AA381" s="612"/>
      <c r="AB381" s="612"/>
      <c r="AC381" s="612"/>
    </row>
    <row r="382" spans="1:29">
      <c r="A382" s="66" t="s">
        <v>190</v>
      </c>
      <c r="B382" s="60"/>
      <c r="C382" s="54" t="s">
        <v>168</v>
      </c>
      <c r="D382" s="435" t="str">
        <f>IFERROR(VLOOKUP(C382,Mychart!$A$125:$B$811,2,FALSE),"-")</f>
        <v>UTS Carrier</v>
      </c>
      <c r="E382" s="676" t="s">
        <v>1274</v>
      </c>
      <c r="F382" s="58">
        <v>6</v>
      </c>
      <c r="G382" s="58"/>
      <c r="H382" s="58"/>
      <c r="I382" s="58"/>
      <c r="J382" s="137"/>
      <c r="K382" s="56" t="s">
        <v>1305</v>
      </c>
      <c r="L382" s="292">
        <v>243</v>
      </c>
      <c r="M382" s="292"/>
      <c r="N382" s="358"/>
      <c r="O382" s="292"/>
      <c r="P382" s="292"/>
      <c r="Q382" s="614"/>
      <c r="R382" s="913">
        <f t="shared" si="24"/>
        <v>0</v>
      </c>
      <c r="S382" s="913">
        <f t="shared" si="25"/>
        <v>0</v>
      </c>
      <c r="T382" s="913">
        <f t="shared" si="26"/>
        <v>0</v>
      </c>
      <c r="U382" s="914">
        <f t="shared" si="27"/>
        <v>6</v>
      </c>
      <c r="V382" s="612"/>
      <c r="W382" s="612"/>
      <c r="X382" s="612"/>
      <c r="Y382" s="612"/>
      <c r="Z382" s="612"/>
      <c r="AA382" s="612"/>
      <c r="AB382" s="612"/>
      <c r="AC382" s="612"/>
    </row>
    <row r="383" spans="1:29">
      <c r="A383" s="66" t="s">
        <v>190</v>
      </c>
      <c r="B383" s="60"/>
      <c r="C383" s="54" t="s">
        <v>168</v>
      </c>
      <c r="D383" s="435" t="str">
        <f>IFERROR(VLOOKUP(C383,Mychart!$A$125:$B$811,2,FALSE),"-")</f>
        <v>UTS Carrier</v>
      </c>
      <c r="E383" s="676"/>
      <c r="F383" s="58"/>
      <c r="G383" s="58"/>
      <c r="H383" s="58"/>
      <c r="I383" s="58"/>
      <c r="J383" s="137"/>
      <c r="K383" s="56" t="s">
        <v>1305</v>
      </c>
      <c r="L383" s="292">
        <v>243</v>
      </c>
      <c r="M383" s="292" t="s">
        <v>1823</v>
      </c>
      <c r="N383" s="358">
        <v>72434.95</v>
      </c>
      <c r="O383" s="292">
        <v>72435</v>
      </c>
      <c r="P383" s="292"/>
      <c r="Q383" s="614">
        <v>72434.25</v>
      </c>
      <c r="R383" s="913">
        <f t="shared" si="24"/>
        <v>5.0000000002910383E-2</v>
      </c>
      <c r="S383" s="913">
        <f t="shared" si="25"/>
        <v>-0.69999999999708962</v>
      </c>
      <c r="T383" s="913">
        <f t="shared" si="26"/>
        <v>-0.75</v>
      </c>
      <c r="U383" s="914">
        <f t="shared" si="27"/>
        <v>0</v>
      </c>
      <c r="V383" s="612"/>
      <c r="W383" s="612"/>
      <c r="X383" s="612"/>
      <c r="Y383" s="612"/>
      <c r="Z383" s="612"/>
      <c r="AA383" s="612"/>
      <c r="AB383" s="612"/>
      <c r="AC383" s="612"/>
    </row>
    <row r="384" spans="1:29">
      <c r="A384" s="66" t="s">
        <v>1321</v>
      </c>
      <c r="B384" s="60"/>
      <c r="C384" s="54" t="s">
        <v>168</v>
      </c>
      <c r="D384" s="435" t="str">
        <f>IFERROR(VLOOKUP(C384,Mychart!$A$125:$B$811,2,FALSE),"-")</f>
        <v>UTS Carrier</v>
      </c>
      <c r="E384" s="357" t="s">
        <v>825</v>
      </c>
      <c r="F384" s="58">
        <v>1</v>
      </c>
      <c r="G384" s="58"/>
      <c r="H384" s="58"/>
      <c r="I384" s="58"/>
      <c r="J384" s="137"/>
      <c r="K384" s="56" t="s">
        <v>1322</v>
      </c>
      <c r="L384" s="292">
        <v>210</v>
      </c>
      <c r="M384" s="292"/>
      <c r="N384" s="358"/>
      <c r="O384" s="292"/>
      <c r="P384" s="292"/>
      <c r="Q384" s="614"/>
      <c r="R384" s="913">
        <f t="shared" si="24"/>
        <v>0</v>
      </c>
      <c r="S384" s="913">
        <f t="shared" si="25"/>
        <v>0</v>
      </c>
      <c r="T384" s="913">
        <f t="shared" si="26"/>
        <v>0</v>
      </c>
      <c r="U384" s="914">
        <f t="shared" si="27"/>
        <v>1</v>
      </c>
      <c r="V384" s="612"/>
      <c r="W384" s="612"/>
      <c r="X384" s="612"/>
      <c r="Y384" s="612"/>
      <c r="Z384" s="612"/>
      <c r="AA384" s="612"/>
      <c r="AB384" s="612"/>
      <c r="AC384" s="612"/>
    </row>
    <row r="385" spans="1:29">
      <c r="A385" s="66" t="s">
        <v>1321</v>
      </c>
      <c r="B385" s="60"/>
      <c r="C385" s="54" t="s">
        <v>168</v>
      </c>
      <c r="D385" s="435" t="str">
        <f>IFERROR(VLOOKUP(C385,Mychart!$A$125:$B$811,2,FALSE),"-")</f>
        <v>UTS Carrier</v>
      </c>
      <c r="E385" s="357" t="s">
        <v>826</v>
      </c>
      <c r="F385" s="58">
        <v>1</v>
      </c>
      <c r="G385" s="58"/>
      <c r="H385" s="58"/>
      <c r="I385" s="58"/>
      <c r="J385" s="137"/>
      <c r="K385" s="56" t="s">
        <v>1322</v>
      </c>
      <c r="L385" s="292">
        <v>210</v>
      </c>
      <c r="M385" s="292"/>
      <c r="N385" s="358"/>
      <c r="O385" s="292"/>
      <c r="P385" s="292"/>
      <c r="Q385" s="614"/>
      <c r="R385" s="913">
        <f t="shared" si="24"/>
        <v>0</v>
      </c>
      <c r="S385" s="913">
        <f t="shared" si="25"/>
        <v>0</v>
      </c>
      <c r="T385" s="913">
        <f t="shared" si="26"/>
        <v>0</v>
      </c>
      <c r="U385" s="914">
        <f t="shared" si="27"/>
        <v>1</v>
      </c>
      <c r="V385" s="612"/>
      <c r="W385" s="612"/>
      <c r="X385" s="612"/>
      <c r="Y385" s="612"/>
      <c r="Z385" s="612"/>
      <c r="AA385" s="612"/>
      <c r="AB385" s="612"/>
      <c r="AC385" s="612"/>
    </row>
    <row r="386" spans="1:29">
      <c r="A386" s="66" t="s">
        <v>1321</v>
      </c>
      <c r="B386" s="60"/>
      <c r="C386" s="54" t="s">
        <v>168</v>
      </c>
      <c r="D386" s="435" t="str">
        <f>IFERROR(VLOOKUP(C386,Mychart!$A$125:$B$811,2,FALSE),"-")</f>
        <v>UTS Carrier</v>
      </c>
      <c r="E386" s="357" t="s">
        <v>827</v>
      </c>
      <c r="F386" s="58">
        <v>6</v>
      </c>
      <c r="G386" s="58"/>
      <c r="H386" s="58"/>
      <c r="I386" s="58"/>
      <c r="J386" s="137"/>
      <c r="K386" s="56" t="s">
        <v>1322</v>
      </c>
      <c r="L386" s="292">
        <v>210</v>
      </c>
      <c r="M386" s="292"/>
      <c r="N386" s="358"/>
      <c r="O386" s="292"/>
      <c r="P386" s="292"/>
      <c r="Q386" s="614"/>
      <c r="R386" s="913">
        <f t="shared" si="24"/>
        <v>0</v>
      </c>
      <c r="S386" s="913">
        <f t="shared" si="25"/>
        <v>0</v>
      </c>
      <c r="T386" s="913">
        <f t="shared" si="26"/>
        <v>0</v>
      </c>
      <c r="U386" s="914">
        <f t="shared" si="27"/>
        <v>6</v>
      </c>
      <c r="V386" s="612"/>
      <c r="W386" s="612"/>
      <c r="X386" s="612"/>
      <c r="Y386" s="612"/>
      <c r="Z386" s="612"/>
      <c r="AA386" s="612"/>
      <c r="AB386" s="612"/>
      <c r="AC386" s="612"/>
    </row>
    <row r="387" spans="1:29">
      <c r="A387" s="66" t="s">
        <v>1321</v>
      </c>
      <c r="B387" s="60"/>
      <c r="C387" s="54" t="s">
        <v>168</v>
      </c>
      <c r="D387" s="435" t="str">
        <f>IFERROR(VLOOKUP(C387,Mychart!$A$125:$B$811,2,FALSE),"-")</f>
        <v>UTS Carrier</v>
      </c>
      <c r="E387" s="357" t="s">
        <v>828</v>
      </c>
      <c r="F387" s="58">
        <v>6</v>
      </c>
      <c r="G387" s="58"/>
      <c r="H387" s="58"/>
      <c r="I387" s="58"/>
      <c r="J387" s="137"/>
      <c r="K387" s="56" t="s">
        <v>1322</v>
      </c>
      <c r="L387" s="292">
        <v>210</v>
      </c>
      <c r="M387" s="292"/>
      <c r="N387" s="358"/>
      <c r="O387" s="292"/>
      <c r="P387" s="292"/>
      <c r="Q387" s="614"/>
      <c r="R387" s="913">
        <f t="shared" si="24"/>
        <v>0</v>
      </c>
      <c r="S387" s="913">
        <f t="shared" si="25"/>
        <v>0</v>
      </c>
      <c r="T387" s="913">
        <f t="shared" si="26"/>
        <v>0</v>
      </c>
      <c r="U387" s="914">
        <f t="shared" si="27"/>
        <v>6</v>
      </c>
      <c r="V387" s="612"/>
      <c r="W387" s="612"/>
      <c r="X387" s="612"/>
      <c r="Y387" s="612"/>
      <c r="Z387" s="612"/>
      <c r="AA387" s="612"/>
      <c r="AB387" s="612"/>
      <c r="AC387" s="612"/>
    </row>
    <row r="388" spans="1:29">
      <c r="A388" s="66" t="s">
        <v>1321</v>
      </c>
      <c r="B388" s="60"/>
      <c r="C388" s="54" t="s">
        <v>168</v>
      </c>
      <c r="D388" s="435" t="str">
        <f>IFERROR(VLOOKUP(C388,Mychart!$A$125:$B$811,2,FALSE),"-")</f>
        <v>UTS Carrier</v>
      </c>
      <c r="E388" s="357" t="s">
        <v>238</v>
      </c>
      <c r="F388" s="58">
        <v>2</v>
      </c>
      <c r="G388" s="58"/>
      <c r="H388" s="58"/>
      <c r="I388" s="58"/>
      <c r="J388" s="137"/>
      <c r="K388" s="56" t="s">
        <v>1322</v>
      </c>
      <c r="L388" s="292">
        <v>210</v>
      </c>
      <c r="M388" s="292"/>
      <c r="N388" s="358"/>
      <c r="O388" s="292"/>
      <c r="P388" s="292"/>
      <c r="Q388" s="614"/>
      <c r="R388" s="913">
        <f t="shared" si="24"/>
        <v>0</v>
      </c>
      <c r="S388" s="913">
        <f t="shared" si="25"/>
        <v>0</v>
      </c>
      <c r="T388" s="913">
        <f t="shared" si="26"/>
        <v>0</v>
      </c>
      <c r="U388" s="914">
        <f t="shared" si="27"/>
        <v>2</v>
      </c>
      <c r="V388" s="612"/>
      <c r="W388" s="612"/>
      <c r="X388" s="612"/>
      <c r="Y388" s="612"/>
      <c r="Z388" s="612"/>
      <c r="AA388" s="612"/>
      <c r="AB388" s="612"/>
      <c r="AC388" s="612"/>
    </row>
    <row r="389" spans="1:29">
      <c r="A389" s="66" t="s">
        <v>1321</v>
      </c>
      <c r="B389" s="60"/>
      <c r="C389" s="54" t="s">
        <v>168</v>
      </c>
      <c r="D389" s="435" t="str">
        <f>IFERROR(VLOOKUP(C389,Mychart!$A$125:$B$811,2,FALSE),"-")</f>
        <v>UTS Carrier</v>
      </c>
      <c r="E389" s="357" t="s">
        <v>239</v>
      </c>
      <c r="F389" s="58">
        <v>2</v>
      </c>
      <c r="G389" s="58"/>
      <c r="H389" s="58"/>
      <c r="I389" s="58"/>
      <c r="J389" s="137"/>
      <c r="K389" s="56" t="s">
        <v>1322</v>
      </c>
      <c r="L389" s="292">
        <v>210</v>
      </c>
      <c r="M389" s="292"/>
      <c r="N389" s="358"/>
      <c r="O389" s="292"/>
      <c r="P389" s="292"/>
      <c r="Q389" s="614"/>
      <c r="R389" s="913">
        <f t="shared" si="24"/>
        <v>0</v>
      </c>
      <c r="S389" s="913">
        <f t="shared" si="25"/>
        <v>0</v>
      </c>
      <c r="T389" s="913">
        <f t="shared" si="26"/>
        <v>0</v>
      </c>
      <c r="U389" s="914">
        <f t="shared" si="27"/>
        <v>2</v>
      </c>
      <c r="V389" s="612"/>
      <c r="W389" s="612"/>
      <c r="X389" s="612"/>
      <c r="Y389" s="612"/>
      <c r="Z389" s="612"/>
      <c r="AA389" s="612"/>
      <c r="AB389" s="612"/>
      <c r="AC389" s="612"/>
    </row>
    <row r="390" spans="1:29">
      <c r="A390" s="66" t="s">
        <v>1321</v>
      </c>
      <c r="B390" s="60"/>
      <c r="C390" s="54" t="s">
        <v>168</v>
      </c>
      <c r="D390" s="435" t="str">
        <f>IFERROR(VLOOKUP(C390,Mychart!$A$125:$B$811,2,FALSE),"-")</f>
        <v>UTS Carrier</v>
      </c>
      <c r="E390" s="357" t="s">
        <v>234</v>
      </c>
      <c r="F390" s="58">
        <v>2</v>
      </c>
      <c r="G390" s="58"/>
      <c r="H390" s="58"/>
      <c r="I390" s="58"/>
      <c r="J390" s="137"/>
      <c r="K390" s="56" t="s">
        <v>1322</v>
      </c>
      <c r="L390" s="292">
        <v>210</v>
      </c>
      <c r="M390" s="292"/>
      <c r="N390" s="358"/>
      <c r="O390" s="292"/>
      <c r="P390" s="292"/>
      <c r="Q390" s="614"/>
      <c r="R390" s="913">
        <f t="shared" si="24"/>
        <v>0</v>
      </c>
      <c r="S390" s="913">
        <f t="shared" si="25"/>
        <v>0</v>
      </c>
      <c r="T390" s="913">
        <f t="shared" si="26"/>
        <v>0</v>
      </c>
      <c r="U390" s="914">
        <f t="shared" si="27"/>
        <v>2</v>
      </c>
      <c r="V390" s="612"/>
      <c r="W390" s="612"/>
      <c r="X390" s="612"/>
      <c r="Y390" s="612"/>
      <c r="Z390" s="612"/>
      <c r="AA390" s="612"/>
      <c r="AB390" s="612"/>
      <c r="AC390" s="612"/>
    </row>
    <row r="391" spans="1:29">
      <c r="A391" s="66" t="s">
        <v>1321</v>
      </c>
      <c r="B391" s="60"/>
      <c r="C391" s="54" t="s">
        <v>168</v>
      </c>
      <c r="D391" s="435" t="str">
        <f>IFERROR(VLOOKUP(C391,Mychart!$A$125:$B$811,2,FALSE),"-")</f>
        <v>UTS Carrier</v>
      </c>
      <c r="E391" s="357" t="s">
        <v>235</v>
      </c>
      <c r="F391" s="58">
        <v>2</v>
      </c>
      <c r="G391" s="58"/>
      <c r="H391" s="58"/>
      <c r="I391" s="58"/>
      <c r="J391" s="137"/>
      <c r="K391" s="56" t="s">
        <v>1322</v>
      </c>
      <c r="L391" s="292">
        <v>210</v>
      </c>
      <c r="M391" s="292"/>
      <c r="N391" s="358"/>
      <c r="O391" s="292"/>
      <c r="P391" s="292"/>
      <c r="Q391" s="614"/>
      <c r="R391" s="913">
        <f t="shared" si="24"/>
        <v>0</v>
      </c>
      <c r="S391" s="913">
        <f t="shared" si="25"/>
        <v>0</v>
      </c>
      <c r="T391" s="913">
        <f t="shared" si="26"/>
        <v>0</v>
      </c>
      <c r="U391" s="914">
        <f t="shared" si="27"/>
        <v>2</v>
      </c>
      <c r="V391" s="612"/>
      <c r="W391" s="612"/>
      <c r="X391" s="612"/>
      <c r="Y391" s="612"/>
      <c r="Z391" s="612"/>
      <c r="AA391" s="612"/>
      <c r="AB391" s="612"/>
      <c r="AC391" s="612"/>
    </row>
    <row r="392" spans="1:29">
      <c r="A392" s="66" t="s">
        <v>1321</v>
      </c>
      <c r="B392" s="60"/>
      <c r="C392" s="54" t="s">
        <v>168</v>
      </c>
      <c r="D392" s="435" t="str">
        <f>IFERROR(VLOOKUP(C392,Mychart!$A$125:$B$811,2,FALSE),"-")</f>
        <v>UTS Carrier</v>
      </c>
      <c r="E392" s="357" t="s">
        <v>232</v>
      </c>
      <c r="F392" s="58">
        <v>3</v>
      </c>
      <c r="G392" s="58"/>
      <c r="H392" s="58"/>
      <c r="I392" s="58"/>
      <c r="J392" s="137"/>
      <c r="K392" s="56" t="s">
        <v>1322</v>
      </c>
      <c r="L392" s="292">
        <v>210</v>
      </c>
      <c r="M392" s="292"/>
      <c r="N392" s="358"/>
      <c r="O392" s="292"/>
      <c r="P392" s="292"/>
      <c r="Q392" s="614"/>
      <c r="R392" s="913">
        <f t="shared" si="24"/>
        <v>0</v>
      </c>
      <c r="S392" s="913">
        <f t="shared" si="25"/>
        <v>0</v>
      </c>
      <c r="T392" s="913">
        <f t="shared" si="26"/>
        <v>0</v>
      </c>
      <c r="U392" s="914">
        <f t="shared" si="27"/>
        <v>3</v>
      </c>
      <c r="V392" s="612"/>
      <c r="W392" s="612"/>
      <c r="X392" s="612"/>
      <c r="Y392" s="612"/>
      <c r="Z392" s="612"/>
      <c r="AA392" s="612"/>
      <c r="AB392" s="612"/>
      <c r="AC392" s="612"/>
    </row>
    <row r="393" spans="1:29">
      <c r="A393" s="66" t="s">
        <v>1321</v>
      </c>
      <c r="B393" s="60"/>
      <c r="C393" s="54" t="s">
        <v>168</v>
      </c>
      <c r="D393" s="435" t="str">
        <f>IFERROR(VLOOKUP(C393,Mychart!$A$125:$B$811,2,FALSE),"-")</f>
        <v>UTS Carrier</v>
      </c>
      <c r="E393" s="357" t="s">
        <v>233</v>
      </c>
      <c r="F393" s="58">
        <v>3</v>
      </c>
      <c r="G393" s="58"/>
      <c r="H393" s="58"/>
      <c r="I393" s="58"/>
      <c r="J393" s="137"/>
      <c r="K393" s="56" t="s">
        <v>1322</v>
      </c>
      <c r="L393" s="292">
        <v>210</v>
      </c>
      <c r="M393" s="292"/>
      <c r="N393" s="358"/>
      <c r="O393" s="292"/>
      <c r="P393" s="292"/>
      <c r="Q393" s="614"/>
      <c r="R393" s="913">
        <f t="shared" si="24"/>
        <v>0</v>
      </c>
      <c r="S393" s="913">
        <f t="shared" si="25"/>
        <v>0</v>
      </c>
      <c r="T393" s="913">
        <f t="shared" si="26"/>
        <v>0</v>
      </c>
      <c r="U393" s="914">
        <f t="shared" si="27"/>
        <v>3</v>
      </c>
      <c r="V393" s="612"/>
      <c r="W393" s="612"/>
      <c r="X393" s="612"/>
      <c r="Y393" s="612"/>
      <c r="Z393" s="612"/>
      <c r="AA393" s="612"/>
      <c r="AB393" s="612"/>
      <c r="AC393" s="612"/>
    </row>
    <row r="394" spans="1:29">
      <c r="A394" s="66" t="s">
        <v>1321</v>
      </c>
      <c r="B394" s="60"/>
      <c r="C394" s="54" t="s">
        <v>168</v>
      </c>
      <c r="D394" s="435" t="str">
        <f>IFERROR(VLOOKUP(C394,Mychart!$A$125:$B$811,2,FALSE),"-")</f>
        <v>UTS Carrier</v>
      </c>
      <c r="E394" s="357" t="s">
        <v>832</v>
      </c>
      <c r="F394" s="58">
        <v>4</v>
      </c>
      <c r="G394" s="58"/>
      <c r="H394" s="58"/>
      <c r="I394" s="58"/>
      <c r="J394" s="137"/>
      <c r="K394" s="56" t="s">
        <v>1322</v>
      </c>
      <c r="L394" s="292">
        <v>210</v>
      </c>
      <c r="M394" s="292"/>
      <c r="N394" s="358"/>
      <c r="O394" s="292"/>
      <c r="P394" s="292"/>
      <c r="Q394" s="614"/>
      <c r="R394" s="913">
        <f t="shared" si="24"/>
        <v>0</v>
      </c>
      <c r="S394" s="913">
        <f t="shared" si="25"/>
        <v>0</v>
      </c>
      <c r="T394" s="913">
        <f t="shared" si="26"/>
        <v>0</v>
      </c>
      <c r="U394" s="914">
        <f t="shared" si="27"/>
        <v>4</v>
      </c>
      <c r="V394" s="612"/>
      <c r="W394" s="612"/>
      <c r="X394" s="612"/>
      <c r="Y394" s="612"/>
      <c r="Z394" s="612"/>
      <c r="AA394" s="612"/>
      <c r="AB394" s="612"/>
      <c r="AC394" s="612"/>
    </row>
    <row r="395" spans="1:29">
      <c r="A395" s="66" t="s">
        <v>1321</v>
      </c>
      <c r="B395" s="60"/>
      <c r="C395" s="54" t="s">
        <v>168</v>
      </c>
      <c r="D395" s="435" t="str">
        <f>IFERROR(VLOOKUP(C395,Mychart!$A$125:$B$811,2,FALSE),"-")</f>
        <v>UTS Carrier</v>
      </c>
      <c r="E395" s="357" t="s">
        <v>833</v>
      </c>
      <c r="F395" s="58">
        <v>4</v>
      </c>
      <c r="G395" s="58"/>
      <c r="H395" s="58"/>
      <c r="I395" s="58"/>
      <c r="J395" s="137"/>
      <c r="K395" s="56" t="s">
        <v>1322</v>
      </c>
      <c r="L395" s="292">
        <v>210</v>
      </c>
      <c r="M395" s="292"/>
      <c r="N395" s="358"/>
      <c r="O395" s="292"/>
      <c r="P395" s="292"/>
      <c r="Q395" s="614"/>
      <c r="R395" s="913">
        <f t="shared" si="24"/>
        <v>0</v>
      </c>
      <c r="S395" s="913">
        <f t="shared" si="25"/>
        <v>0</v>
      </c>
      <c r="T395" s="913">
        <f t="shared" si="26"/>
        <v>0</v>
      </c>
      <c r="U395" s="914">
        <f t="shared" si="27"/>
        <v>4</v>
      </c>
      <c r="V395" s="612"/>
      <c r="W395" s="612"/>
      <c r="X395" s="612"/>
      <c r="Y395" s="612"/>
      <c r="Z395" s="612"/>
      <c r="AA395" s="612"/>
      <c r="AB395" s="612"/>
      <c r="AC395" s="612"/>
    </row>
    <row r="396" spans="1:29">
      <c r="A396" s="66" t="s">
        <v>1321</v>
      </c>
      <c r="B396" s="60"/>
      <c r="C396" s="54" t="s">
        <v>168</v>
      </c>
      <c r="D396" s="435" t="str">
        <f>IFERROR(VLOOKUP(C396,Mychart!$A$125:$B$811,2,FALSE),"-")</f>
        <v>UTS Carrier</v>
      </c>
      <c r="E396" s="357" t="s">
        <v>1081</v>
      </c>
      <c r="F396" s="58">
        <v>4</v>
      </c>
      <c r="G396" s="58"/>
      <c r="H396" s="58"/>
      <c r="I396" s="58"/>
      <c r="J396" s="137"/>
      <c r="K396" s="56" t="s">
        <v>1322</v>
      </c>
      <c r="L396" s="292">
        <v>210</v>
      </c>
      <c r="M396" s="292"/>
      <c r="N396" s="358"/>
      <c r="O396" s="292"/>
      <c r="P396" s="292"/>
      <c r="Q396" s="614"/>
      <c r="R396" s="913">
        <f t="shared" si="24"/>
        <v>0</v>
      </c>
      <c r="S396" s="913">
        <f t="shared" si="25"/>
        <v>0</v>
      </c>
      <c r="T396" s="913">
        <f t="shared" si="26"/>
        <v>0</v>
      </c>
      <c r="U396" s="914">
        <f t="shared" si="27"/>
        <v>4</v>
      </c>
      <c r="V396" s="612"/>
      <c r="W396" s="612"/>
      <c r="X396" s="612"/>
      <c r="Y396" s="612"/>
      <c r="Z396" s="612"/>
      <c r="AA396" s="612"/>
      <c r="AB396" s="612"/>
      <c r="AC396" s="612"/>
    </row>
    <row r="397" spans="1:29">
      <c r="A397" s="66" t="s">
        <v>1321</v>
      </c>
      <c r="B397" s="60"/>
      <c r="C397" s="54" t="s">
        <v>168</v>
      </c>
      <c r="D397" s="435" t="str">
        <f>IFERROR(VLOOKUP(C397,Mychart!$A$125:$B$811,2,FALSE),"-")</f>
        <v>UTS Carrier</v>
      </c>
      <c r="E397" s="357" t="s">
        <v>1082</v>
      </c>
      <c r="F397" s="58">
        <v>4</v>
      </c>
      <c r="G397" s="58"/>
      <c r="H397" s="58"/>
      <c r="I397" s="58"/>
      <c r="J397" s="137"/>
      <c r="K397" s="56" t="s">
        <v>1322</v>
      </c>
      <c r="L397" s="292">
        <v>210</v>
      </c>
      <c r="M397" s="292"/>
      <c r="N397" s="358"/>
      <c r="O397" s="292"/>
      <c r="P397" s="292"/>
      <c r="Q397" s="614"/>
      <c r="R397" s="913">
        <f t="shared" si="24"/>
        <v>0</v>
      </c>
      <c r="S397" s="913">
        <f t="shared" si="25"/>
        <v>0</v>
      </c>
      <c r="T397" s="913">
        <f t="shared" si="26"/>
        <v>0</v>
      </c>
      <c r="U397" s="914">
        <f t="shared" si="27"/>
        <v>4</v>
      </c>
      <c r="V397" s="612"/>
      <c r="W397" s="612"/>
      <c r="X397" s="612"/>
      <c r="Y397" s="612"/>
      <c r="Z397" s="612"/>
      <c r="AA397" s="612"/>
      <c r="AB397" s="612"/>
      <c r="AC397" s="612"/>
    </row>
    <row r="398" spans="1:29">
      <c r="A398" s="66" t="s">
        <v>1321</v>
      </c>
      <c r="B398" s="60"/>
      <c r="C398" s="54" t="s">
        <v>168</v>
      </c>
      <c r="D398" s="435" t="str">
        <f>IFERROR(VLOOKUP(C398,Mychart!$A$125:$B$811,2,FALSE),"-")</f>
        <v>UTS Carrier</v>
      </c>
      <c r="E398" s="357" t="s">
        <v>1236</v>
      </c>
      <c r="F398" s="58">
        <v>14</v>
      </c>
      <c r="G398" s="58"/>
      <c r="H398" s="58"/>
      <c r="I398" s="58"/>
      <c r="J398" s="137"/>
      <c r="K398" s="56" t="s">
        <v>1322</v>
      </c>
      <c r="L398" s="292">
        <v>210</v>
      </c>
      <c r="M398" s="292"/>
      <c r="N398" s="358"/>
      <c r="O398" s="292"/>
      <c r="P398" s="292"/>
      <c r="Q398" s="614"/>
      <c r="R398" s="913">
        <f t="shared" ref="R398:R461" si="28">O398-N398</f>
        <v>0</v>
      </c>
      <c r="S398" s="913">
        <f t="shared" ref="S398:S461" si="29">Q398-N398</f>
        <v>0</v>
      </c>
      <c r="T398" s="913">
        <f t="shared" ref="T398:T461" si="30">Q398-O398</f>
        <v>0</v>
      </c>
      <c r="U398" s="914">
        <f t="shared" ref="U398:U461" si="31">F398-P398</f>
        <v>14</v>
      </c>
      <c r="V398" s="612"/>
      <c r="W398" s="612"/>
      <c r="X398" s="612"/>
      <c r="Y398" s="612"/>
      <c r="Z398" s="612"/>
      <c r="AA398" s="612"/>
      <c r="AB398" s="612"/>
      <c r="AC398" s="612"/>
    </row>
    <row r="399" spans="1:29">
      <c r="A399" s="66" t="s">
        <v>1321</v>
      </c>
      <c r="B399" s="60"/>
      <c r="C399" s="54" t="s">
        <v>168</v>
      </c>
      <c r="D399" s="435" t="str">
        <f>IFERROR(VLOOKUP(C399,Mychart!$A$125:$B$811,2,FALSE),"-")</f>
        <v>UTS Carrier</v>
      </c>
      <c r="E399" s="676"/>
      <c r="F399" s="58"/>
      <c r="G399" s="58"/>
      <c r="H399" s="58"/>
      <c r="I399" s="58"/>
      <c r="J399" s="137"/>
      <c r="K399" s="56" t="s">
        <v>1322</v>
      </c>
      <c r="L399" s="292">
        <v>210</v>
      </c>
      <c r="M399" s="292"/>
      <c r="N399" s="358">
        <v>36246</v>
      </c>
      <c r="O399" s="292">
        <v>36275</v>
      </c>
      <c r="P399" s="292"/>
      <c r="Q399" s="614">
        <v>112602</v>
      </c>
      <c r="R399" s="913">
        <f t="shared" si="28"/>
        <v>29</v>
      </c>
      <c r="S399" s="913">
        <f t="shared" si="29"/>
        <v>76356</v>
      </c>
      <c r="T399" s="913">
        <f t="shared" si="30"/>
        <v>76327</v>
      </c>
      <c r="U399" s="914">
        <f t="shared" si="31"/>
        <v>0</v>
      </c>
      <c r="V399" s="612"/>
      <c r="W399" s="612"/>
      <c r="X399" s="612"/>
      <c r="Y399" s="612"/>
      <c r="Z399" s="612"/>
      <c r="AA399" s="612"/>
      <c r="AB399" s="612"/>
      <c r="AC399" s="612"/>
    </row>
    <row r="400" spans="1:29">
      <c r="A400" s="66" t="s">
        <v>1364</v>
      </c>
      <c r="B400" s="60"/>
      <c r="C400" s="54" t="s">
        <v>168</v>
      </c>
      <c r="D400" s="435" t="str">
        <f>IFERROR(VLOOKUP(C400,Mychart!$A$125:$B$811,2,FALSE),"-")</f>
        <v>UTS Carrier</v>
      </c>
      <c r="E400" s="676" t="s">
        <v>825</v>
      </c>
      <c r="F400" s="58">
        <v>1</v>
      </c>
      <c r="G400" s="58"/>
      <c r="H400" s="58"/>
      <c r="I400" s="58"/>
      <c r="J400" s="137"/>
      <c r="K400" s="56" t="s">
        <v>1365</v>
      </c>
      <c r="L400" s="292">
        <v>255</v>
      </c>
      <c r="M400" s="292"/>
      <c r="N400" s="358"/>
      <c r="O400" s="292"/>
      <c r="P400" s="292"/>
      <c r="Q400" s="614"/>
      <c r="R400" s="913">
        <f t="shared" si="28"/>
        <v>0</v>
      </c>
      <c r="S400" s="913">
        <f t="shared" si="29"/>
        <v>0</v>
      </c>
      <c r="T400" s="913">
        <f t="shared" si="30"/>
        <v>0</v>
      </c>
      <c r="U400" s="914">
        <f t="shared" si="31"/>
        <v>1</v>
      </c>
      <c r="V400" s="612"/>
      <c r="W400" s="612"/>
      <c r="X400" s="612"/>
      <c r="Y400" s="612"/>
      <c r="Z400" s="612"/>
      <c r="AA400" s="612"/>
      <c r="AB400" s="612"/>
      <c r="AC400" s="612"/>
    </row>
    <row r="401" spans="1:30">
      <c r="A401" s="66" t="s">
        <v>1364</v>
      </c>
      <c r="B401" s="60"/>
      <c r="C401" s="54" t="s">
        <v>168</v>
      </c>
      <c r="D401" s="435" t="str">
        <f>IFERROR(VLOOKUP(C401,Mychart!$A$125:$B$811,2,FALSE),"-")</f>
        <v>UTS Carrier</v>
      </c>
      <c r="E401" s="676" t="s">
        <v>826</v>
      </c>
      <c r="F401" s="58">
        <v>1</v>
      </c>
      <c r="G401" s="58"/>
      <c r="H401" s="58"/>
      <c r="I401" s="58"/>
      <c r="J401" s="137"/>
      <c r="K401" s="56" t="s">
        <v>1365</v>
      </c>
      <c r="L401" s="292">
        <v>255</v>
      </c>
      <c r="M401" s="292"/>
      <c r="N401" s="358"/>
      <c r="O401" s="292"/>
      <c r="P401" s="292">
        <v>1</v>
      </c>
      <c r="Q401" s="614"/>
      <c r="R401" s="913">
        <f t="shared" si="28"/>
        <v>0</v>
      </c>
      <c r="S401" s="913">
        <f t="shared" si="29"/>
        <v>0</v>
      </c>
      <c r="T401" s="913">
        <f t="shared" si="30"/>
        <v>0</v>
      </c>
      <c r="U401" s="914">
        <f t="shared" si="31"/>
        <v>0</v>
      </c>
      <c r="V401" s="612"/>
      <c r="W401" s="612"/>
      <c r="X401" s="612"/>
      <c r="Y401" s="612"/>
      <c r="Z401" s="612"/>
      <c r="AA401" s="612"/>
      <c r="AB401" s="612"/>
      <c r="AC401" s="612"/>
    </row>
    <row r="402" spans="1:30">
      <c r="A402" s="66" t="s">
        <v>1364</v>
      </c>
      <c r="B402" s="60"/>
      <c r="C402" s="54" t="s">
        <v>168</v>
      </c>
      <c r="D402" s="435" t="str">
        <f>IFERROR(VLOOKUP(C402,Mychart!$A$125:$B$811,2,FALSE),"-")</f>
        <v>UTS Carrier</v>
      </c>
      <c r="E402" s="676" t="s">
        <v>827</v>
      </c>
      <c r="F402" s="58">
        <v>3</v>
      </c>
      <c r="G402" s="58"/>
      <c r="H402" s="58"/>
      <c r="I402" s="58"/>
      <c r="J402" s="137"/>
      <c r="K402" s="56" t="s">
        <v>1365</v>
      </c>
      <c r="L402" s="292">
        <v>255</v>
      </c>
      <c r="M402" s="292"/>
      <c r="N402" s="358"/>
      <c r="O402" s="292"/>
      <c r="P402" s="292"/>
      <c r="Q402" s="614"/>
      <c r="R402" s="913">
        <f t="shared" si="28"/>
        <v>0</v>
      </c>
      <c r="S402" s="913">
        <f t="shared" si="29"/>
        <v>0</v>
      </c>
      <c r="T402" s="913">
        <f t="shared" si="30"/>
        <v>0</v>
      </c>
      <c r="U402" s="914">
        <f t="shared" si="31"/>
        <v>3</v>
      </c>
      <c r="V402" s="612"/>
      <c r="W402" s="612"/>
      <c r="X402" s="612"/>
      <c r="Y402" s="612"/>
      <c r="Z402" s="612"/>
      <c r="AA402" s="612"/>
      <c r="AB402" s="612"/>
      <c r="AC402" s="612"/>
    </row>
    <row r="403" spans="1:30">
      <c r="A403" s="66" t="s">
        <v>1364</v>
      </c>
      <c r="B403" s="60"/>
      <c r="C403" s="54" t="s">
        <v>168</v>
      </c>
      <c r="D403" s="435" t="str">
        <f>IFERROR(VLOOKUP(C403,Mychart!$A$125:$B$811,2,FALSE),"-")</f>
        <v>UTS Carrier</v>
      </c>
      <c r="E403" s="676" t="s">
        <v>828</v>
      </c>
      <c r="F403" s="58">
        <v>3</v>
      </c>
      <c r="G403" s="58"/>
      <c r="H403" s="58"/>
      <c r="I403" s="58"/>
      <c r="J403" s="137"/>
      <c r="K403" s="56" t="s">
        <v>1365</v>
      </c>
      <c r="L403" s="292">
        <v>255</v>
      </c>
      <c r="M403" s="292"/>
      <c r="N403" s="358"/>
      <c r="O403" s="292"/>
      <c r="P403" s="292">
        <v>3</v>
      </c>
      <c r="Q403" s="614"/>
      <c r="R403" s="913">
        <f t="shared" si="28"/>
        <v>0</v>
      </c>
      <c r="S403" s="913">
        <f t="shared" si="29"/>
        <v>0</v>
      </c>
      <c r="T403" s="913">
        <f t="shared" si="30"/>
        <v>0</v>
      </c>
      <c r="U403" s="914">
        <f t="shared" si="31"/>
        <v>0</v>
      </c>
      <c r="V403" s="612"/>
      <c r="W403" s="612"/>
      <c r="X403" s="612"/>
      <c r="Y403" s="612"/>
      <c r="Z403" s="612"/>
      <c r="AA403" s="612"/>
      <c r="AB403" s="612"/>
      <c r="AC403" s="612"/>
    </row>
    <row r="404" spans="1:30">
      <c r="A404" s="66" t="s">
        <v>1364</v>
      </c>
      <c r="B404" s="60"/>
      <c r="C404" s="54" t="s">
        <v>168</v>
      </c>
      <c r="D404" s="435" t="str">
        <f>IFERROR(VLOOKUP(C404,Mychart!$A$125:$B$811,2,FALSE),"-")</f>
        <v>UTS Carrier</v>
      </c>
      <c r="E404" s="676" t="s">
        <v>238</v>
      </c>
      <c r="F404" s="58">
        <v>2</v>
      </c>
      <c r="G404" s="58"/>
      <c r="H404" s="58"/>
      <c r="I404" s="58"/>
      <c r="J404" s="137"/>
      <c r="K404" s="56" t="s">
        <v>1365</v>
      </c>
      <c r="L404" s="292">
        <v>255</v>
      </c>
      <c r="M404" s="292"/>
      <c r="N404" s="358"/>
      <c r="O404" s="292"/>
      <c r="P404" s="292"/>
      <c r="Q404" s="614"/>
      <c r="R404" s="913">
        <f t="shared" si="28"/>
        <v>0</v>
      </c>
      <c r="S404" s="913">
        <f t="shared" si="29"/>
        <v>0</v>
      </c>
      <c r="T404" s="913">
        <f t="shared" si="30"/>
        <v>0</v>
      </c>
      <c r="U404" s="914">
        <f t="shared" si="31"/>
        <v>2</v>
      </c>
      <c r="V404" s="612"/>
      <c r="W404" s="612"/>
      <c r="X404" s="612"/>
      <c r="Y404" s="612"/>
      <c r="Z404" s="612"/>
      <c r="AA404" s="612"/>
      <c r="AB404" s="612"/>
      <c r="AC404" s="612"/>
    </row>
    <row r="405" spans="1:30">
      <c r="A405" s="66" t="s">
        <v>1364</v>
      </c>
      <c r="B405" s="60"/>
      <c r="C405" s="54" t="s">
        <v>168</v>
      </c>
      <c r="D405" s="435" t="str">
        <f>IFERROR(VLOOKUP(C405,Mychart!$A$125:$B$811,2,FALSE),"-")</f>
        <v>UTS Carrier</v>
      </c>
      <c r="E405" s="676" t="s">
        <v>239</v>
      </c>
      <c r="F405" s="58">
        <v>2</v>
      </c>
      <c r="G405" s="58"/>
      <c r="H405" s="58"/>
      <c r="I405" s="58"/>
      <c r="J405" s="137"/>
      <c r="K405" s="56" t="s">
        <v>1365</v>
      </c>
      <c r="L405" s="292">
        <v>255</v>
      </c>
      <c r="M405" s="292"/>
      <c r="N405" s="358"/>
      <c r="O405" s="292"/>
      <c r="P405" s="292">
        <v>2</v>
      </c>
      <c r="Q405" s="614"/>
      <c r="R405" s="913">
        <f t="shared" si="28"/>
        <v>0</v>
      </c>
      <c r="S405" s="913">
        <f t="shared" si="29"/>
        <v>0</v>
      </c>
      <c r="T405" s="913">
        <f t="shared" si="30"/>
        <v>0</v>
      </c>
      <c r="U405" s="914">
        <f t="shared" si="31"/>
        <v>0</v>
      </c>
      <c r="V405" s="612"/>
      <c r="W405" s="612"/>
      <c r="X405" s="612"/>
      <c r="Y405" s="612"/>
      <c r="Z405" s="612"/>
      <c r="AA405" s="612"/>
      <c r="AB405" s="612"/>
      <c r="AC405" s="612"/>
    </row>
    <row r="406" spans="1:30">
      <c r="A406" s="66" t="s">
        <v>1364</v>
      </c>
      <c r="B406" s="60"/>
      <c r="C406" s="54" t="s">
        <v>168</v>
      </c>
      <c r="D406" s="435" t="str">
        <f>IFERROR(VLOOKUP(C406,Mychart!$A$125:$B$811,2,FALSE),"-")</f>
        <v>UTS Carrier</v>
      </c>
      <c r="E406" s="676" t="s">
        <v>234</v>
      </c>
      <c r="F406" s="58">
        <v>1</v>
      </c>
      <c r="G406" s="58"/>
      <c r="H406" s="58"/>
      <c r="I406" s="58"/>
      <c r="J406" s="137"/>
      <c r="K406" s="56" t="s">
        <v>1365</v>
      </c>
      <c r="L406" s="292">
        <v>255</v>
      </c>
      <c r="M406" s="292"/>
      <c r="N406" s="358"/>
      <c r="O406" s="292"/>
      <c r="P406" s="292"/>
      <c r="Q406" s="614"/>
      <c r="R406" s="913">
        <f t="shared" si="28"/>
        <v>0</v>
      </c>
      <c r="S406" s="913">
        <f t="shared" si="29"/>
        <v>0</v>
      </c>
      <c r="T406" s="913">
        <f t="shared" si="30"/>
        <v>0</v>
      </c>
      <c r="U406" s="914">
        <f t="shared" si="31"/>
        <v>1</v>
      </c>
      <c r="V406" s="612"/>
      <c r="W406" s="612"/>
      <c r="X406" s="612"/>
      <c r="Y406" s="612"/>
      <c r="Z406" s="612"/>
      <c r="AA406" s="612"/>
      <c r="AB406" s="612"/>
      <c r="AC406" s="612"/>
    </row>
    <row r="407" spans="1:30">
      <c r="A407" s="66" t="s">
        <v>1364</v>
      </c>
      <c r="B407" s="60"/>
      <c r="C407" s="54" t="s">
        <v>168</v>
      </c>
      <c r="D407" s="435" t="str">
        <f>IFERROR(VLOOKUP(C407,Mychart!$A$125:$B$811,2,FALSE),"-")</f>
        <v>UTS Carrier</v>
      </c>
      <c r="E407" s="676" t="s">
        <v>235</v>
      </c>
      <c r="F407" s="58">
        <v>1</v>
      </c>
      <c r="G407" s="58"/>
      <c r="H407" s="58"/>
      <c r="I407" s="58"/>
      <c r="J407" s="137"/>
      <c r="K407" s="56" t="s">
        <v>1365</v>
      </c>
      <c r="L407" s="292">
        <v>255</v>
      </c>
      <c r="M407" s="292"/>
      <c r="N407" s="358"/>
      <c r="O407" s="292"/>
      <c r="P407" s="292">
        <v>1</v>
      </c>
      <c r="Q407" s="614"/>
      <c r="R407" s="913">
        <f t="shared" si="28"/>
        <v>0</v>
      </c>
      <c r="S407" s="913">
        <f t="shared" si="29"/>
        <v>0</v>
      </c>
      <c r="T407" s="913">
        <f t="shared" si="30"/>
        <v>0</v>
      </c>
      <c r="U407" s="914">
        <f t="shared" si="31"/>
        <v>0</v>
      </c>
      <c r="V407" s="612"/>
      <c r="W407" s="612"/>
      <c r="X407" s="612"/>
      <c r="Y407" s="612"/>
      <c r="Z407" s="612"/>
      <c r="AA407" s="612"/>
      <c r="AB407" s="612"/>
      <c r="AC407" s="612"/>
    </row>
    <row r="408" spans="1:30">
      <c r="A408" s="66" t="s">
        <v>1364</v>
      </c>
      <c r="B408" s="60"/>
      <c r="C408" s="54" t="s">
        <v>168</v>
      </c>
      <c r="D408" s="435" t="str">
        <f>IFERROR(VLOOKUP(C408,Mychart!$A$125:$B$811,2,FALSE),"-")</f>
        <v>UTS Carrier</v>
      </c>
      <c r="E408" s="676" t="s">
        <v>232</v>
      </c>
      <c r="F408" s="58">
        <v>4</v>
      </c>
      <c r="G408" s="58"/>
      <c r="H408" s="58"/>
      <c r="I408" s="58"/>
      <c r="J408" s="137"/>
      <c r="K408" s="56" t="s">
        <v>1365</v>
      </c>
      <c r="L408" s="292">
        <v>255</v>
      </c>
      <c r="M408" s="292"/>
      <c r="N408" s="358"/>
      <c r="O408" s="292"/>
      <c r="P408" s="292"/>
      <c r="Q408" s="614"/>
      <c r="R408" s="913">
        <f t="shared" si="28"/>
        <v>0</v>
      </c>
      <c r="S408" s="913">
        <f t="shared" si="29"/>
        <v>0</v>
      </c>
      <c r="T408" s="913">
        <f t="shared" si="30"/>
        <v>0</v>
      </c>
      <c r="U408" s="914">
        <f t="shared" si="31"/>
        <v>4</v>
      </c>
      <c r="V408" s="612"/>
      <c r="W408" s="612"/>
      <c r="X408" s="612"/>
      <c r="Y408" s="612"/>
      <c r="Z408" s="612"/>
      <c r="AA408" s="612"/>
      <c r="AB408" s="612"/>
      <c r="AC408" s="612"/>
    </row>
    <row r="409" spans="1:30">
      <c r="A409" s="66" t="s">
        <v>1364</v>
      </c>
      <c r="B409" s="60"/>
      <c r="C409" s="54" t="s">
        <v>168</v>
      </c>
      <c r="D409" s="435" t="str">
        <f>IFERROR(VLOOKUP(C409,Mychart!$A$125:$B$811,2,FALSE),"-")</f>
        <v>UTS Carrier</v>
      </c>
      <c r="E409" s="676" t="s">
        <v>233</v>
      </c>
      <c r="F409" s="58">
        <v>4</v>
      </c>
      <c r="G409" s="58"/>
      <c r="H409" s="58"/>
      <c r="I409" s="58"/>
      <c r="J409" s="137"/>
      <c r="K409" s="56" t="s">
        <v>1365</v>
      </c>
      <c r="L409" s="292">
        <v>255</v>
      </c>
      <c r="M409" s="292"/>
      <c r="N409" s="358"/>
      <c r="O409" s="292"/>
      <c r="P409" s="292">
        <v>4</v>
      </c>
      <c r="Q409" s="614"/>
      <c r="R409" s="913">
        <f t="shared" si="28"/>
        <v>0</v>
      </c>
      <c r="S409" s="913">
        <f t="shared" si="29"/>
        <v>0</v>
      </c>
      <c r="T409" s="913">
        <f t="shared" si="30"/>
        <v>0</v>
      </c>
      <c r="U409" s="914">
        <f t="shared" si="31"/>
        <v>0</v>
      </c>
      <c r="V409" s="612"/>
      <c r="W409" s="612"/>
      <c r="X409" s="612"/>
      <c r="Y409" s="612"/>
      <c r="Z409" s="612"/>
      <c r="AA409" s="612"/>
      <c r="AB409" s="612"/>
      <c r="AC409" s="612"/>
    </row>
    <row r="410" spans="1:30">
      <c r="A410" s="66" t="s">
        <v>1364</v>
      </c>
      <c r="B410" s="60"/>
      <c r="C410" s="54" t="s">
        <v>168</v>
      </c>
      <c r="D410" s="435" t="str">
        <f>IFERROR(VLOOKUP(C410,Mychart!$A$125:$B$811,2,FALSE),"-")</f>
        <v>UTS Carrier</v>
      </c>
      <c r="E410" s="676" t="s">
        <v>1099</v>
      </c>
      <c r="F410" s="58">
        <v>1</v>
      </c>
      <c r="G410" s="58"/>
      <c r="H410" s="58"/>
      <c r="I410" s="58"/>
      <c r="J410" s="137"/>
      <c r="K410" s="56" t="s">
        <v>1365</v>
      </c>
      <c r="L410" s="292">
        <v>255</v>
      </c>
      <c r="M410" s="292"/>
      <c r="N410" s="358"/>
      <c r="O410" s="292"/>
      <c r="P410" s="292"/>
      <c r="Q410" s="614"/>
      <c r="R410" s="913">
        <f t="shared" si="28"/>
        <v>0</v>
      </c>
      <c r="S410" s="913">
        <f t="shared" si="29"/>
        <v>0</v>
      </c>
      <c r="T410" s="913">
        <f t="shared" si="30"/>
        <v>0</v>
      </c>
      <c r="U410" s="914">
        <f t="shared" si="31"/>
        <v>1</v>
      </c>
      <c r="V410" s="612"/>
      <c r="W410" s="612"/>
      <c r="X410" s="612"/>
      <c r="Y410" s="612"/>
      <c r="Z410" s="612"/>
      <c r="AA410" s="612"/>
      <c r="AB410" s="612"/>
      <c r="AC410" s="612"/>
    </row>
    <row r="411" spans="1:30">
      <c r="A411" s="66" t="s">
        <v>1364</v>
      </c>
      <c r="B411" s="60"/>
      <c r="C411" s="54" t="s">
        <v>168</v>
      </c>
      <c r="D411" s="435" t="str">
        <f>IFERROR(VLOOKUP(C411,Mychart!$A$125:$B$811,2,FALSE),"-")</f>
        <v>UTS Carrier</v>
      </c>
      <c r="E411" s="676" t="s">
        <v>1100</v>
      </c>
      <c r="F411" s="58">
        <v>1</v>
      </c>
      <c r="G411" s="58"/>
      <c r="H411" s="58"/>
      <c r="I411" s="58"/>
      <c r="J411" s="137"/>
      <c r="K411" s="56" t="s">
        <v>1365</v>
      </c>
      <c r="L411" s="292">
        <v>255</v>
      </c>
      <c r="M411" s="292"/>
      <c r="N411" s="358"/>
      <c r="O411" s="292"/>
      <c r="P411" s="292"/>
      <c r="Q411" s="614"/>
      <c r="R411" s="913">
        <f t="shared" si="28"/>
        <v>0</v>
      </c>
      <c r="S411" s="913">
        <f t="shared" si="29"/>
        <v>0</v>
      </c>
      <c r="T411" s="913">
        <f t="shared" si="30"/>
        <v>0</v>
      </c>
      <c r="U411" s="914">
        <f t="shared" si="31"/>
        <v>1</v>
      </c>
      <c r="V411" s="612"/>
      <c r="W411" s="612"/>
      <c r="X411" s="612"/>
      <c r="Y411" s="612"/>
      <c r="Z411" s="612"/>
      <c r="AA411" s="612"/>
      <c r="AB411" s="612"/>
      <c r="AC411" s="612"/>
    </row>
    <row r="412" spans="1:30">
      <c r="A412" s="66" t="s">
        <v>1364</v>
      </c>
      <c r="B412" s="60"/>
      <c r="C412" s="54" t="s">
        <v>168</v>
      </c>
      <c r="D412" s="435" t="str">
        <f>IFERROR(VLOOKUP(C412,Mychart!$A$125:$B$811,2,FALSE),"-")</f>
        <v>UTS Carrier</v>
      </c>
      <c r="E412" s="676"/>
      <c r="F412" s="58"/>
      <c r="G412" s="58"/>
      <c r="H412" s="58"/>
      <c r="I412" s="58"/>
      <c r="J412" s="137"/>
      <c r="K412" s="56" t="s">
        <v>1365</v>
      </c>
      <c r="L412" s="292">
        <v>255</v>
      </c>
      <c r="M412" s="292" t="s">
        <v>6140</v>
      </c>
      <c r="N412" s="358">
        <v>30062</v>
      </c>
      <c r="O412" s="292">
        <v>80588</v>
      </c>
      <c r="P412" s="292"/>
      <c r="Q412" s="614">
        <v>80587</v>
      </c>
      <c r="R412" s="913">
        <f t="shared" si="28"/>
        <v>50526</v>
      </c>
      <c r="S412" s="913">
        <f t="shared" si="29"/>
        <v>50525</v>
      </c>
      <c r="T412" s="913">
        <f t="shared" si="30"/>
        <v>-1</v>
      </c>
      <c r="U412" s="914">
        <f t="shared" si="31"/>
        <v>0</v>
      </c>
      <c r="V412" s="612"/>
      <c r="W412" s="612"/>
      <c r="X412" s="612"/>
      <c r="Y412" s="612"/>
      <c r="Z412" s="612"/>
      <c r="AA412" s="612"/>
      <c r="AB412" s="612"/>
      <c r="AC412" s="612"/>
      <c r="AD412" s="930">
        <v>45636.44222222222</v>
      </c>
    </row>
    <row r="413" spans="1:30">
      <c r="A413" s="66" t="s">
        <v>1369</v>
      </c>
      <c r="B413" s="60"/>
      <c r="C413" s="54" t="s">
        <v>168</v>
      </c>
      <c r="D413" s="435" t="str">
        <f>IFERROR(VLOOKUP(C413,Mychart!$A$125:$B$811,2,FALSE),"-")</f>
        <v>UTS Carrier</v>
      </c>
      <c r="E413" s="676" t="s">
        <v>236</v>
      </c>
      <c r="F413" s="58">
        <v>16</v>
      </c>
      <c r="G413" s="58"/>
      <c r="H413" s="58"/>
      <c r="I413" s="58"/>
      <c r="J413" s="137"/>
      <c r="K413" s="56" t="s">
        <v>1370</v>
      </c>
      <c r="L413" s="292">
        <v>256</v>
      </c>
      <c r="M413" s="292"/>
      <c r="N413" s="358"/>
      <c r="O413" s="292"/>
      <c r="P413" s="292"/>
      <c r="Q413" s="614"/>
      <c r="R413" s="913">
        <f t="shared" si="28"/>
        <v>0</v>
      </c>
      <c r="S413" s="913">
        <f t="shared" si="29"/>
        <v>0</v>
      </c>
      <c r="T413" s="913">
        <f t="shared" si="30"/>
        <v>0</v>
      </c>
      <c r="U413" s="914">
        <f t="shared" si="31"/>
        <v>16</v>
      </c>
      <c r="V413" s="612"/>
      <c r="W413" s="612"/>
      <c r="X413" s="612"/>
      <c r="Y413" s="612"/>
      <c r="Z413" s="612"/>
      <c r="AA413" s="612"/>
      <c r="AB413" s="612"/>
      <c r="AC413" s="612"/>
    </row>
    <row r="414" spans="1:30">
      <c r="A414" s="66" t="s">
        <v>1369</v>
      </c>
      <c r="B414" s="60"/>
      <c r="C414" s="54" t="s">
        <v>168</v>
      </c>
      <c r="D414" s="435" t="str">
        <f>IFERROR(VLOOKUP(C414,Mychart!$A$125:$B$811,2,FALSE),"-")</f>
        <v>UTS Carrier</v>
      </c>
      <c r="E414" s="676" t="s">
        <v>1366</v>
      </c>
      <c r="F414" s="58">
        <v>16</v>
      </c>
      <c r="G414" s="58"/>
      <c r="H414" s="58"/>
      <c r="I414" s="58"/>
      <c r="J414" s="137"/>
      <c r="K414" s="56" t="s">
        <v>1370</v>
      </c>
      <c r="L414" s="292">
        <v>256</v>
      </c>
      <c r="M414" s="292"/>
      <c r="N414" s="358"/>
      <c r="O414" s="292"/>
      <c r="P414" s="292">
        <v>16</v>
      </c>
      <c r="Q414" s="614"/>
      <c r="R414" s="913">
        <f t="shared" si="28"/>
        <v>0</v>
      </c>
      <c r="S414" s="913">
        <f t="shared" si="29"/>
        <v>0</v>
      </c>
      <c r="T414" s="913">
        <f t="shared" si="30"/>
        <v>0</v>
      </c>
      <c r="U414" s="914">
        <f t="shared" si="31"/>
        <v>0</v>
      </c>
      <c r="V414" s="612"/>
      <c r="W414" s="612"/>
      <c r="X414" s="612"/>
      <c r="Y414" s="612"/>
      <c r="Z414" s="612"/>
      <c r="AA414" s="612"/>
      <c r="AB414" s="612"/>
      <c r="AC414" s="612"/>
    </row>
    <row r="415" spans="1:30">
      <c r="A415" s="66" t="s">
        <v>1369</v>
      </c>
      <c r="B415" s="60"/>
      <c r="C415" s="54" t="s">
        <v>168</v>
      </c>
      <c r="D415" s="435" t="str">
        <f>IFERROR(VLOOKUP(C415,Mychart!$A$125:$B$811,2,FALSE),"-")</f>
        <v>UTS Carrier</v>
      </c>
      <c r="E415" s="676" t="s">
        <v>238</v>
      </c>
      <c r="F415" s="58">
        <v>4</v>
      </c>
      <c r="G415" s="58"/>
      <c r="H415" s="58"/>
      <c r="I415" s="58"/>
      <c r="J415" s="137"/>
      <c r="K415" s="56" t="s">
        <v>1370</v>
      </c>
      <c r="L415" s="292">
        <v>256</v>
      </c>
      <c r="M415" s="292"/>
      <c r="N415" s="358"/>
      <c r="O415" s="292"/>
      <c r="P415" s="292"/>
      <c r="Q415" s="614"/>
      <c r="R415" s="913">
        <f t="shared" si="28"/>
        <v>0</v>
      </c>
      <c r="S415" s="913">
        <f t="shared" si="29"/>
        <v>0</v>
      </c>
      <c r="T415" s="913">
        <f t="shared" si="30"/>
        <v>0</v>
      </c>
      <c r="U415" s="914">
        <f t="shared" si="31"/>
        <v>4</v>
      </c>
      <c r="V415" s="612"/>
      <c r="W415" s="612"/>
      <c r="X415" s="612"/>
      <c r="Y415" s="612"/>
      <c r="Z415" s="612"/>
      <c r="AA415" s="612"/>
      <c r="AB415" s="612"/>
      <c r="AC415" s="612"/>
    </row>
    <row r="416" spans="1:30">
      <c r="A416" s="66" t="s">
        <v>1369</v>
      </c>
      <c r="B416" s="60"/>
      <c r="C416" s="54" t="s">
        <v>168</v>
      </c>
      <c r="D416" s="435" t="str">
        <f>IFERROR(VLOOKUP(C416,Mychart!$A$125:$B$811,2,FALSE),"-")</f>
        <v>UTS Carrier</v>
      </c>
      <c r="E416" s="676" t="s">
        <v>1367</v>
      </c>
      <c r="F416" s="58">
        <v>4</v>
      </c>
      <c r="G416" s="58"/>
      <c r="H416" s="58"/>
      <c r="I416" s="58"/>
      <c r="J416" s="137"/>
      <c r="K416" s="56" t="s">
        <v>1370</v>
      </c>
      <c r="L416" s="292">
        <v>256</v>
      </c>
      <c r="M416" s="292"/>
      <c r="N416" s="358"/>
      <c r="O416" s="292"/>
      <c r="P416" s="292"/>
      <c r="Q416" s="614"/>
      <c r="R416" s="913">
        <f t="shared" si="28"/>
        <v>0</v>
      </c>
      <c r="S416" s="913">
        <f t="shared" si="29"/>
        <v>0</v>
      </c>
      <c r="T416" s="913">
        <f t="shared" si="30"/>
        <v>0</v>
      </c>
      <c r="U416" s="914">
        <f t="shared" si="31"/>
        <v>4</v>
      </c>
      <c r="V416" s="612"/>
      <c r="W416" s="612"/>
      <c r="X416" s="612"/>
      <c r="Y416" s="612"/>
      <c r="Z416" s="612"/>
      <c r="AA416" s="612"/>
      <c r="AB416" s="612"/>
      <c r="AC416" s="612"/>
    </row>
    <row r="417" spans="1:30">
      <c r="A417" s="66" t="s">
        <v>1369</v>
      </c>
      <c r="B417" s="60"/>
      <c r="C417" s="54" t="s">
        <v>168</v>
      </c>
      <c r="D417" s="435" t="str">
        <f>IFERROR(VLOOKUP(C417,Mychart!$A$125:$B$811,2,FALSE),"-")</f>
        <v>UTS Carrier</v>
      </c>
      <c r="E417" s="676" t="s">
        <v>234</v>
      </c>
      <c r="F417" s="58">
        <v>8</v>
      </c>
      <c r="G417" s="58"/>
      <c r="H417" s="58"/>
      <c r="I417" s="58"/>
      <c r="J417" s="137"/>
      <c r="K417" s="56" t="s">
        <v>1370</v>
      </c>
      <c r="L417" s="292">
        <v>256</v>
      </c>
      <c r="M417" s="292"/>
      <c r="N417" s="358"/>
      <c r="O417" s="292"/>
      <c r="P417" s="292"/>
      <c r="Q417" s="614"/>
      <c r="R417" s="913">
        <f t="shared" si="28"/>
        <v>0</v>
      </c>
      <c r="S417" s="913">
        <f t="shared" si="29"/>
        <v>0</v>
      </c>
      <c r="T417" s="913">
        <f t="shared" si="30"/>
        <v>0</v>
      </c>
      <c r="U417" s="914">
        <f t="shared" si="31"/>
        <v>8</v>
      </c>
      <c r="V417" s="612"/>
      <c r="W417" s="612"/>
      <c r="X417" s="612"/>
      <c r="Y417" s="612"/>
      <c r="Z417" s="612"/>
      <c r="AA417" s="612"/>
      <c r="AB417" s="612"/>
      <c r="AC417" s="612"/>
    </row>
    <row r="418" spans="1:30">
      <c r="A418" s="66" t="s">
        <v>1369</v>
      </c>
      <c r="B418" s="60"/>
      <c r="C418" s="54" t="s">
        <v>168</v>
      </c>
      <c r="D418" s="435" t="str">
        <f>IFERROR(VLOOKUP(C418,Mychart!$A$125:$B$811,2,FALSE),"-")</f>
        <v>UTS Carrier</v>
      </c>
      <c r="E418" s="676" t="s">
        <v>1277</v>
      </c>
      <c r="F418" s="58">
        <v>8</v>
      </c>
      <c r="G418" s="58"/>
      <c r="H418" s="58"/>
      <c r="I418" s="58"/>
      <c r="J418" s="137"/>
      <c r="K418" s="56" t="s">
        <v>1370</v>
      </c>
      <c r="L418" s="292">
        <v>256</v>
      </c>
      <c r="M418" s="292"/>
      <c r="N418" s="358"/>
      <c r="O418" s="292"/>
      <c r="P418" s="292"/>
      <c r="Q418" s="614"/>
      <c r="R418" s="913">
        <f t="shared" si="28"/>
        <v>0</v>
      </c>
      <c r="S418" s="913">
        <f t="shared" si="29"/>
        <v>0</v>
      </c>
      <c r="T418" s="913">
        <f t="shared" si="30"/>
        <v>0</v>
      </c>
      <c r="U418" s="914">
        <f t="shared" si="31"/>
        <v>8</v>
      </c>
      <c r="V418" s="612"/>
      <c r="W418" s="612"/>
      <c r="X418" s="612"/>
      <c r="Y418" s="612"/>
      <c r="Z418" s="612"/>
      <c r="AA418" s="612"/>
      <c r="AB418" s="612"/>
      <c r="AC418" s="612"/>
    </row>
    <row r="419" spans="1:30">
      <c r="A419" s="66" t="s">
        <v>1369</v>
      </c>
      <c r="B419" s="60"/>
      <c r="C419" s="54" t="s">
        <v>168</v>
      </c>
      <c r="D419" s="435" t="str">
        <f>IFERROR(VLOOKUP(C419,Mychart!$A$125:$B$811,2,FALSE),"-")</f>
        <v>UTS Carrier</v>
      </c>
      <c r="E419" s="676" t="s">
        <v>232</v>
      </c>
      <c r="F419" s="58">
        <v>4</v>
      </c>
      <c r="G419" s="58"/>
      <c r="H419" s="58"/>
      <c r="I419" s="58"/>
      <c r="J419" s="137"/>
      <c r="K419" s="56" t="s">
        <v>1370</v>
      </c>
      <c r="L419" s="292">
        <v>256</v>
      </c>
      <c r="M419" s="292"/>
      <c r="N419" s="358"/>
      <c r="O419" s="292"/>
      <c r="P419" s="292"/>
      <c r="Q419" s="614"/>
      <c r="R419" s="913">
        <f t="shared" si="28"/>
        <v>0</v>
      </c>
      <c r="S419" s="913">
        <f t="shared" si="29"/>
        <v>0</v>
      </c>
      <c r="T419" s="913">
        <f t="shared" si="30"/>
        <v>0</v>
      </c>
      <c r="U419" s="914">
        <f t="shared" si="31"/>
        <v>4</v>
      </c>
      <c r="V419" s="612"/>
      <c r="W419" s="612"/>
      <c r="X419" s="612"/>
      <c r="Y419" s="612"/>
      <c r="Z419" s="612"/>
      <c r="AA419" s="612"/>
      <c r="AB419" s="612"/>
      <c r="AC419" s="612"/>
    </row>
    <row r="420" spans="1:30">
      <c r="A420" s="66" t="s">
        <v>1369</v>
      </c>
      <c r="B420" s="60"/>
      <c r="C420" s="54" t="s">
        <v>168</v>
      </c>
      <c r="D420" s="435" t="str">
        <f>IFERROR(VLOOKUP(C420,Mychart!$A$125:$B$811,2,FALSE),"-")</f>
        <v>UTS Carrier</v>
      </c>
      <c r="E420" s="676" t="s">
        <v>1368</v>
      </c>
      <c r="F420" s="58">
        <v>4</v>
      </c>
      <c r="G420" s="58"/>
      <c r="H420" s="58"/>
      <c r="I420" s="58"/>
      <c r="J420" s="137"/>
      <c r="K420" s="56" t="s">
        <v>1370</v>
      </c>
      <c r="L420" s="292">
        <v>256</v>
      </c>
      <c r="M420" s="292"/>
      <c r="N420" s="358"/>
      <c r="O420" s="292"/>
      <c r="P420" s="292"/>
      <c r="Q420" s="614"/>
      <c r="R420" s="913">
        <f t="shared" si="28"/>
        <v>0</v>
      </c>
      <c r="S420" s="913">
        <f t="shared" si="29"/>
        <v>0</v>
      </c>
      <c r="T420" s="913">
        <f t="shared" si="30"/>
        <v>0</v>
      </c>
      <c r="U420" s="914">
        <f t="shared" si="31"/>
        <v>4</v>
      </c>
      <c r="V420" s="612"/>
      <c r="W420" s="612"/>
      <c r="X420" s="612"/>
      <c r="Y420" s="612"/>
      <c r="Z420" s="612"/>
      <c r="AA420" s="612"/>
      <c r="AB420" s="612"/>
      <c r="AC420" s="612"/>
    </row>
    <row r="421" spans="1:30">
      <c r="A421" s="66" t="s">
        <v>1369</v>
      </c>
      <c r="B421" s="60"/>
      <c r="C421" s="54" t="s">
        <v>168</v>
      </c>
      <c r="D421" s="435" t="str">
        <f>IFERROR(VLOOKUP(C421,Mychart!$A$125:$B$811,2,FALSE),"-")</f>
        <v>UTS Carrier</v>
      </c>
      <c r="E421" s="676" t="s">
        <v>1099</v>
      </c>
      <c r="F421" s="58">
        <v>8</v>
      </c>
      <c r="G421" s="58"/>
      <c r="H421" s="58"/>
      <c r="I421" s="58"/>
      <c r="J421" s="137"/>
      <c r="K421" s="56" t="s">
        <v>1370</v>
      </c>
      <c r="L421" s="292">
        <v>256</v>
      </c>
      <c r="M421" s="292"/>
      <c r="N421" s="358"/>
      <c r="O421" s="292"/>
      <c r="P421" s="292"/>
      <c r="Q421" s="614"/>
      <c r="R421" s="913">
        <f t="shared" si="28"/>
        <v>0</v>
      </c>
      <c r="S421" s="913">
        <f t="shared" si="29"/>
        <v>0</v>
      </c>
      <c r="T421" s="913">
        <f t="shared" si="30"/>
        <v>0</v>
      </c>
      <c r="U421" s="914">
        <f t="shared" si="31"/>
        <v>8</v>
      </c>
      <c r="V421" s="612"/>
      <c r="W421" s="612"/>
      <c r="X421" s="612"/>
      <c r="Y421" s="612"/>
      <c r="Z421" s="612"/>
      <c r="AA421" s="612"/>
      <c r="AB421" s="612"/>
      <c r="AC421" s="612"/>
    </row>
    <row r="422" spans="1:30">
      <c r="A422" s="66" t="s">
        <v>1369</v>
      </c>
      <c r="B422" s="60"/>
      <c r="C422" s="54" t="s">
        <v>168</v>
      </c>
      <c r="D422" s="435" t="str">
        <f>IFERROR(VLOOKUP(C422,Mychart!$A$125:$B$811,2,FALSE),"-")</f>
        <v>UTS Carrier</v>
      </c>
      <c r="E422" s="676" t="s">
        <v>1100</v>
      </c>
      <c r="F422" s="58">
        <v>8</v>
      </c>
      <c r="G422" s="58"/>
      <c r="H422" s="58"/>
      <c r="I422" s="58"/>
      <c r="J422" s="137"/>
      <c r="K422" s="56" t="s">
        <v>1370</v>
      </c>
      <c r="L422" s="292">
        <v>256</v>
      </c>
      <c r="M422" s="292"/>
      <c r="N422" s="358"/>
      <c r="O422" s="292"/>
      <c r="P422" s="292"/>
      <c r="Q422" s="614"/>
      <c r="R422" s="913">
        <f t="shared" si="28"/>
        <v>0</v>
      </c>
      <c r="S422" s="913">
        <f t="shared" si="29"/>
        <v>0</v>
      </c>
      <c r="T422" s="913">
        <f t="shared" si="30"/>
        <v>0</v>
      </c>
      <c r="U422" s="914">
        <f t="shared" si="31"/>
        <v>8</v>
      </c>
      <c r="V422" s="612"/>
      <c r="W422" s="612"/>
      <c r="X422" s="612"/>
      <c r="Y422" s="612"/>
      <c r="Z422" s="612"/>
      <c r="AA422" s="612"/>
      <c r="AB422" s="612"/>
      <c r="AC422" s="612"/>
    </row>
    <row r="423" spans="1:30">
      <c r="A423" s="66" t="s">
        <v>1369</v>
      </c>
      <c r="B423" s="60"/>
      <c r="C423" s="54" t="s">
        <v>168</v>
      </c>
      <c r="D423" s="435" t="str">
        <f>IFERROR(VLOOKUP(C423,Mychart!$A$125:$B$811,2,FALSE),"-")</f>
        <v>UTS Carrier</v>
      </c>
      <c r="E423" s="676"/>
      <c r="F423" s="58"/>
      <c r="G423" s="58"/>
      <c r="H423" s="58"/>
      <c r="I423" s="58"/>
      <c r="J423" s="137"/>
      <c r="K423" s="56" t="s">
        <v>1370</v>
      </c>
      <c r="L423" s="292">
        <v>256</v>
      </c>
      <c r="M423" s="292" t="s">
        <v>2902</v>
      </c>
      <c r="N423" s="358">
        <v>63606</v>
      </c>
      <c r="O423" s="292">
        <v>63609.5</v>
      </c>
      <c r="P423" s="292"/>
      <c r="Q423" s="614">
        <v>204750</v>
      </c>
      <c r="R423" s="913">
        <f t="shared" si="28"/>
        <v>3.5</v>
      </c>
      <c r="S423" s="913">
        <f t="shared" si="29"/>
        <v>141144</v>
      </c>
      <c r="T423" s="913">
        <f t="shared" si="30"/>
        <v>141140.5</v>
      </c>
      <c r="U423" s="914">
        <f t="shared" si="31"/>
        <v>0</v>
      </c>
      <c r="V423" s="612"/>
      <c r="W423" s="612"/>
      <c r="X423" s="612"/>
      <c r="Y423" s="612"/>
      <c r="Z423" s="612"/>
      <c r="AA423" s="612"/>
      <c r="AB423" s="612"/>
      <c r="AC423" s="612"/>
      <c r="AD423" s="930">
        <v>45573.465300925927</v>
      </c>
    </row>
    <row r="424" spans="1:30">
      <c r="A424" s="66" t="s">
        <v>1320</v>
      </c>
      <c r="B424" s="60"/>
      <c r="C424" s="54" t="s">
        <v>168</v>
      </c>
      <c r="D424" s="435" t="str">
        <f>IFERROR(VLOOKUP(C424,Mychart!$A$125:$B$811,2,FALSE),"-")</f>
        <v>UTS Carrier</v>
      </c>
      <c r="E424" s="676"/>
      <c r="F424" s="58"/>
      <c r="G424" s="58"/>
      <c r="H424" s="58"/>
      <c r="I424" s="58"/>
      <c r="J424" s="137"/>
      <c r="K424" s="56" t="s">
        <v>283</v>
      </c>
      <c r="L424" s="292">
        <v>276</v>
      </c>
      <c r="M424" s="292">
        <v>8</v>
      </c>
      <c r="N424" s="358"/>
      <c r="O424" s="292"/>
      <c r="P424" s="292"/>
      <c r="Q424" s="614">
        <v>1</v>
      </c>
      <c r="R424" s="913">
        <f t="shared" si="28"/>
        <v>0</v>
      </c>
      <c r="S424" s="913">
        <f t="shared" si="29"/>
        <v>1</v>
      </c>
      <c r="T424" s="913">
        <f t="shared" si="30"/>
        <v>1</v>
      </c>
      <c r="U424" s="914">
        <f t="shared" si="31"/>
        <v>0</v>
      </c>
      <c r="V424" s="612"/>
      <c r="W424" s="612"/>
      <c r="X424" s="612"/>
      <c r="Y424" s="612"/>
      <c r="Z424" s="612"/>
      <c r="AA424" s="612"/>
      <c r="AB424" s="612"/>
      <c r="AC424" s="612"/>
    </row>
    <row r="425" spans="1:30">
      <c r="A425" s="66" t="s">
        <v>1320</v>
      </c>
      <c r="B425" s="60"/>
      <c r="C425" s="54" t="s">
        <v>168</v>
      </c>
      <c r="D425" s="435" t="str">
        <f>IFERROR(VLOOKUP(C425,Mychart!$A$125:$B$811,2,FALSE),"-")</f>
        <v>UTS Carrier</v>
      </c>
      <c r="E425" s="676"/>
      <c r="F425" s="58"/>
      <c r="G425" s="58"/>
      <c r="H425" s="58"/>
      <c r="I425" s="58"/>
      <c r="J425" s="137"/>
      <c r="K425" s="56" t="s">
        <v>268</v>
      </c>
      <c r="L425" s="292">
        <v>277</v>
      </c>
      <c r="M425" s="292">
        <v>12</v>
      </c>
      <c r="N425" s="358"/>
      <c r="O425" s="292"/>
      <c r="P425" s="292"/>
      <c r="Q425" s="614">
        <v>1</v>
      </c>
      <c r="R425" s="913">
        <f t="shared" si="28"/>
        <v>0</v>
      </c>
      <c r="S425" s="913">
        <f t="shared" si="29"/>
        <v>1</v>
      </c>
      <c r="T425" s="913">
        <f t="shared" si="30"/>
        <v>1</v>
      </c>
      <c r="U425" s="914">
        <f t="shared" si="31"/>
        <v>0</v>
      </c>
      <c r="V425" s="612"/>
      <c r="W425" s="612"/>
      <c r="X425" s="612"/>
      <c r="Y425" s="612"/>
      <c r="Z425" s="612"/>
      <c r="AA425" s="612"/>
      <c r="AB425" s="612"/>
      <c r="AC425" s="612"/>
    </row>
    <row r="426" spans="1:30">
      <c r="A426" s="66" t="s">
        <v>1320</v>
      </c>
      <c r="B426" s="60"/>
      <c r="C426" s="54" t="s">
        <v>168</v>
      </c>
      <c r="D426" s="435" t="str">
        <f>IFERROR(VLOOKUP(C426,Mychart!$A$125:$B$811,2,FALSE),"-")</f>
        <v>UTS Carrier</v>
      </c>
      <c r="E426" s="676"/>
      <c r="F426" s="58"/>
      <c r="G426" s="58"/>
      <c r="H426" s="58"/>
      <c r="I426" s="58"/>
      <c r="J426" s="137"/>
      <c r="K426" s="56" t="s">
        <v>321</v>
      </c>
      <c r="L426" s="292">
        <v>278</v>
      </c>
      <c r="M426" s="292">
        <v>22</v>
      </c>
      <c r="N426" s="358"/>
      <c r="O426" s="292"/>
      <c r="P426" s="292"/>
      <c r="Q426" s="614">
        <v>1</v>
      </c>
      <c r="R426" s="913">
        <f t="shared" si="28"/>
        <v>0</v>
      </c>
      <c r="S426" s="913">
        <f t="shared" si="29"/>
        <v>1</v>
      </c>
      <c r="T426" s="913">
        <f t="shared" si="30"/>
        <v>1</v>
      </c>
      <c r="U426" s="914">
        <f t="shared" si="31"/>
        <v>0</v>
      </c>
      <c r="V426" s="612"/>
      <c r="W426" s="612"/>
      <c r="X426" s="612"/>
      <c r="Y426" s="612"/>
      <c r="Z426" s="612"/>
      <c r="AA426" s="612"/>
      <c r="AB426" s="612"/>
      <c r="AC426" s="612"/>
    </row>
    <row r="427" spans="1:30">
      <c r="A427" s="66" t="s">
        <v>1320</v>
      </c>
      <c r="B427" s="60"/>
      <c r="C427" s="54" t="s">
        <v>168</v>
      </c>
      <c r="D427" s="435" t="str">
        <f>IFERROR(VLOOKUP(C427,Mychart!$A$125:$B$811,2,FALSE),"-")</f>
        <v>UTS Carrier</v>
      </c>
      <c r="E427" s="676"/>
      <c r="F427" s="58"/>
      <c r="G427" s="58"/>
      <c r="H427" s="58"/>
      <c r="I427" s="58"/>
      <c r="J427" s="137"/>
      <c r="K427" s="56" t="s">
        <v>869</v>
      </c>
      <c r="L427" s="292">
        <v>280</v>
      </c>
      <c r="M427" s="292">
        <v>16</v>
      </c>
      <c r="N427" s="358"/>
      <c r="O427" s="292"/>
      <c r="P427" s="292"/>
      <c r="Q427" s="614">
        <v>1</v>
      </c>
      <c r="R427" s="913">
        <f t="shared" si="28"/>
        <v>0</v>
      </c>
      <c r="S427" s="913">
        <f t="shared" si="29"/>
        <v>1</v>
      </c>
      <c r="T427" s="913">
        <f t="shared" si="30"/>
        <v>1</v>
      </c>
      <c r="U427" s="914">
        <f t="shared" si="31"/>
        <v>0</v>
      </c>
      <c r="V427" s="612"/>
      <c r="W427" s="612"/>
      <c r="X427" s="612"/>
      <c r="Y427" s="612"/>
      <c r="Z427" s="612"/>
      <c r="AA427" s="612"/>
      <c r="AB427" s="612"/>
      <c r="AC427" s="612"/>
    </row>
    <row r="428" spans="1:30">
      <c r="A428" s="66" t="s">
        <v>1320</v>
      </c>
      <c r="B428" s="60"/>
      <c r="C428" s="54" t="s">
        <v>168</v>
      </c>
      <c r="D428" s="435" t="str">
        <f>IFERROR(VLOOKUP(C428,Mychart!$A$125:$B$811,2,FALSE),"-")</f>
        <v>UTS Carrier</v>
      </c>
      <c r="E428" s="676"/>
      <c r="F428" s="58"/>
      <c r="G428" s="58"/>
      <c r="H428" s="58"/>
      <c r="I428" s="58"/>
      <c r="J428" s="137"/>
      <c r="K428" s="56" t="s">
        <v>866</v>
      </c>
      <c r="L428" s="292">
        <v>281</v>
      </c>
      <c r="M428" s="292">
        <v>15</v>
      </c>
      <c r="N428" s="358"/>
      <c r="O428" s="292"/>
      <c r="P428" s="292"/>
      <c r="Q428" s="614">
        <v>1</v>
      </c>
      <c r="R428" s="913">
        <f t="shared" si="28"/>
        <v>0</v>
      </c>
      <c r="S428" s="913">
        <f t="shared" si="29"/>
        <v>1</v>
      </c>
      <c r="T428" s="913">
        <f t="shared" si="30"/>
        <v>1</v>
      </c>
      <c r="U428" s="914">
        <f t="shared" si="31"/>
        <v>0</v>
      </c>
      <c r="V428" s="612"/>
      <c r="W428" s="612"/>
      <c r="X428" s="612"/>
      <c r="Y428" s="612"/>
      <c r="Z428" s="612"/>
      <c r="AA428" s="612"/>
      <c r="AB428" s="612"/>
      <c r="AC428" s="612"/>
    </row>
    <row r="429" spans="1:30">
      <c r="A429" s="66" t="s">
        <v>1320</v>
      </c>
      <c r="B429" s="60"/>
      <c r="C429" s="54" t="s">
        <v>168</v>
      </c>
      <c r="D429" s="435" t="str">
        <f>IFERROR(VLOOKUP(C429,Mychart!$A$125:$B$811,2,FALSE),"-")</f>
        <v>UTS Carrier</v>
      </c>
      <c r="E429" s="676"/>
      <c r="F429" s="58"/>
      <c r="G429" s="58"/>
      <c r="H429" s="58"/>
      <c r="I429" s="58"/>
      <c r="J429" s="137"/>
      <c r="K429" s="56" t="s">
        <v>1371</v>
      </c>
      <c r="L429" s="292">
        <v>282</v>
      </c>
      <c r="M429" s="292">
        <v>18</v>
      </c>
      <c r="N429" s="358"/>
      <c r="O429" s="292"/>
      <c r="P429" s="292"/>
      <c r="Q429" s="614">
        <v>1</v>
      </c>
      <c r="R429" s="913">
        <f t="shared" si="28"/>
        <v>0</v>
      </c>
      <c r="S429" s="913">
        <f t="shared" si="29"/>
        <v>1</v>
      </c>
      <c r="T429" s="913">
        <f t="shared" si="30"/>
        <v>1</v>
      </c>
      <c r="U429" s="914">
        <f t="shared" si="31"/>
        <v>0</v>
      </c>
      <c r="V429" s="612"/>
      <c r="W429" s="612"/>
      <c r="X429" s="612"/>
      <c r="Y429" s="612"/>
      <c r="Z429" s="612"/>
      <c r="AA429" s="612"/>
      <c r="AB429" s="612"/>
      <c r="AC429" s="612"/>
    </row>
    <row r="430" spans="1:30">
      <c r="A430" s="66" t="s">
        <v>1320</v>
      </c>
      <c r="B430" s="60"/>
      <c r="C430" s="54" t="s">
        <v>168</v>
      </c>
      <c r="D430" s="435" t="str">
        <f>IFERROR(VLOOKUP(C430,Mychart!$A$125:$B$811,2,FALSE),"-")</f>
        <v>UTS Carrier</v>
      </c>
      <c r="E430" s="676"/>
      <c r="F430" s="58"/>
      <c r="G430" s="58"/>
      <c r="H430" s="58"/>
      <c r="I430" s="58"/>
      <c r="J430" s="137"/>
      <c r="K430" s="56" t="s">
        <v>294</v>
      </c>
      <c r="L430" s="292">
        <v>275</v>
      </c>
      <c r="M430" s="292">
        <v>11</v>
      </c>
      <c r="N430" s="358"/>
      <c r="O430" s="292"/>
      <c r="P430" s="292"/>
      <c r="Q430" s="614">
        <v>1</v>
      </c>
      <c r="R430" s="913">
        <f t="shared" si="28"/>
        <v>0</v>
      </c>
      <c r="S430" s="913">
        <f t="shared" si="29"/>
        <v>1</v>
      </c>
      <c r="T430" s="913">
        <f t="shared" si="30"/>
        <v>1</v>
      </c>
      <c r="U430" s="914">
        <f t="shared" si="31"/>
        <v>0</v>
      </c>
      <c r="V430" s="612"/>
      <c r="W430" s="612"/>
      <c r="X430" s="612"/>
      <c r="Y430" s="612"/>
      <c r="Z430" s="612"/>
      <c r="AA430" s="612"/>
      <c r="AB430" s="612"/>
      <c r="AC430" s="612"/>
    </row>
    <row r="431" spans="1:30">
      <c r="A431" s="66" t="s">
        <v>1320</v>
      </c>
      <c r="B431" s="60"/>
      <c r="C431" s="54" t="s">
        <v>168</v>
      </c>
      <c r="D431" s="435" t="str">
        <f>IFERROR(VLOOKUP(C431,Mychart!$A$125:$B$811,2,FALSE),"-")</f>
        <v>UTS Carrier</v>
      </c>
      <c r="E431" s="676"/>
      <c r="F431" s="58"/>
      <c r="G431" s="58"/>
      <c r="H431" s="58"/>
      <c r="I431" s="58"/>
      <c r="J431" s="137"/>
      <c r="K431" s="56" t="s">
        <v>1372</v>
      </c>
      <c r="L431" s="292">
        <v>265</v>
      </c>
      <c r="M431" s="292" t="s">
        <v>1374</v>
      </c>
      <c r="N431" s="358"/>
      <c r="O431" s="292"/>
      <c r="P431" s="292"/>
      <c r="Q431" s="614">
        <v>124680</v>
      </c>
      <c r="R431" s="913">
        <f t="shared" si="28"/>
        <v>0</v>
      </c>
      <c r="S431" s="913">
        <f t="shared" si="29"/>
        <v>124680</v>
      </c>
      <c r="T431" s="913">
        <f t="shared" si="30"/>
        <v>124680</v>
      </c>
      <c r="U431" s="914">
        <f t="shared" si="31"/>
        <v>0</v>
      </c>
      <c r="V431" s="612"/>
      <c r="W431" s="612"/>
      <c r="X431" s="612"/>
      <c r="Y431" s="612"/>
      <c r="Z431" s="612"/>
      <c r="AA431" s="612"/>
      <c r="AB431" s="612"/>
      <c r="AC431" s="612"/>
    </row>
    <row r="432" spans="1:30">
      <c r="A432" s="66" t="s">
        <v>1320</v>
      </c>
      <c r="B432" s="60"/>
      <c r="C432" s="54" t="s">
        <v>168</v>
      </c>
      <c r="D432" s="435" t="str">
        <f>IFERROR(VLOOKUP(C432,Mychart!$A$125:$B$811,2,FALSE),"-")</f>
        <v>UTS Carrier</v>
      </c>
      <c r="E432" s="676"/>
      <c r="F432" s="58"/>
      <c r="G432" s="58"/>
      <c r="H432" s="58"/>
      <c r="I432" s="58"/>
      <c r="J432" s="137"/>
      <c r="K432" s="56" t="s">
        <v>303</v>
      </c>
      <c r="L432" s="292">
        <v>264</v>
      </c>
      <c r="M432" s="292" t="s">
        <v>1375</v>
      </c>
      <c r="N432" s="358"/>
      <c r="O432" s="292"/>
      <c r="P432" s="292"/>
      <c r="Q432" s="614" t="s">
        <v>1376</v>
      </c>
      <c r="R432" s="913">
        <f t="shared" si="28"/>
        <v>0</v>
      </c>
      <c r="S432" s="913" t="e">
        <f t="shared" si="29"/>
        <v>#VALUE!</v>
      </c>
      <c r="T432" s="913" t="e">
        <f t="shared" si="30"/>
        <v>#VALUE!</v>
      </c>
      <c r="U432" s="914">
        <f t="shared" si="31"/>
        <v>0</v>
      </c>
      <c r="V432" s="612"/>
      <c r="W432" s="612"/>
      <c r="X432" s="612"/>
      <c r="Y432" s="612"/>
      <c r="Z432" s="612"/>
      <c r="AA432" s="612"/>
      <c r="AB432" s="612"/>
      <c r="AC432" s="612"/>
    </row>
    <row r="433" spans="1:29">
      <c r="A433" s="66" t="s">
        <v>1320</v>
      </c>
      <c r="B433" s="60"/>
      <c r="C433" s="54" t="s">
        <v>168</v>
      </c>
      <c r="D433" s="435" t="str">
        <f>IFERROR(VLOOKUP(C433,Mychart!$A$125:$B$811,2,FALSE),"-")</f>
        <v>UTS Carrier</v>
      </c>
      <c r="E433" s="676"/>
      <c r="F433" s="58"/>
      <c r="G433" s="58"/>
      <c r="H433" s="58"/>
      <c r="I433" s="58"/>
      <c r="J433" s="137"/>
      <c r="K433" s="56" t="s">
        <v>1339</v>
      </c>
      <c r="L433" s="292">
        <v>260</v>
      </c>
      <c r="M433" s="292" t="s">
        <v>1374</v>
      </c>
      <c r="N433" s="358"/>
      <c r="O433" s="292"/>
      <c r="P433" s="292"/>
      <c r="Q433" s="614">
        <v>140090</v>
      </c>
      <c r="R433" s="913">
        <f t="shared" si="28"/>
        <v>0</v>
      </c>
      <c r="S433" s="913">
        <f t="shared" si="29"/>
        <v>140090</v>
      </c>
      <c r="T433" s="913">
        <f t="shared" si="30"/>
        <v>140090</v>
      </c>
      <c r="U433" s="914">
        <f t="shared" si="31"/>
        <v>0</v>
      </c>
      <c r="V433" s="612"/>
      <c r="W433" s="612"/>
      <c r="X433" s="612"/>
      <c r="Y433" s="612"/>
      <c r="Z433" s="612"/>
      <c r="AA433" s="612"/>
      <c r="AB433" s="612"/>
      <c r="AC433" s="612"/>
    </row>
    <row r="434" spans="1:29">
      <c r="A434" s="66" t="s">
        <v>1320</v>
      </c>
      <c r="B434" s="60"/>
      <c r="C434" s="54" t="s">
        <v>168</v>
      </c>
      <c r="D434" s="435" t="str">
        <f>IFERROR(VLOOKUP(C434,Mychart!$A$125:$B$811,2,FALSE),"-")</f>
        <v>UTS Carrier</v>
      </c>
      <c r="E434" s="676"/>
      <c r="F434" s="58"/>
      <c r="G434" s="58"/>
      <c r="H434" s="58"/>
      <c r="I434" s="58"/>
      <c r="J434" s="137"/>
      <c r="K434" s="56" t="s">
        <v>276</v>
      </c>
      <c r="L434" s="292">
        <v>261</v>
      </c>
      <c r="M434" s="292" t="s">
        <v>1374</v>
      </c>
      <c r="N434" s="358"/>
      <c r="O434" s="292"/>
      <c r="P434" s="292"/>
      <c r="Q434" s="614" t="s">
        <v>1377</v>
      </c>
      <c r="R434" s="913">
        <f t="shared" si="28"/>
        <v>0</v>
      </c>
      <c r="S434" s="913" t="e">
        <f t="shared" si="29"/>
        <v>#VALUE!</v>
      </c>
      <c r="T434" s="913" t="e">
        <f t="shared" si="30"/>
        <v>#VALUE!</v>
      </c>
      <c r="U434" s="914">
        <f t="shared" si="31"/>
        <v>0</v>
      </c>
      <c r="V434" s="612"/>
      <c r="W434" s="612"/>
      <c r="X434" s="612"/>
      <c r="Y434" s="612"/>
      <c r="Z434" s="612"/>
      <c r="AA434" s="612"/>
      <c r="AB434" s="612"/>
      <c r="AC434" s="612"/>
    </row>
    <row r="435" spans="1:29">
      <c r="A435" s="66" t="s">
        <v>1320</v>
      </c>
      <c r="B435" s="60"/>
      <c r="C435" s="54" t="s">
        <v>168</v>
      </c>
      <c r="D435" s="435" t="str">
        <f>IFERROR(VLOOKUP(C435,Mychart!$A$125:$B$811,2,FALSE),"-")</f>
        <v>UTS Carrier</v>
      </c>
      <c r="E435" s="676"/>
      <c r="F435" s="58"/>
      <c r="G435" s="58"/>
      <c r="H435" s="58"/>
      <c r="I435" s="58"/>
      <c r="J435" s="137"/>
      <c r="K435" s="56" t="s">
        <v>1373</v>
      </c>
      <c r="L435" s="292">
        <v>259</v>
      </c>
      <c r="M435" s="292" t="s">
        <v>1374</v>
      </c>
      <c r="N435" s="358"/>
      <c r="O435" s="292"/>
      <c r="P435" s="292"/>
      <c r="Q435" s="614" t="s">
        <v>1378</v>
      </c>
      <c r="R435" s="913">
        <f t="shared" si="28"/>
        <v>0</v>
      </c>
      <c r="S435" s="913" t="e">
        <f t="shared" si="29"/>
        <v>#VALUE!</v>
      </c>
      <c r="T435" s="913" t="e">
        <f t="shared" si="30"/>
        <v>#VALUE!</v>
      </c>
      <c r="U435" s="914">
        <f t="shared" si="31"/>
        <v>0</v>
      </c>
      <c r="V435" s="612"/>
      <c r="W435" s="612"/>
      <c r="X435" s="612"/>
      <c r="Y435" s="612"/>
      <c r="Z435" s="612"/>
      <c r="AA435" s="612"/>
      <c r="AB435" s="612"/>
      <c r="AC435" s="612"/>
    </row>
    <row r="436" spans="1:29">
      <c r="A436" s="66" t="s">
        <v>989</v>
      </c>
      <c r="B436" s="60">
        <v>45491</v>
      </c>
      <c r="C436" s="54" t="s">
        <v>171</v>
      </c>
      <c r="D436" s="435" t="str">
        <f>IFERROR(VLOOKUP(C436,Mychart!$A$125:$B$811,2,FALSE),"-")</f>
        <v>MACS -Al Muthathawerah</v>
      </c>
      <c r="E436" s="676" t="s">
        <v>985</v>
      </c>
      <c r="F436" s="58">
        <v>2271</v>
      </c>
      <c r="G436" s="58"/>
      <c r="H436" s="58">
        <v>6809.52</v>
      </c>
      <c r="I436" s="58">
        <v>340.47600000000006</v>
      </c>
      <c r="J436" s="137">
        <v>112403100</v>
      </c>
      <c r="K436" s="56" t="s">
        <v>988</v>
      </c>
      <c r="L436" s="292">
        <v>256</v>
      </c>
      <c r="M436" s="292"/>
      <c r="N436" s="358"/>
      <c r="O436" s="292"/>
      <c r="P436" s="292"/>
      <c r="Q436" s="614">
        <v>0</v>
      </c>
      <c r="R436" s="913">
        <f t="shared" si="28"/>
        <v>0</v>
      </c>
      <c r="S436" s="913">
        <f t="shared" si="29"/>
        <v>0</v>
      </c>
      <c r="T436" s="913">
        <f t="shared" si="30"/>
        <v>0</v>
      </c>
      <c r="U436" s="914">
        <f t="shared" si="31"/>
        <v>2271</v>
      </c>
      <c r="V436" s="612"/>
      <c r="W436" s="612"/>
      <c r="X436" s="612"/>
      <c r="Y436" s="612"/>
      <c r="Z436" s="612"/>
      <c r="AA436" s="612"/>
      <c r="AB436" s="612"/>
      <c r="AC436" s="612"/>
    </row>
    <row r="437" spans="1:29">
      <c r="A437" s="66" t="s">
        <v>989</v>
      </c>
      <c r="B437" s="60">
        <v>45491</v>
      </c>
      <c r="C437" s="54" t="s">
        <v>171</v>
      </c>
      <c r="D437" s="435" t="str">
        <f>IFERROR(VLOOKUP(C437,Mychart!$A$125:$B$811,2,FALSE),"-")</f>
        <v>MACS -Al Muthathawerah</v>
      </c>
      <c r="E437" s="676" t="s">
        <v>986</v>
      </c>
      <c r="F437" s="58">
        <v>115</v>
      </c>
      <c r="G437" s="58"/>
      <c r="H437" s="58">
        <v>6809.52</v>
      </c>
      <c r="I437" s="58">
        <v>340.47600000000006</v>
      </c>
      <c r="J437" s="137">
        <v>112403100</v>
      </c>
      <c r="K437" s="56" t="s">
        <v>988</v>
      </c>
      <c r="L437" s="292">
        <v>256</v>
      </c>
      <c r="M437" s="292"/>
      <c r="N437" s="358"/>
      <c r="O437" s="292"/>
      <c r="P437" s="292"/>
      <c r="Q437" s="614">
        <v>0</v>
      </c>
      <c r="R437" s="913">
        <f t="shared" si="28"/>
        <v>0</v>
      </c>
      <c r="S437" s="913">
        <f t="shared" si="29"/>
        <v>0</v>
      </c>
      <c r="T437" s="913">
        <f t="shared" si="30"/>
        <v>0</v>
      </c>
      <c r="U437" s="914">
        <f t="shared" si="31"/>
        <v>115</v>
      </c>
      <c r="V437" s="612"/>
      <c r="W437" s="612"/>
      <c r="X437" s="612"/>
      <c r="Y437" s="612"/>
      <c r="Z437" s="612"/>
      <c r="AA437" s="612"/>
      <c r="AB437" s="612"/>
      <c r="AC437" s="612"/>
    </row>
    <row r="438" spans="1:29">
      <c r="A438" s="66" t="s">
        <v>989</v>
      </c>
      <c r="B438" s="60">
        <v>45491</v>
      </c>
      <c r="C438" s="54" t="s">
        <v>171</v>
      </c>
      <c r="D438" s="435" t="str">
        <f>IFERROR(VLOOKUP(C438,Mychart!$A$125:$B$811,2,FALSE),"-")</f>
        <v>MACS -Al Muthathawerah</v>
      </c>
      <c r="E438" s="676" t="s">
        <v>987</v>
      </c>
      <c r="F438" s="58">
        <v>77</v>
      </c>
      <c r="G438" s="58"/>
      <c r="H438" s="58">
        <v>6809.52</v>
      </c>
      <c r="I438" s="58">
        <v>340.47600000000006</v>
      </c>
      <c r="J438" s="137">
        <v>112403100</v>
      </c>
      <c r="K438" s="56" t="s">
        <v>988</v>
      </c>
      <c r="L438" s="292">
        <v>256</v>
      </c>
      <c r="M438" s="292" t="s">
        <v>1143</v>
      </c>
      <c r="N438" s="358">
        <v>7150</v>
      </c>
      <c r="O438" s="292">
        <v>7150</v>
      </c>
      <c r="P438" s="292"/>
      <c r="Q438" s="614">
        <v>7149.9960000000001</v>
      </c>
      <c r="R438" s="913">
        <f t="shared" si="28"/>
        <v>0</v>
      </c>
      <c r="S438" s="913">
        <f t="shared" si="29"/>
        <v>-3.9999999999054126E-3</v>
      </c>
      <c r="T438" s="913">
        <f t="shared" si="30"/>
        <v>-3.9999999999054126E-3</v>
      </c>
      <c r="U438" s="914">
        <f t="shared" si="31"/>
        <v>77</v>
      </c>
      <c r="V438" s="612"/>
      <c r="W438" s="612"/>
      <c r="X438" s="612"/>
      <c r="Y438" s="612"/>
      <c r="Z438" s="612"/>
      <c r="AA438" s="612"/>
      <c r="AB438" s="612"/>
      <c r="AC438" s="612"/>
    </row>
    <row r="439" spans="1:29">
      <c r="A439" s="66" t="s">
        <v>984</v>
      </c>
      <c r="B439" s="60">
        <v>45491</v>
      </c>
      <c r="C439" s="54" t="s">
        <v>173</v>
      </c>
      <c r="D439" s="435" t="str">
        <f>IFERROR(VLOOKUP(C439,Mychart!$A$125:$B$811,2,FALSE),"-")</f>
        <v>BAB AL TABREED A/C UNITS FIX.CONT</v>
      </c>
      <c r="E439" s="676" t="s">
        <v>979</v>
      </c>
      <c r="F439" s="58">
        <v>1268</v>
      </c>
      <c r="G439" s="58">
        <v>2.8</v>
      </c>
      <c r="H439" s="58">
        <v>4095.3999999999996</v>
      </c>
      <c r="I439" s="58">
        <v>204.76999999999998</v>
      </c>
      <c r="J439" s="137" t="s">
        <v>982</v>
      </c>
      <c r="K439" s="56" t="s">
        <v>983</v>
      </c>
      <c r="L439" s="292">
        <v>279</v>
      </c>
      <c r="M439" s="292"/>
      <c r="N439" s="358"/>
      <c r="O439" s="292"/>
      <c r="P439" s="292"/>
      <c r="Q439" s="614">
        <v>0</v>
      </c>
      <c r="R439" s="913">
        <f t="shared" si="28"/>
        <v>0</v>
      </c>
      <c r="S439" s="913">
        <f t="shared" si="29"/>
        <v>0</v>
      </c>
      <c r="T439" s="913">
        <f t="shared" si="30"/>
        <v>0</v>
      </c>
      <c r="U439" s="914">
        <f t="shared" si="31"/>
        <v>1268</v>
      </c>
      <c r="V439" s="612"/>
      <c r="W439" s="612"/>
      <c r="X439" s="612"/>
      <c r="Y439" s="612"/>
      <c r="Z439" s="612"/>
      <c r="AA439" s="612"/>
      <c r="AB439" s="612"/>
      <c r="AC439" s="612"/>
    </row>
    <row r="440" spans="1:29">
      <c r="A440" s="66" t="s">
        <v>984</v>
      </c>
      <c r="B440" s="60">
        <v>45491</v>
      </c>
      <c r="C440" s="54" t="s">
        <v>173</v>
      </c>
      <c r="D440" s="435" t="str">
        <f>IFERROR(VLOOKUP(C440,Mychart!$A$125:$B$811,2,FALSE),"-")</f>
        <v>BAB AL TABREED A/C UNITS FIX.CONT</v>
      </c>
      <c r="E440" s="676" t="s">
        <v>980</v>
      </c>
      <c r="F440" s="58">
        <v>103</v>
      </c>
      <c r="G440" s="58">
        <v>3</v>
      </c>
      <c r="H440" s="58">
        <v>4095.3999999999996</v>
      </c>
      <c r="I440" s="58">
        <v>204.76999999999998</v>
      </c>
      <c r="J440" s="137" t="s">
        <v>982</v>
      </c>
      <c r="K440" s="56" t="s">
        <v>983</v>
      </c>
      <c r="L440" s="292">
        <v>279</v>
      </c>
      <c r="M440" s="292"/>
      <c r="N440" s="358"/>
      <c r="O440" s="292"/>
      <c r="P440" s="292"/>
      <c r="Q440" s="614">
        <v>0</v>
      </c>
      <c r="R440" s="913">
        <f t="shared" si="28"/>
        <v>0</v>
      </c>
      <c r="S440" s="913">
        <f t="shared" si="29"/>
        <v>0</v>
      </c>
      <c r="T440" s="913">
        <f t="shared" si="30"/>
        <v>0</v>
      </c>
      <c r="U440" s="914">
        <f t="shared" si="31"/>
        <v>103</v>
      </c>
      <c r="V440" s="612"/>
      <c r="W440" s="612"/>
      <c r="X440" s="612"/>
      <c r="Y440" s="612"/>
      <c r="Z440" s="612"/>
      <c r="AA440" s="612"/>
      <c r="AB440" s="612"/>
      <c r="AC440" s="612"/>
    </row>
    <row r="441" spans="1:29">
      <c r="A441" s="48" t="s">
        <v>984</v>
      </c>
      <c r="B441" s="60">
        <v>45491</v>
      </c>
      <c r="C441" s="54" t="s">
        <v>173</v>
      </c>
      <c r="D441" s="435" t="str">
        <f>IFERROR(VLOOKUP(C441,Mychart!$A$125:$B$811,2,FALSE),"-")</f>
        <v>BAB AL TABREED A/C UNITS FIX.CONT</v>
      </c>
      <c r="E441" s="676" t="s">
        <v>981</v>
      </c>
      <c r="F441" s="58">
        <v>118</v>
      </c>
      <c r="G441" s="58">
        <v>2</v>
      </c>
      <c r="H441" s="58">
        <v>4095.3999999999996</v>
      </c>
      <c r="I441" s="58">
        <v>204.76999999999998</v>
      </c>
      <c r="J441" s="137" t="s">
        <v>982</v>
      </c>
      <c r="K441" s="56" t="s">
        <v>983</v>
      </c>
      <c r="L441" s="292">
        <v>279</v>
      </c>
      <c r="M441" s="292" t="s">
        <v>1122</v>
      </c>
      <c r="N441" s="358">
        <v>316</v>
      </c>
      <c r="O441" s="917">
        <v>326</v>
      </c>
      <c r="P441" s="292"/>
      <c r="Q441" s="916">
        <v>4300.17</v>
      </c>
      <c r="R441" s="913">
        <f t="shared" si="28"/>
        <v>10</v>
      </c>
      <c r="S441" s="913">
        <f t="shared" si="29"/>
        <v>3984.17</v>
      </c>
      <c r="T441" s="913">
        <f t="shared" si="30"/>
        <v>3974.17</v>
      </c>
      <c r="U441" s="914">
        <f t="shared" si="31"/>
        <v>118</v>
      </c>
      <c r="V441" s="612"/>
      <c r="W441" s="612"/>
      <c r="X441" s="612"/>
      <c r="Y441" s="612"/>
      <c r="Z441" s="612"/>
      <c r="AA441" s="612"/>
      <c r="AB441" s="612"/>
      <c r="AC441" s="612"/>
    </row>
    <row r="442" spans="1:29">
      <c r="A442" s="48" t="s">
        <v>1126</v>
      </c>
      <c r="B442" s="60">
        <v>45497</v>
      </c>
      <c r="C442" s="54" t="s">
        <v>172</v>
      </c>
      <c r="D442" s="435" t="str">
        <f>IFERROR(VLOOKUP(C442,Mychart!$A$125:$B$811,2,FALSE),"-")</f>
        <v>BEST CHOICE INDUSTRIES LLC</v>
      </c>
      <c r="E442" s="676" t="s">
        <v>1124</v>
      </c>
      <c r="F442" s="58">
        <v>1</v>
      </c>
      <c r="G442" s="58">
        <v>300</v>
      </c>
      <c r="H442" s="58">
        <v>300</v>
      </c>
      <c r="I442" s="58">
        <v>15</v>
      </c>
      <c r="J442" s="137" t="s">
        <v>1125</v>
      </c>
      <c r="K442" s="56" t="s">
        <v>1127</v>
      </c>
      <c r="L442" s="292">
        <v>202</v>
      </c>
      <c r="M442" s="292" t="s">
        <v>1148</v>
      </c>
      <c r="N442" s="358">
        <v>315</v>
      </c>
      <c r="O442" s="292">
        <v>315</v>
      </c>
      <c r="P442" s="292"/>
      <c r="Q442" s="614">
        <v>315</v>
      </c>
      <c r="R442" s="913">
        <f t="shared" si="28"/>
        <v>0</v>
      </c>
      <c r="S442" s="913">
        <f t="shared" si="29"/>
        <v>0</v>
      </c>
      <c r="T442" s="913">
        <f t="shared" si="30"/>
        <v>0</v>
      </c>
      <c r="U442" s="914">
        <f t="shared" si="31"/>
        <v>1</v>
      </c>
      <c r="V442" s="612"/>
      <c r="W442" s="612"/>
      <c r="X442" s="612"/>
      <c r="Y442" s="612"/>
      <c r="Z442" s="612"/>
      <c r="AA442" s="612"/>
      <c r="AB442" s="612"/>
      <c r="AC442" s="612"/>
    </row>
    <row r="443" spans="1:29">
      <c r="A443" s="48" t="s">
        <v>1128</v>
      </c>
      <c r="B443" s="60">
        <v>45497</v>
      </c>
      <c r="C443" s="54" t="s">
        <v>171</v>
      </c>
      <c r="D443" s="435" t="str">
        <f>IFERROR(VLOOKUP(C443,Mychart!$A$125:$B$811,2,FALSE),"-")</f>
        <v>MACS -Al Muthathawerah</v>
      </c>
      <c r="E443" s="676" t="s">
        <v>985</v>
      </c>
      <c r="F443" s="58">
        <v>1549</v>
      </c>
      <c r="G443" s="58"/>
      <c r="H443" s="58">
        <v>4667</v>
      </c>
      <c r="I443" s="58">
        <v>233.35</v>
      </c>
      <c r="J443" s="137"/>
      <c r="K443" s="56" t="s">
        <v>1144</v>
      </c>
      <c r="L443" s="292">
        <v>255</v>
      </c>
      <c r="M443" s="292"/>
      <c r="N443" s="358"/>
      <c r="O443" s="292"/>
      <c r="P443" s="292"/>
      <c r="Q443" s="614">
        <v>0</v>
      </c>
      <c r="R443" s="913">
        <f t="shared" si="28"/>
        <v>0</v>
      </c>
      <c r="S443" s="913">
        <f t="shared" si="29"/>
        <v>0</v>
      </c>
      <c r="T443" s="913">
        <f t="shared" si="30"/>
        <v>0</v>
      </c>
      <c r="U443" s="914">
        <f t="shared" si="31"/>
        <v>1549</v>
      </c>
      <c r="V443" s="612"/>
      <c r="W443" s="612"/>
      <c r="X443" s="612"/>
      <c r="Y443" s="612"/>
      <c r="Z443" s="612"/>
      <c r="AA443" s="612"/>
      <c r="AB443" s="612"/>
      <c r="AC443" s="612"/>
    </row>
    <row r="444" spans="1:29">
      <c r="A444" s="48" t="s">
        <v>1128</v>
      </c>
      <c r="B444" s="60">
        <v>45497</v>
      </c>
      <c r="C444" s="54" t="s">
        <v>171</v>
      </c>
      <c r="D444" s="435" t="str">
        <f>IFERROR(VLOOKUP(C444,Mychart!$A$125:$B$811,2,FALSE),"-")</f>
        <v>MACS -Al Muthathawerah</v>
      </c>
      <c r="E444" s="676" t="s">
        <v>986</v>
      </c>
      <c r="F444" s="58">
        <v>75</v>
      </c>
      <c r="G444" s="58"/>
      <c r="H444" s="58">
        <v>4667</v>
      </c>
      <c r="I444" s="58">
        <v>233.35</v>
      </c>
      <c r="J444" s="137"/>
      <c r="K444" s="56" t="s">
        <v>1144</v>
      </c>
      <c r="L444" s="292">
        <v>255</v>
      </c>
      <c r="M444" s="292"/>
      <c r="N444" s="358"/>
      <c r="O444" s="292"/>
      <c r="P444" s="292"/>
      <c r="Q444" s="614">
        <v>0</v>
      </c>
      <c r="R444" s="913">
        <f t="shared" si="28"/>
        <v>0</v>
      </c>
      <c r="S444" s="913">
        <f t="shared" si="29"/>
        <v>0</v>
      </c>
      <c r="T444" s="913">
        <f t="shared" si="30"/>
        <v>0</v>
      </c>
      <c r="U444" s="914">
        <f t="shared" si="31"/>
        <v>75</v>
      </c>
      <c r="V444" s="612"/>
      <c r="W444" s="612"/>
      <c r="X444" s="612"/>
      <c r="Y444" s="612"/>
      <c r="Z444" s="612"/>
      <c r="AA444" s="612"/>
      <c r="AB444" s="612"/>
      <c r="AC444" s="612"/>
    </row>
    <row r="445" spans="1:29">
      <c r="A445" s="48" t="s">
        <v>1128</v>
      </c>
      <c r="B445" s="60">
        <v>45497</v>
      </c>
      <c r="C445" s="54" t="s">
        <v>171</v>
      </c>
      <c r="D445" s="435" t="str">
        <f>IFERROR(VLOOKUP(C445,Mychart!$A$125:$B$811,2,FALSE),"-")</f>
        <v>MACS -Al Muthathawerah</v>
      </c>
      <c r="E445" s="676" t="s">
        <v>987</v>
      </c>
      <c r="F445" s="58">
        <v>55</v>
      </c>
      <c r="G445" s="58"/>
      <c r="H445" s="58">
        <v>4667</v>
      </c>
      <c r="I445" s="58">
        <v>233.35</v>
      </c>
      <c r="J445" s="137"/>
      <c r="K445" s="56" t="s">
        <v>1144</v>
      </c>
      <c r="L445" s="292">
        <v>255</v>
      </c>
      <c r="M445" s="292" t="s">
        <v>1840</v>
      </c>
      <c r="N445" s="358">
        <v>4900</v>
      </c>
      <c r="O445" s="292">
        <v>4900</v>
      </c>
      <c r="P445" s="292"/>
      <c r="Q445" s="614">
        <v>4900.3500000000004</v>
      </c>
      <c r="R445" s="913">
        <f t="shared" si="28"/>
        <v>0</v>
      </c>
      <c r="S445" s="913">
        <f t="shared" si="29"/>
        <v>0.3500000000003638</v>
      </c>
      <c r="T445" s="913">
        <f t="shared" si="30"/>
        <v>0.3500000000003638</v>
      </c>
      <c r="U445" s="914">
        <f t="shared" si="31"/>
        <v>55</v>
      </c>
      <c r="V445" s="612"/>
      <c r="W445" s="612"/>
      <c r="X445" s="612"/>
      <c r="Y445" s="612"/>
      <c r="Z445" s="612"/>
      <c r="AA445" s="612"/>
      <c r="AB445" s="612"/>
      <c r="AC445" s="612"/>
    </row>
    <row r="446" spans="1:29">
      <c r="A446" s="48" t="s">
        <v>1068</v>
      </c>
      <c r="B446" s="60">
        <v>45498</v>
      </c>
      <c r="C446" s="54" t="s">
        <v>172</v>
      </c>
      <c r="D446" s="435" t="str">
        <f>IFERROR(VLOOKUP(C446,Mychart!$A$125:$B$811,2,FALSE),"-")</f>
        <v>BEST CHOICE INDUSTRIES LLC</v>
      </c>
      <c r="E446" s="676" t="s">
        <v>1069</v>
      </c>
      <c r="F446" s="58">
        <v>2</v>
      </c>
      <c r="G446" s="58">
        <v>119.1</v>
      </c>
      <c r="H446" s="58">
        <v>260</v>
      </c>
      <c r="I446" s="58">
        <v>13</v>
      </c>
      <c r="J446" s="56" t="s">
        <v>1070</v>
      </c>
      <c r="K446" s="56" t="s">
        <v>152</v>
      </c>
      <c r="L446" s="292">
        <v>217</v>
      </c>
      <c r="M446" s="292" t="s">
        <v>1146</v>
      </c>
      <c r="N446" s="358">
        <v>250</v>
      </c>
      <c r="O446" s="917">
        <v>250</v>
      </c>
      <c r="P446" s="292"/>
      <c r="Q446" s="916">
        <v>273</v>
      </c>
      <c r="R446" s="913">
        <f t="shared" si="28"/>
        <v>0</v>
      </c>
      <c r="S446" s="913">
        <f t="shared" si="29"/>
        <v>23</v>
      </c>
      <c r="T446" s="913">
        <f t="shared" si="30"/>
        <v>23</v>
      </c>
      <c r="U446" s="914">
        <f t="shared" si="31"/>
        <v>2</v>
      </c>
      <c r="V446" s="612"/>
      <c r="W446" s="612"/>
      <c r="X446" s="612"/>
      <c r="Y446" s="612"/>
      <c r="Z446" s="612"/>
      <c r="AA446" s="612"/>
      <c r="AB446" s="612"/>
      <c r="AC446" s="612"/>
    </row>
    <row r="447" spans="1:29">
      <c r="A447" s="48" t="s">
        <v>1078</v>
      </c>
      <c r="B447" s="60">
        <v>45498</v>
      </c>
      <c r="C447" s="54" t="s">
        <v>172</v>
      </c>
      <c r="D447" s="435" t="str">
        <f>IFERROR(VLOOKUP(C447,Mychart!$A$125:$B$811,2,FALSE),"-")</f>
        <v>BEST CHOICE INDUSTRIES LLC</v>
      </c>
      <c r="E447" s="676" t="s">
        <v>1079</v>
      </c>
      <c r="F447" s="58">
        <v>4</v>
      </c>
      <c r="G447" s="58">
        <v>59.55</v>
      </c>
      <c r="H447" s="58">
        <v>238.2</v>
      </c>
      <c r="I447" s="58">
        <v>11.91</v>
      </c>
      <c r="J447" s="56" t="s">
        <v>1080</v>
      </c>
      <c r="K447" s="56" t="s">
        <v>156</v>
      </c>
      <c r="L447" s="292">
        <v>233</v>
      </c>
      <c r="M447" s="292" t="s">
        <v>1145</v>
      </c>
      <c r="N447" s="358">
        <v>250</v>
      </c>
      <c r="O447" s="292">
        <v>250</v>
      </c>
      <c r="P447" s="292"/>
      <c r="Q447" s="614">
        <v>250.10999999999999</v>
      </c>
      <c r="R447" s="913">
        <f t="shared" si="28"/>
        <v>0</v>
      </c>
      <c r="S447" s="913">
        <f t="shared" si="29"/>
        <v>0.10999999999998522</v>
      </c>
      <c r="T447" s="913">
        <f t="shared" si="30"/>
        <v>0.10999999999998522</v>
      </c>
      <c r="U447" s="914">
        <f t="shared" si="31"/>
        <v>4</v>
      </c>
      <c r="V447" s="612"/>
      <c r="W447" s="612"/>
      <c r="X447" s="612"/>
      <c r="Y447" s="612"/>
      <c r="Z447" s="612"/>
      <c r="AA447" s="612"/>
      <c r="AB447" s="612"/>
      <c r="AC447" s="612"/>
    </row>
    <row r="448" spans="1:29">
      <c r="A448" s="48" t="s">
        <v>1091</v>
      </c>
      <c r="B448" s="60">
        <v>45502</v>
      </c>
      <c r="C448" s="54" t="s">
        <v>173</v>
      </c>
      <c r="D448" s="435" t="str">
        <f>IFERROR(VLOOKUP(C448,Mychart!$A$125:$B$811,2,FALSE),"-")</f>
        <v>BAB AL TABREED A/C UNITS FIX.CONT</v>
      </c>
      <c r="E448" s="676" t="s">
        <v>979</v>
      </c>
      <c r="F448" s="58">
        <v>664</v>
      </c>
      <c r="G448" s="58">
        <v>2.8</v>
      </c>
      <c r="H448" s="58">
        <v>2133.0050000000001</v>
      </c>
      <c r="I448" s="58">
        <v>106.65025000000001</v>
      </c>
      <c r="J448" s="56" t="s">
        <v>1093</v>
      </c>
      <c r="K448" s="56" t="s">
        <v>154</v>
      </c>
      <c r="L448" s="292">
        <v>220</v>
      </c>
      <c r="M448" s="292"/>
      <c r="N448" s="358"/>
      <c r="O448" s="292"/>
      <c r="P448" s="292"/>
      <c r="Q448" s="614">
        <v>0</v>
      </c>
      <c r="R448" s="913">
        <f t="shared" si="28"/>
        <v>0</v>
      </c>
      <c r="S448" s="913">
        <f t="shared" si="29"/>
        <v>0</v>
      </c>
      <c r="T448" s="913">
        <f t="shared" si="30"/>
        <v>0</v>
      </c>
      <c r="U448" s="914">
        <f t="shared" si="31"/>
        <v>664</v>
      </c>
      <c r="V448" s="612"/>
      <c r="W448" s="612"/>
      <c r="X448" s="612"/>
      <c r="Y448" s="612"/>
      <c r="Z448" s="612"/>
      <c r="AA448" s="612"/>
      <c r="AB448" s="612"/>
      <c r="AC448" s="612"/>
    </row>
    <row r="449" spans="1:29">
      <c r="A449" s="48" t="s">
        <v>1091</v>
      </c>
      <c r="B449" s="60">
        <v>45502</v>
      </c>
      <c r="C449" s="54" t="s">
        <v>173</v>
      </c>
      <c r="D449" s="435" t="str">
        <f>IFERROR(VLOOKUP(C449,Mychart!$A$125:$B$811,2,FALSE),"-")</f>
        <v>BAB AL TABREED A/C UNITS FIX.CONT</v>
      </c>
      <c r="E449" s="676" t="s">
        <v>1092</v>
      </c>
      <c r="F449" s="58">
        <v>46.23</v>
      </c>
      <c r="G449" s="58">
        <v>3.5</v>
      </c>
      <c r="H449" s="58">
        <v>2133.0050000000001</v>
      </c>
      <c r="I449" s="58">
        <v>106.65025000000001</v>
      </c>
      <c r="J449" s="56" t="s">
        <v>1093</v>
      </c>
      <c r="K449" s="56" t="s">
        <v>154</v>
      </c>
      <c r="L449" s="292">
        <v>220</v>
      </c>
      <c r="M449" s="292"/>
      <c r="N449" s="358"/>
      <c r="O449" s="292"/>
      <c r="P449" s="292"/>
      <c r="Q449" s="614">
        <v>0</v>
      </c>
      <c r="R449" s="913">
        <f t="shared" si="28"/>
        <v>0</v>
      </c>
      <c r="S449" s="913">
        <f t="shared" si="29"/>
        <v>0</v>
      </c>
      <c r="T449" s="913">
        <f t="shared" si="30"/>
        <v>0</v>
      </c>
      <c r="U449" s="914">
        <f t="shared" si="31"/>
        <v>46.23</v>
      </c>
      <c r="V449" s="612"/>
      <c r="W449" s="612"/>
      <c r="X449" s="612"/>
      <c r="Y449" s="612"/>
      <c r="Z449" s="612"/>
      <c r="AA449" s="612"/>
      <c r="AB449" s="612"/>
      <c r="AC449" s="612"/>
    </row>
    <row r="450" spans="1:29">
      <c r="A450" s="48" t="s">
        <v>1091</v>
      </c>
      <c r="B450" s="60">
        <v>45502</v>
      </c>
      <c r="C450" s="54" t="s">
        <v>173</v>
      </c>
      <c r="D450" s="435" t="str">
        <f>IFERROR(VLOOKUP(C450,Mychart!$A$125:$B$811,2,FALSE),"-")</f>
        <v>BAB AL TABREED A/C UNITS FIX.CONT</v>
      </c>
      <c r="E450" s="676" t="s">
        <v>980</v>
      </c>
      <c r="F450" s="58">
        <v>26</v>
      </c>
      <c r="G450" s="58">
        <v>3</v>
      </c>
      <c r="H450" s="58">
        <v>2133.0050000000001</v>
      </c>
      <c r="I450" s="58">
        <v>106.65025000000001</v>
      </c>
      <c r="J450" s="56" t="s">
        <v>1093</v>
      </c>
      <c r="K450" s="56" t="s">
        <v>154</v>
      </c>
      <c r="L450" s="292">
        <v>220</v>
      </c>
      <c r="M450" s="292"/>
      <c r="N450" s="358"/>
      <c r="O450" s="292"/>
      <c r="P450" s="292"/>
      <c r="Q450" s="614">
        <v>0</v>
      </c>
      <c r="R450" s="913">
        <f t="shared" si="28"/>
        <v>0</v>
      </c>
      <c r="S450" s="913">
        <f t="shared" si="29"/>
        <v>0</v>
      </c>
      <c r="T450" s="913">
        <f t="shared" si="30"/>
        <v>0</v>
      </c>
      <c r="U450" s="914">
        <f t="shared" si="31"/>
        <v>26</v>
      </c>
      <c r="V450" s="612"/>
      <c r="W450" s="612"/>
      <c r="X450" s="612"/>
      <c r="Y450" s="612"/>
      <c r="Z450" s="612"/>
      <c r="AA450" s="612"/>
      <c r="AB450" s="612"/>
      <c r="AC450" s="612"/>
    </row>
    <row r="451" spans="1:29">
      <c r="A451" s="48" t="s">
        <v>1091</v>
      </c>
      <c r="B451" s="60">
        <v>45502</v>
      </c>
      <c r="C451" s="54" t="s">
        <v>173</v>
      </c>
      <c r="D451" s="435" t="str">
        <f>IFERROR(VLOOKUP(C451,Mychart!$A$125:$B$811,2,FALSE),"-")</f>
        <v>BAB AL TABREED A/C UNITS FIX.CONT</v>
      </c>
      <c r="E451" s="676" t="s">
        <v>981</v>
      </c>
      <c r="F451" s="58">
        <v>17</v>
      </c>
      <c r="G451" s="58">
        <v>2</v>
      </c>
      <c r="H451" s="58">
        <v>2133.0050000000001</v>
      </c>
      <c r="I451" s="58">
        <v>106.65025000000001</v>
      </c>
      <c r="J451" s="56" t="s">
        <v>1093</v>
      </c>
      <c r="K451" s="56" t="s">
        <v>154</v>
      </c>
      <c r="L451" s="292">
        <v>220</v>
      </c>
      <c r="M451" s="292">
        <v>14347</v>
      </c>
      <c r="N451" s="358">
        <v>2239.6999999999998</v>
      </c>
      <c r="O451" s="292">
        <v>2239.6999999999998</v>
      </c>
      <c r="P451" s="292"/>
      <c r="Q451" s="614">
        <v>2239.6552500000003</v>
      </c>
      <c r="R451" s="913">
        <f t="shared" si="28"/>
        <v>0</v>
      </c>
      <c r="S451" s="913">
        <f t="shared" si="29"/>
        <v>-4.4749999999567081E-2</v>
      </c>
      <c r="T451" s="913">
        <f t="shared" si="30"/>
        <v>-4.4749999999567081E-2</v>
      </c>
      <c r="U451" s="914">
        <f t="shared" si="31"/>
        <v>17</v>
      </c>
      <c r="V451" s="612"/>
      <c r="W451" s="612"/>
      <c r="X451" s="612"/>
      <c r="Y451" s="612"/>
      <c r="Z451" s="612"/>
      <c r="AA451" s="612"/>
      <c r="AB451" s="612"/>
      <c r="AC451" s="612"/>
    </row>
    <row r="452" spans="1:29">
      <c r="A452" s="48" t="s">
        <v>1094</v>
      </c>
      <c r="B452" s="60">
        <v>45502</v>
      </c>
      <c r="C452" s="54" t="s">
        <v>173</v>
      </c>
      <c r="D452" s="435" t="str">
        <f>IFERROR(VLOOKUP(C452,Mychart!$A$125:$B$811,2,FALSE),"-")</f>
        <v>BAB AL TABREED A/C UNITS FIX.CONT</v>
      </c>
      <c r="E452" s="676" t="s">
        <v>979</v>
      </c>
      <c r="F452" s="58">
        <v>360.43</v>
      </c>
      <c r="G452" s="58">
        <v>2.8</v>
      </c>
      <c r="H452" s="58">
        <v>1092.9839999999999</v>
      </c>
      <c r="I452" s="58">
        <v>54.6492</v>
      </c>
      <c r="J452" s="56" t="s">
        <v>1095</v>
      </c>
      <c r="K452" s="56" t="s">
        <v>161</v>
      </c>
      <c r="L452" s="292">
        <v>262</v>
      </c>
      <c r="M452" s="292"/>
      <c r="N452" s="358"/>
      <c r="O452" s="292"/>
      <c r="P452" s="292"/>
      <c r="Q452" s="614">
        <v>0</v>
      </c>
      <c r="R452" s="913">
        <f t="shared" si="28"/>
        <v>0</v>
      </c>
      <c r="S452" s="913">
        <f t="shared" si="29"/>
        <v>0</v>
      </c>
      <c r="T452" s="913">
        <f t="shared" si="30"/>
        <v>0</v>
      </c>
      <c r="U452" s="914">
        <f t="shared" si="31"/>
        <v>360.43</v>
      </c>
      <c r="V452" s="612"/>
      <c r="W452" s="612"/>
      <c r="X452" s="612"/>
      <c r="Y452" s="612"/>
      <c r="Z452" s="612"/>
      <c r="AA452" s="612"/>
      <c r="AB452" s="612"/>
      <c r="AC452" s="612"/>
    </row>
    <row r="453" spans="1:29">
      <c r="A453" s="48" t="s">
        <v>1094</v>
      </c>
      <c r="B453" s="60">
        <v>45502</v>
      </c>
      <c r="C453" s="54" t="s">
        <v>173</v>
      </c>
      <c r="D453" s="435" t="str">
        <f>IFERROR(VLOOKUP(C453,Mychart!$A$125:$B$811,2,FALSE),"-")</f>
        <v>BAB AL TABREED A/C UNITS FIX.CONT</v>
      </c>
      <c r="E453" s="676" t="s">
        <v>1092</v>
      </c>
      <c r="F453" s="58">
        <v>21.08</v>
      </c>
      <c r="G453" s="58">
        <v>3.5</v>
      </c>
      <c r="H453" s="58">
        <v>1092.9839999999999</v>
      </c>
      <c r="I453" s="58">
        <v>54.6492</v>
      </c>
      <c r="J453" s="56" t="s">
        <v>1095</v>
      </c>
      <c r="K453" s="56" t="s">
        <v>161</v>
      </c>
      <c r="L453" s="292">
        <v>262</v>
      </c>
      <c r="M453" s="292"/>
      <c r="N453" s="358"/>
      <c r="O453" s="292"/>
      <c r="P453" s="292"/>
      <c r="Q453" s="614">
        <v>0</v>
      </c>
      <c r="R453" s="913">
        <f t="shared" si="28"/>
        <v>0</v>
      </c>
      <c r="S453" s="913">
        <f t="shared" si="29"/>
        <v>0</v>
      </c>
      <c r="T453" s="913">
        <f t="shared" si="30"/>
        <v>0</v>
      </c>
      <c r="U453" s="914">
        <f t="shared" si="31"/>
        <v>21.08</v>
      </c>
      <c r="V453" s="612"/>
      <c r="W453" s="612"/>
      <c r="X453" s="612"/>
      <c r="Y453" s="612"/>
      <c r="Z453" s="612"/>
      <c r="AA453" s="612"/>
      <c r="AB453" s="612"/>
      <c r="AC453" s="612"/>
    </row>
    <row r="454" spans="1:29">
      <c r="A454" s="48" t="s">
        <v>1094</v>
      </c>
      <c r="B454" s="60">
        <v>45502</v>
      </c>
      <c r="C454" s="54" t="s">
        <v>173</v>
      </c>
      <c r="D454" s="435" t="str">
        <f>IFERROR(VLOOKUP(C454,Mychart!$A$125:$B$811,2,FALSE),"-")</f>
        <v>BAB AL TABREED A/C UNITS FIX.CONT</v>
      </c>
      <c r="E454" s="676" t="s">
        <v>980</v>
      </c>
      <c r="F454" s="58">
        <v>2</v>
      </c>
      <c r="G454" s="58">
        <v>3</v>
      </c>
      <c r="H454" s="58">
        <v>1092.9839999999999</v>
      </c>
      <c r="I454" s="58">
        <v>54.6492</v>
      </c>
      <c r="J454" s="56" t="s">
        <v>1095</v>
      </c>
      <c r="K454" s="56" t="s">
        <v>161</v>
      </c>
      <c r="L454" s="292">
        <v>262</v>
      </c>
      <c r="M454" s="292"/>
      <c r="N454" s="358"/>
      <c r="O454" s="292"/>
      <c r="P454" s="292"/>
      <c r="Q454" s="614">
        <v>0</v>
      </c>
      <c r="R454" s="913">
        <f t="shared" si="28"/>
        <v>0</v>
      </c>
      <c r="S454" s="913">
        <f t="shared" si="29"/>
        <v>0</v>
      </c>
      <c r="T454" s="913">
        <f t="shared" si="30"/>
        <v>0</v>
      </c>
      <c r="U454" s="914">
        <f t="shared" si="31"/>
        <v>2</v>
      </c>
      <c r="V454" s="612"/>
      <c r="W454" s="612"/>
      <c r="X454" s="612"/>
      <c r="Y454" s="612"/>
      <c r="Z454" s="612"/>
      <c r="AA454" s="612"/>
      <c r="AB454" s="612"/>
      <c r="AC454" s="612"/>
    </row>
    <row r="455" spans="1:29">
      <c r="A455" s="48" t="s">
        <v>1094</v>
      </c>
      <c r="B455" s="60">
        <v>45502</v>
      </c>
      <c r="C455" s="54" t="s">
        <v>173</v>
      </c>
      <c r="D455" s="435" t="str">
        <f>IFERROR(VLOOKUP(C455,Mychart!$A$125:$B$811,2,FALSE),"-")</f>
        <v>BAB AL TABREED A/C UNITS FIX.CONT</v>
      </c>
      <c r="E455" s="676" t="s">
        <v>981</v>
      </c>
      <c r="F455" s="58">
        <v>2</v>
      </c>
      <c r="G455" s="58">
        <v>2</v>
      </c>
      <c r="H455" s="58">
        <v>1092.9839999999999</v>
      </c>
      <c r="I455" s="58">
        <v>54.6492</v>
      </c>
      <c r="J455" s="56" t="s">
        <v>1095</v>
      </c>
      <c r="K455" s="56" t="s">
        <v>161</v>
      </c>
      <c r="L455" s="292">
        <v>262</v>
      </c>
      <c r="M455" s="292">
        <v>5345345</v>
      </c>
      <c r="N455" s="358">
        <v>315</v>
      </c>
      <c r="O455" s="917">
        <v>315</v>
      </c>
      <c r="P455" s="292"/>
      <c r="Q455" s="916">
        <v>1147.6332</v>
      </c>
      <c r="R455" s="913">
        <f t="shared" si="28"/>
        <v>0</v>
      </c>
      <c r="S455" s="913">
        <f t="shared" si="29"/>
        <v>832.63319999999999</v>
      </c>
      <c r="T455" s="913">
        <f t="shared" si="30"/>
        <v>832.63319999999999</v>
      </c>
      <c r="U455" s="914">
        <f t="shared" si="31"/>
        <v>2</v>
      </c>
      <c r="V455" s="612"/>
      <c r="W455" s="612"/>
      <c r="X455" s="612"/>
      <c r="Y455" s="612"/>
      <c r="Z455" s="612"/>
      <c r="AA455" s="612"/>
      <c r="AB455" s="612"/>
      <c r="AC455" s="612"/>
    </row>
    <row r="456" spans="1:29">
      <c r="A456" s="48" t="s">
        <v>1096</v>
      </c>
      <c r="B456" s="60">
        <v>45502</v>
      </c>
      <c r="C456" s="54" t="s">
        <v>171</v>
      </c>
      <c r="D456" s="435" t="str">
        <f>IFERROR(VLOOKUP(C456,Mychart!$A$125:$B$811,2,FALSE),"-")</f>
        <v>MACS -Al Muthathawerah</v>
      </c>
      <c r="E456" s="676" t="s">
        <v>1121</v>
      </c>
      <c r="F456" s="58">
        <v>1925</v>
      </c>
      <c r="G456" s="58">
        <v>2.85</v>
      </c>
      <c r="H456" s="58">
        <v>5938</v>
      </c>
      <c r="I456" s="58">
        <v>296.90000000000003</v>
      </c>
      <c r="J456" s="56" t="s">
        <v>1097</v>
      </c>
      <c r="K456" s="56" t="s">
        <v>988</v>
      </c>
      <c r="L456" s="292">
        <v>256</v>
      </c>
      <c r="M456" s="292"/>
      <c r="N456" s="358"/>
      <c r="O456" s="292"/>
      <c r="P456" s="292"/>
      <c r="Q456" s="614">
        <v>0</v>
      </c>
      <c r="R456" s="913">
        <f t="shared" si="28"/>
        <v>0</v>
      </c>
      <c r="S456" s="913">
        <f t="shared" si="29"/>
        <v>0</v>
      </c>
      <c r="T456" s="913">
        <f t="shared" si="30"/>
        <v>0</v>
      </c>
      <c r="U456" s="914">
        <f t="shared" si="31"/>
        <v>1925</v>
      </c>
      <c r="V456" s="612"/>
      <c r="W456" s="612"/>
      <c r="X456" s="612"/>
      <c r="Y456" s="612"/>
      <c r="Z456" s="612"/>
      <c r="AA456" s="612"/>
      <c r="AB456" s="612"/>
      <c r="AC456" s="612"/>
    </row>
    <row r="457" spans="1:29">
      <c r="A457" s="48" t="s">
        <v>1096</v>
      </c>
      <c r="B457" s="60">
        <v>45502</v>
      </c>
      <c r="C457" s="54" t="s">
        <v>171</v>
      </c>
      <c r="D457" s="435" t="str">
        <f>IFERROR(VLOOKUP(C457,Mychart!$A$125:$B$811,2,FALSE),"-")</f>
        <v>MACS -Al Muthathawerah</v>
      </c>
      <c r="E457" s="676" t="s">
        <v>980</v>
      </c>
      <c r="F457" s="58">
        <v>97</v>
      </c>
      <c r="G457" s="58">
        <v>3.25</v>
      </c>
      <c r="H457" s="58">
        <v>5938</v>
      </c>
      <c r="I457" s="58">
        <v>296.90000000000003</v>
      </c>
      <c r="J457" s="56" t="s">
        <v>1097</v>
      </c>
      <c r="K457" s="56" t="s">
        <v>988</v>
      </c>
      <c r="L457" s="292">
        <v>256</v>
      </c>
      <c r="M457" s="292"/>
      <c r="N457" s="358"/>
      <c r="O457" s="292"/>
      <c r="P457" s="292"/>
      <c r="Q457" s="614">
        <v>0</v>
      </c>
      <c r="R457" s="913">
        <f t="shared" si="28"/>
        <v>0</v>
      </c>
      <c r="S457" s="913">
        <f t="shared" si="29"/>
        <v>0</v>
      </c>
      <c r="T457" s="913">
        <f t="shared" si="30"/>
        <v>0</v>
      </c>
      <c r="U457" s="914">
        <f t="shared" si="31"/>
        <v>97</v>
      </c>
      <c r="V457" s="612"/>
      <c r="W457" s="612"/>
      <c r="X457" s="612"/>
      <c r="Y457" s="612"/>
      <c r="Z457" s="612"/>
      <c r="AA457" s="612"/>
      <c r="AB457" s="612"/>
      <c r="AC457" s="612"/>
    </row>
    <row r="458" spans="1:29">
      <c r="A458" s="48" t="s">
        <v>1096</v>
      </c>
      <c r="B458" s="60">
        <v>45502</v>
      </c>
      <c r="C458" s="54" t="s">
        <v>171</v>
      </c>
      <c r="D458" s="435" t="str">
        <f>IFERROR(VLOOKUP(C458,Mychart!$A$125:$B$811,2,FALSE),"-")</f>
        <v>MACS -Al Muthathawerah</v>
      </c>
      <c r="E458" s="676" t="s">
        <v>981</v>
      </c>
      <c r="F458" s="58">
        <v>68</v>
      </c>
      <c r="G458" s="58">
        <v>2.25</v>
      </c>
      <c r="H458" s="58">
        <v>5938</v>
      </c>
      <c r="I458" s="58">
        <v>296.90000000000003</v>
      </c>
      <c r="J458" s="56" t="s">
        <v>1097</v>
      </c>
      <c r="K458" s="56" t="s">
        <v>988</v>
      </c>
      <c r="L458" s="292">
        <v>256</v>
      </c>
      <c r="M458" s="292" t="s">
        <v>1841</v>
      </c>
      <c r="N458" s="358">
        <v>6234.9</v>
      </c>
      <c r="O458" s="292">
        <v>6235</v>
      </c>
      <c r="P458" s="292"/>
      <c r="Q458" s="614">
        <v>6234.9</v>
      </c>
      <c r="R458" s="913">
        <f t="shared" si="28"/>
        <v>0.1000000000003638</v>
      </c>
      <c r="S458" s="913">
        <f t="shared" si="29"/>
        <v>0</v>
      </c>
      <c r="T458" s="913">
        <f t="shared" si="30"/>
        <v>-0.1000000000003638</v>
      </c>
      <c r="U458" s="914">
        <f t="shared" si="31"/>
        <v>68</v>
      </c>
      <c r="V458" s="612"/>
      <c r="W458" s="612"/>
      <c r="X458" s="612"/>
      <c r="Y458" s="612"/>
      <c r="Z458" s="612"/>
      <c r="AA458" s="612"/>
      <c r="AB458" s="612"/>
      <c r="AC458" s="612"/>
    </row>
    <row r="459" spans="1:29">
      <c r="A459" s="48" t="s">
        <v>1098</v>
      </c>
      <c r="B459" s="60">
        <v>45502</v>
      </c>
      <c r="C459" s="54" t="s">
        <v>168</v>
      </c>
      <c r="D459" s="435" t="str">
        <f>IFERROR(VLOOKUP(C459,Mychart!$A$125:$B$811,2,FALSE),"-")</f>
        <v>UTS Carrier</v>
      </c>
      <c r="E459" s="676" t="s">
        <v>236</v>
      </c>
      <c r="F459" s="58">
        <v>2</v>
      </c>
      <c r="G459" s="58"/>
      <c r="H459" s="58">
        <v>48685</v>
      </c>
      <c r="I459" s="58">
        <v>2434.25</v>
      </c>
      <c r="J459" s="56"/>
      <c r="K459" s="56" t="s">
        <v>983</v>
      </c>
      <c r="L459" s="292">
        <v>279</v>
      </c>
      <c r="M459" s="292"/>
      <c r="N459" s="358"/>
      <c r="O459" s="292"/>
      <c r="P459" s="292">
        <v>2</v>
      </c>
      <c r="Q459" s="614">
        <v>0</v>
      </c>
      <c r="R459" s="913">
        <f t="shared" si="28"/>
        <v>0</v>
      </c>
      <c r="S459" s="913">
        <f t="shared" si="29"/>
        <v>0</v>
      </c>
      <c r="T459" s="913">
        <f t="shared" si="30"/>
        <v>0</v>
      </c>
      <c r="U459" s="914">
        <f t="shared" si="31"/>
        <v>0</v>
      </c>
      <c r="V459" s="612"/>
      <c r="W459" s="612"/>
      <c r="X459" s="612"/>
      <c r="Y459" s="612"/>
      <c r="Z459" s="612"/>
      <c r="AA459" s="612"/>
      <c r="AB459" s="612"/>
      <c r="AC459" s="612"/>
    </row>
    <row r="460" spans="1:29">
      <c r="A460" s="48" t="s">
        <v>1098</v>
      </c>
      <c r="B460" s="60">
        <v>45502</v>
      </c>
      <c r="C460" s="54" t="s">
        <v>168</v>
      </c>
      <c r="D460" s="435" t="str">
        <f>IFERROR(VLOOKUP(C460,Mychart!$A$125:$B$811,2,FALSE),"-")</f>
        <v>UTS Carrier</v>
      </c>
      <c r="E460" s="676" t="s">
        <v>237</v>
      </c>
      <c r="F460" s="58">
        <v>2</v>
      </c>
      <c r="G460" s="58"/>
      <c r="H460" s="58">
        <v>48685</v>
      </c>
      <c r="I460" s="58">
        <v>2434.25</v>
      </c>
      <c r="J460" s="56"/>
      <c r="K460" s="56" t="s">
        <v>983</v>
      </c>
      <c r="L460" s="292">
        <v>279</v>
      </c>
      <c r="M460" s="292"/>
      <c r="N460" s="358"/>
      <c r="O460" s="292"/>
      <c r="P460" s="292">
        <v>2</v>
      </c>
      <c r="Q460" s="614">
        <v>0</v>
      </c>
      <c r="R460" s="913">
        <f t="shared" si="28"/>
        <v>0</v>
      </c>
      <c r="S460" s="913">
        <f t="shared" si="29"/>
        <v>0</v>
      </c>
      <c r="T460" s="913">
        <f t="shared" si="30"/>
        <v>0</v>
      </c>
      <c r="U460" s="914">
        <f t="shared" si="31"/>
        <v>0</v>
      </c>
      <c r="V460" s="612"/>
      <c r="W460" s="612"/>
      <c r="X460" s="612"/>
      <c r="Y460" s="612"/>
      <c r="Z460" s="612"/>
      <c r="AA460" s="612"/>
      <c r="AB460" s="612"/>
      <c r="AC460" s="612"/>
    </row>
    <row r="461" spans="1:29">
      <c r="A461" s="48" t="s">
        <v>1098</v>
      </c>
      <c r="B461" s="60">
        <v>45502</v>
      </c>
      <c r="C461" s="54" t="s">
        <v>168</v>
      </c>
      <c r="D461" s="435" t="str">
        <f>IFERROR(VLOOKUP(C461,Mychart!$A$125:$B$811,2,FALSE),"-")</f>
        <v>UTS Carrier</v>
      </c>
      <c r="E461" s="676" t="s">
        <v>827</v>
      </c>
      <c r="F461" s="58">
        <v>1</v>
      </c>
      <c r="G461" s="58"/>
      <c r="H461" s="58">
        <v>48685</v>
      </c>
      <c r="I461" s="58">
        <v>2434.25</v>
      </c>
      <c r="J461" s="56"/>
      <c r="K461" s="56" t="s">
        <v>983</v>
      </c>
      <c r="L461" s="292">
        <v>279</v>
      </c>
      <c r="M461" s="292"/>
      <c r="N461" s="358"/>
      <c r="O461" s="292"/>
      <c r="P461" s="292">
        <v>1</v>
      </c>
      <c r="Q461" s="614">
        <v>0</v>
      </c>
      <c r="R461" s="913">
        <f t="shared" si="28"/>
        <v>0</v>
      </c>
      <c r="S461" s="913">
        <f t="shared" si="29"/>
        <v>0</v>
      </c>
      <c r="T461" s="913">
        <f t="shared" si="30"/>
        <v>0</v>
      </c>
      <c r="U461" s="914">
        <f t="shared" si="31"/>
        <v>0</v>
      </c>
      <c r="V461" s="612"/>
      <c r="W461" s="612"/>
      <c r="X461" s="612"/>
      <c r="Y461" s="612"/>
      <c r="Z461" s="612"/>
      <c r="AA461" s="612"/>
      <c r="AB461" s="612"/>
      <c r="AC461" s="612"/>
    </row>
    <row r="462" spans="1:29">
      <c r="A462" s="48" t="s">
        <v>1098</v>
      </c>
      <c r="B462" s="60">
        <v>45502</v>
      </c>
      <c r="C462" s="54" t="s">
        <v>168</v>
      </c>
      <c r="D462" s="435" t="str">
        <f>IFERROR(VLOOKUP(C462,Mychart!$A$125:$B$811,2,FALSE),"-")</f>
        <v>UTS Carrier</v>
      </c>
      <c r="E462" s="676" t="s">
        <v>828</v>
      </c>
      <c r="F462" s="58">
        <v>1</v>
      </c>
      <c r="G462" s="58"/>
      <c r="H462" s="58">
        <v>48685</v>
      </c>
      <c r="I462" s="58">
        <v>2434.25</v>
      </c>
      <c r="J462" s="56"/>
      <c r="K462" s="56" t="s">
        <v>983</v>
      </c>
      <c r="L462" s="292">
        <v>279</v>
      </c>
      <c r="M462" s="292"/>
      <c r="N462" s="358"/>
      <c r="O462" s="292"/>
      <c r="P462" s="292">
        <v>1</v>
      </c>
      <c r="Q462" s="614">
        <v>0</v>
      </c>
      <c r="R462" s="913">
        <f t="shared" ref="R462:R525" si="32">O462-N462</f>
        <v>0</v>
      </c>
      <c r="S462" s="913">
        <f t="shared" ref="S462:S525" si="33">Q462-N462</f>
        <v>0</v>
      </c>
      <c r="T462" s="913">
        <f t="shared" ref="T462:T525" si="34">Q462-O462</f>
        <v>0</v>
      </c>
      <c r="U462" s="914">
        <f t="shared" ref="U462:U525" si="35">F462-P462</f>
        <v>0</v>
      </c>
      <c r="V462" s="612"/>
      <c r="W462" s="612"/>
      <c r="X462" s="612"/>
      <c r="Y462" s="612"/>
      <c r="Z462" s="612"/>
      <c r="AA462" s="612"/>
      <c r="AB462" s="612"/>
      <c r="AC462" s="612"/>
    </row>
    <row r="463" spans="1:29">
      <c r="A463" s="48" t="s">
        <v>1098</v>
      </c>
      <c r="B463" s="60">
        <v>45502</v>
      </c>
      <c r="C463" s="54" t="s">
        <v>168</v>
      </c>
      <c r="D463" s="435" t="str">
        <f>IFERROR(VLOOKUP(C463,Mychart!$A$125:$B$811,2,FALSE),"-")</f>
        <v>UTS Carrier</v>
      </c>
      <c r="E463" s="676" t="s">
        <v>234</v>
      </c>
      <c r="F463" s="58">
        <v>4</v>
      </c>
      <c r="G463" s="58"/>
      <c r="H463" s="58">
        <v>48685</v>
      </c>
      <c r="I463" s="58">
        <v>2434.25</v>
      </c>
      <c r="J463" s="56"/>
      <c r="K463" s="56" t="s">
        <v>983</v>
      </c>
      <c r="L463" s="292">
        <v>279</v>
      </c>
      <c r="M463" s="292"/>
      <c r="N463" s="358"/>
      <c r="O463" s="292"/>
      <c r="P463" s="292">
        <v>4</v>
      </c>
      <c r="Q463" s="614">
        <v>0</v>
      </c>
      <c r="R463" s="913">
        <f t="shared" si="32"/>
        <v>0</v>
      </c>
      <c r="S463" s="913">
        <f t="shared" si="33"/>
        <v>0</v>
      </c>
      <c r="T463" s="913">
        <f t="shared" si="34"/>
        <v>0</v>
      </c>
      <c r="U463" s="914">
        <f t="shared" si="35"/>
        <v>0</v>
      </c>
      <c r="V463" s="612"/>
      <c r="W463" s="612"/>
      <c r="X463" s="612"/>
      <c r="Y463" s="612"/>
      <c r="Z463" s="612"/>
      <c r="AA463" s="612"/>
      <c r="AB463" s="612"/>
      <c r="AC463" s="612"/>
    </row>
    <row r="464" spans="1:29">
      <c r="A464" s="48" t="s">
        <v>1098</v>
      </c>
      <c r="B464" s="60">
        <v>45502</v>
      </c>
      <c r="C464" s="54" t="s">
        <v>168</v>
      </c>
      <c r="D464" s="435" t="str">
        <f>IFERROR(VLOOKUP(C464,Mychart!$A$125:$B$811,2,FALSE),"-")</f>
        <v>UTS Carrier</v>
      </c>
      <c r="E464" s="676" t="s">
        <v>235</v>
      </c>
      <c r="F464" s="58">
        <v>4</v>
      </c>
      <c r="G464" s="58"/>
      <c r="H464" s="58">
        <v>48685</v>
      </c>
      <c r="I464" s="58">
        <v>2434.25</v>
      </c>
      <c r="J464" s="56"/>
      <c r="K464" s="56" t="s">
        <v>983</v>
      </c>
      <c r="L464" s="292">
        <v>279</v>
      </c>
      <c r="M464" s="292"/>
      <c r="N464" s="358"/>
      <c r="O464" s="292"/>
      <c r="P464" s="292">
        <v>4</v>
      </c>
      <c r="Q464" s="614">
        <v>0</v>
      </c>
      <c r="R464" s="913">
        <f t="shared" si="32"/>
        <v>0</v>
      </c>
      <c r="S464" s="913">
        <f t="shared" si="33"/>
        <v>0</v>
      </c>
      <c r="T464" s="913">
        <f t="shared" si="34"/>
        <v>0</v>
      </c>
      <c r="U464" s="914">
        <f t="shared" si="35"/>
        <v>0</v>
      </c>
      <c r="V464" s="612"/>
      <c r="W464" s="612"/>
      <c r="X464" s="612"/>
      <c r="Y464" s="612"/>
      <c r="Z464" s="612"/>
      <c r="AA464" s="612"/>
      <c r="AB464" s="612"/>
      <c r="AC464" s="612"/>
    </row>
    <row r="465" spans="1:30">
      <c r="A465" s="48" t="s">
        <v>1098</v>
      </c>
      <c r="B465" s="60">
        <v>45502</v>
      </c>
      <c r="C465" s="54" t="s">
        <v>168</v>
      </c>
      <c r="D465" s="435" t="str">
        <f>IFERROR(VLOOKUP(C465,Mychart!$A$125:$B$811,2,FALSE),"-")</f>
        <v>UTS Carrier</v>
      </c>
      <c r="E465" s="676" t="s">
        <v>1099</v>
      </c>
      <c r="F465" s="58">
        <v>1</v>
      </c>
      <c r="G465" s="58"/>
      <c r="H465" s="58">
        <v>48685</v>
      </c>
      <c r="I465" s="58">
        <v>2434.25</v>
      </c>
      <c r="J465" s="56"/>
      <c r="K465" s="56" t="s">
        <v>983</v>
      </c>
      <c r="L465" s="292">
        <v>279</v>
      </c>
      <c r="M465" s="292"/>
      <c r="N465" s="358"/>
      <c r="O465" s="292"/>
      <c r="P465" s="292">
        <v>1</v>
      </c>
      <c r="Q465" s="614">
        <v>0</v>
      </c>
      <c r="R465" s="913">
        <f t="shared" si="32"/>
        <v>0</v>
      </c>
      <c r="S465" s="913">
        <f t="shared" si="33"/>
        <v>0</v>
      </c>
      <c r="T465" s="913">
        <f t="shared" si="34"/>
        <v>0</v>
      </c>
      <c r="U465" s="914">
        <f t="shared" si="35"/>
        <v>0</v>
      </c>
      <c r="V465" s="612"/>
      <c r="W465" s="612"/>
      <c r="X465" s="612"/>
      <c r="Y465" s="612"/>
      <c r="Z465" s="612"/>
      <c r="AA465" s="612"/>
      <c r="AB465" s="612"/>
      <c r="AC465" s="612"/>
    </row>
    <row r="466" spans="1:30">
      <c r="A466" s="48" t="s">
        <v>1098</v>
      </c>
      <c r="B466" s="60">
        <v>45502</v>
      </c>
      <c r="C466" s="54" t="s">
        <v>168</v>
      </c>
      <c r="D466" s="435" t="str">
        <f>IFERROR(VLOOKUP(C466,Mychart!$A$125:$B$811,2,FALSE),"-")</f>
        <v>UTS Carrier</v>
      </c>
      <c r="E466" s="676" t="s">
        <v>1100</v>
      </c>
      <c r="F466" s="58">
        <v>1</v>
      </c>
      <c r="G466" s="58"/>
      <c r="H466" s="58">
        <v>48685</v>
      </c>
      <c r="I466" s="58">
        <v>2434.25</v>
      </c>
      <c r="J466" s="56"/>
      <c r="K466" s="56" t="s">
        <v>983</v>
      </c>
      <c r="L466" s="292">
        <v>279</v>
      </c>
      <c r="M466" s="292"/>
      <c r="N466" s="358"/>
      <c r="O466" s="292"/>
      <c r="P466" s="292">
        <v>1</v>
      </c>
      <c r="Q466" s="614">
        <v>0</v>
      </c>
      <c r="R466" s="913">
        <f t="shared" si="32"/>
        <v>0</v>
      </c>
      <c r="S466" s="913">
        <f t="shared" si="33"/>
        <v>0</v>
      </c>
      <c r="T466" s="913">
        <f t="shared" si="34"/>
        <v>0</v>
      </c>
      <c r="U466" s="914">
        <f t="shared" si="35"/>
        <v>0</v>
      </c>
      <c r="V466" s="612"/>
      <c r="W466" s="612"/>
      <c r="X466" s="612"/>
      <c r="Y466" s="612"/>
      <c r="Z466" s="612"/>
      <c r="AA466" s="612"/>
      <c r="AB466" s="612"/>
      <c r="AC466" s="612"/>
    </row>
    <row r="467" spans="1:30">
      <c r="A467" s="48" t="s">
        <v>1098</v>
      </c>
      <c r="B467" s="60">
        <v>45502</v>
      </c>
      <c r="C467" s="54" t="s">
        <v>168</v>
      </c>
      <c r="D467" s="435" t="str">
        <f>IFERROR(VLOOKUP(C467,Mychart!$A$125:$B$811,2,FALSE),"-")</f>
        <v>UTS Carrier</v>
      </c>
      <c r="E467" s="676"/>
      <c r="F467" s="58"/>
      <c r="G467" s="58"/>
      <c r="H467" s="58">
        <v>48685</v>
      </c>
      <c r="I467" s="58">
        <v>2434.25</v>
      </c>
      <c r="J467" s="56"/>
      <c r="K467" s="56" t="s">
        <v>983</v>
      </c>
      <c r="L467" s="292">
        <v>279</v>
      </c>
      <c r="M467" s="292" t="s">
        <v>5526</v>
      </c>
      <c r="N467" s="358">
        <v>51119.199999999997</v>
      </c>
      <c r="O467" s="292">
        <v>51120</v>
      </c>
      <c r="P467" s="292"/>
      <c r="Q467" s="614">
        <v>51119.25</v>
      </c>
      <c r="R467" s="913">
        <f t="shared" si="32"/>
        <v>0.80000000000291038</v>
      </c>
      <c r="S467" s="913">
        <f t="shared" si="33"/>
        <v>5.0000000002910383E-2</v>
      </c>
      <c r="T467" s="913">
        <f t="shared" si="34"/>
        <v>-0.75</v>
      </c>
      <c r="U467" s="914">
        <f t="shared" si="35"/>
        <v>0</v>
      </c>
      <c r="V467" s="612"/>
      <c r="W467" s="612"/>
      <c r="X467" s="612"/>
      <c r="Y467" s="612"/>
      <c r="Z467" s="612"/>
      <c r="AA467" s="612"/>
      <c r="AB467" s="612"/>
      <c r="AC467" s="612"/>
      <c r="AD467" s="930">
        <v>45607.437337962961</v>
      </c>
    </row>
    <row r="468" spans="1:30">
      <c r="A468" s="48" t="s">
        <v>1115</v>
      </c>
      <c r="B468" s="60">
        <v>45503</v>
      </c>
      <c r="C468" s="54" t="s">
        <v>172</v>
      </c>
      <c r="D468" s="435" t="str">
        <f>IFERROR(VLOOKUP(C468,Mychart!$A$125:$B$811,2,FALSE),"-")</f>
        <v>BEST CHOICE INDUSTRIES LLC</v>
      </c>
      <c r="E468" s="676" t="s">
        <v>1120</v>
      </c>
      <c r="F468" s="58">
        <v>1</v>
      </c>
      <c r="G468" s="58">
        <v>300</v>
      </c>
      <c r="H468" s="58">
        <v>300</v>
      </c>
      <c r="I468" s="58">
        <v>15</v>
      </c>
      <c r="J468" s="56">
        <v>79854</v>
      </c>
      <c r="K468" s="56" t="s">
        <v>159</v>
      </c>
      <c r="L468" s="292">
        <v>242</v>
      </c>
      <c r="M468" s="292" t="s">
        <v>1147</v>
      </c>
      <c r="N468" s="358">
        <v>315</v>
      </c>
      <c r="O468" s="292">
        <v>315</v>
      </c>
      <c r="P468" s="292"/>
      <c r="Q468" s="614">
        <v>315</v>
      </c>
      <c r="R468" s="913">
        <f t="shared" si="32"/>
        <v>0</v>
      </c>
      <c r="S468" s="913">
        <f t="shared" si="33"/>
        <v>0</v>
      </c>
      <c r="T468" s="913">
        <f t="shared" si="34"/>
        <v>0</v>
      </c>
      <c r="U468" s="914">
        <f t="shared" si="35"/>
        <v>1</v>
      </c>
      <c r="V468" s="612"/>
      <c r="W468" s="612"/>
      <c r="X468" s="612"/>
      <c r="Y468" s="612"/>
      <c r="Z468" s="612"/>
      <c r="AA468" s="612"/>
      <c r="AB468" s="612"/>
      <c r="AC468" s="612"/>
    </row>
    <row r="469" spans="1:30">
      <c r="A469" s="48" t="s">
        <v>1116</v>
      </c>
      <c r="B469" s="60">
        <v>45504</v>
      </c>
      <c r="C469" s="54" t="s">
        <v>173</v>
      </c>
      <c r="D469" s="435" t="str">
        <f>IFERROR(VLOOKUP(C469,Mychart!$A$125:$B$811,2,FALSE),"-")</f>
        <v>BAB AL TABREED A/C UNITS FIX.CONT</v>
      </c>
      <c r="E469" s="676" t="s">
        <v>979</v>
      </c>
      <c r="F469" s="58">
        <v>41.26</v>
      </c>
      <c r="G469" s="58">
        <v>2.8</v>
      </c>
      <c r="H469" s="58">
        <v>135.52799999999999</v>
      </c>
      <c r="I469" s="58">
        <v>6.7763999999999998</v>
      </c>
      <c r="J469" s="56" t="s">
        <v>1117</v>
      </c>
      <c r="K469" s="56" t="s">
        <v>160</v>
      </c>
      <c r="L469" s="292">
        <v>252</v>
      </c>
      <c r="M469" s="292"/>
      <c r="N469" s="358"/>
      <c r="O469" s="292"/>
      <c r="P469" s="292"/>
      <c r="Q469" s="614">
        <v>0</v>
      </c>
      <c r="R469" s="913">
        <f t="shared" si="32"/>
        <v>0</v>
      </c>
      <c r="S469" s="913">
        <f t="shared" si="33"/>
        <v>0</v>
      </c>
      <c r="T469" s="913">
        <f t="shared" si="34"/>
        <v>0</v>
      </c>
      <c r="U469" s="914">
        <f t="shared" si="35"/>
        <v>41.26</v>
      </c>
      <c r="V469" s="612"/>
      <c r="W469" s="612"/>
      <c r="X469" s="612"/>
      <c r="Y469" s="612"/>
      <c r="Z469" s="612"/>
      <c r="AA469" s="612"/>
      <c r="AB469" s="612"/>
      <c r="AC469" s="612"/>
    </row>
    <row r="470" spans="1:30">
      <c r="A470" s="48" t="s">
        <v>1116</v>
      </c>
      <c r="B470" s="60">
        <v>45504</v>
      </c>
      <c r="C470" s="54" t="s">
        <v>173</v>
      </c>
      <c r="D470" s="435" t="str">
        <f>IFERROR(VLOOKUP(C470,Mychart!$A$125:$B$811,2,FALSE),"-")</f>
        <v>BAB AL TABREED A/C UNITS FIX.CONT</v>
      </c>
      <c r="E470" s="676" t="s">
        <v>1118</v>
      </c>
      <c r="F470" s="58">
        <v>4</v>
      </c>
      <c r="G470" s="58">
        <v>3</v>
      </c>
      <c r="H470" s="58">
        <v>135.52799999999999</v>
      </c>
      <c r="I470" s="58">
        <v>6.7763999999999998</v>
      </c>
      <c r="J470" s="56" t="s">
        <v>1117</v>
      </c>
      <c r="K470" s="56" t="s">
        <v>160</v>
      </c>
      <c r="L470" s="292">
        <v>252</v>
      </c>
      <c r="M470" s="292"/>
      <c r="N470" s="358"/>
      <c r="O470" s="292"/>
      <c r="P470" s="292"/>
      <c r="Q470" s="614">
        <v>0</v>
      </c>
      <c r="R470" s="913">
        <f t="shared" si="32"/>
        <v>0</v>
      </c>
      <c r="S470" s="913">
        <f t="shared" si="33"/>
        <v>0</v>
      </c>
      <c r="T470" s="913">
        <f t="shared" si="34"/>
        <v>0</v>
      </c>
      <c r="U470" s="914">
        <f t="shared" si="35"/>
        <v>4</v>
      </c>
      <c r="V470" s="612"/>
      <c r="W470" s="612"/>
      <c r="X470" s="612"/>
      <c r="Y470" s="612"/>
      <c r="Z470" s="612"/>
      <c r="AA470" s="612"/>
      <c r="AB470" s="612"/>
      <c r="AC470" s="612"/>
    </row>
    <row r="471" spans="1:30">
      <c r="A471" s="48" t="s">
        <v>1116</v>
      </c>
      <c r="B471" s="60">
        <v>45504</v>
      </c>
      <c r="C471" s="54" t="s">
        <v>173</v>
      </c>
      <c r="D471" s="435" t="str">
        <f>IFERROR(VLOOKUP(C471,Mychart!$A$125:$B$811,2,FALSE),"-")</f>
        <v>BAB AL TABREED A/C UNITS FIX.CONT</v>
      </c>
      <c r="E471" s="676" t="s">
        <v>1119</v>
      </c>
      <c r="F471" s="58">
        <v>4</v>
      </c>
      <c r="G471" s="58">
        <v>2</v>
      </c>
      <c r="H471" s="58">
        <v>135.52799999999999</v>
      </c>
      <c r="I471" s="58">
        <v>6.7763999999999998</v>
      </c>
      <c r="J471" s="56" t="s">
        <v>1117</v>
      </c>
      <c r="K471" s="56" t="s">
        <v>160</v>
      </c>
      <c r="L471" s="292">
        <v>252</v>
      </c>
      <c r="M471" s="292" t="s">
        <v>1609</v>
      </c>
      <c r="N471" s="358">
        <v>142</v>
      </c>
      <c r="O471" s="292">
        <v>140</v>
      </c>
      <c r="P471" s="292"/>
      <c r="Q471" s="614">
        <v>142.30439999999999</v>
      </c>
      <c r="R471" s="913">
        <f t="shared" si="32"/>
        <v>-2</v>
      </c>
      <c r="S471" s="913">
        <f t="shared" si="33"/>
        <v>0.3043999999999869</v>
      </c>
      <c r="T471" s="913">
        <f t="shared" si="34"/>
        <v>2.3043999999999869</v>
      </c>
      <c r="U471" s="914">
        <f t="shared" si="35"/>
        <v>4</v>
      </c>
      <c r="V471" s="612"/>
      <c r="W471" s="612"/>
      <c r="X471" s="612"/>
      <c r="Y471" s="612"/>
      <c r="Z471" s="612"/>
      <c r="AA471" s="612"/>
      <c r="AB471" s="612"/>
      <c r="AC471" s="612"/>
    </row>
    <row r="472" spans="1:30">
      <c r="A472" s="48" t="s">
        <v>1151</v>
      </c>
      <c r="B472" s="60">
        <v>45507</v>
      </c>
      <c r="C472" s="54" t="s">
        <v>172</v>
      </c>
      <c r="D472" s="435" t="str">
        <f>IFERROR(VLOOKUP(C472,Mychart!$A$125:$B$811,2,FALSE),"-")</f>
        <v>BEST CHOICE INDUSTRIES LLC</v>
      </c>
      <c r="E472" s="676" t="s">
        <v>1152</v>
      </c>
      <c r="F472" s="58">
        <v>33</v>
      </c>
      <c r="G472" s="58" t="s">
        <v>1166</v>
      </c>
      <c r="H472" s="58">
        <v>7000</v>
      </c>
      <c r="I472" s="58">
        <v>350</v>
      </c>
      <c r="J472" s="56" t="s">
        <v>1150</v>
      </c>
      <c r="K472" s="56" t="s">
        <v>160</v>
      </c>
      <c r="L472" s="292">
        <v>252</v>
      </c>
      <c r="M472" s="292"/>
      <c r="N472" s="358"/>
      <c r="O472" s="292"/>
      <c r="P472" s="292"/>
      <c r="Q472" s="614">
        <v>0</v>
      </c>
      <c r="R472" s="913">
        <f t="shared" si="32"/>
        <v>0</v>
      </c>
      <c r="S472" s="913">
        <f t="shared" si="33"/>
        <v>0</v>
      </c>
      <c r="T472" s="913">
        <f t="shared" si="34"/>
        <v>0</v>
      </c>
      <c r="U472" s="914">
        <f t="shared" si="35"/>
        <v>33</v>
      </c>
      <c r="V472" s="612"/>
      <c r="W472" s="612"/>
      <c r="X472" s="612"/>
      <c r="Y472" s="612"/>
      <c r="Z472" s="612"/>
      <c r="AA472" s="612"/>
      <c r="AB472" s="612"/>
      <c r="AC472" s="612"/>
    </row>
    <row r="473" spans="1:30">
      <c r="A473" s="48" t="s">
        <v>1151</v>
      </c>
      <c r="B473" s="60">
        <v>45507</v>
      </c>
      <c r="C473" s="54" t="s">
        <v>172</v>
      </c>
      <c r="D473" s="435" t="str">
        <f>IFERROR(VLOOKUP(C473,Mychart!$A$125:$B$811,2,FALSE),"-")</f>
        <v>BEST CHOICE INDUSTRIES LLC</v>
      </c>
      <c r="E473" s="676" t="s">
        <v>1153</v>
      </c>
      <c r="F473" s="58">
        <v>8</v>
      </c>
      <c r="G473" s="58" t="s">
        <v>1166</v>
      </c>
      <c r="H473" s="58">
        <v>7000</v>
      </c>
      <c r="I473" s="58">
        <v>350</v>
      </c>
      <c r="J473" s="56" t="s">
        <v>1150</v>
      </c>
      <c r="K473" s="56" t="s">
        <v>160</v>
      </c>
      <c r="L473" s="292">
        <v>252</v>
      </c>
      <c r="M473" s="292"/>
      <c r="N473" s="358"/>
      <c r="O473" s="292"/>
      <c r="P473" s="292"/>
      <c r="Q473" s="614">
        <v>0</v>
      </c>
      <c r="R473" s="913">
        <f t="shared" si="32"/>
        <v>0</v>
      </c>
      <c r="S473" s="913">
        <f t="shared" si="33"/>
        <v>0</v>
      </c>
      <c r="T473" s="913">
        <f t="shared" si="34"/>
        <v>0</v>
      </c>
      <c r="U473" s="914">
        <f t="shared" si="35"/>
        <v>8</v>
      </c>
      <c r="V473" s="612"/>
      <c r="W473" s="612"/>
      <c r="X473" s="612"/>
      <c r="Y473" s="612"/>
      <c r="Z473" s="612"/>
      <c r="AA473" s="612"/>
      <c r="AB473" s="612"/>
      <c r="AC473" s="612"/>
    </row>
    <row r="474" spans="1:30">
      <c r="A474" s="48" t="s">
        <v>1151</v>
      </c>
      <c r="B474" s="60">
        <v>45507</v>
      </c>
      <c r="C474" s="54" t="s">
        <v>172</v>
      </c>
      <c r="D474" s="435" t="str">
        <f>IFERROR(VLOOKUP(C474,Mychart!$A$125:$B$811,2,FALSE),"-")</f>
        <v>BEST CHOICE INDUSTRIES LLC</v>
      </c>
      <c r="E474" s="676" t="s">
        <v>1154</v>
      </c>
      <c r="F474" s="58">
        <v>1</v>
      </c>
      <c r="G474" s="58" t="s">
        <v>1166</v>
      </c>
      <c r="H474" s="58">
        <v>7000</v>
      </c>
      <c r="I474" s="58">
        <v>350</v>
      </c>
      <c r="J474" s="56" t="s">
        <v>1150</v>
      </c>
      <c r="K474" s="56" t="s">
        <v>160</v>
      </c>
      <c r="L474" s="292">
        <v>252</v>
      </c>
      <c r="M474" s="292"/>
      <c r="N474" s="358"/>
      <c r="O474" s="292"/>
      <c r="P474" s="292"/>
      <c r="Q474" s="614">
        <v>0</v>
      </c>
      <c r="R474" s="913">
        <f t="shared" si="32"/>
        <v>0</v>
      </c>
      <c r="S474" s="913">
        <f t="shared" si="33"/>
        <v>0</v>
      </c>
      <c r="T474" s="913">
        <f t="shared" si="34"/>
        <v>0</v>
      </c>
      <c r="U474" s="914">
        <f t="shared" si="35"/>
        <v>1</v>
      </c>
      <c r="V474" s="612"/>
      <c r="W474" s="612"/>
      <c r="X474" s="612"/>
      <c r="Y474" s="612"/>
      <c r="Z474" s="612"/>
      <c r="AA474" s="612"/>
      <c r="AB474" s="612"/>
      <c r="AC474" s="612"/>
    </row>
    <row r="475" spans="1:30">
      <c r="A475" s="48" t="s">
        <v>1151</v>
      </c>
      <c r="B475" s="60">
        <v>45507</v>
      </c>
      <c r="C475" s="54" t="s">
        <v>172</v>
      </c>
      <c r="D475" s="435" t="str">
        <f>IFERROR(VLOOKUP(C475,Mychart!$A$125:$B$811,2,FALSE),"-")</f>
        <v>BEST CHOICE INDUSTRIES LLC</v>
      </c>
      <c r="E475" s="676" t="s">
        <v>1155</v>
      </c>
      <c r="F475" s="58">
        <v>1</v>
      </c>
      <c r="G475" s="58" t="s">
        <v>1166</v>
      </c>
      <c r="H475" s="58">
        <v>7000</v>
      </c>
      <c r="I475" s="58">
        <v>350</v>
      </c>
      <c r="J475" s="56" t="s">
        <v>1150</v>
      </c>
      <c r="K475" s="56" t="s">
        <v>160</v>
      </c>
      <c r="L475" s="292">
        <v>252</v>
      </c>
      <c r="M475" s="292"/>
      <c r="N475" s="358"/>
      <c r="O475" s="292"/>
      <c r="P475" s="292"/>
      <c r="Q475" s="614">
        <v>0</v>
      </c>
      <c r="R475" s="913">
        <f t="shared" si="32"/>
        <v>0</v>
      </c>
      <c r="S475" s="913">
        <f t="shared" si="33"/>
        <v>0</v>
      </c>
      <c r="T475" s="913">
        <f t="shared" si="34"/>
        <v>0</v>
      </c>
      <c r="U475" s="914">
        <f t="shared" si="35"/>
        <v>1</v>
      </c>
      <c r="V475" s="612"/>
      <c r="W475" s="612"/>
      <c r="X475" s="612"/>
      <c r="Y475" s="612"/>
      <c r="Z475" s="612"/>
      <c r="AA475" s="612"/>
      <c r="AB475" s="612"/>
      <c r="AC475" s="612"/>
    </row>
    <row r="476" spans="1:30">
      <c r="A476" s="48" t="s">
        <v>1151</v>
      </c>
      <c r="B476" s="60">
        <v>45507</v>
      </c>
      <c r="C476" s="54" t="s">
        <v>172</v>
      </c>
      <c r="D476" s="435" t="str">
        <f>IFERROR(VLOOKUP(C476,Mychart!$A$125:$B$811,2,FALSE),"-")</f>
        <v>BEST CHOICE INDUSTRIES LLC</v>
      </c>
      <c r="E476" s="676" t="s">
        <v>1156</v>
      </c>
      <c r="F476" s="58">
        <v>1</v>
      </c>
      <c r="G476" s="58" t="s">
        <v>1166</v>
      </c>
      <c r="H476" s="58">
        <v>7000</v>
      </c>
      <c r="I476" s="58">
        <v>350</v>
      </c>
      <c r="J476" s="56" t="s">
        <v>1150</v>
      </c>
      <c r="K476" s="56" t="s">
        <v>160</v>
      </c>
      <c r="L476" s="292">
        <v>252</v>
      </c>
      <c r="M476" s="292"/>
      <c r="N476" s="358"/>
      <c r="O476" s="292"/>
      <c r="P476" s="292"/>
      <c r="Q476" s="614">
        <v>0</v>
      </c>
      <c r="R476" s="913">
        <f t="shared" si="32"/>
        <v>0</v>
      </c>
      <c r="S476" s="913">
        <f t="shared" si="33"/>
        <v>0</v>
      </c>
      <c r="T476" s="913">
        <f t="shared" si="34"/>
        <v>0</v>
      </c>
      <c r="U476" s="914">
        <f t="shared" si="35"/>
        <v>1</v>
      </c>
      <c r="V476" s="612"/>
      <c r="W476" s="612"/>
      <c r="X476" s="612"/>
      <c r="Y476" s="612"/>
      <c r="Z476" s="612"/>
      <c r="AA476" s="612"/>
      <c r="AB476" s="612"/>
      <c r="AC476" s="612"/>
    </row>
    <row r="477" spans="1:30">
      <c r="A477" s="48" t="s">
        <v>1151</v>
      </c>
      <c r="B477" s="60">
        <v>45507</v>
      </c>
      <c r="C477" s="54" t="s">
        <v>172</v>
      </c>
      <c r="D477" s="435" t="str">
        <f>IFERROR(VLOOKUP(C477,Mychart!$A$125:$B$811,2,FALSE),"-")</f>
        <v>BEST CHOICE INDUSTRIES LLC</v>
      </c>
      <c r="E477" s="676" t="s">
        <v>1157</v>
      </c>
      <c r="F477" s="58">
        <v>4</v>
      </c>
      <c r="G477" s="58" t="s">
        <v>1166</v>
      </c>
      <c r="H477" s="58">
        <v>7000</v>
      </c>
      <c r="I477" s="58">
        <v>350</v>
      </c>
      <c r="J477" s="56" t="s">
        <v>1150</v>
      </c>
      <c r="K477" s="56" t="s">
        <v>160</v>
      </c>
      <c r="L477" s="292">
        <v>252</v>
      </c>
      <c r="M477" s="292"/>
      <c r="N477" s="358"/>
      <c r="O477" s="292"/>
      <c r="P477" s="292"/>
      <c r="Q477" s="614">
        <v>0</v>
      </c>
      <c r="R477" s="913">
        <f t="shared" si="32"/>
        <v>0</v>
      </c>
      <c r="S477" s="913">
        <f t="shared" si="33"/>
        <v>0</v>
      </c>
      <c r="T477" s="913">
        <f t="shared" si="34"/>
        <v>0</v>
      </c>
      <c r="U477" s="914">
        <f t="shared" si="35"/>
        <v>4</v>
      </c>
      <c r="V477" s="612"/>
      <c r="W477" s="612"/>
      <c r="X477" s="612"/>
      <c r="Y477" s="612"/>
      <c r="Z477" s="612"/>
      <c r="AA477" s="612"/>
      <c r="AB477" s="612"/>
      <c r="AC477" s="612"/>
    </row>
    <row r="478" spans="1:30">
      <c r="A478" s="48" t="s">
        <v>1151</v>
      </c>
      <c r="B478" s="60">
        <v>45507</v>
      </c>
      <c r="C478" s="54" t="s">
        <v>172</v>
      </c>
      <c r="D478" s="435" t="str">
        <f>IFERROR(VLOOKUP(C478,Mychart!$A$125:$B$811,2,FALSE),"-")</f>
        <v>BEST CHOICE INDUSTRIES LLC</v>
      </c>
      <c r="E478" s="676" t="s">
        <v>1158</v>
      </c>
      <c r="F478" s="58">
        <v>1</v>
      </c>
      <c r="G478" s="58" t="s">
        <v>1166</v>
      </c>
      <c r="H478" s="58">
        <v>7000</v>
      </c>
      <c r="I478" s="58">
        <v>350</v>
      </c>
      <c r="J478" s="56" t="s">
        <v>1150</v>
      </c>
      <c r="K478" s="56" t="s">
        <v>160</v>
      </c>
      <c r="L478" s="292">
        <v>252</v>
      </c>
      <c r="M478" s="292"/>
      <c r="N478" s="358"/>
      <c r="O478" s="292"/>
      <c r="P478" s="292"/>
      <c r="Q478" s="614">
        <v>0</v>
      </c>
      <c r="R478" s="913">
        <f t="shared" si="32"/>
        <v>0</v>
      </c>
      <c r="S478" s="913">
        <f t="shared" si="33"/>
        <v>0</v>
      </c>
      <c r="T478" s="913">
        <f t="shared" si="34"/>
        <v>0</v>
      </c>
      <c r="U478" s="914">
        <f t="shared" si="35"/>
        <v>1</v>
      </c>
      <c r="V478" s="612"/>
      <c r="W478" s="612"/>
      <c r="X478" s="612"/>
      <c r="Y478" s="612"/>
      <c r="Z478" s="612"/>
      <c r="AA478" s="612"/>
      <c r="AB478" s="612"/>
      <c r="AC478" s="612"/>
    </row>
    <row r="479" spans="1:30">
      <c r="A479" s="48" t="s">
        <v>1151</v>
      </c>
      <c r="B479" s="60">
        <v>45507</v>
      </c>
      <c r="C479" s="54" t="s">
        <v>172</v>
      </c>
      <c r="D479" s="435" t="str">
        <f>IFERROR(VLOOKUP(C479,Mychart!$A$125:$B$811,2,FALSE),"-")</f>
        <v>BEST CHOICE INDUSTRIES LLC</v>
      </c>
      <c r="E479" s="676" t="s">
        <v>1159</v>
      </c>
      <c r="F479" s="58">
        <v>2</v>
      </c>
      <c r="G479" s="58" t="s">
        <v>1166</v>
      </c>
      <c r="H479" s="58">
        <v>7000</v>
      </c>
      <c r="I479" s="58">
        <v>350</v>
      </c>
      <c r="J479" s="56" t="s">
        <v>1150</v>
      </c>
      <c r="K479" s="56" t="s">
        <v>160</v>
      </c>
      <c r="L479" s="292">
        <v>252</v>
      </c>
      <c r="M479" s="292"/>
      <c r="N479" s="358"/>
      <c r="O479" s="292"/>
      <c r="P479" s="292"/>
      <c r="Q479" s="614">
        <v>0</v>
      </c>
      <c r="R479" s="913">
        <f t="shared" si="32"/>
        <v>0</v>
      </c>
      <c r="S479" s="913">
        <f t="shared" si="33"/>
        <v>0</v>
      </c>
      <c r="T479" s="913">
        <f t="shared" si="34"/>
        <v>0</v>
      </c>
      <c r="U479" s="914">
        <f t="shared" si="35"/>
        <v>2</v>
      </c>
      <c r="V479" s="612"/>
      <c r="W479" s="612"/>
      <c r="X479" s="612"/>
      <c r="Y479" s="612"/>
      <c r="Z479" s="612"/>
      <c r="AA479" s="612"/>
      <c r="AB479" s="612"/>
      <c r="AC479" s="612"/>
    </row>
    <row r="480" spans="1:30">
      <c r="A480" s="48" t="s">
        <v>1151</v>
      </c>
      <c r="B480" s="60">
        <v>45507</v>
      </c>
      <c r="C480" s="54" t="s">
        <v>172</v>
      </c>
      <c r="D480" s="435" t="str">
        <f>IFERROR(VLOOKUP(C480,Mychart!$A$125:$B$811,2,FALSE),"-")</f>
        <v>BEST CHOICE INDUSTRIES LLC</v>
      </c>
      <c r="E480" s="676" t="s">
        <v>1160</v>
      </c>
      <c r="F480" s="58">
        <v>2</v>
      </c>
      <c r="G480" s="58" t="s">
        <v>1166</v>
      </c>
      <c r="H480" s="58">
        <v>7000</v>
      </c>
      <c r="I480" s="58">
        <v>350</v>
      </c>
      <c r="J480" s="56" t="s">
        <v>1150</v>
      </c>
      <c r="K480" s="56" t="s">
        <v>160</v>
      </c>
      <c r="L480" s="292">
        <v>252</v>
      </c>
      <c r="M480" s="292"/>
      <c r="N480" s="358"/>
      <c r="O480" s="292"/>
      <c r="P480" s="292"/>
      <c r="Q480" s="614">
        <v>0</v>
      </c>
      <c r="R480" s="913">
        <f t="shared" si="32"/>
        <v>0</v>
      </c>
      <c r="S480" s="913">
        <f t="shared" si="33"/>
        <v>0</v>
      </c>
      <c r="T480" s="913">
        <f t="shared" si="34"/>
        <v>0</v>
      </c>
      <c r="U480" s="914">
        <f t="shared" si="35"/>
        <v>2</v>
      </c>
      <c r="V480" s="612"/>
      <c r="W480" s="612"/>
      <c r="X480" s="612"/>
      <c r="Y480" s="612"/>
      <c r="Z480" s="612"/>
      <c r="AA480" s="612"/>
      <c r="AB480" s="612"/>
      <c r="AC480" s="612"/>
    </row>
    <row r="481" spans="1:29">
      <c r="A481" s="48" t="s">
        <v>1151</v>
      </c>
      <c r="B481" s="60">
        <v>45507</v>
      </c>
      <c r="C481" s="54" t="s">
        <v>172</v>
      </c>
      <c r="D481" s="435" t="str">
        <f>IFERROR(VLOOKUP(C481,Mychart!$A$125:$B$811,2,FALSE),"-")</f>
        <v>BEST CHOICE INDUSTRIES LLC</v>
      </c>
      <c r="E481" s="676" t="s">
        <v>1161</v>
      </c>
      <c r="F481" s="58">
        <v>1</v>
      </c>
      <c r="G481" s="58" t="s">
        <v>1166</v>
      </c>
      <c r="H481" s="58">
        <v>7000</v>
      </c>
      <c r="I481" s="58">
        <v>350</v>
      </c>
      <c r="J481" s="56" t="s">
        <v>1150</v>
      </c>
      <c r="K481" s="56" t="s">
        <v>160</v>
      </c>
      <c r="L481" s="292">
        <v>252</v>
      </c>
      <c r="M481" s="292"/>
      <c r="N481" s="358"/>
      <c r="O481" s="292"/>
      <c r="P481" s="292"/>
      <c r="Q481" s="614">
        <v>0</v>
      </c>
      <c r="R481" s="913">
        <f t="shared" si="32"/>
        <v>0</v>
      </c>
      <c r="S481" s="913">
        <f t="shared" si="33"/>
        <v>0</v>
      </c>
      <c r="T481" s="913">
        <f t="shared" si="34"/>
        <v>0</v>
      </c>
      <c r="U481" s="914">
        <f t="shared" si="35"/>
        <v>1</v>
      </c>
      <c r="V481" s="612"/>
      <c r="W481" s="612"/>
      <c r="X481" s="612"/>
      <c r="Y481" s="612"/>
      <c r="Z481" s="612"/>
      <c r="AA481" s="612"/>
      <c r="AB481" s="612"/>
      <c r="AC481" s="612"/>
    </row>
    <row r="482" spans="1:29">
      <c r="A482" s="48" t="s">
        <v>1151</v>
      </c>
      <c r="B482" s="60">
        <v>45507</v>
      </c>
      <c r="C482" s="54" t="s">
        <v>172</v>
      </c>
      <c r="D482" s="435" t="str">
        <f>IFERROR(VLOOKUP(C482,Mychart!$A$125:$B$811,2,FALSE),"-")</f>
        <v>BEST CHOICE INDUSTRIES LLC</v>
      </c>
      <c r="E482" s="676" t="s">
        <v>1162</v>
      </c>
      <c r="F482" s="58">
        <v>1</v>
      </c>
      <c r="G482" s="58" t="s">
        <v>1166</v>
      </c>
      <c r="H482" s="58">
        <v>7000</v>
      </c>
      <c r="I482" s="58">
        <v>350</v>
      </c>
      <c r="J482" s="56" t="s">
        <v>1150</v>
      </c>
      <c r="K482" s="56" t="s">
        <v>160</v>
      </c>
      <c r="L482" s="292">
        <v>252</v>
      </c>
      <c r="M482" s="292"/>
      <c r="N482" s="358"/>
      <c r="O482" s="292"/>
      <c r="P482" s="292"/>
      <c r="Q482" s="614">
        <v>0</v>
      </c>
      <c r="R482" s="913">
        <f t="shared" si="32"/>
        <v>0</v>
      </c>
      <c r="S482" s="913">
        <f t="shared" si="33"/>
        <v>0</v>
      </c>
      <c r="T482" s="913">
        <f t="shared" si="34"/>
        <v>0</v>
      </c>
      <c r="U482" s="914">
        <f t="shared" si="35"/>
        <v>1</v>
      </c>
      <c r="V482" s="612"/>
      <c r="W482" s="612"/>
      <c r="X482" s="612"/>
      <c r="Y482" s="612"/>
      <c r="Z482" s="612"/>
      <c r="AA482" s="612"/>
      <c r="AB482" s="612"/>
      <c r="AC482" s="612"/>
    </row>
    <row r="483" spans="1:29">
      <c r="A483" s="48" t="s">
        <v>1151</v>
      </c>
      <c r="B483" s="60">
        <v>45507</v>
      </c>
      <c r="C483" s="54" t="s">
        <v>172</v>
      </c>
      <c r="D483" s="435" t="str">
        <f>IFERROR(VLOOKUP(C483,Mychart!$A$125:$B$811,2,FALSE),"-")</f>
        <v>BEST CHOICE INDUSTRIES LLC</v>
      </c>
      <c r="E483" s="676" t="s">
        <v>1163</v>
      </c>
      <c r="F483" s="58">
        <v>6</v>
      </c>
      <c r="G483" s="58" t="s">
        <v>1166</v>
      </c>
      <c r="H483" s="58">
        <v>7000</v>
      </c>
      <c r="I483" s="58">
        <v>350</v>
      </c>
      <c r="J483" s="56" t="s">
        <v>1150</v>
      </c>
      <c r="K483" s="56" t="s">
        <v>160</v>
      </c>
      <c r="L483" s="292">
        <v>252</v>
      </c>
      <c r="M483" s="292"/>
      <c r="N483" s="358"/>
      <c r="O483" s="292"/>
      <c r="P483" s="292"/>
      <c r="Q483" s="614">
        <v>0</v>
      </c>
      <c r="R483" s="913">
        <f t="shared" si="32"/>
        <v>0</v>
      </c>
      <c r="S483" s="913">
        <f t="shared" si="33"/>
        <v>0</v>
      </c>
      <c r="T483" s="913">
        <f t="shared" si="34"/>
        <v>0</v>
      </c>
      <c r="U483" s="914">
        <f t="shared" si="35"/>
        <v>6</v>
      </c>
      <c r="V483" s="612"/>
      <c r="W483" s="612"/>
      <c r="X483" s="612"/>
      <c r="Y483" s="612"/>
      <c r="Z483" s="612"/>
      <c r="AA483" s="612"/>
      <c r="AB483" s="612"/>
      <c r="AC483" s="612"/>
    </row>
    <row r="484" spans="1:29">
      <c r="A484" s="48" t="s">
        <v>1151</v>
      </c>
      <c r="B484" s="60">
        <v>45507</v>
      </c>
      <c r="C484" s="54" t="s">
        <v>172</v>
      </c>
      <c r="D484" s="435" t="str">
        <f>IFERROR(VLOOKUP(C484,Mychart!$A$125:$B$811,2,FALSE),"-")</f>
        <v>BEST CHOICE INDUSTRIES LLC</v>
      </c>
      <c r="E484" s="676" t="s">
        <v>1164</v>
      </c>
      <c r="F484" s="58">
        <v>12</v>
      </c>
      <c r="G484" s="58" t="s">
        <v>1166</v>
      </c>
      <c r="H484" s="58">
        <v>7000</v>
      </c>
      <c r="I484" s="58">
        <v>350</v>
      </c>
      <c r="J484" s="56" t="s">
        <v>1150</v>
      </c>
      <c r="K484" s="56" t="s">
        <v>160</v>
      </c>
      <c r="L484" s="292">
        <v>252</v>
      </c>
      <c r="M484" s="292"/>
      <c r="N484" s="358"/>
      <c r="O484" s="292"/>
      <c r="P484" s="292"/>
      <c r="Q484" s="614">
        <v>0</v>
      </c>
      <c r="R484" s="913">
        <f t="shared" si="32"/>
        <v>0</v>
      </c>
      <c r="S484" s="913">
        <f t="shared" si="33"/>
        <v>0</v>
      </c>
      <c r="T484" s="913">
        <f t="shared" si="34"/>
        <v>0</v>
      </c>
      <c r="U484" s="914">
        <f t="shared" si="35"/>
        <v>12</v>
      </c>
      <c r="V484" s="612"/>
      <c r="W484" s="612"/>
      <c r="X484" s="612"/>
      <c r="Y484" s="612"/>
      <c r="Z484" s="612"/>
      <c r="AA484" s="612"/>
      <c r="AB484" s="612"/>
      <c r="AC484" s="612"/>
    </row>
    <row r="485" spans="1:29">
      <c r="A485" s="48" t="s">
        <v>1151</v>
      </c>
      <c r="B485" s="60">
        <v>45507</v>
      </c>
      <c r="C485" s="54" t="s">
        <v>172</v>
      </c>
      <c r="D485" s="435" t="str">
        <f>IFERROR(VLOOKUP(C485,Mychart!$A$125:$B$811,2,FALSE),"-")</f>
        <v>BEST CHOICE INDUSTRIES LLC</v>
      </c>
      <c r="E485" s="676" t="s">
        <v>1165</v>
      </c>
      <c r="F485" s="58">
        <v>6</v>
      </c>
      <c r="G485" s="58" t="s">
        <v>1166</v>
      </c>
      <c r="H485" s="58">
        <v>7000</v>
      </c>
      <c r="I485" s="58">
        <v>350</v>
      </c>
      <c r="J485" s="56" t="s">
        <v>1150</v>
      </c>
      <c r="K485" s="56" t="s">
        <v>160</v>
      </c>
      <c r="L485" s="292">
        <v>252</v>
      </c>
      <c r="M485" s="292"/>
      <c r="N485" s="358"/>
      <c r="O485" s="292"/>
      <c r="P485" s="292"/>
      <c r="Q485" s="614">
        <v>0</v>
      </c>
      <c r="R485" s="913">
        <f t="shared" si="32"/>
        <v>0</v>
      </c>
      <c r="S485" s="913">
        <f t="shared" si="33"/>
        <v>0</v>
      </c>
      <c r="T485" s="913">
        <f t="shared" si="34"/>
        <v>0</v>
      </c>
      <c r="U485" s="914">
        <f t="shared" si="35"/>
        <v>6</v>
      </c>
      <c r="V485" s="612"/>
      <c r="W485" s="612"/>
      <c r="X485" s="612"/>
      <c r="Y485" s="612"/>
      <c r="Z485" s="612"/>
      <c r="AA485" s="612"/>
      <c r="AB485" s="612"/>
      <c r="AC485" s="612"/>
    </row>
    <row r="486" spans="1:29">
      <c r="A486" s="48" t="s">
        <v>1151</v>
      </c>
      <c r="B486" s="60">
        <v>45507</v>
      </c>
      <c r="C486" s="54" t="s">
        <v>172</v>
      </c>
      <c r="D486" s="435" t="str">
        <f>IFERROR(VLOOKUP(C486,Mychart!$A$125:$B$811,2,FALSE),"-")</f>
        <v>BEST CHOICE INDUSTRIES LLC</v>
      </c>
      <c r="E486" s="676" t="s">
        <v>20</v>
      </c>
      <c r="F486" s="58">
        <v>1</v>
      </c>
      <c r="G486" s="58">
        <v>7000</v>
      </c>
      <c r="H486" s="58">
        <v>7000</v>
      </c>
      <c r="I486" s="58">
        <v>350</v>
      </c>
      <c r="J486" s="56" t="s">
        <v>1150</v>
      </c>
      <c r="K486" s="56" t="s">
        <v>160</v>
      </c>
      <c r="L486" s="292">
        <v>252</v>
      </c>
      <c r="M486" s="292" t="s">
        <v>1896</v>
      </c>
      <c r="N486" s="358">
        <v>7350.42</v>
      </c>
      <c r="O486" s="292">
        <v>7350</v>
      </c>
      <c r="P486" s="292"/>
      <c r="Q486" s="614">
        <v>7350</v>
      </c>
      <c r="R486" s="913">
        <f t="shared" si="32"/>
        <v>-0.42000000000007276</v>
      </c>
      <c r="S486" s="913">
        <f t="shared" si="33"/>
        <v>-0.42000000000007276</v>
      </c>
      <c r="T486" s="913">
        <f t="shared" si="34"/>
        <v>0</v>
      </c>
      <c r="U486" s="914">
        <f t="shared" si="35"/>
        <v>1</v>
      </c>
      <c r="V486" s="612"/>
      <c r="W486" s="612"/>
      <c r="X486" s="612"/>
      <c r="Y486" s="612"/>
      <c r="Z486" s="612"/>
      <c r="AA486" s="612"/>
      <c r="AB486" s="612"/>
      <c r="AC486" s="612"/>
    </row>
    <row r="487" spans="1:29">
      <c r="A487" s="48" t="s">
        <v>1223</v>
      </c>
      <c r="B487" s="60">
        <v>45509</v>
      </c>
      <c r="C487" s="54" t="s">
        <v>173</v>
      </c>
      <c r="D487" s="435" t="str">
        <f>IFERROR(VLOOKUP(C487,Mychart!$A$125:$B$811,2,FALSE),"-")</f>
        <v>BAB AL TABREED A/C UNITS FIX.CONT</v>
      </c>
      <c r="E487" s="676" t="s">
        <v>979</v>
      </c>
      <c r="F487" s="58">
        <v>161.35</v>
      </c>
      <c r="G487" s="58">
        <v>2.8</v>
      </c>
      <c r="H487" s="58">
        <v>500.78</v>
      </c>
      <c r="I487" s="58">
        <v>25.039000000000001</v>
      </c>
      <c r="J487" s="56" t="s">
        <v>1224</v>
      </c>
      <c r="K487" s="56" t="s">
        <v>161</v>
      </c>
      <c r="L487" s="292">
        <v>262</v>
      </c>
      <c r="M487" s="292"/>
      <c r="N487" s="358"/>
      <c r="O487" s="292"/>
      <c r="P487" s="292"/>
      <c r="Q487" s="614"/>
      <c r="R487" s="913">
        <f t="shared" si="32"/>
        <v>0</v>
      </c>
      <c r="S487" s="913">
        <f t="shared" si="33"/>
        <v>0</v>
      </c>
      <c r="T487" s="913">
        <f t="shared" si="34"/>
        <v>0</v>
      </c>
      <c r="U487" s="914">
        <f t="shared" si="35"/>
        <v>161.35</v>
      </c>
      <c r="V487" s="612"/>
      <c r="W487" s="612"/>
      <c r="X487" s="612"/>
      <c r="Y487" s="612"/>
      <c r="Z487" s="612"/>
      <c r="AA487" s="612"/>
      <c r="AB487" s="612"/>
      <c r="AC487" s="612"/>
    </row>
    <row r="488" spans="1:29">
      <c r="A488" s="48" t="s">
        <v>1223</v>
      </c>
      <c r="B488" s="60">
        <v>45509</v>
      </c>
      <c r="C488" s="54" t="s">
        <v>173</v>
      </c>
      <c r="D488" s="435" t="str">
        <f>IFERROR(VLOOKUP(C488,Mychart!$A$125:$B$811,2,FALSE),"-")</f>
        <v>BAB AL TABREED A/C UNITS FIX.CONT</v>
      </c>
      <c r="E488" s="676" t="s">
        <v>1118</v>
      </c>
      <c r="F488" s="58">
        <v>11</v>
      </c>
      <c r="G488" s="58">
        <v>3</v>
      </c>
      <c r="H488" s="58">
        <v>500.78</v>
      </c>
      <c r="I488" s="58">
        <v>25.039000000000001</v>
      </c>
      <c r="J488" s="56" t="s">
        <v>1224</v>
      </c>
      <c r="K488" s="56" t="s">
        <v>161</v>
      </c>
      <c r="L488" s="292">
        <v>262</v>
      </c>
      <c r="M488" s="292"/>
      <c r="N488" s="358"/>
      <c r="O488" s="292"/>
      <c r="P488" s="292"/>
      <c r="Q488" s="614"/>
      <c r="R488" s="913">
        <f t="shared" si="32"/>
        <v>0</v>
      </c>
      <c r="S488" s="913">
        <f t="shared" si="33"/>
        <v>0</v>
      </c>
      <c r="T488" s="913">
        <f t="shared" si="34"/>
        <v>0</v>
      </c>
      <c r="U488" s="914">
        <f t="shared" si="35"/>
        <v>11</v>
      </c>
      <c r="V488" s="612"/>
      <c r="W488" s="612"/>
      <c r="X488" s="612"/>
      <c r="Y488" s="612"/>
      <c r="Z488" s="612"/>
      <c r="AA488" s="612"/>
      <c r="AB488" s="612"/>
      <c r="AC488" s="612"/>
    </row>
    <row r="489" spans="1:29">
      <c r="A489" s="48" t="s">
        <v>1223</v>
      </c>
      <c r="B489" s="60">
        <v>45509</v>
      </c>
      <c r="C489" s="54" t="s">
        <v>173</v>
      </c>
      <c r="D489" s="435" t="str">
        <f>IFERROR(VLOOKUP(C489,Mychart!$A$125:$B$811,2,FALSE),"-")</f>
        <v>BAB AL TABREED A/C UNITS FIX.CONT</v>
      </c>
      <c r="E489" s="676" t="s">
        <v>1119</v>
      </c>
      <c r="F489" s="58">
        <v>8</v>
      </c>
      <c r="G489" s="58">
        <v>2</v>
      </c>
      <c r="H489" s="58">
        <v>500.78</v>
      </c>
      <c r="I489" s="58">
        <v>25.039000000000001</v>
      </c>
      <c r="J489" s="56" t="s">
        <v>1224</v>
      </c>
      <c r="K489" s="56" t="s">
        <v>161</v>
      </c>
      <c r="L489" s="292">
        <v>262</v>
      </c>
      <c r="M489" s="292" t="s">
        <v>1598</v>
      </c>
      <c r="N489" s="358">
        <v>525.82000000000005</v>
      </c>
      <c r="O489" s="292">
        <v>525.82000000000005</v>
      </c>
      <c r="P489" s="292"/>
      <c r="Q489" s="614">
        <v>525.81899999999996</v>
      </c>
      <c r="R489" s="913">
        <f t="shared" si="32"/>
        <v>0</v>
      </c>
      <c r="S489" s="913">
        <f t="shared" si="33"/>
        <v>-1.00000000009004E-3</v>
      </c>
      <c r="T489" s="913">
        <f t="shared" si="34"/>
        <v>-1.00000000009004E-3</v>
      </c>
      <c r="U489" s="914">
        <f t="shared" si="35"/>
        <v>8</v>
      </c>
      <c r="V489" s="612"/>
      <c r="W489" s="612"/>
      <c r="X489" s="612"/>
      <c r="Y489" s="612"/>
      <c r="Z489" s="612"/>
      <c r="AA489" s="612"/>
      <c r="AB489" s="612"/>
      <c r="AC489" s="612"/>
    </row>
    <row r="490" spans="1:29">
      <c r="A490" s="48" t="s">
        <v>1247</v>
      </c>
      <c r="B490" s="60">
        <v>45510</v>
      </c>
      <c r="C490" s="54" t="s">
        <v>173</v>
      </c>
      <c r="D490" s="435" t="str">
        <f>IFERROR(VLOOKUP(C490,Mychart!$A$125:$B$811,2,FALSE),"-")</f>
        <v>BAB AL TABREED A/C UNITS FIX.CONT</v>
      </c>
      <c r="E490" s="676" t="s">
        <v>979</v>
      </c>
      <c r="F490" s="58">
        <v>15</v>
      </c>
      <c r="G490" s="58">
        <v>2.8</v>
      </c>
      <c r="H490" s="58">
        <v>52</v>
      </c>
      <c r="I490" s="58">
        <v>2.6</v>
      </c>
      <c r="J490" s="56" t="s">
        <v>1248</v>
      </c>
      <c r="K490" s="56" t="s">
        <v>156</v>
      </c>
      <c r="L490" s="292">
        <v>233</v>
      </c>
      <c r="M490" s="292"/>
      <c r="N490" s="358"/>
      <c r="O490" s="292"/>
      <c r="P490" s="292" t="s">
        <v>1205</v>
      </c>
      <c r="Q490" s="614"/>
      <c r="R490" s="913">
        <f t="shared" si="32"/>
        <v>0</v>
      </c>
      <c r="S490" s="913">
        <f t="shared" si="33"/>
        <v>0</v>
      </c>
      <c r="T490" s="913">
        <f t="shared" si="34"/>
        <v>0</v>
      </c>
      <c r="U490" s="914" t="e">
        <f t="shared" si="35"/>
        <v>#VALUE!</v>
      </c>
      <c r="V490" s="612"/>
      <c r="W490" s="612"/>
      <c r="X490" s="612"/>
      <c r="Y490" s="612"/>
      <c r="Z490" s="612"/>
      <c r="AA490" s="612"/>
      <c r="AB490" s="612"/>
      <c r="AC490" s="612"/>
    </row>
    <row r="491" spans="1:29">
      <c r="A491" s="48" t="s">
        <v>1247</v>
      </c>
      <c r="B491" s="60">
        <v>45510</v>
      </c>
      <c r="C491" s="54" t="s">
        <v>173</v>
      </c>
      <c r="D491" s="435" t="str">
        <f>IFERROR(VLOOKUP(C491,Mychart!$A$125:$B$811,2,FALSE),"-")</f>
        <v>BAB AL TABREED A/C UNITS FIX.CONT</v>
      </c>
      <c r="E491" s="676" t="s">
        <v>1118</v>
      </c>
      <c r="F491" s="58">
        <v>2</v>
      </c>
      <c r="G491" s="58">
        <v>3</v>
      </c>
      <c r="H491" s="58">
        <v>52</v>
      </c>
      <c r="I491" s="58">
        <v>2.6</v>
      </c>
      <c r="J491" s="56" t="s">
        <v>1248</v>
      </c>
      <c r="K491" s="56" t="s">
        <v>156</v>
      </c>
      <c r="L491" s="292">
        <v>233</v>
      </c>
      <c r="M491" s="292"/>
      <c r="N491" s="358"/>
      <c r="O491" s="292"/>
      <c r="P491" s="292"/>
      <c r="Q491" s="614"/>
      <c r="R491" s="913">
        <f t="shared" si="32"/>
        <v>0</v>
      </c>
      <c r="S491" s="913">
        <f t="shared" si="33"/>
        <v>0</v>
      </c>
      <c r="T491" s="913">
        <f t="shared" si="34"/>
        <v>0</v>
      </c>
      <c r="U491" s="914">
        <f t="shared" si="35"/>
        <v>2</v>
      </c>
      <c r="V491" s="612"/>
      <c r="W491" s="612"/>
      <c r="X491" s="612"/>
      <c r="Y491" s="612"/>
      <c r="Z491" s="612"/>
      <c r="AA491" s="612"/>
      <c r="AB491" s="612"/>
      <c r="AC491" s="612"/>
    </row>
    <row r="492" spans="1:29">
      <c r="A492" s="48" t="s">
        <v>1247</v>
      </c>
      <c r="B492" s="60">
        <v>45510</v>
      </c>
      <c r="C492" s="54" t="s">
        <v>173</v>
      </c>
      <c r="D492" s="435" t="str">
        <f>IFERROR(VLOOKUP(C492,Mychart!$A$125:$B$811,2,FALSE),"-")</f>
        <v>BAB AL TABREED A/C UNITS FIX.CONT</v>
      </c>
      <c r="E492" s="676" t="s">
        <v>1119</v>
      </c>
      <c r="F492" s="58">
        <v>2</v>
      </c>
      <c r="G492" s="58">
        <v>2</v>
      </c>
      <c r="H492" s="58">
        <v>52</v>
      </c>
      <c r="I492" s="58">
        <v>2.6</v>
      </c>
      <c r="J492" s="56" t="s">
        <v>1248</v>
      </c>
      <c r="K492" s="56" t="s">
        <v>156</v>
      </c>
      <c r="L492" s="292">
        <v>233</v>
      </c>
      <c r="M492" s="292" t="s">
        <v>1599</v>
      </c>
      <c r="N492" s="358">
        <v>54.6</v>
      </c>
      <c r="O492" s="292">
        <v>54.6</v>
      </c>
      <c r="P492" s="292"/>
      <c r="Q492" s="614">
        <v>54.6</v>
      </c>
      <c r="R492" s="913">
        <f t="shared" si="32"/>
        <v>0</v>
      </c>
      <c r="S492" s="913">
        <f t="shared" si="33"/>
        <v>0</v>
      </c>
      <c r="T492" s="913">
        <f t="shared" si="34"/>
        <v>0</v>
      </c>
      <c r="U492" s="914">
        <f t="shared" si="35"/>
        <v>2</v>
      </c>
      <c r="V492" s="612"/>
      <c r="W492" s="612"/>
      <c r="X492" s="612"/>
      <c r="Y492" s="612"/>
      <c r="Z492" s="612"/>
      <c r="AA492" s="612"/>
      <c r="AB492" s="612"/>
      <c r="AC492" s="612"/>
    </row>
    <row r="493" spans="1:29">
      <c r="A493" s="48" t="s">
        <v>1249</v>
      </c>
      <c r="B493" s="60">
        <v>45511</v>
      </c>
      <c r="C493" s="54" t="s">
        <v>173</v>
      </c>
      <c r="D493" s="435" t="str">
        <f>IFERROR(VLOOKUP(C493,Mychart!$A$125:$B$811,2,FALSE),"-")</f>
        <v>BAB AL TABREED A/C UNITS FIX.CONT</v>
      </c>
      <c r="E493" s="676" t="s">
        <v>979</v>
      </c>
      <c r="F493" s="58">
        <v>442</v>
      </c>
      <c r="G493" s="58">
        <v>2.8</v>
      </c>
      <c r="H493" s="58">
        <v>1273.5999999999999</v>
      </c>
      <c r="I493" s="58">
        <v>63.68</v>
      </c>
      <c r="J493" s="56" t="s">
        <v>1250</v>
      </c>
      <c r="K493" s="56" t="s">
        <v>307</v>
      </c>
      <c r="L493" s="292">
        <v>279</v>
      </c>
      <c r="M493" s="292"/>
      <c r="N493" s="358"/>
      <c r="O493" s="292"/>
      <c r="P493" s="292" t="s">
        <v>1205</v>
      </c>
      <c r="Q493" s="614"/>
      <c r="R493" s="913">
        <f t="shared" si="32"/>
        <v>0</v>
      </c>
      <c r="S493" s="913">
        <f t="shared" si="33"/>
        <v>0</v>
      </c>
      <c r="T493" s="913">
        <f t="shared" si="34"/>
        <v>0</v>
      </c>
      <c r="U493" s="914" t="e">
        <f t="shared" si="35"/>
        <v>#VALUE!</v>
      </c>
      <c r="V493" s="612"/>
      <c r="W493" s="612"/>
      <c r="X493" s="612"/>
      <c r="Y493" s="612"/>
      <c r="Z493" s="612"/>
      <c r="AA493" s="612"/>
      <c r="AB493" s="612"/>
      <c r="AC493" s="612"/>
    </row>
    <row r="494" spans="1:29">
      <c r="A494" s="48" t="s">
        <v>1249</v>
      </c>
      <c r="B494" s="60">
        <v>45511</v>
      </c>
      <c r="C494" s="54" t="s">
        <v>173</v>
      </c>
      <c r="D494" s="435" t="str">
        <f>IFERROR(VLOOKUP(C494,Mychart!$A$125:$B$811,2,FALSE),"-")</f>
        <v>BAB AL TABREED A/C UNITS FIX.CONT</v>
      </c>
      <c r="E494" s="676" t="s">
        <v>1118</v>
      </c>
      <c r="F494" s="58">
        <v>8</v>
      </c>
      <c r="G494" s="58">
        <v>3</v>
      </c>
      <c r="H494" s="58">
        <v>1273.5999999999999</v>
      </c>
      <c r="I494" s="58">
        <v>63.68</v>
      </c>
      <c r="J494" s="56" t="s">
        <v>1250</v>
      </c>
      <c r="K494" s="56" t="s">
        <v>307</v>
      </c>
      <c r="L494" s="292">
        <v>279</v>
      </c>
      <c r="M494" s="292"/>
      <c r="N494" s="358"/>
      <c r="O494" s="292"/>
      <c r="P494" s="292"/>
      <c r="Q494" s="614"/>
      <c r="R494" s="913">
        <f t="shared" si="32"/>
        <v>0</v>
      </c>
      <c r="S494" s="913">
        <f t="shared" si="33"/>
        <v>0</v>
      </c>
      <c r="T494" s="913">
        <f t="shared" si="34"/>
        <v>0</v>
      </c>
      <c r="U494" s="914">
        <f t="shared" si="35"/>
        <v>8</v>
      </c>
      <c r="V494" s="612"/>
      <c r="W494" s="612"/>
      <c r="X494" s="612"/>
      <c r="Y494" s="612"/>
      <c r="Z494" s="612"/>
      <c r="AA494" s="612"/>
      <c r="AB494" s="612"/>
      <c r="AC494" s="612"/>
    </row>
    <row r="495" spans="1:29">
      <c r="A495" s="48" t="s">
        <v>1249</v>
      </c>
      <c r="B495" s="60">
        <v>45511</v>
      </c>
      <c r="C495" s="54" t="s">
        <v>173</v>
      </c>
      <c r="D495" s="435" t="str">
        <f>IFERROR(VLOOKUP(C495,Mychart!$A$125:$B$811,2,FALSE),"-")</f>
        <v>BAB AL TABREED A/C UNITS FIX.CONT</v>
      </c>
      <c r="E495" s="676" t="s">
        <v>1119</v>
      </c>
      <c r="F495" s="58">
        <v>6</v>
      </c>
      <c r="G495" s="58">
        <v>2</v>
      </c>
      <c r="H495" s="58">
        <v>1273.5999999999999</v>
      </c>
      <c r="I495" s="58">
        <v>63.68</v>
      </c>
      <c r="J495" s="56" t="s">
        <v>1250</v>
      </c>
      <c r="K495" s="56" t="s">
        <v>307</v>
      </c>
      <c r="L495" s="292">
        <v>279</v>
      </c>
      <c r="M495" s="292" t="s">
        <v>1600</v>
      </c>
      <c r="N495" s="358">
        <v>1337.3</v>
      </c>
      <c r="O495" s="292">
        <v>1337.3</v>
      </c>
      <c r="P495" s="292"/>
      <c r="Q495" s="614">
        <v>1337.28</v>
      </c>
      <c r="R495" s="913">
        <f t="shared" si="32"/>
        <v>0</v>
      </c>
      <c r="S495" s="913">
        <f t="shared" si="33"/>
        <v>-1.999999999998181E-2</v>
      </c>
      <c r="T495" s="913">
        <f t="shared" si="34"/>
        <v>-1.999999999998181E-2</v>
      </c>
      <c r="U495" s="914">
        <f t="shared" si="35"/>
        <v>6</v>
      </c>
      <c r="V495" s="612"/>
      <c r="W495" s="612"/>
      <c r="X495" s="612"/>
      <c r="Y495" s="612"/>
      <c r="Z495" s="612"/>
      <c r="AA495" s="612"/>
      <c r="AB495" s="612"/>
      <c r="AC495" s="612"/>
    </row>
    <row r="496" spans="1:29">
      <c r="A496" s="48" t="s">
        <v>1323</v>
      </c>
      <c r="B496" s="60">
        <v>45514</v>
      </c>
      <c r="C496" s="54" t="s">
        <v>171</v>
      </c>
      <c r="D496" s="435" t="str">
        <f>IFERROR(VLOOKUP(C496,Mychart!$A$125:$B$811,2,FALSE),"-")</f>
        <v>MACS -Al Muthathawerah</v>
      </c>
      <c r="E496" s="676" t="s">
        <v>985</v>
      </c>
      <c r="F496" s="58">
        <v>1495</v>
      </c>
      <c r="G496" s="58">
        <v>2.85</v>
      </c>
      <c r="H496" s="58">
        <v>4460.75</v>
      </c>
      <c r="I496" s="58">
        <v>223.03750000000002</v>
      </c>
      <c r="J496" s="56">
        <v>241470</v>
      </c>
      <c r="K496" s="56" t="s">
        <v>294</v>
      </c>
      <c r="L496" s="292">
        <v>275</v>
      </c>
      <c r="M496" s="292"/>
      <c r="N496" s="358"/>
      <c r="O496" s="292"/>
      <c r="P496" s="292"/>
      <c r="Q496" s="614"/>
      <c r="R496" s="913">
        <f t="shared" si="32"/>
        <v>0</v>
      </c>
      <c r="S496" s="913">
        <f t="shared" si="33"/>
        <v>0</v>
      </c>
      <c r="T496" s="913">
        <f t="shared" si="34"/>
        <v>0</v>
      </c>
      <c r="U496" s="914">
        <f t="shared" si="35"/>
        <v>1495</v>
      </c>
      <c r="V496" s="612"/>
      <c r="W496" s="612"/>
      <c r="X496" s="612"/>
      <c r="Y496" s="612"/>
      <c r="Z496" s="612"/>
      <c r="AA496" s="612"/>
      <c r="AB496" s="612"/>
      <c r="AC496" s="612"/>
    </row>
    <row r="497" spans="1:29">
      <c r="A497" s="48" t="s">
        <v>1323</v>
      </c>
      <c r="B497" s="60">
        <v>45514</v>
      </c>
      <c r="C497" s="54" t="s">
        <v>171</v>
      </c>
      <c r="D497" s="435" t="str">
        <f>IFERROR(VLOOKUP(C497,Mychart!$A$125:$B$811,2,FALSE),"-")</f>
        <v>MACS -Al Muthathawerah</v>
      </c>
      <c r="E497" s="676" t="s">
        <v>986</v>
      </c>
      <c r="F497" s="58">
        <v>70</v>
      </c>
      <c r="G497" s="58">
        <v>3.25</v>
      </c>
      <c r="H497" s="58">
        <v>4460.75</v>
      </c>
      <c r="I497" s="58">
        <v>223.03750000000002</v>
      </c>
      <c r="J497" s="56">
        <v>241470</v>
      </c>
      <c r="K497" s="56" t="s">
        <v>294</v>
      </c>
      <c r="L497" s="292">
        <v>275</v>
      </c>
      <c r="M497" s="292"/>
      <c r="N497" s="358"/>
      <c r="O497" s="292"/>
      <c r="P497" s="292"/>
      <c r="Q497" s="614"/>
      <c r="R497" s="913">
        <f t="shared" si="32"/>
        <v>0</v>
      </c>
      <c r="S497" s="913">
        <f t="shared" si="33"/>
        <v>0</v>
      </c>
      <c r="T497" s="913">
        <f t="shared" si="34"/>
        <v>0</v>
      </c>
      <c r="U497" s="914">
        <f t="shared" si="35"/>
        <v>70</v>
      </c>
      <c r="V497" s="612"/>
      <c r="W497" s="612"/>
      <c r="X497" s="612"/>
      <c r="Y497" s="612"/>
      <c r="Z497" s="612"/>
      <c r="AA497" s="612"/>
      <c r="AB497" s="612"/>
      <c r="AC497" s="612"/>
    </row>
    <row r="498" spans="1:29">
      <c r="A498" s="48" t="s">
        <v>1323</v>
      </c>
      <c r="B498" s="60">
        <v>45514</v>
      </c>
      <c r="C498" s="54" t="s">
        <v>171</v>
      </c>
      <c r="D498" s="435" t="str">
        <f>IFERROR(VLOOKUP(C498,Mychart!$A$125:$B$811,2,FALSE),"-")</f>
        <v>MACS -Al Muthathawerah</v>
      </c>
      <c r="E498" s="676" t="s">
        <v>987</v>
      </c>
      <c r="F498" s="58">
        <v>50</v>
      </c>
      <c r="G498" s="58">
        <v>2.25</v>
      </c>
      <c r="H498" s="58">
        <v>4460.75</v>
      </c>
      <c r="I498" s="58">
        <v>223.03750000000002</v>
      </c>
      <c r="J498" s="56">
        <v>241470</v>
      </c>
      <c r="K498" s="56" t="s">
        <v>294</v>
      </c>
      <c r="L498" s="292">
        <v>275</v>
      </c>
      <c r="M498" s="292"/>
      <c r="N498" s="358"/>
      <c r="O498" s="292"/>
      <c r="P498" s="292"/>
      <c r="Q498" s="614"/>
      <c r="R498" s="913">
        <f t="shared" si="32"/>
        <v>0</v>
      </c>
      <c r="S498" s="913">
        <f t="shared" si="33"/>
        <v>0</v>
      </c>
      <c r="T498" s="913">
        <f t="shared" si="34"/>
        <v>0</v>
      </c>
      <c r="U498" s="914">
        <f t="shared" si="35"/>
        <v>50</v>
      </c>
      <c r="V498" s="612"/>
      <c r="W498" s="612"/>
      <c r="X498" s="612"/>
      <c r="Y498" s="612"/>
      <c r="Z498" s="612"/>
      <c r="AA498" s="612"/>
      <c r="AB498" s="612"/>
      <c r="AC498" s="612"/>
    </row>
    <row r="499" spans="1:29">
      <c r="A499" s="48" t="s">
        <v>1323</v>
      </c>
      <c r="B499" s="60">
        <v>45514</v>
      </c>
      <c r="C499" s="54" t="s">
        <v>171</v>
      </c>
      <c r="D499" s="435" t="str">
        <f>IFERROR(VLOOKUP(C499,Mychart!$A$125:$B$811,2,FALSE),"-")</f>
        <v>MACS -Al Muthathawerah</v>
      </c>
      <c r="E499" s="676" t="s">
        <v>1324</v>
      </c>
      <c r="F499" s="58">
        <v>1</v>
      </c>
      <c r="G499" s="58">
        <v>-140</v>
      </c>
      <c r="H499" s="58">
        <v>4460.75</v>
      </c>
      <c r="I499" s="58">
        <v>223.03750000000002</v>
      </c>
      <c r="J499" s="56">
        <v>241470</v>
      </c>
      <c r="K499" s="56" t="s">
        <v>294</v>
      </c>
      <c r="L499" s="292">
        <v>275</v>
      </c>
      <c r="M499" s="292" t="s">
        <v>1842</v>
      </c>
      <c r="N499" s="358">
        <v>4683.8</v>
      </c>
      <c r="O499" s="292">
        <v>4684</v>
      </c>
      <c r="P499" s="292"/>
      <c r="Q499" s="614">
        <v>4683.7875000000004</v>
      </c>
      <c r="R499" s="913">
        <f t="shared" si="32"/>
        <v>0.1999999999998181</v>
      </c>
      <c r="S499" s="913">
        <f t="shared" si="33"/>
        <v>-1.2499999999818101E-2</v>
      </c>
      <c r="T499" s="913">
        <f t="shared" si="34"/>
        <v>-0.2124999999996362</v>
      </c>
      <c r="U499" s="914">
        <f t="shared" si="35"/>
        <v>1</v>
      </c>
      <c r="V499" s="612"/>
      <c r="W499" s="612"/>
      <c r="X499" s="612"/>
      <c r="Y499" s="612"/>
      <c r="Z499" s="612"/>
      <c r="AA499" s="612"/>
      <c r="AB499" s="612"/>
      <c r="AC499" s="612"/>
    </row>
    <row r="500" spans="1:29">
      <c r="A500" s="48" t="s">
        <v>1341</v>
      </c>
      <c r="B500" s="60">
        <v>45517</v>
      </c>
      <c r="C500" s="54" t="s">
        <v>173</v>
      </c>
      <c r="D500" s="435" t="str">
        <f>IFERROR(VLOOKUP(C500,Mychart!$A$125:$B$811,2,FALSE),"-")</f>
        <v>BAB AL TABREED A/C UNITS FIX.CONT</v>
      </c>
      <c r="E500" s="676" t="s">
        <v>979</v>
      </c>
      <c r="F500" s="58">
        <v>723</v>
      </c>
      <c r="G500" s="58">
        <v>2.8</v>
      </c>
      <c r="H500" s="58">
        <v>2197.6349999999998</v>
      </c>
      <c r="I500" s="58">
        <v>109.88175</v>
      </c>
      <c r="J500" s="56" t="s">
        <v>1340</v>
      </c>
      <c r="K500" s="56" t="s">
        <v>293</v>
      </c>
      <c r="L500" s="292">
        <v>246</v>
      </c>
      <c r="M500" s="292"/>
      <c r="N500" s="358"/>
      <c r="O500" s="292"/>
      <c r="P500" s="292" t="s">
        <v>1205</v>
      </c>
      <c r="Q500" s="614"/>
      <c r="R500" s="913">
        <f t="shared" si="32"/>
        <v>0</v>
      </c>
      <c r="S500" s="913">
        <f t="shared" si="33"/>
        <v>0</v>
      </c>
      <c r="T500" s="913">
        <f t="shared" si="34"/>
        <v>0</v>
      </c>
      <c r="U500" s="914" t="e">
        <f t="shared" si="35"/>
        <v>#VALUE!</v>
      </c>
      <c r="V500" s="612"/>
      <c r="W500" s="612"/>
      <c r="X500" s="612"/>
      <c r="Y500" s="612"/>
      <c r="Z500" s="612"/>
      <c r="AA500" s="612"/>
      <c r="AB500" s="612"/>
      <c r="AC500" s="612"/>
    </row>
    <row r="501" spans="1:29">
      <c r="A501" s="48" t="s">
        <v>1341</v>
      </c>
      <c r="B501" s="60">
        <v>45517</v>
      </c>
      <c r="C501" s="54" t="s">
        <v>173</v>
      </c>
      <c r="D501" s="435" t="str">
        <f>IFERROR(VLOOKUP(C501,Mychart!$A$125:$B$811,2,FALSE),"-")</f>
        <v>BAB AL TABREED A/C UNITS FIX.CONT</v>
      </c>
      <c r="E501" s="676" t="s">
        <v>1342</v>
      </c>
      <c r="F501" s="58">
        <v>27.21</v>
      </c>
      <c r="G501" s="58">
        <v>3.5</v>
      </c>
      <c r="H501" s="58">
        <v>2197.6349999999998</v>
      </c>
      <c r="I501" s="58">
        <v>109.88175</v>
      </c>
      <c r="J501" s="56" t="s">
        <v>1340</v>
      </c>
      <c r="K501" s="56" t="s">
        <v>293</v>
      </c>
      <c r="L501" s="292">
        <v>246</v>
      </c>
      <c r="M501" s="292"/>
      <c r="N501" s="358"/>
      <c r="O501" s="292"/>
      <c r="P501" s="292"/>
      <c r="Q501" s="614"/>
      <c r="R501" s="913">
        <f t="shared" si="32"/>
        <v>0</v>
      </c>
      <c r="S501" s="913">
        <f t="shared" si="33"/>
        <v>0</v>
      </c>
      <c r="T501" s="913">
        <f t="shared" si="34"/>
        <v>0</v>
      </c>
      <c r="U501" s="914">
        <f t="shared" si="35"/>
        <v>27.21</v>
      </c>
      <c r="V501" s="612"/>
      <c r="W501" s="612"/>
      <c r="X501" s="612"/>
      <c r="Y501" s="612"/>
      <c r="Z501" s="612"/>
      <c r="AA501" s="612"/>
      <c r="AB501" s="612"/>
      <c r="AC501" s="612"/>
    </row>
    <row r="502" spans="1:29">
      <c r="A502" s="48" t="s">
        <v>1341</v>
      </c>
      <c r="B502" s="60">
        <v>45517</v>
      </c>
      <c r="C502" s="54" t="s">
        <v>173</v>
      </c>
      <c r="D502" s="435" t="str">
        <f>IFERROR(VLOOKUP(C502,Mychart!$A$125:$B$811,2,FALSE),"-")</f>
        <v>BAB AL TABREED A/C UNITS FIX.CONT</v>
      </c>
      <c r="E502" s="676" t="s">
        <v>1118</v>
      </c>
      <c r="F502" s="58">
        <v>18</v>
      </c>
      <c r="G502" s="58">
        <v>3</v>
      </c>
      <c r="H502" s="58">
        <v>2197.6349999999998</v>
      </c>
      <c r="I502" s="58">
        <v>109.88175</v>
      </c>
      <c r="J502" s="56" t="s">
        <v>1340</v>
      </c>
      <c r="K502" s="56" t="s">
        <v>293</v>
      </c>
      <c r="L502" s="292">
        <v>246</v>
      </c>
      <c r="M502" s="292"/>
      <c r="N502" s="358"/>
      <c r="O502" s="292"/>
      <c r="P502" s="292"/>
      <c r="Q502" s="614"/>
      <c r="R502" s="913">
        <f t="shared" si="32"/>
        <v>0</v>
      </c>
      <c r="S502" s="913">
        <f t="shared" si="33"/>
        <v>0</v>
      </c>
      <c r="T502" s="913">
        <f t="shared" si="34"/>
        <v>0</v>
      </c>
      <c r="U502" s="914">
        <f t="shared" si="35"/>
        <v>18</v>
      </c>
      <c r="V502" s="612"/>
      <c r="W502" s="612"/>
      <c r="X502" s="612"/>
      <c r="Y502" s="612"/>
      <c r="Z502" s="612"/>
      <c r="AA502" s="612"/>
      <c r="AB502" s="612"/>
      <c r="AC502" s="612"/>
    </row>
    <row r="503" spans="1:29">
      <c r="A503" s="48" t="s">
        <v>1341</v>
      </c>
      <c r="B503" s="60">
        <v>45517</v>
      </c>
      <c r="C503" s="54" t="s">
        <v>173</v>
      </c>
      <c r="D503" s="435" t="str">
        <f>IFERROR(VLOOKUP(C503,Mychart!$A$125:$B$811,2,FALSE),"-")</f>
        <v>BAB AL TABREED A/C UNITS FIX.CONT</v>
      </c>
      <c r="E503" s="676" t="s">
        <v>1119</v>
      </c>
      <c r="F503" s="58">
        <v>12</v>
      </c>
      <c r="G503" s="58">
        <v>2</v>
      </c>
      <c r="H503" s="58">
        <v>2197.6349999999998</v>
      </c>
      <c r="I503" s="58">
        <v>109.88175</v>
      </c>
      <c r="J503" s="56" t="s">
        <v>1340</v>
      </c>
      <c r="K503" s="56" t="s">
        <v>293</v>
      </c>
      <c r="L503" s="292">
        <v>246</v>
      </c>
      <c r="M503" s="292" t="s">
        <v>1601</v>
      </c>
      <c r="N503" s="358">
        <v>2307.5</v>
      </c>
      <c r="O503" s="292">
        <v>2307.5</v>
      </c>
      <c r="P503" s="292"/>
      <c r="Q503" s="614">
        <v>2307.5167499999998</v>
      </c>
      <c r="R503" s="913">
        <f t="shared" si="32"/>
        <v>0</v>
      </c>
      <c r="S503" s="913">
        <f t="shared" si="33"/>
        <v>1.6749999999774445E-2</v>
      </c>
      <c r="T503" s="913">
        <f t="shared" si="34"/>
        <v>1.6749999999774445E-2</v>
      </c>
      <c r="U503" s="914">
        <f t="shared" si="35"/>
        <v>12</v>
      </c>
      <c r="V503" s="612"/>
      <c r="W503" s="612"/>
      <c r="X503" s="612"/>
      <c r="Y503" s="612"/>
      <c r="Z503" s="612"/>
      <c r="AA503" s="612"/>
      <c r="AB503" s="612"/>
      <c r="AC503" s="612"/>
    </row>
    <row r="504" spans="1:29">
      <c r="A504" s="48" t="s">
        <v>1362</v>
      </c>
      <c r="B504" s="60">
        <v>45493</v>
      </c>
      <c r="C504" s="54" t="s">
        <v>173</v>
      </c>
      <c r="D504" s="435" t="str">
        <f>IFERROR(VLOOKUP(C504,Mychart!$A$125:$B$811,2,FALSE),"-")</f>
        <v>BAB AL TABREED A/C UNITS FIX.CONT</v>
      </c>
      <c r="E504" s="676" t="s">
        <v>979</v>
      </c>
      <c r="F504" s="58">
        <v>15.3</v>
      </c>
      <c r="G504" s="58">
        <v>2.8</v>
      </c>
      <c r="H504" s="58">
        <v>55.839999999999996</v>
      </c>
      <c r="I504" s="58">
        <v>2.7919999999999998</v>
      </c>
      <c r="J504" s="56" t="s">
        <v>1363</v>
      </c>
      <c r="K504" s="56" t="s">
        <v>269</v>
      </c>
      <c r="L504" s="292">
        <v>256</v>
      </c>
      <c r="M504" s="292"/>
      <c r="N504" s="358"/>
      <c r="O504" s="292"/>
      <c r="P504" s="292"/>
      <c r="Q504" s="614"/>
      <c r="R504" s="913">
        <f t="shared" si="32"/>
        <v>0</v>
      </c>
      <c r="S504" s="913">
        <f t="shared" si="33"/>
        <v>0</v>
      </c>
      <c r="T504" s="913">
        <f t="shared" si="34"/>
        <v>0</v>
      </c>
      <c r="U504" s="914">
        <f t="shared" si="35"/>
        <v>15.3</v>
      </c>
      <c r="V504" s="612"/>
      <c r="W504" s="612"/>
      <c r="X504" s="612"/>
      <c r="Y504" s="612"/>
      <c r="Z504" s="612"/>
      <c r="AA504" s="612"/>
      <c r="AB504" s="612"/>
      <c r="AC504" s="612"/>
    </row>
    <row r="505" spans="1:29">
      <c r="A505" s="48" t="s">
        <v>1362</v>
      </c>
      <c r="B505" s="60">
        <v>45493</v>
      </c>
      <c r="C505" s="54" t="s">
        <v>173</v>
      </c>
      <c r="D505" s="435" t="str">
        <f>IFERROR(VLOOKUP(C505,Mychart!$A$125:$B$811,2,FALSE),"-")</f>
        <v>BAB AL TABREED A/C UNITS FIX.CONT</v>
      </c>
      <c r="E505" s="676" t="s">
        <v>1118</v>
      </c>
      <c r="F505" s="58">
        <v>3</v>
      </c>
      <c r="G505" s="58">
        <v>3</v>
      </c>
      <c r="H505" s="58">
        <v>55.839999999999996</v>
      </c>
      <c r="I505" s="58">
        <v>2.7919999999999998</v>
      </c>
      <c r="J505" s="56" t="s">
        <v>1363</v>
      </c>
      <c r="K505" s="56" t="s">
        <v>269</v>
      </c>
      <c r="L505" s="292">
        <v>256</v>
      </c>
      <c r="M505" s="292"/>
      <c r="N505" s="358"/>
      <c r="O505" s="292"/>
      <c r="P505" s="292"/>
      <c r="Q505" s="614"/>
      <c r="R505" s="913">
        <f t="shared" si="32"/>
        <v>0</v>
      </c>
      <c r="S505" s="913">
        <f t="shared" si="33"/>
        <v>0</v>
      </c>
      <c r="T505" s="913">
        <f t="shared" si="34"/>
        <v>0</v>
      </c>
      <c r="U505" s="914">
        <f t="shared" si="35"/>
        <v>3</v>
      </c>
      <c r="V505" s="612"/>
      <c r="W505" s="612"/>
      <c r="X505" s="612"/>
      <c r="Y505" s="612"/>
      <c r="Z505" s="612"/>
      <c r="AA505" s="612"/>
      <c r="AB505" s="612"/>
      <c r="AC505" s="612"/>
    </row>
    <row r="506" spans="1:29">
      <c r="A506" s="48" t="s">
        <v>1362</v>
      </c>
      <c r="B506" s="60">
        <v>45493</v>
      </c>
      <c r="C506" s="54" t="s">
        <v>173</v>
      </c>
      <c r="D506" s="435" t="str">
        <f>IFERROR(VLOOKUP(C506,Mychart!$A$125:$B$811,2,FALSE),"-")</f>
        <v>BAB AL TABREED A/C UNITS FIX.CONT</v>
      </c>
      <c r="E506" s="676" t="s">
        <v>1119</v>
      </c>
      <c r="F506" s="58">
        <v>2</v>
      </c>
      <c r="G506" s="58">
        <v>2</v>
      </c>
      <c r="H506" s="58">
        <v>55.839999999999996</v>
      </c>
      <c r="I506" s="58">
        <v>2.7919999999999998</v>
      </c>
      <c r="J506" s="56" t="s">
        <v>1363</v>
      </c>
      <c r="K506" s="56" t="s">
        <v>269</v>
      </c>
      <c r="L506" s="292">
        <v>256</v>
      </c>
      <c r="M506" s="292" t="s">
        <v>1597</v>
      </c>
      <c r="N506" s="358">
        <v>58</v>
      </c>
      <c r="O506" s="292">
        <v>58</v>
      </c>
      <c r="P506" s="292"/>
      <c r="Q506" s="614">
        <v>58.631999999999998</v>
      </c>
      <c r="R506" s="913">
        <f t="shared" si="32"/>
        <v>0</v>
      </c>
      <c r="S506" s="913">
        <f t="shared" si="33"/>
        <v>0.6319999999999979</v>
      </c>
      <c r="T506" s="913">
        <f t="shared" si="34"/>
        <v>0.6319999999999979</v>
      </c>
      <c r="U506" s="914">
        <f t="shared" si="35"/>
        <v>2</v>
      </c>
      <c r="V506" s="612"/>
      <c r="W506" s="612"/>
      <c r="X506" s="612"/>
      <c r="Y506" s="612"/>
      <c r="Z506" s="612"/>
      <c r="AA506" s="612"/>
      <c r="AB506" s="612"/>
      <c r="AC506" s="612"/>
    </row>
    <row r="507" spans="1:29">
      <c r="A507" s="48" t="s">
        <v>1402</v>
      </c>
      <c r="B507" s="60">
        <v>45524</v>
      </c>
      <c r="C507" s="54" t="s">
        <v>172</v>
      </c>
      <c r="D507" s="435" t="str">
        <f>IFERROR(VLOOKUP(C507,Mychart!$A$125:$B$811,2,FALSE),"-")</f>
        <v>BEST CHOICE INDUSTRIES LLC</v>
      </c>
      <c r="E507" s="676" t="s">
        <v>1380</v>
      </c>
      <c r="F507" s="58">
        <v>1</v>
      </c>
      <c r="G507" s="58">
        <v>6096</v>
      </c>
      <c r="H507" s="58">
        <v>6096</v>
      </c>
      <c r="I507" s="58">
        <v>304.8</v>
      </c>
      <c r="J507" s="56" t="s">
        <v>1403</v>
      </c>
      <c r="K507" s="56" t="s">
        <v>284</v>
      </c>
      <c r="L507" s="292">
        <v>237</v>
      </c>
      <c r="M507" s="292"/>
      <c r="N507" s="358"/>
      <c r="O507" s="292"/>
      <c r="P507" s="292" t="s">
        <v>1205</v>
      </c>
      <c r="Q507" s="614"/>
      <c r="R507" s="913">
        <f t="shared" si="32"/>
        <v>0</v>
      </c>
      <c r="S507" s="913">
        <f t="shared" si="33"/>
        <v>0</v>
      </c>
      <c r="T507" s="913">
        <f t="shared" si="34"/>
        <v>0</v>
      </c>
      <c r="U507" s="914" t="e">
        <f t="shared" si="35"/>
        <v>#VALUE!</v>
      </c>
      <c r="V507" s="612"/>
      <c r="W507" s="612"/>
      <c r="X507" s="612"/>
      <c r="Y507" s="612"/>
      <c r="Z507" s="612"/>
      <c r="AA507" s="612"/>
      <c r="AB507" s="612"/>
      <c r="AC507" s="612"/>
    </row>
    <row r="508" spans="1:29">
      <c r="A508" s="48" t="s">
        <v>1402</v>
      </c>
      <c r="B508" s="60">
        <v>45524</v>
      </c>
      <c r="C508" s="54" t="s">
        <v>172</v>
      </c>
      <c r="D508" s="435" t="str">
        <f>IFERROR(VLOOKUP(C508,Mychart!$A$125:$B$811,2,FALSE),"-")</f>
        <v>BEST CHOICE INDUSTRIES LLC</v>
      </c>
      <c r="E508" s="676" t="s">
        <v>1381</v>
      </c>
      <c r="F508" s="58">
        <v>1</v>
      </c>
      <c r="G508" s="58"/>
      <c r="H508" s="58">
        <v>6096</v>
      </c>
      <c r="I508" s="58">
        <v>304.8</v>
      </c>
      <c r="J508" s="56" t="s">
        <v>1403</v>
      </c>
      <c r="K508" s="56" t="s">
        <v>284</v>
      </c>
      <c r="L508" s="292">
        <v>237</v>
      </c>
      <c r="M508" s="292"/>
      <c r="N508" s="358"/>
      <c r="O508" s="292"/>
      <c r="P508" s="292" t="s">
        <v>1746</v>
      </c>
      <c r="Q508" s="614"/>
      <c r="R508" s="913">
        <f t="shared" si="32"/>
        <v>0</v>
      </c>
      <c r="S508" s="913">
        <f t="shared" si="33"/>
        <v>0</v>
      </c>
      <c r="T508" s="913">
        <f t="shared" si="34"/>
        <v>0</v>
      </c>
      <c r="U508" s="914" t="e">
        <f t="shared" si="35"/>
        <v>#VALUE!</v>
      </c>
      <c r="V508" s="612"/>
      <c r="W508" s="612"/>
      <c r="X508" s="612"/>
      <c r="Y508" s="612"/>
      <c r="Z508" s="612"/>
      <c r="AA508" s="612"/>
      <c r="AB508" s="612"/>
      <c r="AC508" s="612"/>
    </row>
    <row r="509" spans="1:29">
      <c r="A509" s="48" t="s">
        <v>1402</v>
      </c>
      <c r="B509" s="60">
        <v>45524</v>
      </c>
      <c r="C509" s="54" t="s">
        <v>172</v>
      </c>
      <c r="D509" s="435" t="str">
        <f>IFERROR(VLOOKUP(C509,Mychart!$A$125:$B$811,2,FALSE),"-")</f>
        <v>BEST CHOICE INDUSTRIES LLC</v>
      </c>
      <c r="E509" s="676" t="s">
        <v>1382</v>
      </c>
      <c r="F509" s="58">
        <v>2</v>
      </c>
      <c r="G509" s="58"/>
      <c r="H509" s="58">
        <v>6096</v>
      </c>
      <c r="I509" s="58">
        <v>304.8</v>
      </c>
      <c r="J509" s="56" t="s">
        <v>1403</v>
      </c>
      <c r="K509" s="56" t="s">
        <v>284</v>
      </c>
      <c r="L509" s="292">
        <v>237</v>
      </c>
      <c r="M509" s="292"/>
      <c r="N509" s="358"/>
      <c r="O509" s="292"/>
      <c r="P509" s="292"/>
      <c r="Q509" s="614"/>
      <c r="R509" s="913">
        <f t="shared" si="32"/>
        <v>0</v>
      </c>
      <c r="S509" s="913">
        <f t="shared" si="33"/>
        <v>0</v>
      </c>
      <c r="T509" s="913">
        <f t="shared" si="34"/>
        <v>0</v>
      </c>
      <c r="U509" s="914">
        <f t="shared" si="35"/>
        <v>2</v>
      </c>
      <c r="V509" s="612"/>
      <c r="W509" s="612"/>
      <c r="X509" s="612"/>
      <c r="Y509" s="612"/>
      <c r="Z509" s="612"/>
      <c r="AA509" s="612"/>
      <c r="AB509" s="612"/>
      <c r="AC509" s="612"/>
    </row>
    <row r="510" spans="1:29">
      <c r="A510" s="48" t="s">
        <v>1402</v>
      </c>
      <c r="B510" s="60">
        <v>45524</v>
      </c>
      <c r="C510" s="54" t="s">
        <v>172</v>
      </c>
      <c r="D510" s="435" t="str">
        <f>IFERROR(VLOOKUP(C510,Mychart!$A$125:$B$811,2,FALSE),"-")</f>
        <v>BEST CHOICE INDUSTRIES LLC</v>
      </c>
      <c r="E510" s="676" t="s">
        <v>1383</v>
      </c>
      <c r="F510" s="58">
        <v>1</v>
      </c>
      <c r="G510" s="58"/>
      <c r="H510" s="58">
        <v>6096</v>
      </c>
      <c r="I510" s="58">
        <v>304.8</v>
      </c>
      <c r="J510" s="56" t="s">
        <v>1403</v>
      </c>
      <c r="K510" s="56" t="s">
        <v>284</v>
      </c>
      <c r="L510" s="292">
        <v>237</v>
      </c>
      <c r="M510" s="292"/>
      <c r="N510" s="358"/>
      <c r="O510" s="292"/>
      <c r="P510" s="292"/>
      <c r="Q510" s="614"/>
      <c r="R510" s="913">
        <f t="shared" si="32"/>
        <v>0</v>
      </c>
      <c r="S510" s="913">
        <f t="shared" si="33"/>
        <v>0</v>
      </c>
      <c r="T510" s="913">
        <f t="shared" si="34"/>
        <v>0</v>
      </c>
      <c r="U510" s="914">
        <f t="shared" si="35"/>
        <v>1</v>
      </c>
      <c r="V510" s="612"/>
      <c r="W510" s="612"/>
      <c r="X510" s="612"/>
      <c r="Y510" s="612"/>
      <c r="Z510" s="612"/>
      <c r="AA510" s="612"/>
      <c r="AB510" s="612"/>
      <c r="AC510" s="612"/>
    </row>
    <row r="511" spans="1:29">
      <c r="A511" s="48" t="s">
        <v>1402</v>
      </c>
      <c r="B511" s="60">
        <v>45524</v>
      </c>
      <c r="C511" s="54" t="s">
        <v>172</v>
      </c>
      <c r="D511" s="435" t="str">
        <f>IFERROR(VLOOKUP(C511,Mychart!$A$125:$B$811,2,FALSE),"-")</f>
        <v>BEST CHOICE INDUSTRIES LLC</v>
      </c>
      <c r="E511" s="676" t="s">
        <v>1384</v>
      </c>
      <c r="F511" s="58">
        <v>1</v>
      </c>
      <c r="G511" s="58"/>
      <c r="H511" s="58">
        <v>6096</v>
      </c>
      <c r="I511" s="58">
        <v>304.8</v>
      </c>
      <c r="J511" s="56" t="s">
        <v>1403</v>
      </c>
      <c r="K511" s="56" t="s">
        <v>284</v>
      </c>
      <c r="L511" s="292">
        <v>237</v>
      </c>
      <c r="M511" s="292"/>
      <c r="N511" s="358"/>
      <c r="O511" s="292"/>
      <c r="P511" s="292"/>
      <c r="Q511" s="614"/>
      <c r="R511" s="913">
        <f t="shared" si="32"/>
        <v>0</v>
      </c>
      <c r="S511" s="913">
        <f t="shared" si="33"/>
        <v>0</v>
      </c>
      <c r="T511" s="913">
        <f t="shared" si="34"/>
        <v>0</v>
      </c>
      <c r="U511" s="914">
        <f t="shared" si="35"/>
        <v>1</v>
      </c>
      <c r="V511" s="612"/>
      <c r="W511" s="612"/>
      <c r="X511" s="612"/>
      <c r="Y511" s="612"/>
      <c r="Z511" s="612"/>
      <c r="AA511" s="612"/>
      <c r="AB511" s="612"/>
      <c r="AC511" s="612"/>
    </row>
    <row r="512" spans="1:29">
      <c r="A512" s="48" t="s">
        <v>1402</v>
      </c>
      <c r="B512" s="60">
        <v>45524</v>
      </c>
      <c r="C512" s="54" t="s">
        <v>172</v>
      </c>
      <c r="D512" s="435" t="str">
        <f>IFERROR(VLOOKUP(C512,Mychart!$A$125:$B$811,2,FALSE),"-")</f>
        <v>BEST CHOICE INDUSTRIES LLC</v>
      </c>
      <c r="E512" s="676" t="s">
        <v>1385</v>
      </c>
      <c r="F512" s="58">
        <v>2</v>
      </c>
      <c r="G512" s="58"/>
      <c r="H512" s="58">
        <v>6096</v>
      </c>
      <c r="I512" s="58">
        <v>304.8</v>
      </c>
      <c r="J512" s="56" t="s">
        <v>1403</v>
      </c>
      <c r="K512" s="56" t="s">
        <v>284</v>
      </c>
      <c r="L512" s="292">
        <v>237</v>
      </c>
      <c r="M512" s="292"/>
      <c r="N512" s="358"/>
      <c r="O512" s="292"/>
      <c r="P512" s="292"/>
      <c r="Q512" s="614"/>
      <c r="R512" s="913">
        <f t="shared" si="32"/>
        <v>0</v>
      </c>
      <c r="S512" s="913">
        <f t="shared" si="33"/>
        <v>0</v>
      </c>
      <c r="T512" s="913">
        <f t="shared" si="34"/>
        <v>0</v>
      </c>
      <c r="U512" s="914">
        <f t="shared" si="35"/>
        <v>2</v>
      </c>
      <c r="V512" s="612"/>
      <c r="W512" s="612"/>
      <c r="X512" s="612"/>
      <c r="Y512" s="612"/>
      <c r="Z512" s="612"/>
      <c r="AA512" s="612"/>
      <c r="AB512" s="612"/>
      <c r="AC512" s="612"/>
    </row>
    <row r="513" spans="1:29">
      <c r="A513" s="48" t="s">
        <v>1402</v>
      </c>
      <c r="B513" s="60">
        <v>45524</v>
      </c>
      <c r="C513" s="54" t="s">
        <v>172</v>
      </c>
      <c r="D513" s="435" t="str">
        <f>IFERROR(VLOOKUP(C513,Mychart!$A$125:$B$811,2,FALSE),"-")</f>
        <v>BEST CHOICE INDUSTRIES LLC</v>
      </c>
      <c r="E513" s="676" t="s">
        <v>1386</v>
      </c>
      <c r="F513" s="58">
        <v>2</v>
      </c>
      <c r="G513" s="58"/>
      <c r="H513" s="58">
        <v>6096</v>
      </c>
      <c r="I513" s="58">
        <v>304.8</v>
      </c>
      <c r="J513" s="56" t="s">
        <v>1403</v>
      </c>
      <c r="K513" s="56" t="s">
        <v>284</v>
      </c>
      <c r="L513" s="292">
        <v>237</v>
      </c>
      <c r="M513" s="292"/>
      <c r="N513" s="358"/>
      <c r="O513" s="292"/>
      <c r="P513" s="292"/>
      <c r="Q513" s="614"/>
      <c r="R513" s="913">
        <f t="shared" si="32"/>
        <v>0</v>
      </c>
      <c r="S513" s="913">
        <f t="shared" si="33"/>
        <v>0</v>
      </c>
      <c r="T513" s="913">
        <f t="shared" si="34"/>
        <v>0</v>
      </c>
      <c r="U513" s="914">
        <f t="shared" si="35"/>
        <v>2</v>
      </c>
      <c r="V513" s="612"/>
      <c r="W513" s="612"/>
      <c r="X513" s="612"/>
      <c r="Y513" s="612"/>
      <c r="Z513" s="612"/>
      <c r="AA513" s="612"/>
      <c r="AB513" s="612"/>
      <c r="AC513" s="612"/>
    </row>
    <row r="514" spans="1:29">
      <c r="A514" s="48" t="s">
        <v>1402</v>
      </c>
      <c r="B514" s="60">
        <v>45524</v>
      </c>
      <c r="C514" s="54" t="s">
        <v>172</v>
      </c>
      <c r="D514" s="435" t="str">
        <f>IFERROR(VLOOKUP(C514,Mychart!$A$125:$B$811,2,FALSE),"-")</f>
        <v>BEST CHOICE INDUSTRIES LLC</v>
      </c>
      <c r="E514" s="676" t="s">
        <v>1387</v>
      </c>
      <c r="F514" s="58">
        <v>1</v>
      </c>
      <c r="G514" s="58"/>
      <c r="H514" s="58">
        <v>6096</v>
      </c>
      <c r="I514" s="58">
        <v>304.8</v>
      </c>
      <c r="J514" s="56" t="s">
        <v>1403</v>
      </c>
      <c r="K514" s="56" t="s">
        <v>284</v>
      </c>
      <c r="L514" s="292">
        <v>237</v>
      </c>
      <c r="M514" s="292"/>
      <c r="N514" s="358"/>
      <c r="O514" s="292"/>
      <c r="P514" s="292"/>
      <c r="Q514" s="614"/>
      <c r="R514" s="913">
        <f t="shared" si="32"/>
        <v>0</v>
      </c>
      <c r="S514" s="913">
        <f t="shared" si="33"/>
        <v>0</v>
      </c>
      <c r="T514" s="913">
        <f t="shared" si="34"/>
        <v>0</v>
      </c>
      <c r="U514" s="914">
        <f t="shared" si="35"/>
        <v>1</v>
      </c>
      <c r="V514" s="612"/>
      <c r="W514" s="612"/>
      <c r="X514" s="612"/>
      <c r="Y514" s="612"/>
      <c r="Z514" s="612"/>
      <c r="AA514" s="612"/>
      <c r="AB514" s="612"/>
      <c r="AC514" s="612"/>
    </row>
    <row r="515" spans="1:29">
      <c r="A515" s="48" t="s">
        <v>1402</v>
      </c>
      <c r="B515" s="60">
        <v>45524</v>
      </c>
      <c r="C515" s="54" t="s">
        <v>172</v>
      </c>
      <c r="D515" s="435" t="str">
        <f>IFERROR(VLOOKUP(C515,Mychart!$A$125:$B$811,2,FALSE),"-")</f>
        <v>BEST CHOICE INDUSTRIES LLC</v>
      </c>
      <c r="E515" s="676" t="s">
        <v>1388</v>
      </c>
      <c r="F515" s="58">
        <v>1</v>
      </c>
      <c r="G515" s="58"/>
      <c r="H515" s="58">
        <v>6096</v>
      </c>
      <c r="I515" s="58">
        <v>304.8</v>
      </c>
      <c r="J515" s="56" t="s">
        <v>1403</v>
      </c>
      <c r="K515" s="56" t="s">
        <v>284</v>
      </c>
      <c r="L515" s="292">
        <v>237</v>
      </c>
      <c r="M515" s="292"/>
      <c r="N515" s="358"/>
      <c r="O515" s="292"/>
      <c r="P515" s="292"/>
      <c r="Q515" s="614"/>
      <c r="R515" s="913">
        <f t="shared" si="32"/>
        <v>0</v>
      </c>
      <c r="S515" s="913">
        <f t="shared" si="33"/>
        <v>0</v>
      </c>
      <c r="T515" s="913">
        <f t="shared" si="34"/>
        <v>0</v>
      </c>
      <c r="U515" s="914">
        <f t="shared" si="35"/>
        <v>1</v>
      </c>
      <c r="V515" s="612"/>
      <c r="W515" s="612"/>
      <c r="X515" s="612"/>
      <c r="Y515" s="612"/>
      <c r="Z515" s="612"/>
      <c r="AA515" s="612"/>
      <c r="AB515" s="612"/>
      <c r="AC515" s="612"/>
    </row>
    <row r="516" spans="1:29">
      <c r="A516" s="48" t="s">
        <v>1402</v>
      </c>
      <c r="B516" s="60">
        <v>45524</v>
      </c>
      <c r="C516" s="54" t="s">
        <v>172</v>
      </c>
      <c r="D516" s="435" t="str">
        <f>IFERROR(VLOOKUP(C516,Mychart!$A$125:$B$811,2,FALSE),"-")</f>
        <v>BEST CHOICE INDUSTRIES LLC</v>
      </c>
      <c r="E516" s="676" t="s">
        <v>1389</v>
      </c>
      <c r="F516" s="58">
        <v>2</v>
      </c>
      <c r="G516" s="58"/>
      <c r="H516" s="58">
        <v>6096</v>
      </c>
      <c r="I516" s="58">
        <v>304.8</v>
      </c>
      <c r="J516" s="56" t="s">
        <v>1403</v>
      </c>
      <c r="K516" s="56" t="s">
        <v>284</v>
      </c>
      <c r="L516" s="292">
        <v>237</v>
      </c>
      <c r="M516" s="292"/>
      <c r="N516" s="358"/>
      <c r="O516" s="292"/>
      <c r="P516" s="292"/>
      <c r="Q516" s="614"/>
      <c r="R516" s="913">
        <f t="shared" si="32"/>
        <v>0</v>
      </c>
      <c r="S516" s="913">
        <f t="shared" si="33"/>
        <v>0</v>
      </c>
      <c r="T516" s="913">
        <f t="shared" si="34"/>
        <v>0</v>
      </c>
      <c r="U516" s="914">
        <f t="shared" si="35"/>
        <v>2</v>
      </c>
      <c r="V516" s="612"/>
      <c r="W516" s="612"/>
      <c r="X516" s="612"/>
      <c r="Y516" s="612"/>
      <c r="Z516" s="612"/>
      <c r="AA516" s="612"/>
      <c r="AB516" s="612"/>
      <c r="AC516" s="612"/>
    </row>
    <row r="517" spans="1:29">
      <c r="A517" s="48" t="s">
        <v>1402</v>
      </c>
      <c r="B517" s="60">
        <v>45524</v>
      </c>
      <c r="C517" s="54" t="s">
        <v>172</v>
      </c>
      <c r="D517" s="435" t="str">
        <f>IFERROR(VLOOKUP(C517,Mychart!$A$125:$B$811,2,FALSE),"-")</f>
        <v>BEST CHOICE INDUSTRIES LLC</v>
      </c>
      <c r="E517" s="676" t="s">
        <v>1390</v>
      </c>
      <c r="F517" s="58">
        <v>1</v>
      </c>
      <c r="G517" s="58"/>
      <c r="H517" s="58">
        <v>6096</v>
      </c>
      <c r="I517" s="58">
        <v>304.8</v>
      </c>
      <c r="J517" s="56" t="s">
        <v>1403</v>
      </c>
      <c r="K517" s="56" t="s">
        <v>284</v>
      </c>
      <c r="L517" s="292">
        <v>237</v>
      </c>
      <c r="M517" s="292"/>
      <c r="N517" s="358"/>
      <c r="O517" s="292"/>
      <c r="P517" s="292"/>
      <c r="Q517" s="614"/>
      <c r="R517" s="913">
        <f t="shared" si="32"/>
        <v>0</v>
      </c>
      <c r="S517" s="913">
        <f t="shared" si="33"/>
        <v>0</v>
      </c>
      <c r="T517" s="913">
        <f t="shared" si="34"/>
        <v>0</v>
      </c>
      <c r="U517" s="914">
        <f t="shared" si="35"/>
        <v>1</v>
      </c>
      <c r="V517" s="612"/>
      <c r="W517" s="612"/>
      <c r="X517" s="612"/>
      <c r="Y517" s="612"/>
      <c r="Z517" s="612"/>
      <c r="AA517" s="612"/>
      <c r="AB517" s="612"/>
      <c r="AC517" s="612"/>
    </row>
    <row r="518" spans="1:29">
      <c r="A518" s="48" t="s">
        <v>1402</v>
      </c>
      <c r="B518" s="60">
        <v>45524</v>
      </c>
      <c r="C518" s="54" t="s">
        <v>172</v>
      </c>
      <c r="D518" s="435" t="str">
        <f>IFERROR(VLOOKUP(C518,Mychart!$A$125:$B$811,2,FALSE),"-")</f>
        <v>BEST CHOICE INDUSTRIES LLC</v>
      </c>
      <c r="E518" s="676" t="s">
        <v>1391</v>
      </c>
      <c r="F518" s="58">
        <v>1</v>
      </c>
      <c r="G518" s="58"/>
      <c r="H518" s="58">
        <v>6096</v>
      </c>
      <c r="I518" s="58">
        <v>304.8</v>
      </c>
      <c r="J518" s="56" t="s">
        <v>1403</v>
      </c>
      <c r="K518" s="56" t="s">
        <v>284</v>
      </c>
      <c r="L518" s="292">
        <v>237</v>
      </c>
      <c r="M518" s="292"/>
      <c r="N518" s="358"/>
      <c r="O518" s="292"/>
      <c r="P518" s="292"/>
      <c r="Q518" s="614"/>
      <c r="R518" s="913">
        <f t="shared" si="32"/>
        <v>0</v>
      </c>
      <c r="S518" s="913">
        <f t="shared" si="33"/>
        <v>0</v>
      </c>
      <c r="T518" s="913">
        <f t="shared" si="34"/>
        <v>0</v>
      </c>
      <c r="U518" s="914">
        <f t="shared" si="35"/>
        <v>1</v>
      </c>
      <c r="V518" s="612"/>
      <c r="W518" s="612"/>
      <c r="X518" s="612"/>
      <c r="Y518" s="612"/>
      <c r="Z518" s="612"/>
      <c r="AA518" s="612"/>
      <c r="AB518" s="612"/>
      <c r="AC518" s="612"/>
    </row>
    <row r="519" spans="1:29">
      <c r="A519" s="48" t="s">
        <v>1402</v>
      </c>
      <c r="B519" s="60">
        <v>45524</v>
      </c>
      <c r="C519" s="54" t="s">
        <v>172</v>
      </c>
      <c r="D519" s="435" t="str">
        <f>IFERROR(VLOOKUP(C519,Mychart!$A$125:$B$811,2,FALSE),"-")</f>
        <v>BEST CHOICE INDUSTRIES LLC</v>
      </c>
      <c r="E519" s="676" t="s">
        <v>1392</v>
      </c>
      <c r="F519" s="58">
        <v>1</v>
      </c>
      <c r="G519" s="58"/>
      <c r="H519" s="58">
        <v>6096</v>
      </c>
      <c r="I519" s="58">
        <v>304.8</v>
      </c>
      <c r="J519" s="56" t="s">
        <v>1403</v>
      </c>
      <c r="K519" s="56" t="s">
        <v>284</v>
      </c>
      <c r="L519" s="292">
        <v>237</v>
      </c>
      <c r="M519" s="292"/>
      <c r="N519" s="358"/>
      <c r="O519" s="292"/>
      <c r="P519" s="292"/>
      <c r="Q519" s="614"/>
      <c r="R519" s="913">
        <f t="shared" si="32"/>
        <v>0</v>
      </c>
      <c r="S519" s="913">
        <f t="shared" si="33"/>
        <v>0</v>
      </c>
      <c r="T519" s="913">
        <f t="shared" si="34"/>
        <v>0</v>
      </c>
      <c r="U519" s="914">
        <f t="shared" si="35"/>
        <v>1</v>
      </c>
      <c r="V519" s="612"/>
      <c r="W519" s="612"/>
      <c r="X519" s="612"/>
      <c r="Y519" s="612"/>
      <c r="Z519" s="612"/>
      <c r="AA519" s="612"/>
      <c r="AB519" s="612"/>
      <c r="AC519" s="612"/>
    </row>
    <row r="520" spans="1:29">
      <c r="A520" s="48" t="s">
        <v>1402</v>
      </c>
      <c r="B520" s="60">
        <v>45524</v>
      </c>
      <c r="C520" s="54" t="s">
        <v>172</v>
      </c>
      <c r="D520" s="435" t="str">
        <f>IFERROR(VLOOKUP(C520,Mychart!$A$125:$B$811,2,FALSE),"-")</f>
        <v>BEST CHOICE INDUSTRIES LLC</v>
      </c>
      <c r="E520" s="676" t="s">
        <v>1393</v>
      </c>
      <c r="F520" s="58">
        <v>1</v>
      </c>
      <c r="G520" s="58"/>
      <c r="H520" s="58">
        <v>6096</v>
      </c>
      <c r="I520" s="58">
        <v>304.8</v>
      </c>
      <c r="J520" s="56" t="s">
        <v>1403</v>
      </c>
      <c r="K520" s="56" t="s">
        <v>284</v>
      </c>
      <c r="L520" s="292">
        <v>237</v>
      </c>
      <c r="M520" s="292"/>
      <c r="N520" s="358"/>
      <c r="O520" s="292"/>
      <c r="P520" s="292"/>
      <c r="Q520" s="614"/>
      <c r="R520" s="913">
        <f t="shared" si="32"/>
        <v>0</v>
      </c>
      <c r="S520" s="913">
        <f t="shared" si="33"/>
        <v>0</v>
      </c>
      <c r="T520" s="913">
        <f t="shared" si="34"/>
        <v>0</v>
      </c>
      <c r="U520" s="914">
        <f t="shared" si="35"/>
        <v>1</v>
      </c>
      <c r="V520" s="612"/>
      <c r="W520" s="612"/>
      <c r="X520" s="612"/>
      <c r="Y520" s="612"/>
      <c r="Z520" s="612"/>
      <c r="AA520" s="612"/>
      <c r="AB520" s="612"/>
      <c r="AC520" s="612"/>
    </row>
    <row r="521" spans="1:29">
      <c r="A521" s="48" t="s">
        <v>1402</v>
      </c>
      <c r="B521" s="60">
        <v>45524</v>
      </c>
      <c r="C521" s="54" t="s">
        <v>172</v>
      </c>
      <c r="D521" s="435" t="str">
        <f>IFERROR(VLOOKUP(C521,Mychart!$A$125:$B$811,2,FALSE),"-")</f>
        <v>BEST CHOICE INDUSTRIES LLC</v>
      </c>
      <c r="E521" s="676" t="s">
        <v>1394</v>
      </c>
      <c r="F521" s="58">
        <v>1</v>
      </c>
      <c r="G521" s="58"/>
      <c r="H521" s="58">
        <v>6096</v>
      </c>
      <c r="I521" s="58">
        <v>304.8</v>
      </c>
      <c r="J521" s="56" t="s">
        <v>1403</v>
      </c>
      <c r="K521" s="56" t="s">
        <v>284</v>
      </c>
      <c r="L521" s="292">
        <v>237</v>
      </c>
      <c r="M521" s="292"/>
      <c r="N521" s="358"/>
      <c r="O521" s="292"/>
      <c r="P521" s="292"/>
      <c r="Q521" s="614"/>
      <c r="R521" s="913">
        <f t="shared" si="32"/>
        <v>0</v>
      </c>
      <c r="S521" s="913">
        <f t="shared" si="33"/>
        <v>0</v>
      </c>
      <c r="T521" s="913">
        <f t="shared" si="34"/>
        <v>0</v>
      </c>
      <c r="U521" s="914">
        <f t="shared" si="35"/>
        <v>1</v>
      </c>
      <c r="V521" s="612"/>
      <c r="W521" s="612"/>
      <c r="X521" s="612"/>
      <c r="Y521" s="612"/>
      <c r="Z521" s="612"/>
      <c r="AA521" s="612"/>
      <c r="AB521" s="612"/>
      <c r="AC521" s="612"/>
    </row>
    <row r="522" spans="1:29">
      <c r="A522" s="48" t="s">
        <v>1402</v>
      </c>
      <c r="B522" s="60">
        <v>45524</v>
      </c>
      <c r="C522" s="54" t="s">
        <v>172</v>
      </c>
      <c r="D522" s="435" t="str">
        <f>IFERROR(VLOOKUP(C522,Mychart!$A$125:$B$811,2,FALSE),"-")</f>
        <v>BEST CHOICE INDUSTRIES LLC</v>
      </c>
      <c r="E522" s="676" t="s">
        <v>1395</v>
      </c>
      <c r="F522" s="58">
        <v>1</v>
      </c>
      <c r="G522" s="58"/>
      <c r="H522" s="58">
        <v>6096</v>
      </c>
      <c r="I522" s="58">
        <v>304.8</v>
      </c>
      <c r="J522" s="56" t="s">
        <v>1403</v>
      </c>
      <c r="K522" s="56" t="s">
        <v>284</v>
      </c>
      <c r="L522" s="292">
        <v>237</v>
      </c>
      <c r="M522" s="292"/>
      <c r="N522" s="358"/>
      <c r="O522" s="292"/>
      <c r="P522" s="292"/>
      <c r="Q522" s="614"/>
      <c r="R522" s="913">
        <f t="shared" si="32"/>
        <v>0</v>
      </c>
      <c r="S522" s="913">
        <f t="shared" si="33"/>
        <v>0</v>
      </c>
      <c r="T522" s="913">
        <f t="shared" si="34"/>
        <v>0</v>
      </c>
      <c r="U522" s="914">
        <f t="shared" si="35"/>
        <v>1</v>
      </c>
      <c r="V522" s="612"/>
      <c r="W522" s="612"/>
      <c r="X522" s="612"/>
      <c r="Y522" s="612"/>
      <c r="Z522" s="612"/>
      <c r="AA522" s="612"/>
      <c r="AB522" s="612"/>
      <c r="AC522" s="612"/>
    </row>
    <row r="523" spans="1:29">
      <c r="A523" s="48" t="s">
        <v>1402</v>
      </c>
      <c r="B523" s="60">
        <v>45524</v>
      </c>
      <c r="C523" s="54" t="s">
        <v>172</v>
      </c>
      <c r="D523" s="435" t="str">
        <f>IFERROR(VLOOKUP(C523,Mychart!$A$125:$B$811,2,FALSE),"-")</f>
        <v>BEST CHOICE INDUSTRIES LLC</v>
      </c>
      <c r="E523" s="676" t="s">
        <v>1396</v>
      </c>
      <c r="F523" s="58">
        <v>1</v>
      </c>
      <c r="G523" s="58"/>
      <c r="H523" s="58">
        <v>6096</v>
      </c>
      <c r="I523" s="58">
        <v>304.8</v>
      </c>
      <c r="J523" s="56" t="s">
        <v>1403</v>
      </c>
      <c r="K523" s="56" t="s">
        <v>284</v>
      </c>
      <c r="L523" s="292">
        <v>237</v>
      </c>
      <c r="M523" s="292"/>
      <c r="N523" s="358"/>
      <c r="O523" s="292"/>
      <c r="P523" s="292"/>
      <c r="Q523" s="614"/>
      <c r="R523" s="913">
        <f t="shared" si="32"/>
        <v>0</v>
      </c>
      <c r="S523" s="913">
        <f t="shared" si="33"/>
        <v>0</v>
      </c>
      <c r="T523" s="913">
        <f t="shared" si="34"/>
        <v>0</v>
      </c>
      <c r="U523" s="914">
        <f t="shared" si="35"/>
        <v>1</v>
      </c>
      <c r="V523" s="612"/>
      <c r="W523" s="612"/>
      <c r="X523" s="612"/>
      <c r="Y523" s="612"/>
      <c r="Z523" s="612"/>
      <c r="AA523" s="612"/>
      <c r="AB523" s="612"/>
      <c r="AC523" s="612"/>
    </row>
    <row r="524" spans="1:29">
      <c r="A524" s="48" t="s">
        <v>1402</v>
      </c>
      <c r="B524" s="60">
        <v>45524</v>
      </c>
      <c r="C524" s="54" t="s">
        <v>172</v>
      </c>
      <c r="D524" s="435" t="str">
        <f>IFERROR(VLOOKUP(C524,Mychart!$A$125:$B$811,2,FALSE),"-")</f>
        <v>BEST CHOICE INDUSTRIES LLC</v>
      </c>
      <c r="E524" s="676" t="s">
        <v>1397</v>
      </c>
      <c r="F524" s="58">
        <v>1</v>
      </c>
      <c r="G524" s="58"/>
      <c r="H524" s="58">
        <v>6096</v>
      </c>
      <c r="I524" s="58">
        <v>304.8</v>
      </c>
      <c r="J524" s="56" t="s">
        <v>1403</v>
      </c>
      <c r="K524" s="56" t="s">
        <v>284</v>
      </c>
      <c r="L524" s="292">
        <v>237</v>
      </c>
      <c r="M524" s="292"/>
      <c r="N524" s="358"/>
      <c r="O524" s="292"/>
      <c r="P524" s="292"/>
      <c r="Q524" s="614"/>
      <c r="R524" s="913">
        <f t="shared" si="32"/>
        <v>0</v>
      </c>
      <c r="S524" s="913">
        <f t="shared" si="33"/>
        <v>0</v>
      </c>
      <c r="T524" s="913">
        <f t="shared" si="34"/>
        <v>0</v>
      </c>
      <c r="U524" s="914">
        <f t="shared" si="35"/>
        <v>1</v>
      </c>
      <c r="V524" s="612"/>
      <c r="W524" s="612"/>
      <c r="X524" s="612"/>
      <c r="Y524" s="612"/>
      <c r="Z524" s="612"/>
      <c r="AA524" s="612"/>
      <c r="AB524" s="612"/>
      <c r="AC524" s="612"/>
    </row>
    <row r="525" spans="1:29">
      <c r="A525" s="48" t="s">
        <v>1402</v>
      </c>
      <c r="B525" s="60">
        <v>45524</v>
      </c>
      <c r="C525" s="54" t="s">
        <v>172</v>
      </c>
      <c r="D525" s="435" t="str">
        <f>IFERROR(VLOOKUP(C525,Mychart!$A$125:$B$811,2,FALSE),"-")</f>
        <v>BEST CHOICE INDUSTRIES LLC</v>
      </c>
      <c r="E525" s="676" t="s">
        <v>1398</v>
      </c>
      <c r="F525" s="58">
        <v>1</v>
      </c>
      <c r="G525" s="58"/>
      <c r="H525" s="58">
        <v>6096</v>
      </c>
      <c r="I525" s="58">
        <v>304.8</v>
      </c>
      <c r="J525" s="56" t="s">
        <v>1403</v>
      </c>
      <c r="K525" s="56" t="s">
        <v>284</v>
      </c>
      <c r="L525" s="292">
        <v>237</v>
      </c>
      <c r="M525" s="292"/>
      <c r="N525" s="358"/>
      <c r="O525" s="292"/>
      <c r="P525" s="292"/>
      <c r="Q525" s="614"/>
      <c r="R525" s="913">
        <f t="shared" si="32"/>
        <v>0</v>
      </c>
      <c r="S525" s="913">
        <f t="shared" si="33"/>
        <v>0</v>
      </c>
      <c r="T525" s="913">
        <f t="shared" si="34"/>
        <v>0</v>
      </c>
      <c r="U525" s="914">
        <f t="shared" si="35"/>
        <v>1</v>
      </c>
      <c r="V525" s="612"/>
      <c r="W525" s="612"/>
      <c r="X525" s="612"/>
      <c r="Y525" s="612"/>
      <c r="Z525" s="612"/>
      <c r="AA525" s="612"/>
      <c r="AB525" s="612"/>
      <c r="AC525" s="612"/>
    </row>
    <row r="526" spans="1:29">
      <c r="A526" s="48" t="s">
        <v>1402</v>
      </c>
      <c r="B526" s="60">
        <v>45524</v>
      </c>
      <c r="C526" s="54" t="s">
        <v>172</v>
      </c>
      <c r="D526" s="435" t="str">
        <f>IFERROR(VLOOKUP(C526,Mychart!$A$125:$B$811,2,FALSE),"-")</f>
        <v>BEST CHOICE INDUSTRIES LLC</v>
      </c>
      <c r="E526" s="676" t="s">
        <v>1399</v>
      </c>
      <c r="F526" s="58">
        <v>10</v>
      </c>
      <c r="G526" s="58"/>
      <c r="H526" s="58">
        <v>6096</v>
      </c>
      <c r="I526" s="58">
        <v>304.8</v>
      </c>
      <c r="J526" s="56" t="s">
        <v>1403</v>
      </c>
      <c r="K526" s="56" t="s">
        <v>284</v>
      </c>
      <c r="L526" s="292">
        <v>237</v>
      </c>
      <c r="M526" s="292"/>
      <c r="N526" s="358"/>
      <c r="O526" s="292"/>
      <c r="P526" s="292"/>
      <c r="Q526" s="614"/>
      <c r="R526" s="913">
        <f t="shared" ref="R526:R589" si="36">O526-N526</f>
        <v>0</v>
      </c>
      <c r="S526" s="913">
        <f t="shared" ref="S526:S589" si="37">Q526-N526</f>
        <v>0</v>
      </c>
      <c r="T526" s="913">
        <f t="shared" ref="T526:T589" si="38">Q526-O526</f>
        <v>0</v>
      </c>
      <c r="U526" s="914">
        <f t="shared" ref="U526:U589" si="39">F526-P526</f>
        <v>10</v>
      </c>
      <c r="V526" s="612"/>
      <c r="W526" s="612"/>
      <c r="X526" s="612"/>
      <c r="Y526" s="612"/>
      <c r="Z526" s="612"/>
      <c r="AA526" s="612"/>
      <c r="AB526" s="612"/>
      <c r="AC526" s="612"/>
    </row>
    <row r="527" spans="1:29">
      <c r="A527" s="48" t="s">
        <v>1402</v>
      </c>
      <c r="B527" s="60">
        <v>45524</v>
      </c>
      <c r="C527" s="54" t="s">
        <v>172</v>
      </c>
      <c r="D527" s="435" t="str">
        <f>IFERROR(VLOOKUP(C527,Mychart!$A$125:$B$811,2,FALSE),"-")</f>
        <v>BEST CHOICE INDUSTRIES LLC</v>
      </c>
      <c r="E527" s="676" t="s">
        <v>1400</v>
      </c>
      <c r="F527" s="58">
        <v>2</v>
      </c>
      <c r="G527" s="58"/>
      <c r="H527" s="58">
        <v>6096</v>
      </c>
      <c r="I527" s="58">
        <v>304.8</v>
      </c>
      <c r="J527" s="56" t="s">
        <v>1403</v>
      </c>
      <c r="K527" s="56" t="s">
        <v>284</v>
      </c>
      <c r="L527" s="292">
        <v>237</v>
      </c>
      <c r="M527" s="292"/>
      <c r="N527" s="358"/>
      <c r="O527" s="292"/>
      <c r="P527" s="292"/>
      <c r="Q527" s="614"/>
      <c r="R527" s="913">
        <f t="shared" si="36"/>
        <v>0</v>
      </c>
      <c r="S527" s="913">
        <f t="shared" si="37"/>
        <v>0</v>
      </c>
      <c r="T527" s="913">
        <f t="shared" si="38"/>
        <v>0</v>
      </c>
      <c r="U527" s="914">
        <f t="shared" si="39"/>
        <v>2</v>
      </c>
      <c r="V527" s="612"/>
      <c r="W527" s="612"/>
      <c r="X527" s="612"/>
      <c r="Y527" s="612"/>
      <c r="Z527" s="612"/>
      <c r="AA527" s="612"/>
      <c r="AB527" s="612"/>
      <c r="AC527" s="612"/>
    </row>
    <row r="528" spans="1:29">
      <c r="A528" s="48" t="s">
        <v>1402</v>
      </c>
      <c r="B528" s="60">
        <v>45524</v>
      </c>
      <c r="C528" s="54" t="s">
        <v>172</v>
      </c>
      <c r="D528" s="435" t="str">
        <f>IFERROR(VLOOKUP(C528,Mychart!$A$125:$B$811,2,FALSE),"-")</f>
        <v>BEST CHOICE INDUSTRIES LLC</v>
      </c>
      <c r="E528" s="676" t="s">
        <v>1401</v>
      </c>
      <c r="F528" s="58">
        <v>5</v>
      </c>
      <c r="G528" s="58"/>
      <c r="H528" s="58">
        <v>6096</v>
      </c>
      <c r="I528" s="58">
        <v>304.8</v>
      </c>
      <c r="J528" s="56" t="s">
        <v>1403</v>
      </c>
      <c r="K528" s="56" t="s">
        <v>284</v>
      </c>
      <c r="L528" s="292">
        <v>237</v>
      </c>
      <c r="M528" s="292" t="s">
        <v>1897</v>
      </c>
      <c r="N528" s="358">
        <v>6400.99</v>
      </c>
      <c r="O528" s="292">
        <v>6401</v>
      </c>
      <c r="P528" s="292"/>
      <c r="Q528" s="614">
        <v>6400.8</v>
      </c>
      <c r="R528" s="913">
        <f t="shared" si="36"/>
        <v>1.0000000000218279E-2</v>
      </c>
      <c r="S528" s="913">
        <f t="shared" si="37"/>
        <v>-0.18999999999959982</v>
      </c>
      <c r="T528" s="913">
        <f t="shared" si="38"/>
        <v>-0.1999999999998181</v>
      </c>
      <c r="U528" s="914">
        <f t="shared" si="39"/>
        <v>5</v>
      </c>
      <c r="V528" s="612"/>
      <c r="W528" s="612"/>
      <c r="X528" s="612"/>
      <c r="Y528" s="612"/>
      <c r="Z528" s="612"/>
      <c r="AA528" s="612"/>
      <c r="AB528" s="612"/>
      <c r="AC528" s="612"/>
    </row>
    <row r="529" spans="1:29">
      <c r="A529" s="48" t="s">
        <v>1406</v>
      </c>
      <c r="B529" s="60">
        <v>45528</v>
      </c>
      <c r="C529" s="54" t="s">
        <v>173</v>
      </c>
      <c r="D529" s="435" t="str">
        <f>IFERROR(VLOOKUP(C529,Mychart!$A$125:$B$811,2,FALSE),"-")</f>
        <v>BAB AL TABREED A/C UNITS FIX.CONT</v>
      </c>
      <c r="E529" s="676" t="s">
        <v>1410</v>
      </c>
      <c r="F529" s="58">
        <v>429</v>
      </c>
      <c r="G529" s="58">
        <v>3.5</v>
      </c>
      <c r="H529" s="58">
        <v>1981.925</v>
      </c>
      <c r="I529" s="58">
        <v>99.096249999999998</v>
      </c>
      <c r="J529" s="56" t="s">
        <v>1412</v>
      </c>
      <c r="K529" s="56" t="s">
        <v>300</v>
      </c>
      <c r="L529" s="292">
        <v>216</v>
      </c>
      <c r="M529" s="292"/>
      <c r="N529" s="358"/>
      <c r="O529" s="292"/>
      <c r="P529" s="292" t="s">
        <v>1205</v>
      </c>
      <c r="Q529" s="614"/>
      <c r="R529" s="913">
        <f t="shared" si="36"/>
        <v>0</v>
      </c>
      <c r="S529" s="913">
        <f t="shared" si="37"/>
        <v>0</v>
      </c>
      <c r="T529" s="913">
        <f t="shared" si="38"/>
        <v>0</v>
      </c>
      <c r="U529" s="914" t="e">
        <f t="shared" si="39"/>
        <v>#VALUE!</v>
      </c>
      <c r="V529" s="612"/>
      <c r="W529" s="612"/>
      <c r="X529" s="612"/>
      <c r="Y529" s="612"/>
      <c r="Z529" s="612"/>
      <c r="AA529" s="612"/>
      <c r="AB529" s="612"/>
      <c r="AC529" s="612"/>
    </row>
    <row r="530" spans="1:29">
      <c r="A530" s="48" t="s">
        <v>1406</v>
      </c>
      <c r="B530" s="60">
        <v>45528</v>
      </c>
      <c r="C530" s="54" t="s">
        <v>173</v>
      </c>
      <c r="D530" s="435" t="str">
        <f>IFERROR(VLOOKUP(C530,Mychart!$A$125:$B$811,2,FALSE),"-")</f>
        <v>BAB AL TABREED A/C UNITS FIX.CONT</v>
      </c>
      <c r="E530" s="676" t="s">
        <v>1411</v>
      </c>
      <c r="F530" s="58">
        <v>24.4</v>
      </c>
      <c r="G530" s="58">
        <v>4.5</v>
      </c>
      <c r="H530" s="58">
        <v>1981.925</v>
      </c>
      <c r="I530" s="58">
        <v>99.096249999999998</v>
      </c>
      <c r="J530" s="56" t="s">
        <v>1412</v>
      </c>
      <c r="K530" s="56" t="s">
        <v>300</v>
      </c>
      <c r="L530" s="292">
        <v>216</v>
      </c>
      <c r="M530" s="292"/>
      <c r="N530" s="358"/>
      <c r="O530" s="292"/>
      <c r="P530" s="292"/>
      <c r="Q530" s="614"/>
      <c r="R530" s="913">
        <f t="shared" si="36"/>
        <v>0</v>
      </c>
      <c r="S530" s="913">
        <f t="shared" si="37"/>
        <v>0</v>
      </c>
      <c r="T530" s="913">
        <f t="shared" si="38"/>
        <v>0</v>
      </c>
      <c r="U530" s="914">
        <f t="shared" si="39"/>
        <v>24.4</v>
      </c>
      <c r="V530" s="612"/>
      <c r="W530" s="612"/>
      <c r="X530" s="612"/>
      <c r="Y530" s="612"/>
      <c r="Z530" s="612"/>
      <c r="AA530" s="612"/>
      <c r="AB530" s="612"/>
      <c r="AC530" s="612"/>
    </row>
    <row r="531" spans="1:29">
      <c r="A531" s="48" t="s">
        <v>1406</v>
      </c>
      <c r="B531" s="60">
        <v>45528</v>
      </c>
      <c r="C531" s="54" t="s">
        <v>173</v>
      </c>
      <c r="D531" s="435" t="str">
        <f>IFERROR(VLOOKUP(C531,Mychart!$A$125:$B$811,2,FALSE),"-")</f>
        <v>BAB AL TABREED A/C UNITS FIX.CONT</v>
      </c>
      <c r="E531" s="676" t="s">
        <v>1407</v>
      </c>
      <c r="F531" s="58">
        <v>82.25</v>
      </c>
      <c r="G531" s="58">
        <v>3.3</v>
      </c>
      <c r="H531" s="58">
        <v>1981.925</v>
      </c>
      <c r="I531" s="58">
        <v>99.096249999999998</v>
      </c>
      <c r="J531" s="56" t="s">
        <v>1412</v>
      </c>
      <c r="K531" s="56" t="s">
        <v>300</v>
      </c>
      <c r="L531" s="292">
        <v>216</v>
      </c>
      <c r="M531" s="292"/>
      <c r="N531" s="358"/>
      <c r="O531" s="292"/>
      <c r="P531" s="292"/>
      <c r="Q531" s="614"/>
      <c r="R531" s="913">
        <f t="shared" si="36"/>
        <v>0</v>
      </c>
      <c r="S531" s="913">
        <f t="shared" si="37"/>
        <v>0</v>
      </c>
      <c r="T531" s="913">
        <f t="shared" si="38"/>
        <v>0</v>
      </c>
      <c r="U531" s="914">
        <f t="shared" si="39"/>
        <v>82.25</v>
      </c>
      <c r="V531" s="612"/>
      <c r="W531" s="612"/>
      <c r="X531" s="612"/>
      <c r="Y531" s="612"/>
      <c r="Z531" s="612"/>
      <c r="AA531" s="612"/>
      <c r="AB531" s="612"/>
      <c r="AC531" s="612"/>
    </row>
    <row r="532" spans="1:29">
      <c r="A532" s="48" t="s">
        <v>1406</v>
      </c>
      <c r="B532" s="60">
        <v>45528</v>
      </c>
      <c r="C532" s="54" t="s">
        <v>173</v>
      </c>
      <c r="D532" s="435" t="str">
        <f>IFERROR(VLOOKUP(C532,Mychart!$A$125:$B$811,2,FALSE),"-")</f>
        <v>BAB AL TABREED A/C UNITS FIX.CONT</v>
      </c>
      <c r="E532" s="676" t="s">
        <v>1408</v>
      </c>
      <c r="F532" s="58">
        <v>128</v>
      </c>
      <c r="G532" s="58">
        <v>0.6</v>
      </c>
      <c r="H532" s="58">
        <v>1981.925</v>
      </c>
      <c r="I532" s="58">
        <v>99.096249999999998</v>
      </c>
      <c r="J532" s="56" t="s">
        <v>1412</v>
      </c>
      <c r="K532" s="56" t="s">
        <v>300</v>
      </c>
      <c r="L532" s="292">
        <v>216</v>
      </c>
      <c r="M532" s="292"/>
      <c r="N532" s="358"/>
      <c r="O532" s="292"/>
      <c r="P532" s="292"/>
      <c r="Q532" s="614"/>
      <c r="R532" s="913">
        <f t="shared" si="36"/>
        <v>0</v>
      </c>
      <c r="S532" s="913">
        <f t="shared" si="37"/>
        <v>0</v>
      </c>
      <c r="T532" s="913">
        <f t="shared" si="38"/>
        <v>0</v>
      </c>
      <c r="U532" s="914">
        <f t="shared" si="39"/>
        <v>128</v>
      </c>
      <c r="V532" s="612"/>
      <c r="W532" s="612"/>
      <c r="X532" s="612"/>
      <c r="Y532" s="612"/>
      <c r="Z532" s="612"/>
      <c r="AA532" s="612"/>
      <c r="AB532" s="612"/>
      <c r="AC532" s="612"/>
    </row>
    <row r="533" spans="1:29">
      <c r="A533" s="48" t="s">
        <v>1406</v>
      </c>
      <c r="B533" s="60">
        <v>45528</v>
      </c>
      <c r="C533" s="54" t="s">
        <v>173</v>
      </c>
      <c r="D533" s="435" t="str">
        <f>IFERROR(VLOOKUP(C533,Mychart!$A$125:$B$811,2,FALSE),"-")</f>
        <v>BAB AL TABREED A/C UNITS FIX.CONT</v>
      </c>
      <c r="E533" s="676" t="s">
        <v>1409</v>
      </c>
      <c r="F533" s="58">
        <v>6.4</v>
      </c>
      <c r="G533" s="58">
        <v>3.5</v>
      </c>
      <c r="H533" s="58">
        <v>1981.925</v>
      </c>
      <c r="I533" s="58">
        <v>99.096249999999998</v>
      </c>
      <c r="J533" s="56" t="s">
        <v>1412</v>
      </c>
      <c r="K533" s="56" t="s">
        <v>300</v>
      </c>
      <c r="L533" s="292">
        <v>216</v>
      </c>
      <c r="M533" s="292" t="s">
        <v>1602</v>
      </c>
      <c r="N533" s="358">
        <v>2081.1999999999998</v>
      </c>
      <c r="O533" s="292">
        <v>2081.1999999999998</v>
      </c>
      <c r="P533" s="292"/>
      <c r="Q533" s="614">
        <v>2081.0212499999998</v>
      </c>
      <c r="R533" s="913">
        <f t="shared" si="36"/>
        <v>0</v>
      </c>
      <c r="S533" s="913">
        <f t="shared" si="37"/>
        <v>-0.17875000000003638</v>
      </c>
      <c r="T533" s="913">
        <f t="shared" si="38"/>
        <v>-0.17875000000003638</v>
      </c>
      <c r="U533" s="914">
        <f t="shared" si="39"/>
        <v>6.4</v>
      </c>
      <c r="V533" s="612"/>
      <c r="W533" s="612"/>
      <c r="X533" s="612"/>
      <c r="Y533" s="612"/>
      <c r="Z533" s="612"/>
      <c r="AA533" s="612"/>
      <c r="AB533" s="612"/>
      <c r="AC533" s="612"/>
    </row>
    <row r="534" spans="1:29">
      <c r="A534" s="48" t="s">
        <v>1413</v>
      </c>
      <c r="B534" s="60">
        <v>45528</v>
      </c>
      <c r="C534" s="54" t="s">
        <v>170</v>
      </c>
      <c r="D534" s="435" t="str">
        <f>IFERROR(VLOOKUP(C534,Mychart!$A$125:$B$811,2,FALSE),"-")</f>
        <v>Al Junaid Indust. Group</v>
      </c>
      <c r="E534" s="676" t="s">
        <v>1415</v>
      </c>
      <c r="F534" s="58">
        <v>2</v>
      </c>
      <c r="G534" s="58">
        <v>540</v>
      </c>
      <c r="H534" s="58">
        <v>1000</v>
      </c>
      <c r="I534" s="58">
        <v>50</v>
      </c>
      <c r="J534" s="56" t="s">
        <v>1414</v>
      </c>
      <c r="K534" s="56" t="s">
        <v>300</v>
      </c>
      <c r="L534" s="292">
        <v>216</v>
      </c>
      <c r="M534" s="292"/>
      <c r="N534" s="358"/>
      <c r="O534" s="292"/>
      <c r="P534" s="292" t="s">
        <v>1205</v>
      </c>
      <c r="Q534" s="614"/>
      <c r="R534" s="913">
        <f t="shared" si="36"/>
        <v>0</v>
      </c>
      <c r="S534" s="913">
        <f t="shared" si="37"/>
        <v>0</v>
      </c>
      <c r="T534" s="913">
        <f t="shared" si="38"/>
        <v>0</v>
      </c>
      <c r="U534" s="914" t="e">
        <f t="shared" si="39"/>
        <v>#VALUE!</v>
      </c>
      <c r="V534" s="612"/>
      <c r="W534" s="612"/>
      <c r="X534" s="612"/>
      <c r="Y534" s="612"/>
      <c r="Z534" s="612"/>
      <c r="AA534" s="612"/>
      <c r="AB534" s="612"/>
      <c r="AC534" s="612"/>
    </row>
    <row r="535" spans="1:29">
      <c r="A535" s="48" t="s">
        <v>1413</v>
      </c>
      <c r="B535" s="60">
        <v>45528</v>
      </c>
      <c r="C535" s="54" t="s">
        <v>170</v>
      </c>
      <c r="D535" s="435" t="str">
        <f>IFERROR(VLOOKUP(C535,Mychart!$A$125:$B$811,2,FALSE),"-")</f>
        <v>Al Junaid Indust. Group</v>
      </c>
      <c r="E535" s="676" t="s">
        <v>1324</v>
      </c>
      <c r="F535" s="58">
        <v>1</v>
      </c>
      <c r="G535" s="58">
        <v>-80</v>
      </c>
      <c r="H535" s="58">
        <v>1000</v>
      </c>
      <c r="I535" s="58">
        <v>50</v>
      </c>
      <c r="J535" s="56" t="s">
        <v>1414</v>
      </c>
      <c r="K535" s="56" t="s">
        <v>300</v>
      </c>
      <c r="L535" s="292">
        <v>216</v>
      </c>
      <c r="M535" s="292" t="s">
        <v>1794</v>
      </c>
      <c r="N535" s="358">
        <v>1050</v>
      </c>
      <c r="O535" s="292">
        <v>1050</v>
      </c>
      <c r="P535" s="292"/>
      <c r="Q535" s="614">
        <v>1050</v>
      </c>
      <c r="R535" s="913">
        <f t="shared" si="36"/>
        <v>0</v>
      </c>
      <c r="S535" s="913">
        <f t="shared" si="37"/>
        <v>0</v>
      </c>
      <c r="T535" s="913">
        <f t="shared" si="38"/>
        <v>0</v>
      </c>
      <c r="U535" s="914">
        <f t="shared" si="39"/>
        <v>1</v>
      </c>
      <c r="V535" s="612"/>
      <c r="W535" s="612"/>
      <c r="X535" s="612"/>
      <c r="Y535" s="612"/>
      <c r="Z535" s="612"/>
      <c r="AA535" s="612"/>
      <c r="AB535" s="612"/>
      <c r="AC535" s="612"/>
    </row>
    <row r="536" spans="1:29">
      <c r="A536" s="48" t="s">
        <v>1416</v>
      </c>
      <c r="B536" s="60">
        <v>45530</v>
      </c>
      <c r="C536" s="54" t="s">
        <v>173</v>
      </c>
      <c r="D536" s="435" t="str">
        <f>IFERROR(VLOOKUP(C536,Mychart!$A$125:$B$811,2,FALSE),"-")</f>
        <v>BAB AL TABREED A/C UNITS FIX.CONT</v>
      </c>
      <c r="E536" s="676" t="s">
        <v>979</v>
      </c>
      <c r="F536" s="58">
        <v>62</v>
      </c>
      <c r="G536" s="58">
        <v>2.8</v>
      </c>
      <c r="H536" s="58">
        <v>208.6</v>
      </c>
      <c r="I536" s="58">
        <v>10.43</v>
      </c>
      <c r="J536" s="56" t="s">
        <v>1417</v>
      </c>
      <c r="K536" s="56" t="s">
        <v>294</v>
      </c>
      <c r="L536" s="292">
        <v>275</v>
      </c>
      <c r="M536" s="292"/>
      <c r="N536" s="358"/>
      <c r="O536" s="292"/>
      <c r="P536" s="292" t="s">
        <v>1205</v>
      </c>
      <c r="Q536" s="614"/>
      <c r="R536" s="913">
        <f t="shared" si="36"/>
        <v>0</v>
      </c>
      <c r="S536" s="913">
        <f t="shared" si="37"/>
        <v>0</v>
      </c>
      <c r="T536" s="913">
        <f t="shared" si="38"/>
        <v>0</v>
      </c>
      <c r="U536" s="914" t="e">
        <f t="shared" si="39"/>
        <v>#VALUE!</v>
      </c>
      <c r="V536" s="612"/>
      <c r="W536" s="612"/>
      <c r="X536" s="612"/>
      <c r="Y536" s="612"/>
      <c r="Z536" s="612"/>
      <c r="AA536" s="612"/>
      <c r="AB536" s="612"/>
      <c r="AC536" s="612"/>
    </row>
    <row r="537" spans="1:29">
      <c r="A537" s="48" t="s">
        <v>1416</v>
      </c>
      <c r="B537" s="60">
        <v>45530</v>
      </c>
      <c r="C537" s="54" t="s">
        <v>173</v>
      </c>
      <c r="D537" s="435" t="str">
        <f>IFERROR(VLOOKUP(C537,Mychart!$A$125:$B$811,2,FALSE),"-")</f>
        <v>BAB AL TABREED A/C UNITS FIX.CONT</v>
      </c>
      <c r="E537" s="676" t="s">
        <v>1118</v>
      </c>
      <c r="F537" s="58">
        <v>7</v>
      </c>
      <c r="G537" s="58">
        <v>3</v>
      </c>
      <c r="H537" s="58">
        <v>208.6</v>
      </c>
      <c r="I537" s="58">
        <v>10.43</v>
      </c>
      <c r="J537" s="56" t="s">
        <v>1417</v>
      </c>
      <c r="K537" s="56" t="s">
        <v>294</v>
      </c>
      <c r="L537" s="292">
        <v>275</v>
      </c>
      <c r="M537" s="292"/>
      <c r="N537" s="358"/>
      <c r="O537" s="292"/>
      <c r="P537" s="292"/>
      <c r="Q537" s="614"/>
      <c r="R537" s="913">
        <f t="shared" si="36"/>
        <v>0</v>
      </c>
      <c r="S537" s="913">
        <f t="shared" si="37"/>
        <v>0</v>
      </c>
      <c r="T537" s="913">
        <f t="shared" si="38"/>
        <v>0</v>
      </c>
      <c r="U537" s="914">
        <f t="shared" si="39"/>
        <v>7</v>
      </c>
      <c r="V537" s="612"/>
      <c r="W537" s="612"/>
      <c r="X537" s="612"/>
      <c r="Y537" s="612"/>
      <c r="Z537" s="612"/>
      <c r="AA537" s="612"/>
      <c r="AB537" s="612"/>
      <c r="AC537" s="612"/>
    </row>
    <row r="538" spans="1:29">
      <c r="A538" s="48" t="s">
        <v>1416</v>
      </c>
      <c r="B538" s="60">
        <v>45530</v>
      </c>
      <c r="C538" s="54" t="s">
        <v>173</v>
      </c>
      <c r="D538" s="435" t="str">
        <f>IFERROR(VLOOKUP(C538,Mychart!$A$125:$B$811,2,FALSE),"-")</f>
        <v>BAB AL TABREED A/C UNITS FIX.CONT</v>
      </c>
      <c r="E538" s="676" t="s">
        <v>1119</v>
      </c>
      <c r="F538" s="58">
        <v>7</v>
      </c>
      <c r="G538" s="58">
        <v>2</v>
      </c>
      <c r="H538" s="58">
        <v>208.6</v>
      </c>
      <c r="I538" s="58">
        <v>10.43</v>
      </c>
      <c r="J538" s="56" t="s">
        <v>1417</v>
      </c>
      <c r="K538" s="56" t="s">
        <v>294</v>
      </c>
      <c r="L538" s="292">
        <v>275</v>
      </c>
      <c r="M538" s="292" t="s">
        <v>1603</v>
      </c>
      <c r="N538" s="358">
        <v>219.03</v>
      </c>
      <c r="O538" s="292">
        <v>219.03</v>
      </c>
      <c r="P538" s="292"/>
      <c r="Q538" s="614">
        <v>219.03</v>
      </c>
      <c r="R538" s="913">
        <f t="shared" si="36"/>
        <v>0</v>
      </c>
      <c r="S538" s="913">
        <f t="shared" si="37"/>
        <v>0</v>
      </c>
      <c r="T538" s="913">
        <f t="shared" si="38"/>
        <v>0</v>
      </c>
      <c r="U538" s="914">
        <f t="shared" si="39"/>
        <v>7</v>
      </c>
      <c r="V538" s="612"/>
      <c r="W538" s="612"/>
      <c r="X538" s="612"/>
      <c r="Y538" s="612"/>
      <c r="Z538" s="612"/>
      <c r="AA538" s="612"/>
      <c r="AB538" s="612"/>
      <c r="AC538" s="612"/>
    </row>
    <row r="539" spans="1:29">
      <c r="A539" s="48" t="s">
        <v>1433</v>
      </c>
      <c r="B539" s="60">
        <v>45533</v>
      </c>
      <c r="C539" s="54" t="s">
        <v>173</v>
      </c>
      <c r="D539" s="435" t="str">
        <f>IFERROR(VLOOKUP(C539,Mychart!$A$125:$B$811,2,FALSE),"-")</f>
        <v>BAB AL TABREED A/C UNITS FIX.CONT</v>
      </c>
      <c r="E539" s="676" t="s">
        <v>1455</v>
      </c>
      <c r="F539" s="58">
        <v>15.36</v>
      </c>
      <c r="G539" s="58">
        <v>2.8</v>
      </c>
      <c r="H539" s="58">
        <v>172.858</v>
      </c>
      <c r="I539" s="58">
        <v>8.6429000000000009</v>
      </c>
      <c r="J539" s="56" t="s">
        <v>1458</v>
      </c>
      <c r="K539" s="56" t="s">
        <v>293</v>
      </c>
      <c r="L539" s="292">
        <v>246</v>
      </c>
      <c r="M539" s="292"/>
      <c r="N539" s="358"/>
      <c r="O539" s="292"/>
      <c r="P539" s="292" t="s">
        <v>1205</v>
      </c>
      <c r="Q539" s="614"/>
      <c r="R539" s="913">
        <f t="shared" si="36"/>
        <v>0</v>
      </c>
      <c r="S539" s="913">
        <f t="shared" si="37"/>
        <v>0</v>
      </c>
      <c r="T539" s="913">
        <f t="shared" si="38"/>
        <v>0</v>
      </c>
      <c r="U539" s="914" t="e">
        <f t="shared" si="39"/>
        <v>#VALUE!</v>
      </c>
      <c r="V539" s="612"/>
      <c r="W539" s="612"/>
      <c r="X539" s="612"/>
      <c r="Y539" s="612"/>
      <c r="Z539" s="612"/>
      <c r="AA539" s="612"/>
      <c r="AB539" s="612"/>
      <c r="AC539" s="612"/>
    </row>
    <row r="540" spans="1:29">
      <c r="A540" s="48" t="s">
        <v>1433</v>
      </c>
      <c r="B540" s="60">
        <v>45533</v>
      </c>
      <c r="C540" s="54" t="s">
        <v>173</v>
      </c>
      <c r="D540" s="435" t="str">
        <f>IFERROR(VLOOKUP(C540,Mychart!$A$125:$B$811,2,FALSE),"-")</f>
        <v>BAB AL TABREED A/C UNITS FIX.CONT</v>
      </c>
      <c r="E540" s="676" t="s">
        <v>1456</v>
      </c>
      <c r="F540" s="58">
        <v>31</v>
      </c>
      <c r="G540" s="58">
        <v>3.5</v>
      </c>
      <c r="H540" s="58">
        <v>172.858</v>
      </c>
      <c r="I540" s="58">
        <v>8.6429000000000009</v>
      </c>
      <c r="J540" s="56" t="s">
        <v>1458</v>
      </c>
      <c r="K540" s="56" t="s">
        <v>293</v>
      </c>
      <c r="L540" s="292">
        <v>246</v>
      </c>
      <c r="M540" s="292"/>
      <c r="N540" s="358"/>
      <c r="O540" s="292"/>
      <c r="P540" s="292"/>
      <c r="Q540" s="614"/>
      <c r="R540" s="913">
        <f t="shared" si="36"/>
        <v>0</v>
      </c>
      <c r="S540" s="913">
        <f t="shared" si="37"/>
        <v>0</v>
      </c>
      <c r="T540" s="913">
        <f t="shared" si="38"/>
        <v>0</v>
      </c>
      <c r="U540" s="914">
        <f t="shared" si="39"/>
        <v>31</v>
      </c>
      <c r="V540" s="612"/>
      <c r="W540" s="612"/>
      <c r="X540" s="612"/>
      <c r="Y540" s="612"/>
      <c r="Z540" s="612"/>
      <c r="AA540" s="612"/>
      <c r="AB540" s="612"/>
      <c r="AC540" s="612"/>
    </row>
    <row r="541" spans="1:29">
      <c r="A541" s="48" t="s">
        <v>1433</v>
      </c>
      <c r="B541" s="60">
        <v>45533</v>
      </c>
      <c r="C541" s="54" t="s">
        <v>173</v>
      </c>
      <c r="D541" s="435" t="str">
        <f>IFERROR(VLOOKUP(C541,Mychart!$A$125:$B$811,2,FALSE),"-")</f>
        <v>BAB AL TABREED A/C UNITS FIX.CONT</v>
      </c>
      <c r="E541" s="676" t="s">
        <v>1407</v>
      </c>
      <c r="F541" s="58">
        <v>3</v>
      </c>
      <c r="G541" s="58">
        <v>3.3</v>
      </c>
      <c r="H541" s="58">
        <v>172.858</v>
      </c>
      <c r="I541" s="58">
        <v>8.6429000000000009</v>
      </c>
      <c r="J541" s="56" t="s">
        <v>1458</v>
      </c>
      <c r="K541" s="56" t="s">
        <v>293</v>
      </c>
      <c r="L541" s="292">
        <v>246</v>
      </c>
      <c r="M541" s="292"/>
      <c r="N541" s="358"/>
      <c r="O541" s="292"/>
      <c r="P541" s="292"/>
      <c r="Q541" s="614"/>
      <c r="R541" s="913">
        <f t="shared" si="36"/>
        <v>0</v>
      </c>
      <c r="S541" s="913">
        <f t="shared" si="37"/>
        <v>0</v>
      </c>
      <c r="T541" s="913">
        <f t="shared" si="38"/>
        <v>0</v>
      </c>
      <c r="U541" s="914">
        <f t="shared" si="39"/>
        <v>3</v>
      </c>
      <c r="V541" s="612"/>
      <c r="W541" s="612"/>
      <c r="X541" s="612"/>
      <c r="Y541" s="612"/>
      <c r="Z541" s="612"/>
      <c r="AA541" s="612"/>
      <c r="AB541" s="612"/>
      <c r="AC541" s="612"/>
    </row>
    <row r="542" spans="1:29">
      <c r="A542" s="48" t="s">
        <v>1433</v>
      </c>
      <c r="B542" s="60">
        <v>45533</v>
      </c>
      <c r="C542" s="54" t="s">
        <v>173</v>
      </c>
      <c r="D542" s="435" t="str">
        <f>IFERROR(VLOOKUP(C542,Mychart!$A$125:$B$811,2,FALSE),"-")</f>
        <v>BAB AL TABREED A/C UNITS FIX.CONT</v>
      </c>
      <c r="E542" s="676" t="s">
        <v>1408</v>
      </c>
      <c r="F542" s="58">
        <v>4</v>
      </c>
      <c r="G542" s="58">
        <v>0.6</v>
      </c>
      <c r="H542" s="58">
        <v>172.858</v>
      </c>
      <c r="I542" s="58">
        <v>8.6429000000000009</v>
      </c>
      <c r="J542" s="56" t="s">
        <v>1458</v>
      </c>
      <c r="K542" s="56" t="s">
        <v>293</v>
      </c>
      <c r="L542" s="292">
        <v>246</v>
      </c>
      <c r="M542" s="292"/>
      <c r="N542" s="358"/>
      <c r="O542" s="292"/>
      <c r="P542" s="292"/>
      <c r="Q542" s="614"/>
      <c r="R542" s="913">
        <f t="shared" si="36"/>
        <v>0</v>
      </c>
      <c r="S542" s="913">
        <f t="shared" si="37"/>
        <v>0</v>
      </c>
      <c r="T542" s="913">
        <f t="shared" si="38"/>
        <v>0</v>
      </c>
      <c r="U542" s="914">
        <f t="shared" si="39"/>
        <v>4</v>
      </c>
      <c r="V542" s="612"/>
      <c r="W542" s="612"/>
      <c r="X542" s="612"/>
      <c r="Y542" s="612"/>
      <c r="Z542" s="612"/>
      <c r="AA542" s="612"/>
      <c r="AB542" s="612"/>
      <c r="AC542" s="612"/>
    </row>
    <row r="543" spans="1:29">
      <c r="A543" s="48" t="s">
        <v>1433</v>
      </c>
      <c r="B543" s="60">
        <v>45533</v>
      </c>
      <c r="C543" s="54" t="s">
        <v>173</v>
      </c>
      <c r="D543" s="435" t="str">
        <f>IFERROR(VLOOKUP(C543,Mychart!$A$125:$B$811,2,FALSE),"-")</f>
        <v>BAB AL TABREED A/C UNITS FIX.CONT</v>
      </c>
      <c r="E543" s="676" t="s">
        <v>1409</v>
      </c>
      <c r="F543" s="58">
        <v>0.3</v>
      </c>
      <c r="G543" s="58">
        <v>3.5</v>
      </c>
      <c r="H543" s="58">
        <v>172.858</v>
      </c>
      <c r="I543" s="58">
        <v>8.6429000000000009</v>
      </c>
      <c r="J543" s="56" t="s">
        <v>1458</v>
      </c>
      <c r="K543" s="56" t="s">
        <v>293</v>
      </c>
      <c r="L543" s="292">
        <v>246</v>
      </c>
      <c r="M543" s="292"/>
      <c r="N543" s="358"/>
      <c r="O543" s="292"/>
      <c r="P543" s="292"/>
      <c r="Q543" s="614"/>
      <c r="R543" s="913">
        <f t="shared" si="36"/>
        <v>0</v>
      </c>
      <c r="S543" s="913">
        <f t="shared" si="37"/>
        <v>0</v>
      </c>
      <c r="T543" s="913">
        <f t="shared" si="38"/>
        <v>0</v>
      </c>
      <c r="U543" s="914">
        <f t="shared" si="39"/>
        <v>0.3</v>
      </c>
      <c r="V543" s="612"/>
      <c r="W543" s="612"/>
      <c r="X543" s="612"/>
      <c r="Y543" s="612"/>
      <c r="Z543" s="612"/>
      <c r="AA543" s="612"/>
      <c r="AB543" s="612"/>
      <c r="AC543" s="612"/>
    </row>
    <row r="544" spans="1:29">
      <c r="A544" s="48" t="s">
        <v>1433</v>
      </c>
      <c r="B544" s="60">
        <v>45533</v>
      </c>
      <c r="C544" s="54" t="s">
        <v>173</v>
      </c>
      <c r="D544" s="435" t="str">
        <f>IFERROR(VLOOKUP(C544,Mychart!$A$125:$B$811,2,FALSE),"-")</f>
        <v>BAB AL TABREED A/C UNITS FIX.CONT</v>
      </c>
      <c r="E544" s="676" t="s">
        <v>1118</v>
      </c>
      <c r="F544" s="58">
        <v>2</v>
      </c>
      <c r="G544" s="58">
        <v>3</v>
      </c>
      <c r="H544" s="58">
        <v>172.858</v>
      </c>
      <c r="I544" s="58">
        <v>8.6429000000000009</v>
      </c>
      <c r="J544" s="56" t="s">
        <v>1458</v>
      </c>
      <c r="K544" s="56" t="s">
        <v>293</v>
      </c>
      <c r="L544" s="292">
        <v>246</v>
      </c>
      <c r="M544" s="292"/>
      <c r="N544" s="358"/>
      <c r="O544" s="292"/>
      <c r="P544" s="292"/>
      <c r="Q544" s="614"/>
      <c r="R544" s="913">
        <f t="shared" si="36"/>
        <v>0</v>
      </c>
      <c r="S544" s="913">
        <f t="shared" si="37"/>
        <v>0</v>
      </c>
      <c r="T544" s="913">
        <f t="shared" si="38"/>
        <v>0</v>
      </c>
      <c r="U544" s="914">
        <f t="shared" si="39"/>
        <v>2</v>
      </c>
      <c r="V544" s="612"/>
      <c r="W544" s="612"/>
      <c r="X544" s="612"/>
      <c r="Y544" s="612"/>
      <c r="Z544" s="612"/>
      <c r="AA544" s="612"/>
      <c r="AB544" s="612"/>
      <c r="AC544" s="612"/>
    </row>
    <row r="545" spans="1:29">
      <c r="A545" s="48" t="s">
        <v>1433</v>
      </c>
      <c r="B545" s="60">
        <v>45533</v>
      </c>
      <c r="C545" s="54" t="s">
        <v>173</v>
      </c>
      <c r="D545" s="435" t="str">
        <f>IFERROR(VLOOKUP(C545,Mychart!$A$125:$B$811,2,FALSE),"-")</f>
        <v>BAB AL TABREED A/C UNITS FIX.CONT</v>
      </c>
      <c r="E545" s="676" t="s">
        <v>1457</v>
      </c>
      <c r="F545" s="58">
        <v>1</v>
      </c>
      <c r="G545" s="58">
        <v>2</v>
      </c>
      <c r="H545" s="58">
        <v>172.858</v>
      </c>
      <c r="I545" s="58">
        <v>8.6429000000000009</v>
      </c>
      <c r="J545" s="56" t="s">
        <v>1458</v>
      </c>
      <c r="K545" s="56" t="s">
        <v>293</v>
      </c>
      <c r="L545" s="292">
        <v>246</v>
      </c>
      <c r="M545" s="292" t="s">
        <v>1604</v>
      </c>
      <c r="N545" s="358">
        <v>181.63</v>
      </c>
      <c r="O545" s="292">
        <v>181.63</v>
      </c>
      <c r="P545" s="292"/>
      <c r="Q545" s="614">
        <v>181.5009</v>
      </c>
      <c r="R545" s="913">
        <f t="shared" si="36"/>
        <v>0</v>
      </c>
      <c r="S545" s="913">
        <f t="shared" si="37"/>
        <v>-0.129099999999994</v>
      </c>
      <c r="T545" s="913">
        <f t="shared" si="38"/>
        <v>-0.129099999999994</v>
      </c>
      <c r="U545" s="914">
        <f t="shared" si="39"/>
        <v>1</v>
      </c>
      <c r="V545" s="612"/>
      <c r="W545" s="612"/>
      <c r="X545" s="612"/>
      <c r="Y545" s="612"/>
      <c r="Z545" s="612"/>
      <c r="AA545" s="612"/>
      <c r="AB545" s="612"/>
      <c r="AC545" s="612"/>
    </row>
    <row r="546" spans="1:29">
      <c r="A546" s="48" t="s">
        <v>1488</v>
      </c>
      <c r="B546" s="60">
        <v>45535</v>
      </c>
      <c r="C546" s="54" t="s">
        <v>173</v>
      </c>
      <c r="D546" s="435" t="str">
        <f>IFERROR(VLOOKUP(C546,Mychart!$A$125:$B$811,2,FALSE),"-")</f>
        <v>BAB AL TABREED A/C UNITS FIX.CONT</v>
      </c>
      <c r="E546" s="676" t="s">
        <v>979</v>
      </c>
      <c r="F546" s="58">
        <v>31.44</v>
      </c>
      <c r="G546" s="58">
        <v>2.8</v>
      </c>
      <c r="H546" s="58">
        <v>158.84699999999998</v>
      </c>
      <c r="I546" s="58">
        <v>7.9423499999999994</v>
      </c>
      <c r="J546" s="56" t="s">
        <v>1486</v>
      </c>
      <c r="K546" s="56" t="s">
        <v>282</v>
      </c>
      <c r="L546" s="292">
        <v>249</v>
      </c>
      <c r="M546" s="292"/>
      <c r="N546" s="358"/>
      <c r="O546" s="292"/>
      <c r="P546" s="292" t="s">
        <v>1205</v>
      </c>
      <c r="Q546" s="614"/>
      <c r="R546" s="913">
        <f t="shared" si="36"/>
        <v>0</v>
      </c>
      <c r="S546" s="913">
        <f t="shared" si="37"/>
        <v>0</v>
      </c>
      <c r="T546" s="913">
        <f t="shared" si="38"/>
        <v>0</v>
      </c>
      <c r="U546" s="914" t="e">
        <f t="shared" si="39"/>
        <v>#VALUE!</v>
      </c>
      <c r="V546" s="612"/>
      <c r="W546" s="612"/>
      <c r="X546" s="612"/>
      <c r="Y546" s="612"/>
      <c r="Z546" s="612"/>
      <c r="AA546" s="612"/>
      <c r="AB546" s="612"/>
      <c r="AC546" s="612"/>
    </row>
    <row r="547" spans="1:29">
      <c r="A547" s="48" t="s">
        <v>1488</v>
      </c>
      <c r="B547" s="60">
        <v>45535</v>
      </c>
      <c r="C547" s="54" t="s">
        <v>173</v>
      </c>
      <c r="D547" s="435" t="str">
        <f>IFERROR(VLOOKUP(C547,Mychart!$A$125:$B$811,2,FALSE),"-")</f>
        <v>BAB AL TABREED A/C UNITS FIX.CONT</v>
      </c>
      <c r="E547" s="676" t="s">
        <v>1487</v>
      </c>
      <c r="F547" s="58">
        <v>15.09</v>
      </c>
      <c r="G547" s="58">
        <v>3.5</v>
      </c>
      <c r="H547" s="58">
        <v>158.84699999999998</v>
      </c>
      <c r="I547" s="58">
        <v>7.9423499999999994</v>
      </c>
      <c r="J547" s="56" t="s">
        <v>1486</v>
      </c>
      <c r="K547" s="56" t="s">
        <v>282</v>
      </c>
      <c r="L547" s="292">
        <v>249</v>
      </c>
      <c r="M547" s="292"/>
      <c r="N547" s="358"/>
      <c r="O547" s="292"/>
      <c r="P547" s="292"/>
      <c r="Q547" s="614"/>
      <c r="R547" s="913">
        <f t="shared" si="36"/>
        <v>0</v>
      </c>
      <c r="S547" s="913">
        <f t="shared" si="37"/>
        <v>0</v>
      </c>
      <c r="T547" s="913">
        <f t="shared" si="38"/>
        <v>0</v>
      </c>
      <c r="U547" s="914">
        <f t="shared" si="39"/>
        <v>15.09</v>
      </c>
      <c r="V547" s="612"/>
      <c r="W547" s="612"/>
      <c r="X547" s="612"/>
      <c r="Y547" s="612"/>
      <c r="Z547" s="612"/>
      <c r="AA547" s="612"/>
      <c r="AB547" s="612"/>
      <c r="AC547" s="612"/>
    </row>
    <row r="548" spans="1:29">
      <c r="A548" s="48" t="s">
        <v>1488</v>
      </c>
      <c r="B548" s="60">
        <v>45535</v>
      </c>
      <c r="C548" s="54" t="s">
        <v>173</v>
      </c>
      <c r="D548" s="435" t="str">
        <f>IFERROR(VLOOKUP(C548,Mychart!$A$125:$B$811,2,FALSE),"-")</f>
        <v>BAB AL TABREED A/C UNITS FIX.CONT</v>
      </c>
      <c r="E548" s="676" t="s">
        <v>1118</v>
      </c>
      <c r="F548" s="58">
        <v>4</v>
      </c>
      <c r="G548" s="58">
        <v>3</v>
      </c>
      <c r="H548" s="58">
        <v>158.84699999999998</v>
      </c>
      <c r="I548" s="58">
        <v>7.9423499999999994</v>
      </c>
      <c r="J548" s="56" t="s">
        <v>1486</v>
      </c>
      <c r="K548" s="56" t="s">
        <v>282</v>
      </c>
      <c r="L548" s="292">
        <v>249</v>
      </c>
      <c r="M548" s="292"/>
      <c r="N548" s="358"/>
      <c r="O548" s="292"/>
      <c r="P548" s="292"/>
      <c r="Q548" s="614"/>
      <c r="R548" s="913">
        <f t="shared" si="36"/>
        <v>0</v>
      </c>
      <c r="S548" s="913">
        <f t="shared" si="37"/>
        <v>0</v>
      </c>
      <c r="T548" s="913">
        <f t="shared" si="38"/>
        <v>0</v>
      </c>
      <c r="U548" s="914">
        <f t="shared" si="39"/>
        <v>4</v>
      </c>
      <c r="V548" s="612"/>
      <c r="W548" s="612"/>
      <c r="X548" s="612"/>
      <c r="Y548" s="612"/>
      <c r="Z548" s="612"/>
      <c r="AA548" s="612"/>
      <c r="AB548" s="612"/>
      <c r="AC548" s="612"/>
    </row>
    <row r="549" spans="1:29">
      <c r="A549" s="48" t="s">
        <v>1488</v>
      </c>
      <c r="B549" s="60">
        <v>45535</v>
      </c>
      <c r="C549" s="54" t="s">
        <v>173</v>
      </c>
      <c r="D549" s="435" t="str">
        <f>IFERROR(VLOOKUP(C549,Mychart!$A$125:$B$811,2,FALSE),"-")</f>
        <v>BAB AL TABREED A/C UNITS FIX.CONT</v>
      </c>
      <c r="E549" s="676" t="s">
        <v>1119</v>
      </c>
      <c r="F549" s="58">
        <v>3</v>
      </c>
      <c r="G549" s="58">
        <v>2</v>
      </c>
      <c r="H549" s="58">
        <v>158.84699999999998</v>
      </c>
      <c r="I549" s="58">
        <v>7.9423499999999994</v>
      </c>
      <c r="J549" s="56" t="s">
        <v>1486</v>
      </c>
      <c r="K549" s="56" t="s">
        <v>282</v>
      </c>
      <c r="L549" s="292">
        <v>249</v>
      </c>
      <c r="M549" s="292" t="s">
        <v>1605</v>
      </c>
      <c r="N549" s="358">
        <v>166.8</v>
      </c>
      <c r="O549" s="292">
        <v>166.8</v>
      </c>
      <c r="P549" s="292"/>
      <c r="Q549" s="614">
        <v>166.78934999999998</v>
      </c>
      <c r="R549" s="913">
        <f t="shared" si="36"/>
        <v>0</v>
      </c>
      <c r="S549" s="913">
        <f t="shared" si="37"/>
        <v>-1.0650000000026694E-2</v>
      </c>
      <c r="T549" s="913">
        <f t="shared" si="38"/>
        <v>-1.0650000000026694E-2</v>
      </c>
      <c r="U549" s="914">
        <f t="shared" si="39"/>
        <v>3</v>
      </c>
      <c r="V549" s="612"/>
      <c r="W549" s="612"/>
      <c r="X549" s="612"/>
      <c r="Y549" s="612"/>
      <c r="Z549" s="612"/>
      <c r="AA549" s="612"/>
      <c r="AB549" s="612"/>
      <c r="AC549" s="612"/>
    </row>
    <row r="550" spans="1:29">
      <c r="A550" s="48" t="s">
        <v>1540</v>
      </c>
      <c r="B550" s="60">
        <v>45536</v>
      </c>
      <c r="C550" s="54" t="s">
        <v>173</v>
      </c>
      <c r="D550" s="435" t="str">
        <f>IFERROR(VLOOKUP(C550,Mychart!$A$125:$B$811,2,FALSE),"-")</f>
        <v>BAB AL TABREED A/C UNITS FIX.CONT</v>
      </c>
      <c r="E550" s="676" t="s">
        <v>979</v>
      </c>
      <c r="F550" s="58">
        <v>91.29</v>
      </c>
      <c r="G550" s="58">
        <v>2.8</v>
      </c>
      <c r="H550" s="58">
        <v>296.61199999999997</v>
      </c>
      <c r="I550" s="58">
        <v>14.830599999999999</v>
      </c>
      <c r="J550" s="56" t="s">
        <v>1541</v>
      </c>
      <c r="K550" s="56" t="s">
        <v>275</v>
      </c>
      <c r="L550" s="292">
        <v>262</v>
      </c>
      <c r="M550" s="292"/>
      <c r="N550" s="358"/>
      <c r="O550" s="292"/>
      <c r="P550" s="292"/>
      <c r="Q550" s="614"/>
      <c r="R550" s="913">
        <f t="shared" si="36"/>
        <v>0</v>
      </c>
      <c r="S550" s="913">
        <f t="shared" si="37"/>
        <v>0</v>
      </c>
      <c r="T550" s="913">
        <f t="shared" si="38"/>
        <v>0</v>
      </c>
      <c r="U550" s="914">
        <f t="shared" si="39"/>
        <v>91.29</v>
      </c>
      <c r="V550" s="612"/>
      <c r="W550" s="612"/>
      <c r="X550" s="612"/>
      <c r="Y550" s="612"/>
      <c r="Z550" s="612"/>
      <c r="AA550" s="612"/>
      <c r="AB550" s="612"/>
      <c r="AC550" s="612"/>
    </row>
    <row r="551" spans="1:29">
      <c r="A551" s="48" t="s">
        <v>1540</v>
      </c>
      <c r="B551" s="60">
        <v>45536</v>
      </c>
      <c r="C551" s="54" t="s">
        <v>173</v>
      </c>
      <c r="D551" s="435" t="str">
        <f>IFERROR(VLOOKUP(C551,Mychart!$A$125:$B$811,2,FALSE),"-")</f>
        <v>BAB AL TABREED A/C UNITS FIX.CONT</v>
      </c>
      <c r="E551" s="676" t="s">
        <v>1118</v>
      </c>
      <c r="F551" s="58">
        <v>9</v>
      </c>
      <c r="G551" s="58">
        <v>3</v>
      </c>
      <c r="H551" s="58">
        <v>296.61199999999997</v>
      </c>
      <c r="I551" s="58">
        <v>14.830599999999999</v>
      </c>
      <c r="J551" s="56" t="s">
        <v>1541</v>
      </c>
      <c r="K551" s="56" t="s">
        <v>275</v>
      </c>
      <c r="L551" s="292">
        <v>262</v>
      </c>
      <c r="M551" s="292"/>
      <c r="N551" s="358"/>
      <c r="O551" s="292"/>
      <c r="P551" s="292"/>
      <c r="Q551" s="614"/>
      <c r="R551" s="913">
        <f t="shared" si="36"/>
        <v>0</v>
      </c>
      <c r="S551" s="913">
        <f t="shared" si="37"/>
        <v>0</v>
      </c>
      <c r="T551" s="913">
        <f t="shared" si="38"/>
        <v>0</v>
      </c>
      <c r="U551" s="914">
        <f t="shared" si="39"/>
        <v>9</v>
      </c>
      <c r="V551" s="612"/>
      <c r="W551" s="612"/>
      <c r="X551" s="612"/>
      <c r="Y551" s="612"/>
      <c r="Z551" s="612"/>
      <c r="AA551" s="612"/>
      <c r="AB551" s="612"/>
      <c r="AC551" s="612"/>
    </row>
    <row r="552" spans="1:29">
      <c r="A552" s="48" t="s">
        <v>1540</v>
      </c>
      <c r="B552" s="60">
        <v>45536</v>
      </c>
      <c r="C552" s="54" t="s">
        <v>173</v>
      </c>
      <c r="D552" s="435" t="str">
        <f>IFERROR(VLOOKUP(C552,Mychart!$A$125:$B$811,2,FALSE),"-")</f>
        <v>BAB AL TABREED A/C UNITS FIX.CONT</v>
      </c>
      <c r="E552" s="676" t="s">
        <v>1119</v>
      </c>
      <c r="F552" s="58">
        <v>7</v>
      </c>
      <c r="G552" s="58">
        <v>2</v>
      </c>
      <c r="H552" s="58">
        <v>296.61199999999997</v>
      </c>
      <c r="I552" s="58">
        <v>14.830599999999999</v>
      </c>
      <c r="J552" s="56" t="s">
        <v>1541</v>
      </c>
      <c r="K552" s="56" t="s">
        <v>275</v>
      </c>
      <c r="L552" s="292">
        <v>262</v>
      </c>
      <c r="M552" s="292" t="s">
        <v>1606</v>
      </c>
      <c r="N552" s="358">
        <v>311.44</v>
      </c>
      <c r="O552" s="292">
        <v>311.44</v>
      </c>
      <c r="P552" s="292"/>
      <c r="Q552" s="614">
        <v>311.44259999999997</v>
      </c>
      <c r="R552" s="913">
        <f t="shared" si="36"/>
        <v>0</v>
      </c>
      <c r="S552" s="913">
        <f t="shared" si="37"/>
        <v>2.5999999999726242E-3</v>
      </c>
      <c r="T552" s="913">
        <f t="shared" si="38"/>
        <v>2.5999999999726242E-3</v>
      </c>
      <c r="U552" s="914">
        <f t="shared" si="39"/>
        <v>7</v>
      </c>
      <c r="V552" s="612"/>
      <c r="W552" s="612"/>
      <c r="X552" s="612"/>
      <c r="Y552" s="612"/>
      <c r="Z552" s="612"/>
      <c r="AA552" s="612"/>
      <c r="AB552" s="612"/>
      <c r="AC552" s="612"/>
    </row>
    <row r="553" spans="1:29">
      <c r="A553" s="48" t="s">
        <v>1543</v>
      </c>
      <c r="B553" s="60">
        <v>45536</v>
      </c>
      <c r="C553" s="54" t="s">
        <v>173</v>
      </c>
      <c r="D553" s="435" t="str">
        <f>IFERROR(VLOOKUP(C553,Mychart!$A$125:$B$811,2,FALSE),"-")</f>
        <v>BAB AL TABREED A/C UNITS FIX.CONT</v>
      </c>
      <c r="E553" s="676" t="s">
        <v>979</v>
      </c>
      <c r="F553" s="58">
        <v>316.18</v>
      </c>
      <c r="G553" s="58">
        <v>2.8</v>
      </c>
      <c r="H553" s="58">
        <v>1231.424</v>
      </c>
      <c r="I553" s="58">
        <v>61.571200000000005</v>
      </c>
      <c r="J553" s="56" t="s">
        <v>1542</v>
      </c>
      <c r="K553" s="56" t="s">
        <v>278</v>
      </c>
      <c r="L553" s="292">
        <v>255</v>
      </c>
      <c r="M553" s="292"/>
      <c r="N553" s="358"/>
      <c r="O553" s="292"/>
      <c r="P553" s="292" t="s">
        <v>1205</v>
      </c>
      <c r="Q553" s="614"/>
      <c r="R553" s="913">
        <f t="shared" si="36"/>
        <v>0</v>
      </c>
      <c r="S553" s="913">
        <f t="shared" si="37"/>
        <v>0</v>
      </c>
      <c r="T553" s="913">
        <f t="shared" si="38"/>
        <v>0</v>
      </c>
      <c r="U553" s="914" t="e">
        <f t="shared" si="39"/>
        <v>#VALUE!</v>
      </c>
      <c r="V553" s="612"/>
      <c r="W553" s="612"/>
      <c r="X553" s="612"/>
      <c r="Y553" s="612"/>
      <c r="Z553" s="612"/>
      <c r="AA553" s="612"/>
      <c r="AB553" s="612"/>
      <c r="AC553" s="612"/>
    </row>
    <row r="554" spans="1:29">
      <c r="A554" s="48" t="s">
        <v>1543</v>
      </c>
      <c r="B554" s="60">
        <v>45536</v>
      </c>
      <c r="C554" s="54" t="s">
        <v>173</v>
      </c>
      <c r="D554" s="435" t="str">
        <f>IFERROR(VLOOKUP(C554,Mychart!$A$125:$B$811,2,FALSE),"-")</f>
        <v>BAB AL TABREED A/C UNITS FIX.CONT</v>
      </c>
      <c r="E554" s="676" t="s">
        <v>1544</v>
      </c>
      <c r="F554" s="58">
        <v>76.319999999999993</v>
      </c>
      <c r="G554" s="58">
        <v>3.5</v>
      </c>
      <c r="H554" s="58">
        <v>1231.424</v>
      </c>
      <c r="I554" s="58">
        <v>61.571200000000005</v>
      </c>
      <c r="J554" s="56" t="s">
        <v>1542</v>
      </c>
      <c r="K554" s="56" t="s">
        <v>278</v>
      </c>
      <c r="L554" s="292">
        <v>255</v>
      </c>
      <c r="M554" s="292"/>
      <c r="N554" s="358"/>
      <c r="O554" s="292"/>
      <c r="P554" s="292"/>
      <c r="Q554" s="614"/>
      <c r="R554" s="913">
        <f t="shared" si="36"/>
        <v>0</v>
      </c>
      <c r="S554" s="913">
        <f t="shared" si="37"/>
        <v>0</v>
      </c>
      <c r="T554" s="913">
        <f t="shared" si="38"/>
        <v>0</v>
      </c>
      <c r="U554" s="914">
        <f t="shared" si="39"/>
        <v>76.319999999999993</v>
      </c>
      <c r="V554" s="612"/>
      <c r="W554" s="612"/>
      <c r="X554" s="612"/>
      <c r="Y554" s="612"/>
      <c r="Z554" s="612"/>
      <c r="AA554" s="612"/>
      <c r="AB554" s="612"/>
      <c r="AC554" s="612"/>
    </row>
    <row r="555" spans="1:29">
      <c r="A555" s="48" t="s">
        <v>1543</v>
      </c>
      <c r="B555" s="60">
        <v>45536</v>
      </c>
      <c r="C555" s="54" t="s">
        <v>173</v>
      </c>
      <c r="D555" s="435" t="str">
        <f>IFERROR(VLOOKUP(C555,Mychart!$A$125:$B$811,2,FALSE),"-")</f>
        <v>BAB AL TABREED A/C UNITS FIX.CONT</v>
      </c>
      <c r="E555" s="676" t="s">
        <v>1118</v>
      </c>
      <c r="F555" s="58">
        <v>17</v>
      </c>
      <c r="G555" s="58">
        <v>3</v>
      </c>
      <c r="H555" s="58">
        <v>1231.424</v>
      </c>
      <c r="I555" s="58">
        <v>61.571200000000005</v>
      </c>
      <c r="J555" s="56" t="s">
        <v>1542</v>
      </c>
      <c r="K555" s="56" t="s">
        <v>278</v>
      </c>
      <c r="L555" s="292">
        <v>255</v>
      </c>
      <c r="M555" s="292"/>
      <c r="N555" s="358"/>
      <c r="O555" s="292"/>
      <c r="P555" s="292"/>
      <c r="Q555" s="614"/>
      <c r="R555" s="913">
        <f t="shared" si="36"/>
        <v>0</v>
      </c>
      <c r="S555" s="913">
        <f t="shared" si="37"/>
        <v>0</v>
      </c>
      <c r="T555" s="913">
        <f t="shared" si="38"/>
        <v>0</v>
      </c>
      <c r="U555" s="914">
        <f t="shared" si="39"/>
        <v>17</v>
      </c>
      <c r="V555" s="612"/>
      <c r="W555" s="612"/>
      <c r="X555" s="612"/>
      <c r="Y555" s="612"/>
      <c r="Z555" s="612"/>
      <c r="AA555" s="612"/>
      <c r="AB555" s="612"/>
      <c r="AC555" s="612"/>
    </row>
    <row r="556" spans="1:29">
      <c r="A556" s="48" t="s">
        <v>1543</v>
      </c>
      <c r="B556" s="60">
        <v>45536</v>
      </c>
      <c r="C556" s="54" t="s">
        <v>173</v>
      </c>
      <c r="D556" s="435" t="str">
        <f>IFERROR(VLOOKUP(C556,Mychart!$A$125:$B$811,2,FALSE),"-")</f>
        <v>BAB AL TABREED A/C UNITS FIX.CONT</v>
      </c>
      <c r="E556" s="676" t="s">
        <v>1119</v>
      </c>
      <c r="F556" s="58">
        <v>14</v>
      </c>
      <c r="G556" s="58">
        <v>2</v>
      </c>
      <c r="H556" s="58">
        <v>1231.424</v>
      </c>
      <c r="I556" s="58">
        <v>61.571200000000005</v>
      </c>
      <c r="J556" s="56" t="s">
        <v>1542</v>
      </c>
      <c r="K556" s="56" t="s">
        <v>278</v>
      </c>
      <c r="L556" s="292">
        <v>255</v>
      </c>
      <c r="M556" s="292" t="s">
        <v>1607</v>
      </c>
      <c r="N556" s="358">
        <v>1293.1099999999999</v>
      </c>
      <c r="O556" s="292">
        <v>1293.1099999999999</v>
      </c>
      <c r="P556" s="292"/>
      <c r="Q556" s="614">
        <v>1292.9952000000001</v>
      </c>
      <c r="R556" s="913">
        <f t="shared" si="36"/>
        <v>0</v>
      </c>
      <c r="S556" s="913">
        <f t="shared" si="37"/>
        <v>-0.11479999999983193</v>
      </c>
      <c r="T556" s="913">
        <f t="shared" si="38"/>
        <v>-0.11479999999983193</v>
      </c>
      <c r="U556" s="914">
        <f t="shared" si="39"/>
        <v>14</v>
      </c>
      <c r="V556" s="612"/>
      <c r="W556" s="612"/>
      <c r="X556" s="612"/>
      <c r="Y556" s="612"/>
      <c r="Z556" s="612"/>
      <c r="AA556" s="612"/>
      <c r="AB556" s="612"/>
      <c r="AC556" s="612"/>
    </row>
    <row r="557" spans="1:29">
      <c r="A557" s="48" t="s">
        <v>1551</v>
      </c>
      <c r="B557" s="60">
        <v>45538</v>
      </c>
      <c r="C557" s="54" t="s">
        <v>172</v>
      </c>
      <c r="D557" s="435" t="str">
        <f>IFERROR(VLOOKUP(C557,Mychart!$A$125:$B$811,2,FALSE),"-")</f>
        <v>BEST CHOICE INDUSTRIES LLC</v>
      </c>
      <c r="E557" s="676" t="s">
        <v>1552</v>
      </c>
      <c r="F557" s="58">
        <v>2</v>
      </c>
      <c r="G557" s="58"/>
      <c r="H557" s="58">
        <v>2953</v>
      </c>
      <c r="I557" s="58">
        <v>147.65</v>
      </c>
      <c r="J557" s="56">
        <v>73036</v>
      </c>
      <c r="K557" s="56" t="s">
        <v>300</v>
      </c>
      <c r="L557" s="292">
        <v>216</v>
      </c>
      <c r="M557" s="292"/>
      <c r="N557" s="358"/>
      <c r="O557" s="292"/>
      <c r="P557" s="292"/>
      <c r="Q557" s="614"/>
      <c r="R557" s="913">
        <f t="shared" si="36"/>
        <v>0</v>
      </c>
      <c r="S557" s="913">
        <f t="shared" si="37"/>
        <v>0</v>
      </c>
      <c r="T557" s="913">
        <f t="shared" si="38"/>
        <v>0</v>
      </c>
      <c r="U557" s="914">
        <f t="shared" si="39"/>
        <v>2</v>
      </c>
      <c r="V557" s="612"/>
      <c r="W557" s="612"/>
      <c r="X557" s="612"/>
      <c r="Y557" s="612"/>
      <c r="Z557" s="612"/>
      <c r="AA557" s="612"/>
      <c r="AB557" s="612"/>
      <c r="AC557" s="612"/>
    </row>
    <row r="558" spans="1:29">
      <c r="A558" s="48" t="s">
        <v>1551</v>
      </c>
      <c r="B558" s="60">
        <v>45538</v>
      </c>
      <c r="C558" s="54" t="s">
        <v>172</v>
      </c>
      <c r="D558" s="435" t="str">
        <f>IFERROR(VLOOKUP(C558,Mychart!$A$125:$B$811,2,FALSE),"-")</f>
        <v>BEST CHOICE INDUSTRIES LLC</v>
      </c>
      <c r="E558" s="676" t="s">
        <v>1553</v>
      </c>
      <c r="F558" s="58">
        <v>2</v>
      </c>
      <c r="G558" s="58"/>
      <c r="H558" s="58">
        <v>2953</v>
      </c>
      <c r="I558" s="58">
        <v>147.65</v>
      </c>
      <c r="J558" s="56">
        <v>73036</v>
      </c>
      <c r="K558" s="56" t="s">
        <v>300</v>
      </c>
      <c r="L558" s="292">
        <v>216</v>
      </c>
      <c r="M558" s="292"/>
      <c r="N558" s="358"/>
      <c r="O558" s="292"/>
      <c r="P558" s="292"/>
      <c r="Q558" s="614"/>
      <c r="R558" s="913">
        <f t="shared" si="36"/>
        <v>0</v>
      </c>
      <c r="S558" s="913">
        <f t="shared" si="37"/>
        <v>0</v>
      </c>
      <c r="T558" s="913">
        <f t="shared" si="38"/>
        <v>0</v>
      </c>
      <c r="U558" s="914">
        <f t="shared" si="39"/>
        <v>2</v>
      </c>
      <c r="V558" s="612"/>
      <c r="W558" s="612"/>
      <c r="X558" s="612"/>
      <c r="Y558" s="612"/>
      <c r="Z558" s="612"/>
      <c r="AA558" s="612"/>
      <c r="AB558" s="612"/>
      <c r="AC558" s="612"/>
    </row>
    <row r="559" spans="1:29">
      <c r="A559" s="48" t="s">
        <v>1551</v>
      </c>
      <c r="B559" s="60">
        <v>45538</v>
      </c>
      <c r="C559" s="54" t="s">
        <v>172</v>
      </c>
      <c r="D559" s="435" t="str">
        <f>IFERROR(VLOOKUP(C559,Mychart!$A$125:$B$811,2,FALSE),"-")</f>
        <v>BEST CHOICE INDUSTRIES LLC</v>
      </c>
      <c r="E559" s="676" t="s">
        <v>1554</v>
      </c>
      <c r="F559" s="58">
        <v>12</v>
      </c>
      <c r="G559" s="58"/>
      <c r="H559" s="58">
        <v>2953</v>
      </c>
      <c r="I559" s="58">
        <v>147.65</v>
      </c>
      <c r="J559" s="56">
        <v>73036</v>
      </c>
      <c r="K559" s="56" t="s">
        <v>300</v>
      </c>
      <c r="L559" s="292">
        <v>216</v>
      </c>
      <c r="M559" s="292"/>
      <c r="N559" s="358"/>
      <c r="O559" s="292"/>
      <c r="P559" s="292"/>
      <c r="Q559" s="614"/>
      <c r="R559" s="913">
        <f t="shared" si="36"/>
        <v>0</v>
      </c>
      <c r="S559" s="913">
        <f t="shared" si="37"/>
        <v>0</v>
      </c>
      <c r="T559" s="913">
        <f t="shared" si="38"/>
        <v>0</v>
      </c>
      <c r="U559" s="914">
        <f t="shared" si="39"/>
        <v>12</v>
      </c>
      <c r="V559" s="612"/>
      <c r="W559" s="612"/>
      <c r="X559" s="612"/>
      <c r="Y559" s="612"/>
      <c r="Z559" s="612"/>
      <c r="AA559" s="612"/>
      <c r="AB559" s="612"/>
      <c r="AC559" s="612"/>
    </row>
    <row r="560" spans="1:29">
      <c r="A560" s="48" t="s">
        <v>1551</v>
      </c>
      <c r="B560" s="60">
        <v>45538</v>
      </c>
      <c r="C560" s="54" t="s">
        <v>172</v>
      </c>
      <c r="D560" s="435" t="str">
        <f>IFERROR(VLOOKUP(C560,Mychart!$A$125:$B$811,2,FALSE),"-")</f>
        <v>BEST CHOICE INDUSTRIES LLC</v>
      </c>
      <c r="E560" s="676" t="s">
        <v>1555</v>
      </c>
      <c r="F560" s="58">
        <v>12</v>
      </c>
      <c r="G560" s="58"/>
      <c r="H560" s="58">
        <v>2953</v>
      </c>
      <c r="I560" s="58">
        <v>147.65</v>
      </c>
      <c r="J560" s="56">
        <v>73036</v>
      </c>
      <c r="K560" s="56" t="s">
        <v>300</v>
      </c>
      <c r="L560" s="292">
        <v>216</v>
      </c>
      <c r="M560" s="292"/>
      <c r="N560" s="358"/>
      <c r="O560" s="292"/>
      <c r="P560" s="292"/>
      <c r="Q560" s="614"/>
      <c r="R560" s="913">
        <f t="shared" si="36"/>
        <v>0</v>
      </c>
      <c r="S560" s="913">
        <f t="shared" si="37"/>
        <v>0</v>
      </c>
      <c r="T560" s="913">
        <f t="shared" si="38"/>
        <v>0</v>
      </c>
      <c r="U560" s="914">
        <f t="shared" si="39"/>
        <v>12</v>
      </c>
      <c r="V560" s="612"/>
      <c r="W560" s="612"/>
      <c r="X560" s="612"/>
      <c r="Y560" s="612"/>
      <c r="Z560" s="612"/>
      <c r="AA560" s="612"/>
      <c r="AB560" s="612"/>
      <c r="AC560" s="612"/>
    </row>
    <row r="561" spans="1:30">
      <c r="A561" s="48" t="s">
        <v>1551</v>
      </c>
      <c r="B561" s="60">
        <v>45538</v>
      </c>
      <c r="C561" s="54" t="s">
        <v>172</v>
      </c>
      <c r="D561" s="435" t="str">
        <f>IFERROR(VLOOKUP(C561,Mychart!$A$125:$B$811,2,FALSE),"-")</f>
        <v>BEST CHOICE INDUSTRIES LLC</v>
      </c>
      <c r="E561" s="676" t="s">
        <v>1556</v>
      </c>
      <c r="F561" s="58">
        <v>6</v>
      </c>
      <c r="G561" s="58"/>
      <c r="H561" s="58">
        <v>2953</v>
      </c>
      <c r="I561" s="58">
        <v>147.65</v>
      </c>
      <c r="J561" s="56">
        <v>73036</v>
      </c>
      <c r="K561" s="56" t="s">
        <v>300</v>
      </c>
      <c r="L561" s="292">
        <v>216</v>
      </c>
      <c r="M561" s="292"/>
      <c r="N561" s="358"/>
      <c r="O561" s="292"/>
      <c r="P561" s="292"/>
      <c r="Q561" s="614"/>
      <c r="R561" s="913">
        <f t="shared" si="36"/>
        <v>0</v>
      </c>
      <c r="S561" s="913">
        <f t="shared" si="37"/>
        <v>0</v>
      </c>
      <c r="T561" s="913">
        <f t="shared" si="38"/>
        <v>0</v>
      </c>
      <c r="U561" s="914">
        <f t="shared" si="39"/>
        <v>6</v>
      </c>
      <c r="V561" s="612"/>
      <c r="W561" s="612"/>
      <c r="X561" s="612"/>
      <c r="Y561" s="612"/>
      <c r="Z561" s="612"/>
      <c r="AA561" s="612"/>
      <c r="AB561" s="612"/>
      <c r="AC561" s="612"/>
    </row>
    <row r="562" spans="1:30">
      <c r="A562" s="48" t="s">
        <v>1551</v>
      </c>
      <c r="B562" s="60">
        <v>45538</v>
      </c>
      <c r="C562" s="54" t="s">
        <v>172</v>
      </c>
      <c r="D562" s="435" t="str">
        <f>IFERROR(VLOOKUP(C562,Mychart!$A$125:$B$811,2,FALSE),"-")</f>
        <v>BEST CHOICE INDUSTRIES LLC</v>
      </c>
      <c r="E562" s="676" t="s">
        <v>1557</v>
      </c>
      <c r="F562" s="58">
        <v>2</v>
      </c>
      <c r="G562" s="58"/>
      <c r="H562" s="58">
        <v>2953</v>
      </c>
      <c r="I562" s="58">
        <v>147.65</v>
      </c>
      <c r="J562" s="56">
        <v>73036</v>
      </c>
      <c r="K562" s="56" t="s">
        <v>300</v>
      </c>
      <c r="L562" s="292">
        <v>216</v>
      </c>
      <c r="M562" s="292"/>
      <c r="N562" s="358"/>
      <c r="O562" s="292"/>
      <c r="P562" s="292"/>
      <c r="Q562" s="614"/>
      <c r="R562" s="913">
        <f t="shared" si="36"/>
        <v>0</v>
      </c>
      <c r="S562" s="913">
        <f t="shared" si="37"/>
        <v>0</v>
      </c>
      <c r="T562" s="913">
        <f t="shared" si="38"/>
        <v>0</v>
      </c>
      <c r="U562" s="914">
        <f t="shared" si="39"/>
        <v>2</v>
      </c>
      <c r="V562" s="612"/>
      <c r="W562" s="612"/>
      <c r="X562" s="612"/>
      <c r="Y562" s="612"/>
      <c r="Z562" s="612"/>
      <c r="AA562" s="612"/>
      <c r="AB562" s="612"/>
      <c r="AC562" s="612"/>
    </row>
    <row r="563" spans="1:30">
      <c r="A563" s="48" t="s">
        <v>1551</v>
      </c>
      <c r="B563" s="60">
        <v>45538</v>
      </c>
      <c r="C563" s="54" t="s">
        <v>172</v>
      </c>
      <c r="D563" s="435" t="str">
        <f>IFERROR(VLOOKUP(C563,Mychart!$A$125:$B$811,2,FALSE),"-")</f>
        <v>BEST CHOICE INDUSTRIES LLC</v>
      </c>
      <c r="E563" s="676" t="s">
        <v>1558</v>
      </c>
      <c r="F563" s="58">
        <v>10</v>
      </c>
      <c r="G563" s="58"/>
      <c r="H563" s="58">
        <v>2953</v>
      </c>
      <c r="I563" s="58">
        <v>147.65</v>
      </c>
      <c r="J563" s="56">
        <v>73036</v>
      </c>
      <c r="K563" s="56" t="s">
        <v>300</v>
      </c>
      <c r="L563" s="292">
        <v>216</v>
      </c>
      <c r="M563" s="292"/>
      <c r="N563" s="358"/>
      <c r="O563" s="292"/>
      <c r="P563" s="292"/>
      <c r="Q563" s="614"/>
      <c r="R563" s="913">
        <f t="shared" si="36"/>
        <v>0</v>
      </c>
      <c r="S563" s="913">
        <f t="shared" si="37"/>
        <v>0</v>
      </c>
      <c r="T563" s="913">
        <f t="shared" si="38"/>
        <v>0</v>
      </c>
      <c r="U563" s="914">
        <f t="shared" si="39"/>
        <v>10</v>
      </c>
      <c r="V563" s="612"/>
      <c r="W563" s="612"/>
      <c r="X563" s="612"/>
      <c r="Y563" s="612"/>
      <c r="Z563" s="612"/>
      <c r="AA563" s="612"/>
      <c r="AB563" s="612"/>
      <c r="AC563" s="612"/>
    </row>
    <row r="564" spans="1:30">
      <c r="A564" s="48" t="s">
        <v>1551</v>
      </c>
      <c r="B564" s="60">
        <v>45538</v>
      </c>
      <c r="C564" s="54" t="s">
        <v>172</v>
      </c>
      <c r="D564" s="435" t="str">
        <f>IFERROR(VLOOKUP(C564,Mychart!$A$125:$B$811,2,FALSE),"-")</f>
        <v>BEST CHOICE INDUSTRIES LLC</v>
      </c>
      <c r="E564" s="676" t="s">
        <v>1559</v>
      </c>
      <c r="F564" s="58">
        <v>5</v>
      </c>
      <c r="G564" s="58"/>
      <c r="H564" s="58">
        <v>2953</v>
      </c>
      <c r="I564" s="58">
        <v>147.65</v>
      </c>
      <c r="J564" s="56">
        <v>73036</v>
      </c>
      <c r="K564" s="56" t="s">
        <v>300</v>
      </c>
      <c r="L564" s="292">
        <v>216</v>
      </c>
      <c r="M564" s="292"/>
      <c r="N564" s="358"/>
      <c r="O564" s="292"/>
      <c r="P564" s="292"/>
      <c r="Q564" s="614"/>
      <c r="R564" s="913">
        <f t="shared" si="36"/>
        <v>0</v>
      </c>
      <c r="S564" s="913">
        <f t="shared" si="37"/>
        <v>0</v>
      </c>
      <c r="T564" s="913">
        <f t="shared" si="38"/>
        <v>0</v>
      </c>
      <c r="U564" s="914">
        <f t="shared" si="39"/>
        <v>5</v>
      </c>
      <c r="V564" s="612"/>
      <c r="W564" s="612"/>
      <c r="X564" s="612"/>
      <c r="Y564" s="612"/>
      <c r="Z564" s="612"/>
      <c r="AA564" s="612"/>
      <c r="AB564" s="612"/>
      <c r="AC564" s="612"/>
    </row>
    <row r="565" spans="1:30">
      <c r="A565" s="48" t="s">
        <v>1551</v>
      </c>
      <c r="B565" s="60">
        <v>45538</v>
      </c>
      <c r="C565" s="54" t="s">
        <v>172</v>
      </c>
      <c r="D565" s="435" t="str">
        <f>IFERROR(VLOOKUP(C565,Mychart!$A$125:$B$811,2,FALSE),"-")</f>
        <v>BEST CHOICE INDUSTRIES LLC</v>
      </c>
      <c r="E565" s="676" t="s">
        <v>1560</v>
      </c>
      <c r="F565" s="58">
        <v>10</v>
      </c>
      <c r="G565" s="58"/>
      <c r="H565" s="58">
        <v>2953</v>
      </c>
      <c r="I565" s="58">
        <v>147.65</v>
      </c>
      <c r="J565" s="56">
        <v>73036</v>
      </c>
      <c r="K565" s="56" t="s">
        <v>300</v>
      </c>
      <c r="L565" s="292">
        <v>216</v>
      </c>
      <c r="M565" s="292"/>
      <c r="N565" s="358"/>
      <c r="O565" s="292"/>
      <c r="P565" s="292"/>
      <c r="Q565" s="614"/>
      <c r="R565" s="913">
        <f t="shared" si="36"/>
        <v>0</v>
      </c>
      <c r="S565" s="913">
        <f t="shared" si="37"/>
        <v>0</v>
      </c>
      <c r="T565" s="913">
        <f t="shared" si="38"/>
        <v>0</v>
      </c>
      <c r="U565" s="914">
        <f t="shared" si="39"/>
        <v>10</v>
      </c>
      <c r="V565" s="612"/>
      <c r="W565" s="612"/>
      <c r="X565" s="612"/>
      <c r="Y565" s="612"/>
      <c r="Z565" s="612"/>
      <c r="AA565" s="612"/>
      <c r="AB565" s="612"/>
      <c r="AC565" s="612"/>
    </row>
    <row r="566" spans="1:30">
      <c r="A566" s="48" t="s">
        <v>1551</v>
      </c>
      <c r="B566" s="60">
        <v>45538</v>
      </c>
      <c r="C566" s="54" t="s">
        <v>172</v>
      </c>
      <c r="D566" s="435" t="str">
        <f>IFERROR(VLOOKUP(C566,Mychart!$A$125:$B$811,2,FALSE),"-")</f>
        <v>BEST CHOICE INDUSTRIES LLC</v>
      </c>
      <c r="E566" s="676" t="s">
        <v>1561</v>
      </c>
      <c r="F566" s="58">
        <v>2</v>
      </c>
      <c r="G566" s="58"/>
      <c r="H566" s="58">
        <v>2953</v>
      </c>
      <c r="I566" s="58">
        <v>147.65</v>
      </c>
      <c r="J566" s="56">
        <v>73036</v>
      </c>
      <c r="K566" s="56" t="s">
        <v>300</v>
      </c>
      <c r="L566" s="292">
        <v>216</v>
      </c>
      <c r="M566" s="292"/>
      <c r="N566" s="358"/>
      <c r="O566" s="292"/>
      <c r="P566" s="292"/>
      <c r="Q566" s="614"/>
      <c r="R566" s="913">
        <f t="shared" si="36"/>
        <v>0</v>
      </c>
      <c r="S566" s="913">
        <f t="shared" si="37"/>
        <v>0</v>
      </c>
      <c r="T566" s="913">
        <f t="shared" si="38"/>
        <v>0</v>
      </c>
      <c r="U566" s="914">
        <f t="shared" si="39"/>
        <v>2</v>
      </c>
      <c r="V566" s="612"/>
      <c r="W566" s="612"/>
      <c r="X566" s="612"/>
      <c r="Y566" s="612"/>
      <c r="Z566" s="612"/>
      <c r="AA566" s="612"/>
      <c r="AB566" s="612"/>
      <c r="AC566" s="612"/>
    </row>
    <row r="567" spans="1:30">
      <c r="A567" s="48" t="s">
        <v>1551</v>
      </c>
      <c r="B567" s="60">
        <v>45538</v>
      </c>
      <c r="C567" s="54" t="s">
        <v>172</v>
      </c>
      <c r="D567" s="435" t="str">
        <f>IFERROR(VLOOKUP(C567,Mychart!$A$125:$B$811,2,FALSE),"-")</f>
        <v>BEST CHOICE INDUSTRIES LLC</v>
      </c>
      <c r="E567" s="676" t="s">
        <v>1776</v>
      </c>
      <c r="F567" s="58">
        <v>1</v>
      </c>
      <c r="G567" s="58">
        <v>2953</v>
      </c>
      <c r="H567" s="58">
        <v>2953</v>
      </c>
      <c r="I567" s="58">
        <v>147.65</v>
      </c>
      <c r="J567" s="56">
        <v>73036</v>
      </c>
      <c r="K567" s="56" t="s">
        <v>300</v>
      </c>
      <c r="L567" s="292">
        <v>216</v>
      </c>
      <c r="M567" s="292" t="s">
        <v>4931</v>
      </c>
      <c r="N567" s="358">
        <v>3100.18</v>
      </c>
      <c r="O567" s="292">
        <v>3100.7</v>
      </c>
      <c r="P567" s="292"/>
      <c r="Q567" s="614">
        <v>3100.65</v>
      </c>
      <c r="R567" s="913">
        <f t="shared" si="36"/>
        <v>0.51999999999998181</v>
      </c>
      <c r="S567" s="913">
        <f t="shared" si="37"/>
        <v>0.47000000000025466</v>
      </c>
      <c r="T567" s="913">
        <f t="shared" si="38"/>
        <v>-4.9999999999727152E-2</v>
      </c>
      <c r="U567" s="914">
        <f t="shared" si="39"/>
        <v>1</v>
      </c>
      <c r="V567" s="612"/>
      <c r="W567" s="612"/>
      <c r="X567" s="612"/>
      <c r="Y567" s="612"/>
      <c r="Z567" s="612"/>
      <c r="AA567" s="612"/>
      <c r="AB567" s="612"/>
      <c r="AC567" s="612"/>
      <c r="AD567" s="930">
        <v>45587.631215277775</v>
      </c>
    </row>
    <row r="568" spans="1:30">
      <c r="A568" s="48" t="s">
        <v>1562</v>
      </c>
      <c r="B568" s="60">
        <v>45538</v>
      </c>
      <c r="C568" s="54" t="s">
        <v>172</v>
      </c>
      <c r="D568" s="435" t="str">
        <f>IFERROR(VLOOKUP(C568,Mychart!$A$125:$B$811,2,FALSE),"-")</f>
        <v>BEST CHOICE INDUSTRIES LLC</v>
      </c>
      <c r="E568" s="676" t="s">
        <v>1563</v>
      </c>
      <c r="F568" s="58">
        <v>4</v>
      </c>
      <c r="G568" s="58"/>
      <c r="H568" s="58">
        <v>1905</v>
      </c>
      <c r="I568" s="58">
        <v>95.25</v>
      </c>
      <c r="J568" s="56">
        <v>73198</v>
      </c>
      <c r="K568" s="56" t="s">
        <v>308</v>
      </c>
      <c r="L568" s="292">
        <v>243</v>
      </c>
      <c r="M568" s="292"/>
      <c r="N568" s="358"/>
      <c r="O568" s="292"/>
      <c r="P568" s="292" t="s">
        <v>1205</v>
      </c>
      <c r="Q568" s="614"/>
      <c r="R568" s="913">
        <f t="shared" si="36"/>
        <v>0</v>
      </c>
      <c r="S568" s="913">
        <f t="shared" si="37"/>
        <v>0</v>
      </c>
      <c r="T568" s="913">
        <f t="shared" si="38"/>
        <v>0</v>
      </c>
      <c r="U568" s="914" t="e">
        <f t="shared" si="39"/>
        <v>#VALUE!</v>
      </c>
      <c r="V568" s="612"/>
      <c r="W568" s="612"/>
      <c r="X568" s="612"/>
      <c r="Y568" s="612"/>
      <c r="Z568" s="612"/>
      <c r="AA568" s="612"/>
      <c r="AB568" s="612"/>
      <c r="AC568" s="612"/>
    </row>
    <row r="569" spans="1:30">
      <c r="A569" s="48" t="s">
        <v>1562</v>
      </c>
      <c r="B569" s="60">
        <v>45538</v>
      </c>
      <c r="C569" s="54" t="s">
        <v>172</v>
      </c>
      <c r="D569" s="435" t="str">
        <f>IFERROR(VLOOKUP(C569,Mychart!$A$125:$B$811,2,FALSE),"-")</f>
        <v>BEST CHOICE INDUSTRIES LLC</v>
      </c>
      <c r="E569" s="676" t="s">
        <v>1564</v>
      </c>
      <c r="F569" s="58">
        <v>16</v>
      </c>
      <c r="G569" s="58"/>
      <c r="H569" s="58">
        <v>1905</v>
      </c>
      <c r="I569" s="58">
        <v>95.25</v>
      </c>
      <c r="J569" s="56">
        <v>73198</v>
      </c>
      <c r="K569" s="56" t="s">
        <v>308</v>
      </c>
      <c r="L569" s="292">
        <v>243</v>
      </c>
      <c r="M569" s="292"/>
      <c r="N569" s="358"/>
      <c r="O569" s="292"/>
      <c r="P569" s="292"/>
      <c r="Q569" s="614"/>
      <c r="R569" s="913">
        <f t="shared" si="36"/>
        <v>0</v>
      </c>
      <c r="S569" s="913">
        <f t="shared" si="37"/>
        <v>0</v>
      </c>
      <c r="T569" s="913">
        <f t="shared" si="38"/>
        <v>0</v>
      </c>
      <c r="U569" s="914">
        <f t="shared" si="39"/>
        <v>16</v>
      </c>
      <c r="V569" s="612"/>
      <c r="W569" s="612"/>
      <c r="X569" s="612"/>
      <c r="Y569" s="612"/>
      <c r="Z569" s="612"/>
      <c r="AA569" s="612"/>
      <c r="AB569" s="612"/>
      <c r="AC569" s="612"/>
    </row>
    <row r="570" spans="1:30">
      <c r="A570" s="48" t="s">
        <v>1562</v>
      </c>
      <c r="B570" s="60">
        <v>45538</v>
      </c>
      <c r="C570" s="54" t="s">
        <v>172</v>
      </c>
      <c r="D570" s="435" t="str">
        <f>IFERROR(VLOOKUP(C570,Mychart!$A$125:$B$811,2,FALSE),"-")</f>
        <v>BEST CHOICE INDUSTRIES LLC</v>
      </c>
      <c r="E570" s="676" t="s">
        <v>1565</v>
      </c>
      <c r="F570" s="58">
        <v>4</v>
      </c>
      <c r="G570" s="58"/>
      <c r="H570" s="58">
        <v>1905</v>
      </c>
      <c r="I570" s="58">
        <v>95.25</v>
      </c>
      <c r="J570" s="56">
        <v>73198</v>
      </c>
      <c r="K570" s="56" t="s">
        <v>308</v>
      </c>
      <c r="L570" s="292">
        <v>243</v>
      </c>
      <c r="M570" s="292"/>
      <c r="N570" s="358"/>
      <c r="O570" s="292"/>
      <c r="P570" s="292"/>
      <c r="Q570" s="614"/>
      <c r="R570" s="913">
        <f t="shared" si="36"/>
        <v>0</v>
      </c>
      <c r="S570" s="913">
        <f t="shared" si="37"/>
        <v>0</v>
      </c>
      <c r="T570" s="913">
        <f t="shared" si="38"/>
        <v>0</v>
      </c>
      <c r="U570" s="914">
        <f t="shared" si="39"/>
        <v>4</v>
      </c>
      <c r="V570" s="612"/>
      <c r="W570" s="612"/>
      <c r="X570" s="612"/>
      <c r="Y570" s="612"/>
      <c r="Z570" s="612"/>
      <c r="AA570" s="612"/>
      <c r="AB570" s="612"/>
      <c r="AC570" s="612"/>
    </row>
    <row r="571" spans="1:30">
      <c r="A571" s="48" t="s">
        <v>1562</v>
      </c>
      <c r="B571" s="60">
        <v>45538</v>
      </c>
      <c r="C571" s="54" t="s">
        <v>172</v>
      </c>
      <c r="D571" s="435" t="str">
        <f>IFERROR(VLOOKUP(C571,Mychart!$A$125:$B$811,2,FALSE),"-")</f>
        <v>BEST CHOICE INDUSTRIES LLC</v>
      </c>
      <c r="E571" s="676" t="s">
        <v>1566</v>
      </c>
      <c r="F571" s="58">
        <v>2</v>
      </c>
      <c r="G571" s="58"/>
      <c r="H571" s="58">
        <v>1905</v>
      </c>
      <c r="I571" s="58">
        <v>95.25</v>
      </c>
      <c r="J571" s="56">
        <v>73198</v>
      </c>
      <c r="K571" s="56" t="s">
        <v>308</v>
      </c>
      <c r="L571" s="292">
        <v>243</v>
      </c>
      <c r="M571" s="292"/>
      <c r="N571" s="358"/>
      <c r="O571" s="292"/>
      <c r="P571" s="292"/>
      <c r="Q571" s="614"/>
      <c r="R571" s="913">
        <f t="shared" si="36"/>
        <v>0</v>
      </c>
      <c r="S571" s="913">
        <f t="shared" si="37"/>
        <v>0</v>
      </c>
      <c r="T571" s="913">
        <f t="shared" si="38"/>
        <v>0</v>
      </c>
      <c r="U571" s="914">
        <f t="shared" si="39"/>
        <v>2</v>
      </c>
      <c r="V571" s="612"/>
      <c r="W571" s="612"/>
      <c r="X571" s="612"/>
      <c r="Y571" s="612"/>
      <c r="Z571" s="612"/>
      <c r="AA571" s="612"/>
      <c r="AB571" s="612"/>
      <c r="AC571" s="612"/>
    </row>
    <row r="572" spans="1:30">
      <c r="A572" s="48" t="s">
        <v>1562</v>
      </c>
      <c r="B572" s="60">
        <v>45538</v>
      </c>
      <c r="C572" s="54" t="s">
        <v>172</v>
      </c>
      <c r="D572" s="435" t="str">
        <f>IFERROR(VLOOKUP(C572,Mychart!$A$125:$B$811,2,FALSE),"-")</f>
        <v>BEST CHOICE INDUSTRIES LLC</v>
      </c>
      <c r="E572" s="676" t="s">
        <v>1569</v>
      </c>
      <c r="F572" s="58">
        <v>2</v>
      </c>
      <c r="G572" s="58"/>
      <c r="H572" s="58">
        <v>1905</v>
      </c>
      <c r="I572" s="58">
        <v>95.25</v>
      </c>
      <c r="J572" s="56">
        <v>73198</v>
      </c>
      <c r="K572" s="56" t="s">
        <v>308</v>
      </c>
      <c r="L572" s="292">
        <v>243</v>
      </c>
      <c r="M572" s="292"/>
      <c r="N572" s="358"/>
      <c r="O572" s="292"/>
      <c r="P572" s="292"/>
      <c r="Q572" s="614"/>
      <c r="R572" s="913">
        <f t="shared" si="36"/>
        <v>0</v>
      </c>
      <c r="S572" s="913">
        <f t="shared" si="37"/>
        <v>0</v>
      </c>
      <c r="T572" s="913">
        <f t="shared" si="38"/>
        <v>0</v>
      </c>
      <c r="U572" s="914">
        <f t="shared" si="39"/>
        <v>2</v>
      </c>
      <c r="V572" s="612"/>
      <c r="W572" s="612"/>
      <c r="X572" s="612"/>
      <c r="Y572" s="612"/>
      <c r="Z572" s="612"/>
      <c r="AA572" s="612"/>
      <c r="AB572" s="612"/>
      <c r="AC572" s="612"/>
    </row>
    <row r="573" spans="1:30">
      <c r="A573" s="48" t="s">
        <v>1562</v>
      </c>
      <c r="B573" s="60">
        <v>45538</v>
      </c>
      <c r="C573" s="54" t="s">
        <v>172</v>
      </c>
      <c r="D573" s="435" t="str">
        <f>IFERROR(VLOOKUP(C573,Mychart!$A$125:$B$811,2,FALSE),"-")</f>
        <v>BEST CHOICE INDUSTRIES LLC</v>
      </c>
      <c r="E573" s="676" t="s">
        <v>1567</v>
      </c>
      <c r="F573" s="58">
        <v>7</v>
      </c>
      <c r="G573" s="58"/>
      <c r="H573" s="58">
        <v>1905</v>
      </c>
      <c r="I573" s="58">
        <v>95.25</v>
      </c>
      <c r="J573" s="56">
        <v>73198</v>
      </c>
      <c r="K573" s="56" t="s">
        <v>308</v>
      </c>
      <c r="L573" s="292">
        <v>243</v>
      </c>
      <c r="M573" s="292"/>
      <c r="N573" s="358"/>
      <c r="O573" s="292"/>
      <c r="P573" s="292"/>
      <c r="Q573" s="614"/>
      <c r="R573" s="913">
        <f t="shared" si="36"/>
        <v>0</v>
      </c>
      <c r="S573" s="913">
        <f t="shared" si="37"/>
        <v>0</v>
      </c>
      <c r="T573" s="913">
        <f t="shared" si="38"/>
        <v>0</v>
      </c>
      <c r="U573" s="914">
        <f t="shared" si="39"/>
        <v>7</v>
      </c>
      <c r="V573" s="612"/>
      <c r="W573" s="612"/>
      <c r="X573" s="612"/>
      <c r="Y573" s="612"/>
      <c r="Z573" s="612"/>
      <c r="AA573" s="612"/>
      <c r="AB573" s="612"/>
      <c r="AC573" s="612"/>
    </row>
    <row r="574" spans="1:30">
      <c r="A574" s="48" t="s">
        <v>1562</v>
      </c>
      <c r="B574" s="60">
        <v>45538</v>
      </c>
      <c r="C574" s="54" t="s">
        <v>172</v>
      </c>
      <c r="D574" s="435" t="str">
        <f>IFERROR(VLOOKUP(C574,Mychart!$A$125:$B$811,2,FALSE),"-")</f>
        <v>BEST CHOICE INDUSTRIES LLC</v>
      </c>
      <c r="E574" s="676" t="s">
        <v>1568</v>
      </c>
      <c r="F574" s="58">
        <v>4</v>
      </c>
      <c r="G574" s="58"/>
      <c r="H574" s="58">
        <v>1905</v>
      </c>
      <c r="I574" s="58">
        <v>95.25</v>
      </c>
      <c r="J574" s="56">
        <v>73198</v>
      </c>
      <c r="K574" s="56" t="s">
        <v>308</v>
      </c>
      <c r="L574" s="292">
        <v>243</v>
      </c>
      <c r="M574" s="292"/>
      <c r="N574" s="358"/>
      <c r="O574" s="292"/>
      <c r="P574" s="292"/>
      <c r="Q574" s="614"/>
      <c r="R574" s="913">
        <f t="shared" si="36"/>
        <v>0</v>
      </c>
      <c r="S574" s="913">
        <f t="shared" si="37"/>
        <v>0</v>
      </c>
      <c r="T574" s="913">
        <f t="shared" si="38"/>
        <v>0</v>
      </c>
      <c r="U574" s="914">
        <f t="shared" si="39"/>
        <v>4</v>
      </c>
      <c r="V574" s="612"/>
      <c r="W574" s="612"/>
      <c r="X574" s="612"/>
      <c r="Y574" s="612"/>
      <c r="Z574" s="612"/>
      <c r="AA574" s="612"/>
      <c r="AB574" s="612"/>
      <c r="AC574" s="612"/>
    </row>
    <row r="575" spans="1:30">
      <c r="A575" s="48" t="s">
        <v>1562</v>
      </c>
      <c r="B575" s="60">
        <v>45538</v>
      </c>
      <c r="C575" s="54" t="s">
        <v>172</v>
      </c>
      <c r="D575" s="435" t="str">
        <f>IFERROR(VLOOKUP(C575,Mychart!$A$125:$B$811,2,FALSE),"-")</f>
        <v>BEST CHOICE INDUSTRIES LLC</v>
      </c>
      <c r="E575" s="676" t="s">
        <v>1560</v>
      </c>
      <c r="F575" s="58">
        <v>10</v>
      </c>
      <c r="G575" s="58"/>
      <c r="H575" s="58">
        <v>1905</v>
      </c>
      <c r="I575" s="58">
        <v>95.25</v>
      </c>
      <c r="J575" s="56">
        <v>73198</v>
      </c>
      <c r="K575" s="56" t="s">
        <v>308</v>
      </c>
      <c r="L575" s="292">
        <v>243</v>
      </c>
      <c r="M575" s="292"/>
      <c r="N575" s="358"/>
      <c r="O575" s="292"/>
      <c r="P575" s="292"/>
      <c r="Q575" s="614"/>
      <c r="R575" s="913">
        <f t="shared" si="36"/>
        <v>0</v>
      </c>
      <c r="S575" s="913">
        <f t="shared" si="37"/>
        <v>0</v>
      </c>
      <c r="T575" s="913">
        <f t="shared" si="38"/>
        <v>0</v>
      </c>
      <c r="U575" s="914">
        <f t="shared" si="39"/>
        <v>10</v>
      </c>
      <c r="V575" s="612"/>
      <c r="W575" s="612"/>
      <c r="X575" s="612"/>
      <c r="Y575" s="612"/>
      <c r="Z575" s="612"/>
      <c r="AA575" s="612"/>
      <c r="AB575" s="612"/>
      <c r="AC575" s="612"/>
    </row>
    <row r="576" spans="1:30">
      <c r="A576" s="48" t="s">
        <v>1562</v>
      </c>
      <c r="B576" s="60">
        <v>45538</v>
      </c>
      <c r="C576" s="54" t="s">
        <v>172</v>
      </c>
      <c r="D576" s="435" t="str">
        <f>IFERROR(VLOOKUP(C576,Mychart!$A$125:$B$811,2,FALSE),"-")</f>
        <v>BEST CHOICE INDUSTRIES LLC</v>
      </c>
      <c r="E576" s="676" t="s">
        <v>1775</v>
      </c>
      <c r="F576" s="58">
        <v>1</v>
      </c>
      <c r="G576" s="58">
        <v>1905</v>
      </c>
      <c r="H576" s="58">
        <v>1905</v>
      </c>
      <c r="I576" s="58">
        <v>95.25</v>
      </c>
      <c r="J576" s="56">
        <v>73198</v>
      </c>
      <c r="K576" s="56" t="s">
        <v>308</v>
      </c>
      <c r="L576" s="292">
        <v>243</v>
      </c>
      <c r="M576" s="292" t="s">
        <v>4933</v>
      </c>
      <c r="N576" s="358">
        <v>2000.06</v>
      </c>
      <c r="O576" s="292">
        <v>2000.3</v>
      </c>
      <c r="P576" s="292"/>
      <c r="Q576" s="614">
        <v>2000.25</v>
      </c>
      <c r="R576" s="913">
        <f t="shared" si="36"/>
        <v>0.24000000000000909</v>
      </c>
      <c r="S576" s="913">
        <f t="shared" si="37"/>
        <v>0.19000000000005457</v>
      </c>
      <c r="T576" s="913">
        <f t="shared" si="38"/>
        <v>-4.9999999999954525E-2</v>
      </c>
      <c r="U576" s="914">
        <f t="shared" si="39"/>
        <v>1</v>
      </c>
      <c r="V576" s="612"/>
      <c r="W576" s="612"/>
      <c r="X576" s="612"/>
      <c r="Y576" s="612"/>
      <c r="Z576" s="612"/>
      <c r="AA576" s="612"/>
      <c r="AB576" s="612"/>
      <c r="AC576" s="612"/>
      <c r="AD576" s="930">
        <v>45587.631898148145</v>
      </c>
    </row>
    <row r="577" spans="1:30">
      <c r="A577" s="48" t="s">
        <v>1570</v>
      </c>
      <c r="B577" s="60">
        <v>45539</v>
      </c>
      <c r="C577" s="54" t="s">
        <v>169</v>
      </c>
      <c r="D577" s="435" t="str">
        <f>IFERROR(VLOOKUP(C577,Mychart!$A$125:$B$811,2,FALSE),"-")</f>
        <v>Takeef</v>
      </c>
      <c r="E577" s="676" t="s">
        <v>1571</v>
      </c>
      <c r="F577" s="58">
        <v>4</v>
      </c>
      <c r="G577" s="58">
        <v>2449.6999999999998</v>
      </c>
      <c r="H577" s="58">
        <v>17723.349999999999</v>
      </c>
      <c r="I577" s="58">
        <v>886.16750000000002</v>
      </c>
      <c r="J577" s="56" t="s">
        <v>1574</v>
      </c>
      <c r="K577" s="56" t="s">
        <v>300</v>
      </c>
      <c r="L577" s="292">
        <v>216</v>
      </c>
      <c r="M577" s="292"/>
      <c r="N577" s="358"/>
      <c r="O577" s="292"/>
      <c r="P577" s="292">
        <v>4</v>
      </c>
      <c r="Q577" s="614"/>
      <c r="R577" s="913">
        <f t="shared" si="36"/>
        <v>0</v>
      </c>
      <c r="S577" s="913">
        <f t="shared" si="37"/>
        <v>0</v>
      </c>
      <c r="T577" s="913">
        <f t="shared" si="38"/>
        <v>0</v>
      </c>
      <c r="U577" s="914">
        <f t="shared" si="39"/>
        <v>0</v>
      </c>
      <c r="V577" s="612"/>
      <c r="W577" s="612"/>
      <c r="X577" s="612"/>
      <c r="Y577" s="612"/>
      <c r="Z577" s="612"/>
      <c r="AA577" s="612"/>
      <c r="AB577" s="612"/>
      <c r="AC577" s="612"/>
    </row>
    <row r="578" spans="1:30">
      <c r="A578" s="48" t="s">
        <v>1570</v>
      </c>
      <c r="B578" s="60">
        <v>45539</v>
      </c>
      <c r="C578" s="54" t="s">
        <v>169</v>
      </c>
      <c r="D578" s="435" t="str">
        <f>IFERROR(VLOOKUP(C578,Mychart!$A$125:$B$811,2,FALSE),"-")</f>
        <v>Takeef</v>
      </c>
      <c r="E578" s="676" t="s">
        <v>1572</v>
      </c>
      <c r="F578" s="58">
        <v>1</v>
      </c>
      <c r="G578" s="58">
        <v>2850.05</v>
      </c>
      <c r="H578" s="58">
        <v>17723.349999999999</v>
      </c>
      <c r="I578" s="58">
        <v>886.16750000000002</v>
      </c>
      <c r="J578" s="56" t="s">
        <v>1574</v>
      </c>
      <c r="K578" s="56" t="s">
        <v>300</v>
      </c>
      <c r="L578" s="292">
        <v>216</v>
      </c>
      <c r="M578" s="292"/>
      <c r="N578" s="358"/>
      <c r="O578" s="292"/>
      <c r="P578" s="292">
        <v>1</v>
      </c>
      <c r="Q578" s="614"/>
      <c r="R578" s="913">
        <f t="shared" si="36"/>
        <v>0</v>
      </c>
      <c r="S578" s="913">
        <f t="shared" si="37"/>
        <v>0</v>
      </c>
      <c r="T578" s="913">
        <f t="shared" si="38"/>
        <v>0</v>
      </c>
      <c r="U578" s="914">
        <f t="shared" si="39"/>
        <v>0</v>
      </c>
      <c r="V578" s="612"/>
      <c r="W578" s="612"/>
      <c r="X578" s="612"/>
      <c r="Y578" s="612"/>
      <c r="Z578" s="612"/>
      <c r="AA578" s="612"/>
      <c r="AB578" s="612"/>
      <c r="AC578" s="612"/>
    </row>
    <row r="579" spans="1:30">
      <c r="A579" s="48" t="s">
        <v>1570</v>
      </c>
      <c r="B579" s="60">
        <v>45539</v>
      </c>
      <c r="C579" s="54" t="s">
        <v>169</v>
      </c>
      <c r="D579" s="435" t="str">
        <f>IFERROR(VLOOKUP(C579,Mychart!$A$125:$B$811,2,FALSE),"-")</f>
        <v>Takeef</v>
      </c>
      <c r="E579" s="676" t="s">
        <v>1573</v>
      </c>
      <c r="F579" s="58">
        <v>1</v>
      </c>
      <c r="G579" s="58">
        <v>5074.5</v>
      </c>
      <c r="H579" s="58">
        <v>17723.349999999999</v>
      </c>
      <c r="I579" s="58">
        <v>886.16750000000002</v>
      </c>
      <c r="J579" s="56" t="s">
        <v>1574</v>
      </c>
      <c r="K579" s="56" t="s">
        <v>300</v>
      </c>
      <c r="L579" s="292">
        <v>216</v>
      </c>
      <c r="M579" s="292" t="s">
        <v>3047</v>
      </c>
      <c r="N579" s="358">
        <v>18609.52</v>
      </c>
      <c r="O579" s="292">
        <v>18609.52</v>
      </c>
      <c r="P579" s="292">
        <v>1</v>
      </c>
      <c r="Q579" s="614">
        <v>18609.517500000002</v>
      </c>
      <c r="R579" s="913">
        <f t="shared" si="36"/>
        <v>0</v>
      </c>
      <c r="S579" s="913">
        <f t="shared" si="37"/>
        <v>-2.4999999986903276E-3</v>
      </c>
      <c r="T579" s="913">
        <f t="shared" si="38"/>
        <v>-2.4999999986903276E-3</v>
      </c>
      <c r="U579" s="914">
        <f t="shared" si="39"/>
        <v>0</v>
      </c>
      <c r="V579" s="612"/>
      <c r="W579" s="612"/>
      <c r="X579" s="612"/>
      <c r="Y579" s="612"/>
      <c r="Z579" s="612"/>
      <c r="AA579" s="612"/>
      <c r="AB579" s="612"/>
      <c r="AC579" s="612"/>
      <c r="AD579" s="930">
        <v>45580.675092592595</v>
      </c>
    </row>
    <row r="580" spans="1:30">
      <c r="A580" s="48" t="s">
        <v>1576</v>
      </c>
      <c r="B580" s="60">
        <v>45539</v>
      </c>
      <c r="C580" s="54" t="s">
        <v>173</v>
      </c>
      <c r="D580" s="435" t="str">
        <f>IFERROR(VLOOKUP(C580,Mychart!$A$125:$B$811,2,FALSE),"-")</f>
        <v>BAB AL TABREED A/C UNITS FIX.CONT</v>
      </c>
      <c r="E580" s="676" t="s">
        <v>1575</v>
      </c>
      <c r="F580" s="58">
        <v>42.03</v>
      </c>
      <c r="G580" s="58">
        <v>2.8</v>
      </c>
      <c r="H580" s="58">
        <v>146.684</v>
      </c>
      <c r="I580" s="58">
        <v>7.3342000000000001</v>
      </c>
      <c r="J580" s="56">
        <v>241470</v>
      </c>
      <c r="K580" s="56" t="s">
        <v>269</v>
      </c>
      <c r="L580" s="292">
        <v>256</v>
      </c>
      <c r="M580" s="292"/>
      <c r="N580" s="358"/>
      <c r="O580" s="292"/>
      <c r="P580" s="292" t="s">
        <v>1205</v>
      </c>
      <c r="Q580" s="614"/>
      <c r="R580" s="913">
        <f t="shared" si="36"/>
        <v>0</v>
      </c>
      <c r="S580" s="913">
        <f t="shared" si="37"/>
        <v>0</v>
      </c>
      <c r="T580" s="913">
        <f t="shared" si="38"/>
        <v>0</v>
      </c>
      <c r="U580" s="914" t="e">
        <f t="shared" si="39"/>
        <v>#VALUE!</v>
      </c>
      <c r="V580" s="612"/>
      <c r="W580" s="612"/>
      <c r="X580" s="612"/>
      <c r="Y580" s="612"/>
      <c r="Z580" s="612"/>
      <c r="AA580" s="612"/>
      <c r="AB580" s="612"/>
      <c r="AC580" s="612"/>
    </row>
    <row r="581" spans="1:30">
      <c r="A581" s="48" t="s">
        <v>1576</v>
      </c>
      <c r="B581" s="60">
        <v>45539</v>
      </c>
      <c r="C581" s="54" t="s">
        <v>173</v>
      </c>
      <c r="D581" s="435" t="str">
        <f>IFERROR(VLOOKUP(C581,Mychart!$A$125:$B$811,2,FALSE),"-")</f>
        <v>BAB AL TABREED A/C UNITS FIX.CONT</v>
      </c>
      <c r="E581" s="676" t="s">
        <v>986</v>
      </c>
      <c r="F581" s="58">
        <v>5</v>
      </c>
      <c r="G581" s="58">
        <v>3</v>
      </c>
      <c r="H581" s="58">
        <v>146.684</v>
      </c>
      <c r="I581" s="58">
        <v>7.3342000000000001</v>
      </c>
      <c r="J581" s="56">
        <v>241470</v>
      </c>
      <c r="K581" s="56" t="s">
        <v>269</v>
      </c>
      <c r="L581" s="292">
        <v>256</v>
      </c>
      <c r="M581" s="292"/>
      <c r="N581" s="358"/>
      <c r="O581" s="292"/>
      <c r="P581" s="292"/>
      <c r="Q581" s="614"/>
      <c r="R581" s="913">
        <f t="shared" si="36"/>
        <v>0</v>
      </c>
      <c r="S581" s="913">
        <f t="shared" si="37"/>
        <v>0</v>
      </c>
      <c r="T581" s="913">
        <f t="shared" si="38"/>
        <v>0</v>
      </c>
      <c r="U581" s="914">
        <f t="shared" si="39"/>
        <v>5</v>
      </c>
      <c r="V581" s="612"/>
      <c r="W581" s="612"/>
      <c r="X581" s="612"/>
      <c r="Y581" s="612"/>
      <c r="Z581" s="612"/>
      <c r="AA581" s="612"/>
      <c r="AB581" s="612"/>
      <c r="AC581" s="612"/>
    </row>
    <row r="582" spans="1:30">
      <c r="A582" s="48" t="s">
        <v>1576</v>
      </c>
      <c r="B582" s="60">
        <v>45539</v>
      </c>
      <c r="C582" s="54" t="s">
        <v>173</v>
      </c>
      <c r="D582" s="435" t="str">
        <f>IFERROR(VLOOKUP(C582,Mychart!$A$125:$B$811,2,FALSE),"-")</f>
        <v>BAB AL TABREED A/C UNITS FIX.CONT</v>
      </c>
      <c r="E582" s="676" t="s">
        <v>987</v>
      </c>
      <c r="F582" s="58">
        <v>7</v>
      </c>
      <c r="G582" s="58">
        <v>2</v>
      </c>
      <c r="H582" s="58">
        <v>146.684</v>
      </c>
      <c r="I582" s="58">
        <v>7.3342000000000001</v>
      </c>
      <c r="J582" s="56">
        <v>241470</v>
      </c>
      <c r="K582" s="56" t="s">
        <v>269</v>
      </c>
      <c r="L582" s="292">
        <v>256</v>
      </c>
      <c r="M582" s="292" t="s">
        <v>1608</v>
      </c>
      <c r="N582" s="358">
        <v>154</v>
      </c>
      <c r="O582" s="292">
        <v>154</v>
      </c>
      <c r="P582" s="292"/>
      <c r="Q582" s="614">
        <v>154.01820000000001</v>
      </c>
      <c r="R582" s="913">
        <f t="shared" si="36"/>
        <v>0</v>
      </c>
      <c r="S582" s="913">
        <f t="shared" si="37"/>
        <v>1.8200000000007321E-2</v>
      </c>
      <c r="T582" s="913">
        <f t="shared" si="38"/>
        <v>1.8200000000007321E-2</v>
      </c>
      <c r="U582" s="914">
        <f t="shared" si="39"/>
        <v>7</v>
      </c>
      <c r="V582" s="612"/>
      <c r="W582" s="612"/>
      <c r="X582" s="612"/>
      <c r="Y582" s="612"/>
      <c r="Z582" s="612"/>
      <c r="AA582" s="612"/>
      <c r="AB582" s="612"/>
      <c r="AC582" s="612"/>
    </row>
    <row r="583" spans="1:30">
      <c r="A583" s="48" t="s">
        <v>1578</v>
      </c>
      <c r="B583" s="60">
        <v>45539</v>
      </c>
      <c r="C583" s="54" t="s">
        <v>173</v>
      </c>
      <c r="D583" s="435" t="str">
        <f>IFERROR(VLOOKUP(C583,Mychart!$A$125:$B$811,2,FALSE),"-")</f>
        <v>BAB AL TABREED A/C UNITS FIX.CONT</v>
      </c>
      <c r="E583" s="676" t="s">
        <v>1575</v>
      </c>
      <c r="F583" s="58">
        <v>78</v>
      </c>
      <c r="G583" s="58">
        <v>2.8</v>
      </c>
      <c r="H583" s="58">
        <v>287.39999999999998</v>
      </c>
      <c r="I583" s="58">
        <v>14.37</v>
      </c>
      <c r="J583" s="56" t="s">
        <v>1577</v>
      </c>
      <c r="K583" s="56" t="s">
        <v>269</v>
      </c>
      <c r="L583" s="292">
        <v>256</v>
      </c>
      <c r="M583" s="292"/>
      <c r="N583" s="358"/>
      <c r="O583" s="292"/>
      <c r="P583" s="292"/>
      <c r="Q583" s="614"/>
      <c r="R583" s="913">
        <f t="shared" si="36"/>
        <v>0</v>
      </c>
      <c r="S583" s="913">
        <f t="shared" si="37"/>
        <v>0</v>
      </c>
      <c r="T583" s="913">
        <f t="shared" si="38"/>
        <v>0</v>
      </c>
      <c r="U583" s="914">
        <f t="shared" si="39"/>
        <v>78</v>
      </c>
      <c r="V583" s="612"/>
      <c r="W583" s="612"/>
      <c r="X583" s="612"/>
      <c r="Y583" s="612"/>
      <c r="Z583" s="612"/>
      <c r="AA583" s="612"/>
      <c r="AB583" s="612"/>
      <c r="AC583" s="612"/>
    </row>
    <row r="584" spans="1:30">
      <c r="A584" s="48" t="s">
        <v>1578</v>
      </c>
      <c r="B584" s="60">
        <v>45539</v>
      </c>
      <c r="C584" s="54" t="s">
        <v>173</v>
      </c>
      <c r="D584" s="435" t="str">
        <f>IFERROR(VLOOKUP(C584,Mychart!$A$125:$B$811,2,FALSE),"-")</f>
        <v>BAB AL TABREED A/C UNITS FIX.CONT</v>
      </c>
      <c r="E584" s="676" t="s">
        <v>986</v>
      </c>
      <c r="F584" s="58">
        <v>13</v>
      </c>
      <c r="G584" s="58">
        <v>3</v>
      </c>
      <c r="H584" s="58">
        <v>287.39999999999998</v>
      </c>
      <c r="I584" s="58">
        <v>14.37</v>
      </c>
      <c r="J584" s="56" t="s">
        <v>1577</v>
      </c>
      <c r="K584" s="56" t="s">
        <v>269</v>
      </c>
      <c r="L584" s="292">
        <v>256</v>
      </c>
      <c r="M584" s="292"/>
      <c r="N584" s="358"/>
      <c r="O584" s="292"/>
      <c r="P584" s="292"/>
      <c r="Q584" s="614"/>
      <c r="R584" s="913">
        <f t="shared" si="36"/>
        <v>0</v>
      </c>
      <c r="S584" s="913">
        <f t="shared" si="37"/>
        <v>0</v>
      </c>
      <c r="T584" s="913">
        <f t="shared" si="38"/>
        <v>0</v>
      </c>
      <c r="U584" s="914">
        <f t="shared" si="39"/>
        <v>13</v>
      </c>
      <c r="V584" s="612"/>
      <c r="W584" s="612"/>
      <c r="X584" s="612"/>
      <c r="Y584" s="612"/>
      <c r="Z584" s="612"/>
      <c r="AA584" s="612"/>
      <c r="AB584" s="612"/>
      <c r="AC584" s="612"/>
    </row>
    <row r="585" spans="1:30">
      <c r="A585" s="48" t="s">
        <v>1578</v>
      </c>
      <c r="B585" s="60">
        <v>45539</v>
      </c>
      <c r="C585" s="54" t="s">
        <v>173</v>
      </c>
      <c r="D585" s="435" t="str">
        <f>IFERROR(VLOOKUP(C585,Mychart!$A$125:$B$811,2,FALSE),"-")</f>
        <v>BAB AL TABREED A/C UNITS FIX.CONT</v>
      </c>
      <c r="E585" s="676" t="s">
        <v>987</v>
      </c>
      <c r="F585" s="58">
        <v>15</v>
      </c>
      <c r="G585" s="58">
        <v>2</v>
      </c>
      <c r="H585" s="58">
        <v>287.39999999999998</v>
      </c>
      <c r="I585" s="58">
        <v>14.37</v>
      </c>
      <c r="J585" s="56" t="s">
        <v>1577</v>
      </c>
      <c r="K585" s="56" t="s">
        <v>269</v>
      </c>
      <c r="L585" s="292">
        <v>256</v>
      </c>
      <c r="M585" s="292" t="s">
        <v>5209</v>
      </c>
      <c r="N585" s="358">
        <v>301.77</v>
      </c>
      <c r="O585" s="292">
        <v>301.77</v>
      </c>
      <c r="P585" s="292"/>
      <c r="Q585" s="614">
        <v>301.77</v>
      </c>
      <c r="R585" s="913">
        <f t="shared" si="36"/>
        <v>0</v>
      </c>
      <c r="S585" s="913">
        <f t="shared" si="37"/>
        <v>0</v>
      </c>
      <c r="T585" s="913">
        <f t="shared" si="38"/>
        <v>0</v>
      </c>
      <c r="U585" s="914">
        <f t="shared" si="39"/>
        <v>15</v>
      </c>
      <c r="V585" s="612"/>
      <c r="W585" s="612"/>
      <c r="X585" s="612"/>
      <c r="Y585" s="612"/>
      <c r="Z585" s="612"/>
      <c r="AA585" s="612"/>
      <c r="AB585" s="612"/>
      <c r="AC585" s="612"/>
      <c r="AD585" s="930">
        <v>45593.606203703705</v>
      </c>
    </row>
    <row r="586" spans="1:30">
      <c r="A586" s="48" t="s">
        <v>1579</v>
      </c>
      <c r="B586" s="60">
        <v>45540</v>
      </c>
      <c r="C586" s="54" t="s">
        <v>173</v>
      </c>
      <c r="D586" s="435" t="str">
        <f>IFERROR(VLOOKUP(C586,Mychart!$A$125:$B$811,2,FALSE),"-")</f>
        <v>BAB AL TABREED A/C UNITS FIX.CONT</v>
      </c>
      <c r="E586" s="676" t="s">
        <v>1591</v>
      </c>
      <c r="F586" s="58">
        <v>62.4</v>
      </c>
      <c r="G586" s="58">
        <v>2.8</v>
      </c>
      <c r="H586" s="58">
        <v>174.72</v>
      </c>
      <c r="I586" s="58">
        <v>8.7360000000000007</v>
      </c>
      <c r="J586" s="56" t="s">
        <v>1592</v>
      </c>
      <c r="K586" s="56" t="s">
        <v>275</v>
      </c>
      <c r="L586" s="292">
        <v>262</v>
      </c>
      <c r="M586" s="292" t="s">
        <v>5215</v>
      </c>
      <c r="N586" s="358">
        <v>183.46</v>
      </c>
      <c r="O586" s="292">
        <v>183.46</v>
      </c>
      <c r="P586" s="292"/>
      <c r="Q586" s="614">
        <v>183.45599999999999</v>
      </c>
      <c r="R586" s="913">
        <f t="shared" si="36"/>
        <v>0</v>
      </c>
      <c r="S586" s="913">
        <f t="shared" si="37"/>
        <v>-4.0000000000190994E-3</v>
      </c>
      <c r="T586" s="913">
        <f t="shared" si="38"/>
        <v>-4.0000000000190994E-3</v>
      </c>
      <c r="U586" s="914">
        <f t="shared" si="39"/>
        <v>62.4</v>
      </c>
      <c r="V586" s="612"/>
      <c r="W586" s="612"/>
      <c r="X586" s="612"/>
      <c r="Y586" s="612"/>
      <c r="Z586" s="612"/>
      <c r="AA586" s="612"/>
      <c r="AB586" s="612"/>
      <c r="AC586" s="612"/>
      <c r="AD586" s="930">
        <v>45593.606215277781</v>
      </c>
    </row>
    <row r="587" spans="1:30">
      <c r="A587" s="48" t="s">
        <v>1593</v>
      </c>
      <c r="B587" s="60">
        <v>45540</v>
      </c>
      <c r="C587" s="54" t="s">
        <v>173</v>
      </c>
      <c r="D587" s="435" t="str">
        <f>IFERROR(VLOOKUP(C587,Mychart!$A$125:$B$811,2,FALSE),"-")</f>
        <v>BAB AL TABREED A/C UNITS FIX.CONT</v>
      </c>
      <c r="E587" s="676" t="s">
        <v>1594</v>
      </c>
      <c r="F587" s="58">
        <v>80</v>
      </c>
      <c r="G587" s="58">
        <v>2.8</v>
      </c>
      <c r="H587" s="58">
        <v>244</v>
      </c>
      <c r="I587" s="58">
        <v>12.200000000000001</v>
      </c>
      <c r="J587" s="56" t="s">
        <v>1596</v>
      </c>
      <c r="K587" s="56" t="s">
        <v>293</v>
      </c>
      <c r="L587" s="292">
        <v>246</v>
      </c>
      <c r="M587" s="292"/>
      <c r="N587" s="358"/>
      <c r="O587" s="292"/>
      <c r="P587" s="292" t="s">
        <v>1205</v>
      </c>
      <c r="Q587" s="614"/>
      <c r="R587" s="913">
        <f t="shared" si="36"/>
        <v>0</v>
      </c>
      <c r="S587" s="913">
        <f t="shared" si="37"/>
        <v>0</v>
      </c>
      <c r="T587" s="913">
        <f t="shared" si="38"/>
        <v>0</v>
      </c>
      <c r="U587" s="914" t="e">
        <f t="shared" si="39"/>
        <v>#VALUE!</v>
      </c>
      <c r="V587" s="612"/>
      <c r="W587" s="612"/>
      <c r="X587" s="612"/>
      <c r="Y587" s="612"/>
      <c r="Z587" s="612"/>
      <c r="AA587" s="612"/>
      <c r="AB587" s="612"/>
      <c r="AC587" s="612"/>
    </row>
    <row r="588" spans="1:30">
      <c r="A588" s="48" t="s">
        <v>1593</v>
      </c>
      <c r="B588" s="60">
        <v>45540</v>
      </c>
      <c r="C588" s="54" t="s">
        <v>173</v>
      </c>
      <c r="D588" s="435" t="str">
        <f>IFERROR(VLOOKUP(C588,Mychart!$A$125:$B$811,2,FALSE),"-")</f>
        <v>BAB AL TABREED A/C UNITS FIX.CONT</v>
      </c>
      <c r="E588" s="676" t="s">
        <v>1595</v>
      </c>
      <c r="F588" s="58">
        <v>4</v>
      </c>
      <c r="G588" s="58">
        <v>3</v>
      </c>
      <c r="H588" s="58">
        <v>244</v>
      </c>
      <c r="I588" s="58">
        <v>12.200000000000001</v>
      </c>
      <c r="J588" s="56" t="s">
        <v>1596</v>
      </c>
      <c r="K588" s="56" t="s">
        <v>293</v>
      </c>
      <c r="L588" s="292">
        <v>246</v>
      </c>
      <c r="M588" s="292"/>
      <c r="N588" s="358"/>
      <c r="O588" s="292"/>
      <c r="P588" s="292"/>
      <c r="Q588" s="614"/>
      <c r="R588" s="913">
        <f t="shared" si="36"/>
        <v>0</v>
      </c>
      <c r="S588" s="913">
        <f t="shared" si="37"/>
        <v>0</v>
      </c>
      <c r="T588" s="913">
        <f t="shared" si="38"/>
        <v>0</v>
      </c>
      <c r="U588" s="914">
        <f t="shared" si="39"/>
        <v>4</v>
      </c>
      <c r="V588" s="612"/>
      <c r="W588" s="612"/>
      <c r="X588" s="612"/>
      <c r="Y588" s="612"/>
      <c r="Z588" s="612"/>
      <c r="AA588" s="612"/>
      <c r="AB588" s="612"/>
      <c r="AC588" s="612"/>
    </row>
    <row r="589" spans="1:30">
      <c r="A589" s="48" t="s">
        <v>1593</v>
      </c>
      <c r="B589" s="60">
        <v>45540</v>
      </c>
      <c r="C589" s="54" t="s">
        <v>173</v>
      </c>
      <c r="D589" s="435" t="str">
        <f>IFERROR(VLOOKUP(C589,Mychart!$A$125:$B$811,2,FALSE),"-")</f>
        <v>BAB AL TABREED A/C UNITS FIX.CONT</v>
      </c>
      <c r="E589" s="676" t="s">
        <v>1457</v>
      </c>
      <c r="F589" s="58">
        <v>4</v>
      </c>
      <c r="G589" s="58">
        <v>2</v>
      </c>
      <c r="H589" s="58">
        <v>244</v>
      </c>
      <c r="I589" s="58">
        <v>12.200000000000001</v>
      </c>
      <c r="J589" s="56" t="s">
        <v>1596</v>
      </c>
      <c r="K589" s="56" t="s">
        <v>293</v>
      </c>
      <c r="L589" s="292">
        <v>246</v>
      </c>
      <c r="M589" s="292" t="s">
        <v>5216</v>
      </c>
      <c r="N589" s="358">
        <v>256.2</v>
      </c>
      <c r="O589" s="292">
        <v>256.2</v>
      </c>
      <c r="P589" s="292"/>
      <c r="Q589" s="614">
        <v>256.2</v>
      </c>
      <c r="R589" s="913">
        <f t="shared" si="36"/>
        <v>0</v>
      </c>
      <c r="S589" s="913">
        <f t="shared" si="37"/>
        <v>0</v>
      </c>
      <c r="T589" s="913">
        <f t="shared" si="38"/>
        <v>0</v>
      </c>
      <c r="U589" s="914">
        <f t="shared" si="39"/>
        <v>4</v>
      </c>
      <c r="V589" s="612"/>
      <c r="W589" s="612"/>
      <c r="X589" s="612"/>
      <c r="Y589" s="612"/>
      <c r="Z589" s="612"/>
      <c r="AA589" s="612"/>
      <c r="AB589" s="612"/>
      <c r="AC589" s="612"/>
      <c r="AD589" s="930">
        <v>45593.606215277781</v>
      </c>
    </row>
    <row r="590" spans="1:30">
      <c r="A590" s="48" t="s">
        <v>1624</v>
      </c>
      <c r="B590" s="60">
        <v>45544</v>
      </c>
      <c r="C590" s="54" t="s">
        <v>171</v>
      </c>
      <c r="D590" s="435" t="str">
        <f>IFERROR(VLOOKUP(C590,Mychart!$A$125:$B$811,2,FALSE),"-")</f>
        <v>MACS -Al Muthathawerah</v>
      </c>
      <c r="E590" s="676" t="s">
        <v>985</v>
      </c>
      <c r="F590" s="58">
        <v>2809</v>
      </c>
      <c r="G590" s="58">
        <v>2.85</v>
      </c>
      <c r="H590" s="58">
        <v>8285.9000000000015</v>
      </c>
      <c r="I590" s="58">
        <v>414.29500000000007</v>
      </c>
      <c r="J590" s="56">
        <v>241628</v>
      </c>
      <c r="K590" s="56" t="s">
        <v>302</v>
      </c>
      <c r="L590" s="292">
        <v>278</v>
      </c>
      <c r="M590" s="292"/>
      <c r="N590" s="358"/>
      <c r="O590" s="292"/>
      <c r="P590" s="292"/>
      <c r="Q590" s="614"/>
      <c r="R590" s="913">
        <f t="shared" ref="R590:R652" si="40">O590-N590</f>
        <v>0</v>
      </c>
      <c r="S590" s="913">
        <f t="shared" ref="S590:S652" si="41">Q590-N590</f>
        <v>0</v>
      </c>
      <c r="T590" s="913">
        <f t="shared" ref="T590:T652" si="42">Q590-O590</f>
        <v>0</v>
      </c>
      <c r="U590" s="914">
        <f t="shared" ref="U590:U652" si="43">F590-P590</f>
        <v>2809</v>
      </c>
      <c r="V590" s="612"/>
      <c r="W590" s="612"/>
      <c r="X590" s="612"/>
      <c r="Y590" s="612"/>
      <c r="Z590" s="612"/>
      <c r="AA590" s="612"/>
      <c r="AB590" s="612"/>
      <c r="AC590" s="612"/>
    </row>
    <row r="591" spans="1:30">
      <c r="A591" s="48" t="s">
        <v>1624</v>
      </c>
      <c r="B591" s="60">
        <v>45544</v>
      </c>
      <c r="C591" s="54" t="s">
        <v>171</v>
      </c>
      <c r="D591" s="435" t="str">
        <f>IFERROR(VLOOKUP(C591,Mychart!$A$125:$B$811,2,FALSE),"-")</f>
        <v>MACS -Al Muthathawerah</v>
      </c>
      <c r="E591" s="676" t="s">
        <v>986</v>
      </c>
      <c r="F591" s="58">
        <v>136</v>
      </c>
      <c r="G591" s="58">
        <v>3.25</v>
      </c>
      <c r="H591" s="58">
        <v>8285.9000000000015</v>
      </c>
      <c r="I591" s="58">
        <v>414.29500000000007</v>
      </c>
      <c r="J591" s="56">
        <v>241628</v>
      </c>
      <c r="K591" s="56" t="s">
        <v>302</v>
      </c>
      <c r="L591" s="292">
        <v>278</v>
      </c>
      <c r="M591" s="292"/>
      <c r="N591" s="358"/>
      <c r="O591" s="292"/>
      <c r="P591" s="292"/>
      <c r="Q591" s="614"/>
      <c r="R591" s="913">
        <f t="shared" si="40"/>
        <v>0</v>
      </c>
      <c r="S591" s="913">
        <f t="shared" si="41"/>
        <v>0</v>
      </c>
      <c r="T591" s="913">
        <f t="shared" si="42"/>
        <v>0</v>
      </c>
      <c r="U591" s="914">
        <f t="shared" si="43"/>
        <v>136</v>
      </c>
      <c r="V591" s="612"/>
      <c r="W591" s="612"/>
      <c r="X591" s="612"/>
      <c r="Y591" s="612"/>
      <c r="Z591" s="612"/>
      <c r="AA591" s="612"/>
      <c r="AB591" s="612"/>
      <c r="AC591" s="612"/>
    </row>
    <row r="592" spans="1:30">
      <c r="A592" s="48" t="s">
        <v>1624</v>
      </c>
      <c r="B592" s="60">
        <v>45544</v>
      </c>
      <c r="C592" s="54" t="s">
        <v>171</v>
      </c>
      <c r="D592" s="435" t="str">
        <f>IFERROR(VLOOKUP(C592,Mychart!$A$125:$B$811,2,FALSE),"-")</f>
        <v>MACS -Al Muthathawerah</v>
      </c>
      <c r="E592" s="676" t="s">
        <v>987</v>
      </c>
      <c r="F592" s="58">
        <v>97</v>
      </c>
      <c r="G592" s="58">
        <v>2.25</v>
      </c>
      <c r="H592" s="58">
        <v>8285.9000000000015</v>
      </c>
      <c r="I592" s="58">
        <v>414.29500000000007</v>
      </c>
      <c r="J592" s="56">
        <v>241628</v>
      </c>
      <c r="K592" s="56" t="s">
        <v>302</v>
      </c>
      <c r="L592" s="292">
        <v>278</v>
      </c>
      <c r="M592" s="292"/>
      <c r="N592" s="358"/>
      <c r="O592" s="292"/>
      <c r="P592" s="292"/>
      <c r="Q592" s="614"/>
      <c r="R592" s="913">
        <f t="shared" si="40"/>
        <v>0</v>
      </c>
      <c r="S592" s="913">
        <f t="shared" si="41"/>
        <v>0</v>
      </c>
      <c r="T592" s="913">
        <f t="shared" si="42"/>
        <v>0</v>
      </c>
      <c r="U592" s="914">
        <f t="shared" si="43"/>
        <v>97</v>
      </c>
      <c r="V592" s="612"/>
      <c r="W592" s="612"/>
      <c r="X592" s="612"/>
      <c r="Y592" s="612"/>
      <c r="Z592" s="612"/>
      <c r="AA592" s="612"/>
      <c r="AB592" s="612"/>
      <c r="AC592" s="612"/>
    </row>
    <row r="593" spans="1:30">
      <c r="A593" s="48" t="s">
        <v>1624</v>
      </c>
      <c r="B593" s="60">
        <v>45544</v>
      </c>
      <c r="C593" s="54" t="s">
        <v>171</v>
      </c>
      <c r="D593" s="435" t="str">
        <f>IFERROR(VLOOKUP(C593,Mychart!$A$125:$B$811,2,FALSE),"-")</f>
        <v>MACS -Al Muthathawerah</v>
      </c>
      <c r="E593" s="676" t="s">
        <v>1324</v>
      </c>
      <c r="F593" s="58">
        <v>1</v>
      </c>
      <c r="G593" s="58">
        <v>-380</v>
      </c>
      <c r="H593" s="58">
        <v>8285.9000000000015</v>
      </c>
      <c r="I593" s="58">
        <v>414.29500000000007</v>
      </c>
      <c r="J593" s="56">
        <v>241628</v>
      </c>
      <c r="K593" s="56" t="s">
        <v>302</v>
      </c>
      <c r="L593" s="292">
        <v>278</v>
      </c>
      <c r="M593" s="292" t="s">
        <v>5234</v>
      </c>
      <c r="N593" s="358">
        <v>8700.09</v>
      </c>
      <c r="O593" s="292">
        <v>8700</v>
      </c>
      <c r="P593" s="292"/>
      <c r="Q593" s="614">
        <v>8700.1950000000015</v>
      </c>
      <c r="R593" s="913">
        <f t="shared" si="40"/>
        <v>-9.0000000000145519E-2</v>
      </c>
      <c r="S593" s="913">
        <f t="shared" si="41"/>
        <v>0.10500000000138243</v>
      </c>
      <c r="T593" s="913">
        <f t="shared" si="42"/>
        <v>0.19500000000152795</v>
      </c>
      <c r="U593" s="914">
        <f t="shared" si="43"/>
        <v>1</v>
      </c>
      <c r="V593" s="612"/>
      <c r="W593" s="612"/>
      <c r="X593" s="612"/>
      <c r="Y593" s="612"/>
      <c r="Z593" s="612"/>
      <c r="AA593" s="612"/>
      <c r="AB593" s="612"/>
      <c r="AC593" s="612"/>
      <c r="AD593" s="930">
        <v>45593.691712962966</v>
      </c>
    </row>
    <row r="594" spans="1:30">
      <c r="A594" s="48" t="s">
        <v>1729</v>
      </c>
      <c r="B594" s="60">
        <v>45546</v>
      </c>
      <c r="C594" s="54" t="s">
        <v>173</v>
      </c>
      <c r="D594" s="435" t="str">
        <f>IFERROR(VLOOKUP(C594,Mychart!$A$125:$B$811,2,FALSE),"-")</f>
        <v>BAB AL TABREED A/C UNITS FIX.CONT</v>
      </c>
      <c r="E594" s="676" t="s">
        <v>979</v>
      </c>
      <c r="F594" s="58">
        <v>42</v>
      </c>
      <c r="G594" s="58">
        <v>2.8</v>
      </c>
      <c r="H594" s="58">
        <v>133.6</v>
      </c>
      <c r="I594" s="58">
        <v>6.68</v>
      </c>
      <c r="J594" s="56" t="s">
        <v>1731</v>
      </c>
      <c r="K594" s="56" t="s">
        <v>1730</v>
      </c>
      <c r="L594" s="292">
        <v>255</v>
      </c>
      <c r="M594" s="292"/>
      <c r="N594" s="358"/>
      <c r="O594" s="292"/>
      <c r="P594" s="292"/>
      <c r="Q594" s="614"/>
      <c r="R594" s="913">
        <f t="shared" si="40"/>
        <v>0</v>
      </c>
      <c r="S594" s="913">
        <f t="shared" si="41"/>
        <v>0</v>
      </c>
      <c r="T594" s="913">
        <f t="shared" si="42"/>
        <v>0</v>
      </c>
      <c r="U594" s="914">
        <f t="shared" si="43"/>
        <v>42</v>
      </c>
      <c r="V594" s="612"/>
      <c r="W594" s="612"/>
      <c r="X594" s="612"/>
      <c r="Y594" s="612"/>
      <c r="Z594" s="612"/>
      <c r="AA594" s="612"/>
      <c r="AB594" s="612"/>
      <c r="AC594" s="612"/>
    </row>
    <row r="595" spans="1:30">
      <c r="A595" s="48" t="s">
        <v>1729</v>
      </c>
      <c r="B595" s="60">
        <v>45546</v>
      </c>
      <c r="C595" s="54" t="s">
        <v>173</v>
      </c>
      <c r="D595" s="435" t="str">
        <f>IFERROR(VLOOKUP(C595,Mychart!$A$125:$B$811,2,FALSE),"-")</f>
        <v>BAB AL TABREED A/C UNITS FIX.CONT</v>
      </c>
      <c r="E595" s="676" t="s">
        <v>1118</v>
      </c>
      <c r="F595" s="58">
        <v>4</v>
      </c>
      <c r="G595" s="58">
        <v>3</v>
      </c>
      <c r="H595" s="58">
        <v>133.6</v>
      </c>
      <c r="I595" s="58">
        <v>6.68</v>
      </c>
      <c r="J595" s="56" t="s">
        <v>1731</v>
      </c>
      <c r="K595" s="56" t="s">
        <v>1730</v>
      </c>
      <c r="L595" s="292">
        <v>255</v>
      </c>
      <c r="M595" s="292"/>
      <c r="N595" s="358"/>
      <c r="O595" s="292"/>
      <c r="P595" s="292"/>
      <c r="Q595" s="614"/>
      <c r="R595" s="913">
        <f t="shared" si="40"/>
        <v>0</v>
      </c>
      <c r="S595" s="913">
        <f t="shared" si="41"/>
        <v>0</v>
      </c>
      <c r="T595" s="913">
        <f t="shared" si="42"/>
        <v>0</v>
      </c>
      <c r="U595" s="914">
        <f t="shared" si="43"/>
        <v>4</v>
      </c>
      <c r="V595" s="612"/>
      <c r="W595" s="612"/>
      <c r="X595" s="612"/>
      <c r="Y595" s="612"/>
      <c r="Z595" s="612"/>
      <c r="AA595" s="612"/>
      <c r="AB595" s="612"/>
      <c r="AC595" s="612"/>
    </row>
    <row r="596" spans="1:30">
      <c r="A596" s="48" t="s">
        <v>1729</v>
      </c>
      <c r="B596" s="60">
        <v>45546</v>
      </c>
      <c r="C596" s="54" t="s">
        <v>173</v>
      </c>
      <c r="D596" s="435" t="str">
        <f>IFERROR(VLOOKUP(C596,Mychart!$A$125:$B$811,2,FALSE),"-")</f>
        <v>BAB AL TABREED A/C UNITS FIX.CONT</v>
      </c>
      <c r="E596" s="676" t="s">
        <v>1119</v>
      </c>
      <c r="F596" s="58">
        <v>2</v>
      </c>
      <c r="G596" s="58">
        <v>2</v>
      </c>
      <c r="H596" s="58">
        <v>133.6</v>
      </c>
      <c r="I596" s="58">
        <v>6.68</v>
      </c>
      <c r="J596" s="56" t="s">
        <v>1731</v>
      </c>
      <c r="K596" s="56" t="s">
        <v>1730</v>
      </c>
      <c r="L596" s="292">
        <v>255</v>
      </c>
      <c r="M596" s="292" t="s">
        <v>5211</v>
      </c>
      <c r="N596" s="358">
        <v>140.28</v>
      </c>
      <c r="O596" s="292">
        <v>140.28</v>
      </c>
      <c r="P596" s="292"/>
      <c r="Q596" s="614">
        <v>140.28</v>
      </c>
      <c r="R596" s="913">
        <f t="shared" si="40"/>
        <v>0</v>
      </c>
      <c r="S596" s="913">
        <f t="shared" si="41"/>
        <v>0</v>
      </c>
      <c r="T596" s="913">
        <f t="shared" si="42"/>
        <v>0</v>
      </c>
      <c r="U596" s="914">
        <f t="shared" si="43"/>
        <v>2</v>
      </c>
      <c r="V596" s="612"/>
      <c r="W596" s="612"/>
      <c r="X596" s="612"/>
      <c r="Y596" s="612"/>
      <c r="Z596" s="612"/>
      <c r="AA596" s="612"/>
      <c r="AB596" s="612"/>
      <c r="AC596" s="612"/>
      <c r="AD596" s="930">
        <v>45593.606203703705</v>
      </c>
    </row>
    <row r="597" spans="1:30">
      <c r="A597" s="48" t="s">
        <v>1760</v>
      </c>
      <c r="B597" s="60">
        <v>45550</v>
      </c>
      <c r="C597" s="54" t="s">
        <v>168</v>
      </c>
      <c r="D597" s="435" t="str">
        <f>IFERROR(VLOOKUP(C597,Mychart!$A$125:$B$811,2,FALSE),"-")</f>
        <v>UTS Carrier</v>
      </c>
      <c r="E597" s="676" t="s">
        <v>825</v>
      </c>
      <c r="F597" s="58">
        <v>2</v>
      </c>
      <c r="G597" s="58"/>
      <c r="H597" s="58">
        <v>67580</v>
      </c>
      <c r="I597" s="58">
        <v>3379</v>
      </c>
      <c r="J597" s="56" t="s">
        <v>1759</v>
      </c>
      <c r="K597" s="56" t="s">
        <v>320</v>
      </c>
      <c r="L597" s="292">
        <v>275</v>
      </c>
      <c r="M597" s="292"/>
      <c r="N597" s="358"/>
      <c r="O597" s="292"/>
      <c r="P597" s="292"/>
      <c r="Q597" s="614"/>
      <c r="R597" s="913">
        <f t="shared" si="40"/>
        <v>0</v>
      </c>
      <c r="S597" s="913">
        <f t="shared" si="41"/>
        <v>0</v>
      </c>
      <c r="T597" s="913">
        <f t="shared" si="42"/>
        <v>0</v>
      </c>
      <c r="U597" s="914">
        <f t="shared" si="43"/>
        <v>2</v>
      </c>
      <c r="V597" s="612"/>
      <c r="W597" s="612"/>
      <c r="X597" s="612"/>
      <c r="Y597" s="612"/>
      <c r="Z597" s="612"/>
      <c r="AA597" s="612"/>
      <c r="AB597" s="612"/>
      <c r="AC597" s="612"/>
    </row>
    <row r="598" spans="1:30">
      <c r="A598" s="48" t="s">
        <v>1760</v>
      </c>
      <c r="B598" s="60">
        <v>45550</v>
      </c>
      <c r="C598" s="54" t="s">
        <v>168</v>
      </c>
      <c r="D598" s="435" t="str">
        <f>IFERROR(VLOOKUP(C598,Mychart!$A$125:$B$811,2,FALSE),"-")</f>
        <v>UTS Carrier</v>
      </c>
      <c r="E598" s="676" t="s">
        <v>826</v>
      </c>
      <c r="F598" s="58">
        <v>2</v>
      </c>
      <c r="G598" s="58"/>
      <c r="H598" s="58">
        <v>67580</v>
      </c>
      <c r="I598" s="58">
        <v>3379</v>
      </c>
      <c r="J598" s="56" t="s">
        <v>1759</v>
      </c>
      <c r="K598" s="56" t="s">
        <v>320</v>
      </c>
      <c r="L598" s="292">
        <v>275</v>
      </c>
      <c r="M598" s="292"/>
      <c r="N598" s="358"/>
      <c r="O598" s="292"/>
      <c r="P598" s="292"/>
      <c r="Q598" s="614"/>
      <c r="R598" s="913">
        <f t="shared" si="40"/>
        <v>0</v>
      </c>
      <c r="S598" s="913">
        <f t="shared" si="41"/>
        <v>0</v>
      </c>
      <c r="T598" s="913">
        <f t="shared" si="42"/>
        <v>0</v>
      </c>
      <c r="U598" s="914">
        <f t="shared" si="43"/>
        <v>2</v>
      </c>
      <c r="V598" s="612"/>
      <c r="W598" s="612"/>
      <c r="X598" s="612"/>
      <c r="Y598" s="612"/>
      <c r="Z598" s="612"/>
      <c r="AA598" s="612"/>
      <c r="AB598" s="612"/>
      <c r="AC598" s="612"/>
    </row>
    <row r="599" spans="1:30">
      <c r="A599" s="48" t="s">
        <v>1760</v>
      </c>
      <c r="B599" s="60">
        <v>45550</v>
      </c>
      <c r="C599" s="54" t="s">
        <v>168</v>
      </c>
      <c r="D599" s="435" t="str">
        <f>IFERROR(VLOOKUP(C599,Mychart!$A$125:$B$811,2,FALSE),"-")</f>
        <v>UTS Carrier</v>
      </c>
      <c r="E599" s="676" t="s">
        <v>827</v>
      </c>
      <c r="F599" s="58">
        <v>1</v>
      </c>
      <c r="G599" s="58"/>
      <c r="H599" s="58">
        <v>67580</v>
      </c>
      <c r="I599" s="58">
        <v>3379</v>
      </c>
      <c r="J599" s="56" t="s">
        <v>1759</v>
      </c>
      <c r="K599" s="56" t="s">
        <v>320</v>
      </c>
      <c r="L599" s="292">
        <v>275</v>
      </c>
      <c r="M599" s="292"/>
      <c r="N599" s="358"/>
      <c r="O599" s="292"/>
      <c r="P599" s="292"/>
      <c r="Q599" s="614"/>
      <c r="R599" s="913">
        <f t="shared" si="40"/>
        <v>0</v>
      </c>
      <c r="S599" s="913">
        <f t="shared" si="41"/>
        <v>0</v>
      </c>
      <c r="T599" s="913">
        <f t="shared" si="42"/>
        <v>0</v>
      </c>
      <c r="U599" s="914">
        <f t="shared" si="43"/>
        <v>1</v>
      </c>
      <c r="V599" s="612"/>
      <c r="W599" s="612"/>
      <c r="X599" s="612"/>
      <c r="Y599" s="612"/>
      <c r="Z599" s="612"/>
      <c r="AA599" s="612"/>
      <c r="AB599" s="612"/>
      <c r="AC599" s="612"/>
    </row>
    <row r="600" spans="1:30">
      <c r="A600" s="48" t="s">
        <v>1760</v>
      </c>
      <c r="B600" s="60">
        <v>45550</v>
      </c>
      <c r="C600" s="54" t="s">
        <v>168</v>
      </c>
      <c r="D600" s="435" t="str">
        <f>IFERROR(VLOOKUP(C600,Mychart!$A$125:$B$811,2,FALSE),"-")</f>
        <v>UTS Carrier</v>
      </c>
      <c r="E600" s="676" t="s">
        <v>828</v>
      </c>
      <c r="F600" s="58">
        <v>1</v>
      </c>
      <c r="G600" s="58"/>
      <c r="H600" s="58">
        <v>67580</v>
      </c>
      <c r="I600" s="58">
        <v>3379</v>
      </c>
      <c r="J600" s="56" t="s">
        <v>1759</v>
      </c>
      <c r="K600" s="56" t="s">
        <v>320</v>
      </c>
      <c r="L600" s="292">
        <v>275</v>
      </c>
      <c r="M600" s="292"/>
      <c r="N600" s="358"/>
      <c r="O600" s="292"/>
      <c r="P600" s="292"/>
      <c r="Q600" s="614"/>
      <c r="R600" s="913">
        <f t="shared" si="40"/>
        <v>0</v>
      </c>
      <c r="S600" s="913">
        <f t="shared" si="41"/>
        <v>0</v>
      </c>
      <c r="T600" s="913">
        <f t="shared" si="42"/>
        <v>0</v>
      </c>
      <c r="U600" s="914">
        <f t="shared" si="43"/>
        <v>1</v>
      </c>
      <c r="V600" s="612"/>
      <c r="W600" s="612"/>
      <c r="X600" s="612"/>
      <c r="Y600" s="612"/>
      <c r="Z600" s="612"/>
      <c r="AA600" s="612"/>
      <c r="AB600" s="612"/>
      <c r="AC600" s="612"/>
    </row>
    <row r="601" spans="1:30">
      <c r="A601" s="48" t="s">
        <v>1760</v>
      </c>
      <c r="B601" s="60">
        <v>45550</v>
      </c>
      <c r="C601" s="54" t="s">
        <v>168</v>
      </c>
      <c r="D601" s="435" t="str">
        <f>IFERROR(VLOOKUP(C601,Mychart!$A$125:$B$811,2,FALSE),"-")</f>
        <v>UTS Carrier</v>
      </c>
      <c r="E601" s="676" t="s">
        <v>238</v>
      </c>
      <c r="F601" s="58">
        <v>1</v>
      </c>
      <c r="G601" s="58"/>
      <c r="H601" s="58">
        <v>67580</v>
      </c>
      <c r="I601" s="58">
        <v>3379</v>
      </c>
      <c r="J601" s="56" t="s">
        <v>1759</v>
      </c>
      <c r="K601" s="56" t="s">
        <v>320</v>
      </c>
      <c r="L601" s="292">
        <v>275</v>
      </c>
      <c r="M601" s="292"/>
      <c r="N601" s="358"/>
      <c r="O601" s="292"/>
      <c r="P601" s="292"/>
      <c r="Q601" s="614"/>
      <c r="R601" s="913">
        <f t="shared" si="40"/>
        <v>0</v>
      </c>
      <c r="S601" s="913">
        <f t="shared" si="41"/>
        <v>0</v>
      </c>
      <c r="T601" s="913">
        <f t="shared" si="42"/>
        <v>0</v>
      </c>
      <c r="U601" s="914">
        <f t="shared" si="43"/>
        <v>1</v>
      </c>
      <c r="V601" s="612"/>
      <c r="W601" s="612"/>
      <c r="X601" s="612"/>
      <c r="Y601" s="612"/>
      <c r="Z601" s="612"/>
      <c r="AA601" s="612"/>
      <c r="AB601" s="612"/>
      <c r="AC601" s="612"/>
    </row>
    <row r="602" spans="1:30">
      <c r="A602" s="48" t="s">
        <v>1760</v>
      </c>
      <c r="B602" s="60">
        <v>45550</v>
      </c>
      <c r="C602" s="54" t="s">
        <v>168</v>
      </c>
      <c r="D602" s="435" t="str">
        <f>IFERROR(VLOOKUP(C602,Mychart!$A$125:$B$811,2,FALSE),"-")</f>
        <v>UTS Carrier</v>
      </c>
      <c r="E602" s="676" t="s">
        <v>239</v>
      </c>
      <c r="F602" s="58">
        <v>1</v>
      </c>
      <c r="G602" s="58"/>
      <c r="H602" s="58">
        <v>67580</v>
      </c>
      <c r="I602" s="58">
        <v>3379</v>
      </c>
      <c r="J602" s="56" t="s">
        <v>1759</v>
      </c>
      <c r="K602" s="56" t="s">
        <v>320</v>
      </c>
      <c r="L602" s="292">
        <v>275</v>
      </c>
      <c r="M602" s="292"/>
      <c r="N602" s="358"/>
      <c r="O602" s="292"/>
      <c r="P602" s="292"/>
      <c r="Q602" s="614"/>
      <c r="R602" s="913">
        <f t="shared" si="40"/>
        <v>0</v>
      </c>
      <c r="S602" s="913">
        <f t="shared" si="41"/>
        <v>0</v>
      </c>
      <c r="T602" s="913">
        <f t="shared" si="42"/>
        <v>0</v>
      </c>
      <c r="U602" s="914">
        <f t="shared" si="43"/>
        <v>1</v>
      </c>
      <c r="V602" s="612"/>
      <c r="W602" s="612"/>
      <c r="X602" s="612"/>
      <c r="Y602" s="612"/>
      <c r="Z602" s="612"/>
      <c r="AA602" s="612"/>
      <c r="AB602" s="612"/>
      <c r="AC602" s="612"/>
    </row>
    <row r="603" spans="1:30">
      <c r="A603" s="48" t="s">
        <v>1760</v>
      </c>
      <c r="B603" s="60">
        <v>45550</v>
      </c>
      <c r="C603" s="54" t="s">
        <v>168</v>
      </c>
      <c r="D603" s="435" t="str">
        <f>IFERROR(VLOOKUP(C603,Mychart!$A$125:$B$811,2,FALSE),"-")</f>
        <v>UTS Carrier</v>
      </c>
      <c r="E603" s="676" t="s">
        <v>234</v>
      </c>
      <c r="F603" s="58">
        <v>2</v>
      </c>
      <c r="G603" s="58"/>
      <c r="H603" s="58">
        <v>67580</v>
      </c>
      <c r="I603" s="58">
        <v>3379</v>
      </c>
      <c r="J603" s="56" t="s">
        <v>1759</v>
      </c>
      <c r="K603" s="56" t="s">
        <v>320</v>
      </c>
      <c r="L603" s="292">
        <v>275</v>
      </c>
      <c r="M603" s="292"/>
      <c r="N603" s="358"/>
      <c r="O603" s="292"/>
      <c r="P603" s="292"/>
      <c r="Q603" s="614"/>
      <c r="R603" s="913">
        <f t="shared" si="40"/>
        <v>0</v>
      </c>
      <c r="S603" s="913">
        <f t="shared" si="41"/>
        <v>0</v>
      </c>
      <c r="T603" s="913">
        <f t="shared" si="42"/>
        <v>0</v>
      </c>
      <c r="U603" s="914">
        <f t="shared" si="43"/>
        <v>2</v>
      </c>
      <c r="V603" s="612"/>
      <c r="W603" s="612"/>
      <c r="X603" s="612"/>
      <c r="Y603" s="612"/>
      <c r="Z603" s="612"/>
      <c r="AA603" s="612"/>
      <c r="AB603" s="612"/>
      <c r="AC603" s="612"/>
    </row>
    <row r="604" spans="1:30">
      <c r="A604" s="48" t="s">
        <v>1760</v>
      </c>
      <c r="B604" s="60">
        <v>45550</v>
      </c>
      <c r="C604" s="54" t="s">
        <v>168</v>
      </c>
      <c r="D604" s="435" t="str">
        <f>IFERROR(VLOOKUP(C604,Mychart!$A$125:$B$811,2,FALSE),"-")</f>
        <v>UTS Carrier</v>
      </c>
      <c r="E604" s="676" t="s">
        <v>235</v>
      </c>
      <c r="F604" s="58">
        <v>2</v>
      </c>
      <c r="G604" s="58"/>
      <c r="H604" s="58">
        <v>67580</v>
      </c>
      <c r="I604" s="58">
        <v>3379</v>
      </c>
      <c r="J604" s="56" t="s">
        <v>1759</v>
      </c>
      <c r="K604" s="56" t="s">
        <v>320</v>
      </c>
      <c r="L604" s="292">
        <v>275</v>
      </c>
      <c r="M604" s="292"/>
      <c r="N604" s="358"/>
      <c r="O604" s="292"/>
      <c r="P604" s="292"/>
      <c r="Q604" s="614"/>
      <c r="R604" s="913">
        <f t="shared" si="40"/>
        <v>0</v>
      </c>
      <c r="S604" s="913">
        <f t="shared" si="41"/>
        <v>0</v>
      </c>
      <c r="T604" s="913">
        <f t="shared" si="42"/>
        <v>0</v>
      </c>
      <c r="U604" s="914">
        <f t="shared" si="43"/>
        <v>2</v>
      </c>
      <c r="V604" s="612"/>
      <c r="W604" s="612"/>
      <c r="X604" s="612"/>
      <c r="Y604" s="612"/>
      <c r="Z604" s="612"/>
      <c r="AA604" s="612"/>
      <c r="AB604" s="612"/>
      <c r="AC604" s="612"/>
    </row>
    <row r="605" spans="1:30">
      <c r="A605" s="48" t="s">
        <v>1760</v>
      </c>
      <c r="B605" s="60">
        <v>45550</v>
      </c>
      <c r="C605" s="54" t="s">
        <v>168</v>
      </c>
      <c r="D605" s="435" t="str">
        <f>IFERROR(VLOOKUP(C605,Mychart!$A$125:$B$811,2,FALSE),"-")</f>
        <v>UTS Carrier</v>
      </c>
      <c r="E605" s="676" t="s">
        <v>232</v>
      </c>
      <c r="F605" s="58">
        <v>3</v>
      </c>
      <c r="G605" s="58"/>
      <c r="H605" s="58">
        <v>67580</v>
      </c>
      <c r="I605" s="58">
        <v>3379</v>
      </c>
      <c r="J605" s="56" t="s">
        <v>1759</v>
      </c>
      <c r="K605" s="56" t="s">
        <v>320</v>
      </c>
      <c r="L605" s="292">
        <v>275</v>
      </c>
      <c r="M605" s="292"/>
      <c r="N605" s="358"/>
      <c r="O605" s="292"/>
      <c r="P605" s="292"/>
      <c r="Q605" s="614"/>
      <c r="R605" s="913">
        <f t="shared" si="40"/>
        <v>0</v>
      </c>
      <c r="S605" s="913">
        <f t="shared" si="41"/>
        <v>0</v>
      </c>
      <c r="T605" s="913">
        <f t="shared" si="42"/>
        <v>0</v>
      </c>
      <c r="U605" s="914">
        <f t="shared" si="43"/>
        <v>3</v>
      </c>
      <c r="V605" s="612"/>
      <c r="W605" s="612"/>
      <c r="X605" s="612"/>
      <c r="Y605" s="612"/>
      <c r="Z605" s="612"/>
      <c r="AA605" s="612"/>
      <c r="AB605" s="612"/>
      <c r="AC605" s="612"/>
    </row>
    <row r="606" spans="1:30">
      <c r="A606" s="48" t="s">
        <v>1760</v>
      </c>
      <c r="B606" s="60">
        <v>45550</v>
      </c>
      <c r="C606" s="54" t="s">
        <v>168</v>
      </c>
      <c r="D606" s="435" t="str">
        <f>IFERROR(VLOOKUP(C606,Mychart!$A$125:$B$811,2,FALSE),"-")</f>
        <v>UTS Carrier</v>
      </c>
      <c r="E606" s="676" t="s">
        <v>233</v>
      </c>
      <c r="F606" s="58">
        <v>3</v>
      </c>
      <c r="G606" s="58"/>
      <c r="H606" s="58">
        <v>67580</v>
      </c>
      <c r="I606" s="58">
        <v>3379</v>
      </c>
      <c r="J606" s="56" t="s">
        <v>1759</v>
      </c>
      <c r="K606" s="56" t="s">
        <v>320</v>
      </c>
      <c r="L606" s="292">
        <v>275</v>
      </c>
      <c r="M606" s="292"/>
      <c r="N606" s="358"/>
      <c r="O606" s="292"/>
      <c r="P606" s="292"/>
      <c r="Q606" s="614"/>
      <c r="R606" s="913">
        <f t="shared" si="40"/>
        <v>0</v>
      </c>
      <c r="S606" s="913">
        <f t="shared" si="41"/>
        <v>0</v>
      </c>
      <c r="T606" s="913">
        <f t="shared" si="42"/>
        <v>0</v>
      </c>
      <c r="U606" s="914">
        <f t="shared" si="43"/>
        <v>3</v>
      </c>
      <c r="V606" s="612"/>
      <c r="W606" s="612"/>
      <c r="X606" s="612"/>
      <c r="Y606" s="612"/>
      <c r="Z606" s="612"/>
      <c r="AA606" s="612"/>
      <c r="AB606" s="612"/>
      <c r="AC606" s="612"/>
    </row>
    <row r="607" spans="1:30">
      <c r="A607" s="48" t="s">
        <v>1760</v>
      </c>
      <c r="B607" s="60">
        <v>45550</v>
      </c>
      <c r="C607" s="54" t="s">
        <v>168</v>
      </c>
      <c r="D607" s="435" t="str">
        <f>IFERROR(VLOOKUP(C607,Mychart!$A$125:$B$811,2,FALSE),"-")</f>
        <v>UTS Carrier</v>
      </c>
      <c r="E607" s="676" t="s">
        <v>1099</v>
      </c>
      <c r="F607" s="58">
        <v>1</v>
      </c>
      <c r="G607" s="58"/>
      <c r="H607" s="58">
        <v>67580</v>
      </c>
      <c r="I607" s="58">
        <v>3379</v>
      </c>
      <c r="J607" s="56" t="s">
        <v>1759</v>
      </c>
      <c r="K607" s="56" t="s">
        <v>320</v>
      </c>
      <c r="L607" s="292">
        <v>275</v>
      </c>
      <c r="M607" s="292"/>
      <c r="N607" s="358"/>
      <c r="O607" s="292"/>
      <c r="P607" s="292"/>
      <c r="Q607" s="614"/>
      <c r="R607" s="913">
        <f t="shared" si="40"/>
        <v>0</v>
      </c>
      <c r="S607" s="913">
        <f t="shared" si="41"/>
        <v>0</v>
      </c>
      <c r="T607" s="913">
        <f t="shared" si="42"/>
        <v>0</v>
      </c>
      <c r="U607" s="914">
        <f t="shared" si="43"/>
        <v>1</v>
      </c>
      <c r="V607" s="612"/>
      <c r="W607" s="612"/>
      <c r="X607" s="612"/>
      <c r="Y607" s="612"/>
      <c r="Z607" s="612"/>
      <c r="AA607" s="612"/>
      <c r="AB607" s="612"/>
      <c r="AC607" s="612"/>
    </row>
    <row r="608" spans="1:30">
      <c r="A608" s="48" t="s">
        <v>1760</v>
      </c>
      <c r="B608" s="60">
        <v>45550</v>
      </c>
      <c r="C608" s="54" t="s">
        <v>168</v>
      </c>
      <c r="D608" s="435" t="str">
        <f>IFERROR(VLOOKUP(C608,Mychart!$A$125:$B$811,2,FALSE),"-")</f>
        <v>UTS Carrier</v>
      </c>
      <c r="E608" s="676" t="s">
        <v>1100</v>
      </c>
      <c r="F608" s="58">
        <v>1</v>
      </c>
      <c r="G608" s="58"/>
      <c r="H608" s="58">
        <v>67580</v>
      </c>
      <c r="I608" s="58">
        <v>3379</v>
      </c>
      <c r="J608" s="56" t="s">
        <v>1759</v>
      </c>
      <c r="K608" s="56" t="s">
        <v>320</v>
      </c>
      <c r="L608" s="292">
        <v>275</v>
      </c>
      <c r="M608" s="292"/>
      <c r="N608" s="358"/>
      <c r="O608" s="292"/>
      <c r="P608" s="292"/>
      <c r="Q608" s="614"/>
      <c r="R608" s="913">
        <f t="shared" si="40"/>
        <v>0</v>
      </c>
      <c r="S608" s="913">
        <f t="shared" si="41"/>
        <v>0</v>
      </c>
      <c r="T608" s="913">
        <f t="shared" si="42"/>
        <v>0</v>
      </c>
      <c r="U608" s="914">
        <f t="shared" si="43"/>
        <v>1</v>
      </c>
      <c r="V608" s="612"/>
      <c r="W608" s="612"/>
      <c r="X608" s="612"/>
      <c r="Y608" s="612"/>
      <c r="Z608" s="612"/>
      <c r="AA608" s="612"/>
      <c r="AB608" s="612"/>
      <c r="AC608" s="612"/>
    </row>
    <row r="609" spans="1:30">
      <c r="A609" s="48" t="s">
        <v>1760</v>
      </c>
      <c r="B609" s="60">
        <v>45550</v>
      </c>
      <c r="C609" s="54" t="s">
        <v>168</v>
      </c>
      <c r="D609" s="435" t="str">
        <f>IFERROR(VLOOKUP(C609,Mychart!$A$125:$B$811,2,FALSE),"-")</f>
        <v>UTS Carrier</v>
      </c>
      <c r="E609" s="676" t="s">
        <v>832</v>
      </c>
      <c r="F609" s="58">
        <v>1</v>
      </c>
      <c r="G609" s="58"/>
      <c r="H609" s="58">
        <v>67580</v>
      </c>
      <c r="I609" s="58">
        <v>3379</v>
      </c>
      <c r="J609" s="56" t="s">
        <v>1759</v>
      </c>
      <c r="K609" s="56" t="s">
        <v>320</v>
      </c>
      <c r="L609" s="292">
        <v>275</v>
      </c>
      <c r="M609" s="292"/>
      <c r="N609" s="358"/>
      <c r="O609" s="292"/>
      <c r="P609" s="292"/>
      <c r="Q609" s="614"/>
      <c r="R609" s="913">
        <f t="shared" si="40"/>
        <v>0</v>
      </c>
      <c r="S609" s="913">
        <f t="shared" si="41"/>
        <v>0</v>
      </c>
      <c r="T609" s="913">
        <f t="shared" si="42"/>
        <v>0</v>
      </c>
      <c r="U609" s="914">
        <f t="shared" si="43"/>
        <v>1</v>
      </c>
      <c r="V609" s="612"/>
      <c r="W609" s="612"/>
      <c r="X609" s="612"/>
      <c r="Y609" s="612"/>
      <c r="Z609" s="612"/>
      <c r="AA609" s="612"/>
      <c r="AB609" s="612"/>
      <c r="AC609" s="612"/>
    </row>
    <row r="610" spans="1:30">
      <c r="A610" s="48" t="s">
        <v>1760</v>
      </c>
      <c r="B610" s="60">
        <v>45550</v>
      </c>
      <c r="C610" s="54" t="s">
        <v>168</v>
      </c>
      <c r="D610" s="435" t="str">
        <f>IFERROR(VLOOKUP(C610,Mychart!$A$125:$B$811,2,FALSE),"-")</f>
        <v>UTS Carrier</v>
      </c>
      <c r="E610" s="676" t="s">
        <v>833</v>
      </c>
      <c r="F610" s="58">
        <v>1</v>
      </c>
      <c r="G610" s="58">
        <v>67580</v>
      </c>
      <c r="H610" s="58">
        <v>67580</v>
      </c>
      <c r="I610" s="58">
        <v>3379</v>
      </c>
      <c r="J610" s="56" t="s">
        <v>1759</v>
      </c>
      <c r="K610" s="56" t="s">
        <v>320</v>
      </c>
      <c r="L610" s="292">
        <v>275</v>
      </c>
      <c r="M610" s="292"/>
      <c r="N610" s="358"/>
      <c r="O610" s="292"/>
      <c r="P610" s="292"/>
      <c r="Q610" s="614"/>
      <c r="R610" s="913">
        <f t="shared" si="40"/>
        <v>0</v>
      </c>
      <c r="S610" s="913">
        <f t="shared" si="41"/>
        <v>0</v>
      </c>
      <c r="T610" s="913">
        <f t="shared" si="42"/>
        <v>0</v>
      </c>
      <c r="U610" s="914">
        <f t="shared" si="43"/>
        <v>1</v>
      </c>
      <c r="V610" s="612"/>
      <c r="W610" s="612"/>
      <c r="X610" s="612"/>
      <c r="Y610" s="612"/>
      <c r="Z610" s="612"/>
      <c r="AA610" s="612"/>
      <c r="AB610" s="612"/>
      <c r="AC610" s="612"/>
    </row>
    <row r="611" spans="1:30">
      <c r="A611" s="48" t="s">
        <v>1760</v>
      </c>
      <c r="B611" s="60">
        <v>45550</v>
      </c>
      <c r="C611" s="54" t="s">
        <v>168</v>
      </c>
      <c r="D611" s="435" t="str">
        <f>IFERROR(VLOOKUP(C611,Mychart!$A$125:$B$811,2,FALSE),"-")</f>
        <v>UTS Carrier</v>
      </c>
      <c r="E611" s="308"/>
      <c r="F611" s="58"/>
      <c r="G611" s="58"/>
      <c r="H611" s="58">
        <v>67580</v>
      </c>
      <c r="I611" s="58">
        <v>3379</v>
      </c>
      <c r="J611" s="56" t="s">
        <v>1759</v>
      </c>
      <c r="K611" s="56" t="s">
        <v>320</v>
      </c>
      <c r="L611" s="292">
        <v>275</v>
      </c>
      <c r="M611" s="292" t="s">
        <v>2959</v>
      </c>
      <c r="N611" s="358">
        <v>24706.5</v>
      </c>
      <c r="O611" s="292">
        <v>24707</v>
      </c>
      <c r="P611" s="292"/>
      <c r="Q611" s="614">
        <v>70959</v>
      </c>
      <c r="R611" s="913">
        <f t="shared" si="40"/>
        <v>0.5</v>
      </c>
      <c r="S611" s="913">
        <f t="shared" si="41"/>
        <v>46252.5</v>
      </c>
      <c r="T611" s="913">
        <f t="shared" si="42"/>
        <v>46252</v>
      </c>
      <c r="U611" s="914">
        <f t="shared" si="43"/>
        <v>0</v>
      </c>
      <c r="V611" s="612"/>
      <c r="W611" s="612"/>
      <c r="X611" s="612"/>
      <c r="Y611" s="612"/>
      <c r="Z611" s="612"/>
      <c r="AA611" s="612"/>
      <c r="AB611" s="612"/>
      <c r="AC611" s="612"/>
      <c r="AD611" s="930">
        <v>45573.63480324074</v>
      </c>
    </row>
    <row r="612" spans="1:30">
      <c r="A612" s="48" t="s">
        <v>1761</v>
      </c>
      <c r="B612" s="60">
        <v>45551</v>
      </c>
      <c r="C612" s="54" t="s">
        <v>169</v>
      </c>
      <c r="D612" s="435" t="str">
        <f>IFERROR(VLOOKUP(C612,Mychart!$A$125:$B$811,2,FALSE),"-")</f>
        <v>Takeef</v>
      </c>
      <c r="E612" s="676" t="s">
        <v>1780</v>
      </c>
      <c r="F612" s="58">
        <v>1</v>
      </c>
      <c r="G612" s="58"/>
      <c r="H612" s="58">
        <v>77136</v>
      </c>
      <c r="I612" s="58">
        <v>3856.8</v>
      </c>
      <c r="J612" s="56" t="s">
        <v>1792</v>
      </c>
      <c r="K612" s="56" t="s">
        <v>978</v>
      </c>
      <c r="L612" s="292">
        <v>286</v>
      </c>
      <c r="M612" s="292"/>
      <c r="N612" s="358"/>
      <c r="O612" s="292"/>
      <c r="P612" s="292"/>
      <c r="Q612" s="614"/>
      <c r="R612" s="913">
        <f t="shared" si="40"/>
        <v>0</v>
      </c>
      <c r="S612" s="913">
        <f t="shared" si="41"/>
        <v>0</v>
      </c>
      <c r="T612" s="913">
        <f t="shared" si="42"/>
        <v>0</v>
      </c>
      <c r="U612" s="914">
        <f t="shared" si="43"/>
        <v>1</v>
      </c>
      <c r="V612" s="612"/>
      <c r="W612" s="612"/>
      <c r="X612" s="612"/>
      <c r="Y612" s="612"/>
      <c r="Z612" s="612"/>
      <c r="AA612" s="612"/>
      <c r="AB612" s="612"/>
      <c r="AC612" s="612"/>
    </row>
    <row r="613" spans="1:30">
      <c r="A613" s="48" t="s">
        <v>1761</v>
      </c>
      <c r="B613" s="60">
        <v>45551</v>
      </c>
      <c r="C613" s="54" t="s">
        <v>169</v>
      </c>
      <c r="D613" s="435" t="str">
        <f>IFERROR(VLOOKUP(C613,Mychart!$A$125:$B$811,2,FALSE),"-")</f>
        <v>Takeef</v>
      </c>
      <c r="E613" s="676" t="s">
        <v>1781</v>
      </c>
      <c r="F613" s="58">
        <v>1</v>
      </c>
      <c r="G613" s="58"/>
      <c r="H613" s="58">
        <v>77136</v>
      </c>
      <c r="I613" s="58">
        <v>3856.8</v>
      </c>
      <c r="J613" s="56" t="s">
        <v>1792</v>
      </c>
      <c r="K613" s="56" t="s">
        <v>978</v>
      </c>
      <c r="L613" s="292">
        <v>286</v>
      </c>
      <c r="M613" s="292"/>
      <c r="N613" s="358"/>
      <c r="O613" s="292"/>
      <c r="P613" s="292"/>
      <c r="Q613" s="614"/>
      <c r="R613" s="913">
        <f t="shared" si="40"/>
        <v>0</v>
      </c>
      <c r="S613" s="913">
        <f t="shared" si="41"/>
        <v>0</v>
      </c>
      <c r="T613" s="913">
        <f t="shared" si="42"/>
        <v>0</v>
      </c>
      <c r="U613" s="914">
        <f t="shared" si="43"/>
        <v>1</v>
      </c>
      <c r="V613" s="612"/>
      <c r="W613" s="612"/>
      <c r="X613" s="612"/>
      <c r="Y613" s="612"/>
      <c r="Z613" s="612"/>
      <c r="AA613" s="612"/>
      <c r="AB613" s="612"/>
      <c r="AC613" s="612"/>
    </row>
    <row r="614" spans="1:30">
      <c r="A614" s="48" t="s">
        <v>1761</v>
      </c>
      <c r="B614" s="60">
        <v>45551</v>
      </c>
      <c r="C614" s="54" t="s">
        <v>169</v>
      </c>
      <c r="D614" s="435" t="str">
        <f>IFERROR(VLOOKUP(C614,Mychart!$A$125:$B$811,2,FALSE),"-")</f>
        <v>Takeef</v>
      </c>
      <c r="E614" s="676" t="s">
        <v>1782</v>
      </c>
      <c r="F614" s="58">
        <v>2</v>
      </c>
      <c r="G614" s="58"/>
      <c r="H614" s="58">
        <v>77136</v>
      </c>
      <c r="I614" s="58">
        <v>3856.8</v>
      </c>
      <c r="J614" s="56" t="s">
        <v>1792</v>
      </c>
      <c r="K614" s="56" t="s">
        <v>978</v>
      </c>
      <c r="L614" s="292">
        <v>286</v>
      </c>
      <c r="M614" s="292"/>
      <c r="N614" s="358"/>
      <c r="O614" s="292"/>
      <c r="P614" s="292"/>
      <c r="Q614" s="614"/>
      <c r="R614" s="913">
        <f t="shared" si="40"/>
        <v>0</v>
      </c>
      <c r="S614" s="913">
        <f t="shared" si="41"/>
        <v>0</v>
      </c>
      <c r="T614" s="913">
        <f t="shared" si="42"/>
        <v>0</v>
      </c>
      <c r="U614" s="914">
        <f t="shared" si="43"/>
        <v>2</v>
      </c>
      <c r="V614" s="612"/>
      <c r="W614" s="612"/>
      <c r="X614" s="612"/>
      <c r="Y614" s="612"/>
      <c r="Z614" s="612"/>
      <c r="AA614" s="612"/>
      <c r="AB614" s="612"/>
      <c r="AC614" s="612"/>
    </row>
    <row r="615" spans="1:30">
      <c r="A615" s="48" t="s">
        <v>1761</v>
      </c>
      <c r="B615" s="60">
        <v>45551</v>
      </c>
      <c r="C615" s="54" t="s">
        <v>169</v>
      </c>
      <c r="D615" s="435" t="str">
        <f>IFERROR(VLOOKUP(C615,Mychart!$A$125:$B$811,2,FALSE),"-")</f>
        <v>Takeef</v>
      </c>
      <c r="E615" s="676" t="s">
        <v>1783</v>
      </c>
      <c r="F615" s="58">
        <v>2</v>
      </c>
      <c r="G615" s="58"/>
      <c r="H615" s="58">
        <v>77136</v>
      </c>
      <c r="I615" s="58">
        <v>3856.8</v>
      </c>
      <c r="J615" s="56" t="s">
        <v>1792</v>
      </c>
      <c r="K615" s="56" t="s">
        <v>978</v>
      </c>
      <c r="L615" s="292">
        <v>286</v>
      </c>
      <c r="M615" s="292"/>
      <c r="N615" s="358"/>
      <c r="O615" s="292"/>
      <c r="P615" s="292"/>
      <c r="Q615" s="614"/>
      <c r="R615" s="913">
        <f t="shared" si="40"/>
        <v>0</v>
      </c>
      <c r="S615" s="913">
        <f t="shared" si="41"/>
        <v>0</v>
      </c>
      <c r="T615" s="913">
        <f t="shared" si="42"/>
        <v>0</v>
      </c>
      <c r="U615" s="914">
        <f t="shared" si="43"/>
        <v>2</v>
      </c>
      <c r="V615" s="612"/>
      <c r="W615" s="612"/>
      <c r="X615" s="612"/>
      <c r="Y615" s="612"/>
      <c r="Z615" s="612"/>
      <c r="AA615" s="612"/>
      <c r="AB615" s="612"/>
      <c r="AC615" s="612"/>
    </row>
    <row r="616" spans="1:30">
      <c r="A616" s="48" t="s">
        <v>1761</v>
      </c>
      <c r="B616" s="60">
        <v>45551</v>
      </c>
      <c r="C616" s="54" t="s">
        <v>169</v>
      </c>
      <c r="D616" s="435" t="str">
        <f>IFERROR(VLOOKUP(C616,Mychart!$A$125:$B$811,2,FALSE),"-")</f>
        <v>Takeef</v>
      </c>
      <c r="E616" s="676" t="s">
        <v>1784</v>
      </c>
      <c r="F616" s="58">
        <v>2</v>
      </c>
      <c r="G616" s="58"/>
      <c r="H616" s="58">
        <v>77136</v>
      </c>
      <c r="I616" s="58">
        <v>3856.8</v>
      </c>
      <c r="J616" s="56" t="s">
        <v>1792</v>
      </c>
      <c r="K616" s="56" t="s">
        <v>978</v>
      </c>
      <c r="L616" s="292">
        <v>286</v>
      </c>
      <c r="M616" s="292"/>
      <c r="N616" s="358"/>
      <c r="O616" s="292"/>
      <c r="P616" s="292"/>
      <c r="Q616" s="614"/>
      <c r="R616" s="913">
        <f t="shared" si="40"/>
        <v>0</v>
      </c>
      <c r="S616" s="913">
        <f t="shared" si="41"/>
        <v>0</v>
      </c>
      <c r="T616" s="913">
        <f t="shared" si="42"/>
        <v>0</v>
      </c>
      <c r="U616" s="914">
        <f t="shared" si="43"/>
        <v>2</v>
      </c>
      <c r="V616" s="612"/>
      <c r="W616" s="612"/>
      <c r="X616" s="612"/>
      <c r="Y616" s="612"/>
      <c r="Z616" s="612"/>
      <c r="AA616" s="612"/>
      <c r="AB616" s="612"/>
      <c r="AC616" s="612"/>
    </row>
    <row r="617" spans="1:30">
      <c r="A617" s="48" t="s">
        <v>1761</v>
      </c>
      <c r="B617" s="60">
        <v>45551</v>
      </c>
      <c r="C617" s="54" t="s">
        <v>169</v>
      </c>
      <c r="D617" s="435" t="str">
        <f>IFERROR(VLOOKUP(C617,Mychart!$A$125:$B$811,2,FALSE),"-")</f>
        <v>Takeef</v>
      </c>
      <c r="E617" s="676" t="s">
        <v>1785</v>
      </c>
      <c r="F617" s="58">
        <v>2</v>
      </c>
      <c r="G617" s="58"/>
      <c r="H617" s="58">
        <v>77136</v>
      </c>
      <c r="I617" s="58">
        <v>3856.8</v>
      </c>
      <c r="J617" s="56" t="s">
        <v>1792</v>
      </c>
      <c r="K617" s="56" t="s">
        <v>978</v>
      </c>
      <c r="L617" s="292">
        <v>286</v>
      </c>
      <c r="M617" s="292"/>
      <c r="N617" s="358"/>
      <c r="O617" s="292"/>
      <c r="P617" s="292"/>
      <c r="Q617" s="614"/>
      <c r="R617" s="913">
        <f t="shared" si="40"/>
        <v>0</v>
      </c>
      <c r="S617" s="913">
        <f t="shared" si="41"/>
        <v>0</v>
      </c>
      <c r="T617" s="913">
        <f t="shared" si="42"/>
        <v>0</v>
      </c>
      <c r="U617" s="914">
        <f t="shared" si="43"/>
        <v>2</v>
      </c>
      <c r="V617" s="612"/>
      <c r="W617" s="612"/>
      <c r="X617" s="612"/>
      <c r="Y617" s="612"/>
      <c r="Z617" s="612"/>
      <c r="AA617" s="612"/>
      <c r="AB617" s="612"/>
      <c r="AC617" s="612"/>
    </row>
    <row r="618" spans="1:30">
      <c r="A618" s="48" t="s">
        <v>1761</v>
      </c>
      <c r="B618" s="60">
        <v>45551</v>
      </c>
      <c r="C618" s="54" t="s">
        <v>169</v>
      </c>
      <c r="D618" s="435" t="str">
        <f>IFERROR(VLOOKUP(C618,Mychart!$A$125:$B$811,2,FALSE),"-")</f>
        <v>Takeef</v>
      </c>
      <c r="E618" s="676" t="s">
        <v>1786</v>
      </c>
      <c r="F618" s="58">
        <v>4</v>
      </c>
      <c r="G618" s="58"/>
      <c r="H618" s="58">
        <v>77136</v>
      </c>
      <c r="I618" s="58">
        <v>3856.8</v>
      </c>
      <c r="J618" s="56" t="s">
        <v>1792</v>
      </c>
      <c r="K618" s="56" t="s">
        <v>978</v>
      </c>
      <c r="L618" s="292">
        <v>286</v>
      </c>
      <c r="M618" s="292"/>
      <c r="N618" s="358"/>
      <c r="O618" s="292"/>
      <c r="P618" s="292"/>
      <c r="Q618" s="614"/>
      <c r="R618" s="913">
        <f t="shared" si="40"/>
        <v>0</v>
      </c>
      <c r="S618" s="913">
        <f t="shared" si="41"/>
        <v>0</v>
      </c>
      <c r="T618" s="913">
        <f t="shared" si="42"/>
        <v>0</v>
      </c>
      <c r="U618" s="914">
        <f t="shared" si="43"/>
        <v>4</v>
      </c>
      <c r="V618" s="612"/>
      <c r="W618" s="612"/>
      <c r="X618" s="612"/>
      <c r="Y618" s="612"/>
      <c r="Z618" s="612"/>
      <c r="AA618" s="612"/>
      <c r="AB618" s="612"/>
      <c r="AC618" s="612"/>
    </row>
    <row r="619" spans="1:30">
      <c r="A619" s="48" t="s">
        <v>1761</v>
      </c>
      <c r="B619" s="60">
        <v>45551</v>
      </c>
      <c r="C619" s="54" t="s">
        <v>169</v>
      </c>
      <c r="D619" s="435" t="str">
        <f>IFERROR(VLOOKUP(C619,Mychart!$A$125:$B$811,2,FALSE),"-")</f>
        <v>Takeef</v>
      </c>
      <c r="E619" s="676" t="s">
        <v>1787</v>
      </c>
      <c r="F619" s="58">
        <v>4</v>
      </c>
      <c r="G619" s="58"/>
      <c r="H619" s="58">
        <v>77136</v>
      </c>
      <c r="I619" s="58">
        <v>3856.8</v>
      </c>
      <c r="J619" s="56" t="s">
        <v>1792</v>
      </c>
      <c r="K619" s="56" t="s">
        <v>978</v>
      </c>
      <c r="L619" s="292">
        <v>286</v>
      </c>
      <c r="M619" s="292"/>
      <c r="N619" s="358"/>
      <c r="O619" s="292"/>
      <c r="P619" s="292"/>
      <c r="Q619" s="614"/>
      <c r="R619" s="913">
        <f t="shared" si="40"/>
        <v>0</v>
      </c>
      <c r="S619" s="913">
        <f t="shared" si="41"/>
        <v>0</v>
      </c>
      <c r="T619" s="913">
        <f t="shared" si="42"/>
        <v>0</v>
      </c>
      <c r="U619" s="914">
        <f t="shared" si="43"/>
        <v>4</v>
      </c>
      <c r="V619" s="612"/>
      <c r="W619" s="612"/>
      <c r="X619" s="612"/>
      <c r="Y619" s="612"/>
      <c r="Z619" s="612"/>
      <c r="AA619" s="612"/>
      <c r="AB619" s="612"/>
      <c r="AC619" s="612"/>
    </row>
    <row r="620" spans="1:30">
      <c r="A620" s="48" t="s">
        <v>1761</v>
      </c>
      <c r="B620" s="60">
        <v>45551</v>
      </c>
      <c r="C620" s="54" t="s">
        <v>169</v>
      </c>
      <c r="D620" s="435" t="str">
        <f>IFERROR(VLOOKUP(C620,Mychart!$A$125:$B$811,2,FALSE),"-")</f>
        <v>Takeef</v>
      </c>
      <c r="E620" s="676" t="s">
        <v>1788</v>
      </c>
      <c r="F620" s="58">
        <v>3</v>
      </c>
      <c r="G620" s="58"/>
      <c r="H620" s="58">
        <v>77136</v>
      </c>
      <c r="I620" s="58">
        <v>3856.8</v>
      </c>
      <c r="J620" s="56" t="s">
        <v>1792</v>
      </c>
      <c r="K620" s="56" t="s">
        <v>978</v>
      </c>
      <c r="L620" s="292">
        <v>286</v>
      </c>
      <c r="M620" s="292"/>
      <c r="N620" s="358"/>
      <c r="O620" s="292"/>
      <c r="P620" s="292"/>
      <c r="Q620" s="614"/>
      <c r="R620" s="913">
        <f t="shared" si="40"/>
        <v>0</v>
      </c>
      <c r="S620" s="913">
        <f t="shared" si="41"/>
        <v>0</v>
      </c>
      <c r="T620" s="913">
        <f t="shared" si="42"/>
        <v>0</v>
      </c>
      <c r="U620" s="914">
        <f t="shared" si="43"/>
        <v>3</v>
      </c>
      <c r="V620" s="612"/>
      <c r="W620" s="612"/>
      <c r="X620" s="612"/>
      <c r="Y620" s="612"/>
      <c r="Z620" s="612"/>
      <c r="AA620" s="612"/>
      <c r="AB620" s="612"/>
      <c r="AC620" s="612"/>
    </row>
    <row r="621" spans="1:30">
      <c r="A621" s="48" t="s">
        <v>1761</v>
      </c>
      <c r="B621" s="60">
        <v>45551</v>
      </c>
      <c r="C621" s="54" t="s">
        <v>169</v>
      </c>
      <c r="D621" s="435" t="str">
        <f>IFERROR(VLOOKUP(C621,Mychart!$A$125:$B$811,2,FALSE),"-")</f>
        <v>Takeef</v>
      </c>
      <c r="E621" s="676" t="s">
        <v>1789</v>
      </c>
      <c r="F621" s="58">
        <v>3</v>
      </c>
      <c r="G621" s="58"/>
      <c r="H621" s="58">
        <v>77136</v>
      </c>
      <c r="I621" s="58">
        <v>3856.8</v>
      </c>
      <c r="J621" s="56" t="s">
        <v>1792</v>
      </c>
      <c r="K621" s="56" t="s">
        <v>978</v>
      </c>
      <c r="L621" s="292">
        <v>286</v>
      </c>
      <c r="M621" s="292"/>
      <c r="N621" s="358"/>
      <c r="O621" s="292"/>
      <c r="P621" s="292"/>
      <c r="Q621" s="614"/>
      <c r="R621" s="913">
        <f t="shared" si="40"/>
        <v>0</v>
      </c>
      <c r="S621" s="913">
        <f t="shared" si="41"/>
        <v>0</v>
      </c>
      <c r="T621" s="913">
        <f t="shared" si="42"/>
        <v>0</v>
      </c>
      <c r="U621" s="914">
        <f t="shared" si="43"/>
        <v>3</v>
      </c>
      <c r="V621" s="612"/>
      <c r="W621" s="612"/>
      <c r="X621" s="612"/>
      <c r="Y621" s="612"/>
      <c r="Z621" s="612"/>
      <c r="AA621" s="612"/>
      <c r="AB621" s="612"/>
      <c r="AC621" s="612"/>
    </row>
    <row r="622" spans="1:30">
      <c r="A622" s="48" t="s">
        <v>1761</v>
      </c>
      <c r="B622" s="60">
        <v>45551</v>
      </c>
      <c r="C622" s="54" t="s">
        <v>169</v>
      </c>
      <c r="D622" s="435" t="str">
        <f>IFERROR(VLOOKUP(C622,Mychart!$A$125:$B$811,2,FALSE),"-")</f>
        <v>Takeef</v>
      </c>
      <c r="E622" s="676" t="s">
        <v>1790</v>
      </c>
      <c r="F622" s="58">
        <v>12</v>
      </c>
      <c r="G622" s="58"/>
      <c r="H622" s="58">
        <v>77136</v>
      </c>
      <c r="I622" s="58">
        <v>3856.8</v>
      </c>
      <c r="J622" s="56" t="s">
        <v>1792</v>
      </c>
      <c r="K622" s="56" t="s">
        <v>978</v>
      </c>
      <c r="L622" s="292">
        <v>286</v>
      </c>
      <c r="M622" s="292"/>
      <c r="N622" s="358"/>
      <c r="O622" s="292"/>
      <c r="P622" s="292"/>
      <c r="Q622" s="614"/>
      <c r="R622" s="913">
        <f t="shared" si="40"/>
        <v>0</v>
      </c>
      <c r="S622" s="913">
        <f t="shared" si="41"/>
        <v>0</v>
      </c>
      <c r="T622" s="913">
        <f t="shared" si="42"/>
        <v>0</v>
      </c>
      <c r="U622" s="914">
        <f t="shared" si="43"/>
        <v>12</v>
      </c>
      <c r="V622" s="612"/>
      <c r="W622" s="612"/>
      <c r="X622" s="612"/>
      <c r="Y622" s="612"/>
      <c r="Z622" s="612"/>
      <c r="AA622" s="612"/>
      <c r="AB622" s="612"/>
      <c r="AC622" s="612"/>
    </row>
    <row r="623" spans="1:30">
      <c r="A623" s="48" t="s">
        <v>1761</v>
      </c>
      <c r="B623" s="60">
        <v>45551</v>
      </c>
      <c r="C623" s="54" t="s">
        <v>169</v>
      </c>
      <c r="D623" s="435" t="str">
        <f>IFERROR(VLOOKUP(C623,Mychart!$A$125:$B$811,2,FALSE),"-")</f>
        <v>Takeef</v>
      </c>
      <c r="E623" s="676" t="s">
        <v>1791</v>
      </c>
      <c r="F623" s="58">
        <v>1</v>
      </c>
      <c r="G623" s="58">
        <v>77136</v>
      </c>
      <c r="H623" s="58">
        <v>77136</v>
      </c>
      <c r="I623" s="58">
        <v>3856.8</v>
      </c>
      <c r="J623" s="56" t="s">
        <v>1792</v>
      </c>
      <c r="K623" s="56" t="s">
        <v>978</v>
      </c>
      <c r="L623" s="292">
        <v>286</v>
      </c>
      <c r="M623" s="292"/>
      <c r="N623" s="358"/>
      <c r="O623" s="292"/>
      <c r="P623" s="292"/>
      <c r="Q623" s="614">
        <v>80992.800000000003</v>
      </c>
      <c r="R623" s="913">
        <f t="shared" si="40"/>
        <v>0</v>
      </c>
      <c r="S623" s="913">
        <f t="shared" si="41"/>
        <v>80992.800000000003</v>
      </c>
      <c r="T623" s="913">
        <f t="shared" si="42"/>
        <v>80992.800000000003</v>
      </c>
      <c r="U623" s="914">
        <f t="shared" si="43"/>
        <v>1</v>
      </c>
      <c r="V623" s="612"/>
      <c r="W623" s="612"/>
      <c r="X623" s="612"/>
      <c r="Y623" s="612"/>
      <c r="Z623" s="612"/>
      <c r="AA623" s="612"/>
      <c r="AB623" s="612"/>
      <c r="AC623" s="612"/>
    </row>
    <row r="624" spans="1:30">
      <c r="A624" s="48" t="s">
        <v>1802</v>
      </c>
      <c r="B624" s="60">
        <v>45506</v>
      </c>
      <c r="C624" s="54" t="s">
        <v>173</v>
      </c>
      <c r="D624" s="435" t="str">
        <f>IFERROR(VLOOKUP(C624,Mychart!$A$125:$B$811,2,FALSE),"-")</f>
        <v>BAB AL TABREED A/C UNITS FIX.CONT</v>
      </c>
      <c r="E624" s="676" t="s">
        <v>979</v>
      </c>
      <c r="F624" s="58">
        <v>12.03</v>
      </c>
      <c r="G624" s="58">
        <v>2.8</v>
      </c>
      <c r="H624" s="58">
        <v>39.68</v>
      </c>
      <c r="I624" s="58">
        <v>1.98</v>
      </c>
      <c r="J624" s="56" t="s">
        <v>1803</v>
      </c>
      <c r="K624" s="56" t="s">
        <v>159</v>
      </c>
      <c r="L624" s="292">
        <v>242</v>
      </c>
      <c r="M624" s="292"/>
      <c r="N624" s="358"/>
      <c r="O624" s="292"/>
      <c r="P624" s="292"/>
      <c r="Q624" s="614"/>
      <c r="R624" s="913">
        <f t="shared" si="40"/>
        <v>0</v>
      </c>
      <c r="S624" s="913">
        <f t="shared" si="41"/>
        <v>0</v>
      </c>
      <c r="T624" s="913">
        <f t="shared" si="42"/>
        <v>0</v>
      </c>
      <c r="U624" s="914">
        <f t="shared" si="43"/>
        <v>12.03</v>
      </c>
      <c r="V624" s="612"/>
      <c r="W624" s="612"/>
      <c r="X624" s="612"/>
      <c r="Y624" s="612"/>
      <c r="Z624" s="612"/>
      <c r="AA624" s="612"/>
      <c r="AB624" s="612"/>
      <c r="AC624" s="612"/>
    </row>
    <row r="625" spans="1:30">
      <c r="A625" s="48" t="s">
        <v>1802</v>
      </c>
      <c r="B625" s="60">
        <v>45506</v>
      </c>
      <c r="C625" s="54" t="s">
        <v>173</v>
      </c>
      <c r="D625" s="435" t="str">
        <f>IFERROR(VLOOKUP(C625,Mychart!$A$125:$B$811,2,FALSE),"-")</f>
        <v>BAB AL TABREED A/C UNITS FIX.CONT</v>
      </c>
      <c r="E625" s="676" t="s">
        <v>1118</v>
      </c>
      <c r="F625" s="58">
        <v>2</v>
      </c>
      <c r="G625" s="58">
        <v>3</v>
      </c>
      <c r="H625" s="58">
        <v>39.68</v>
      </c>
      <c r="I625" s="58">
        <v>1.98</v>
      </c>
      <c r="J625" s="56" t="s">
        <v>1803</v>
      </c>
      <c r="K625" s="56" t="s">
        <v>159</v>
      </c>
      <c r="L625" s="292">
        <v>242</v>
      </c>
      <c r="M625" s="292" t="s">
        <v>5217</v>
      </c>
      <c r="N625" s="358">
        <v>42</v>
      </c>
      <c r="O625" s="292">
        <v>42</v>
      </c>
      <c r="P625" s="292"/>
      <c r="Q625" s="614">
        <v>42</v>
      </c>
      <c r="R625" s="913">
        <f t="shared" si="40"/>
        <v>0</v>
      </c>
      <c r="S625" s="913">
        <f t="shared" si="41"/>
        <v>0</v>
      </c>
      <c r="T625" s="913">
        <f t="shared" si="42"/>
        <v>0</v>
      </c>
      <c r="U625" s="914">
        <f t="shared" si="43"/>
        <v>2</v>
      </c>
      <c r="V625" s="612"/>
      <c r="W625" s="612"/>
      <c r="X625" s="612"/>
      <c r="Y625" s="612"/>
      <c r="Z625" s="612"/>
      <c r="AA625" s="612"/>
      <c r="AB625" s="612"/>
      <c r="AC625" s="612"/>
      <c r="AD625" s="930">
        <v>45593.606215277781</v>
      </c>
    </row>
    <row r="626" spans="1:30">
      <c r="A626" s="48" t="s">
        <v>1804</v>
      </c>
      <c r="B626" s="60">
        <v>45524</v>
      </c>
      <c r="C626" s="54" t="s">
        <v>173</v>
      </c>
      <c r="D626" s="435" t="str">
        <f>IFERROR(VLOOKUP(C626,Mychart!$A$125:$B$811,2,FALSE),"-")</f>
        <v>BAB AL TABREED A/C UNITS FIX.CONT</v>
      </c>
      <c r="E626" s="676" t="s">
        <v>979</v>
      </c>
      <c r="F626" s="58">
        <v>31</v>
      </c>
      <c r="G626" s="58">
        <v>2.8</v>
      </c>
      <c r="H626" s="58">
        <v>384.8</v>
      </c>
      <c r="I626" s="58">
        <v>19.239999999999998</v>
      </c>
      <c r="J626" s="56" t="s">
        <v>1803</v>
      </c>
      <c r="K626" s="56" t="s">
        <v>1805</v>
      </c>
      <c r="L626" s="292">
        <v>243</v>
      </c>
      <c r="M626" s="292"/>
      <c r="N626" s="358"/>
      <c r="O626" s="292"/>
      <c r="P626" s="292" t="s">
        <v>1205</v>
      </c>
      <c r="Q626" s="614"/>
      <c r="R626" s="913">
        <f t="shared" si="40"/>
        <v>0</v>
      </c>
      <c r="S626" s="913">
        <f t="shared" si="41"/>
        <v>0</v>
      </c>
      <c r="T626" s="913">
        <f t="shared" si="42"/>
        <v>0</v>
      </c>
      <c r="U626" s="914" t="e">
        <f t="shared" si="43"/>
        <v>#VALUE!</v>
      </c>
      <c r="V626" s="612"/>
      <c r="W626" s="612"/>
      <c r="X626" s="612"/>
      <c r="Y626" s="612"/>
      <c r="Z626" s="612"/>
      <c r="AA626" s="612"/>
      <c r="AB626" s="612"/>
      <c r="AC626" s="612"/>
    </row>
    <row r="627" spans="1:30">
      <c r="A627" s="48" t="s">
        <v>1804</v>
      </c>
      <c r="B627" s="60">
        <v>45524</v>
      </c>
      <c r="C627" s="54" t="s">
        <v>173</v>
      </c>
      <c r="D627" s="435" t="str">
        <f>IFERROR(VLOOKUP(C627,Mychart!$A$125:$B$811,2,FALSE),"-")</f>
        <v>BAB AL TABREED A/C UNITS FIX.CONT</v>
      </c>
      <c r="E627" s="676" t="s">
        <v>1544</v>
      </c>
      <c r="F627" s="58">
        <v>76</v>
      </c>
      <c r="G627" s="58">
        <v>3.5</v>
      </c>
      <c r="H627" s="58">
        <v>384.8</v>
      </c>
      <c r="I627" s="58">
        <v>19.239999999999998</v>
      </c>
      <c r="J627" s="56" t="s">
        <v>1803</v>
      </c>
      <c r="K627" s="56" t="s">
        <v>1805</v>
      </c>
      <c r="L627" s="292">
        <v>243</v>
      </c>
      <c r="M627" s="292"/>
      <c r="N627" s="358"/>
      <c r="O627" s="292"/>
      <c r="P627" s="292"/>
      <c r="Q627" s="614"/>
      <c r="R627" s="913">
        <f t="shared" si="40"/>
        <v>0</v>
      </c>
      <c r="S627" s="913">
        <f t="shared" si="41"/>
        <v>0</v>
      </c>
      <c r="T627" s="913">
        <f t="shared" si="42"/>
        <v>0</v>
      </c>
      <c r="U627" s="914">
        <f t="shared" si="43"/>
        <v>76</v>
      </c>
      <c r="V627" s="612"/>
      <c r="W627" s="612"/>
      <c r="X627" s="612"/>
      <c r="Y627" s="612"/>
      <c r="Z627" s="612"/>
      <c r="AA627" s="612"/>
      <c r="AB627" s="612"/>
      <c r="AC627" s="612"/>
    </row>
    <row r="628" spans="1:30">
      <c r="A628" s="48" t="s">
        <v>1804</v>
      </c>
      <c r="B628" s="60">
        <v>45524</v>
      </c>
      <c r="C628" s="54" t="s">
        <v>173</v>
      </c>
      <c r="D628" s="435" t="str">
        <f>IFERROR(VLOOKUP(C628,Mychart!$A$125:$B$811,2,FALSE),"-")</f>
        <v>BAB AL TABREED A/C UNITS FIX.CONT</v>
      </c>
      <c r="E628" s="676" t="s">
        <v>1118</v>
      </c>
      <c r="F628" s="58">
        <v>10</v>
      </c>
      <c r="G628" s="58">
        <v>3</v>
      </c>
      <c r="H628" s="58">
        <v>384.8</v>
      </c>
      <c r="I628" s="58">
        <v>19.239999999999998</v>
      </c>
      <c r="J628" s="56" t="s">
        <v>1803</v>
      </c>
      <c r="K628" s="56" t="s">
        <v>1805</v>
      </c>
      <c r="L628" s="292">
        <v>243</v>
      </c>
      <c r="M628" s="292"/>
      <c r="N628" s="358"/>
      <c r="O628" s="292"/>
      <c r="P628" s="292"/>
      <c r="Q628" s="614"/>
      <c r="R628" s="913">
        <f t="shared" si="40"/>
        <v>0</v>
      </c>
      <c r="S628" s="913">
        <f t="shared" si="41"/>
        <v>0</v>
      </c>
      <c r="T628" s="913">
        <f t="shared" si="42"/>
        <v>0</v>
      </c>
      <c r="U628" s="914">
        <f t="shared" si="43"/>
        <v>10</v>
      </c>
      <c r="V628" s="612"/>
      <c r="W628" s="612"/>
      <c r="X628" s="612"/>
      <c r="Y628" s="612"/>
      <c r="Z628" s="612"/>
      <c r="AA628" s="612"/>
      <c r="AB628" s="612"/>
      <c r="AC628" s="612"/>
    </row>
    <row r="629" spans="1:30">
      <c r="A629" s="48" t="s">
        <v>1804</v>
      </c>
      <c r="B629" s="60">
        <v>45524</v>
      </c>
      <c r="C629" s="54" t="s">
        <v>173</v>
      </c>
      <c r="D629" s="435" t="str">
        <f>IFERROR(VLOOKUP(C629,Mychart!$A$125:$B$811,2,FALSE),"-")</f>
        <v>BAB AL TABREED A/C UNITS FIX.CONT</v>
      </c>
      <c r="E629" s="676" t="s">
        <v>1119</v>
      </c>
      <c r="F629" s="58">
        <v>1</v>
      </c>
      <c r="G629" s="58">
        <v>2</v>
      </c>
      <c r="H629" s="58">
        <v>384.8</v>
      </c>
      <c r="I629" s="58">
        <v>19.239999999999998</v>
      </c>
      <c r="J629" s="56" t="s">
        <v>1803</v>
      </c>
      <c r="K629" s="56" t="s">
        <v>1805</v>
      </c>
      <c r="L629" s="292">
        <v>243</v>
      </c>
      <c r="M629" s="292" t="s">
        <v>5218</v>
      </c>
      <c r="N629" s="358">
        <v>404.04</v>
      </c>
      <c r="O629" s="292">
        <v>404.04</v>
      </c>
      <c r="P629" s="292"/>
      <c r="Q629" s="614">
        <v>404.04</v>
      </c>
      <c r="R629" s="913">
        <f t="shared" si="40"/>
        <v>0</v>
      </c>
      <c r="S629" s="913">
        <f t="shared" si="41"/>
        <v>0</v>
      </c>
      <c r="T629" s="913">
        <f t="shared" si="42"/>
        <v>0</v>
      </c>
      <c r="U629" s="914">
        <f t="shared" si="43"/>
        <v>1</v>
      </c>
      <c r="V629" s="612"/>
      <c r="W629" s="612"/>
      <c r="X629" s="612"/>
      <c r="Y629" s="612"/>
      <c r="Z629" s="612"/>
      <c r="AA629" s="612"/>
      <c r="AB629" s="612"/>
      <c r="AC629" s="612"/>
      <c r="AD629" s="930">
        <v>45593.606215277781</v>
      </c>
    </row>
    <row r="630" spans="1:30">
      <c r="A630" s="48" t="s">
        <v>1808</v>
      </c>
      <c r="B630" s="60">
        <v>45554</v>
      </c>
      <c r="C630" s="54" t="s">
        <v>173</v>
      </c>
      <c r="D630" s="435" t="str">
        <f>IFERROR(VLOOKUP(C630,Mychart!$A$125:$B$811,2,FALSE),"-")</f>
        <v>BAB AL TABREED A/C UNITS FIX.CONT</v>
      </c>
      <c r="E630" s="676" t="s">
        <v>979</v>
      </c>
      <c r="F630" s="58">
        <v>265.02999999999997</v>
      </c>
      <c r="G630" s="58">
        <v>2.8</v>
      </c>
      <c r="H630" s="58">
        <v>1426.0839999999998</v>
      </c>
      <c r="I630" s="58">
        <v>71.304199999999994</v>
      </c>
      <c r="J630" s="56" t="s">
        <v>1809</v>
      </c>
      <c r="K630" s="56" t="s">
        <v>293</v>
      </c>
      <c r="L630" s="292">
        <v>246</v>
      </c>
      <c r="M630" s="292"/>
      <c r="N630" s="358"/>
      <c r="O630" s="292"/>
      <c r="P630" s="292"/>
      <c r="Q630" s="614"/>
      <c r="R630" s="913">
        <f t="shared" si="40"/>
        <v>0</v>
      </c>
      <c r="S630" s="913">
        <f t="shared" si="41"/>
        <v>0</v>
      </c>
      <c r="T630" s="913">
        <f t="shared" si="42"/>
        <v>0</v>
      </c>
      <c r="U630" s="914">
        <f t="shared" si="43"/>
        <v>265.02999999999997</v>
      </c>
      <c r="V630" s="612"/>
      <c r="W630" s="612"/>
      <c r="X630" s="612"/>
      <c r="Y630" s="612"/>
      <c r="Z630" s="612"/>
      <c r="AA630" s="612"/>
      <c r="AB630" s="612"/>
      <c r="AC630" s="612"/>
    </row>
    <row r="631" spans="1:30">
      <c r="A631" s="48" t="s">
        <v>1808</v>
      </c>
      <c r="B631" s="60">
        <v>45554</v>
      </c>
      <c r="C631" s="54" t="s">
        <v>173</v>
      </c>
      <c r="D631" s="435" t="str">
        <f>IFERROR(VLOOKUP(C631,Mychart!$A$125:$B$811,2,FALSE),"-")</f>
        <v>BAB AL TABREED A/C UNITS FIX.CONT</v>
      </c>
      <c r="E631" s="676" t="s">
        <v>1544</v>
      </c>
      <c r="F631" s="58">
        <v>174</v>
      </c>
      <c r="G631" s="58">
        <v>3.5</v>
      </c>
      <c r="H631" s="58">
        <v>1426.0839999999998</v>
      </c>
      <c r="I631" s="58">
        <v>71.304199999999994</v>
      </c>
      <c r="J631" s="56" t="s">
        <v>1809</v>
      </c>
      <c r="K631" s="56" t="s">
        <v>293</v>
      </c>
      <c r="L631" s="292">
        <v>246</v>
      </c>
      <c r="M631" s="292"/>
      <c r="N631" s="358"/>
      <c r="O631" s="292"/>
      <c r="P631" s="292"/>
      <c r="Q631" s="614"/>
      <c r="R631" s="913">
        <f t="shared" si="40"/>
        <v>0</v>
      </c>
      <c r="S631" s="913">
        <f t="shared" si="41"/>
        <v>0</v>
      </c>
      <c r="T631" s="913">
        <f t="shared" si="42"/>
        <v>0</v>
      </c>
      <c r="U631" s="914">
        <f t="shared" si="43"/>
        <v>174</v>
      </c>
      <c r="V631" s="612"/>
      <c r="W631" s="612"/>
      <c r="X631" s="612"/>
      <c r="Y631" s="612"/>
      <c r="Z631" s="612"/>
      <c r="AA631" s="612"/>
      <c r="AB631" s="612"/>
      <c r="AC631" s="612"/>
    </row>
    <row r="632" spans="1:30">
      <c r="A632" s="48" t="s">
        <v>1808</v>
      </c>
      <c r="B632" s="60">
        <v>45554</v>
      </c>
      <c r="C632" s="54" t="s">
        <v>173</v>
      </c>
      <c r="D632" s="435" t="str">
        <f>IFERROR(VLOOKUP(C632,Mychart!$A$125:$B$811,2,FALSE),"-")</f>
        <v>BAB AL TABREED A/C UNITS FIX.CONT</v>
      </c>
      <c r="E632" s="676" t="s">
        <v>1118</v>
      </c>
      <c r="F632" s="58">
        <v>17</v>
      </c>
      <c r="G632" s="58">
        <v>3</v>
      </c>
      <c r="H632" s="58">
        <v>1426.0839999999998</v>
      </c>
      <c r="I632" s="58">
        <v>71.304199999999994</v>
      </c>
      <c r="J632" s="56" t="s">
        <v>1809</v>
      </c>
      <c r="K632" s="56" t="s">
        <v>293</v>
      </c>
      <c r="L632" s="292">
        <v>246</v>
      </c>
      <c r="M632" s="292"/>
      <c r="N632" s="358"/>
      <c r="O632" s="292"/>
      <c r="P632" s="292"/>
      <c r="Q632" s="614"/>
      <c r="R632" s="913">
        <f t="shared" si="40"/>
        <v>0</v>
      </c>
      <c r="S632" s="913">
        <f t="shared" si="41"/>
        <v>0</v>
      </c>
      <c r="T632" s="913">
        <f t="shared" si="42"/>
        <v>0</v>
      </c>
      <c r="U632" s="914">
        <f t="shared" si="43"/>
        <v>17</v>
      </c>
      <c r="V632" s="612"/>
      <c r="W632" s="612"/>
      <c r="X632" s="612"/>
      <c r="Y632" s="612"/>
      <c r="Z632" s="612"/>
      <c r="AA632" s="612"/>
      <c r="AB632" s="612"/>
      <c r="AC632" s="612"/>
    </row>
    <row r="633" spans="1:30">
      <c r="A633" s="48" t="s">
        <v>1808</v>
      </c>
      <c r="B633" s="60">
        <v>45554</v>
      </c>
      <c r="C633" s="54" t="s">
        <v>173</v>
      </c>
      <c r="D633" s="435" t="str">
        <f>IFERROR(VLOOKUP(C633,Mychart!$A$125:$B$811,2,FALSE),"-")</f>
        <v>BAB AL TABREED A/C UNITS FIX.CONT</v>
      </c>
      <c r="E633" s="676" t="s">
        <v>1119</v>
      </c>
      <c r="F633" s="58">
        <v>12</v>
      </c>
      <c r="G633" s="58">
        <v>2</v>
      </c>
      <c r="H633" s="58">
        <v>1426.0839999999998</v>
      </c>
      <c r="I633" s="58">
        <v>71.304199999999994</v>
      </c>
      <c r="J633" s="56" t="s">
        <v>1809</v>
      </c>
      <c r="K633" s="56" t="s">
        <v>293</v>
      </c>
      <c r="L633" s="292">
        <v>246</v>
      </c>
      <c r="M633" s="292" t="s">
        <v>5212</v>
      </c>
      <c r="N633" s="358">
        <v>1497.38</v>
      </c>
      <c r="O633" s="292">
        <v>1497.38</v>
      </c>
      <c r="P633" s="292"/>
      <c r="Q633" s="614">
        <v>1497.3881999999999</v>
      </c>
      <c r="R633" s="913">
        <f t="shared" si="40"/>
        <v>0</v>
      </c>
      <c r="S633" s="913">
        <f t="shared" si="41"/>
        <v>8.199999999760621E-3</v>
      </c>
      <c r="T633" s="913">
        <f t="shared" si="42"/>
        <v>8.199999999760621E-3</v>
      </c>
      <c r="U633" s="914">
        <f t="shared" si="43"/>
        <v>12</v>
      </c>
      <c r="V633" s="612"/>
      <c r="W633" s="612"/>
      <c r="X633" s="612"/>
      <c r="Y633" s="612"/>
      <c r="Z633" s="612"/>
      <c r="AA633" s="612"/>
      <c r="AB633" s="612"/>
      <c r="AC633" s="612"/>
      <c r="AD633" s="930">
        <v>45593.606203703705</v>
      </c>
    </row>
    <row r="634" spans="1:30">
      <c r="A634" s="48" t="s">
        <v>1810</v>
      </c>
      <c r="B634" s="60">
        <v>45554</v>
      </c>
      <c r="C634" s="54" t="s">
        <v>172</v>
      </c>
      <c r="D634" s="435" t="str">
        <f>IFERROR(VLOOKUP(C634,Mychart!$A$125:$B$811,2,FALSE),"-")</f>
        <v>BEST CHOICE INDUSTRIES LLC</v>
      </c>
      <c r="E634" s="676" t="s">
        <v>1811</v>
      </c>
      <c r="F634" s="58">
        <v>4</v>
      </c>
      <c r="G634" s="58"/>
      <c r="H634" s="58">
        <v>3715</v>
      </c>
      <c r="I634" s="58">
        <v>185.75</v>
      </c>
      <c r="J634" s="56">
        <v>81416</v>
      </c>
      <c r="K634" s="56" t="s">
        <v>307</v>
      </c>
      <c r="L634" s="292">
        <v>279</v>
      </c>
      <c r="M634" s="292"/>
      <c r="N634" s="358"/>
      <c r="O634" s="292"/>
      <c r="P634" s="292"/>
      <c r="Q634" s="614"/>
      <c r="R634" s="913">
        <f t="shared" si="40"/>
        <v>0</v>
      </c>
      <c r="S634" s="913">
        <f t="shared" si="41"/>
        <v>0</v>
      </c>
      <c r="T634" s="913">
        <f t="shared" si="42"/>
        <v>0</v>
      </c>
      <c r="U634" s="914">
        <f t="shared" si="43"/>
        <v>4</v>
      </c>
      <c r="V634" s="612"/>
      <c r="W634" s="612"/>
      <c r="X634" s="612"/>
      <c r="Y634" s="612"/>
      <c r="Z634" s="612"/>
      <c r="AA634" s="612"/>
      <c r="AB634" s="612"/>
      <c r="AC634" s="612"/>
    </row>
    <row r="635" spans="1:30">
      <c r="A635" s="48" t="s">
        <v>1810</v>
      </c>
      <c r="B635" s="60">
        <v>45554</v>
      </c>
      <c r="C635" s="54" t="s">
        <v>172</v>
      </c>
      <c r="D635" s="435" t="str">
        <f>IFERROR(VLOOKUP(C635,Mychart!$A$125:$B$811,2,FALSE),"-")</f>
        <v>BEST CHOICE INDUSTRIES LLC</v>
      </c>
      <c r="E635" s="676" t="s">
        <v>1812</v>
      </c>
      <c r="F635" s="58">
        <v>6</v>
      </c>
      <c r="G635" s="58"/>
      <c r="H635" s="58">
        <v>3715</v>
      </c>
      <c r="I635" s="58">
        <v>185.75</v>
      </c>
      <c r="J635" s="56">
        <v>81416</v>
      </c>
      <c r="K635" s="56" t="s">
        <v>307</v>
      </c>
      <c r="L635" s="292">
        <v>279</v>
      </c>
      <c r="M635" s="292"/>
      <c r="N635" s="358"/>
      <c r="O635" s="292"/>
      <c r="P635" s="292"/>
      <c r="Q635" s="614"/>
      <c r="R635" s="913">
        <f t="shared" si="40"/>
        <v>0</v>
      </c>
      <c r="S635" s="913">
        <f t="shared" si="41"/>
        <v>0</v>
      </c>
      <c r="T635" s="913">
        <f t="shared" si="42"/>
        <v>0</v>
      </c>
      <c r="U635" s="914">
        <f t="shared" si="43"/>
        <v>6</v>
      </c>
      <c r="V635" s="612"/>
      <c r="W635" s="612"/>
      <c r="X635" s="612"/>
      <c r="Y635" s="612"/>
      <c r="Z635" s="612"/>
      <c r="AA635" s="612"/>
      <c r="AB635" s="612"/>
      <c r="AC635" s="612"/>
    </row>
    <row r="636" spans="1:30">
      <c r="A636" s="48" t="s">
        <v>1810</v>
      </c>
      <c r="B636" s="60">
        <v>45554</v>
      </c>
      <c r="C636" s="54" t="s">
        <v>172</v>
      </c>
      <c r="D636" s="435" t="str">
        <f>IFERROR(VLOOKUP(C636,Mychart!$A$125:$B$811,2,FALSE),"-")</f>
        <v>BEST CHOICE INDUSTRIES LLC</v>
      </c>
      <c r="E636" s="676" t="s">
        <v>1813</v>
      </c>
      <c r="F636" s="58">
        <v>4</v>
      </c>
      <c r="G636" s="58"/>
      <c r="H636" s="58">
        <v>3715</v>
      </c>
      <c r="I636" s="58">
        <v>185.75</v>
      </c>
      <c r="J636" s="56">
        <v>81416</v>
      </c>
      <c r="K636" s="56" t="s">
        <v>307</v>
      </c>
      <c r="L636" s="292">
        <v>279</v>
      </c>
      <c r="M636" s="292"/>
      <c r="N636" s="358"/>
      <c r="O636" s="292"/>
      <c r="P636" s="292"/>
      <c r="Q636" s="614"/>
      <c r="R636" s="913">
        <f t="shared" si="40"/>
        <v>0</v>
      </c>
      <c r="S636" s="913">
        <f t="shared" si="41"/>
        <v>0</v>
      </c>
      <c r="T636" s="913">
        <f t="shared" si="42"/>
        <v>0</v>
      </c>
      <c r="U636" s="914">
        <f t="shared" si="43"/>
        <v>4</v>
      </c>
      <c r="V636" s="612"/>
      <c r="W636" s="612"/>
      <c r="X636" s="612"/>
      <c r="Y636" s="612"/>
      <c r="Z636" s="612"/>
      <c r="AA636" s="612"/>
      <c r="AB636" s="612"/>
      <c r="AC636" s="612"/>
    </row>
    <row r="637" spans="1:30">
      <c r="A637" s="48" t="s">
        <v>1810</v>
      </c>
      <c r="B637" s="60">
        <v>45554</v>
      </c>
      <c r="C637" s="54" t="s">
        <v>172</v>
      </c>
      <c r="D637" s="435" t="str">
        <f>IFERROR(VLOOKUP(C637,Mychart!$A$125:$B$811,2,FALSE),"-")</f>
        <v>BEST CHOICE INDUSTRIES LLC</v>
      </c>
      <c r="E637" s="676" t="s">
        <v>1814</v>
      </c>
      <c r="F637" s="58">
        <v>2</v>
      </c>
      <c r="G637" s="58"/>
      <c r="H637" s="58">
        <v>3715</v>
      </c>
      <c r="I637" s="58">
        <v>185.75</v>
      </c>
      <c r="J637" s="56">
        <v>81416</v>
      </c>
      <c r="K637" s="56" t="s">
        <v>307</v>
      </c>
      <c r="L637" s="292">
        <v>279</v>
      </c>
      <c r="M637" s="292"/>
      <c r="N637" s="358"/>
      <c r="O637" s="292"/>
      <c r="P637" s="292"/>
      <c r="Q637" s="614"/>
      <c r="R637" s="913">
        <f t="shared" si="40"/>
        <v>0</v>
      </c>
      <c r="S637" s="913">
        <f t="shared" si="41"/>
        <v>0</v>
      </c>
      <c r="T637" s="913">
        <f t="shared" si="42"/>
        <v>0</v>
      </c>
      <c r="U637" s="914">
        <f t="shared" si="43"/>
        <v>2</v>
      </c>
      <c r="V637" s="612"/>
      <c r="W637" s="612"/>
      <c r="X637" s="612"/>
      <c r="Y637" s="612"/>
      <c r="Z637" s="612"/>
      <c r="AA637" s="612"/>
      <c r="AB637" s="612"/>
      <c r="AC637" s="612"/>
    </row>
    <row r="638" spans="1:30">
      <c r="A638" s="48" t="s">
        <v>1810</v>
      </c>
      <c r="B638" s="60">
        <v>45554</v>
      </c>
      <c r="C638" s="54" t="s">
        <v>172</v>
      </c>
      <c r="D638" s="435" t="str">
        <f>IFERROR(VLOOKUP(C638,Mychart!$A$125:$B$811,2,FALSE),"-")</f>
        <v>BEST CHOICE INDUSTRIES LLC</v>
      </c>
      <c r="E638" s="676" t="s">
        <v>1815</v>
      </c>
      <c r="F638" s="58">
        <v>2</v>
      </c>
      <c r="G638" s="58"/>
      <c r="H638" s="58">
        <v>3715</v>
      </c>
      <c r="I638" s="58">
        <v>185.75</v>
      </c>
      <c r="J638" s="56">
        <v>81416</v>
      </c>
      <c r="K638" s="56" t="s">
        <v>307</v>
      </c>
      <c r="L638" s="292">
        <v>279</v>
      </c>
      <c r="M638" s="292"/>
      <c r="N638" s="358"/>
      <c r="O638" s="292"/>
      <c r="P638" s="292"/>
      <c r="Q638" s="614"/>
      <c r="R638" s="913">
        <f t="shared" si="40"/>
        <v>0</v>
      </c>
      <c r="S638" s="913">
        <f t="shared" si="41"/>
        <v>0</v>
      </c>
      <c r="T638" s="913">
        <f t="shared" si="42"/>
        <v>0</v>
      </c>
      <c r="U638" s="914">
        <f t="shared" si="43"/>
        <v>2</v>
      </c>
      <c r="V638" s="612"/>
      <c r="W638" s="612"/>
      <c r="X638" s="612"/>
      <c r="Y638" s="612"/>
      <c r="Z638" s="612"/>
      <c r="AA638" s="612"/>
      <c r="AB638" s="612"/>
      <c r="AC638" s="612"/>
    </row>
    <row r="639" spans="1:30">
      <c r="A639" s="48" t="s">
        <v>1810</v>
      </c>
      <c r="B639" s="60">
        <v>45554</v>
      </c>
      <c r="C639" s="54" t="s">
        <v>172</v>
      </c>
      <c r="D639" s="435" t="str">
        <f>IFERROR(VLOOKUP(C639,Mychart!$A$125:$B$811,2,FALSE),"-")</f>
        <v>BEST CHOICE INDUSTRIES LLC</v>
      </c>
      <c r="E639" s="676" t="s">
        <v>1816</v>
      </c>
      <c r="F639" s="58">
        <v>2</v>
      </c>
      <c r="G639" s="58"/>
      <c r="H639" s="58">
        <v>3715</v>
      </c>
      <c r="I639" s="58">
        <v>185.75</v>
      </c>
      <c r="J639" s="56">
        <v>81416</v>
      </c>
      <c r="K639" s="56" t="s">
        <v>307</v>
      </c>
      <c r="L639" s="292">
        <v>279</v>
      </c>
      <c r="M639" s="292"/>
      <c r="N639" s="358"/>
      <c r="O639" s="292"/>
      <c r="P639" s="292"/>
      <c r="Q639" s="614"/>
      <c r="R639" s="913">
        <f t="shared" si="40"/>
        <v>0</v>
      </c>
      <c r="S639" s="913">
        <f t="shared" si="41"/>
        <v>0</v>
      </c>
      <c r="T639" s="913">
        <f t="shared" si="42"/>
        <v>0</v>
      </c>
      <c r="U639" s="914">
        <f t="shared" si="43"/>
        <v>2</v>
      </c>
      <c r="V639" s="612"/>
      <c r="W639" s="612"/>
      <c r="X639" s="612"/>
      <c r="Y639" s="612"/>
      <c r="Z639" s="612"/>
      <c r="AA639" s="612"/>
      <c r="AB639" s="612"/>
      <c r="AC639" s="612"/>
    </row>
    <row r="640" spans="1:30">
      <c r="A640" s="48" t="s">
        <v>1810</v>
      </c>
      <c r="B640" s="60">
        <v>45554</v>
      </c>
      <c r="C640" s="54" t="s">
        <v>172</v>
      </c>
      <c r="D640" s="435" t="str">
        <f>IFERROR(VLOOKUP(C640,Mychart!$A$125:$B$811,2,FALSE),"-")</f>
        <v>BEST CHOICE INDUSTRIES LLC</v>
      </c>
      <c r="E640" s="676" t="s">
        <v>1817</v>
      </c>
      <c r="F640" s="58">
        <v>2</v>
      </c>
      <c r="G640" s="58"/>
      <c r="H640" s="58">
        <v>3715</v>
      </c>
      <c r="I640" s="58">
        <v>185.75</v>
      </c>
      <c r="J640" s="56">
        <v>81416</v>
      </c>
      <c r="K640" s="56" t="s">
        <v>307</v>
      </c>
      <c r="L640" s="292">
        <v>279</v>
      </c>
      <c r="M640" s="292"/>
      <c r="N640" s="358"/>
      <c r="O640" s="292"/>
      <c r="P640" s="292"/>
      <c r="Q640" s="614"/>
      <c r="R640" s="913">
        <f t="shared" si="40"/>
        <v>0</v>
      </c>
      <c r="S640" s="913">
        <f t="shared" si="41"/>
        <v>0</v>
      </c>
      <c r="T640" s="913">
        <f t="shared" si="42"/>
        <v>0</v>
      </c>
      <c r="U640" s="914">
        <f t="shared" si="43"/>
        <v>2</v>
      </c>
      <c r="V640" s="612"/>
      <c r="W640" s="612"/>
      <c r="X640" s="612"/>
      <c r="Y640" s="612"/>
      <c r="Z640" s="612"/>
      <c r="AA640" s="612"/>
      <c r="AB640" s="612"/>
      <c r="AC640" s="612"/>
    </row>
    <row r="641" spans="1:30">
      <c r="A641" s="48" t="s">
        <v>1810</v>
      </c>
      <c r="B641" s="60">
        <v>45554</v>
      </c>
      <c r="C641" s="54" t="s">
        <v>172</v>
      </c>
      <c r="D641" s="435" t="str">
        <f>IFERROR(VLOOKUP(C641,Mychart!$A$125:$B$811,2,FALSE),"-")</f>
        <v>BEST CHOICE INDUSTRIES LLC</v>
      </c>
      <c r="E641" s="676" t="s">
        <v>1818</v>
      </c>
      <c r="F641" s="58">
        <v>2</v>
      </c>
      <c r="G641" s="58"/>
      <c r="H641" s="58">
        <v>3715</v>
      </c>
      <c r="I641" s="58">
        <v>185.75</v>
      </c>
      <c r="J641" s="56">
        <v>81416</v>
      </c>
      <c r="K641" s="56" t="s">
        <v>307</v>
      </c>
      <c r="L641" s="292">
        <v>279</v>
      </c>
      <c r="M641" s="292"/>
      <c r="N641" s="358"/>
      <c r="O641" s="292"/>
      <c r="P641" s="292"/>
      <c r="Q641" s="614"/>
      <c r="R641" s="913">
        <f t="shared" si="40"/>
        <v>0</v>
      </c>
      <c r="S641" s="913">
        <f t="shared" si="41"/>
        <v>0</v>
      </c>
      <c r="T641" s="913">
        <f t="shared" si="42"/>
        <v>0</v>
      </c>
      <c r="U641" s="914">
        <f t="shared" si="43"/>
        <v>2</v>
      </c>
      <c r="V641" s="612"/>
      <c r="W641" s="612"/>
      <c r="X641" s="612"/>
      <c r="Y641" s="612"/>
      <c r="Z641" s="612"/>
      <c r="AA641" s="612"/>
      <c r="AB641" s="612"/>
      <c r="AC641" s="612"/>
    </row>
    <row r="642" spans="1:30">
      <c r="A642" s="48" t="s">
        <v>1810</v>
      </c>
      <c r="B642" s="60">
        <v>45554</v>
      </c>
      <c r="C642" s="54" t="s">
        <v>172</v>
      </c>
      <c r="D642" s="435" t="str">
        <f>IFERROR(VLOOKUP(C642,Mychart!$A$125:$B$811,2,FALSE),"-")</f>
        <v>BEST CHOICE INDUSTRIES LLC</v>
      </c>
      <c r="E642" s="676" t="s">
        <v>1819</v>
      </c>
      <c r="F642" s="58">
        <v>2</v>
      </c>
      <c r="G642" s="58"/>
      <c r="H642" s="58">
        <v>3715</v>
      </c>
      <c r="I642" s="58">
        <v>185.75</v>
      </c>
      <c r="J642" s="56">
        <v>81416</v>
      </c>
      <c r="K642" s="56" t="s">
        <v>307</v>
      </c>
      <c r="L642" s="292">
        <v>279</v>
      </c>
      <c r="M642" s="292"/>
      <c r="N642" s="358"/>
      <c r="O642" s="292"/>
      <c r="P642" s="292"/>
      <c r="Q642" s="614"/>
      <c r="R642" s="913">
        <f t="shared" si="40"/>
        <v>0</v>
      </c>
      <c r="S642" s="913">
        <f t="shared" si="41"/>
        <v>0</v>
      </c>
      <c r="T642" s="913">
        <f t="shared" si="42"/>
        <v>0</v>
      </c>
      <c r="U642" s="914">
        <f t="shared" si="43"/>
        <v>2</v>
      </c>
      <c r="V642" s="612"/>
      <c r="W642" s="612"/>
      <c r="X642" s="612"/>
      <c r="Y642" s="612"/>
      <c r="Z642" s="612"/>
      <c r="AA642" s="612"/>
      <c r="AB642" s="612"/>
      <c r="AC642" s="612"/>
    </row>
    <row r="643" spans="1:30">
      <c r="A643" s="48" t="s">
        <v>1810</v>
      </c>
      <c r="B643" s="60">
        <v>45554</v>
      </c>
      <c r="C643" s="54" t="s">
        <v>172</v>
      </c>
      <c r="D643" s="435" t="str">
        <f>IFERROR(VLOOKUP(C643,Mychart!$A$125:$B$811,2,FALSE),"-")</f>
        <v>BEST CHOICE INDUSTRIES LLC</v>
      </c>
      <c r="E643" s="676" t="s">
        <v>1820</v>
      </c>
      <c r="F643" s="58">
        <v>1</v>
      </c>
      <c r="G643" s="58">
        <v>3715</v>
      </c>
      <c r="H643" s="58">
        <v>3715</v>
      </c>
      <c r="I643" s="58">
        <v>185.75</v>
      </c>
      <c r="J643" s="56">
        <v>81416</v>
      </c>
      <c r="K643" s="56" t="s">
        <v>307</v>
      </c>
      <c r="L643" s="292">
        <v>279</v>
      </c>
      <c r="M643" s="292"/>
      <c r="N643" s="358"/>
      <c r="O643" s="292"/>
      <c r="P643" s="292"/>
      <c r="Q643" s="614"/>
      <c r="R643" s="913">
        <f t="shared" si="40"/>
        <v>0</v>
      </c>
      <c r="S643" s="913">
        <f t="shared" si="41"/>
        <v>0</v>
      </c>
      <c r="T643" s="913">
        <f t="shared" si="42"/>
        <v>0</v>
      </c>
      <c r="U643" s="914">
        <f t="shared" si="43"/>
        <v>1</v>
      </c>
      <c r="V643" s="612"/>
      <c r="W643" s="612"/>
      <c r="X643" s="612"/>
      <c r="Y643" s="612"/>
      <c r="Z643" s="612"/>
      <c r="AA643" s="612"/>
      <c r="AB643" s="612"/>
      <c r="AC643" s="612"/>
    </row>
    <row r="644" spans="1:30">
      <c r="A644" s="48" t="s">
        <v>1810</v>
      </c>
      <c r="B644" s="60">
        <v>45554</v>
      </c>
      <c r="C644" s="54" t="s">
        <v>172</v>
      </c>
      <c r="D644" s="435" t="str">
        <f>IFERROR(VLOOKUP(C644,Mychart!$A$125:$B$811,2,FALSE),"-")</f>
        <v>BEST CHOICE INDUSTRIES LLC</v>
      </c>
      <c r="E644" s="676" t="s">
        <v>1821</v>
      </c>
      <c r="F644" s="58"/>
      <c r="G644" s="58"/>
      <c r="H644" s="58">
        <v>3715</v>
      </c>
      <c r="I644" s="58">
        <v>185.75</v>
      </c>
      <c r="J644" s="56">
        <v>81416</v>
      </c>
      <c r="K644" s="56" t="s">
        <v>307</v>
      </c>
      <c r="L644" s="292">
        <v>279</v>
      </c>
      <c r="M644" s="292" t="s">
        <v>4935</v>
      </c>
      <c r="N644" s="358">
        <v>3900</v>
      </c>
      <c r="O644" s="292">
        <v>3900.8</v>
      </c>
      <c r="P644" s="292"/>
      <c r="Q644" s="614">
        <v>3900.75</v>
      </c>
      <c r="R644" s="913">
        <f t="shared" si="40"/>
        <v>0.8000000000001819</v>
      </c>
      <c r="S644" s="913">
        <f t="shared" si="41"/>
        <v>0.75</v>
      </c>
      <c r="T644" s="913">
        <f t="shared" si="42"/>
        <v>-5.0000000000181899E-2</v>
      </c>
      <c r="U644" s="914">
        <f t="shared" si="43"/>
        <v>0</v>
      </c>
      <c r="V644" s="612"/>
      <c r="W644" s="612"/>
      <c r="X644" s="612"/>
      <c r="Y644" s="612"/>
      <c r="Z644" s="612"/>
      <c r="AA644" s="612"/>
      <c r="AB644" s="612"/>
      <c r="AC644" s="612"/>
      <c r="AD644" s="930">
        <v>45587.631898148145</v>
      </c>
    </row>
    <row r="645" spans="1:30">
      <c r="A645" s="48" t="s">
        <v>1827</v>
      </c>
      <c r="B645" s="60">
        <v>45558</v>
      </c>
      <c r="C645" s="54" t="s">
        <v>168</v>
      </c>
      <c r="D645" s="435" t="str">
        <f>IFERROR(VLOOKUP(C645,Mychart!$A$125:$B$811,2,FALSE),"-")</f>
        <v>UTS Carrier</v>
      </c>
      <c r="E645" s="676" t="s">
        <v>1828</v>
      </c>
      <c r="F645" s="58">
        <v>8</v>
      </c>
      <c r="G645" s="58"/>
      <c r="H645" s="58"/>
      <c r="I645" s="58"/>
      <c r="J645" s="56">
        <v>0</v>
      </c>
      <c r="K645" s="56" t="s">
        <v>1831</v>
      </c>
      <c r="L645" s="292">
        <v>283</v>
      </c>
      <c r="M645" s="292"/>
      <c r="N645" s="358"/>
      <c r="O645" s="292"/>
      <c r="P645" s="292"/>
      <c r="Q645" s="614"/>
      <c r="R645" s="913">
        <f t="shared" si="40"/>
        <v>0</v>
      </c>
      <c r="S645" s="913">
        <f t="shared" si="41"/>
        <v>0</v>
      </c>
      <c r="T645" s="913">
        <f t="shared" si="42"/>
        <v>0</v>
      </c>
      <c r="U645" s="914">
        <f t="shared" si="43"/>
        <v>8</v>
      </c>
      <c r="V645" s="612"/>
      <c r="W645" s="612"/>
      <c r="X645" s="612"/>
      <c r="Y645" s="612"/>
      <c r="Z645" s="612"/>
      <c r="AA645" s="612"/>
      <c r="AB645" s="612"/>
      <c r="AC645" s="612"/>
    </row>
    <row r="646" spans="1:30">
      <c r="A646" s="48" t="s">
        <v>1827</v>
      </c>
      <c r="B646" s="60">
        <v>45558</v>
      </c>
      <c r="C646" s="54" t="s">
        <v>168</v>
      </c>
      <c r="D646" s="435" t="str">
        <f>IFERROR(VLOOKUP(C646,Mychart!$A$125:$B$811,2,FALSE),"-")</f>
        <v>UTS Carrier</v>
      </c>
      <c r="E646" s="676" t="s">
        <v>1829</v>
      </c>
      <c r="F646" s="58">
        <v>8</v>
      </c>
      <c r="G646" s="58"/>
      <c r="H646" s="58"/>
      <c r="I646" s="58"/>
      <c r="J646" s="56">
        <v>0</v>
      </c>
      <c r="K646" s="56" t="s">
        <v>1831</v>
      </c>
      <c r="L646" s="292">
        <v>283</v>
      </c>
      <c r="M646" s="292"/>
      <c r="N646" s="358"/>
      <c r="O646" s="292"/>
      <c r="P646" s="292"/>
      <c r="Q646" s="614"/>
      <c r="R646" s="913">
        <f t="shared" si="40"/>
        <v>0</v>
      </c>
      <c r="S646" s="913">
        <f t="shared" si="41"/>
        <v>0</v>
      </c>
      <c r="T646" s="913">
        <f t="shared" si="42"/>
        <v>0</v>
      </c>
      <c r="U646" s="914">
        <f t="shared" si="43"/>
        <v>8</v>
      </c>
      <c r="V646" s="612"/>
      <c r="W646" s="612"/>
      <c r="X646" s="612"/>
      <c r="Y646" s="612"/>
      <c r="Z646" s="612"/>
      <c r="AA646" s="612"/>
      <c r="AB646" s="612"/>
      <c r="AC646" s="612"/>
    </row>
    <row r="647" spans="1:30">
      <c r="A647" s="48" t="s">
        <v>1827</v>
      </c>
      <c r="B647" s="60">
        <v>45558</v>
      </c>
      <c r="C647" s="54" t="s">
        <v>168</v>
      </c>
      <c r="D647" s="435" t="str">
        <f>IFERROR(VLOOKUP(C647,Mychart!$A$125:$B$811,2,FALSE),"-")</f>
        <v>UTS Carrier</v>
      </c>
      <c r="E647" s="676" t="s">
        <v>1830</v>
      </c>
      <c r="F647" s="58">
        <v>8</v>
      </c>
      <c r="G647" s="58">
        <v>6200</v>
      </c>
      <c r="H647" s="58">
        <v>49600</v>
      </c>
      <c r="I647" s="58">
        <v>2480</v>
      </c>
      <c r="J647" s="56">
        <v>0</v>
      </c>
      <c r="K647" s="56" t="s">
        <v>1831</v>
      </c>
      <c r="L647" s="292">
        <v>283</v>
      </c>
      <c r="M647" s="292"/>
      <c r="N647" s="358"/>
      <c r="O647" s="292"/>
      <c r="P647" s="292"/>
      <c r="Q647" s="614">
        <f>H647+I647</f>
        <v>52080</v>
      </c>
      <c r="R647" s="913">
        <f t="shared" si="40"/>
        <v>0</v>
      </c>
      <c r="S647" s="913">
        <f t="shared" si="41"/>
        <v>52080</v>
      </c>
      <c r="T647" s="913">
        <f t="shared" si="42"/>
        <v>52080</v>
      </c>
      <c r="U647" s="914">
        <f t="shared" si="43"/>
        <v>8</v>
      </c>
      <c r="V647" s="612"/>
      <c r="W647" s="612"/>
      <c r="X647" s="612"/>
      <c r="Y647" s="612"/>
      <c r="Z647" s="612"/>
      <c r="AA647" s="612"/>
      <c r="AB647" s="612"/>
      <c r="AC647" s="612"/>
    </row>
    <row r="648" spans="1:30">
      <c r="A648" s="48" t="s">
        <v>1832</v>
      </c>
      <c r="B648" s="60">
        <v>45558</v>
      </c>
      <c r="C648" s="54" t="s">
        <v>173</v>
      </c>
      <c r="D648" s="435" t="str">
        <f>IFERROR(VLOOKUP(C648,Mychart!$A$125:$B$811,2,FALSE),"-")</f>
        <v>BAB AL TABREED A/C UNITS FIX.CONT</v>
      </c>
      <c r="E648" s="676" t="s">
        <v>979</v>
      </c>
      <c r="F648" s="58">
        <v>76.11</v>
      </c>
      <c r="G648" s="58">
        <v>2.8</v>
      </c>
      <c r="H648" s="58">
        <v>309.10799999999995</v>
      </c>
      <c r="I648" s="58">
        <v>15.455399999999997</v>
      </c>
      <c r="J648" s="56" t="s">
        <v>1833</v>
      </c>
      <c r="K648" s="56" t="s">
        <v>282</v>
      </c>
      <c r="L648" s="292">
        <v>249</v>
      </c>
      <c r="M648" s="292"/>
      <c r="N648" s="358"/>
      <c r="O648" s="292"/>
      <c r="P648" s="292"/>
      <c r="Q648" s="614"/>
      <c r="R648" s="913">
        <f t="shared" si="40"/>
        <v>0</v>
      </c>
      <c r="S648" s="913">
        <f t="shared" si="41"/>
        <v>0</v>
      </c>
      <c r="T648" s="913">
        <f t="shared" si="42"/>
        <v>0</v>
      </c>
      <c r="U648" s="914">
        <f t="shared" si="43"/>
        <v>76.11</v>
      </c>
      <c r="V648" s="612"/>
      <c r="W648" s="612"/>
      <c r="X648" s="612"/>
      <c r="Y648" s="612"/>
      <c r="Z648" s="612"/>
      <c r="AA648" s="612"/>
      <c r="AB648" s="612"/>
      <c r="AC648" s="612"/>
    </row>
    <row r="649" spans="1:30">
      <c r="A649" s="48" t="s">
        <v>1832</v>
      </c>
      <c r="B649" s="60">
        <v>45558</v>
      </c>
      <c r="C649" s="54" t="s">
        <v>173</v>
      </c>
      <c r="D649" s="435" t="str">
        <f>IFERROR(VLOOKUP(C649,Mychart!$A$125:$B$811,2,FALSE),"-")</f>
        <v>BAB AL TABREED A/C UNITS FIX.CONT</v>
      </c>
      <c r="E649" s="676" t="s">
        <v>1544</v>
      </c>
      <c r="F649" s="58">
        <v>16</v>
      </c>
      <c r="G649" s="58">
        <v>3.5</v>
      </c>
      <c r="H649" s="58">
        <v>309.10799999999995</v>
      </c>
      <c r="I649" s="58">
        <v>15.455399999999997</v>
      </c>
      <c r="J649" s="56" t="s">
        <v>1833</v>
      </c>
      <c r="K649" s="56" t="s">
        <v>282</v>
      </c>
      <c r="L649" s="292">
        <v>249</v>
      </c>
      <c r="M649" s="292"/>
      <c r="N649" s="358"/>
      <c r="O649" s="292"/>
      <c r="P649" s="292"/>
      <c r="Q649" s="614"/>
      <c r="R649" s="913">
        <f t="shared" si="40"/>
        <v>0</v>
      </c>
      <c r="S649" s="913">
        <f t="shared" si="41"/>
        <v>0</v>
      </c>
      <c r="T649" s="913">
        <f t="shared" si="42"/>
        <v>0</v>
      </c>
      <c r="U649" s="914">
        <f t="shared" si="43"/>
        <v>16</v>
      </c>
      <c r="V649" s="612"/>
      <c r="W649" s="612"/>
      <c r="X649" s="612"/>
      <c r="Y649" s="612"/>
      <c r="Z649" s="612"/>
      <c r="AA649" s="612"/>
      <c r="AB649" s="612"/>
      <c r="AC649" s="612"/>
    </row>
    <row r="650" spans="1:30">
      <c r="A650" s="48" t="s">
        <v>1832</v>
      </c>
      <c r="B650" s="60">
        <v>45558</v>
      </c>
      <c r="C650" s="54" t="s">
        <v>173</v>
      </c>
      <c r="D650" s="435" t="str">
        <f>IFERROR(VLOOKUP(C650,Mychart!$A$125:$B$811,2,FALSE),"-")</f>
        <v>BAB AL TABREED A/C UNITS FIX.CONT</v>
      </c>
      <c r="E650" s="676" t="s">
        <v>1118</v>
      </c>
      <c r="F650" s="58">
        <v>10</v>
      </c>
      <c r="G650" s="58">
        <v>3</v>
      </c>
      <c r="H650" s="58">
        <v>309.10799999999995</v>
      </c>
      <c r="I650" s="58">
        <v>15.455399999999997</v>
      </c>
      <c r="J650" s="56" t="s">
        <v>1833</v>
      </c>
      <c r="K650" s="56" t="s">
        <v>282</v>
      </c>
      <c r="L650" s="292">
        <v>249</v>
      </c>
      <c r="M650" s="292"/>
      <c r="N650" s="358"/>
      <c r="O650" s="292"/>
      <c r="P650" s="292"/>
      <c r="Q650" s="614"/>
      <c r="R650" s="913">
        <f t="shared" si="40"/>
        <v>0</v>
      </c>
      <c r="S650" s="913">
        <f t="shared" si="41"/>
        <v>0</v>
      </c>
      <c r="T650" s="913">
        <f t="shared" si="42"/>
        <v>0</v>
      </c>
      <c r="U650" s="914">
        <f t="shared" si="43"/>
        <v>10</v>
      </c>
      <c r="V650" s="612"/>
      <c r="W650" s="612"/>
      <c r="X650" s="612"/>
      <c r="Y650" s="612"/>
      <c r="Z650" s="612"/>
      <c r="AA650" s="612"/>
      <c r="AB650" s="612"/>
      <c r="AC650" s="612"/>
    </row>
    <row r="651" spans="1:30">
      <c r="A651" s="48" t="s">
        <v>1832</v>
      </c>
      <c r="B651" s="60">
        <v>45558</v>
      </c>
      <c r="C651" s="54" t="s">
        <v>173</v>
      </c>
      <c r="D651" s="435" t="str">
        <f>IFERROR(VLOOKUP(C651,Mychart!$A$125:$B$811,2,FALSE),"-")</f>
        <v>BAB AL TABREED A/C UNITS FIX.CONT</v>
      </c>
      <c r="E651" s="676" t="s">
        <v>1119</v>
      </c>
      <c r="F651" s="58">
        <v>5</v>
      </c>
      <c r="G651" s="58">
        <v>2</v>
      </c>
      <c r="H651" s="58">
        <v>309.10799999999995</v>
      </c>
      <c r="I651" s="58">
        <v>15.455399999999997</v>
      </c>
      <c r="J651" s="56" t="s">
        <v>1833</v>
      </c>
      <c r="K651" s="56" t="s">
        <v>282</v>
      </c>
      <c r="L651" s="292">
        <v>249</v>
      </c>
      <c r="M651" s="292" t="s">
        <v>5213</v>
      </c>
      <c r="N651" s="358">
        <v>324.57</v>
      </c>
      <c r="O651" s="292">
        <v>324.57</v>
      </c>
      <c r="P651" s="292"/>
      <c r="Q651" s="614">
        <v>324.56339999999994</v>
      </c>
      <c r="R651" s="913">
        <f t="shared" si="40"/>
        <v>0</v>
      </c>
      <c r="S651" s="913">
        <f t="shared" si="41"/>
        <v>-6.600000000048567E-3</v>
      </c>
      <c r="T651" s="913">
        <f t="shared" si="42"/>
        <v>-6.600000000048567E-3</v>
      </c>
      <c r="U651" s="914">
        <f t="shared" si="43"/>
        <v>5</v>
      </c>
      <c r="V651" s="612"/>
      <c r="W651" s="612"/>
      <c r="X651" s="612"/>
      <c r="Y651" s="612"/>
      <c r="Z651" s="612"/>
      <c r="AA651" s="612"/>
      <c r="AB651" s="612"/>
      <c r="AC651" s="612"/>
      <c r="AD651" s="930">
        <v>45593.606203703705</v>
      </c>
    </row>
    <row r="652" spans="1:30">
      <c r="A652" s="48" t="s">
        <v>1853</v>
      </c>
      <c r="B652" s="60">
        <v>45563</v>
      </c>
      <c r="C652" s="54" t="s">
        <v>173</v>
      </c>
      <c r="D652" s="435" t="str">
        <f>IFERROR(VLOOKUP(C652,Mychart!$A$125:$B$811,2,FALSE),"-")</f>
        <v>BAB AL TABREED A/C UNITS FIX.CONT</v>
      </c>
      <c r="E652" s="676" t="s">
        <v>979</v>
      </c>
      <c r="F652" s="58">
        <v>84.19</v>
      </c>
      <c r="G652" s="58">
        <v>2.8</v>
      </c>
      <c r="H652" s="58">
        <v>266.73199999999997</v>
      </c>
      <c r="I652" s="58">
        <v>13.336599999999999</v>
      </c>
      <c r="J652" s="56" t="s">
        <v>1854</v>
      </c>
      <c r="K652" s="56" t="s">
        <v>269</v>
      </c>
      <c r="L652" s="292">
        <v>256</v>
      </c>
      <c r="M652" s="292"/>
      <c r="N652" s="358"/>
      <c r="O652" s="292"/>
      <c r="P652" s="292"/>
      <c r="Q652" s="614"/>
      <c r="R652" s="913">
        <f t="shared" si="40"/>
        <v>0</v>
      </c>
      <c r="S652" s="913">
        <f t="shared" si="41"/>
        <v>0</v>
      </c>
      <c r="T652" s="913">
        <f t="shared" si="42"/>
        <v>0</v>
      </c>
      <c r="U652" s="914">
        <f t="shared" si="43"/>
        <v>84.19</v>
      </c>
      <c r="V652" s="612"/>
      <c r="W652" s="612"/>
      <c r="X652" s="612"/>
      <c r="Y652" s="612"/>
      <c r="Z652" s="612"/>
      <c r="AA652" s="612"/>
      <c r="AB652" s="612"/>
      <c r="AC652" s="612"/>
    </row>
    <row r="653" spans="1:30">
      <c r="A653" s="48" t="s">
        <v>1853</v>
      </c>
      <c r="B653" s="60">
        <v>45563</v>
      </c>
      <c r="C653" s="54" t="s">
        <v>173</v>
      </c>
      <c r="D653" s="435" t="str">
        <f>IFERROR(VLOOKUP(C653,Mychart!$A$125:$B$811,2,FALSE),"-")</f>
        <v>BAB AL TABREED A/C UNITS FIX.CONT</v>
      </c>
      <c r="E653" s="676" t="s">
        <v>1118</v>
      </c>
      <c r="F653" s="58">
        <v>7</v>
      </c>
      <c r="G653" s="58">
        <v>3</v>
      </c>
      <c r="H653" s="58">
        <v>266.73199999999997</v>
      </c>
      <c r="I653" s="58">
        <v>13.336599999999999</v>
      </c>
      <c r="J653" s="56" t="s">
        <v>1854</v>
      </c>
      <c r="K653" s="56" t="s">
        <v>269</v>
      </c>
      <c r="L653" s="292">
        <v>256</v>
      </c>
      <c r="M653" s="292"/>
      <c r="N653" s="358"/>
      <c r="O653" s="292"/>
      <c r="P653" s="292"/>
      <c r="Q653" s="614"/>
      <c r="R653" s="913">
        <f t="shared" ref="R653:R711" si="44">O653-N653</f>
        <v>0</v>
      </c>
      <c r="S653" s="913">
        <f t="shared" ref="S653:S711" si="45">Q653-N653</f>
        <v>0</v>
      </c>
      <c r="T653" s="913">
        <f t="shared" ref="T653:T711" si="46">Q653-O653</f>
        <v>0</v>
      </c>
      <c r="U653" s="914">
        <f t="shared" ref="U653:U711" si="47">F653-P653</f>
        <v>7</v>
      </c>
      <c r="V653" s="612"/>
      <c r="W653" s="612"/>
      <c r="X653" s="612"/>
      <c r="Y653" s="612"/>
      <c r="Z653" s="612"/>
      <c r="AA653" s="612"/>
      <c r="AB653" s="612"/>
      <c r="AC653" s="612"/>
    </row>
    <row r="654" spans="1:30">
      <c r="A654" s="48" t="s">
        <v>1853</v>
      </c>
      <c r="B654" s="60">
        <v>45563</v>
      </c>
      <c r="C654" s="54" t="s">
        <v>173</v>
      </c>
      <c r="D654" s="435" t="str">
        <f>IFERROR(VLOOKUP(C654,Mychart!$A$125:$B$811,2,FALSE),"-")</f>
        <v>BAB AL TABREED A/C UNITS FIX.CONT</v>
      </c>
      <c r="E654" s="676" t="s">
        <v>1119</v>
      </c>
      <c r="F654" s="58">
        <v>5</v>
      </c>
      <c r="G654" s="58">
        <v>2</v>
      </c>
      <c r="H654" s="58">
        <v>266.73199999999997</v>
      </c>
      <c r="I654" s="58">
        <v>13.336599999999999</v>
      </c>
      <c r="J654" s="56" t="s">
        <v>1854</v>
      </c>
      <c r="K654" s="56" t="s">
        <v>269</v>
      </c>
      <c r="L654" s="292">
        <v>256</v>
      </c>
      <c r="M654" s="292" t="s">
        <v>5210</v>
      </c>
      <c r="N654" s="358">
        <v>280.07</v>
      </c>
      <c r="O654" s="292">
        <v>280.07</v>
      </c>
      <c r="P654" s="292"/>
      <c r="Q654" s="614">
        <v>280.06859999999995</v>
      </c>
      <c r="R654" s="913">
        <f t="shared" si="44"/>
        <v>0</v>
      </c>
      <c r="S654" s="913">
        <f t="shared" si="45"/>
        <v>-1.4000000000464752E-3</v>
      </c>
      <c r="T654" s="913">
        <f t="shared" si="46"/>
        <v>-1.4000000000464752E-3</v>
      </c>
      <c r="U654" s="914">
        <f t="shared" si="47"/>
        <v>5</v>
      </c>
      <c r="V654" s="612"/>
      <c r="W654" s="612"/>
      <c r="X654" s="612"/>
      <c r="Y654" s="612"/>
      <c r="Z654" s="612"/>
      <c r="AA654" s="612"/>
      <c r="AB654" s="612"/>
      <c r="AC654" s="612"/>
      <c r="AD654" s="930">
        <v>45593.606203703705</v>
      </c>
    </row>
    <row r="655" spans="1:30">
      <c r="A655" s="48" t="s">
        <v>1890</v>
      </c>
      <c r="B655" s="60">
        <v>45566</v>
      </c>
      <c r="C655" s="54" t="s">
        <v>173</v>
      </c>
      <c r="D655" s="435" t="str">
        <f>IFERROR(VLOOKUP(C655,Mychart!$A$125:$B$811,2,FALSE),"-")</f>
        <v>BAB AL TABREED A/C UNITS FIX.CONT</v>
      </c>
      <c r="E655" s="676" t="s">
        <v>979</v>
      </c>
      <c r="F655" s="58">
        <v>239.28</v>
      </c>
      <c r="G655" s="58">
        <v>2.8</v>
      </c>
      <c r="H655" s="58">
        <v>1372.4189999999999</v>
      </c>
      <c r="I655" s="58">
        <v>68.620949999999993</v>
      </c>
      <c r="J655" s="56" t="s">
        <v>1898</v>
      </c>
      <c r="K655" s="56" t="s">
        <v>269</v>
      </c>
      <c r="L655" s="292">
        <v>256</v>
      </c>
      <c r="M655" s="292"/>
      <c r="N655" s="358"/>
      <c r="O655" s="292"/>
      <c r="P655" s="292"/>
      <c r="Q655" s="614"/>
      <c r="R655" s="913">
        <f t="shared" si="44"/>
        <v>0</v>
      </c>
      <c r="S655" s="913">
        <f t="shared" si="45"/>
        <v>0</v>
      </c>
      <c r="T655" s="913">
        <f t="shared" si="46"/>
        <v>0</v>
      </c>
      <c r="U655" s="914">
        <f t="shared" si="47"/>
        <v>239.28</v>
      </c>
      <c r="V655" s="612"/>
      <c r="W655" s="612"/>
      <c r="X655" s="612"/>
      <c r="Y655" s="612"/>
      <c r="Z655" s="612"/>
      <c r="AA655" s="612"/>
      <c r="AB655" s="612"/>
      <c r="AC655" s="612"/>
    </row>
    <row r="656" spans="1:30">
      <c r="A656" s="48" t="s">
        <v>1890</v>
      </c>
      <c r="B656" s="60">
        <v>45566</v>
      </c>
      <c r="C656" s="54" t="s">
        <v>173</v>
      </c>
      <c r="D656" s="435" t="str">
        <f>IFERROR(VLOOKUP(C656,Mychart!$A$125:$B$811,2,FALSE),"-")</f>
        <v>BAB AL TABREED A/C UNITS FIX.CONT</v>
      </c>
      <c r="E656" s="676" t="s">
        <v>1544</v>
      </c>
      <c r="F656" s="58">
        <v>98.41</v>
      </c>
      <c r="G656" s="58">
        <v>3.5</v>
      </c>
      <c r="H656" s="58">
        <v>1372.4189999999999</v>
      </c>
      <c r="I656" s="58">
        <v>68.620949999999993</v>
      </c>
      <c r="J656" s="56" t="s">
        <v>1898</v>
      </c>
      <c r="K656" s="56" t="s">
        <v>269</v>
      </c>
      <c r="L656" s="292">
        <v>256</v>
      </c>
      <c r="M656" s="292"/>
      <c r="N656" s="358"/>
      <c r="O656" s="292"/>
      <c r="P656" s="292"/>
      <c r="Q656" s="614"/>
      <c r="R656" s="913">
        <f t="shared" si="44"/>
        <v>0</v>
      </c>
      <c r="S656" s="913">
        <f t="shared" si="45"/>
        <v>0</v>
      </c>
      <c r="T656" s="913">
        <f t="shared" si="46"/>
        <v>0</v>
      </c>
      <c r="U656" s="914">
        <f t="shared" si="47"/>
        <v>98.41</v>
      </c>
      <c r="V656" s="612"/>
      <c r="W656" s="612"/>
      <c r="X656" s="612"/>
      <c r="Y656" s="612"/>
      <c r="Z656" s="612"/>
      <c r="AA656" s="612"/>
      <c r="AB656" s="612"/>
      <c r="AC656" s="612"/>
    </row>
    <row r="657" spans="1:30">
      <c r="A657" s="48" t="s">
        <v>1890</v>
      </c>
      <c r="B657" s="60">
        <v>45566</v>
      </c>
      <c r="C657" s="54" t="s">
        <v>173</v>
      </c>
      <c r="D657" s="435" t="str">
        <f>IFERROR(VLOOKUP(C657,Mychart!$A$125:$B$811,2,FALSE),"-")</f>
        <v>BAB AL TABREED A/C UNITS FIX.CONT</v>
      </c>
      <c r="E657" s="676" t="s">
        <v>1899</v>
      </c>
      <c r="F657" s="58">
        <v>50</v>
      </c>
      <c r="G657" s="58">
        <v>4.5</v>
      </c>
      <c r="H657" s="58">
        <v>1372.4189999999999</v>
      </c>
      <c r="I657" s="58">
        <v>68.620949999999993</v>
      </c>
      <c r="J657" s="56" t="s">
        <v>1898</v>
      </c>
      <c r="K657" s="56" t="s">
        <v>269</v>
      </c>
      <c r="L657" s="292">
        <v>256</v>
      </c>
      <c r="M657" s="292"/>
      <c r="N657" s="358"/>
      <c r="O657" s="292"/>
      <c r="P657" s="292"/>
      <c r="Q657" s="614"/>
      <c r="R657" s="913">
        <f t="shared" si="44"/>
        <v>0</v>
      </c>
      <c r="S657" s="913">
        <f t="shared" si="45"/>
        <v>0</v>
      </c>
      <c r="T657" s="913">
        <f t="shared" si="46"/>
        <v>0</v>
      </c>
      <c r="U657" s="914">
        <f t="shared" si="47"/>
        <v>50</v>
      </c>
      <c r="V657" s="612"/>
      <c r="W657" s="612"/>
      <c r="X657" s="612"/>
      <c r="Y657" s="612"/>
      <c r="Z657" s="612"/>
      <c r="AA657" s="612"/>
      <c r="AB657" s="612"/>
      <c r="AC657" s="612"/>
    </row>
    <row r="658" spans="1:30">
      <c r="A658" s="48" t="s">
        <v>1890</v>
      </c>
      <c r="B658" s="60">
        <v>45566</v>
      </c>
      <c r="C658" s="54" t="s">
        <v>173</v>
      </c>
      <c r="D658" s="435" t="str">
        <f>IFERROR(VLOOKUP(C658,Mychart!$A$125:$B$811,2,FALSE),"-")</f>
        <v>BAB AL TABREED A/C UNITS FIX.CONT</v>
      </c>
      <c r="E658" s="676" t="s">
        <v>1118</v>
      </c>
      <c r="F658" s="58">
        <v>29</v>
      </c>
      <c r="G658" s="58">
        <v>3</v>
      </c>
      <c r="H658" s="58">
        <v>1372.4189999999999</v>
      </c>
      <c r="I658" s="58">
        <v>68.620949999999993</v>
      </c>
      <c r="J658" s="56" t="s">
        <v>1898</v>
      </c>
      <c r="K658" s="56" t="s">
        <v>269</v>
      </c>
      <c r="L658" s="292">
        <v>256</v>
      </c>
      <c r="M658" s="292"/>
      <c r="N658" s="358"/>
      <c r="O658" s="292"/>
      <c r="P658" s="292"/>
      <c r="Q658" s="614"/>
      <c r="R658" s="913">
        <f t="shared" si="44"/>
        <v>0</v>
      </c>
      <c r="S658" s="913">
        <f t="shared" si="45"/>
        <v>0</v>
      </c>
      <c r="T658" s="913">
        <f t="shared" si="46"/>
        <v>0</v>
      </c>
      <c r="U658" s="914">
        <f t="shared" si="47"/>
        <v>29</v>
      </c>
      <c r="V658" s="612"/>
      <c r="W658" s="612"/>
      <c r="X658" s="612"/>
      <c r="Y658" s="612"/>
      <c r="Z658" s="612"/>
      <c r="AA658" s="612"/>
      <c r="AB658" s="612"/>
      <c r="AC658" s="612"/>
    </row>
    <row r="659" spans="1:30">
      <c r="A659" s="48" t="s">
        <v>1890</v>
      </c>
      <c r="B659" s="60">
        <v>45566</v>
      </c>
      <c r="C659" s="54" t="s">
        <v>173</v>
      </c>
      <c r="D659" s="435" t="str">
        <f>IFERROR(VLOOKUP(C659,Mychart!$A$125:$B$811,2,FALSE),"-")</f>
        <v>BAB AL TABREED A/C UNITS FIX.CONT</v>
      </c>
      <c r="E659" s="676" t="s">
        <v>1119</v>
      </c>
      <c r="F659" s="58">
        <v>23</v>
      </c>
      <c r="G659" s="58">
        <v>2</v>
      </c>
      <c r="H659" s="58">
        <v>1372.4189999999999</v>
      </c>
      <c r="I659" s="58">
        <v>68.620949999999993</v>
      </c>
      <c r="J659" s="56" t="s">
        <v>1898</v>
      </c>
      <c r="K659" s="56" t="s">
        <v>269</v>
      </c>
      <c r="L659" s="292">
        <v>256</v>
      </c>
      <c r="M659" s="292" t="s">
        <v>5214</v>
      </c>
      <c r="N659" s="358">
        <v>1441.04</v>
      </c>
      <c r="O659" s="292">
        <v>1441.04</v>
      </c>
      <c r="P659" s="292"/>
      <c r="Q659" s="614">
        <v>1441.0399499999999</v>
      </c>
      <c r="R659" s="913">
        <f t="shared" si="44"/>
        <v>0</v>
      </c>
      <c r="S659" s="913">
        <f t="shared" si="45"/>
        <v>-5.0000000101135811E-5</v>
      </c>
      <c r="T659" s="913">
        <f t="shared" si="46"/>
        <v>-5.0000000101135811E-5</v>
      </c>
      <c r="U659" s="914">
        <f t="shared" si="47"/>
        <v>23</v>
      </c>
      <c r="V659" s="612"/>
      <c r="W659" s="612"/>
      <c r="X659" s="612"/>
      <c r="Y659" s="612"/>
      <c r="Z659" s="612"/>
      <c r="AA659" s="612"/>
      <c r="AB659" s="612"/>
      <c r="AC659" s="612"/>
      <c r="AD659" s="930">
        <v>45593.606203703705</v>
      </c>
    </row>
    <row r="660" spans="1:30">
      <c r="A660" s="48" t="s">
        <v>1900</v>
      </c>
      <c r="B660" s="60">
        <v>45566</v>
      </c>
      <c r="C660" s="54" t="s">
        <v>173</v>
      </c>
      <c r="D660" s="435" t="str">
        <f>IFERROR(VLOOKUP(C660,Mychart!$A$125:$B$811,2,FALSE),"-")</f>
        <v>BAB AL TABREED A/C UNITS FIX.CONT</v>
      </c>
      <c r="E660" s="676" t="s">
        <v>979</v>
      </c>
      <c r="F660" s="58">
        <v>381</v>
      </c>
      <c r="G660" s="58">
        <v>2.8</v>
      </c>
      <c r="H660" s="58">
        <v>1320.4449999999999</v>
      </c>
      <c r="I660" s="58">
        <v>66.02225</v>
      </c>
      <c r="J660" s="56" t="s">
        <v>1901</v>
      </c>
      <c r="K660" s="56" t="s">
        <v>320</v>
      </c>
      <c r="L660" s="292">
        <v>275</v>
      </c>
      <c r="M660" s="292"/>
      <c r="N660" s="358"/>
      <c r="O660" s="292"/>
      <c r="P660" s="292"/>
      <c r="Q660" s="614"/>
      <c r="R660" s="913">
        <f t="shared" si="44"/>
        <v>0</v>
      </c>
      <c r="S660" s="913">
        <f t="shared" si="45"/>
        <v>0</v>
      </c>
      <c r="T660" s="913">
        <f t="shared" si="46"/>
        <v>0</v>
      </c>
      <c r="U660" s="914">
        <f t="shared" si="47"/>
        <v>381</v>
      </c>
      <c r="V660" s="612"/>
      <c r="W660" s="612"/>
      <c r="X660" s="612"/>
      <c r="Y660" s="612"/>
      <c r="Z660" s="612"/>
      <c r="AA660" s="612"/>
      <c r="AB660" s="612"/>
      <c r="AC660" s="612"/>
    </row>
    <row r="661" spans="1:30">
      <c r="A661" s="48" t="s">
        <v>1900</v>
      </c>
      <c r="B661" s="60">
        <v>45566</v>
      </c>
      <c r="C661" s="54" t="s">
        <v>173</v>
      </c>
      <c r="D661" s="435" t="str">
        <f>IFERROR(VLOOKUP(C661,Mychart!$A$125:$B$811,2,FALSE),"-")</f>
        <v>BAB AL TABREED A/C UNITS FIX.CONT</v>
      </c>
      <c r="E661" s="676" t="s">
        <v>1544</v>
      </c>
      <c r="F661" s="58">
        <v>56.47</v>
      </c>
      <c r="G661" s="58">
        <v>3.5</v>
      </c>
      <c r="H661" s="58">
        <v>1320.4449999999999</v>
      </c>
      <c r="I661" s="58">
        <v>66.02225</v>
      </c>
      <c r="J661" s="56" t="s">
        <v>1901</v>
      </c>
      <c r="K661" s="56" t="s">
        <v>320</v>
      </c>
      <c r="L661" s="292">
        <v>275</v>
      </c>
      <c r="M661" s="292"/>
      <c r="N661" s="358"/>
      <c r="O661" s="292"/>
      <c r="P661" s="292"/>
      <c r="Q661" s="614"/>
      <c r="R661" s="913">
        <f t="shared" si="44"/>
        <v>0</v>
      </c>
      <c r="S661" s="913">
        <f t="shared" si="45"/>
        <v>0</v>
      </c>
      <c r="T661" s="913">
        <f t="shared" si="46"/>
        <v>0</v>
      </c>
      <c r="U661" s="914">
        <f t="shared" si="47"/>
        <v>56.47</v>
      </c>
      <c r="V661" s="612"/>
      <c r="W661" s="612"/>
      <c r="X661" s="612"/>
      <c r="Y661" s="612"/>
      <c r="Z661" s="612"/>
      <c r="AA661" s="612"/>
      <c r="AB661" s="612"/>
      <c r="AC661" s="612"/>
    </row>
    <row r="662" spans="1:30">
      <c r="A662" s="48" t="s">
        <v>1900</v>
      </c>
      <c r="B662" s="60">
        <v>45566</v>
      </c>
      <c r="C662" s="54" t="s">
        <v>173</v>
      </c>
      <c r="D662" s="435" t="str">
        <f>IFERROR(VLOOKUP(C662,Mychart!$A$125:$B$811,2,FALSE),"-")</f>
        <v>BAB AL TABREED A/C UNITS FIX.CONT</v>
      </c>
      <c r="E662" s="676" t="s">
        <v>1118</v>
      </c>
      <c r="F662" s="58">
        <v>12</v>
      </c>
      <c r="G662" s="58">
        <v>3</v>
      </c>
      <c r="H662" s="58">
        <v>1320.4449999999999</v>
      </c>
      <c r="I662" s="58">
        <v>66.02225</v>
      </c>
      <c r="J662" s="56" t="s">
        <v>1901</v>
      </c>
      <c r="K662" s="56" t="s">
        <v>320</v>
      </c>
      <c r="L662" s="292">
        <v>275</v>
      </c>
      <c r="M662" s="292"/>
      <c r="N662" s="358"/>
      <c r="O662" s="292"/>
      <c r="P662" s="292"/>
      <c r="Q662" s="614"/>
      <c r="R662" s="913">
        <f t="shared" si="44"/>
        <v>0</v>
      </c>
      <c r="S662" s="913">
        <f t="shared" si="45"/>
        <v>0</v>
      </c>
      <c r="T662" s="913">
        <f t="shared" si="46"/>
        <v>0</v>
      </c>
      <c r="U662" s="914">
        <f t="shared" si="47"/>
        <v>12</v>
      </c>
      <c r="V662" s="612"/>
      <c r="W662" s="612"/>
      <c r="X662" s="612"/>
      <c r="Y662" s="612"/>
      <c r="Z662" s="612"/>
      <c r="AA662" s="612"/>
      <c r="AB662" s="612"/>
      <c r="AC662" s="612"/>
    </row>
    <row r="663" spans="1:30">
      <c r="A663" s="48" t="s">
        <v>1900</v>
      </c>
      <c r="B663" s="60">
        <v>45566</v>
      </c>
      <c r="C663" s="54" t="s">
        <v>173</v>
      </c>
      <c r="D663" s="435" t="str">
        <f>IFERROR(VLOOKUP(C663,Mychart!$A$125:$B$811,2,FALSE),"-")</f>
        <v>BAB AL TABREED A/C UNITS FIX.CONT</v>
      </c>
      <c r="E663" s="676" t="s">
        <v>1119</v>
      </c>
      <c r="F663" s="58">
        <v>10</v>
      </c>
      <c r="G663" s="58">
        <v>2</v>
      </c>
      <c r="H663" s="58">
        <v>1320.4449999999999</v>
      </c>
      <c r="I663" s="58">
        <v>66.02225</v>
      </c>
      <c r="J663" s="56" t="s">
        <v>1901</v>
      </c>
      <c r="K663" s="56" t="s">
        <v>320</v>
      </c>
      <c r="L663" s="292">
        <v>275</v>
      </c>
      <c r="M663" s="292" t="s">
        <v>5773</v>
      </c>
      <c r="N663" s="358">
        <v>1386.47</v>
      </c>
      <c r="O663" s="292">
        <v>1386.47</v>
      </c>
      <c r="P663" s="292"/>
      <c r="Q663" s="614">
        <v>1386.4672499999999</v>
      </c>
      <c r="R663" s="913">
        <f t="shared" si="44"/>
        <v>0</v>
      </c>
      <c r="S663" s="913">
        <f t="shared" si="45"/>
        <v>-2.7500000001055014E-3</v>
      </c>
      <c r="T663" s="913">
        <f t="shared" si="46"/>
        <v>-2.7500000001055014E-3</v>
      </c>
      <c r="U663" s="914">
        <f t="shared" si="47"/>
        <v>10</v>
      </c>
      <c r="V663" s="612"/>
      <c r="W663" s="612"/>
      <c r="X663" s="612"/>
      <c r="Y663" s="612"/>
      <c r="Z663" s="612"/>
      <c r="AA663" s="612"/>
      <c r="AB663" s="612"/>
      <c r="AC663" s="612"/>
      <c r="AD663" s="930">
        <v>45619.608391203707</v>
      </c>
    </row>
    <row r="664" spans="1:30">
      <c r="A664" s="48" t="s">
        <v>1902</v>
      </c>
      <c r="B664" s="60">
        <v>45570</v>
      </c>
      <c r="C664" s="54" t="s">
        <v>173</v>
      </c>
      <c r="D664" s="435" t="str">
        <f>IFERROR(VLOOKUP(C664,Mychart!$A$125:$B$811,2,FALSE),"-")</f>
        <v>BAB AL TABREED A/C UNITS FIX.CONT</v>
      </c>
      <c r="E664" s="676" t="s">
        <v>979</v>
      </c>
      <c r="F664" s="58">
        <v>233</v>
      </c>
      <c r="G664" s="58">
        <v>2.8</v>
      </c>
      <c r="H664" s="58">
        <v>1107.9000000000001</v>
      </c>
      <c r="I664" s="58">
        <v>55.39500000000001</v>
      </c>
      <c r="J664" s="56" t="s">
        <v>1903</v>
      </c>
      <c r="K664" s="56" t="s">
        <v>1851</v>
      </c>
      <c r="L664" s="292">
        <v>258</v>
      </c>
      <c r="M664" s="292"/>
      <c r="N664" s="358"/>
      <c r="O664" s="292"/>
      <c r="P664" s="292"/>
      <c r="Q664" s="614"/>
      <c r="R664" s="913">
        <f t="shared" si="44"/>
        <v>0</v>
      </c>
      <c r="S664" s="913">
        <f t="shared" si="45"/>
        <v>0</v>
      </c>
      <c r="T664" s="913">
        <f t="shared" si="46"/>
        <v>0</v>
      </c>
      <c r="U664" s="914">
        <f t="shared" si="47"/>
        <v>233</v>
      </c>
      <c r="V664" s="612"/>
      <c r="W664" s="612"/>
      <c r="X664" s="612"/>
      <c r="Y664" s="612"/>
      <c r="Z664" s="612"/>
      <c r="AA664" s="612"/>
      <c r="AB664" s="612"/>
      <c r="AC664" s="612"/>
    </row>
    <row r="665" spans="1:30">
      <c r="A665" s="48" t="s">
        <v>1902</v>
      </c>
      <c r="B665" s="60">
        <v>45570</v>
      </c>
      <c r="C665" s="54" t="s">
        <v>173</v>
      </c>
      <c r="D665" s="435" t="str">
        <f>IFERROR(VLOOKUP(C665,Mychart!$A$125:$B$811,2,FALSE),"-")</f>
        <v>BAB AL TABREED A/C UNITS FIX.CONT</v>
      </c>
      <c r="E665" s="676" t="s">
        <v>1544</v>
      </c>
      <c r="F665" s="58">
        <v>117</v>
      </c>
      <c r="G665" s="58">
        <v>3.5</v>
      </c>
      <c r="H665" s="58">
        <v>1107.9000000000001</v>
      </c>
      <c r="I665" s="58">
        <v>55.39500000000001</v>
      </c>
      <c r="J665" s="56" t="s">
        <v>1903</v>
      </c>
      <c r="K665" s="56" t="s">
        <v>1851</v>
      </c>
      <c r="L665" s="292">
        <v>258</v>
      </c>
      <c r="M665" s="292"/>
      <c r="N665" s="358"/>
      <c r="O665" s="292"/>
      <c r="P665" s="292"/>
      <c r="Q665" s="614"/>
      <c r="R665" s="913">
        <f t="shared" si="44"/>
        <v>0</v>
      </c>
      <c r="S665" s="913">
        <f t="shared" si="45"/>
        <v>0</v>
      </c>
      <c r="T665" s="913">
        <f t="shared" si="46"/>
        <v>0</v>
      </c>
      <c r="U665" s="914">
        <f t="shared" si="47"/>
        <v>117</v>
      </c>
      <c r="V665" s="612"/>
      <c r="W665" s="612"/>
      <c r="X665" s="612"/>
      <c r="Y665" s="612"/>
      <c r="Z665" s="612"/>
      <c r="AA665" s="612"/>
      <c r="AB665" s="612"/>
      <c r="AC665" s="612"/>
    </row>
    <row r="666" spans="1:30">
      <c r="A666" s="48" t="s">
        <v>1902</v>
      </c>
      <c r="B666" s="60">
        <v>45570</v>
      </c>
      <c r="C666" s="54" t="s">
        <v>173</v>
      </c>
      <c r="D666" s="435" t="str">
        <f>IFERROR(VLOOKUP(C666,Mychart!$A$125:$B$811,2,FALSE),"-")</f>
        <v>BAB AL TABREED A/C UNITS FIX.CONT</v>
      </c>
      <c r="E666" s="676" t="s">
        <v>1118</v>
      </c>
      <c r="F666" s="58">
        <v>10</v>
      </c>
      <c r="G666" s="58">
        <v>3</v>
      </c>
      <c r="H666" s="58">
        <v>1107.9000000000001</v>
      </c>
      <c r="I666" s="58">
        <v>55.39500000000001</v>
      </c>
      <c r="J666" s="56" t="s">
        <v>1903</v>
      </c>
      <c r="K666" s="56" t="s">
        <v>1851</v>
      </c>
      <c r="L666" s="292">
        <v>258</v>
      </c>
      <c r="M666" s="292"/>
      <c r="N666" s="358"/>
      <c r="O666" s="292"/>
      <c r="P666" s="292"/>
      <c r="Q666" s="614"/>
      <c r="R666" s="913">
        <f t="shared" si="44"/>
        <v>0</v>
      </c>
      <c r="S666" s="913">
        <f t="shared" si="45"/>
        <v>0</v>
      </c>
      <c r="T666" s="913">
        <f t="shared" si="46"/>
        <v>0</v>
      </c>
      <c r="U666" s="914">
        <f t="shared" si="47"/>
        <v>10</v>
      </c>
      <c r="V666" s="612"/>
      <c r="W666" s="612"/>
      <c r="X666" s="612"/>
      <c r="Y666" s="612"/>
      <c r="Z666" s="612"/>
      <c r="AA666" s="612"/>
      <c r="AB666" s="612"/>
      <c r="AC666" s="612"/>
    </row>
    <row r="667" spans="1:30">
      <c r="A667" s="48" t="s">
        <v>1902</v>
      </c>
      <c r="B667" s="60">
        <v>45570</v>
      </c>
      <c r="C667" s="54" t="s">
        <v>173</v>
      </c>
      <c r="D667" s="435" t="str">
        <f>IFERROR(VLOOKUP(C667,Mychart!$A$125:$B$811,2,FALSE),"-")</f>
        <v>BAB AL TABREED A/C UNITS FIX.CONT</v>
      </c>
      <c r="E667" s="676" t="s">
        <v>1119</v>
      </c>
      <c r="F667" s="58">
        <v>8</v>
      </c>
      <c r="G667" s="58">
        <v>2</v>
      </c>
      <c r="H667" s="58">
        <v>1107.9000000000001</v>
      </c>
      <c r="I667" s="58">
        <v>55.39500000000001</v>
      </c>
      <c r="J667" s="56" t="s">
        <v>1903</v>
      </c>
      <c r="K667" s="56" t="s">
        <v>1851</v>
      </c>
      <c r="L667" s="292">
        <v>258</v>
      </c>
      <c r="M667" s="292" t="s">
        <v>5777</v>
      </c>
      <c r="N667" s="358">
        <v>1163.3</v>
      </c>
      <c r="O667" s="292">
        <v>1163.3</v>
      </c>
      <c r="P667" s="292"/>
      <c r="Q667" s="614">
        <v>1163.2950000000001</v>
      </c>
      <c r="R667" s="913">
        <f t="shared" si="44"/>
        <v>0</v>
      </c>
      <c r="S667" s="913">
        <f t="shared" si="45"/>
        <v>-4.9999999998817657E-3</v>
      </c>
      <c r="T667" s="913">
        <f t="shared" si="46"/>
        <v>-4.9999999998817657E-3</v>
      </c>
      <c r="U667" s="914">
        <f t="shared" si="47"/>
        <v>8</v>
      </c>
      <c r="V667" s="612"/>
      <c r="W667" s="612"/>
      <c r="X667" s="612"/>
      <c r="Y667" s="612"/>
      <c r="Z667" s="612"/>
      <c r="AA667" s="612"/>
      <c r="AB667" s="612"/>
      <c r="AC667" s="612"/>
      <c r="AD667" s="930">
        <v>45619.608402777776</v>
      </c>
    </row>
    <row r="668" spans="1:30">
      <c r="A668" s="48" t="s">
        <v>2887</v>
      </c>
      <c r="B668" s="60">
        <v>45572</v>
      </c>
      <c r="C668" s="54" t="s">
        <v>173</v>
      </c>
      <c r="D668" s="435" t="str">
        <f>IFERROR(VLOOKUP(C668,Mychart!$A$125:$B$811,2,FALSE),"-")</f>
        <v>BAB AL TABREED A/C UNITS FIX.CONT</v>
      </c>
      <c r="E668" s="294" t="s">
        <v>979</v>
      </c>
      <c r="F668" s="58">
        <v>9.32</v>
      </c>
      <c r="G668" s="58">
        <v>2.8</v>
      </c>
      <c r="H668" s="58">
        <v>430.80599999999998</v>
      </c>
      <c r="I668" s="58">
        <v>21.540300000000002</v>
      </c>
      <c r="J668" s="56" t="s">
        <v>2886</v>
      </c>
      <c r="K668" s="56" t="s">
        <v>269</v>
      </c>
      <c r="L668" s="292">
        <v>256</v>
      </c>
      <c r="M668" s="292"/>
      <c r="N668" s="358"/>
      <c r="O668" s="292"/>
      <c r="P668" s="292"/>
      <c r="Q668" s="614"/>
      <c r="R668" s="913">
        <f t="shared" si="44"/>
        <v>0</v>
      </c>
      <c r="S668" s="913">
        <f t="shared" si="45"/>
        <v>0</v>
      </c>
      <c r="T668" s="913">
        <f t="shared" si="46"/>
        <v>0</v>
      </c>
      <c r="U668" s="914">
        <f t="shared" si="47"/>
        <v>9.32</v>
      </c>
      <c r="V668" s="612"/>
      <c r="W668" s="612"/>
      <c r="X668" s="612"/>
      <c r="Y668" s="612"/>
      <c r="Z668" s="612"/>
      <c r="AA668" s="612"/>
      <c r="AB668" s="612"/>
      <c r="AC668" s="612"/>
    </row>
    <row r="669" spans="1:30">
      <c r="A669" s="48" t="s">
        <v>2887</v>
      </c>
      <c r="B669" s="60">
        <v>45572</v>
      </c>
      <c r="C669" s="54" t="s">
        <v>173</v>
      </c>
      <c r="D669" s="435" t="str">
        <f>IFERROR(VLOOKUP(C669,Mychart!$A$125:$B$811,2,FALSE),"-")</f>
        <v>BAB AL TABREED A/C UNITS FIX.CONT</v>
      </c>
      <c r="E669" s="294" t="s">
        <v>2888</v>
      </c>
      <c r="F669" s="58">
        <v>86.38</v>
      </c>
      <c r="G669" s="58">
        <v>4.5</v>
      </c>
      <c r="H669" s="58">
        <v>430.80599999999998</v>
      </c>
      <c r="I669" s="58">
        <v>21.540300000000002</v>
      </c>
      <c r="J669" s="56" t="s">
        <v>2886</v>
      </c>
      <c r="K669" s="56" t="s">
        <v>269</v>
      </c>
      <c r="L669" s="292">
        <v>256</v>
      </c>
      <c r="M669" s="292"/>
      <c r="N669" s="358"/>
      <c r="O669" s="292"/>
      <c r="P669" s="292"/>
      <c r="Q669" s="614"/>
      <c r="R669" s="913">
        <f t="shared" si="44"/>
        <v>0</v>
      </c>
      <c r="S669" s="913">
        <f t="shared" si="45"/>
        <v>0</v>
      </c>
      <c r="T669" s="913">
        <f t="shared" si="46"/>
        <v>0</v>
      </c>
      <c r="U669" s="914">
        <f t="shared" si="47"/>
        <v>86.38</v>
      </c>
      <c r="V669" s="612"/>
      <c r="W669" s="612"/>
      <c r="X669" s="612"/>
      <c r="Y669" s="612"/>
      <c r="Z669" s="612"/>
      <c r="AA669" s="612"/>
      <c r="AB669" s="612"/>
      <c r="AC669" s="612"/>
    </row>
    <row r="670" spans="1:30">
      <c r="A670" s="48" t="s">
        <v>2887</v>
      </c>
      <c r="B670" s="60">
        <v>45572</v>
      </c>
      <c r="C670" s="54" t="s">
        <v>173</v>
      </c>
      <c r="D670" s="435" t="str">
        <f>IFERROR(VLOOKUP(C670,Mychart!$A$125:$B$811,2,FALSE),"-")</f>
        <v>BAB AL TABREED A/C UNITS FIX.CONT</v>
      </c>
      <c r="E670" s="294" t="s">
        <v>1118</v>
      </c>
      <c r="F670" s="58">
        <v>4</v>
      </c>
      <c r="G670" s="58">
        <v>3</v>
      </c>
      <c r="H670" s="58">
        <v>430.80599999999998</v>
      </c>
      <c r="I670" s="58">
        <v>21.540300000000002</v>
      </c>
      <c r="J670" s="56" t="s">
        <v>2886</v>
      </c>
      <c r="K670" s="56" t="s">
        <v>269</v>
      </c>
      <c r="L670" s="292">
        <v>256</v>
      </c>
      <c r="M670" s="292"/>
      <c r="N670" s="358"/>
      <c r="O670" s="292"/>
      <c r="P670" s="292"/>
      <c r="Q670" s="614"/>
      <c r="R670" s="913">
        <f t="shared" si="44"/>
        <v>0</v>
      </c>
      <c r="S670" s="913">
        <f t="shared" si="45"/>
        <v>0</v>
      </c>
      <c r="T670" s="913">
        <f t="shared" si="46"/>
        <v>0</v>
      </c>
      <c r="U670" s="914">
        <f t="shared" si="47"/>
        <v>4</v>
      </c>
      <c r="V670" s="612"/>
      <c r="W670" s="612"/>
      <c r="X670" s="612"/>
      <c r="Y670" s="612"/>
      <c r="Z670" s="612"/>
      <c r="AA670" s="612"/>
      <c r="AB670" s="612"/>
      <c r="AC670" s="612"/>
    </row>
    <row r="671" spans="1:30">
      <c r="A671" s="48" t="s">
        <v>2887</v>
      </c>
      <c r="B671" s="60">
        <v>45572</v>
      </c>
      <c r="C671" s="54" t="s">
        <v>173</v>
      </c>
      <c r="D671" s="435" t="str">
        <f>IFERROR(VLOOKUP(C671,Mychart!$A$125:$B$811,2,FALSE),"-")</f>
        <v>BAB AL TABREED A/C UNITS FIX.CONT</v>
      </c>
      <c r="E671" s="294" t="s">
        <v>1119</v>
      </c>
      <c r="F671" s="58">
        <v>2</v>
      </c>
      <c r="G671" s="58">
        <v>2</v>
      </c>
      <c r="H671" s="58">
        <v>430.80599999999998</v>
      </c>
      <c r="I671" s="58">
        <v>21.540300000000002</v>
      </c>
      <c r="J671" s="56" t="s">
        <v>2886</v>
      </c>
      <c r="K671" s="56" t="s">
        <v>269</v>
      </c>
      <c r="L671" s="292">
        <v>256</v>
      </c>
      <c r="M671" s="292" t="s">
        <v>5770</v>
      </c>
      <c r="N671" s="358">
        <v>452.36</v>
      </c>
      <c r="O671" s="292">
        <v>452.36</v>
      </c>
      <c r="P671" s="292"/>
      <c r="Q671" s="614">
        <v>452.34629999999999</v>
      </c>
      <c r="R671" s="913">
        <f t="shared" si="44"/>
        <v>0</v>
      </c>
      <c r="S671" s="913">
        <f t="shared" si="45"/>
        <v>-1.3700000000028467E-2</v>
      </c>
      <c r="T671" s="913">
        <f t="shared" si="46"/>
        <v>-1.3700000000028467E-2</v>
      </c>
      <c r="U671" s="914">
        <f t="shared" si="47"/>
        <v>2</v>
      </c>
      <c r="V671" s="612"/>
      <c r="W671" s="612"/>
      <c r="X671" s="612"/>
      <c r="Y671" s="612"/>
      <c r="Z671" s="612"/>
      <c r="AA671" s="612"/>
      <c r="AB671" s="612"/>
      <c r="AC671" s="612"/>
      <c r="AD671" s="930">
        <v>45619.608391203707</v>
      </c>
    </row>
    <row r="672" spans="1:30">
      <c r="A672" s="48" t="s">
        <v>3010</v>
      </c>
      <c r="B672" s="60">
        <v>45579</v>
      </c>
      <c r="C672" s="54" t="s">
        <v>168</v>
      </c>
      <c r="D672" s="435" t="str">
        <f>IFERROR(VLOOKUP(C672,Mychart!$A$125:$B$811,2,FALSE),"-")</f>
        <v>UTS Carrier</v>
      </c>
      <c r="E672" s="294" t="s">
        <v>236</v>
      </c>
      <c r="F672" s="58">
        <v>1</v>
      </c>
      <c r="G672" s="58"/>
      <c r="H672" s="58">
        <v>118840</v>
      </c>
      <c r="I672" s="58">
        <v>5942</v>
      </c>
      <c r="J672" s="56" t="s">
        <v>198</v>
      </c>
      <c r="K672" s="56" t="s">
        <v>2845</v>
      </c>
      <c r="L672" s="292">
        <v>278</v>
      </c>
      <c r="M672" s="292"/>
      <c r="N672" s="358"/>
      <c r="O672" s="292"/>
      <c r="P672" s="292"/>
      <c r="Q672" s="614"/>
      <c r="R672" s="913">
        <f t="shared" si="44"/>
        <v>0</v>
      </c>
      <c r="S672" s="913">
        <f t="shared" si="45"/>
        <v>0</v>
      </c>
      <c r="T672" s="913">
        <f t="shared" si="46"/>
        <v>0</v>
      </c>
      <c r="U672" s="914">
        <f t="shared" si="47"/>
        <v>1</v>
      </c>
      <c r="V672" s="612"/>
      <c r="W672" s="612"/>
      <c r="X672" s="612"/>
      <c r="Y672" s="612"/>
      <c r="Z672" s="612"/>
      <c r="AA672" s="612"/>
      <c r="AB672" s="612"/>
      <c r="AC672" s="612"/>
    </row>
    <row r="673" spans="1:29">
      <c r="A673" s="48" t="s">
        <v>3010</v>
      </c>
      <c r="B673" s="60">
        <v>45579</v>
      </c>
      <c r="C673" s="54" t="s">
        <v>168</v>
      </c>
      <c r="D673" s="435" t="str">
        <f>IFERROR(VLOOKUP(C673,Mychart!$A$125:$B$811,2,FALSE),"-")</f>
        <v>UTS Carrier</v>
      </c>
      <c r="E673" s="294" t="s">
        <v>237</v>
      </c>
      <c r="F673" s="58">
        <v>1</v>
      </c>
      <c r="G673" s="58"/>
      <c r="H673" s="58">
        <v>118840</v>
      </c>
      <c r="I673" s="58">
        <v>5942</v>
      </c>
      <c r="J673" s="56" t="s">
        <v>198</v>
      </c>
      <c r="K673" s="56" t="s">
        <v>2845</v>
      </c>
      <c r="L673" s="292">
        <v>278</v>
      </c>
      <c r="M673" s="292"/>
      <c r="N673" s="358"/>
      <c r="O673" s="292"/>
      <c r="P673" s="292"/>
      <c r="Q673" s="614"/>
      <c r="R673" s="913">
        <f t="shared" si="44"/>
        <v>0</v>
      </c>
      <c r="S673" s="913">
        <f t="shared" si="45"/>
        <v>0</v>
      </c>
      <c r="T673" s="913">
        <f t="shared" si="46"/>
        <v>0</v>
      </c>
      <c r="U673" s="914">
        <f t="shared" si="47"/>
        <v>1</v>
      </c>
      <c r="V673" s="612"/>
      <c r="W673" s="612"/>
      <c r="X673" s="612"/>
      <c r="Y673" s="612"/>
      <c r="Z673" s="612"/>
      <c r="AA673" s="612"/>
      <c r="AB673" s="612"/>
      <c r="AC673" s="612"/>
    </row>
    <row r="674" spans="1:29">
      <c r="A674" s="48" t="s">
        <v>3010</v>
      </c>
      <c r="B674" s="60">
        <v>45579</v>
      </c>
      <c r="C674" s="54" t="s">
        <v>168</v>
      </c>
      <c r="D674" s="435" t="str">
        <f>IFERROR(VLOOKUP(C674,Mychart!$A$125:$B$811,2,FALSE),"-")</f>
        <v>UTS Carrier</v>
      </c>
      <c r="E674" s="294" t="s">
        <v>827</v>
      </c>
      <c r="F674" s="58">
        <v>7</v>
      </c>
      <c r="G674" s="58"/>
      <c r="H674" s="58">
        <v>118840</v>
      </c>
      <c r="I674" s="58">
        <v>5942</v>
      </c>
      <c r="J674" s="56" t="s">
        <v>198</v>
      </c>
      <c r="K674" s="56" t="s">
        <v>2845</v>
      </c>
      <c r="L674" s="292">
        <v>278</v>
      </c>
      <c r="M674" s="292"/>
      <c r="N674" s="358"/>
      <c r="O674" s="292"/>
      <c r="P674" s="292"/>
      <c r="Q674" s="614"/>
      <c r="R674" s="913">
        <f t="shared" si="44"/>
        <v>0</v>
      </c>
      <c r="S674" s="913">
        <f t="shared" si="45"/>
        <v>0</v>
      </c>
      <c r="T674" s="913">
        <f t="shared" si="46"/>
        <v>0</v>
      </c>
      <c r="U674" s="914">
        <f t="shared" si="47"/>
        <v>7</v>
      </c>
      <c r="V674" s="612"/>
      <c r="W674" s="612"/>
      <c r="X674" s="612"/>
      <c r="Y674" s="612"/>
      <c r="Z674" s="612"/>
      <c r="AA674" s="612"/>
      <c r="AB674" s="612"/>
      <c r="AC674" s="612"/>
    </row>
    <row r="675" spans="1:29">
      <c r="A675" s="48" t="s">
        <v>3010</v>
      </c>
      <c r="B675" s="60">
        <v>45579</v>
      </c>
      <c r="C675" s="54" t="s">
        <v>168</v>
      </c>
      <c r="D675" s="435" t="str">
        <f>IFERROR(VLOOKUP(C675,Mychart!$A$125:$B$811,2,FALSE),"-")</f>
        <v>UTS Carrier</v>
      </c>
      <c r="E675" s="294" t="s">
        <v>828</v>
      </c>
      <c r="F675" s="58">
        <v>7</v>
      </c>
      <c r="G675" s="58"/>
      <c r="H675" s="58">
        <v>118840</v>
      </c>
      <c r="I675" s="58">
        <v>5942</v>
      </c>
      <c r="J675" s="56" t="s">
        <v>198</v>
      </c>
      <c r="K675" s="56" t="s">
        <v>2845</v>
      </c>
      <c r="L675" s="292">
        <v>278</v>
      </c>
      <c r="M675" s="292"/>
      <c r="N675" s="358"/>
      <c r="O675" s="292"/>
      <c r="P675" s="292"/>
      <c r="Q675" s="614"/>
      <c r="R675" s="913">
        <f t="shared" si="44"/>
        <v>0</v>
      </c>
      <c r="S675" s="913">
        <f t="shared" si="45"/>
        <v>0</v>
      </c>
      <c r="T675" s="913">
        <f t="shared" si="46"/>
        <v>0</v>
      </c>
      <c r="U675" s="914">
        <f t="shared" si="47"/>
        <v>7</v>
      </c>
      <c r="V675" s="612"/>
      <c r="W675" s="612"/>
      <c r="X675" s="612"/>
      <c r="Y675" s="612"/>
      <c r="Z675" s="612"/>
      <c r="AA675" s="612"/>
      <c r="AB675" s="612"/>
      <c r="AC675" s="612"/>
    </row>
    <row r="676" spans="1:29">
      <c r="A676" s="48" t="s">
        <v>3010</v>
      </c>
      <c r="B676" s="60">
        <v>45579</v>
      </c>
      <c r="C676" s="54" t="s">
        <v>168</v>
      </c>
      <c r="D676" s="435" t="str">
        <f>IFERROR(VLOOKUP(C676,Mychart!$A$125:$B$811,2,FALSE),"-")</f>
        <v>UTS Carrier</v>
      </c>
      <c r="E676" s="294" t="s">
        <v>238</v>
      </c>
      <c r="F676" s="58">
        <v>4</v>
      </c>
      <c r="G676" s="58"/>
      <c r="H676" s="58">
        <v>118840</v>
      </c>
      <c r="I676" s="58">
        <v>5942</v>
      </c>
      <c r="J676" s="56" t="s">
        <v>198</v>
      </c>
      <c r="K676" s="56" t="s">
        <v>2845</v>
      </c>
      <c r="L676" s="292">
        <v>278</v>
      </c>
      <c r="M676" s="292"/>
      <c r="N676" s="358"/>
      <c r="O676" s="292"/>
      <c r="P676" s="292"/>
      <c r="Q676" s="614"/>
      <c r="R676" s="913">
        <f t="shared" si="44"/>
        <v>0</v>
      </c>
      <c r="S676" s="913">
        <f t="shared" si="45"/>
        <v>0</v>
      </c>
      <c r="T676" s="913">
        <f t="shared" si="46"/>
        <v>0</v>
      </c>
      <c r="U676" s="914">
        <f t="shared" si="47"/>
        <v>4</v>
      </c>
      <c r="V676" s="612"/>
      <c r="W676" s="612"/>
      <c r="X676" s="612"/>
      <c r="Y676" s="612"/>
      <c r="Z676" s="612"/>
      <c r="AA676" s="612"/>
      <c r="AB676" s="612"/>
      <c r="AC676" s="612"/>
    </row>
    <row r="677" spans="1:29">
      <c r="A677" s="48" t="s">
        <v>3010</v>
      </c>
      <c r="B677" s="60">
        <v>45579</v>
      </c>
      <c r="C677" s="54" t="s">
        <v>168</v>
      </c>
      <c r="D677" s="435" t="str">
        <f>IFERROR(VLOOKUP(C677,Mychart!$A$125:$B$811,2,FALSE),"-")</f>
        <v>UTS Carrier</v>
      </c>
      <c r="E677" s="294" t="s">
        <v>239</v>
      </c>
      <c r="F677" s="58">
        <v>4</v>
      </c>
      <c r="G677" s="58"/>
      <c r="H677" s="58">
        <v>118840</v>
      </c>
      <c r="I677" s="58">
        <v>5942</v>
      </c>
      <c r="J677" s="56" t="s">
        <v>198</v>
      </c>
      <c r="K677" s="56" t="s">
        <v>2845</v>
      </c>
      <c r="L677" s="292">
        <v>278</v>
      </c>
      <c r="M677" s="292"/>
      <c r="N677" s="358"/>
      <c r="O677" s="292"/>
      <c r="P677" s="292"/>
      <c r="Q677" s="614"/>
      <c r="R677" s="913">
        <f t="shared" si="44"/>
        <v>0</v>
      </c>
      <c r="S677" s="913">
        <f t="shared" si="45"/>
        <v>0</v>
      </c>
      <c r="T677" s="913">
        <f t="shared" si="46"/>
        <v>0</v>
      </c>
      <c r="U677" s="914">
        <f t="shared" si="47"/>
        <v>4</v>
      </c>
      <c r="V677" s="612"/>
      <c r="W677" s="612"/>
      <c r="X677" s="612"/>
      <c r="Y677" s="612"/>
      <c r="Z677" s="612"/>
      <c r="AA677" s="612"/>
      <c r="AB677" s="612"/>
      <c r="AC677" s="612"/>
    </row>
    <row r="678" spans="1:29">
      <c r="A678" s="48" t="s">
        <v>3010</v>
      </c>
      <c r="B678" s="60">
        <v>45579</v>
      </c>
      <c r="C678" s="54" t="s">
        <v>168</v>
      </c>
      <c r="D678" s="435" t="str">
        <f>IFERROR(VLOOKUP(C678,Mychart!$A$125:$B$811,2,FALSE),"-")</f>
        <v>UTS Carrier</v>
      </c>
      <c r="E678" s="294" t="s">
        <v>232</v>
      </c>
      <c r="F678" s="58">
        <v>4</v>
      </c>
      <c r="G678" s="58"/>
      <c r="H678" s="58">
        <v>118840</v>
      </c>
      <c r="I678" s="58">
        <v>5942</v>
      </c>
      <c r="J678" s="56" t="s">
        <v>198</v>
      </c>
      <c r="K678" s="56" t="s">
        <v>2845</v>
      </c>
      <c r="L678" s="292">
        <v>278</v>
      </c>
      <c r="M678" s="292"/>
      <c r="N678" s="358"/>
      <c r="O678" s="292"/>
      <c r="P678" s="292"/>
      <c r="Q678" s="614"/>
      <c r="R678" s="913">
        <f t="shared" si="44"/>
        <v>0</v>
      </c>
      <c r="S678" s="913">
        <f t="shared" si="45"/>
        <v>0</v>
      </c>
      <c r="T678" s="913">
        <f t="shared" si="46"/>
        <v>0</v>
      </c>
      <c r="U678" s="914">
        <f t="shared" si="47"/>
        <v>4</v>
      </c>
      <c r="V678" s="612"/>
      <c r="W678" s="612"/>
      <c r="X678" s="612"/>
      <c r="Y678" s="612"/>
      <c r="Z678" s="612"/>
      <c r="AA678" s="612"/>
      <c r="AB678" s="612"/>
      <c r="AC678" s="612"/>
    </row>
    <row r="679" spans="1:29">
      <c r="A679" s="48" t="s">
        <v>3010</v>
      </c>
      <c r="B679" s="60">
        <v>45579</v>
      </c>
      <c r="C679" s="54" t="s">
        <v>168</v>
      </c>
      <c r="D679" s="435" t="str">
        <f>IFERROR(VLOOKUP(C679,Mychart!$A$125:$B$811,2,FALSE),"-")</f>
        <v>UTS Carrier</v>
      </c>
      <c r="E679" s="294" t="s">
        <v>233</v>
      </c>
      <c r="F679" s="58">
        <v>4</v>
      </c>
      <c r="G679" s="58"/>
      <c r="H679" s="58">
        <v>118840</v>
      </c>
      <c r="I679" s="58">
        <v>5942</v>
      </c>
      <c r="J679" s="56" t="s">
        <v>198</v>
      </c>
      <c r="K679" s="56" t="s">
        <v>2845</v>
      </c>
      <c r="L679" s="292">
        <v>278</v>
      </c>
      <c r="M679" s="292"/>
      <c r="N679" s="358"/>
      <c r="O679" s="292"/>
      <c r="P679" s="292"/>
      <c r="Q679" s="614"/>
      <c r="R679" s="913">
        <f t="shared" si="44"/>
        <v>0</v>
      </c>
      <c r="S679" s="913">
        <f t="shared" si="45"/>
        <v>0</v>
      </c>
      <c r="T679" s="913">
        <f t="shared" si="46"/>
        <v>0</v>
      </c>
      <c r="U679" s="914">
        <f t="shared" si="47"/>
        <v>4</v>
      </c>
      <c r="V679" s="612"/>
      <c r="W679" s="612"/>
      <c r="X679" s="612"/>
      <c r="Y679" s="612"/>
      <c r="Z679" s="612"/>
      <c r="AA679" s="612"/>
      <c r="AB679" s="612"/>
      <c r="AC679" s="612"/>
    </row>
    <row r="680" spans="1:29">
      <c r="A680" s="48" t="s">
        <v>3010</v>
      </c>
      <c r="B680" s="60">
        <v>45579</v>
      </c>
      <c r="C680" s="54" t="s">
        <v>168</v>
      </c>
      <c r="D680" s="435" t="str">
        <f>IFERROR(VLOOKUP(C680,Mychart!$A$125:$B$811,2,FALSE),"-")</f>
        <v>UTS Carrier</v>
      </c>
      <c r="E680" s="294" t="s">
        <v>1169</v>
      </c>
      <c r="F680" s="58">
        <v>1</v>
      </c>
      <c r="G680" s="58"/>
      <c r="H680" s="58">
        <v>118840</v>
      </c>
      <c r="I680" s="58">
        <v>5942</v>
      </c>
      <c r="J680" s="56" t="s">
        <v>198</v>
      </c>
      <c r="K680" s="56" t="s">
        <v>2845</v>
      </c>
      <c r="L680" s="292">
        <v>278</v>
      </c>
      <c r="M680" s="292"/>
      <c r="N680" s="358"/>
      <c r="O680" s="292"/>
      <c r="P680" s="292"/>
      <c r="Q680" s="614"/>
      <c r="R680" s="913">
        <f t="shared" si="44"/>
        <v>0</v>
      </c>
      <c r="S680" s="913">
        <f t="shared" si="45"/>
        <v>0</v>
      </c>
      <c r="T680" s="913">
        <f t="shared" si="46"/>
        <v>0</v>
      </c>
      <c r="U680" s="914">
        <f t="shared" si="47"/>
        <v>1</v>
      </c>
      <c r="V680" s="612"/>
      <c r="W680" s="612"/>
      <c r="X680" s="612"/>
      <c r="Y680" s="612"/>
      <c r="Z680" s="612"/>
      <c r="AA680" s="612"/>
      <c r="AB680" s="612"/>
      <c r="AC680" s="612"/>
    </row>
    <row r="681" spans="1:29">
      <c r="A681" s="48" t="s">
        <v>3010</v>
      </c>
      <c r="B681" s="60">
        <v>45579</v>
      </c>
      <c r="C681" s="54" t="s">
        <v>168</v>
      </c>
      <c r="D681" s="435" t="str">
        <f>IFERROR(VLOOKUP(C681,Mychart!$A$125:$B$811,2,FALSE),"-")</f>
        <v>UTS Carrier</v>
      </c>
      <c r="E681" s="294" t="s">
        <v>1170</v>
      </c>
      <c r="F681" s="58">
        <v>1</v>
      </c>
      <c r="G681" s="58"/>
      <c r="H681" s="58">
        <v>118840</v>
      </c>
      <c r="I681" s="58">
        <v>5942</v>
      </c>
      <c r="J681" s="56" t="s">
        <v>198</v>
      </c>
      <c r="K681" s="56" t="s">
        <v>2845</v>
      </c>
      <c r="L681" s="292">
        <v>278</v>
      </c>
      <c r="M681" s="292"/>
      <c r="N681" s="358"/>
      <c r="O681" s="292"/>
      <c r="P681" s="292"/>
      <c r="Q681" s="614"/>
      <c r="R681" s="913">
        <f t="shared" si="44"/>
        <v>0</v>
      </c>
      <c r="S681" s="913">
        <f t="shared" si="45"/>
        <v>0</v>
      </c>
      <c r="T681" s="913">
        <f t="shared" si="46"/>
        <v>0</v>
      </c>
      <c r="U681" s="914">
        <f t="shared" si="47"/>
        <v>1</v>
      </c>
      <c r="V681" s="612"/>
      <c r="W681" s="612"/>
      <c r="X681" s="612"/>
      <c r="Y681" s="612"/>
      <c r="Z681" s="612"/>
      <c r="AA681" s="612"/>
      <c r="AB681" s="612"/>
      <c r="AC681" s="612"/>
    </row>
    <row r="682" spans="1:29">
      <c r="A682" s="48" t="s">
        <v>3010</v>
      </c>
      <c r="B682" s="60">
        <v>45579</v>
      </c>
      <c r="C682" s="54" t="s">
        <v>168</v>
      </c>
      <c r="D682" s="435" t="str">
        <f>IFERROR(VLOOKUP(C682,Mychart!$A$125:$B$811,2,FALSE),"-")</f>
        <v>UTS Carrier</v>
      </c>
      <c r="E682" s="294" t="s">
        <v>1099</v>
      </c>
      <c r="F682" s="58">
        <v>3</v>
      </c>
      <c r="G682" s="58"/>
      <c r="H682" s="58">
        <v>118840</v>
      </c>
      <c r="I682" s="58">
        <v>5942</v>
      </c>
      <c r="J682" s="56" t="s">
        <v>198</v>
      </c>
      <c r="K682" s="56" t="s">
        <v>2845</v>
      </c>
      <c r="L682" s="292">
        <v>278</v>
      </c>
      <c r="M682" s="292"/>
      <c r="N682" s="358"/>
      <c r="O682" s="292"/>
      <c r="P682" s="292"/>
      <c r="Q682" s="614"/>
      <c r="R682" s="913">
        <f t="shared" si="44"/>
        <v>0</v>
      </c>
      <c r="S682" s="913">
        <f t="shared" si="45"/>
        <v>0</v>
      </c>
      <c r="T682" s="913">
        <f t="shared" si="46"/>
        <v>0</v>
      </c>
      <c r="U682" s="914">
        <f t="shared" si="47"/>
        <v>3</v>
      </c>
      <c r="V682" s="612"/>
      <c r="W682" s="612"/>
      <c r="X682" s="612"/>
      <c r="Y682" s="612"/>
      <c r="Z682" s="612"/>
      <c r="AA682" s="612"/>
      <c r="AB682" s="612"/>
      <c r="AC682" s="612"/>
    </row>
    <row r="683" spans="1:29">
      <c r="A683" s="48" t="s">
        <v>3010</v>
      </c>
      <c r="B683" s="60">
        <v>45579</v>
      </c>
      <c r="C683" s="54" t="s">
        <v>168</v>
      </c>
      <c r="D683" s="435" t="str">
        <f>IFERROR(VLOOKUP(C683,Mychart!$A$125:$B$811,2,FALSE),"-")</f>
        <v>UTS Carrier</v>
      </c>
      <c r="E683" s="294" t="s">
        <v>1100</v>
      </c>
      <c r="F683" s="58">
        <v>3</v>
      </c>
      <c r="G683" s="58"/>
      <c r="H683" s="58">
        <v>118840</v>
      </c>
      <c r="I683" s="58">
        <v>5942</v>
      </c>
      <c r="J683" s="56" t="s">
        <v>198</v>
      </c>
      <c r="K683" s="56" t="s">
        <v>2845</v>
      </c>
      <c r="L683" s="292">
        <v>278</v>
      </c>
      <c r="M683" s="292"/>
      <c r="N683" s="358"/>
      <c r="O683" s="292"/>
      <c r="P683" s="292"/>
      <c r="Q683" s="614"/>
      <c r="R683" s="913">
        <f t="shared" si="44"/>
        <v>0</v>
      </c>
      <c r="S683" s="913">
        <f t="shared" si="45"/>
        <v>0</v>
      </c>
      <c r="T683" s="913">
        <f t="shared" si="46"/>
        <v>0</v>
      </c>
      <c r="U683" s="914">
        <f t="shared" si="47"/>
        <v>3</v>
      </c>
      <c r="V683" s="612"/>
      <c r="W683" s="612"/>
      <c r="X683" s="612"/>
      <c r="Y683" s="612"/>
      <c r="Z683" s="612"/>
      <c r="AA683" s="612"/>
      <c r="AB683" s="612"/>
      <c r="AC683" s="612"/>
    </row>
    <row r="684" spans="1:29">
      <c r="A684" s="48" t="s">
        <v>3010</v>
      </c>
      <c r="B684" s="60">
        <v>45579</v>
      </c>
      <c r="C684" s="54" t="s">
        <v>168</v>
      </c>
      <c r="D684" s="435" t="str">
        <f>IFERROR(VLOOKUP(C684,Mychart!$A$125:$B$811,2,FALSE),"-")</f>
        <v>UTS Carrier</v>
      </c>
      <c r="E684" s="294" t="s">
        <v>832</v>
      </c>
      <c r="F684" s="58">
        <v>2</v>
      </c>
      <c r="G684" s="58"/>
      <c r="H684" s="58">
        <v>118840</v>
      </c>
      <c r="I684" s="58">
        <v>5942</v>
      </c>
      <c r="J684" s="56" t="s">
        <v>198</v>
      </c>
      <c r="K684" s="56" t="s">
        <v>2845</v>
      </c>
      <c r="L684" s="292">
        <v>278</v>
      </c>
      <c r="M684" s="292"/>
      <c r="N684" s="358"/>
      <c r="O684" s="292"/>
      <c r="P684" s="292"/>
      <c r="Q684" s="614"/>
      <c r="R684" s="913">
        <f t="shared" si="44"/>
        <v>0</v>
      </c>
      <c r="S684" s="913">
        <f t="shared" si="45"/>
        <v>0</v>
      </c>
      <c r="T684" s="913">
        <f t="shared" si="46"/>
        <v>0</v>
      </c>
      <c r="U684" s="914">
        <f t="shared" si="47"/>
        <v>2</v>
      </c>
      <c r="V684" s="612"/>
      <c r="W684" s="612"/>
      <c r="X684" s="612"/>
      <c r="Y684" s="612"/>
      <c r="Z684" s="612"/>
      <c r="AA684" s="612"/>
      <c r="AB684" s="612"/>
      <c r="AC684" s="612"/>
    </row>
    <row r="685" spans="1:29">
      <c r="A685" s="48" t="s">
        <v>3010</v>
      </c>
      <c r="B685" s="60">
        <v>45579</v>
      </c>
      <c r="C685" s="54" t="s">
        <v>168</v>
      </c>
      <c r="D685" s="435" t="str">
        <f>IFERROR(VLOOKUP(C685,Mychart!$A$125:$B$811,2,FALSE),"-")</f>
        <v>UTS Carrier</v>
      </c>
      <c r="E685" s="294" t="s">
        <v>833</v>
      </c>
      <c r="F685" s="58">
        <v>2</v>
      </c>
      <c r="G685" s="58"/>
      <c r="H685" s="58">
        <v>118840</v>
      </c>
      <c r="I685" s="58">
        <v>5942</v>
      </c>
      <c r="J685" s="56" t="s">
        <v>198</v>
      </c>
      <c r="K685" s="56" t="s">
        <v>2845</v>
      </c>
      <c r="L685" s="292">
        <v>278</v>
      </c>
      <c r="M685" s="292"/>
      <c r="N685" s="358"/>
      <c r="O685" s="292"/>
      <c r="P685" s="292"/>
      <c r="Q685" s="614"/>
      <c r="R685" s="913">
        <f t="shared" si="44"/>
        <v>0</v>
      </c>
      <c r="S685" s="913">
        <f t="shared" si="45"/>
        <v>0</v>
      </c>
      <c r="T685" s="913">
        <f t="shared" si="46"/>
        <v>0</v>
      </c>
      <c r="U685" s="914">
        <f t="shared" si="47"/>
        <v>2</v>
      </c>
      <c r="V685" s="612"/>
      <c r="W685" s="612"/>
      <c r="X685" s="612"/>
      <c r="Y685" s="612"/>
      <c r="Z685" s="612"/>
      <c r="AA685" s="612"/>
      <c r="AB685" s="612"/>
      <c r="AC685" s="612"/>
    </row>
    <row r="686" spans="1:29">
      <c r="A686" s="48" t="s">
        <v>3010</v>
      </c>
      <c r="B686" s="60">
        <v>45579</v>
      </c>
      <c r="C686" s="54" t="s">
        <v>168</v>
      </c>
      <c r="D686" s="435" t="str">
        <f>IFERROR(VLOOKUP(C686,Mychart!$A$125:$B$811,2,FALSE),"-")</f>
        <v>UTS Carrier</v>
      </c>
      <c r="E686" s="294" t="s">
        <v>1300</v>
      </c>
      <c r="F686" s="58">
        <v>16</v>
      </c>
      <c r="G686" s="58"/>
      <c r="H686" s="58">
        <v>118840</v>
      </c>
      <c r="I686" s="58">
        <v>5942</v>
      </c>
      <c r="J686" s="56" t="s">
        <v>198</v>
      </c>
      <c r="K686" s="56" t="s">
        <v>2845</v>
      </c>
      <c r="L686" s="292">
        <v>278</v>
      </c>
      <c r="M686" s="292"/>
      <c r="N686" s="358"/>
      <c r="O686" s="292"/>
      <c r="P686" s="292"/>
      <c r="Q686" s="614"/>
      <c r="R686" s="913">
        <f t="shared" si="44"/>
        <v>0</v>
      </c>
      <c r="S686" s="913">
        <f t="shared" si="45"/>
        <v>0</v>
      </c>
      <c r="T686" s="913">
        <f t="shared" si="46"/>
        <v>0</v>
      </c>
      <c r="U686" s="914">
        <f t="shared" si="47"/>
        <v>16</v>
      </c>
      <c r="V686" s="612"/>
      <c r="W686" s="612"/>
      <c r="X686" s="612"/>
      <c r="Y686" s="612"/>
      <c r="Z686" s="612"/>
      <c r="AA686" s="612"/>
      <c r="AB686" s="612"/>
      <c r="AC686" s="612"/>
    </row>
    <row r="687" spans="1:29">
      <c r="A687" s="48" t="s">
        <v>3010</v>
      </c>
      <c r="B687" s="60">
        <v>45579</v>
      </c>
      <c r="C687" s="54" t="s">
        <v>168</v>
      </c>
      <c r="D687" s="435" t="str">
        <f>IFERROR(VLOOKUP(C687,Mychart!$A$125:$B$811,2,FALSE),"-")</f>
        <v>UTS Carrier</v>
      </c>
      <c r="E687" s="294" t="s">
        <v>3011</v>
      </c>
      <c r="F687" s="58">
        <v>1</v>
      </c>
      <c r="G687" s="58">
        <v>118840</v>
      </c>
      <c r="H687" s="58">
        <v>118840</v>
      </c>
      <c r="I687" s="58">
        <v>5942</v>
      </c>
      <c r="J687" s="56" t="s">
        <v>198</v>
      </c>
      <c r="K687" s="56" t="s">
        <v>2845</v>
      </c>
      <c r="L687" s="292">
        <v>278</v>
      </c>
      <c r="M687" s="292"/>
      <c r="N687" s="358"/>
      <c r="O687" s="292"/>
      <c r="P687" s="292"/>
      <c r="Q687" s="614">
        <v>124782</v>
      </c>
      <c r="R687" s="913">
        <f t="shared" si="44"/>
        <v>0</v>
      </c>
      <c r="S687" s="913">
        <f t="shared" si="45"/>
        <v>124782</v>
      </c>
      <c r="T687" s="913">
        <f t="shared" si="46"/>
        <v>124782</v>
      </c>
      <c r="U687" s="914">
        <f t="shared" si="47"/>
        <v>1</v>
      </c>
      <c r="V687" s="612"/>
      <c r="W687" s="612"/>
      <c r="X687" s="612"/>
      <c r="Y687" s="612"/>
      <c r="Z687" s="612"/>
      <c r="AA687" s="612"/>
      <c r="AB687" s="612"/>
      <c r="AC687" s="612"/>
    </row>
    <row r="688" spans="1:29">
      <c r="A688" s="48" t="s">
        <v>3018</v>
      </c>
      <c r="B688" s="60">
        <v>45579</v>
      </c>
      <c r="C688" s="54" t="s">
        <v>168</v>
      </c>
      <c r="D688" s="435" t="str">
        <f>IFERROR(VLOOKUP(C688,Mychart!$A$125:$B$811,2,FALSE),"-")</f>
        <v>UTS Carrier</v>
      </c>
      <c r="E688" s="294" t="s">
        <v>236</v>
      </c>
      <c r="F688" s="58">
        <v>1</v>
      </c>
      <c r="G688" s="58"/>
      <c r="H688" s="58">
        <v>65929.960000000006</v>
      </c>
      <c r="I688" s="58">
        <v>3296.4980000000005</v>
      </c>
      <c r="J688" s="56" t="s">
        <v>3016</v>
      </c>
      <c r="K688" s="56" t="s">
        <v>3017</v>
      </c>
      <c r="L688" s="292">
        <v>283</v>
      </c>
      <c r="M688" s="292"/>
      <c r="N688" s="358"/>
      <c r="O688" s="292"/>
      <c r="P688" s="292"/>
      <c r="Q688" s="614"/>
      <c r="R688" s="913">
        <f t="shared" si="44"/>
        <v>0</v>
      </c>
      <c r="S688" s="913">
        <f t="shared" si="45"/>
        <v>0</v>
      </c>
      <c r="T688" s="913">
        <f t="shared" si="46"/>
        <v>0</v>
      </c>
      <c r="U688" s="914">
        <f t="shared" si="47"/>
        <v>1</v>
      </c>
      <c r="V688" s="612"/>
      <c r="W688" s="612"/>
      <c r="X688" s="612"/>
      <c r="Y688" s="612"/>
      <c r="Z688" s="612"/>
      <c r="AA688" s="612"/>
      <c r="AB688" s="612"/>
      <c r="AC688" s="612"/>
    </row>
    <row r="689" spans="1:29">
      <c r="A689" s="48" t="s">
        <v>3018</v>
      </c>
      <c r="B689" s="60">
        <v>45579</v>
      </c>
      <c r="C689" s="54" t="s">
        <v>168</v>
      </c>
      <c r="D689" s="435" t="str">
        <f>IFERROR(VLOOKUP(C689,Mychart!$A$125:$B$811,2,FALSE),"-")</f>
        <v>UTS Carrier</v>
      </c>
      <c r="E689" s="294" t="s">
        <v>237</v>
      </c>
      <c r="F689" s="58">
        <v>1</v>
      </c>
      <c r="G689" s="58"/>
      <c r="H689" s="58">
        <v>65929.960000000006</v>
      </c>
      <c r="I689" s="58">
        <v>3296.4980000000005</v>
      </c>
      <c r="J689" s="56" t="s">
        <v>3016</v>
      </c>
      <c r="K689" s="56" t="s">
        <v>3017</v>
      </c>
      <c r="L689" s="292">
        <v>283</v>
      </c>
      <c r="M689" s="292"/>
      <c r="N689" s="358"/>
      <c r="O689" s="292"/>
      <c r="P689" s="292"/>
      <c r="Q689" s="614"/>
      <c r="R689" s="913">
        <f t="shared" si="44"/>
        <v>0</v>
      </c>
      <c r="S689" s="913">
        <f t="shared" si="45"/>
        <v>0</v>
      </c>
      <c r="T689" s="913">
        <f t="shared" si="46"/>
        <v>0</v>
      </c>
      <c r="U689" s="914">
        <f t="shared" si="47"/>
        <v>1</v>
      </c>
      <c r="V689" s="612"/>
      <c r="W689" s="612"/>
      <c r="X689" s="612"/>
      <c r="Y689" s="612"/>
      <c r="Z689" s="612"/>
      <c r="AA689" s="612"/>
      <c r="AB689" s="612"/>
      <c r="AC689" s="612"/>
    </row>
    <row r="690" spans="1:29">
      <c r="A690" s="48" t="s">
        <v>3018</v>
      </c>
      <c r="B690" s="60">
        <v>45579</v>
      </c>
      <c r="C690" s="54" t="s">
        <v>168</v>
      </c>
      <c r="D690" s="435" t="str">
        <f>IFERROR(VLOOKUP(C690,Mychart!$A$125:$B$811,2,FALSE),"-")</f>
        <v>UTS Carrier</v>
      </c>
      <c r="E690" s="294" t="s">
        <v>827</v>
      </c>
      <c r="F690" s="58">
        <v>2</v>
      </c>
      <c r="G690" s="58"/>
      <c r="H690" s="58">
        <v>65929.960000000006</v>
      </c>
      <c r="I690" s="58">
        <v>3296.4980000000005</v>
      </c>
      <c r="J690" s="56" t="s">
        <v>3016</v>
      </c>
      <c r="K690" s="56" t="s">
        <v>3017</v>
      </c>
      <c r="L690" s="292">
        <v>283</v>
      </c>
      <c r="M690" s="292"/>
      <c r="N690" s="358"/>
      <c r="O690" s="292"/>
      <c r="P690" s="292"/>
      <c r="Q690" s="614"/>
      <c r="R690" s="913">
        <f t="shared" si="44"/>
        <v>0</v>
      </c>
      <c r="S690" s="913">
        <f t="shared" si="45"/>
        <v>0</v>
      </c>
      <c r="T690" s="913">
        <f t="shared" si="46"/>
        <v>0</v>
      </c>
      <c r="U690" s="914">
        <f t="shared" si="47"/>
        <v>2</v>
      </c>
      <c r="V690" s="612"/>
      <c r="W690" s="612"/>
      <c r="X690" s="612"/>
      <c r="Y690" s="612"/>
      <c r="Z690" s="612"/>
      <c r="AA690" s="612"/>
      <c r="AB690" s="612"/>
      <c r="AC690" s="612"/>
    </row>
    <row r="691" spans="1:29">
      <c r="A691" s="48" t="s">
        <v>3018</v>
      </c>
      <c r="B691" s="60">
        <v>45579</v>
      </c>
      <c r="C691" s="54" t="s">
        <v>168</v>
      </c>
      <c r="D691" s="435" t="str">
        <f>IFERROR(VLOOKUP(C691,Mychart!$A$125:$B$811,2,FALSE),"-")</f>
        <v>UTS Carrier</v>
      </c>
      <c r="E691" s="294" t="s">
        <v>828</v>
      </c>
      <c r="F691" s="58">
        <v>2</v>
      </c>
      <c r="G691" s="58"/>
      <c r="H691" s="58">
        <v>65929.960000000006</v>
      </c>
      <c r="I691" s="58">
        <v>3296.4980000000005</v>
      </c>
      <c r="J691" s="56" t="s">
        <v>3016</v>
      </c>
      <c r="K691" s="56" t="s">
        <v>3017</v>
      </c>
      <c r="L691" s="292">
        <v>283</v>
      </c>
      <c r="M691" s="292"/>
      <c r="N691" s="358"/>
      <c r="O691" s="292"/>
      <c r="P691" s="292"/>
      <c r="Q691" s="614"/>
      <c r="R691" s="913">
        <f t="shared" si="44"/>
        <v>0</v>
      </c>
      <c r="S691" s="913">
        <f t="shared" si="45"/>
        <v>0</v>
      </c>
      <c r="T691" s="913">
        <f t="shared" si="46"/>
        <v>0</v>
      </c>
      <c r="U691" s="914">
        <f t="shared" si="47"/>
        <v>2</v>
      </c>
      <c r="V691" s="612"/>
      <c r="W691" s="612"/>
      <c r="X691" s="612"/>
      <c r="Y691" s="612"/>
      <c r="Z691" s="612"/>
      <c r="AA691" s="612"/>
      <c r="AB691" s="612"/>
      <c r="AC691" s="612"/>
    </row>
    <row r="692" spans="1:29">
      <c r="A692" s="48" t="s">
        <v>3018</v>
      </c>
      <c r="B692" s="60">
        <v>45579</v>
      </c>
      <c r="C692" s="54" t="s">
        <v>168</v>
      </c>
      <c r="D692" s="435" t="str">
        <f>IFERROR(VLOOKUP(C692,Mychart!$A$125:$B$811,2,FALSE),"-")</f>
        <v>UTS Carrier</v>
      </c>
      <c r="E692" s="294" t="s">
        <v>234</v>
      </c>
      <c r="F692" s="58">
        <v>1</v>
      </c>
      <c r="G692" s="58"/>
      <c r="H692" s="58">
        <v>65929.960000000006</v>
      </c>
      <c r="I692" s="58">
        <v>3296.4980000000005</v>
      </c>
      <c r="J692" s="56" t="s">
        <v>3016</v>
      </c>
      <c r="K692" s="56" t="s">
        <v>3017</v>
      </c>
      <c r="L692" s="292">
        <v>283</v>
      </c>
      <c r="M692" s="292"/>
      <c r="N692" s="358"/>
      <c r="O692" s="292"/>
      <c r="P692" s="292"/>
      <c r="Q692" s="614"/>
      <c r="R692" s="913">
        <f t="shared" si="44"/>
        <v>0</v>
      </c>
      <c r="S692" s="913">
        <f t="shared" si="45"/>
        <v>0</v>
      </c>
      <c r="T692" s="913">
        <f t="shared" si="46"/>
        <v>0</v>
      </c>
      <c r="U692" s="914">
        <f t="shared" si="47"/>
        <v>1</v>
      </c>
      <c r="V692" s="612"/>
      <c r="W692" s="612"/>
      <c r="X692" s="612"/>
      <c r="Y692" s="612"/>
      <c r="Z692" s="612"/>
      <c r="AA692" s="612"/>
      <c r="AB692" s="612"/>
      <c r="AC692" s="612"/>
    </row>
    <row r="693" spans="1:29">
      <c r="A693" s="48" t="s">
        <v>3018</v>
      </c>
      <c r="B693" s="60">
        <v>45579</v>
      </c>
      <c r="C693" s="54" t="s">
        <v>168</v>
      </c>
      <c r="D693" s="435" t="str">
        <f>IFERROR(VLOOKUP(C693,Mychart!$A$125:$B$811,2,FALSE),"-")</f>
        <v>UTS Carrier</v>
      </c>
      <c r="E693" s="294" t="s">
        <v>235</v>
      </c>
      <c r="F693" s="58">
        <v>1</v>
      </c>
      <c r="G693" s="58"/>
      <c r="H693" s="58">
        <v>65929.960000000006</v>
      </c>
      <c r="I693" s="58">
        <v>3296.4980000000005</v>
      </c>
      <c r="J693" s="56" t="s">
        <v>3016</v>
      </c>
      <c r="K693" s="56" t="s">
        <v>3017</v>
      </c>
      <c r="L693" s="292">
        <v>283</v>
      </c>
      <c r="M693" s="292"/>
      <c r="N693" s="358"/>
      <c r="O693" s="292"/>
      <c r="P693" s="292"/>
      <c r="Q693" s="614"/>
      <c r="R693" s="913">
        <f t="shared" si="44"/>
        <v>0</v>
      </c>
      <c r="S693" s="913">
        <f t="shared" si="45"/>
        <v>0</v>
      </c>
      <c r="T693" s="913">
        <f t="shared" si="46"/>
        <v>0</v>
      </c>
      <c r="U693" s="914">
        <f t="shared" si="47"/>
        <v>1</v>
      </c>
      <c r="V693" s="612"/>
      <c r="W693" s="612"/>
      <c r="X693" s="612"/>
      <c r="Y693" s="612"/>
      <c r="Z693" s="612"/>
      <c r="AA693" s="612"/>
      <c r="AB693" s="612"/>
      <c r="AC693" s="612"/>
    </row>
    <row r="694" spans="1:29">
      <c r="A694" s="48" t="s">
        <v>3018</v>
      </c>
      <c r="B694" s="60">
        <v>45579</v>
      </c>
      <c r="C694" s="54" t="s">
        <v>168</v>
      </c>
      <c r="D694" s="435" t="str">
        <f>IFERROR(VLOOKUP(C694,Mychart!$A$125:$B$811,2,FALSE),"-")</f>
        <v>UTS Carrier</v>
      </c>
      <c r="E694" s="294" t="s">
        <v>232</v>
      </c>
      <c r="F694" s="58">
        <v>4</v>
      </c>
      <c r="G694" s="58"/>
      <c r="H694" s="58">
        <v>65929.960000000006</v>
      </c>
      <c r="I694" s="58">
        <v>3296.4980000000005</v>
      </c>
      <c r="J694" s="56" t="s">
        <v>3016</v>
      </c>
      <c r="K694" s="56" t="s">
        <v>3017</v>
      </c>
      <c r="L694" s="292">
        <v>283</v>
      </c>
      <c r="M694" s="292"/>
      <c r="N694" s="358"/>
      <c r="O694" s="292"/>
      <c r="P694" s="292"/>
      <c r="Q694" s="614"/>
      <c r="R694" s="913">
        <f t="shared" si="44"/>
        <v>0</v>
      </c>
      <c r="S694" s="913">
        <f t="shared" si="45"/>
        <v>0</v>
      </c>
      <c r="T694" s="913">
        <f t="shared" si="46"/>
        <v>0</v>
      </c>
      <c r="U694" s="914">
        <f t="shared" si="47"/>
        <v>4</v>
      </c>
      <c r="V694" s="612"/>
      <c r="W694" s="612"/>
      <c r="X694" s="612"/>
      <c r="Y694" s="612"/>
      <c r="Z694" s="612"/>
      <c r="AA694" s="612"/>
      <c r="AB694" s="612"/>
      <c r="AC694" s="612"/>
    </row>
    <row r="695" spans="1:29">
      <c r="A695" s="48" t="s">
        <v>3018</v>
      </c>
      <c r="B695" s="60">
        <v>45579</v>
      </c>
      <c r="C695" s="54" t="s">
        <v>168</v>
      </c>
      <c r="D695" s="435" t="str">
        <f>IFERROR(VLOOKUP(C695,Mychart!$A$125:$B$811,2,FALSE),"-")</f>
        <v>UTS Carrier</v>
      </c>
      <c r="E695" s="294" t="s">
        <v>233</v>
      </c>
      <c r="F695" s="58">
        <v>4</v>
      </c>
      <c r="G695" s="58"/>
      <c r="H695" s="58">
        <v>65929.960000000006</v>
      </c>
      <c r="I695" s="58">
        <v>3296.4980000000005</v>
      </c>
      <c r="J695" s="56" t="s">
        <v>3016</v>
      </c>
      <c r="K695" s="56" t="s">
        <v>3017</v>
      </c>
      <c r="L695" s="292">
        <v>283</v>
      </c>
      <c r="M695" s="292"/>
      <c r="N695" s="358"/>
      <c r="O695" s="292"/>
      <c r="P695" s="292"/>
      <c r="Q695" s="614"/>
      <c r="R695" s="913">
        <f t="shared" si="44"/>
        <v>0</v>
      </c>
      <c r="S695" s="913">
        <f t="shared" si="45"/>
        <v>0</v>
      </c>
      <c r="T695" s="913">
        <f t="shared" si="46"/>
        <v>0</v>
      </c>
      <c r="U695" s="914">
        <f t="shared" si="47"/>
        <v>4</v>
      </c>
      <c r="V695" s="612"/>
      <c r="W695" s="612"/>
      <c r="X695" s="612"/>
      <c r="Y695" s="612"/>
      <c r="Z695" s="612"/>
      <c r="AA695" s="612"/>
      <c r="AB695" s="612"/>
      <c r="AC695" s="612"/>
    </row>
    <row r="696" spans="1:29">
      <c r="A696" s="48" t="s">
        <v>3018</v>
      </c>
      <c r="B696" s="60">
        <v>45579</v>
      </c>
      <c r="C696" s="54" t="s">
        <v>168</v>
      </c>
      <c r="D696" s="435" t="str">
        <f>IFERROR(VLOOKUP(C696,Mychart!$A$125:$B$811,2,FALSE),"-")</f>
        <v>UTS Carrier</v>
      </c>
      <c r="E696" s="294" t="s">
        <v>1099</v>
      </c>
      <c r="F696" s="58">
        <v>2</v>
      </c>
      <c r="G696" s="58"/>
      <c r="H696" s="58">
        <v>65929.960000000006</v>
      </c>
      <c r="I696" s="58">
        <v>3296.4980000000005</v>
      </c>
      <c r="J696" s="56" t="s">
        <v>3016</v>
      </c>
      <c r="K696" s="56" t="s">
        <v>3017</v>
      </c>
      <c r="L696" s="292">
        <v>283</v>
      </c>
      <c r="M696" s="292"/>
      <c r="N696" s="358"/>
      <c r="O696" s="292"/>
      <c r="P696" s="292"/>
      <c r="Q696" s="614"/>
      <c r="R696" s="913">
        <f t="shared" si="44"/>
        <v>0</v>
      </c>
      <c r="S696" s="913">
        <f t="shared" si="45"/>
        <v>0</v>
      </c>
      <c r="T696" s="913">
        <f t="shared" si="46"/>
        <v>0</v>
      </c>
      <c r="U696" s="914">
        <f t="shared" si="47"/>
        <v>2</v>
      </c>
      <c r="V696" s="612"/>
      <c r="W696" s="612"/>
      <c r="X696" s="612"/>
      <c r="Y696" s="612"/>
      <c r="Z696" s="612"/>
      <c r="AA696" s="612"/>
      <c r="AB696" s="612"/>
      <c r="AC696" s="612"/>
    </row>
    <row r="697" spans="1:29">
      <c r="A697" s="48" t="s">
        <v>3018</v>
      </c>
      <c r="B697" s="60">
        <v>45579</v>
      </c>
      <c r="C697" s="54" t="s">
        <v>168</v>
      </c>
      <c r="D697" s="435" t="str">
        <f>IFERROR(VLOOKUP(C697,Mychart!$A$125:$B$811,2,FALSE),"-")</f>
        <v>UTS Carrier</v>
      </c>
      <c r="E697" s="294" t="s">
        <v>1100</v>
      </c>
      <c r="F697" s="58">
        <v>2</v>
      </c>
      <c r="G697" s="58"/>
      <c r="H697" s="58">
        <v>65929.960000000006</v>
      </c>
      <c r="I697" s="58">
        <v>3296.4980000000005</v>
      </c>
      <c r="J697" s="56" t="s">
        <v>3016</v>
      </c>
      <c r="K697" s="56" t="s">
        <v>3017</v>
      </c>
      <c r="L697" s="292">
        <v>283</v>
      </c>
      <c r="M697" s="292"/>
      <c r="N697" s="358"/>
      <c r="O697" s="292"/>
      <c r="P697" s="292"/>
      <c r="Q697" s="614"/>
      <c r="R697" s="913">
        <f t="shared" si="44"/>
        <v>0</v>
      </c>
      <c r="S697" s="913">
        <f t="shared" si="45"/>
        <v>0</v>
      </c>
      <c r="T697" s="913">
        <f t="shared" si="46"/>
        <v>0</v>
      </c>
      <c r="U697" s="914">
        <f t="shared" si="47"/>
        <v>2</v>
      </c>
      <c r="V697" s="612"/>
      <c r="W697" s="612"/>
      <c r="X697" s="612"/>
      <c r="Y697" s="612"/>
      <c r="Z697" s="612"/>
      <c r="AA697" s="612"/>
      <c r="AB697" s="612"/>
      <c r="AC697" s="612"/>
    </row>
    <row r="698" spans="1:29">
      <c r="A698" s="48" t="s">
        <v>3018</v>
      </c>
      <c r="B698" s="60">
        <v>45579</v>
      </c>
      <c r="C698" s="54" t="s">
        <v>168</v>
      </c>
      <c r="D698" s="435" t="str">
        <f>IFERROR(VLOOKUP(C698,Mychart!$A$125:$B$811,2,FALSE),"-")</f>
        <v>UTS Carrier</v>
      </c>
      <c r="E698" s="294" t="s">
        <v>832</v>
      </c>
      <c r="F698" s="58">
        <v>1</v>
      </c>
      <c r="G698" s="58"/>
      <c r="H698" s="58">
        <v>65929.960000000006</v>
      </c>
      <c r="I698" s="58">
        <v>3296.4980000000005</v>
      </c>
      <c r="J698" s="56" t="s">
        <v>3016</v>
      </c>
      <c r="K698" s="56" t="s">
        <v>3017</v>
      </c>
      <c r="L698" s="292">
        <v>283</v>
      </c>
      <c r="M698" s="292"/>
      <c r="N698" s="358"/>
      <c r="O698" s="292"/>
      <c r="P698" s="292"/>
      <c r="Q698" s="614"/>
      <c r="R698" s="913">
        <f t="shared" si="44"/>
        <v>0</v>
      </c>
      <c r="S698" s="913">
        <f t="shared" si="45"/>
        <v>0</v>
      </c>
      <c r="T698" s="913">
        <f t="shared" si="46"/>
        <v>0</v>
      </c>
      <c r="U698" s="914">
        <f t="shared" si="47"/>
        <v>1</v>
      </c>
      <c r="V698" s="612"/>
      <c r="W698" s="612"/>
      <c r="X698" s="612"/>
      <c r="Y698" s="612"/>
      <c r="Z698" s="612"/>
      <c r="AA698" s="612"/>
      <c r="AB698" s="612"/>
      <c r="AC698" s="612"/>
    </row>
    <row r="699" spans="1:29">
      <c r="A699" s="48" t="s">
        <v>3018</v>
      </c>
      <c r="B699" s="60">
        <v>45579</v>
      </c>
      <c r="C699" s="54" t="s">
        <v>168</v>
      </c>
      <c r="D699" s="435" t="str">
        <f>IFERROR(VLOOKUP(C699,Mychart!$A$125:$B$811,2,FALSE),"-")</f>
        <v>UTS Carrier</v>
      </c>
      <c r="E699" s="294" t="s">
        <v>833</v>
      </c>
      <c r="F699" s="58">
        <v>1</v>
      </c>
      <c r="G699" s="58"/>
      <c r="H699" s="58">
        <v>65929.960000000006</v>
      </c>
      <c r="I699" s="58">
        <v>3296.4980000000005</v>
      </c>
      <c r="J699" s="56" t="s">
        <v>3016</v>
      </c>
      <c r="K699" s="56" t="s">
        <v>3017</v>
      </c>
      <c r="L699" s="292">
        <v>283</v>
      </c>
      <c r="M699" s="292"/>
      <c r="N699" s="358"/>
      <c r="O699" s="292"/>
      <c r="P699" s="292"/>
      <c r="Q699" s="614"/>
      <c r="R699" s="913">
        <f t="shared" si="44"/>
        <v>0</v>
      </c>
      <c r="S699" s="913">
        <f t="shared" si="45"/>
        <v>0</v>
      </c>
      <c r="T699" s="913">
        <f t="shared" si="46"/>
        <v>0</v>
      </c>
      <c r="U699" s="914">
        <f t="shared" si="47"/>
        <v>1</v>
      </c>
      <c r="V699" s="612"/>
      <c r="W699" s="612"/>
      <c r="X699" s="612"/>
      <c r="Y699" s="612"/>
      <c r="Z699" s="612"/>
      <c r="AA699" s="612"/>
      <c r="AB699" s="612"/>
      <c r="AC699" s="612"/>
    </row>
    <row r="700" spans="1:29">
      <c r="A700" s="48" t="s">
        <v>3018</v>
      </c>
      <c r="B700" s="60">
        <v>45579</v>
      </c>
      <c r="C700" s="54" t="s">
        <v>168</v>
      </c>
      <c r="D700" s="435" t="str">
        <f>IFERROR(VLOOKUP(C700,Mychart!$A$125:$B$811,2,FALSE),"-")</f>
        <v>UTS Carrier</v>
      </c>
      <c r="E700" s="294" t="s">
        <v>3012</v>
      </c>
      <c r="F700" s="58">
        <v>1</v>
      </c>
      <c r="G700" s="58"/>
      <c r="H700" s="58">
        <v>65929.960000000006</v>
      </c>
      <c r="I700" s="58">
        <v>3296.4980000000005</v>
      </c>
      <c r="J700" s="56" t="s">
        <v>3016</v>
      </c>
      <c r="K700" s="56" t="s">
        <v>3017</v>
      </c>
      <c r="L700" s="292">
        <v>283</v>
      </c>
      <c r="M700" s="292"/>
      <c r="N700" s="358"/>
      <c r="O700" s="292"/>
      <c r="P700" s="292"/>
      <c r="Q700" s="614"/>
      <c r="R700" s="913">
        <f t="shared" si="44"/>
        <v>0</v>
      </c>
      <c r="S700" s="913">
        <f t="shared" si="45"/>
        <v>0</v>
      </c>
      <c r="T700" s="913">
        <f t="shared" si="46"/>
        <v>0</v>
      </c>
      <c r="U700" s="914">
        <f t="shared" si="47"/>
        <v>1</v>
      </c>
      <c r="V700" s="612"/>
      <c r="W700" s="612"/>
      <c r="X700" s="612"/>
      <c r="Y700" s="612"/>
      <c r="Z700" s="612"/>
      <c r="AA700" s="612"/>
      <c r="AB700" s="612"/>
      <c r="AC700" s="612"/>
    </row>
    <row r="701" spans="1:29">
      <c r="A701" s="48" t="s">
        <v>3018</v>
      </c>
      <c r="B701" s="60">
        <v>45579</v>
      </c>
      <c r="C701" s="54" t="s">
        <v>168</v>
      </c>
      <c r="D701" s="435" t="str">
        <f>IFERROR(VLOOKUP(C701,Mychart!$A$125:$B$811,2,FALSE),"-")</f>
        <v>UTS Carrier</v>
      </c>
      <c r="E701" s="294" t="s">
        <v>3013</v>
      </c>
      <c r="F701" s="58">
        <v>1</v>
      </c>
      <c r="G701" s="58"/>
      <c r="H701" s="58">
        <v>65929.960000000006</v>
      </c>
      <c r="I701" s="58">
        <v>3296.4980000000005</v>
      </c>
      <c r="J701" s="56" t="s">
        <v>3016</v>
      </c>
      <c r="K701" s="56" t="s">
        <v>3017</v>
      </c>
      <c r="L701" s="292">
        <v>283</v>
      </c>
      <c r="M701" s="292"/>
      <c r="N701" s="358"/>
      <c r="O701" s="292"/>
      <c r="P701" s="292"/>
      <c r="Q701" s="614"/>
      <c r="R701" s="913">
        <f t="shared" si="44"/>
        <v>0</v>
      </c>
      <c r="S701" s="913">
        <f t="shared" si="45"/>
        <v>0</v>
      </c>
      <c r="T701" s="913">
        <f t="shared" si="46"/>
        <v>0</v>
      </c>
      <c r="U701" s="914">
        <f t="shared" si="47"/>
        <v>1</v>
      </c>
      <c r="V701" s="612"/>
      <c r="W701" s="612"/>
      <c r="X701" s="612"/>
      <c r="Y701" s="612"/>
      <c r="Z701" s="612"/>
      <c r="AA701" s="612"/>
      <c r="AB701" s="612"/>
      <c r="AC701" s="612"/>
    </row>
    <row r="702" spans="1:29">
      <c r="A702" s="48" t="s">
        <v>3018</v>
      </c>
      <c r="B702" s="60">
        <v>45579</v>
      </c>
      <c r="C702" s="54" t="s">
        <v>168</v>
      </c>
      <c r="D702" s="435" t="str">
        <f>IFERROR(VLOOKUP(C702,Mychart!$A$125:$B$811,2,FALSE),"-")</f>
        <v>UTS Carrier</v>
      </c>
      <c r="E702" s="294" t="s">
        <v>3015</v>
      </c>
      <c r="F702" s="58">
        <v>1</v>
      </c>
      <c r="G702" s="58">
        <v>65929.960000000006</v>
      </c>
      <c r="H702" s="58">
        <v>65929.960000000006</v>
      </c>
      <c r="I702" s="58">
        <v>3296.4980000000005</v>
      </c>
      <c r="J702" s="56" t="s">
        <v>3016</v>
      </c>
      <c r="K702" s="56" t="s">
        <v>3017</v>
      </c>
      <c r="L702" s="292">
        <v>283</v>
      </c>
      <c r="M702" s="292"/>
      <c r="N702" s="358"/>
      <c r="O702" s="292"/>
      <c r="P702" s="292"/>
      <c r="Q702" s="614">
        <v>69226.458000000013</v>
      </c>
      <c r="R702" s="913">
        <f t="shared" si="44"/>
        <v>0</v>
      </c>
      <c r="S702" s="913">
        <f t="shared" si="45"/>
        <v>69226.458000000013</v>
      </c>
      <c r="T702" s="913">
        <f t="shared" si="46"/>
        <v>69226.458000000013</v>
      </c>
      <c r="U702" s="914">
        <f t="shared" si="47"/>
        <v>1</v>
      </c>
      <c r="V702" s="612"/>
      <c r="W702" s="612"/>
      <c r="X702" s="612"/>
      <c r="Y702" s="612"/>
      <c r="Z702" s="612"/>
      <c r="AA702" s="612"/>
      <c r="AB702" s="612"/>
      <c r="AC702" s="612"/>
    </row>
    <row r="703" spans="1:29">
      <c r="A703" s="48" t="s">
        <v>3014</v>
      </c>
      <c r="B703" s="60">
        <v>45579</v>
      </c>
      <c r="C703" s="54" t="s">
        <v>171</v>
      </c>
      <c r="D703" s="435" t="str">
        <f>IFERROR(VLOOKUP(C703,Mychart!$A$125:$B$811,2,FALSE),"-")</f>
        <v>MACS -Al Muthathawerah</v>
      </c>
      <c r="E703" s="295" t="s">
        <v>3019</v>
      </c>
      <c r="F703" s="58">
        <v>1706</v>
      </c>
      <c r="G703" s="58">
        <v>2.85</v>
      </c>
      <c r="H703" s="58">
        <v>5266.85</v>
      </c>
      <c r="I703" s="58">
        <v>263.34250000000003</v>
      </c>
      <c r="J703" s="56">
        <v>241840</v>
      </c>
      <c r="K703" s="56" t="s">
        <v>268</v>
      </c>
      <c r="L703" s="292">
        <v>277</v>
      </c>
      <c r="M703" s="292"/>
      <c r="N703" s="358"/>
      <c r="O703" s="292"/>
      <c r="P703" s="292"/>
      <c r="Q703" s="614"/>
      <c r="R703" s="913">
        <f t="shared" si="44"/>
        <v>0</v>
      </c>
      <c r="S703" s="913">
        <f t="shared" si="45"/>
        <v>0</v>
      </c>
      <c r="T703" s="913">
        <f t="shared" si="46"/>
        <v>0</v>
      </c>
      <c r="U703" s="914">
        <f t="shared" si="47"/>
        <v>1706</v>
      </c>
      <c r="V703" s="612"/>
      <c r="W703" s="612"/>
      <c r="X703" s="612"/>
      <c r="Y703" s="612"/>
      <c r="Z703" s="612"/>
      <c r="AA703" s="612"/>
      <c r="AB703" s="612"/>
      <c r="AC703" s="612"/>
    </row>
    <row r="704" spans="1:29">
      <c r="A704" s="48" t="s">
        <v>3014</v>
      </c>
      <c r="B704" s="60">
        <v>45579</v>
      </c>
      <c r="C704" s="54" t="s">
        <v>171</v>
      </c>
      <c r="D704" s="435" t="str">
        <f>IFERROR(VLOOKUP(C704,Mychart!$A$125:$B$811,2,FALSE),"-")</f>
        <v>MACS -Al Muthathawerah</v>
      </c>
      <c r="E704" s="295" t="s">
        <v>980</v>
      </c>
      <c r="F704" s="58">
        <v>83</v>
      </c>
      <c r="G704" s="58">
        <v>3.25</v>
      </c>
      <c r="H704" s="58">
        <v>5266.85</v>
      </c>
      <c r="I704" s="58">
        <v>263.34250000000003</v>
      </c>
      <c r="J704" s="56">
        <v>241840</v>
      </c>
      <c r="K704" s="56" t="s">
        <v>268</v>
      </c>
      <c r="L704" s="292">
        <v>277</v>
      </c>
      <c r="M704" s="292"/>
      <c r="N704" s="358"/>
      <c r="O704" s="292"/>
      <c r="P704" s="292"/>
      <c r="Q704" s="614"/>
      <c r="R704" s="913">
        <f t="shared" si="44"/>
        <v>0</v>
      </c>
      <c r="S704" s="913">
        <f t="shared" si="45"/>
        <v>0</v>
      </c>
      <c r="T704" s="913">
        <f t="shared" si="46"/>
        <v>0</v>
      </c>
      <c r="U704" s="914">
        <f t="shared" si="47"/>
        <v>83</v>
      </c>
      <c r="V704" s="612"/>
      <c r="W704" s="612"/>
      <c r="X704" s="612"/>
      <c r="Y704" s="612"/>
      <c r="Z704" s="612"/>
      <c r="AA704" s="612"/>
      <c r="AB704" s="612"/>
      <c r="AC704" s="612"/>
    </row>
    <row r="705" spans="1:30">
      <c r="A705" s="48" t="s">
        <v>3014</v>
      </c>
      <c r="B705" s="60">
        <v>45579</v>
      </c>
      <c r="C705" s="54" t="s">
        <v>171</v>
      </c>
      <c r="D705" s="435" t="str">
        <f>IFERROR(VLOOKUP(C705,Mychart!$A$125:$B$811,2,FALSE),"-")</f>
        <v>MACS -Al Muthathawerah</v>
      </c>
      <c r="E705" s="295" t="s">
        <v>981</v>
      </c>
      <c r="F705" s="58">
        <v>60</v>
      </c>
      <c r="G705" s="58">
        <v>2.25</v>
      </c>
      <c r="H705" s="58">
        <v>5266.85</v>
      </c>
      <c r="I705" s="58">
        <v>263.34250000000003</v>
      </c>
      <c r="J705" s="56">
        <v>241840</v>
      </c>
      <c r="K705" s="56" t="s">
        <v>268</v>
      </c>
      <c r="L705" s="292">
        <v>277</v>
      </c>
      <c r="M705" s="292"/>
      <c r="N705" s="358"/>
      <c r="O705" s="292"/>
      <c r="P705" s="292"/>
      <c r="Q705" s="614"/>
      <c r="R705" s="913">
        <f t="shared" si="44"/>
        <v>0</v>
      </c>
      <c r="S705" s="913">
        <f t="shared" si="45"/>
        <v>0</v>
      </c>
      <c r="T705" s="913">
        <f t="shared" si="46"/>
        <v>0</v>
      </c>
      <c r="U705" s="914">
        <f t="shared" si="47"/>
        <v>60</v>
      </c>
      <c r="V705" s="612"/>
      <c r="W705" s="612"/>
      <c r="X705" s="612"/>
      <c r="Y705" s="612"/>
      <c r="Z705" s="612"/>
      <c r="AA705" s="612"/>
      <c r="AB705" s="612"/>
      <c r="AC705" s="612"/>
    </row>
    <row r="706" spans="1:30">
      <c r="A706" s="48" t="s">
        <v>3014</v>
      </c>
      <c r="B706" s="60">
        <v>45579</v>
      </c>
      <c r="C706" s="54" t="s">
        <v>171</v>
      </c>
      <c r="D706" s="435" t="str">
        <f>IFERROR(VLOOKUP(C706,Mychart!$A$125:$B$811,2,FALSE),"-")</f>
        <v>MACS -Al Muthathawerah</v>
      </c>
      <c r="E706" s="295" t="s">
        <v>3011</v>
      </c>
      <c r="F706" s="58"/>
      <c r="G706" s="58"/>
      <c r="H706" s="58">
        <v>5266.85</v>
      </c>
      <c r="I706" s="58">
        <v>263.34250000000003</v>
      </c>
      <c r="J706" s="56">
        <v>241840</v>
      </c>
      <c r="K706" s="56" t="s">
        <v>268</v>
      </c>
      <c r="L706" s="292">
        <v>277</v>
      </c>
      <c r="M706" s="292" t="s">
        <v>5816</v>
      </c>
      <c r="N706" s="358">
        <v>5530.2</v>
      </c>
      <c r="O706" s="292">
        <v>5530</v>
      </c>
      <c r="P706" s="292"/>
      <c r="Q706" s="614">
        <v>5530.1925000000001</v>
      </c>
      <c r="R706" s="913">
        <f t="shared" si="44"/>
        <v>-0.1999999999998181</v>
      </c>
      <c r="S706" s="913">
        <f t="shared" si="45"/>
        <v>-7.4999999997089617E-3</v>
      </c>
      <c r="T706" s="913">
        <f t="shared" si="46"/>
        <v>0.19250000000010914</v>
      </c>
      <c r="U706" s="914">
        <f t="shared" si="47"/>
        <v>0</v>
      </c>
      <c r="V706" s="612"/>
      <c r="W706" s="612"/>
      <c r="X706" s="612"/>
      <c r="Y706" s="612"/>
      <c r="Z706" s="612"/>
      <c r="AA706" s="612"/>
      <c r="AB706" s="612"/>
      <c r="AC706" s="612"/>
      <c r="AD706" s="930">
        <v>45622.604988425926</v>
      </c>
    </row>
    <row r="707" spans="1:30">
      <c r="A707" s="48" t="s">
        <v>3029</v>
      </c>
      <c r="B707" s="60">
        <v>45580</v>
      </c>
      <c r="C707" s="54" t="s">
        <v>173</v>
      </c>
      <c r="D707" s="435" t="str">
        <f>IFERROR(VLOOKUP(C707,Mychart!$A$125:$B$811,2,FALSE),"-")</f>
        <v>BAB AL TABREED A/C UNITS FIX.CONT</v>
      </c>
      <c r="E707" s="295" t="s">
        <v>979</v>
      </c>
      <c r="F707" s="58">
        <v>487.49</v>
      </c>
      <c r="G707" s="58">
        <v>2.8</v>
      </c>
      <c r="H707" s="58">
        <v>1946.6369999999999</v>
      </c>
      <c r="I707" s="58">
        <v>97.331850000000003</v>
      </c>
      <c r="J707" s="56" t="s">
        <v>3028</v>
      </c>
      <c r="K707" s="56" t="s">
        <v>281</v>
      </c>
      <c r="L707" s="292">
        <v>230</v>
      </c>
      <c r="M707" s="292"/>
      <c r="N707" s="358"/>
      <c r="O707" s="292"/>
      <c r="P707" s="292"/>
      <c r="Q707" s="614"/>
      <c r="R707" s="913">
        <f t="shared" si="44"/>
        <v>0</v>
      </c>
      <c r="S707" s="913">
        <f t="shared" si="45"/>
        <v>0</v>
      </c>
      <c r="T707" s="913">
        <f t="shared" si="46"/>
        <v>0</v>
      </c>
      <c r="U707" s="914">
        <f t="shared" si="47"/>
        <v>487.49</v>
      </c>
      <c r="V707" s="612"/>
      <c r="W707" s="612"/>
      <c r="X707" s="612"/>
      <c r="Y707" s="612"/>
      <c r="Z707" s="612"/>
      <c r="AA707" s="612"/>
      <c r="AB707" s="612"/>
      <c r="AC707" s="612"/>
    </row>
    <row r="708" spans="1:30">
      <c r="A708" s="48" t="s">
        <v>3029</v>
      </c>
      <c r="B708" s="60">
        <v>45580</v>
      </c>
      <c r="C708" s="54" t="s">
        <v>173</v>
      </c>
      <c r="D708" s="435" t="str">
        <f>IFERROR(VLOOKUP(C708,Mychart!$A$125:$B$811,2,FALSE),"-")</f>
        <v>BAB AL TABREED A/C UNITS FIX.CONT</v>
      </c>
      <c r="E708" s="295" t="s">
        <v>3030</v>
      </c>
      <c r="F708" s="58">
        <v>112.19</v>
      </c>
      <c r="G708" s="58">
        <v>3.5</v>
      </c>
      <c r="H708" s="58">
        <v>1946.6369999999999</v>
      </c>
      <c r="I708" s="58">
        <v>97.331850000000003</v>
      </c>
      <c r="J708" s="56" t="s">
        <v>3028</v>
      </c>
      <c r="K708" s="56" t="s">
        <v>281</v>
      </c>
      <c r="L708" s="292">
        <v>230</v>
      </c>
      <c r="M708" s="292"/>
      <c r="N708" s="358"/>
      <c r="O708" s="292"/>
      <c r="P708" s="292"/>
      <c r="Q708" s="614"/>
      <c r="R708" s="913">
        <f t="shared" si="44"/>
        <v>0</v>
      </c>
      <c r="S708" s="913">
        <f t="shared" si="45"/>
        <v>0</v>
      </c>
      <c r="T708" s="913">
        <f t="shared" si="46"/>
        <v>0</v>
      </c>
      <c r="U708" s="914">
        <f t="shared" si="47"/>
        <v>112.19</v>
      </c>
      <c r="V708" s="612"/>
      <c r="W708" s="612"/>
      <c r="X708" s="612"/>
      <c r="Y708" s="612"/>
      <c r="Z708" s="612"/>
      <c r="AA708" s="612"/>
      <c r="AB708" s="612"/>
      <c r="AC708" s="612"/>
    </row>
    <row r="709" spans="1:30">
      <c r="A709" s="48" t="s">
        <v>3029</v>
      </c>
      <c r="B709" s="60">
        <v>45580</v>
      </c>
      <c r="C709" s="54" t="s">
        <v>173</v>
      </c>
      <c r="D709" s="435" t="str">
        <f>IFERROR(VLOOKUP(C709,Mychart!$A$125:$B$811,2,FALSE),"-")</f>
        <v>BAB AL TABREED A/C UNITS FIX.CONT</v>
      </c>
      <c r="E709" s="295" t="s">
        <v>1118</v>
      </c>
      <c r="F709" s="58">
        <v>43</v>
      </c>
      <c r="G709" s="58">
        <v>3</v>
      </c>
      <c r="H709" s="58">
        <v>1946.6369999999999</v>
      </c>
      <c r="I709" s="58">
        <v>97.331850000000003</v>
      </c>
      <c r="J709" s="56" t="s">
        <v>3028</v>
      </c>
      <c r="K709" s="56" t="s">
        <v>281</v>
      </c>
      <c r="L709" s="292">
        <v>230</v>
      </c>
      <c r="M709" s="292"/>
      <c r="N709" s="358"/>
      <c r="O709" s="292"/>
      <c r="P709" s="292"/>
      <c r="Q709" s="614"/>
      <c r="R709" s="913">
        <f t="shared" si="44"/>
        <v>0</v>
      </c>
      <c r="S709" s="913">
        <f t="shared" si="45"/>
        <v>0</v>
      </c>
      <c r="T709" s="913">
        <f t="shared" si="46"/>
        <v>0</v>
      </c>
      <c r="U709" s="914">
        <f t="shared" si="47"/>
        <v>43</v>
      </c>
      <c r="V709" s="612"/>
      <c r="W709" s="612"/>
      <c r="X709" s="612"/>
      <c r="Y709" s="612"/>
      <c r="Z709" s="612"/>
      <c r="AA709" s="612"/>
      <c r="AB709" s="612"/>
      <c r="AC709" s="612"/>
    </row>
    <row r="710" spans="1:30">
      <c r="A710" s="48" t="s">
        <v>3029</v>
      </c>
      <c r="B710" s="60">
        <v>45580</v>
      </c>
      <c r="C710" s="54" t="s">
        <v>173</v>
      </c>
      <c r="D710" s="435" t="str">
        <f>IFERROR(VLOOKUP(C710,Mychart!$A$125:$B$811,2,FALSE),"-")</f>
        <v>BAB AL TABREED A/C UNITS FIX.CONT</v>
      </c>
      <c r="E710" s="295" t="s">
        <v>1119</v>
      </c>
      <c r="F710" s="58">
        <v>30</v>
      </c>
      <c r="G710" s="58">
        <v>2</v>
      </c>
      <c r="H710" s="58">
        <v>1946.6369999999999</v>
      </c>
      <c r="I710" s="58">
        <v>97.331850000000003</v>
      </c>
      <c r="J710" s="56" t="s">
        <v>3028</v>
      </c>
      <c r="K710" s="56" t="s">
        <v>281</v>
      </c>
      <c r="L710" s="292">
        <v>230</v>
      </c>
      <c r="M710" s="292" t="s">
        <v>5772</v>
      </c>
      <c r="N710" s="358">
        <v>2044</v>
      </c>
      <c r="O710" s="292">
        <v>2044</v>
      </c>
      <c r="P710" s="292"/>
      <c r="Q710" s="614">
        <v>2043.96885</v>
      </c>
      <c r="R710" s="913">
        <f t="shared" si="44"/>
        <v>0</v>
      </c>
      <c r="S710" s="913">
        <f t="shared" si="45"/>
        <v>-3.1150000000025102E-2</v>
      </c>
      <c r="T710" s="913">
        <f t="shared" si="46"/>
        <v>-3.1150000000025102E-2</v>
      </c>
      <c r="U710" s="914">
        <f t="shared" si="47"/>
        <v>30</v>
      </c>
      <c r="V710" s="612"/>
      <c r="W710" s="612"/>
      <c r="X710" s="612"/>
      <c r="Y710" s="612"/>
      <c r="Z710" s="612"/>
      <c r="AA710" s="612"/>
      <c r="AB710" s="612"/>
      <c r="AC710" s="612"/>
      <c r="AD710" s="930">
        <v>45619.608391203707</v>
      </c>
    </row>
    <row r="711" spans="1:30">
      <c r="A711" s="48" t="s">
        <v>4810</v>
      </c>
      <c r="B711" s="60">
        <v>45582</v>
      </c>
      <c r="C711" s="54" t="s">
        <v>173</v>
      </c>
      <c r="D711" s="435" t="str">
        <f>IFERROR(VLOOKUP(C711,Mychart!$A$125:$B$811,2,FALSE),"-")</f>
        <v>BAB AL TABREED A/C UNITS FIX.CONT</v>
      </c>
      <c r="E711" s="295" t="s">
        <v>1544</v>
      </c>
      <c r="F711" s="58">
        <v>41.49</v>
      </c>
      <c r="G711" s="58">
        <v>3.5</v>
      </c>
      <c r="H711" s="58">
        <v>170.215</v>
      </c>
      <c r="I711" s="58">
        <v>8.5107499999999998</v>
      </c>
      <c r="J711" s="56" t="s">
        <v>4812</v>
      </c>
      <c r="K711" s="56" t="s">
        <v>269</v>
      </c>
      <c r="L711" s="292">
        <v>256</v>
      </c>
      <c r="M711" s="292"/>
      <c r="N711" s="358"/>
      <c r="O711" s="292"/>
      <c r="P711" s="292"/>
      <c r="Q711" s="614"/>
      <c r="R711" s="913">
        <f t="shared" si="44"/>
        <v>0</v>
      </c>
      <c r="S711" s="913">
        <f t="shared" si="45"/>
        <v>0</v>
      </c>
      <c r="T711" s="913">
        <f t="shared" si="46"/>
        <v>0</v>
      </c>
      <c r="U711" s="914">
        <f t="shared" si="47"/>
        <v>41.49</v>
      </c>
      <c r="V711" s="612"/>
      <c r="W711" s="612"/>
      <c r="X711" s="612"/>
      <c r="Y711" s="612"/>
      <c r="Z711" s="612"/>
      <c r="AA711" s="612"/>
      <c r="AB711" s="612"/>
      <c r="AC711" s="612"/>
    </row>
    <row r="712" spans="1:30">
      <c r="A712" s="48" t="s">
        <v>4810</v>
      </c>
      <c r="B712" s="60">
        <v>45582</v>
      </c>
      <c r="C712" s="54" t="s">
        <v>173</v>
      </c>
      <c r="D712" s="435" t="str">
        <f>IFERROR(VLOOKUP(C712,Mychart!$A$125:$B$811,2,FALSE),"-")</f>
        <v>BAB AL TABREED A/C UNITS FIX.CONT</v>
      </c>
      <c r="E712" s="295" t="s">
        <v>1118</v>
      </c>
      <c r="F712" s="58">
        <v>5</v>
      </c>
      <c r="G712" s="58">
        <v>3</v>
      </c>
      <c r="H712" s="58">
        <v>170.215</v>
      </c>
      <c r="I712" s="58">
        <v>8.5107499999999998</v>
      </c>
      <c r="J712" s="56" t="s">
        <v>4812</v>
      </c>
      <c r="K712" s="56" t="s">
        <v>269</v>
      </c>
      <c r="L712" s="292">
        <v>256</v>
      </c>
      <c r="M712" s="292"/>
      <c r="N712" s="358"/>
      <c r="O712" s="292"/>
      <c r="P712" s="292"/>
      <c r="Q712" s="614"/>
      <c r="R712" s="913">
        <f t="shared" ref="R712:R775" si="48">O712-N712</f>
        <v>0</v>
      </c>
      <c r="S712" s="913">
        <f t="shared" ref="S712:S775" si="49">Q712-N712</f>
        <v>0</v>
      </c>
      <c r="T712" s="913">
        <f t="shared" ref="T712:T775" si="50">Q712-O712</f>
        <v>0</v>
      </c>
      <c r="U712" s="914">
        <f t="shared" ref="U712:U775" si="51">F712-P712</f>
        <v>5</v>
      </c>
      <c r="V712" s="612"/>
      <c r="W712" s="612"/>
      <c r="X712" s="612"/>
      <c r="Y712" s="612"/>
      <c r="Z712" s="612"/>
      <c r="AA712" s="612"/>
      <c r="AB712" s="612"/>
      <c r="AC712" s="612"/>
    </row>
    <row r="713" spans="1:30">
      <c r="A713" s="48" t="s">
        <v>4810</v>
      </c>
      <c r="B713" s="60">
        <v>45582</v>
      </c>
      <c r="C713" s="54" t="s">
        <v>173</v>
      </c>
      <c r="D713" s="435" t="str">
        <f>IFERROR(VLOOKUP(C713,Mychart!$A$125:$B$811,2,FALSE),"-")</f>
        <v>BAB AL TABREED A/C UNITS FIX.CONT</v>
      </c>
      <c r="E713" s="295" t="s">
        <v>1119</v>
      </c>
      <c r="F713" s="58">
        <v>5</v>
      </c>
      <c r="G713" s="58">
        <v>2</v>
      </c>
      <c r="H713" s="58">
        <v>170.215</v>
      </c>
      <c r="I713" s="58">
        <v>8.5107499999999998</v>
      </c>
      <c r="J713" s="56" t="s">
        <v>4812</v>
      </c>
      <c r="K713" s="56" t="s">
        <v>269</v>
      </c>
      <c r="L713" s="292">
        <v>256</v>
      </c>
      <c r="M713" s="292"/>
      <c r="N713" s="358"/>
      <c r="O713" s="292"/>
      <c r="P713" s="292"/>
      <c r="Q713" s="614"/>
      <c r="R713" s="913">
        <f t="shared" si="48"/>
        <v>0</v>
      </c>
      <c r="S713" s="913">
        <f t="shared" si="49"/>
        <v>0</v>
      </c>
      <c r="T713" s="913">
        <f t="shared" si="50"/>
        <v>0</v>
      </c>
      <c r="U713" s="914">
        <f t="shared" si="51"/>
        <v>5</v>
      </c>
      <c r="V713" s="612"/>
      <c r="W713" s="612"/>
      <c r="X713" s="612"/>
      <c r="Y713" s="612"/>
      <c r="Z713" s="612"/>
      <c r="AA713" s="612"/>
      <c r="AB713" s="612"/>
      <c r="AC713" s="612"/>
    </row>
    <row r="714" spans="1:30">
      <c r="A714" s="48" t="s">
        <v>4810</v>
      </c>
      <c r="B714" s="60">
        <v>45582</v>
      </c>
      <c r="C714" s="54" t="s">
        <v>173</v>
      </c>
      <c r="D714" s="435" t="str">
        <f>IFERROR(VLOOKUP(C714,Mychart!$A$125:$B$811,2,FALSE),"-")</f>
        <v>BAB AL TABREED A/C UNITS FIX.CONT</v>
      </c>
      <c r="E714" s="295" t="s">
        <v>4811</v>
      </c>
      <c r="F714" s="58"/>
      <c r="G714" s="58"/>
      <c r="H714" s="58">
        <v>170.215</v>
      </c>
      <c r="I714" s="58">
        <v>8.5107499999999998</v>
      </c>
      <c r="J714" s="56" t="s">
        <v>4812</v>
      </c>
      <c r="K714" s="56" t="s">
        <v>269</v>
      </c>
      <c r="L714" s="292">
        <v>256</v>
      </c>
      <c r="M714" s="292" t="s">
        <v>5771</v>
      </c>
      <c r="N714" s="358">
        <v>178.73</v>
      </c>
      <c r="O714" s="292">
        <v>178.73</v>
      </c>
      <c r="P714" s="292"/>
      <c r="Q714" s="614">
        <v>178.72575000000001</v>
      </c>
      <c r="R714" s="913">
        <f t="shared" si="48"/>
        <v>0</v>
      </c>
      <c r="S714" s="913">
        <f t="shared" si="49"/>
        <v>-4.249999999984766E-3</v>
      </c>
      <c r="T714" s="913">
        <f t="shared" si="50"/>
        <v>-4.249999999984766E-3</v>
      </c>
      <c r="U714" s="914">
        <f t="shared" si="51"/>
        <v>0</v>
      </c>
      <c r="V714" s="612"/>
      <c r="W714" s="612"/>
      <c r="X714" s="612"/>
      <c r="Y714" s="612"/>
      <c r="Z714" s="612"/>
      <c r="AA714" s="612"/>
      <c r="AB714" s="612"/>
      <c r="AC714" s="612"/>
      <c r="AD714" s="930">
        <v>45619.608391203707</v>
      </c>
    </row>
    <row r="715" spans="1:30">
      <c r="A715" s="48" t="s">
        <v>4868</v>
      </c>
      <c r="B715" s="60">
        <v>45584</v>
      </c>
      <c r="C715" s="54" t="s">
        <v>173</v>
      </c>
      <c r="D715" s="435" t="str">
        <f>IFERROR(VLOOKUP(C715,Mychart!$A$125:$B$811,2,FALSE),"-")</f>
        <v>BAB AL TABREED A/C UNITS FIX.CONT</v>
      </c>
      <c r="E715" s="295" t="s">
        <v>979</v>
      </c>
      <c r="F715" s="58">
        <v>6.3</v>
      </c>
      <c r="G715" s="58">
        <v>2.8</v>
      </c>
      <c r="H715" s="58">
        <v>134.63999999999999</v>
      </c>
      <c r="I715" s="58">
        <v>6.7319999999999993</v>
      </c>
      <c r="J715" s="56" t="s">
        <v>4867</v>
      </c>
      <c r="K715" s="56" t="s">
        <v>269</v>
      </c>
      <c r="L715" s="292">
        <v>256</v>
      </c>
      <c r="M715" s="292"/>
      <c r="N715" s="358"/>
      <c r="O715" s="292"/>
      <c r="P715" s="292"/>
      <c r="Q715" s="614"/>
      <c r="R715" s="913">
        <f t="shared" si="48"/>
        <v>0</v>
      </c>
      <c r="S715" s="913">
        <f t="shared" si="49"/>
        <v>0</v>
      </c>
      <c r="T715" s="913">
        <f t="shared" si="50"/>
        <v>0</v>
      </c>
      <c r="U715" s="914">
        <f t="shared" si="51"/>
        <v>6.3</v>
      </c>
      <c r="V715" s="612"/>
      <c r="W715" s="612"/>
      <c r="X715" s="612"/>
      <c r="Y715" s="612"/>
      <c r="Z715" s="612"/>
      <c r="AA715" s="612"/>
      <c r="AB715" s="612"/>
      <c r="AC715" s="612"/>
    </row>
    <row r="716" spans="1:30">
      <c r="A716" s="48" t="s">
        <v>4868</v>
      </c>
      <c r="B716" s="60">
        <v>45584</v>
      </c>
      <c r="C716" s="54" t="s">
        <v>173</v>
      </c>
      <c r="D716" s="435" t="str">
        <f>IFERROR(VLOOKUP(C716,Mychart!$A$125:$B$811,2,FALSE),"-")</f>
        <v>BAB AL TABREED A/C UNITS FIX.CONT</v>
      </c>
      <c r="E716" s="295" t="s">
        <v>1544</v>
      </c>
      <c r="F716" s="58">
        <v>22</v>
      </c>
      <c r="G716" s="58">
        <v>3.5</v>
      </c>
      <c r="H716" s="58">
        <v>134.63999999999999</v>
      </c>
      <c r="I716" s="58">
        <v>6.7319999999999993</v>
      </c>
      <c r="J716" s="56" t="s">
        <v>4867</v>
      </c>
      <c r="K716" s="56" t="s">
        <v>269</v>
      </c>
      <c r="L716" s="292">
        <v>256</v>
      </c>
      <c r="M716" s="292"/>
      <c r="N716" s="358"/>
      <c r="O716" s="292"/>
      <c r="P716" s="292"/>
      <c r="Q716" s="614"/>
      <c r="R716" s="913">
        <f t="shared" si="48"/>
        <v>0</v>
      </c>
      <c r="S716" s="913">
        <f t="shared" si="49"/>
        <v>0</v>
      </c>
      <c r="T716" s="913">
        <f t="shared" si="50"/>
        <v>0</v>
      </c>
      <c r="U716" s="914">
        <f t="shared" si="51"/>
        <v>22</v>
      </c>
      <c r="V716" s="612"/>
      <c r="W716" s="612"/>
      <c r="X716" s="612"/>
      <c r="Y716" s="612"/>
      <c r="Z716" s="612"/>
      <c r="AA716" s="612"/>
      <c r="AB716" s="612"/>
      <c r="AC716" s="612"/>
    </row>
    <row r="717" spans="1:30">
      <c r="A717" s="48" t="s">
        <v>4868</v>
      </c>
      <c r="B717" s="60">
        <v>45584</v>
      </c>
      <c r="C717" s="54" t="s">
        <v>173</v>
      </c>
      <c r="D717" s="435" t="str">
        <f>IFERROR(VLOOKUP(C717,Mychart!$A$125:$B$811,2,FALSE),"-")</f>
        <v>BAB AL TABREED A/C UNITS FIX.CONT</v>
      </c>
      <c r="E717" s="295" t="s">
        <v>1119</v>
      </c>
      <c r="F717" s="58">
        <v>20</v>
      </c>
      <c r="G717" s="58">
        <v>2</v>
      </c>
      <c r="H717" s="58">
        <v>134.63999999999999</v>
      </c>
      <c r="I717" s="58">
        <v>6.7319999999999993</v>
      </c>
      <c r="J717" s="56" t="s">
        <v>4867</v>
      </c>
      <c r="K717" s="56" t="s">
        <v>269</v>
      </c>
      <c r="L717" s="292">
        <v>256</v>
      </c>
      <c r="M717" s="292" t="s">
        <v>5774</v>
      </c>
      <c r="N717" s="358">
        <v>141.37</v>
      </c>
      <c r="O717" s="292">
        <v>141.37</v>
      </c>
      <c r="P717" s="292"/>
      <c r="Q717" s="614">
        <v>141.37199999999999</v>
      </c>
      <c r="R717" s="913">
        <f t="shared" si="48"/>
        <v>0</v>
      </c>
      <c r="S717" s="913">
        <f t="shared" si="49"/>
        <v>1.999999999981128E-3</v>
      </c>
      <c r="T717" s="913">
        <f t="shared" si="50"/>
        <v>1.999999999981128E-3</v>
      </c>
      <c r="U717" s="914">
        <f t="shared" si="51"/>
        <v>20</v>
      </c>
      <c r="V717" s="612"/>
      <c r="W717" s="612"/>
      <c r="X717" s="612"/>
      <c r="Y717" s="612"/>
      <c r="Z717" s="612"/>
      <c r="AA717" s="612"/>
      <c r="AB717" s="612"/>
      <c r="AC717" s="612"/>
      <c r="AD717" s="930">
        <v>45619.608391203707</v>
      </c>
    </row>
    <row r="718" spans="1:30">
      <c r="A718" s="48" t="s">
        <v>4898</v>
      </c>
      <c r="B718" s="60">
        <v>45586</v>
      </c>
      <c r="C718" s="54" t="s">
        <v>4892</v>
      </c>
      <c r="D718" s="435" t="str">
        <f>IFERROR(VLOOKUP(C718,Mychart!$A$125:$B$811,2,FALSE),"-")</f>
        <v>Winner AC  - Ducts</v>
      </c>
      <c r="E718" s="295" t="s">
        <v>4899</v>
      </c>
      <c r="F718" s="58">
        <v>13</v>
      </c>
      <c r="G718" s="58">
        <v>43</v>
      </c>
      <c r="H718" s="58">
        <v>4095.24</v>
      </c>
      <c r="I718" s="58">
        <v>204.762</v>
      </c>
      <c r="J718" s="56" t="s">
        <v>4916</v>
      </c>
      <c r="K718" s="56" t="s">
        <v>626</v>
      </c>
      <c r="L718" s="292">
        <v>225</v>
      </c>
      <c r="M718" s="292"/>
      <c r="N718" s="358"/>
      <c r="O718" s="292"/>
      <c r="P718" s="292"/>
      <c r="Q718" s="614"/>
      <c r="R718" s="913">
        <f t="shared" si="48"/>
        <v>0</v>
      </c>
      <c r="S718" s="913">
        <f t="shared" si="49"/>
        <v>0</v>
      </c>
      <c r="T718" s="913">
        <f t="shared" si="50"/>
        <v>0</v>
      </c>
      <c r="U718" s="914">
        <f t="shared" si="51"/>
        <v>13</v>
      </c>
      <c r="V718" s="612"/>
      <c r="W718" s="612"/>
      <c r="X718" s="612"/>
      <c r="Y718" s="612"/>
      <c r="Z718" s="612"/>
      <c r="AA718" s="612"/>
      <c r="AB718" s="612"/>
      <c r="AC718" s="612"/>
    </row>
    <row r="719" spans="1:30">
      <c r="A719" s="48" t="s">
        <v>4898</v>
      </c>
      <c r="B719" s="60">
        <v>45586</v>
      </c>
      <c r="C719" s="54" t="s">
        <v>4892</v>
      </c>
      <c r="D719" s="435" t="str">
        <f>IFERROR(VLOOKUP(C719,Mychart!$A$125:$B$811,2,FALSE),"-")</f>
        <v>Winner AC  - Ducts</v>
      </c>
      <c r="E719" s="295" t="s">
        <v>4900</v>
      </c>
      <c r="F719" s="58">
        <v>10</v>
      </c>
      <c r="G719" s="58">
        <v>39</v>
      </c>
      <c r="H719" s="58">
        <v>4095.24</v>
      </c>
      <c r="I719" s="58">
        <v>204.762</v>
      </c>
      <c r="J719" s="56" t="s">
        <v>4916</v>
      </c>
      <c r="K719" s="56" t="s">
        <v>626</v>
      </c>
      <c r="L719" s="292">
        <v>225</v>
      </c>
      <c r="M719" s="292"/>
      <c r="N719" s="358"/>
      <c r="O719" s="292"/>
      <c r="P719" s="292"/>
      <c r="Q719" s="614"/>
      <c r="R719" s="913">
        <f t="shared" si="48"/>
        <v>0</v>
      </c>
      <c r="S719" s="913">
        <f t="shared" si="49"/>
        <v>0</v>
      </c>
      <c r="T719" s="913">
        <f t="shared" si="50"/>
        <v>0</v>
      </c>
      <c r="U719" s="914">
        <f t="shared" si="51"/>
        <v>10</v>
      </c>
      <c r="V719" s="612"/>
      <c r="W719" s="612"/>
      <c r="X719" s="612"/>
      <c r="Y719" s="612"/>
      <c r="Z719" s="612"/>
      <c r="AA719" s="612"/>
      <c r="AB719" s="612"/>
      <c r="AC719" s="612"/>
    </row>
    <row r="720" spans="1:30">
      <c r="A720" s="48" t="s">
        <v>4898</v>
      </c>
      <c r="B720" s="60">
        <v>45586</v>
      </c>
      <c r="C720" s="54" t="s">
        <v>4892</v>
      </c>
      <c r="D720" s="435" t="str">
        <f>IFERROR(VLOOKUP(C720,Mychart!$A$125:$B$811,2,FALSE),"-")</f>
        <v>Winner AC  - Ducts</v>
      </c>
      <c r="E720" s="295" t="s">
        <v>4901</v>
      </c>
      <c r="F720" s="58">
        <v>4</v>
      </c>
      <c r="G720" s="58">
        <v>35</v>
      </c>
      <c r="H720" s="58">
        <v>4095.24</v>
      </c>
      <c r="I720" s="58">
        <v>204.762</v>
      </c>
      <c r="J720" s="56" t="s">
        <v>4916</v>
      </c>
      <c r="K720" s="56" t="s">
        <v>626</v>
      </c>
      <c r="L720" s="292">
        <v>225</v>
      </c>
      <c r="M720" s="292"/>
      <c r="N720" s="358"/>
      <c r="O720" s="292"/>
      <c r="P720" s="292"/>
      <c r="Q720" s="614"/>
      <c r="R720" s="913">
        <f t="shared" si="48"/>
        <v>0</v>
      </c>
      <c r="S720" s="913">
        <f t="shared" si="49"/>
        <v>0</v>
      </c>
      <c r="T720" s="913">
        <f t="shared" si="50"/>
        <v>0</v>
      </c>
      <c r="U720" s="914">
        <f t="shared" si="51"/>
        <v>4</v>
      </c>
      <c r="V720" s="612"/>
      <c r="W720" s="612"/>
      <c r="X720" s="612"/>
      <c r="Y720" s="612"/>
      <c r="Z720" s="612"/>
      <c r="AA720" s="612"/>
      <c r="AB720" s="612"/>
      <c r="AC720" s="612"/>
    </row>
    <row r="721" spans="1:30">
      <c r="A721" s="48" t="s">
        <v>4898</v>
      </c>
      <c r="B721" s="60">
        <v>45586</v>
      </c>
      <c r="C721" s="54" t="s">
        <v>4892</v>
      </c>
      <c r="D721" s="435" t="str">
        <f>IFERROR(VLOOKUP(C721,Mychart!$A$125:$B$811,2,FALSE),"-")</f>
        <v>Winner AC  - Ducts</v>
      </c>
      <c r="E721" s="295" t="s">
        <v>4902</v>
      </c>
      <c r="F721" s="58">
        <v>2</v>
      </c>
      <c r="G721" s="58">
        <v>169</v>
      </c>
      <c r="H721" s="58">
        <v>4095.24</v>
      </c>
      <c r="I721" s="58">
        <v>204.762</v>
      </c>
      <c r="J721" s="56" t="s">
        <v>4916</v>
      </c>
      <c r="K721" s="56" t="s">
        <v>626</v>
      </c>
      <c r="L721" s="292">
        <v>225</v>
      </c>
      <c r="M721" s="292"/>
      <c r="N721" s="358"/>
      <c r="O721" s="292"/>
      <c r="P721" s="292"/>
      <c r="Q721" s="614"/>
      <c r="R721" s="913">
        <f t="shared" si="48"/>
        <v>0</v>
      </c>
      <c r="S721" s="913">
        <f t="shared" si="49"/>
        <v>0</v>
      </c>
      <c r="T721" s="913">
        <f t="shared" si="50"/>
        <v>0</v>
      </c>
      <c r="U721" s="914">
        <f t="shared" si="51"/>
        <v>2</v>
      </c>
      <c r="V721" s="612"/>
      <c r="W721" s="612"/>
      <c r="X721" s="612"/>
      <c r="Y721" s="612"/>
      <c r="Z721" s="612"/>
      <c r="AA721" s="612"/>
      <c r="AB721" s="612"/>
      <c r="AC721" s="612"/>
    </row>
    <row r="722" spans="1:30">
      <c r="A722" s="48" t="s">
        <v>4898</v>
      </c>
      <c r="B722" s="60">
        <v>45586</v>
      </c>
      <c r="C722" s="54" t="s">
        <v>4892</v>
      </c>
      <c r="D722" s="435" t="str">
        <f>IFERROR(VLOOKUP(C722,Mychart!$A$125:$B$811,2,FALSE),"-")</f>
        <v>Winner AC  - Ducts</v>
      </c>
      <c r="E722" s="295" t="s">
        <v>4903</v>
      </c>
      <c r="F722" s="58">
        <v>1</v>
      </c>
      <c r="G722" s="58">
        <v>338</v>
      </c>
      <c r="H722" s="58">
        <v>4095.24</v>
      </c>
      <c r="I722" s="58">
        <v>204.762</v>
      </c>
      <c r="J722" s="56" t="s">
        <v>4916</v>
      </c>
      <c r="K722" s="56" t="s">
        <v>626</v>
      </c>
      <c r="L722" s="292">
        <v>225</v>
      </c>
      <c r="M722" s="292"/>
      <c r="N722" s="358"/>
      <c r="O722" s="292"/>
      <c r="P722" s="292"/>
      <c r="Q722" s="614"/>
      <c r="R722" s="913">
        <f t="shared" si="48"/>
        <v>0</v>
      </c>
      <c r="S722" s="913">
        <f t="shared" si="49"/>
        <v>0</v>
      </c>
      <c r="T722" s="913">
        <f t="shared" si="50"/>
        <v>0</v>
      </c>
      <c r="U722" s="914">
        <f t="shared" si="51"/>
        <v>1</v>
      </c>
      <c r="V722" s="612"/>
      <c r="W722" s="612"/>
      <c r="X722" s="612"/>
      <c r="Y722" s="612"/>
      <c r="Z722" s="612"/>
      <c r="AA722" s="612"/>
      <c r="AB722" s="612"/>
      <c r="AC722" s="612"/>
    </row>
    <row r="723" spans="1:30">
      <c r="A723" s="48" t="s">
        <v>4898</v>
      </c>
      <c r="B723" s="60">
        <v>45586</v>
      </c>
      <c r="C723" s="54" t="s">
        <v>4892</v>
      </c>
      <c r="D723" s="435" t="str">
        <f>IFERROR(VLOOKUP(C723,Mychart!$A$125:$B$811,2,FALSE),"-")</f>
        <v>Winner AC  - Ducts</v>
      </c>
      <c r="E723" s="295" t="s">
        <v>4904</v>
      </c>
      <c r="F723" s="58">
        <v>4</v>
      </c>
      <c r="G723" s="58">
        <v>42</v>
      </c>
      <c r="H723" s="58">
        <v>4095.24</v>
      </c>
      <c r="I723" s="58">
        <v>204.762</v>
      </c>
      <c r="J723" s="56" t="s">
        <v>4916</v>
      </c>
      <c r="K723" s="56" t="s">
        <v>626</v>
      </c>
      <c r="L723" s="292">
        <v>225</v>
      </c>
      <c r="M723" s="292"/>
      <c r="N723" s="358"/>
      <c r="O723" s="292"/>
      <c r="P723" s="292"/>
      <c r="Q723" s="614"/>
      <c r="R723" s="913">
        <f t="shared" si="48"/>
        <v>0</v>
      </c>
      <c r="S723" s="913">
        <f t="shared" si="49"/>
        <v>0</v>
      </c>
      <c r="T723" s="913">
        <f t="shared" si="50"/>
        <v>0</v>
      </c>
      <c r="U723" s="914">
        <f t="shared" si="51"/>
        <v>4</v>
      </c>
      <c r="V723" s="612"/>
      <c r="W723" s="612"/>
      <c r="X723" s="612"/>
      <c r="Y723" s="612"/>
      <c r="Z723" s="612"/>
      <c r="AA723" s="612"/>
      <c r="AB723" s="612"/>
      <c r="AC723" s="612"/>
    </row>
    <row r="724" spans="1:30">
      <c r="A724" s="48" t="s">
        <v>4898</v>
      </c>
      <c r="B724" s="60">
        <v>45586</v>
      </c>
      <c r="C724" s="54" t="s">
        <v>4892</v>
      </c>
      <c r="D724" s="435" t="str">
        <f>IFERROR(VLOOKUP(C724,Mychart!$A$125:$B$811,2,FALSE),"-")</f>
        <v>Winner AC  - Ducts</v>
      </c>
      <c r="E724" s="295" t="s">
        <v>4905</v>
      </c>
      <c r="F724" s="58">
        <v>5</v>
      </c>
      <c r="G724" s="58">
        <v>50</v>
      </c>
      <c r="H724" s="58">
        <v>4095.24</v>
      </c>
      <c r="I724" s="58">
        <v>204.762</v>
      </c>
      <c r="J724" s="56" t="s">
        <v>4916</v>
      </c>
      <c r="K724" s="56" t="s">
        <v>626</v>
      </c>
      <c r="L724" s="292">
        <v>225</v>
      </c>
      <c r="M724" s="292"/>
      <c r="N724" s="358"/>
      <c r="O724" s="292"/>
      <c r="P724" s="292"/>
      <c r="Q724" s="614"/>
      <c r="R724" s="913">
        <f t="shared" si="48"/>
        <v>0</v>
      </c>
      <c r="S724" s="913">
        <f t="shared" si="49"/>
        <v>0</v>
      </c>
      <c r="T724" s="913">
        <f t="shared" si="50"/>
        <v>0</v>
      </c>
      <c r="U724" s="914">
        <f t="shared" si="51"/>
        <v>5</v>
      </c>
      <c r="V724" s="612"/>
      <c r="W724" s="612"/>
      <c r="X724" s="612"/>
      <c r="Y724" s="612"/>
      <c r="Z724" s="612"/>
      <c r="AA724" s="612"/>
      <c r="AB724" s="612"/>
      <c r="AC724" s="612"/>
    </row>
    <row r="725" spans="1:30">
      <c r="A725" s="48" t="s">
        <v>4898</v>
      </c>
      <c r="B725" s="60">
        <v>45586</v>
      </c>
      <c r="C725" s="54" t="s">
        <v>4892</v>
      </c>
      <c r="D725" s="435" t="str">
        <f>IFERROR(VLOOKUP(C725,Mychart!$A$125:$B$811,2,FALSE),"-")</f>
        <v>Winner AC  - Ducts</v>
      </c>
      <c r="E725" s="295" t="s">
        <v>4906</v>
      </c>
      <c r="F725" s="58">
        <v>1</v>
      </c>
      <c r="G725" s="58">
        <v>84</v>
      </c>
      <c r="H725" s="58">
        <v>4095.24</v>
      </c>
      <c r="I725" s="58">
        <v>204.762</v>
      </c>
      <c r="J725" s="56" t="s">
        <v>4916</v>
      </c>
      <c r="K725" s="56" t="s">
        <v>626</v>
      </c>
      <c r="L725" s="292">
        <v>225</v>
      </c>
      <c r="M725" s="292"/>
      <c r="N725" s="358"/>
      <c r="O725" s="292"/>
      <c r="P725" s="292"/>
      <c r="Q725" s="614"/>
      <c r="R725" s="913">
        <f t="shared" si="48"/>
        <v>0</v>
      </c>
      <c r="S725" s="913">
        <f t="shared" si="49"/>
        <v>0</v>
      </c>
      <c r="T725" s="913">
        <f t="shared" si="50"/>
        <v>0</v>
      </c>
      <c r="U725" s="914">
        <f t="shared" si="51"/>
        <v>1</v>
      </c>
      <c r="V725" s="612"/>
      <c r="W725" s="612"/>
      <c r="X725" s="612"/>
      <c r="Y725" s="612"/>
      <c r="Z725" s="612"/>
      <c r="AA725" s="612"/>
      <c r="AB725" s="612"/>
      <c r="AC725" s="612"/>
    </row>
    <row r="726" spans="1:30">
      <c r="A726" s="48" t="s">
        <v>4898</v>
      </c>
      <c r="B726" s="60">
        <v>45586</v>
      </c>
      <c r="C726" s="54" t="s">
        <v>4892</v>
      </c>
      <c r="D726" s="435" t="str">
        <f>IFERROR(VLOOKUP(C726,Mychart!$A$125:$B$811,2,FALSE),"-")</f>
        <v>Winner AC  - Ducts</v>
      </c>
      <c r="E726" s="295" t="s">
        <v>4907</v>
      </c>
      <c r="F726" s="58">
        <v>3</v>
      </c>
      <c r="G726" s="58">
        <v>101</v>
      </c>
      <c r="H726" s="58">
        <v>4095.24</v>
      </c>
      <c r="I726" s="58">
        <v>204.762</v>
      </c>
      <c r="J726" s="56" t="s">
        <v>4916</v>
      </c>
      <c r="K726" s="56" t="s">
        <v>626</v>
      </c>
      <c r="L726" s="292">
        <v>225</v>
      </c>
      <c r="M726" s="292"/>
      <c r="N726" s="358"/>
      <c r="O726" s="292"/>
      <c r="P726" s="292"/>
      <c r="Q726" s="614"/>
      <c r="R726" s="913">
        <f t="shared" si="48"/>
        <v>0</v>
      </c>
      <c r="S726" s="913">
        <f t="shared" si="49"/>
        <v>0</v>
      </c>
      <c r="T726" s="913">
        <f t="shared" si="50"/>
        <v>0</v>
      </c>
      <c r="U726" s="914">
        <f t="shared" si="51"/>
        <v>3</v>
      </c>
      <c r="V726" s="612"/>
      <c r="W726" s="612"/>
      <c r="X726" s="612"/>
      <c r="Y726" s="612"/>
      <c r="Z726" s="612"/>
      <c r="AA726" s="612"/>
      <c r="AB726" s="612"/>
      <c r="AC726" s="612"/>
    </row>
    <row r="727" spans="1:30">
      <c r="A727" s="48" t="s">
        <v>4898</v>
      </c>
      <c r="B727" s="60">
        <v>45586</v>
      </c>
      <c r="C727" s="54" t="s">
        <v>4892</v>
      </c>
      <c r="D727" s="435" t="str">
        <f>IFERROR(VLOOKUP(C727,Mychart!$A$125:$B$811,2,FALSE),"-")</f>
        <v>Winner AC  - Ducts</v>
      </c>
      <c r="E727" s="295" t="s">
        <v>4908</v>
      </c>
      <c r="F727" s="58">
        <v>1</v>
      </c>
      <c r="G727" s="58">
        <v>204</v>
      </c>
      <c r="H727" s="58">
        <v>4095.24</v>
      </c>
      <c r="I727" s="58">
        <v>204.762</v>
      </c>
      <c r="J727" s="56" t="s">
        <v>4916</v>
      </c>
      <c r="K727" s="56" t="s">
        <v>626</v>
      </c>
      <c r="L727" s="292">
        <v>225</v>
      </c>
      <c r="M727" s="292"/>
      <c r="N727" s="358"/>
      <c r="O727" s="292"/>
      <c r="P727" s="292"/>
      <c r="Q727" s="614"/>
      <c r="R727" s="913">
        <f t="shared" si="48"/>
        <v>0</v>
      </c>
      <c r="S727" s="913">
        <f t="shared" si="49"/>
        <v>0</v>
      </c>
      <c r="T727" s="913">
        <f t="shared" si="50"/>
        <v>0</v>
      </c>
      <c r="U727" s="914">
        <f t="shared" si="51"/>
        <v>1</v>
      </c>
      <c r="V727" s="612"/>
      <c r="W727" s="612"/>
      <c r="X727" s="612"/>
      <c r="Y727" s="612"/>
      <c r="Z727" s="612"/>
      <c r="AA727" s="612"/>
      <c r="AB727" s="612"/>
      <c r="AC727" s="612"/>
    </row>
    <row r="728" spans="1:30">
      <c r="A728" s="48" t="s">
        <v>4898</v>
      </c>
      <c r="B728" s="60">
        <v>45586</v>
      </c>
      <c r="C728" s="54" t="s">
        <v>4892</v>
      </c>
      <c r="D728" s="435" t="str">
        <f>IFERROR(VLOOKUP(C728,Mychart!$A$125:$B$811,2,FALSE),"-")</f>
        <v>Winner AC  - Ducts</v>
      </c>
      <c r="E728" s="295" t="s">
        <v>4909</v>
      </c>
      <c r="F728" s="58">
        <v>1</v>
      </c>
      <c r="G728" s="58">
        <v>599</v>
      </c>
      <c r="H728" s="58">
        <v>4095.24</v>
      </c>
      <c r="I728" s="58">
        <v>204.762</v>
      </c>
      <c r="J728" s="56" t="s">
        <v>4916</v>
      </c>
      <c r="K728" s="56" t="s">
        <v>626</v>
      </c>
      <c r="L728" s="292">
        <v>225</v>
      </c>
      <c r="M728" s="292"/>
      <c r="N728" s="358"/>
      <c r="O728" s="292"/>
      <c r="P728" s="292"/>
      <c r="Q728" s="614"/>
      <c r="R728" s="913">
        <f t="shared" si="48"/>
        <v>0</v>
      </c>
      <c r="S728" s="913">
        <f t="shared" si="49"/>
        <v>0</v>
      </c>
      <c r="T728" s="913">
        <f t="shared" si="50"/>
        <v>0</v>
      </c>
      <c r="U728" s="914">
        <f t="shared" si="51"/>
        <v>1</v>
      </c>
      <c r="V728" s="612"/>
      <c r="W728" s="612"/>
      <c r="X728" s="612"/>
      <c r="Y728" s="612"/>
      <c r="Z728" s="612"/>
      <c r="AA728" s="612"/>
      <c r="AB728" s="612"/>
      <c r="AC728" s="612"/>
    </row>
    <row r="729" spans="1:30">
      <c r="A729" s="48" t="s">
        <v>4898</v>
      </c>
      <c r="B729" s="60">
        <v>45586</v>
      </c>
      <c r="C729" s="54" t="s">
        <v>4892</v>
      </c>
      <c r="D729" s="435" t="str">
        <f>IFERROR(VLOOKUP(C729,Mychart!$A$125:$B$811,2,FALSE),"-")</f>
        <v>Winner AC  - Ducts</v>
      </c>
      <c r="E729" s="295" t="s">
        <v>4910</v>
      </c>
      <c r="F729" s="58">
        <v>1</v>
      </c>
      <c r="G729" s="58">
        <v>637</v>
      </c>
      <c r="H729" s="58">
        <v>4095.24</v>
      </c>
      <c r="I729" s="58">
        <v>204.762</v>
      </c>
      <c r="J729" s="56" t="s">
        <v>4916</v>
      </c>
      <c r="K729" s="56" t="s">
        <v>626</v>
      </c>
      <c r="L729" s="292">
        <v>225</v>
      </c>
      <c r="M729" s="292"/>
      <c r="N729" s="358"/>
      <c r="O729" s="292"/>
      <c r="P729" s="292"/>
      <c r="Q729" s="614"/>
      <c r="R729" s="913">
        <f t="shared" si="48"/>
        <v>0</v>
      </c>
      <c r="S729" s="913">
        <f t="shared" si="49"/>
        <v>0</v>
      </c>
      <c r="T729" s="913">
        <f t="shared" si="50"/>
        <v>0</v>
      </c>
      <c r="U729" s="914">
        <f t="shared" si="51"/>
        <v>1</v>
      </c>
      <c r="V729" s="612"/>
      <c r="W729" s="612"/>
      <c r="X729" s="612"/>
      <c r="Y729" s="612"/>
      <c r="Z729" s="612"/>
      <c r="AA729" s="612"/>
      <c r="AB729" s="612"/>
      <c r="AC729" s="612"/>
    </row>
    <row r="730" spans="1:30">
      <c r="A730" s="48" t="s">
        <v>4898</v>
      </c>
      <c r="B730" s="60">
        <v>45586</v>
      </c>
      <c r="C730" s="54" t="s">
        <v>4892</v>
      </c>
      <c r="D730" s="435" t="str">
        <f>IFERROR(VLOOKUP(C730,Mychart!$A$125:$B$811,2,FALSE),"-")</f>
        <v>Winner AC  - Ducts</v>
      </c>
      <c r="E730" s="295" t="s">
        <v>4911</v>
      </c>
      <c r="F730" s="58">
        <v>8</v>
      </c>
      <c r="G730" s="58">
        <v>30</v>
      </c>
      <c r="H730" s="58">
        <v>4095.24</v>
      </c>
      <c r="I730" s="58">
        <v>204.762</v>
      </c>
      <c r="J730" s="56" t="s">
        <v>4916</v>
      </c>
      <c r="K730" s="56" t="s">
        <v>626</v>
      </c>
      <c r="L730" s="292">
        <v>225</v>
      </c>
      <c r="M730" s="292"/>
      <c r="N730" s="358"/>
      <c r="O730" s="292"/>
      <c r="P730" s="292"/>
      <c r="Q730" s="614"/>
      <c r="R730" s="913">
        <f t="shared" si="48"/>
        <v>0</v>
      </c>
      <c r="S730" s="913">
        <f t="shared" si="49"/>
        <v>0</v>
      </c>
      <c r="T730" s="913">
        <f t="shared" si="50"/>
        <v>0</v>
      </c>
      <c r="U730" s="914">
        <f t="shared" si="51"/>
        <v>8</v>
      </c>
      <c r="V730" s="612"/>
      <c r="W730" s="612"/>
      <c r="X730" s="612"/>
      <c r="Y730" s="612"/>
      <c r="Z730" s="612"/>
      <c r="AA730" s="612"/>
      <c r="AB730" s="612"/>
      <c r="AC730" s="612"/>
    </row>
    <row r="731" spans="1:30">
      <c r="A731" s="48" t="s">
        <v>4898</v>
      </c>
      <c r="B731" s="60">
        <v>45586</v>
      </c>
      <c r="C731" s="54" t="s">
        <v>4892</v>
      </c>
      <c r="D731" s="435" t="str">
        <f>IFERROR(VLOOKUP(C731,Mychart!$A$125:$B$811,2,FALSE),"-")</f>
        <v>Winner AC  - Ducts</v>
      </c>
      <c r="E731" s="295" t="s">
        <v>4912</v>
      </c>
      <c r="F731" s="58">
        <v>2</v>
      </c>
      <c r="G731" s="58">
        <v>35</v>
      </c>
      <c r="H731" s="58">
        <v>4095.24</v>
      </c>
      <c r="I731" s="58">
        <v>204.762</v>
      </c>
      <c r="J731" s="56" t="s">
        <v>4916</v>
      </c>
      <c r="K731" s="56" t="s">
        <v>626</v>
      </c>
      <c r="L731" s="292">
        <v>225</v>
      </c>
      <c r="M731" s="292"/>
      <c r="N731" s="358"/>
      <c r="O731" s="292"/>
      <c r="P731" s="292"/>
      <c r="Q731" s="614"/>
      <c r="R731" s="913">
        <f t="shared" si="48"/>
        <v>0</v>
      </c>
      <c r="S731" s="913">
        <f t="shared" si="49"/>
        <v>0</v>
      </c>
      <c r="T731" s="913">
        <f t="shared" si="50"/>
        <v>0</v>
      </c>
      <c r="U731" s="914">
        <f t="shared" si="51"/>
        <v>2</v>
      </c>
      <c r="V731" s="612"/>
      <c r="W731" s="612"/>
      <c r="X731" s="612"/>
      <c r="Y731" s="612"/>
      <c r="Z731" s="612"/>
      <c r="AA731" s="612"/>
      <c r="AB731" s="612"/>
      <c r="AC731" s="612"/>
    </row>
    <row r="732" spans="1:30">
      <c r="A732" s="48" t="s">
        <v>4898</v>
      </c>
      <c r="B732" s="60">
        <v>45586</v>
      </c>
      <c r="C732" s="54" t="s">
        <v>4892</v>
      </c>
      <c r="D732" s="435" t="str">
        <f>IFERROR(VLOOKUP(C732,Mychart!$A$125:$B$811,2,FALSE),"-")</f>
        <v>Winner AC  - Ducts</v>
      </c>
      <c r="E732" s="295" t="s">
        <v>4913</v>
      </c>
      <c r="F732" s="58">
        <v>1</v>
      </c>
      <c r="G732" s="58">
        <v>-224.76</v>
      </c>
      <c r="H732" s="58">
        <v>4095.24</v>
      </c>
      <c r="I732" s="58">
        <v>204.762</v>
      </c>
      <c r="J732" s="56" t="s">
        <v>4916</v>
      </c>
      <c r="K732" s="56" t="s">
        <v>626</v>
      </c>
      <c r="L732" s="292">
        <v>225</v>
      </c>
      <c r="M732" s="292"/>
      <c r="N732" s="358"/>
      <c r="O732" s="292"/>
      <c r="P732" s="292"/>
      <c r="Q732" s="614"/>
      <c r="R732" s="913">
        <f t="shared" si="48"/>
        <v>0</v>
      </c>
      <c r="S732" s="913">
        <f t="shared" si="49"/>
        <v>0</v>
      </c>
      <c r="T732" s="913">
        <f t="shared" si="50"/>
        <v>0</v>
      </c>
      <c r="U732" s="914">
        <f t="shared" si="51"/>
        <v>1</v>
      </c>
      <c r="V732" s="612"/>
      <c r="W732" s="612"/>
      <c r="X732" s="612"/>
      <c r="Y732" s="612"/>
      <c r="Z732" s="612"/>
      <c r="AA732" s="612"/>
      <c r="AB732" s="612"/>
      <c r="AC732" s="612"/>
    </row>
    <row r="733" spans="1:30">
      <c r="A733" s="48" t="s">
        <v>4898</v>
      </c>
      <c r="B733" s="60">
        <v>45586</v>
      </c>
      <c r="C733" s="54" t="s">
        <v>4892</v>
      </c>
      <c r="D733" s="435" t="str">
        <f>IFERROR(VLOOKUP(C733,Mychart!$A$125:$B$811,2,FALSE),"-")</f>
        <v>Winner AC  - Ducts</v>
      </c>
      <c r="E733" s="295" t="s">
        <v>4914</v>
      </c>
      <c r="F733" s="58">
        <v>1</v>
      </c>
      <c r="G733" s="58">
        <v>0</v>
      </c>
      <c r="H733" s="58">
        <v>4095.24</v>
      </c>
      <c r="I733" s="58">
        <v>204.762</v>
      </c>
      <c r="J733" s="56" t="s">
        <v>4916</v>
      </c>
      <c r="K733" s="56" t="s">
        <v>626</v>
      </c>
      <c r="L733" s="292">
        <v>225</v>
      </c>
      <c r="M733" s="292"/>
      <c r="N733" s="358"/>
      <c r="O733" s="292"/>
      <c r="P733" s="292"/>
      <c r="Q733" s="614"/>
      <c r="R733" s="913">
        <f t="shared" si="48"/>
        <v>0</v>
      </c>
      <c r="S733" s="913">
        <f t="shared" si="49"/>
        <v>0</v>
      </c>
      <c r="T733" s="913">
        <f t="shared" si="50"/>
        <v>0</v>
      </c>
      <c r="U733" s="914">
        <f t="shared" si="51"/>
        <v>1</v>
      </c>
      <c r="V733" s="612"/>
      <c r="W733" s="612"/>
      <c r="X733" s="612"/>
      <c r="Y733" s="612"/>
      <c r="Z733" s="612"/>
      <c r="AA733" s="612"/>
      <c r="AB733" s="612"/>
      <c r="AC733" s="612"/>
    </row>
    <row r="734" spans="1:30">
      <c r="A734" s="48" t="s">
        <v>4898</v>
      </c>
      <c r="B734" s="60">
        <v>45586</v>
      </c>
      <c r="C734" s="54" t="s">
        <v>4892</v>
      </c>
      <c r="D734" s="435" t="str">
        <f>IFERROR(VLOOKUP(C734,Mychart!$A$125:$B$811,2,FALSE),"-")</f>
        <v>Winner AC  - Ducts</v>
      </c>
      <c r="E734" s="295" t="s">
        <v>4915</v>
      </c>
      <c r="F734" s="58">
        <v>1</v>
      </c>
      <c r="G734" s="58">
        <v>0</v>
      </c>
      <c r="H734" s="58">
        <v>4095.24</v>
      </c>
      <c r="I734" s="58">
        <v>204.762</v>
      </c>
      <c r="J734" s="56" t="s">
        <v>4916</v>
      </c>
      <c r="K734" s="56" t="s">
        <v>626</v>
      </c>
      <c r="L734" s="292">
        <v>225</v>
      </c>
      <c r="M734" s="292" t="s">
        <v>5433</v>
      </c>
      <c r="N734" s="358">
        <v>4300</v>
      </c>
      <c r="O734" s="292">
        <v>4300</v>
      </c>
      <c r="P734" s="292"/>
      <c r="Q734" s="614">
        <v>4300.0019999999995</v>
      </c>
      <c r="R734" s="913">
        <f t="shared" si="48"/>
        <v>0</v>
      </c>
      <c r="S734" s="913">
        <f t="shared" si="49"/>
        <v>1.9999999994979589E-3</v>
      </c>
      <c r="T734" s="913">
        <f t="shared" si="50"/>
        <v>1.9999999994979589E-3</v>
      </c>
      <c r="U734" s="914">
        <f t="shared" si="51"/>
        <v>1</v>
      </c>
      <c r="V734" s="612"/>
      <c r="W734" s="612"/>
      <c r="X734" s="612"/>
      <c r="Y734" s="612"/>
      <c r="Z734" s="612"/>
      <c r="AA734" s="612"/>
      <c r="AB734" s="612"/>
      <c r="AC734" s="612"/>
      <c r="AD734" s="930">
        <v>45602.3984837963</v>
      </c>
    </row>
    <row r="735" spans="1:30">
      <c r="A735" s="48" t="s">
        <v>4917</v>
      </c>
      <c r="B735" s="60">
        <v>45586</v>
      </c>
      <c r="C735" s="54" t="s">
        <v>4892</v>
      </c>
      <c r="D735" s="435" t="str">
        <f>IFERROR(VLOOKUP(C735,Mychart!$A$125:$B$811,2,FALSE),"-")</f>
        <v>Winner AC  - Ducts</v>
      </c>
      <c r="E735" s="295" t="s">
        <v>4921</v>
      </c>
      <c r="F735" s="58">
        <v>20</v>
      </c>
      <c r="G735" s="58">
        <v>22</v>
      </c>
      <c r="H735" s="58">
        <v>440</v>
      </c>
      <c r="I735" s="58">
        <v>22</v>
      </c>
      <c r="J735" s="56" t="s">
        <v>4920</v>
      </c>
      <c r="K735" s="56" t="s">
        <v>626</v>
      </c>
      <c r="L735" s="292">
        <v>225</v>
      </c>
      <c r="M735" s="292"/>
      <c r="N735" s="358"/>
      <c r="O735" s="292"/>
      <c r="P735" s="292"/>
      <c r="Q735" s="614"/>
      <c r="R735" s="913">
        <f t="shared" si="48"/>
        <v>0</v>
      </c>
      <c r="S735" s="913">
        <f t="shared" si="49"/>
        <v>0</v>
      </c>
      <c r="T735" s="913">
        <f t="shared" si="50"/>
        <v>0</v>
      </c>
      <c r="U735" s="914">
        <f t="shared" si="51"/>
        <v>20</v>
      </c>
      <c r="V735" s="612"/>
      <c r="W735" s="612"/>
      <c r="X735" s="612"/>
      <c r="Y735" s="612"/>
      <c r="Z735" s="612"/>
      <c r="AA735" s="612"/>
      <c r="AB735" s="612"/>
      <c r="AC735" s="612"/>
    </row>
    <row r="736" spans="1:30">
      <c r="A736" s="48" t="s">
        <v>4917</v>
      </c>
      <c r="B736" s="60">
        <v>45586</v>
      </c>
      <c r="C736" s="54" t="s">
        <v>4892</v>
      </c>
      <c r="D736" s="435" t="str">
        <f>IFERROR(VLOOKUP(C736,Mychart!$A$125:$B$811,2,FALSE),"-")</f>
        <v>Winner AC  - Ducts</v>
      </c>
      <c r="E736" s="295" t="s">
        <v>4918</v>
      </c>
      <c r="F736" s="58">
        <v>1</v>
      </c>
      <c r="G736" s="58"/>
      <c r="H736" s="58">
        <v>440</v>
      </c>
      <c r="I736" s="58">
        <v>22</v>
      </c>
      <c r="J736" s="56" t="s">
        <v>4920</v>
      </c>
      <c r="K736" s="56" t="s">
        <v>626</v>
      </c>
      <c r="L736" s="292">
        <v>225</v>
      </c>
      <c r="M736" s="292"/>
      <c r="N736" s="358"/>
      <c r="O736" s="292"/>
      <c r="P736" s="292"/>
      <c r="Q736" s="614"/>
      <c r="R736" s="913">
        <f t="shared" si="48"/>
        <v>0</v>
      </c>
      <c r="S736" s="913">
        <f t="shared" si="49"/>
        <v>0</v>
      </c>
      <c r="T736" s="913">
        <f t="shared" si="50"/>
        <v>0</v>
      </c>
      <c r="U736" s="914">
        <f t="shared" si="51"/>
        <v>1</v>
      </c>
      <c r="V736" s="612"/>
      <c r="W736" s="612"/>
      <c r="X736" s="612"/>
      <c r="Y736" s="612"/>
      <c r="Z736" s="612"/>
      <c r="AA736" s="612"/>
      <c r="AB736" s="612"/>
      <c r="AC736" s="612"/>
    </row>
    <row r="737" spans="1:30">
      <c r="A737" s="48" t="s">
        <v>4917</v>
      </c>
      <c r="B737" s="60">
        <v>45586</v>
      </c>
      <c r="C737" s="54" t="s">
        <v>4892</v>
      </c>
      <c r="D737" s="435" t="str">
        <f>IFERROR(VLOOKUP(C737,Mychart!$A$125:$B$811,2,FALSE),"-")</f>
        <v>Winner AC  - Ducts</v>
      </c>
      <c r="E737" s="295" t="s">
        <v>4919</v>
      </c>
      <c r="F737" s="58">
        <v>1</v>
      </c>
      <c r="G737" s="58"/>
      <c r="H737" s="58">
        <v>440</v>
      </c>
      <c r="I737" s="58">
        <v>22</v>
      </c>
      <c r="J737" s="56" t="s">
        <v>4920</v>
      </c>
      <c r="K737" s="56" t="s">
        <v>626</v>
      </c>
      <c r="L737" s="292">
        <v>225</v>
      </c>
      <c r="M737" s="292" t="s">
        <v>5434</v>
      </c>
      <c r="N737" s="358">
        <v>462</v>
      </c>
      <c r="O737" s="292">
        <v>462</v>
      </c>
      <c r="P737" s="292"/>
      <c r="Q737" s="614">
        <v>462</v>
      </c>
      <c r="R737" s="913">
        <f t="shared" si="48"/>
        <v>0</v>
      </c>
      <c r="S737" s="913">
        <f t="shared" si="49"/>
        <v>0</v>
      </c>
      <c r="T737" s="913">
        <f t="shared" si="50"/>
        <v>0</v>
      </c>
      <c r="U737" s="914">
        <f t="shared" si="51"/>
        <v>1</v>
      </c>
      <c r="V737" s="612"/>
      <c r="W737" s="612"/>
      <c r="X737" s="612"/>
      <c r="Y737" s="612"/>
      <c r="Z737" s="612"/>
      <c r="AA737" s="612"/>
      <c r="AB737" s="612"/>
      <c r="AC737" s="612"/>
      <c r="AD737" s="930">
        <v>45602.3984837963</v>
      </c>
    </row>
    <row r="738" spans="1:30">
      <c r="A738" s="48" t="s">
        <v>4943</v>
      </c>
      <c r="B738" s="60">
        <v>45588</v>
      </c>
      <c r="C738" s="54" t="s">
        <v>171</v>
      </c>
      <c r="D738" s="435" t="str">
        <f>IFERROR(VLOOKUP(C738,Mychart!$A$125:$B$811,2,FALSE),"-")</f>
        <v>MACS -Al Muthathawerah</v>
      </c>
      <c r="E738" s="295" t="s">
        <v>979</v>
      </c>
      <c r="F738" s="58">
        <v>2143</v>
      </c>
      <c r="G738" s="58">
        <v>2.85</v>
      </c>
      <c r="H738" s="58">
        <v>6438.8</v>
      </c>
      <c r="I738" s="58">
        <v>321.94000000000005</v>
      </c>
      <c r="J738" s="56" t="s">
        <v>4945</v>
      </c>
      <c r="K738" s="56" t="s">
        <v>303</v>
      </c>
      <c r="L738" s="292">
        <v>264</v>
      </c>
      <c r="M738" s="292"/>
      <c r="N738" s="358"/>
      <c r="O738" s="292"/>
      <c r="P738" s="292"/>
      <c r="Q738" s="614"/>
      <c r="R738" s="913">
        <f t="shared" si="48"/>
        <v>0</v>
      </c>
      <c r="S738" s="913">
        <f t="shared" si="49"/>
        <v>0</v>
      </c>
      <c r="T738" s="913">
        <f t="shared" si="50"/>
        <v>0</v>
      </c>
      <c r="U738" s="914">
        <f t="shared" si="51"/>
        <v>2143</v>
      </c>
      <c r="V738" s="612"/>
      <c r="W738" s="612"/>
      <c r="X738" s="612"/>
      <c r="Y738" s="612"/>
      <c r="Z738" s="612"/>
      <c r="AA738" s="612"/>
      <c r="AB738" s="612"/>
      <c r="AC738" s="612"/>
    </row>
    <row r="739" spans="1:30">
      <c r="A739" s="48" t="s">
        <v>4943</v>
      </c>
      <c r="B739" s="60">
        <v>45588</v>
      </c>
      <c r="C739" s="54" t="s">
        <v>171</v>
      </c>
      <c r="D739" s="435" t="str">
        <f>IFERROR(VLOOKUP(C739,Mychart!$A$125:$B$811,2,FALSE),"-")</f>
        <v>MACS -Al Muthathawerah</v>
      </c>
      <c r="E739" s="295" t="s">
        <v>1118</v>
      </c>
      <c r="F739" s="58">
        <v>105</v>
      </c>
      <c r="G739" s="58">
        <v>3.25</v>
      </c>
      <c r="H739" s="58">
        <v>6438.8</v>
      </c>
      <c r="I739" s="58">
        <v>321.94000000000005</v>
      </c>
      <c r="J739" s="56" t="s">
        <v>4945</v>
      </c>
      <c r="K739" s="56" t="s">
        <v>303</v>
      </c>
      <c r="L739" s="292">
        <v>264</v>
      </c>
      <c r="M739" s="292"/>
      <c r="N739" s="358"/>
      <c r="O739" s="292"/>
      <c r="P739" s="292"/>
      <c r="Q739" s="614"/>
      <c r="R739" s="913">
        <f t="shared" si="48"/>
        <v>0</v>
      </c>
      <c r="S739" s="913">
        <f t="shared" si="49"/>
        <v>0</v>
      </c>
      <c r="T739" s="913">
        <f t="shared" si="50"/>
        <v>0</v>
      </c>
      <c r="U739" s="914">
        <f t="shared" si="51"/>
        <v>105</v>
      </c>
      <c r="V739" s="612"/>
      <c r="W739" s="612"/>
      <c r="X739" s="612"/>
      <c r="Y739" s="612"/>
      <c r="Z739" s="612"/>
      <c r="AA739" s="612"/>
      <c r="AB739" s="612"/>
      <c r="AC739" s="612"/>
    </row>
    <row r="740" spans="1:30">
      <c r="A740" s="48" t="s">
        <v>4943</v>
      </c>
      <c r="B740" s="60">
        <v>45588</v>
      </c>
      <c r="C740" s="54" t="s">
        <v>171</v>
      </c>
      <c r="D740" s="435" t="str">
        <f>IFERROR(VLOOKUP(C740,Mychart!$A$125:$B$811,2,FALSE),"-")</f>
        <v>MACS -Al Muthathawerah</v>
      </c>
      <c r="E740" s="295" t="s">
        <v>1119</v>
      </c>
      <c r="F740" s="58">
        <v>80</v>
      </c>
      <c r="G740" s="58">
        <v>2.25</v>
      </c>
      <c r="H740" s="58">
        <v>6438.8</v>
      </c>
      <c r="I740" s="58">
        <v>321.94000000000005</v>
      </c>
      <c r="J740" s="56" t="s">
        <v>4945</v>
      </c>
      <c r="K740" s="56" t="s">
        <v>303</v>
      </c>
      <c r="L740" s="292">
        <v>264</v>
      </c>
      <c r="M740" s="292"/>
      <c r="N740" s="358"/>
      <c r="O740" s="292"/>
      <c r="P740" s="292"/>
      <c r="Q740" s="614"/>
      <c r="R740" s="913">
        <f t="shared" si="48"/>
        <v>0</v>
      </c>
      <c r="S740" s="913">
        <f t="shared" si="49"/>
        <v>0</v>
      </c>
      <c r="T740" s="913">
        <f t="shared" si="50"/>
        <v>0</v>
      </c>
      <c r="U740" s="914">
        <f t="shared" si="51"/>
        <v>80</v>
      </c>
      <c r="V740" s="612"/>
      <c r="W740" s="612"/>
      <c r="X740" s="612"/>
      <c r="Y740" s="612"/>
      <c r="Z740" s="612"/>
      <c r="AA740" s="612"/>
      <c r="AB740" s="612"/>
      <c r="AC740" s="612"/>
    </row>
    <row r="741" spans="1:30">
      <c r="A741" s="48" t="s">
        <v>4943</v>
      </c>
      <c r="B741" s="60">
        <v>45588</v>
      </c>
      <c r="C741" s="54" t="s">
        <v>171</v>
      </c>
      <c r="D741" s="435" t="str">
        <f>IFERROR(VLOOKUP(C741,Mychart!$A$125:$B$811,2,FALSE),"-")</f>
        <v>MACS -Al Muthathawerah</v>
      </c>
      <c r="E741" s="295" t="s">
        <v>4944</v>
      </c>
      <c r="F741" s="58">
        <v>1</v>
      </c>
      <c r="G741" s="58">
        <v>-190</v>
      </c>
      <c r="H741" s="58">
        <v>6438.8</v>
      </c>
      <c r="I741" s="58">
        <v>321.94000000000005</v>
      </c>
      <c r="J741" s="56" t="s">
        <v>4945</v>
      </c>
      <c r="K741" s="56" t="s">
        <v>303</v>
      </c>
      <c r="L741" s="292">
        <v>264</v>
      </c>
      <c r="M741" s="292"/>
      <c r="N741" s="358"/>
      <c r="O741" s="292"/>
      <c r="P741" s="292"/>
      <c r="Q741" s="614"/>
      <c r="R741" s="913">
        <f t="shared" si="48"/>
        <v>0</v>
      </c>
      <c r="S741" s="913">
        <f t="shared" si="49"/>
        <v>0</v>
      </c>
      <c r="T741" s="913">
        <f t="shared" si="50"/>
        <v>0</v>
      </c>
      <c r="U741" s="914">
        <f t="shared" si="51"/>
        <v>1</v>
      </c>
      <c r="V741" s="612"/>
      <c r="W741" s="612"/>
      <c r="X741" s="612"/>
      <c r="Y741" s="612"/>
      <c r="Z741" s="612"/>
      <c r="AA741" s="612"/>
      <c r="AB741" s="612"/>
      <c r="AC741" s="612"/>
    </row>
    <row r="742" spans="1:30">
      <c r="A742" s="48" t="s">
        <v>4943</v>
      </c>
      <c r="B742" s="60">
        <v>45588</v>
      </c>
      <c r="C742" s="54" t="s">
        <v>171</v>
      </c>
      <c r="D742" s="435" t="str">
        <f>IFERROR(VLOOKUP(C742,Mychart!$A$125:$B$811,2,FALSE),"-")</f>
        <v>MACS -Al Muthathawerah</v>
      </c>
      <c r="E742" s="295" t="s">
        <v>4914</v>
      </c>
      <c r="F742" s="58">
        <v>1</v>
      </c>
      <c r="G742" s="58">
        <v>0</v>
      </c>
      <c r="H742" s="58">
        <v>6438.8</v>
      </c>
      <c r="I742" s="58">
        <v>321.94000000000005</v>
      </c>
      <c r="J742" s="56" t="s">
        <v>4945</v>
      </c>
      <c r="K742" s="56" t="s">
        <v>303</v>
      </c>
      <c r="L742" s="292">
        <v>264</v>
      </c>
      <c r="M742" s="292" t="s">
        <v>5817</v>
      </c>
      <c r="N742" s="358">
        <v>6760.74</v>
      </c>
      <c r="O742" s="292">
        <v>6761</v>
      </c>
      <c r="P742" s="292"/>
      <c r="Q742" s="614">
        <v>6760.74</v>
      </c>
      <c r="R742" s="913">
        <f t="shared" si="48"/>
        <v>0.26000000000021828</v>
      </c>
      <c r="S742" s="913">
        <f t="shared" si="49"/>
        <v>0</v>
      </c>
      <c r="T742" s="913">
        <f t="shared" si="50"/>
        <v>-0.26000000000021828</v>
      </c>
      <c r="U742" s="914">
        <f t="shared" si="51"/>
        <v>1</v>
      </c>
      <c r="V742" s="612"/>
      <c r="W742" s="612"/>
      <c r="X742" s="612"/>
      <c r="Y742" s="612"/>
      <c r="Z742" s="612"/>
      <c r="AA742" s="612"/>
      <c r="AB742" s="612"/>
      <c r="AC742" s="612"/>
      <c r="AD742" s="930">
        <v>45622.605000000003</v>
      </c>
    </row>
    <row r="743" spans="1:30">
      <c r="A743" s="48" t="s">
        <v>5093</v>
      </c>
      <c r="B743" s="60">
        <v>45591</v>
      </c>
      <c r="C743" s="54" t="s">
        <v>173</v>
      </c>
      <c r="D743" s="435" t="str">
        <f>IFERROR(VLOOKUP(C743,Mychart!$A$125:$B$811,2,FALSE),"-")</f>
        <v>BAB AL TABREED A/C UNITS FIX.CONT</v>
      </c>
      <c r="E743" s="295" t="s">
        <v>1591</v>
      </c>
      <c r="F743" s="58">
        <v>534</v>
      </c>
      <c r="G743" s="58">
        <v>2.8</v>
      </c>
      <c r="H743" s="58">
        <v>1495.1999999999998</v>
      </c>
      <c r="I743" s="58">
        <v>74.759999999999991</v>
      </c>
      <c r="J743" s="56" t="s">
        <v>5095</v>
      </c>
      <c r="K743" s="56" t="s">
        <v>267</v>
      </c>
      <c r="L743" s="292">
        <v>247</v>
      </c>
      <c r="M743" s="292"/>
      <c r="N743" s="358"/>
      <c r="O743" s="292"/>
      <c r="P743" s="292"/>
      <c r="Q743" s="614"/>
      <c r="R743" s="913">
        <f t="shared" si="48"/>
        <v>0</v>
      </c>
      <c r="S743" s="913">
        <f t="shared" si="49"/>
        <v>0</v>
      </c>
      <c r="T743" s="913">
        <f t="shared" si="50"/>
        <v>0</v>
      </c>
      <c r="U743" s="914">
        <f t="shared" si="51"/>
        <v>534</v>
      </c>
      <c r="V743" s="612"/>
      <c r="W743" s="612"/>
      <c r="X743" s="612"/>
      <c r="Y743" s="612"/>
      <c r="Z743" s="612"/>
      <c r="AA743" s="612"/>
      <c r="AB743" s="612"/>
      <c r="AC743" s="612"/>
    </row>
    <row r="744" spans="1:30">
      <c r="A744" s="48" t="s">
        <v>5093</v>
      </c>
      <c r="B744" s="60">
        <v>45591</v>
      </c>
      <c r="C744" s="54" t="s">
        <v>173</v>
      </c>
      <c r="D744" s="435" t="str">
        <f>IFERROR(VLOOKUP(C744,Mychart!$A$125:$B$811,2,FALSE),"-")</f>
        <v>BAB AL TABREED A/C UNITS FIX.CONT</v>
      </c>
      <c r="E744" s="295" t="s">
        <v>5094</v>
      </c>
      <c r="F744" s="58">
        <v>0</v>
      </c>
      <c r="G744" s="58">
        <v>0</v>
      </c>
      <c r="H744" s="58">
        <v>1495.1999999999998</v>
      </c>
      <c r="I744" s="58">
        <v>74.759999999999991</v>
      </c>
      <c r="J744" s="56" t="s">
        <v>5095</v>
      </c>
      <c r="K744" s="56" t="s">
        <v>267</v>
      </c>
      <c r="L744" s="292">
        <v>247</v>
      </c>
      <c r="M744" s="292" t="s">
        <v>5775</v>
      </c>
      <c r="N744" s="358">
        <v>1570</v>
      </c>
      <c r="O744" s="292">
        <v>1570</v>
      </c>
      <c r="P744" s="292"/>
      <c r="Q744" s="614">
        <v>1569.9599999999998</v>
      </c>
      <c r="R744" s="913">
        <f t="shared" si="48"/>
        <v>0</v>
      </c>
      <c r="S744" s="913">
        <f t="shared" si="49"/>
        <v>-4.0000000000190994E-2</v>
      </c>
      <c r="T744" s="913">
        <f t="shared" si="50"/>
        <v>-4.0000000000190994E-2</v>
      </c>
      <c r="U744" s="914">
        <f t="shared" si="51"/>
        <v>0</v>
      </c>
      <c r="V744" s="612"/>
      <c r="W744" s="612"/>
      <c r="X744" s="612"/>
      <c r="Y744" s="612"/>
      <c r="Z744" s="612"/>
      <c r="AA744" s="612"/>
      <c r="AB744" s="612"/>
      <c r="AC744" s="612"/>
      <c r="AD744" s="930">
        <v>45619.608391203707</v>
      </c>
    </row>
    <row r="745" spans="1:30">
      <c r="A745" s="48" t="s">
        <v>5239</v>
      </c>
      <c r="B745" s="60">
        <v>45594</v>
      </c>
      <c r="C745" s="54" t="s">
        <v>172</v>
      </c>
      <c r="D745" s="435" t="str">
        <f>IFERROR(VLOOKUP(C745,Mychart!$A$125:$B$811,2,FALSE),"-")</f>
        <v>BEST CHOICE INDUSTRIES LLC</v>
      </c>
      <c r="E745" s="295" t="s">
        <v>5241</v>
      </c>
      <c r="F745" s="58">
        <v>8</v>
      </c>
      <c r="G745" s="58"/>
      <c r="H745" s="58">
        <v>5905</v>
      </c>
      <c r="I745" s="58">
        <v>295.25</v>
      </c>
      <c r="J745" s="56" t="s">
        <v>5240</v>
      </c>
      <c r="K745" s="56" t="s">
        <v>301</v>
      </c>
      <c r="L745" s="292">
        <v>257</v>
      </c>
      <c r="M745" s="292"/>
      <c r="N745" s="358"/>
      <c r="O745" s="292"/>
      <c r="P745" s="292" t="s">
        <v>1205</v>
      </c>
      <c r="Q745" s="614"/>
      <c r="R745" s="913">
        <f t="shared" si="48"/>
        <v>0</v>
      </c>
      <c r="S745" s="913">
        <f t="shared" si="49"/>
        <v>0</v>
      </c>
      <c r="T745" s="913">
        <f t="shared" si="50"/>
        <v>0</v>
      </c>
      <c r="U745" s="914" t="e">
        <f t="shared" si="51"/>
        <v>#VALUE!</v>
      </c>
      <c r="V745" s="612"/>
      <c r="W745" s="612"/>
      <c r="X745" s="612"/>
      <c r="Y745" s="612"/>
      <c r="Z745" s="612"/>
      <c r="AA745" s="612"/>
      <c r="AB745" s="612"/>
      <c r="AC745" s="612"/>
    </row>
    <row r="746" spans="1:30">
      <c r="A746" s="48" t="s">
        <v>5239</v>
      </c>
      <c r="B746" s="60">
        <v>45594</v>
      </c>
      <c r="C746" s="54" t="s">
        <v>172</v>
      </c>
      <c r="D746" s="435" t="str">
        <f>IFERROR(VLOOKUP(C746,Mychart!$A$125:$B$811,2,FALSE),"-")</f>
        <v>BEST CHOICE INDUSTRIES LLC</v>
      </c>
      <c r="E746" s="295" t="s">
        <v>5242</v>
      </c>
      <c r="F746" s="58">
        <v>4</v>
      </c>
      <c r="G746" s="58"/>
      <c r="H746" s="58">
        <v>5905</v>
      </c>
      <c r="I746" s="58">
        <v>295.25</v>
      </c>
      <c r="J746" s="56" t="s">
        <v>5240</v>
      </c>
      <c r="K746" s="56" t="s">
        <v>301</v>
      </c>
      <c r="L746" s="292">
        <v>257</v>
      </c>
      <c r="M746" s="292"/>
      <c r="N746" s="358"/>
      <c r="O746" s="292"/>
      <c r="P746" s="292"/>
      <c r="Q746" s="614"/>
      <c r="R746" s="913">
        <f t="shared" si="48"/>
        <v>0</v>
      </c>
      <c r="S746" s="913">
        <f t="shared" si="49"/>
        <v>0</v>
      </c>
      <c r="T746" s="913">
        <f t="shared" si="50"/>
        <v>0</v>
      </c>
      <c r="U746" s="914">
        <f t="shared" si="51"/>
        <v>4</v>
      </c>
      <c r="V746" s="612"/>
      <c r="W746" s="612"/>
      <c r="X746" s="612"/>
      <c r="Y746" s="612"/>
      <c r="Z746" s="612"/>
      <c r="AA746" s="612"/>
      <c r="AB746" s="612"/>
      <c r="AC746" s="612"/>
    </row>
    <row r="747" spans="1:30">
      <c r="A747" s="48" t="s">
        <v>5239</v>
      </c>
      <c r="B747" s="60">
        <v>45594</v>
      </c>
      <c r="C747" s="54" t="s">
        <v>172</v>
      </c>
      <c r="D747" s="435" t="str">
        <f>IFERROR(VLOOKUP(C747,Mychart!$A$125:$B$811,2,FALSE),"-")</f>
        <v>BEST CHOICE INDUSTRIES LLC</v>
      </c>
      <c r="E747" s="295" t="s">
        <v>5243</v>
      </c>
      <c r="F747" s="58">
        <v>8</v>
      </c>
      <c r="G747" s="58"/>
      <c r="H747" s="58">
        <v>5905</v>
      </c>
      <c r="I747" s="58">
        <v>295.25</v>
      </c>
      <c r="J747" s="56" t="s">
        <v>5240</v>
      </c>
      <c r="K747" s="56" t="s">
        <v>301</v>
      </c>
      <c r="L747" s="292">
        <v>257</v>
      </c>
      <c r="M747" s="292"/>
      <c r="N747" s="358"/>
      <c r="O747" s="292"/>
      <c r="P747" s="292"/>
      <c r="Q747" s="614"/>
      <c r="R747" s="913">
        <f t="shared" si="48"/>
        <v>0</v>
      </c>
      <c r="S747" s="913">
        <f t="shared" si="49"/>
        <v>0</v>
      </c>
      <c r="T747" s="913">
        <f t="shared" si="50"/>
        <v>0</v>
      </c>
      <c r="U747" s="914">
        <f t="shared" si="51"/>
        <v>8</v>
      </c>
      <c r="V747" s="612"/>
      <c r="W747" s="612"/>
      <c r="X747" s="612"/>
      <c r="Y747" s="612"/>
      <c r="Z747" s="612"/>
      <c r="AA747" s="612"/>
      <c r="AB747" s="612"/>
      <c r="AC747" s="612"/>
    </row>
    <row r="748" spans="1:30">
      <c r="A748" s="48" t="s">
        <v>5239</v>
      </c>
      <c r="B748" s="60">
        <v>45594</v>
      </c>
      <c r="C748" s="54" t="s">
        <v>172</v>
      </c>
      <c r="D748" s="435" t="str">
        <f>IFERROR(VLOOKUP(C748,Mychart!$A$125:$B$811,2,FALSE),"-")</f>
        <v>BEST CHOICE INDUSTRIES LLC</v>
      </c>
      <c r="E748" s="295" t="s">
        <v>5244</v>
      </c>
      <c r="F748" s="58">
        <v>6</v>
      </c>
      <c r="G748" s="58"/>
      <c r="H748" s="58">
        <v>5905</v>
      </c>
      <c r="I748" s="58">
        <v>295.25</v>
      </c>
      <c r="J748" s="56" t="s">
        <v>5240</v>
      </c>
      <c r="K748" s="56" t="s">
        <v>301</v>
      </c>
      <c r="L748" s="292">
        <v>257</v>
      </c>
      <c r="M748" s="292"/>
      <c r="N748" s="358"/>
      <c r="O748" s="292"/>
      <c r="P748" s="292"/>
      <c r="Q748" s="614"/>
      <c r="R748" s="913">
        <f t="shared" si="48"/>
        <v>0</v>
      </c>
      <c r="S748" s="913">
        <f t="shared" si="49"/>
        <v>0</v>
      </c>
      <c r="T748" s="913">
        <f t="shared" si="50"/>
        <v>0</v>
      </c>
      <c r="U748" s="914">
        <f t="shared" si="51"/>
        <v>6</v>
      </c>
      <c r="V748" s="612"/>
      <c r="W748" s="612"/>
      <c r="X748" s="612"/>
      <c r="Y748" s="612"/>
      <c r="Z748" s="612"/>
      <c r="AA748" s="612"/>
      <c r="AB748" s="612"/>
      <c r="AC748" s="612"/>
    </row>
    <row r="749" spans="1:30">
      <c r="A749" s="48" t="s">
        <v>5239</v>
      </c>
      <c r="B749" s="60">
        <v>45594</v>
      </c>
      <c r="C749" s="54" t="s">
        <v>172</v>
      </c>
      <c r="D749" s="435" t="str">
        <f>IFERROR(VLOOKUP(C749,Mychart!$A$125:$B$811,2,FALSE),"-")</f>
        <v>BEST CHOICE INDUSTRIES LLC</v>
      </c>
      <c r="E749" s="295" t="s">
        <v>5245</v>
      </c>
      <c r="F749" s="58">
        <v>5</v>
      </c>
      <c r="G749" s="58"/>
      <c r="H749" s="58">
        <v>5905</v>
      </c>
      <c r="I749" s="58">
        <v>295.25</v>
      </c>
      <c r="J749" s="56" t="s">
        <v>5240</v>
      </c>
      <c r="K749" s="56" t="s">
        <v>301</v>
      </c>
      <c r="L749" s="292">
        <v>257</v>
      </c>
      <c r="M749" s="292"/>
      <c r="N749" s="358"/>
      <c r="O749" s="292"/>
      <c r="P749" s="292"/>
      <c r="Q749" s="614"/>
      <c r="R749" s="913">
        <f t="shared" si="48"/>
        <v>0</v>
      </c>
      <c r="S749" s="913">
        <f t="shared" si="49"/>
        <v>0</v>
      </c>
      <c r="T749" s="913">
        <f t="shared" si="50"/>
        <v>0</v>
      </c>
      <c r="U749" s="914">
        <f t="shared" si="51"/>
        <v>5</v>
      </c>
      <c r="V749" s="612"/>
      <c r="W749" s="612"/>
      <c r="X749" s="612"/>
      <c r="Y749" s="612"/>
      <c r="Z749" s="612"/>
      <c r="AA749" s="612"/>
      <c r="AB749" s="612"/>
      <c r="AC749" s="612"/>
    </row>
    <row r="750" spans="1:30">
      <c r="A750" s="48" t="s">
        <v>5239</v>
      </c>
      <c r="B750" s="60">
        <v>45594</v>
      </c>
      <c r="C750" s="54" t="s">
        <v>172</v>
      </c>
      <c r="D750" s="435" t="str">
        <f>IFERROR(VLOOKUP(C750,Mychart!$A$125:$B$811,2,FALSE),"-")</f>
        <v>BEST CHOICE INDUSTRIES LLC</v>
      </c>
      <c r="E750" s="295" t="s">
        <v>5246</v>
      </c>
      <c r="F750" s="58">
        <v>2</v>
      </c>
      <c r="G750" s="58"/>
      <c r="H750" s="58">
        <v>5905</v>
      </c>
      <c r="I750" s="58">
        <v>295.25</v>
      </c>
      <c r="J750" s="56" t="s">
        <v>5240</v>
      </c>
      <c r="K750" s="56" t="s">
        <v>301</v>
      </c>
      <c r="L750" s="292">
        <v>257</v>
      </c>
      <c r="M750" s="292"/>
      <c r="N750" s="358"/>
      <c r="O750" s="292"/>
      <c r="P750" s="292"/>
      <c r="Q750" s="614"/>
      <c r="R750" s="913">
        <f t="shared" si="48"/>
        <v>0</v>
      </c>
      <c r="S750" s="913">
        <f t="shared" si="49"/>
        <v>0</v>
      </c>
      <c r="T750" s="913">
        <f t="shared" si="50"/>
        <v>0</v>
      </c>
      <c r="U750" s="914">
        <f t="shared" si="51"/>
        <v>2</v>
      </c>
      <c r="V750" s="612"/>
      <c r="W750" s="612"/>
      <c r="X750" s="612"/>
      <c r="Y750" s="612"/>
      <c r="Z750" s="612"/>
      <c r="AA750" s="612"/>
      <c r="AB750" s="612"/>
      <c r="AC750" s="612"/>
    </row>
    <row r="751" spans="1:30">
      <c r="A751" s="48" t="s">
        <v>5239</v>
      </c>
      <c r="B751" s="60">
        <v>45594</v>
      </c>
      <c r="C751" s="54" t="s">
        <v>172</v>
      </c>
      <c r="D751" s="435" t="str">
        <f>IFERROR(VLOOKUP(C751,Mychart!$A$125:$B$811,2,FALSE),"-")</f>
        <v>BEST CHOICE INDUSTRIES LLC</v>
      </c>
      <c r="E751" s="295" t="s">
        <v>5247</v>
      </c>
      <c r="F751" s="58">
        <v>4</v>
      </c>
      <c r="G751" s="58"/>
      <c r="H751" s="58">
        <v>5905</v>
      </c>
      <c r="I751" s="58">
        <v>295.25</v>
      </c>
      <c r="J751" s="56" t="s">
        <v>5240</v>
      </c>
      <c r="K751" s="56" t="s">
        <v>301</v>
      </c>
      <c r="L751" s="292">
        <v>257</v>
      </c>
      <c r="M751" s="292"/>
      <c r="N751" s="358"/>
      <c r="O751" s="292"/>
      <c r="P751" s="292"/>
      <c r="Q751" s="614"/>
      <c r="R751" s="913">
        <f t="shared" si="48"/>
        <v>0</v>
      </c>
      <c r="S751" s="913">
        <f t="shared" si="49"/>
        <v>0</v>
      </c>
      <c r="T751" s="913">
        <f t="shared" si="50"/>
        <v>0</v>
      </c>
      <c r="U751" s="914">
        <f t="shared" si="51"/>
        <v>4</v>
      </c>
      <c r="V751" s="612"/>
      <c r="W751" s="612"/>
      <c r="X751" s="612"/>
      <c r="Y751" s="612"/>
      <c r="Z751" s="612"/>
      <c r="AA751" s="612"/>
      <c r="AB751" s="612"/>
      <c r="AC751" s="612"/>
    </row>
    <row r="752" spans="1:30">
      <c r="A752" s="48" t="s">
        <v>5239</v>
      </c>
      <c r="B752" s="60">
        <v>45594</v>
      </c>
      <c r="C752" s="54" t="s">
        <v>172</v>
      </c>
      <c r="D752" s="435" t="str">
        <f>IFERROR(VLOOKUP(C752,Mychart!$A$125:$B$811,2,FALSE),"-")</f>
        <v>BEST CHOICE INDUSTRIES LLC</v>
      </c>
      <c r="E752" s="295" t="s">
        <v>5248</v>
      </c>
      <c r="F752" s="58">
        <v>2</v>
      </c>
      <c r="G752" s="58"/>
      <c r="H752" s="58">
        <v>5905</v>
      </c>
      <c r="I752" s="58">
        <v>295.25</v>
      </c>
      <c r="J752" s="56" t="s">
        <v>5240</v>
      </c>
      <c r="K752" s="56" t="s">
        <v>301</v>
      </c>
      <c r="L752" s="292">
        <v>257</v>
      </c>
      <c r="M752" s="292"/>
      <c r="N752" s="358"/>
      <c r="O752" s="292"/>
      <c r="P752" s="292"/>
      <c r="Q752" s="614"/>
      <c r="R752" s="913">
        <f t="shared" si="48"/>
        <v>0</v>
      </c>
      <c r="S752" s="913">
        <f t="shared" si="49"/>
        <v>0</v>
      </c>
      <c r="T752" s="913">
        <f t="shared" si="50"/>
        <v>0</v>
      </c>
      <c r="U752" s="914">
        <f t="shared" si="51"/>
        <v>2</v>
      </c>
      <c r="V752" s="612"/>
      <c r="W752" s="612"/>
      <c r="X752" s="612"/>
      <c r="Y752" s="612"/>
      <c r="Z752" s="612"/>
      <c r="AA752" s="612"/>
      <c r="AB752" s="612"/>
      <c r="AC752" s="612"/>
    </row>
    <row r="753" spans="1:30">
      <c r="A753" s="48" t="s">
        <v>5239</v>
      </c>
      <c r="B753" s="60">
        <v>45594</v>
      </c>
      <c r="C753" s="54" t="s">
        <v>172</v>
      </c>
      <c r="D753" s="435" t="str">
        <f>IFERROR(VLOOKUP(C753,Mychart!$A$125:$B$811,2,FALSE),"-")</f>
        <v>BEST CHOICE INDUSTRIES LLC</v>
      </c>
      <c r="E753" s="295" t="s">
        <v>5249</v>
      </c>
      <c r="F753" s="58">
        <v>2</v>
      </c>
      <c r="G753" s="58"/>
      <c r="H753" s="58">
        <v>5905</v>
      </c>
      <c r="I753" s="58">
        <v>295.25</v>
      </c>
      <c r="J753" s="56" t="s">
        <v>5240</v>
      </c>
      <c r="K753" s="56" t="s">
        <v>301</v>
      </c>
      <c r="L753" s="292">
        <v>257</v>
      </c>
      <c r="M753" s="292"/>
      <c r="N753" s="358"/>
      <c r="O753" s="292"/>
      <c r="P753" s="292"/>
      <c r="Q753" s="614"/>
      <c r="R753" s="913">
        <f t="shared" si="48"/>
        <v>0</v>
      </c>
      <c r="S753" s="913">
        <f t="shared" si="49"/>
        <v>0</v>
      </c>
      <c r="T753" s="913">
        <f t="shared" si="50"/>
        <v>0</v>
      </c>
      <c r="U753" s="914">
        <f t="shared" si="51"/>
        <v>2</v>
      </c>
      <c r="V753" s="612"/>
      <c r="W753" s="612"/>
      <c r="X753" s="612"/>
      <c r="Y753" s="612"/>
      <c r="Z753" s="612"/>
      <c r="AA753" s="612"/>
      <c r="AB753" s="612"/>
      <c r="AC753" s="612"/>
    </row>
    <row r="754" spans="1:30">
      <c r="A754" s="48" t="s">
        <v>5239</v>
      </c>
      <c r="B754" s="60">
        <v>45594</v>
      </c>
      <c r="C754" s="54" t="s">
        <v>172</v>
      </c>
      <c r="D754" s="435" t="str">
        <f>IFERROR(VLOOKUP(C754,Mychart!$A$125:$B$811,2,FALSE),"-")</f>
        <v>BEST CHOICE INDUSTRIES LLC</v>
      </c>
      <c r="E754" s="295" t="s">
        <v>5250</v>
      </c>
      <c r="F754" s="58">
        <v>4</v>
      </c>
      <c r="G754" s="58"/>
      <c r="H754" s="58">
        <v>5905</v>
      </c>
      <c r="I754" s="58">
        <v>295.25</v>
      </c>
      <c r="J754" s="56" t="s">
        <v>5240</v>
      </c>
      <c r="K754" s="56" t="s">
        <v>301</v>
      </c>
      <c r="L754" s="292">
        <v>257</v>
      </c>
      <c r="M754" s="292"/>
      <c r="N754" s="358"/>
      <c r="O754" s="292"/>
      <c r="P754" s="292"/>
      <c r="Q754" s="614"/>
      <c r="R754" s="913">
        <f t="shared" si="48"/>
        <v>0</v>
      </c>
      <c r="S754" s="913">
        <f t="shared" si="49"/>
        <v>0</v>
      </c>
      <c r="T754" s="913">
        <f t="shared" si="50"/>
        <v>0</v>
      </c>
      <c r="U754" s="914">
        <f t="shared" si="51"/>
        <v>4</v>
      </c>
      <c r="V754" s="612"/>
      <c r="W754" s="612"/>
      <c r="X754" s="612"/>
      <c r="Y754" s="612"/>
      <c r="Z754" s="612"/>
      <c r="AA754" s="612"/>
      <c r="AB754" s="612"/>
      <c r="AC754" s="612"/>
    </row>
    <row r="755" spans="1:30">
      <c r="A755" s="48" t="s">
        <v>5239</v>
      </c>
      <c r="B755" s="60">
        <v>45594</v>
      </c>
      <c r="C755" s="54" t="s">
        <v>172</v>
      </c>
      <c r="D755" s="435" t="str">
        <f>IFERROR(VLOOKUP(C755,Mychart!$A$125:$B$811,2,FALSE),"-")</f>
        <v>BEST CHOICE INDUSTRIES LLC</v>
      </c>
      <c r="E755" s="295" t="s">
        <v>5251</v>
      </c>
      <c r="F755" s="58">
        <v>1</v>
      </c>
      <c r="G755" s="58"/>
      <c r="H755" s="58">
        <v>5905</v>
      </c>
      <c r="I755" s="58">
        <v>295.25</v>
      </c>
      <c r="J755" s="56" t="s">
        <v>5240</v>
      </c>
      <c r="K755" s="56" t="s">
        <v>301</v>
      </c>
      <c r="L755" s="292">
        <v>257</v>
      </c>
      <c r="M755" s="292"/>
      <c r="N755" s="358"/>
      <c r="O755" s="292"/>
      <c r="P755" s="292"/>
      <c r="Q755" s="614"/>
      <c r="R755" s="913">
        <f t="shared" si="48"/>
        <v>0</v>
      </c>
      <c r="S755" s="913">
        <f t="shared" si="49"/>
        <v>0</v>
      </c>
      <c r="T755" s="913">
        <f t="shared" si="50"/>
        <v>0</v>
      </c>
      <c r="U755" s="914">
        <f t="shared" si="51"/>
        <v>1</v>
      </c>
      <c r="V755" s="612"/>
      <c r="W755" s="612"/>
      <c r="X755" s="612"/>
      <c r="Y755" s="612"/>
      <c r="Z755" s="612"/>
      <c r="AA755" s="612"/>
      <c r="AB755" s="612"/>
      <c r="AC755" s="612"/>
    </row>
    <row r="756" spans="1:30">
      <c r="A756" s="48" t="s">
        <v>5239</v>
      </c>
      <c r="B756" s="60">
        <v>45594</v>
      </c>
      <c r="C756" s="54" t="s">
        <v>172</v>
      </c>
      <c r="D756" s="435" t="str">
        <f>IFERROR(VLOOKUP(C756,Mychart!$A$125:$B$811,2,FALSE),"-")</f>
        <v>BEST CHOICE INDUSTRIES LLC</v>
      </c>
      <c r="E756" s="295" t="s">
        <v>5252</v>
      </c>
      <c r="F756" s="58">
        <v>2</v>
      </c>
      <c r="G756" s="58"/>
      <c r="H756" s="58">
        <v>5905</v>
      </c>
      <c r="I756" s="58">
        <v>295.25</v>
      </c>
      <c r="J756" s="56" t="s">
        <v>5240</v>
      </c>
      <c r="K756" s="56" t="s">
        <v>301</v>
      </c>
      <c r="L756" s="292">
        <v>257</v>
      </c>
      <c r="M756" s="292"/>
      <c r="N756" s="358"/>
      <c r="O756" s="292"/>
      <c r="P756" s="292"/>
      <c r="Q756" s="614"/>
      <c r="R756" s="913">
        <f t="shared" si="48"/>
        <v>0</v>
      </c>
      <c r="S756" s="913">
        <f t="shared" si="49"/>
        <v>0</v>
      </c>
      <c r="T756" s="913">
        <f t="shared" si="50"/>
        <v>0</v>
      </c>
      <c r="U756" s="914">
        <f t="shared" si="51"/>
        <v>2</v>
      </c>
      <c r="V756" s="612"/>
      <c r="W756" s="612"/>
      <c r="X756" s="612"/>
      <c r="Y756" s="612"/>
      <c r="Z756" s="612"/>
      <c r="AA756" s="612"/>
      <c r="AB756" s="612"/>
      <c r="AC756" s="612"/>
    </row>
    <row r="757" spans="1:30">
      <c r="A757" s="48" t="s">
        <v>5239</v>
      </c>
      <c r="B757" s="60">
        <v>45594</v>
      </c>
      <c r="C757" s="54" t="s">
        <v>172</v>
      </c>
      <c r="D757" s="435" t="str">
        <f>IFERROR(VLOOKUP(C757,Mychart!$A$125:$B$811,2,FALSE),"-")</f>
        <v>BEST CHOICE INDUSTRIES LLC</v>
      </c>
      <c r="E757" s="295" t="s">
        <v>5253</v>
      </c>
      <c r="F757" s="58">
        <v>5</v>
      </c>
      <c r="G757" s="58"/>
      <c r="H757" s="58">
        <v>5905</v>
      </c>
      <c r="I757" s="58">
        <v>295.25</v>
      </c>
      <c r="J757" s="56" t="s">
        <v>5240</v>
      </c>
      <c r="K757" s="56" t="s">
        <v>301</v>
      </c>
      <c r="L757" s="292">
        <v>257</v>
      </c>
      <c r="M757" s="292"/>
      <c r="N757" s="358"/>
      <c r="O757" s="292"/>
      <c r="P757" s="292"/>
      <c r="Q757" s="614"/>
      <c r="R757" s="913">
        <f t="shared" si="48"/>
        <v>0</v>
      </c>
      <c r="S757" s="913">
        <f t="shared" si="49"/>
        <v>0</v>
      </c>
      <c r="T757" s="913">
        <f t="shared" si="50"/>
        <v>0</v>
      </c>
      <c r="U757" s="914">
        <f t="shared" si="51"/>
        <v>5</v>
      </c>
      <c r="V757" s="612"/>
      <c r="W757" s="612"/>
      <c r="X757" s="612"/>
      <c r="Y757" s="612"/>
      <c r="Z757" s="612"/>
      <c r="AA757" s="612"/>
      <c r="AB757" s="612"/>
      <c r="AC757" s="612"/>
    </row>
    <row r="758" spans="1:30">
      <c r="A758" s="48" t="s">
        <v>5239</v>
      </c>
      <c r="B758" s="60">
        <v>45594</v>
      </c>
      <c r="C758" s="54" t="s">
        <v>172</v>
      </c>
      <c r="D758" s="435" t="str">
        <f>IFERROR(VLOOKUP(C758,Mychart!$A$125:$B$811,2,FALSE),"-")</f>
        <v>BEST CHOICE INDUSTRIES LLC</v>
      </c>
      <c r="E758" s="295" t="s">
        <v>5254</v>
      </c>
      <c r="F758" s="58">
        <v>4</v>
      </c>
      <c r="G758" s="58"/>
      <c r="H758" s="58">
        <v>5905</v>
      </c>
      <c r="I758" s="58">
        <v>295.25</v>
      </c>
      <c r="J758" s="56" t="s">
        <v>5240</v>
      </c>
      <c r="K758" s="56" t="s">
        <v>301</v>
      </c>
      <c r="L758" s="292">
        <v>257</v>
      </c>
      <c r="M758" s="292"/>
      <c r="N758" s="358"/>
      <c r="O758" s="292"/>
      <c r="P758" s="292"/>
      <c r="Q758" s="614"/>
      <c r="R758" s="913">
        <f t="shared" si="48"/>
        <v>0</v>
      </c>
      <c r="S758" s="913">
        <f t="shared" si="49"/>
        <v>0</v>
      </c>
      <c r="T758" s="913">
        <f t="shared" si="50"/>
        <v>0</v>
      </c>
      <c r="U758" s="914">
        <f t="shared" si="51"/>
        <v>4</v>
      </c>
      <c r="V758" s="612"/>
      <c r="W758" s="612"/>
      <c r="X758" s="612"/>
      <c r="Y758" s="612"/>
      <c r="Z758" s="612"/>
      <c r="AA758" s="612"/>
      <c r="AB758" s="612"/>
      <c r="AC758" s="612"/>
    </row>
    <row r="759" spans="1:30">
      <c r="A759" s="48" t="s">
        <v>5239</v>
      </c>
      <c r="B759" s="60">
        <v>45594</v>
      </c>
      <c r="C759" s="54" t="s">
        <v>172</v>
      </c>
      <c r="D759" s="435" t="str">
        <f>IFERROR(VLOOKUP(C759,Mychart!$A$125:$B$811,2,FALSE),"-")</f>
        <v>BEST CHOICE INDUSTRIES LLC</v>
      </c>
      <c r="E759" s="295" t="s">
        <v>5255</v>
      </c>
      <c r="F759" s="58">
        <v>10</v>
      </c>
      <c r="G759" s="58"/>
      <c r="H759" s="58">
        <v>5905</v>
      </c>
      <c r="I759" s="58">
        <v>295.25</v>
      </c>
      <c r="J759" s="56" t="s">
        <v>5240</v>
      </c>
      <c r="K759" s="56" t="s">
        <v>301</v>
      </c>
      <c r="L759" s="292">
        <v>257</v>
      </c>
      <c r="M759" s="292"/>
      <c r="N759" s="358"/>
      <c r="O759" s="292"/>
      <c r="P759" s="292"/>
      <c r="Q759" s="614"/>
      <c r="R759" s="913">
        <f t="shared" si="48"/>
        <v>0</v>
      </c>
      <c r="S759" s="913">
        <f t="shared" si="49"/>
        <v>0</v>
      </c>
      <c r="T759" s="913">
        <f t="shared" si="50"/>
        <v>0</v>
      </c>
      <c r="U759" s="914">
        <f t="shared" si="51"/>
        <v>10</v>
      </c>
      <c r="V759" s="612"/>
      <c r="W759" s="612"/>
      <c r="X759" s="612"/>
      <c r="Y759" s="612"/>
      <c r="Z759" s="612"/>
      <c r="AA759" s="612"/>
      <c r="AB759" s="612"/>
      <c r="AC759" s="612"/>
    </row>
    <row r="760" spans="1:30">
      <c r="A760" s="48" t="s">
        <v>5239</v>
      </c>
      <c r="B760" s="60">
        <v>45594</v>
      </c>
      <c r="C760" s="54" t="s">
        <v>172</v>
      </c>
      <c r="D760" s="435" t="str">
        <f>IFERROR(VLOOKUP(C760,Mychart!$A$125:$B$811,2,FALSE),"-")</f>
        <v>BEST CHOICE INDUSTRIES LLC</v>
      </c>
      <c r="E760" s="295" t="s">
        <v>5256</v>
      </c>
      <c r="F760" s="58">
        <v>10</v>
      </c>
      <c r="G760" s="58"/>
      <c r="H760" s="58">
        <v>5905</v>
      </c>
      <c r="I760" s="58">
        <v>295.25</v>
      </c>
      <c r="J760" s="56" t="s">
        <v>5240</v>
      </c>
      <c r="K760" s="56" t="s">
        <v>301</v>
      </c>
      <c r="L760" s="292">
        <v>257</v>
      </c>
      <c r="M760" s="292"/>
      <c r="N760" s="358"/>
      <c r="O760" s="292"/>
      <c r="P760" s="292"/>
      <c r="Q760" s="614"/>
      <c r="R760" s="913">
        <f t="shared" si="48"/>
        <v>0</v>
      </c>
      <c r="S760" s="913">
        <f t="shared" si="49"/>
        <v>0</v>
      </c>
      <c r="T760" s="913">
        <f t="shared" si="50"/>
        <v>0</v>
      </c>
      <c r="U760" s="914">
        <f t="shared" si="51"/>
        <v>10</v>
      </c>
      <c r="V760" s="612"/>
      <c r="W760" s="612"/>
      <c r="X760" s="612"/>
      <c r="Y760" s="612"/>
      <c r="Z760" s="612"/>
      <c r="AA760" s="612"/>
      <c r="AB760" s="612"/>
      <c r="AC760" s="612"/>
    </row>
    <row r="761" spans="1:30">
      <c r="A761" s="48" t="s">
        <v>5239</v>
      </c>
      <c r="B761" s="60">
        <v>45594</v>
      </c>
      <c r="C761" s="54" t="s">
        <v>172</v>
      </c>
      <c r="D761" s="435" t="str">
        <f>IFERROR(VLOOKUP(C761,Mychart!$A$125:$B$811,2,FALSE),"-")</f>
        <v>BEST CHOICE INDUSTRIES LLC</v>
      </c>
      <c r="E761" s="295" t="s">
        <v>5257</v>
      </c>
      <c r="F761" s="58">
        <v>1</v>
      </c>
      <c r="G761" s="58">
        <v>5905</v>
      </c>
      <c r="H761" s="58">
        <v>5905</v>
      </c>
      <c r="I761" s="58">
        <v>295.25</v>
      </c>
      <c r="J761" s="56" t="s">
        <v>5240</v>
      </c>
      <c r="K761" s="56" t="s">
        <v>301</v>
      </c>
      <c r="L761" s="292">
        <v>257</v>
      </c>
      <c r="M761" s="292"/>
      <c r="N761" s="358"/>
      <c r="O761" s="292"/>
      <c r="P761" s="292"/>
      <c r="Q761" s="614"/>
      <c r="R761" s="913">
        <f t="shared" si="48"/>
        <v>0</v>
      </c>
      <c r="S761" s="913">
        <f t="shared" si="49"/>
        <v>0</v>
      </c>
      <c r="T761" s="913">
        <f t="shared" si="50"/>
        <v>0</v>
      </c>
      <c r="U761" s="914">
        <f t="shared" si="51"/>
        <v>1</v>
      </c>
      <c r="V761" s="612"/>
      <c r="W761" s="612"/>
      <c r="X761" s="612"/>
      <c r="Y761" s="612"/>
      <c r="Z761" s="612"/>
      <c r="AA761" s="612"/>
      <c r="AB761" s="612"/>
      <c r="AC761" s="612"/>
    </row>
    <row r="762" spans="1:30">
      <c r="A762" s="48" t="s">
        <v>5239</v>
      </c>
      <c r="B762" s="60">
        <v>45594</v>
      </c>
      <c r="C762" s="54" t="s">
        <v>172</v>
      </c>
      <c r="D762" s="435" t="str">
        <f>IFERROR(VLOOKUP(C762,Mychart!$A$125:$B$811,2,FALSE),"-")</f>
        <v>BEST CHOICE INDUSTRIES LLC</v>
      </c>
      <c r="E762" s="295" t="s">
        <v>5258</v>
      </c>
      <c r="F762" s="58">
        <v>1</v>
      </c>
      <c r="G762" s="58">
        <v>0</v>
      </c>
      <c r="H762" s="58">
        <v>5905</v>
      </c>
      <c r="I762" s="58">
        <v>295.25</v>
      </c>
      <c r="J762" s="56" t="s">
        <v>5240</v>
      </c>
      <c r="K762" s="56" t="s">
        <v>301</v>
      </c>
      <c r="L762" s="292">
        <v>257</v>
      </c>
      <c r="M762" s="292"/>
      <c r="N762" s="358"/>
      <c r="O762" s="292"/>
      <c r="P762" s="292"/>
      <c r="Q762" s="614"/>
      <c r="R762" s="913">
        <f t="shared" si="48"/>
        <v>0</v>
      </c>
      <c r="S762" s="913">
        <f t="shared" si="49"/>
        <v>0</v>
      </c>
      <c r="T762" s="913">
        <f t="shared" si="50"/>
        <v>0</v>
      </c>
      <c r="U762" s="914">
        <f t="shared" si="51"/>
        <v>1</v>
      </c>
      <c r="V762" s="612"/>
      <c r="W762" s="612"/>
      <c r="X762" s="612"/>
      <c r="Y762" s="612"/>
      <c r="Z762" s="612"/>
      <c r="AA762" s="612"/>
      <c r="AB762" s="612"/>
      <c r="AC762" s="612"/>
    </row>
    <row r="763" spans="1:30">
      <c r="A763" s="48" t="s">
        <v>5239</v>
      </c>
      <c r="B763" s="60">
        <v>45594</v>
      </c>
      <c r="C763" s="54" t="s">
        <v>172</v>
      </c>
      <c r="D763" s="435" t="str">
        <f>IFERROR(VLOOKUP(C763,Mychart!$A$125:$B$811,2,FALSE),"-")</f>
        <v>BEST CHOICE INDUSTRIES LLC</v>
      </c>
      <c r="E763" s="295" t="s">
        <v>5259</v>
      </c>
      <c r="F763" s="58">
        <v>1</v>
      </c>
      <c r="G763" s="58">
        <v>0</v>
      </c>
      <c r="H763" s="58">
        <v>5905</v>
      </c>
      <c r="I763" s="58">
        <v>295.25</v>
      </c>
      <c r="J763" s="56" t="s">
        <v>5240</v>
      </c>
      <c r="K763" s="56" t="s">
        <v>301</v>
      </c>
      <c r="L763" s="292">
        <v>257</v>
      </c>
      <c r="M763" s="292" t="s">
        <v>5810</v>
      </c>
      <c r="N763" s="358">
        <v>6200.64</v>
      </c>
      <c r="O763" s="292">
        <v>6200</v>
      </c>
      <c r="P763" s="292"/>
      <c r="Q763" s="614">
        <v>6200.25</v>
      </c>
      <c r="R763" s="913">
        <f t="shared" si="48"/>
        <v>-0.64000000000032742</v>
      </c>
      <c r="S763" s="913">
        <f t="shared" si="49"/>
        <v>-0.39000000000032742</v>
      </c>
      <c r="T763" s="913">
        <f t="shared" si="50"/>
        <v>0.25</v>
      </c>
      <c r="U763" s="914">
        <f t="shared" si="51"/>
        <v>1</v>
      </c>
      <c r="V763" s="612"/>
      <c r="W763" s="612"/>
      <c r="X763" s="612"/>
      <c r="Y763" s="612"/>
      <c r="Z763" s="612"/>
      <c r="AA763" s="612"/>
      <c r="AB763" s="612"/>
      <c r="AC763" s="612"/>
      <c r="AD763" s="930">
        <v>45622.573055555556</v>
      </c>
    </row>
    <row r="764" spans="1:30">
      <c r="A764" s="48" t="s">
        <v>5264</v>
      </c>
      <c r="B764" s="60">
        <v>45594</v>
      </c>
      <c r="C764" s="54" t="s">
        <v>171</v>
      </c>
      <c r="D764" s="435" t="str">
        <f>IFERROR(VLOOKUP(C764,Mychart!$A$125:$B$811,2,FALSE),"-")</f>
        <v>MACS -Al Muthathawerah</v>
      </c>
      <c r="E764" s="295" t="s">
        <v>985</v>
      </c>
      <c r="F764" s="58">
        <v>1202</v>
      </c>
      <c r="G764" s="58">
        <v>2.85</v>
      </c>
      <c r="H764" s="58">
        <v>3696.7000000000003</v>
      </c>
      <c r="I764" s="58">
        <v>184.83500000000004</v>
      </c>
      <c r="J764" s="56">
        <v>241939</v>
      </c>
      <c r="K764" s="56" t="s">
        <v>283</v>
      </c>
      <c r="L764" s="292">
        <v>276</v>
      </c>
      <c r="M764" s="292"/>
      <c r="N764" s="358"/>
      <c r="O764" s="292"/>
      <c r="P764" s="292"/>
      <c r="Q764" s="614"/>
      <c r="R764" s="913">
        <f t="shared" si="48"/>
        <v>0</v>
      </c>
      <c r="S764" s="913">
        <f t="shared" si="49"/>
        <v>0</v>
      </c>
      <c r="T764" s="913">
        <f t="shared" si="50"/>
        <v>0</v>
      </c>
      <c r="U764" s="914">
        <f t="shared" si="51"/>
        <v>1202</v>
      </c>
      <c r="V764" s="612"/>
      <c r="W764" s="612"/>
      <c r="X764" s="612"/>
      <c r="Y764" s="612"/>
      <c r="Z764" s="612"/>
      <c r="AA764" s="612"/>
      <c r="AB764" s="612"/>
      <c r="AC764" s="612"/>
    </row>
    <row r="765" spans="1:30">
      <c r="A765" s="48" t="s">
        <v>5264</v>
      </c>
      <c r="B765" s="60">
        <v>45594</v>
      </c>
      <c r="C765" s="54" t="s">
        <v>171</v>
      </c>
      <c r="D765" s="435" t="str">
        <f>IFERROR(VLOOKUP(C765,Mychart!$A$125:$B$811,2,FALSE),"-")</f>
        <v>MACS -Al Muthathawerah</v>
      </c>
      <c r="E765" s="295" t="s">
        <v>986</v>
      </c>
      <c r="F765" s="58">
        <v>55</v>
      </c>
      <c r="G765" s="58">
        <v>3.25</v>
      </c>
      <c r="H765" s="58">
        <v>3696.7000000000003</v>
      </c>
      <c r="I765" s="58">
        <v>184.83500000000004</v>
      </c>
      <c r="J765" s="56">
        <v>241939</v>
      </c>
      <c r="K765" s="56" t="s">
        <v>283</v>
      </c>
      <c r="L765" s="292">
        <v>276</v>
      </c>
      <c r="M765" s="292"/>
      <c r="N765" s="358"/>
      <c r="O765" s="292"/>
      <c r="P765" s="292"/>
      <c r="Q765" s="614"/>
      <c r="R765" s="913">
        <f t="shared" si="48"/>
        <v>0</v>
      </c>
      <c r="S765" s="913">
        <f t="shared" si="49"/>
        <v>0</v>
      </c>
      <c r="T765" s="913">
        <f t="shared" si="50"/>
        <v>0</v>
      </c>
      <c r="U765" s="914">
        <f t="shared" si="51"/>
        <v>55</v>
      </c>
      <c r="V765" s="612"/>
      <c r="W765" s="612"/>
      <c r="X765" s="612"/>
      <c r="Y765" s="612"/>
      <c r="Z765" s="612"/>
      <c r="AA765" s="612"/>
      <c r="AB765" s="612"/>
      <c r="AC765" s="612"/>
    </row>
    <row r="766" spans="1:30">
      <c r="A766" s="48" t="s">
        <v>5264</v>
      </c>
      <c r="B766" s="60">
        <v>45594</v>
      </c>
      <c r="C766" s="54" t="s">
        <v>171</v>
      </c>
      <c r="D766" s="435" t="str">
        <f>IFERROR(VLOOKUP(C766,Mychart!$A$125:$B$811,2,FALSE),"-")</f>
        <v>MACS -Al Muthathawerah</v>
      </c>
      <c r="E766" s="295" t="s">
        <v>987</v>
      </c>
      <c r="F766" s="58">
        <v>41</v>
      </c>
      <c r="G766" s="58">
        <v>2.25</v>
      </c>
      <c r="H766" s="58">
        <v>3696.7000000000003</v>
      </c>
      <c r="I766" s="58">
        <v>184.83500000000004</v>
      </c>
      <c r="J766" s="56">
        <v>241939</v>
      </c>
      <c r="K766" s="56" t="s">
        <v>283</v>
      </c>
      <c r="L766" s="292">
        <v>276</v>
      </c>
      <c r="M766" s="292"/>
      <c r="N766" s="358"/>
      <c r="O766" s="292"/>
      <c r="P766" s="292"/>
      <c r="Q766" s="614"/>
      <c r="R766" s="913">
        <f t="shared" si="48"/>
        <v>0</v>
      </c>
      <c r="S766" s="913">
        <f t="shared" si="49"/>
        <v>0</v>
      </c>
      <c r="T766" s="913">
        <f t="shared" si="50"/>
        <v>0</v>
      </c>
      <c r="U766" s="914">
        <f t="shared" si="51"/>
        <v>41</v>
      </c>
      <c r="V766" s="612"/>
      <c r="W766" s="612"/>
      <c r="X766" s="612"/>
      <c r="Y766" s="612"/>
      <c r="Z766" s="612"/>
      <c r="AA766" s="612"/>
      <c r="AB766" s="612"/>
      <c r="AC766" s="612"/>
    </row>
    <row r="767" spans="1:30">
      <c r="A767" s="48" t="s">
        <v>5264</v>
      </c>
      <c r="B767" s="60">
        <v>45594</v>
      </c>
      <c r="C767" s="54" t="s">
        <v>171</v>
      </c>
      <c r="D767" s="435" t="str">
        <f>IFERROR(VLOOKUP(C767,Mychart!$A$125:$B$811,2,FALSE),"-")</f>
        <v>MACS -Al Muthathawerah</v>
      </c>
      <c r="E767" s="295" t="s">
        <v>5257</v>
      </c>
      <c r="F767" s="58">
        <v>0</v>
      </c>
      <c r="G767" s="58">
        <v>0</v>
      </c>
      <c r="H767" s="58">
        <v>3696.7000000000003</v>
      </c>
      <c r="I767" s="58">
        <v>184.83500000000004</v>
      </c>
      <c r="J767" s="56">
        <v>241939</v>
      </c>
      <c r="K767" s="56" t="s">
        <v>283</v>
      </c>
      <c r="L767" s="292">
        <v>276</v>
      </c>
      <c r="M767" s="292" t="s">
        <v>5818</v>
      </c>
      <c r="N767" s="358">
        <v>3881.54</v>
      </c>
      <c r="O767" s="292">
        <v>3882</v>
      </c>
      <c r="P767" s="292"/>
      <c r="Q767" s="614">
        <v>3881.5350000000003</v>
      </c>
      <c r="R767" s="913">
        <f t="shared" si="48"/>
        <v>0.46000000000003638</v>
      </c>
      <c r="S767" s="913">
        <f t="shared" si="49"/>
        <v>-4.999999999654392E-3</v>
      </c>
      <c r="T767" s="913">
        <f t="shared" si="50"/>
        <v>-0.46499999999969077</v>
      </c>
      <c r="U767" s="914">
        <f t="shared" si="51"/>
        <v>0</v>
      </c>
      <c r="V767" s="612"/>
      <c r="W767" s="612"/>
      <c r="X767" s="612"/>
      <c r="Y767" s="612"/>
      <c r="Z767" s="612"/>
      <c r="AA767" s="612"/>
      <c r="AB767" s="612"/>
      <c r="AC767" s="612"/>
      <c r="AD767" s="930">
        <v>45622.605000000003</v>
      </c>
    </row>
    <row r="768" spans="1:30">
      <c r="A768" s="48" t="s">
        <v>5298</v>
      </c>
      <c r="B768" s="60">
        <v>45598</v>
      </c>
      <c r="C768" s="54" t="s">
        <v>168</v>
      </c>
      <c r="D768" s="435" t="str">
        <f>IFERROR(VLOOKUP(C768,Mychart!$A$125:$B$811,2,FALSE),"-")</f>
        <v>UTS Carrier</v>
      </c>
      <c r="E768" s="295" t="s">
        <v>5299</v>
      </c>
      <c r="F768" s="58">
        <v>3</v>
      </c>
      <c r="G768" s="58"/>
      <c r="H768" s="58">
        <v>160000</v>
      </c>
      <c r="I768" s="58">
        <v>8000</v>
      </c>
      <c r="J768" s="56">
        <v>3110141200</v>
      </c>
      <c r="K768" s="56" t="s">
        <v>5005</v>
      </c>
      <c r="L768" s="292">
        <v>287</v>
      </c>
      <c r="M768" s="292"/>
      <c r="N768" s="358"/>
      <c r="O768" s="292"/>
      <c r="P768" s="292"/>
      <c r="Q768" s="614"/>
      <c r="R768" s="913">
        <f t="shared" si="48"/>
        <v>0</v>
      </c>
      <c r="S768" s="913">
        <f t="shared" si="49"/>
        <v>0</v>
      </c>
      <c r="T768" s="913">
        <f t="shared" si="50"/>
        <v>0</v>
      </c>
      <c r="U768" s="914">
        <f t="shared" si="51"/>
        <v>3</v>
      </c>
      <c r="V768" s="612"/>
      <c r="W768" s="612"/>
      <c r="X768" s="612"/>
      <c r="Y768" s="612"/>
      <c r="Z768" s="612"/>
      <c r="AA768" s="612"/>
      <c r="AB768" s="612"/>
      <c r="AC768" s="612"/>
    </row>
    <row r="769" spans="1:29">
      <c r="A769" s="48" t="s">
        <v>5298</v>
      </c>
      <c r="B769" s="60">
        <v>45598</v>
      </c>
      <c r="C769" s="54" t="s">
        <v>168</v>
      </c>
      <c r="D769" s="435" t="str">
        <f>IFERROR(VLOOKUP(C769,Mychart!$A$125:$B$811,2,FALSE),"-")</f>
        <v>UTS Carrier</v>
      </c>
      <c r="E769" s="295" t="s">
        <v>5300</v>
      </c>
      <c r="F769" s="58">
        <v>1</v>
      </c>
      <c r="G769" s="58"/>
      <c r="H769" s="58">
        <v>160000</v>
      </c>
      <c r="I769" s="58">
        <v>8000</v>
      </c>
      <c r="J769" s="56">
        <v>3110141200</v>
      </c>
      <c r="K769" s="56" t="s">
        <v>5005</v>
      </c>
      <c r="L769" s="292">
        <v>287</v>
      </c>
      <c r="M769" s="292"/>
      <c r="N769" s="358"/>
      <c r="O769" s="292"/>
      <c r="P769" s="292"/>
      <c r="Q769" s="614"/>
      <c r="R769" s="913">
        <f t="shared" si="48"/>
        <v>0</v>
      </c>
      <c r="S769" s="913">
        <f t="shared" si="49"/>
        <v>0</v>
      </c>
      <c r="T769" s="913">
        <f t="shared" si="50"/>
        <v>0</v>
      </c>
      <c r="U769" s="914">
        <f t="shared" si="51"/>
        <v>1</v>
      </c>
      <c r="V769" s="612"/>
      <c r="W769" s="612"/>
      <c r="X769" s="612"/>
      <c r="Y769" s="612"/>
      <c r="Z769" s="612"/>
      <c r="AA769" s="612"/>
      <c r="AB769" s="612"/>
      <c r="AC769" s="612"/>
    </row>
    <row r="770" spans="1:29">
      <c r="A770" s="48" t="s">
        <v>5298</v>
      </c>
      <c r="B770" s="60">
        <v>45598</v>
      </c>
      <c r="C770" s="54" t="s">
        <v>168</v>
      </c>
      <c r="D770" s="435" t="str">
        <f>IFERROR(VLOOKUP(C770,Mychart!$A$125:$B$811,2,FALSE),"-")</f>
        <v>UTS Carrier</v>
      </c>
      <c r="E770" s="295" t="s">
        <v>5301</v>
      </c>
      <c r="F770" s="58">
        <v>2</v>
      </c>
      <c r="G770" s="58"/>
      <c r="H770" s="58">
        <v>160000</v>
      </c>
      <c r="I770" s="58">
        <v>8000</v>
      </c>
      <c r="J770" s="56">
        <v>3110141200</v>
      </c>
      <c r="K770" s="56" t="s">
        <v>5005</v>
      </c>
      <c r="L770" s="292">
        <v>287</v>
      </c>
      <c r="M770" s="292"/>
      <c r="N770" s="358"/>
      <c r="O770" s="292"/>
      <c r="P770" s="292"/>
      <c r="Q770" s="614"/>
      <c r="R770" s="913">
        <f t="shared" si="48"/>
        <v>0</v>
      </c>
      <c r="S770" s="913">
        <f t="shared" si="49"/>
        <v>0</v>
      </c>
      <c r="T770" s="913">
        <f t="shared" si="50"/>
        <v>0</v>
      </c>
      <c r="U770" s="914">
        <f t="shared" si="51"/>
        <v>2</v>
      </c>
      <c r="V770" s="612"/>
      <c r="W770" s="612"/>
      <c r="X770" s="612"/>
      <c r="Y770" s="612"/>
      <c r="Z770" s="612"/>
      <c r="AA770" s="612"/>
      <c r="AB770" s="612"/>
      <c r="AC770" s="612"/>
    </row>
    <row r="771" spans="1:29">
      <c r="A771" s="48" t="s">
        <v>5298</v>
      </c>
      <c r="B771" s="60">
        <v>45598</v>
      </c>
      <c r="C771" s="54" t="s">
        <v>168</v>
      </c>
      <c r="D771" s="435" t="str">
        <f>IFERROR(VLOOKUP(C771,Mychart!$A$125:$B$811,2,FALSE),"-")</f>
        <v>UTS Carrier</v>
      </c>
      <c r="E771" s="295" t="s">
        <v>5302</v>
      </c>
      <c r="F771" s="58">
        <v>6</v>
      </c>
      <c r="G771" s="58"/>
      <c r="H771" s="58">
        <v>160000</v>
      </c>
      <c r="I771" s="58">
        <v>8000</v>
      </c>
      <c r="J771" s="56">
        <v>3110141200</v>
      </c>
      <c r="K771" s="56" t="s">
        <v>5005</v>
      </c>
      <c r="L771" s="292">
        <v>287</v>
      </c>
      <c r="M771" s="292"/>
      <c r="N771" s="358"/>
      <c r="O771" s="292"/>
      <c r="P771" s="292"/>
      <c r="Q771" s="614"/>
      <c r="R771" s="913">
        <f t="shared" si="48"/>
        <v>0</v>
      </c>
      <c r="S771" s="913">
        <f t="shared" si="49"/>
        <v>0</v>
      </c>
      <c r="T771" s="913">
        <f t="shared" si="50"/>
        <v>0</v>
      </c>
      <c r="U771" s="914">
        <f t="shared" si="51"/>
        <v>6</v>
      </c>
      <c r="V771" s="612"/>
      <c r="W771" s="612"/>
      <c r="X771" s="612"/>
      <c r="Y771" s="612"/>
      <c r="Z771" s="612"/>
      <c r="AA771" s="612"/>
      <c r="AB771" s="612"/>
      <c r="AC771" s="612"/>
    </row>
    <row r="772" spans="1:29">
      <c r="A772" s="48" t="s">
        <v>5298</v>
      </c>
      <c r="B772" s="60">
        <v>45598</v>
      </c>
      <c r="C772" s="54" t="s">
        <v>168</v>
      </c>
      <c r="D772" s="435" t="str">
        <f>IFERROR(VLOOKUP(C772,Mychart!$A$125:$B$811,2,FALSE),"-")</f>
        <v>UTS Carrier</v>
      </c>
      <c r="E772" s="295" t="s">
        <v>5303</v>
      </c>
      <c r="F772" s="58">
        <v>3</v>
      </c>
      <c r="G772" s="58"/>
      <c r="H772" s="58">
        <v>160000</v>
      </c>
      <c r="I772" s="58">
        <v>8000</v>
      </c>
      <c r="J772" s="56">
        <v>3110141200</v>
      </c>
      <c r="K772" s="56" t="s">
        <v>5005</v>
      </c>
      <c r="L772" s="292">
        <v>287</v>
      </c>
      <c r="M772" s="292"/>
      <c r="N772" s="358"/>
      <c r="O772" s="292"/>
      <c r="P772" s="292"/>
      <c r="Q772" s="614"/>
      <c r="R772" s="913">
        <f t="shared" si="48"/>
        <v>0</v>
      </c>
      <c r="S772" s="913">
        <f t="shared" si="49"/>
        <v>0</v>
      </c>
      <c r="T772" s="913">
        <f t="shared" si="50"/>
        <v>0</v>
      </c>
      <c r="U772" s="914">
        <f t="shared" si="51"/>
        <v>3</v>
      </c>
      <c r="V772" s="612"/>
      <c r="W772" s="612"/>
      <c r="X772" s="612"/>
      <c r="Y772" s="612"/>
      <c r="Z772" s="612"/>
      <c r="AA772" s="612"/>
      <c r="AB772" s="612"/>
      <c r="AC772" s="612"/>
    </row>
    <row r="773" spans="1:29">
      <c r="A773" s="48" t="s">
        <v>5298</v>
      </c>
      <c r="B773" s="60">
        <v>45598</v>
      </c>
      <c r="C773" s="54" t="s">
        <v>168</v>
      </c>
      <c r="D773" s="435" t="str">
        <f>IFERROR(VLOOKUP(C773,Mychart!$A$125:$B$811,2,FALSE),"-")</f>
        <v>UTS Carrier</v>
      </c>
      <c r="E773" s="295" t="s">
        <v>5304</v>
      </c>
      <c r="F773" s="58">
        <v>4</v>
      </c>
      <c r="G773" s="58"/>
      <c r="H773" s="58">
        <v>160000</v>
      </c>
      <c r="I773" s="58">
        <v>8000</v>
      </c>
      <c r="J773" s="56">
        <v>3110141200</v>
      </c>
      <c r="K773" s="56" t="s">
        <v>5005</v>
      </c>
      <c r="L773" s="292">
        <v>287</v>
      </c>
      <c r="M773" s="292"/>
      <c r="N773" s="358"/>
      <c r="O773" s="292"/>
      <c r="P773" s="292"/>
      <c r="Q773" s="614"/>
      <c r="R773" s="913">
        <f t="shared" si="48"/>
        <v>0</v>
      </c>
      <c r="S773" s="913">
        <f t="shared" si="49"/>
        <v>0</v>
      </c>
      <c r="T773" s="913">
        <f t="shared" si="50"/>
        <v>0</v>
      </c>
      <c r="U773" s="914">
        <f t="shared" si="51"/>
        <v>4</v>
      </c>
      <c r="V773" s="612"/>
      <c r="W773" s="612"/>
      <c r="X773" s="612"/>
      <c r="Y773" s="612"/>
      <c r="Z773" s="612"/>
      <c r="AA773" s="612"/>
      <c r="AB773" s="612"/>
      <c r="AC773" s="612"/>
    </row>
    <row r="774" spans="1:29">
      <c r="A774" s="48" t="s">
        <v>5298</v>
      </c>
      <c r="B774" s="60">
        <v>45598</v>
      </c>
      <c r="C774" s="54" t="s">
        <v>168</v>
      </c>
      <c r="D774" s="435" t="str">
        <f>IFERROR(VLOOKUP(C774,Mychart!$A$125:$B$811,2,FALSE),"-")</f>
        <v>UTS Carrier</v>
      </c>
      <c r="E774" s="295" t="s">
        <v>5305</v>
      </c>
      <c r="F774" s="58">
        <v>4</v>
      </c>
      <c r="G774" s="58"/>
      <c r="H774" s="58">
        <v>160000</v>
      </c>
      <c r="I774" s="58">
        <v>8000</v>
      </c>
      <c r="J774" s="56">
        <v>3110141200</v>
      </c>
      <c r="K774" s="56" t="s">
        <v>5005</v>
      </c>
      <c r="L774" s="292">
        <v>287</v>
      </c>
      <c r="M774" s="292"/>
      <c r="N774" s="358"/>
      <c r="O774" s="292"/>
      <c r="P774" s="292"/>
      <c r="Q774" s="614"/>
      <c r="R774" s="913">
        <f t="shared" si="48"/>
        <v>0</v>
      </c>
      <c r="S774" s="913">
        <f t="shared" si="49"/>
        <v>0</v>
      </c>
      <c r="T774" s="913">
        <f t="shared" si="50"/>
        <v>0</v>
      </c>
      <c r="U774" s="914">
        <f t="shared" si="51"/>
        <v>4</v>
      </c>
      <c r="V774" s="612"/>
      <c r="W774" s="612"/>
      <c r="X774" s="612"/>
      <c r="Y774" s="612"/>
      <c r="Z774" s="612"/>
      <c r="AA774" s="612"/>
      <c r="AB774" s="612"/>
      <c r="AC774" s="612"/>
    </row>
    <row r="775" spans="1:29">
      <c r="A775" s="48" t="s">
        <v>5298</v>
      </c>
      <c r="B775" s="60">
        <v>45598</v>
      </c>
      <c r="C775" s="54" t="s">
        <v>168</v>
      </c>
      <c r="D775" s="435" t="str">
        <f>IFERROR(VLOOKUP(C775,Mychart!$A$125:$B$811,2,FALSE),"-")</f>
        <v>UTS Carrier</v>
      </c>
      <c r="E775" s="295" t="s">
        <v>5306</v>
      </c>
      <c r="F775" s="58">
        <v>1</v>
      </c>
      <c r="G775" s="58"/>
      <c r="H775" s="58">
        <v>160000</v>
      </c>
      <c r="I775" s="58">
        <v>8000</v>
      </c>
      <c r="J775" s="56">
        <v>3110141200</v>
      </c>
      <c r="K775" s="56" t="s">
        <v>5005</v>
      </c>
      <c r="L775" s="292">
        <v>287</v>
      </c>
      <c r="M775" s="292"/>
      <c r="N775" s="358"/>
      <c r="O775" s="292"/>
      <c r="P775" s="292"/>
      <c r="Q775" s="614"/>
      <c r="R775" s="913">
        <f t="shared" si="48"/>
        <v>0</v>
      </c>
      <c r="S775" s="913">
        <f t="shared" si="49"/>
        <v>0</v>
      </c>
      <c r="T775" s="913">
        <f t="shared" si="50"/>
        <v>0</v>
      </c>
      <c r="U775" s="914">
        <f t="shared" si="51"/>
        <v>1</v>
      </c>
      <c r="V775" s="612"/>
      <c r="W775" s="612"/>
      <c r="X775" s="612"/>
      <c r="Y775" s="612"/>
      <c r="Z775" s="612"/>
      <c r="AA775" s="612"/>
      <c r="AB775" s="612"/>
      <c r="AC775" s="612"/>
    </row>
    <row r="776" spans="1:29">
      <c r="A776" s="48" t="s">
        <v>5298</v>
      </c>
      <c r="B776" s="60">
        <v>45598</v>
      </c>
      <c r="C776" s="54" t="s">
        <v>168</v>
      </c>
      <c r="D776" s="435" t="str">
        <f>IFERROR(VLOOKUP(C776,Mychart!$A$125:$B$811,2,FALSE),"-")</f>
        <v>UTS Carrier</v>
      </c>
      <c r="E776" s="295" t="s">
        <v>5307</v>
      </c>
      <c r="F776" s="58">
        <v>3</v>
      </c>
      <c r="G776" s="58"/>
      <c r="H776" s="58">
        <v>160000</v>
      </c>
      <c r="I776" s="58">
        <v>8000</v>
      </c>
      <c r="J776" s="56">
        <v>3110141200</v>
      </c>
      <c r="K776" s="56" t="s">
        <v>5005</v>
      </c>
      <c r="L776" s="292">
        <v>287</v>
      </c>
      <c r="M776" s="292"/>
      <c r="N776" s="358"/>
      <c r="O776" s="292"/>
      <c r="P776" s="292"/>
      <c r="Q776" s="614"/>
      <c r="R776" s="913">
        <f t="shared" ref="R776:R792" si="52">O776-N776</f>
        <v>0</v>
      </c>
      <c r="S776" s="913">
        <f t="shared" ref="S776:S792" si="53">Q776-N776</f>
        <v>0</v>
      </c>
      <c r="T776" s="913">
        <f t="shared" ref="T776:T792" si="54">Q776-O776</f>
        <v>0</v>
      </c>
      <c r="U776" s="914">
        <f t="shared" ref="U776:U792" si="55">F776-P776</f>
        <v>3</v>
      </c>
      <c r="V776" s="612"/>
      <c r="W776" s="612"/>
      <c r="X776" s="612"/>
      <c r="Y776" s="612"/>
      <c r="Z776" s="612"/>
      <c r="AA776" s="612"/>
      <c r="AB776" s="612"/>
      <c r="AC776" s="612"/>
    </row>
    <row r="777" spans="1:29">
      <c r="A777" s="48" t="s">
        <v>5298</v>
      </c>
      <c r="B777" s="60">
        <v>45598</v>
      </c>
      <c r="C777" s="54" t="s">
        <v>168</v>
      </c>
      <c r="D777" s="435" t="str">
        <f>IFERROR(VLOOKUP(C777,Mychart!$A$125:$B$811,2,FALSE),"-")</f>
        <v>UTS Carrier</v>
      </c>
      <c r="E777" s="295" t="s">
        <v>5308</v>
      </c>
      <c r="F777" s="58">
        <v>7</v>
      </c>
      <c r="G777" s="58"/>
      <c r="H777" s="58">
        <v>160000</v>
      </c>
      <c r="I777" s="58">
        <v>8000</v>
      </c>
      <c r="J777" s="56">
        <v>3110141200</v>
      </c>
      <c r="K777" s="56" t="s">
        <v>5005</v>
      </c>
      <c r="L777" s="292">
        <v>287</v>
      </c>
      <c r="M777" s="292"/>
      <c r="N777" s="358"/>
      <c r="O777" s="292"/>
      <c r="P777" s="292"/>
      <c r="Q777" s="614"/>
      <c r="R777" s="913">
        <f t="shared" si="52"/>
        <v>0</v>
      </c>
      <c r="S777" s="913">
        <f t="shared" si="53"/>
        <v>0</v>
      </c>
      <c r="T777" s="913">
        <f t="shared" si="54"/>
        <v>0</v>
      </c>
      <c r="U777" s="914">
        <f t="shared" si="55"/>
        <v>7</v>
      </c>
      <c r="V777" s="612"/>
      <c r="W777" s="612"/>
      <c r="X777" s="612"/>
      <c r="Y777" s="612"/>
      <c r="Z777" s="612"/>
      <c r="AA777" s="612"/>
      <c r="AB777" s="612"/>
      <c r="AC777" s="612"/>
    </row>
    <row r="778" spans="1:29">
      <c r="A778" s="48" t="s">
        <v>5298</v>
      </c>
      <c r="B778" s="60">
        <v>45598</v>
      </c>
      <c r="C778" s="54" t="s">
        <v>168</v>
      </c>
      <c r="D778" s="435" t="str">
        <f>IFERROR(VLOOKUP(C778,Mychart!$A$125:$B$811,2,FALSE),"-")</f>
        <v>UTS Carrier</v>
      </c>
      <c r="E778" s="295" t="s">
        <v>5309</v>
      </c>
      <c r="F778" s="58">
        <v>2</v>
      </c>
      <c r="G778" s="58"/>
      <c r="H778" s="58">
        <v>160000</v>
      </c>
      <c r="I778" s="58">
        <v>8000</v>
      </c>
      <c r="J778" s="56">
        <v>3110141200</v>
      </c>
      <c r="K778" s="56" t="s">
        <v>5005</v>
      </c>
      <c r="L778" s="292">
        <v>287</v>
      </c>
      <c r="M778" s="292"/>
      <c r="N778" s="358"/>
      <c r="O778" s="292"/>
      <c r="P778" s="292"/>
      <c r="Q778" s="614"/>
      <c r="R778" s="913">
        <f t="shared" si="52"/>
        <v>0</v>
      </c>
      <c r="S778" s="913">
        <f t="shared" si="53"/>
        <v>0</v>
      </c>
      <c r="T778" s="913">
        <f t="shared" si="54"/>
        <v>0</v>
      </c>
      <c r="U778" s="914">
        <f t="shared" si="55"/>
        <v>2</v>
      </c>
      <c r="V778" s="612"/>
      <c r="W778" s="612"/>
      <c r="X778" s="612"/>
      <c r="Y778" s="612"/>
      <c r="Z778" s="612"/>
      <c r="AA778" s="612"/>
      <c r="AB778" s="612"/>
      <c r="AC778" s="612"/>
    </row>
    <row r="779" spans="1:29">
      <c r="A779" s="48" t="s">
        <v>5298</v>
      </c>
      <c r="B779" s="60">
        <v>45598</v>
      </c>
      <c r="C779" s="54" t="s">
        <v>168</v>
      </c>
      <c r="D779" s="435" t="str">
        <f>IFERROR(VLOOKUP(C779,Mychart!$A$125:$B$811,2,FALSE),"-")</f>
        <v>UTS Carrier</v>
      </c>
      <c r="E779" s="295" t="s">
        <v>5310</v>
      </c>
      <c r="F779" s="58">
        <v>2</v>
      </c>
      <c r="G779" s="58"/>
      <c r="H779" s="58">
        <v>160000</v>
      </c>
      <c r="I779" s="58">
        <v>8000</v>
      </c>
      <c r="J779" s="56">
        <v>3110141200</v>
      </c>
      <c r="K779" s="56" t="s">
        <v>5005</v>
      </c>
      <c r="L779" s="292">
        <v>287</v>
      </c>
      <c r="M779" s="292"/>
      <c r="N779" s="358"/>
      <c r="O779" s="292"/>
      <c r="P779" s="292"/>
      <c r="Q779" s="614"/>
      <c r="R779" s="913">
        <f t="shared" si="52"/>
        <v>0</v>
      </c>
      <c r="S779" s="913">
        <f t="shared" si="53"/>
        <v>0</v>
      </c>
      <c r="T779" s="913">
        <f t="shared" si="54"/>
        <v>0</v>
      </c>
      <c r="U779" s="914">
        <f t="shared" si="55"/>
        <v>2</v>
      </c>
      <c r="V779" s="612"/>
      <c r="W779" s="612"/>
      <c r="X779" s="612"/>
      <c r="Y779" s="612"/>
      <c r="Z779" s="612"/>
      <c r="AA779" s="612"/>
      <c r="AB779" s="612"/>
      <c r="AC779" s="612"/>
    </row>
    <row r="780" spans="1:29">
      <c r="A780" s="48" t="s">
        <v>5298</v>
      </c>
      <c r="B780" s="60">
        <v>45598</v>
      </c>
      <c r="C780" s="54" t="s">
        <v>168</v>
      </c>
      <c r="D780" s="435" t="str">
        <f>IFERROR(VLOOKUP(C780,Mychart!$A$125:$B$811,2,FALSE),"-")</f>
        <v>UTS Carrier</v>
      </c>
      <c r="E780" s="295" t="s">
        <v>5311</v>
      </c>
      <c r="F780" s="58">
        <v>4</v>
      </c>
      <c r="G780" s="58"/>
      <c r="H780" s="58">
        <v>160000</v>
      </c>
      <c r="I780" s="58">
        <v>8000</v>
      </c>
      <c r="J780" s="56">
        <v>3110141200</v>
      </c>
      <c r="K780" s="56" t="s">
        <v>5005</v>
      </c>
      <c r="L780" s="292">
        <v>287</v>
      </c>
      <c r="M780" s="292"/>
      <c r="N780" s="358"/>
      <c r="O780" s="292"/>
      <c r="P780" s="292"/>
      <c r="Q780" s="614"/>
      <c r="R780" s="913">
        <f t="shared" si="52"/>
        <v>0</v>
      </c>
      <c r="S780" s="913">
        <f t="shared" si="53"/>
        <v>0</v>
      </c>
      <c r="T780" s="913">
        <f t="shared" si="54"/>
        <v>0</v>
      </c>
      <c r="U780" s="914">
        <f t="shared" si="55"/>
        <v>4</v>
      </c>
      <c r="V780" s="612"/>
      <c r="W780" s="612"/>
      <c r="X780" s="612"/>
      <c r="Y780" s="612"/>
      <c r="Z780" s="612"/>
      <c r="AA780" s="612"/>
      <c r="AB780" s="612"/>
      <c r="AC780" s="612"/>
    </row>
    <row r="781" spans="1:29">
      <c r="A781" s="48" t="s">
        <v>5298</v>
      </c>
      <c r="B781" s="60">
        <v>45598</v>
      </c>
      <c r="C781" s="54" t="s">
        <v>168</v>
      </c>
      <c r="D781" s="435" t="str">
        <f>IFERROR(VLOOKUP(C781,Mychart!$A$125:$B$811,2,FALSE),"-")</f>
        <v>UTS Carrier</v>
      </c>
      <c r="E781" s="295" t="s">
        <v>5312</v>
      </c>
      <c r="F781" s="58">
        <v>6</v>
      </c>
      <c r="G781" s="58"/>
      <c r="H781" s="58">
        <v>160000</v>
      </c>
      <c r="I781" s="58">
        <v>8000</v>
      </c>
      <c r="J781" s="56">
        <v>3110141200</v>
      </c>
      <c r="K781" s="56" t="s">
        <v>5005</v>
      </c>
      <c r="L781" s="292">
        <v>287</v>
      </c>
      <c r="M781" s="292"/>
      <c r="N781" s="358"/>
      <c r="O781" s="292"/>
      <c r="P781" s="292"/>
      <c r="Q781" s="614"/>
      <c r="R781" s="913">
        <f t="shared" si="52"/>
        <v>0</v>
      </c>
      <c r="S781" s="913">
        <f t="shared" si="53"/>
        <v>0</v>
      </c>
      <c r="T781" s="913">
        <f t="shared" si="54"/>
        <v>0</v>
      </c>
      <c r="U781" s="914">
        <f t="shared" si="55"/>
        <v>6</v>
      </c>
      <c r="V781" s="612"/>
      <c r="W781" s="612"/>
      <c r="X781" s="612"/>
      <c r="Y781" s="612"/>
      <c r="Z781" s="612"/>
      <c r="AA781" s="612"/>
      <c r="AB781" s="612"/>
      <c r="AC781" s="612"/>
    </row>
    <row r="782" spans="1:29">
      <c r="A782" s="48" t="s">
        <v>5298</v>
      </c>
      <c r="B782" s="60">
        <v>45598</v>
      </c>
      <c r="C782" s="54" t="s">
        <v>168</v>
      </c>
      <c r="D782" s="435" t="str">
        <f>IFERROR(VLOOKUP(C782,Mychart!$A$125:$B$811,2,FALSE),"-")</f>
        <v>UTS Carrier</v>
      </c>
      <c r="E782" s="295" t="s">
        <v>5313</v>
      </c>
      <c r="F782" s="58">
        <v>14</v>
      </c>
      <c r="G782" s="58"/>
      <c r="H782" s="58">
        <v>160000</v>
      </c>
      <c r="I782" s="58">
        <v>8000</v>
      </c>
      <c r="J782" s="56">
        <v>3110141200</v>
      </c>
      <c r="K782" s="56" t="s">
        <v>5005</v>
      </c>
      <c r="L782" s="292">
        <v>287</v>
      </c>
      <c r="M782" s="292"/>
      <c r="N782" s="358"/>
      <c r="O782" s="292"/>
      <c r="P782" s="292"/>
      <c r="Q782" s="614"/>
      <c r="R782" s="913">
        <f t="shared" si="52"/>
        <v>0</v>
      </c>
      <c r="S782" s="913">
        <f t="shared" si="53"/>
        <v>0</v>
      </c>
      <c r="T782" s="913">
        <f t="shared" si="54"/>
        <v>0</v>
      </c>
      <c r="U782" s="914">
        <f t="shared" si="55"/>
        <v>14</v>
      </c>
      <c r="V782" s="612"/>
      <c r="W782" s="612"/>
      <c r="X782" s="612"/>
      <c r="Y782" s="612"/>
      <c r="Z782" s="612"/>
      <c r="AA782" s="612"/>
      <c r="AB782" s="612"/>
      <c r="AC782" s="612"/>
    </row>
    <row r="783" spans="1:29">
      <c r="A783" s="48" t="s">
        <v>5298</v>
      </c>
      <c r="B783" s="60">
        <v>45598</v>
      </c>
      <c r="C783" s="54" t="s">
        <v>168</v>
      </c>
      <c r="D783" s="435" t="str">
        <f>IFERROR(VLOOKUP(C783,Mychart!$A$125:$B$811,2,FALSE),"-")</f>
        <v>UTS Carrier</v>
      </c>
      <c r="E783" s="295" t="s">
        <v>5314</v>
      </c>
      <c r="F783" s="58">
        <v>3</v>
      </c>
      <c r="G783" s="58"/>
      <c r="H783" s="58">
        <v>160000</v>
      </c>
      <c r="I783" s="58">
        <v>8000</v>
      </c>
      <c r="J783" s="56">
        <v>3110141200</v>
      </c>
      <c r="K783" s="56" t="s">
        <v>5005</v>
      </c>
      <c r="L783" s="292">
        <v>287</v>
      </c>
      <c r="M783" s="292"/>
      <c r="N783" s="358"/>
      <c r="O783" s="292"/>
      <c r="P783" s="292"/>
      <c r="Q783" s="614"/>
      <c r="R783" s="913">
        <f t="shared" si="52"/>
        <v>0</v>
      </c>
      <c r="S783" s="913">
        <f t="shared" si="53"/>
        <v>0</v>
      </c>
      <c r="T783" s="913">
        <f t="shared" si="54"/>
        <v>0</v>
      </c>
      <c r="U783" s="914">
        <f t="shared" si="55"/>
        <v>3</v>
      </c>
      <c r="V783" s="612"/>
      <c r="W783" s="612"/>
      <c r="X783" s="612"/>
      <c r="Y783" s="612"/>
      <c r="Z783" s="612"/>
      <c r="AA783" s="612"/>
      <c r="AB783" s="612"/>
      <c r="AC783" s="612"/>
    </row>
    <row r="784" spans="1:29">
      <c r="A784" s="48" t="s">
        <v>5298</v>
      </c>
      <c r="B784" s="60">
        <v>45598</v>
      </c>
      <c r="C784" s="54" t="s">
        <v>168</v>
      </c>
      <c r="D784" s="435" t="str">
        <f>IFERROR(VLOOKUP(C784,Mychart!$A$125:$B$811,2,FALSE),"-")</f>
        <v>UTS Carrier</v>
      </c>
      <c r="E784" s="295" t="s">
        <v>5315</v>
      </c>
      <c r="F784" s="58">
        <v>3</v>
      </c>
      <c r="G784" s="58"/>
      <c r="H784" s="58">
        <v>160000</v>
      </c>
      <c r="I784" s="58">
        <v>8000</v>
      </c>
      <c r="J784" s="56">
        <v>3110141200</v>
      </c>
      <c r="K784" s="56" t="s">
        <v>5005</v>
      </c>
      <c r="L784" s="292">
        <v>287</v>
      </c>
      <c r="M784" s="292"/>
      <c r="N784" s="358"/>
      <c r="O784" s="292"/>
      <c r="P784" s="292"/>
      <c r="Q784" s="614"/>
      <c r="R784" s="913">
        <f t="shared" si="52"/>
        <v>0</v>
      </c>
      <c r="S784" s="913">
        <f t="shared" si="53"/>
        <v>0</v>
      </c>
      <c r="T784" s="913">
        <f t="shared" si="54"/>
        <v>0</v>
      </c>
      <c r="U784" s="914">
        <f t="shared" si="55"/>
        <v>3</v>
      </c>
      <c r="V784" s="612"/>
      <c r="W784" s="612"/>
      <c r="X784" s="612"/>
      <c r="Y784" s="612"/>
      <c r="Z784" s="612"/>
      <c r="AA784" s="612"/>
      <c r="AB784" s="612"/>
      <c r="AC784" s="612"/>
    </row>
    <row r="785" spans="1:30">
      <c r="A785" s="48" t="s">
        <v>5298</v>
      </c>
      <c r="B785" s="60">
        <v>45598</v>
      </c>
      <c r="C785" s="54" t="s">
        <v>168</v>
      </c>
      <c r="D785" s="435" t="str">
        <f>IFERROR(VLOOKUP(C785,Mychart!$A$125:$B$811,2,FALSE),"-")</f>
        <v>UTS Carrier</v>
      </c>
      <c r="E785" s="295" t="s">
        <v>5257</v>
      </c>
      <c r="F785" s="58">
        <v>1</v>
      </c>
      <c r="G785" s="58">
        <v>160000</v>
      </c>
      <c r="H785" s="58">
        <v>160000</v>
      </c>
      <c r="I785" s="58">
        <v>8000</v>
      </c>
      <c r="J785" s="56" t="s">
        <v>5347</v>
      </c>
      <c r="K785" s="56" t="s">
        <v>5005</v>
      </c>
      <c r="L785" s="292">
        <v>287</v>
      </c>
      <c r="M785" s="292"/>
      <c r="N785" s="358"/>
      <c r="O785" s="292"/>
      <c r="P785" s="292"/>
      <c r="Q785" s="614">
        <v>168000</v>
      </c>
      <c r="R785" s="913">
        <f t="shared" si="52"/>
        <v>0</v>
      </c>
      <c r="S785" s="913">
        <f t="shared" si="53"/>
        <v>168000</v>
      </c>
      <c r="T785" s="913">
        <f t="shared" si="54"/>
        <v>168000</v>
      </c>
      <c r="U785" s="914">
        <f t="shared" si="55"/>
        <v>1</v>
      </c>
      <c r="V785" s="612"/>
      <c r="W785" s="612"/>
      <c r="X785" s="612"/>
      <c r="Y785" s="612"/>
      <c r="Z785" s="612"/>
      <c r="AA785" s="612"/>
      <c r="AB785" s="612"/>
      <c r="AC785" s="612"/>
    </row>
    <row r="786" spans="1:30">
      <c r="A786" s="48" t="s">
        <v>5316</v>
      </c>
      <c r="B786" s="60">
        <v>45598</v>
      </c>
      <c r="C786" s="54" t="s">
        <v>168</v>
      </c>
      <c r="D786" s="435" t="str">
        <f>IFERROR(VLOOKUP(C786,Mychart!$A$125:$B$811,2,FALSE),"-")</f>
        <v>UTS Carrier</v>
      </c>
      <c r="E786" s="295" t="s">
        <v>236</v>
      </c>
      <c r="F786" s="58">
        <v>6</v>
      </c>
      <c r="G786" s="58"/>
      <c r="H786" s="58">
        <v>71080</v>
      </c>
      <c r="I786" s="58">
        <v>3554</v>
      </c>
      <c r="J786" s="56" t="s">
        <v>4809</v>
      </c>
      <c r="K786" s="56" t="s">
        <v>268</v>
      </c>
      <c r="L786" s="292">
        <v>277</v>
      </c>
      <c r="M786" s="292"/>
      <c r="N786" s="358"/>
      <c r="O786" s="292"/>
      <c r="P786" s="292"/>
      <c r="Q786" s="614"/>
      <c r="R786" s="913">
        <f t="shared" si="52"/>
        <v>0</v>
      </c>
      <c r="S786" s="913">
        <f t="shared" si="53"/>
        <v>0</v>
      </c>
      <c r="T786" s="913">
        <f t="shared" si="54"/>
        <v>0</v>
      </c>
      <c r="U786" s="914">
        <f t="shared" si="55"/>
        <v>6</v>
      </c>
      <c r="V786" s="612"/>
      <c r="W786" s="612"/>
      <c r="X786" s="612"/>
      <c r="Y786" s="612"/>
      <c r="Z786" s="612"/>
      <c r="AA786" s="612"/>
      <c r="AB786" s="612"/>
      <c r="AC786" s="612"/>
    </row>
    <row r="787" spans="1:30">
      <c r="A787" s="48" t="s">
        <v>5316</v>
      </c>
      <c r="B787" s="60">
        <v>45598</v>
      </c>
      <c r="C787" s="54" t="s">
        <v>168</v>
      </c>
      <c r="D787" s="435" t="str">
        <f>IFERROR(VLOOKUP(C787,Mychart!$A$125:$B$811,2,FALSE),"-")</f>
        <v>UTS Carrier</v>
      </c>
      <c r="E787" s="295" t="s">
        <v>237</v>
      </c>
      <c r="F787" s="58">
        <v>6</v>
      </c>
      <c r="G787" s="58"/>
      <c r="H787" s="58">
        <v>71080</v>
      </c>
      <c r="I787" s="58">
        <v>3554</v>
      </c>
      <c r="J787" s="56" t="s">
        <v>4809</v>
      </c>
      <c r="K787" s="56" t="s">
        <v>268</v>
      </c>
      <c r="L787" s="292">
        <v>277</v>
      </c>
      <c r="M787" s="292"/>
      <c r="N787" s="358"/>
      <c r="O787" s="292"/>
      <c r="P787" s="292">
        <v>6</v>
      </c>
      <c r="Q787" s="614"/>
      <c r="R787" s="913">
        <f t="shared" si="52"/>
        <v>0</v>
      </c>
      <c r="S787" s="913">
        <f t="shared" si="53"/>
        <v>0</v>
      </c>
      <c r="T787" s="913">
        <f t="shared" si="54"/>
        <v>0</v>
      </c>
      <c r="U787" s="914">
        <f t="shared" si="55"/>
        <v>0</v>
      </c>
      <c r="V787" s="612"/>
      <c r="W787" s="612"/>
      <c r="X787" s="612"/>
      <c r="Y787" s="612"/>
      <c r="Z787" s="612"/>
      <c r="AA787" s="612"/>
      <c r="AB787" s="612"/>
      <c r="AC787" s="612"/>
    </row>
    <row r="788" spans="1:30">
      <c r="A788" s="48" t="s">
        <v>5316</v>
      </c>
      <c r="B788" s="60">
        <v>45598</v>
      </c>
      <c r="C788" s="54" t="s">
        <v>168</v>
      </c>
      <c r="D788" s="435" t="str">
        <f>IFERROR(VLOOKUP(C788,Mychart!$A$125:$B$811,2,FALSE),"-")</f>
        <v>UTS Carrier</v>
      </c>
      <c r="E788" s="295" t="s">
        <v>827</v>
      </c>
      <c r="F788" s="58">
        <v>2</v>
      </c>
      <c r="G788" s="58"/>
      <c r="H788" s="58">
        <v>71080</v>
      </c>
      <c r="I788" s="58">
        <v>3554</v>
      </c>
      <c r="J788" s="56" t="s">
        <v>4809</v>
      </c>
      <c r="K788" s="56" t="s">
        <v>268</v>
      </c>
      <c r="L788" s="292">
        <v>277</v>
      </c>
      <c r="M788" s="292"/>
      <c r="N788" s="358"/>
      <c r="O788" s="292"/>
      <c r="P788" s="292"/>
      <c r="Q788" s="614"/>
      <c r="R788" s="913">
        <f t="shared" si="52"/>
        <v>0</v>
      </c>
      <c r="S788" s="913">
        <f t="shared" si="53"/>
        <v>0</v>
      </c>
      <c r="T788" s="913">
        <f t="shared" si="54"/>
        <v>0</v>
      </c>
      <c r="U788" s="914">
        <f t="shared" si="55"/>
        <v>2</v>
      </c>
      <c r="V788" s="612"/>
      <c r="W788" s="612"/>
      <c r="X788" s="612"/>
      <c r="Y788" s="612"/>
      <c r="Z788" s="612"/>
      <c r="AA788" s="612"/>
      <c r="AB788" s="612"/>
      <c r="AC788" s="612"/>
    </row>
    <row r="789" spans="1:30">
      <c r="A789" s="48" t="s">
        <v>5316</v>
      </c>
      <c r="B789" s="60">
        <v>45598</v>
      </c>
      <c r="C789" s="54" t="s">
        <v>168</v>
      </c>
      <c r="D789" s="435" t="str">
        <f>IFERROR(VLOOKUP(C789,Mychart!$A$125:$B$811,2,FALSE),"-")</f>
        <v>UTS Carrier</v>
      </c>
      <c r="E789" s="295" t="s">
        <v>828</v>
      </c>
      <c r="F789" s="58">
        <v>2</v>
      </c>
      <c r="G789" s="58"/>
      <c r="H789" s="58">
        <v>71080</v>
      </c>
      <c r="I789" s="58">
        <v>3554</v>
      </c>
      <c r="J789" s="56" t="s">
        <v>4809</v>
      </c>
      <c r="K789" s="56" t="s">
        <v>268</v>
      </c>
      <c r="L789" s="292">
        <v>277</v>
      </c>
      <c r="M789" s="292"/>
      <c r="N789" s="358"/>
      <c r="O789" s="292"/>
      <c r="P789" s="292">
        <v>2</v>
      </c>
      <c r="Q789" s="614"/>
      <c r="R789" s="913">
        <f t="shared" si="52"/>
        <v>0</v>
      </c>
      <c r="S789" s="913">
        <f t="shared" si="53"/>
        <v>0</v>
      </c>
      <c r="T789" s="913">
        <f t="shared" si="54"/>
        <v>0</v>
      </c>
      <c r="U789" s="914">
        <f t="shared" si="55"/>
        <v>0</v>
      </c>
      <c r="V789" s="612"/>
      <c r="W789" s="612"/>
      <c r="X789" s="612"/>
      <c r="Y789" s="612"/>
      <c r="Z789" s="612"/>
      <c r="AA789" s="612"/>
      <c r="AB789" s="612"/>
      <c r="AC789" s="612"/>
    </row>
    <row r="790" spans="1:30">
      <c r="A790" s="48" t="s">
        <v>5316</v>
      </c>
      <c r="B790" s="60">
        <v>45598</v>
      </c>
      <c r="C790" s="54" t="s">
        <v>168</v>
      </c>
      <c r="D790" s="435" t="str">
        <f>IFERROR(VLOOKUP(C790,Mychart!$A$125:$B$811,2,FALSE),"-")</f>
        <v>UTS Carrier</v>
      </c>
      <c r="E790" s="295" t="s">
        <v>238</v>
      </c>
      <c r="F790" s="58">
        <v>4</v>
      </c>
      <c r="G790" s="58"/>
      <c r="H790" s="58">
        <v>71080</v>
      </c>
      <c r="I790" s="58">
        <v>3554</v>
      </c>
      <c r="J790" s="56" t="s">
        <v>4809</v>
      </c>
      <c r="K790" s="56" t="s">
        <v>268</v>
      </c>
      <c r="L790" s="292">
        <v>277</v>
      </c>
      <c r="M790" s="292"/>
      <c r="N790" s="358"/>
      <c r="O790" s="292"/>
      <c r="P790" s="292"/>
      <c r="Q790" s="614"/>
      <c r="R790" s="913">
        <f t="shared" si="52"/>
        <v>0</v>
      </c>
      <c r="S790" s="913">
        <f t="shared" si="53"/>
        <v>0</v>
      </c>
      <c r="T790" s="913">
        <f t="shared" si="54"/>
        <v>0</v>
      </c>
      <c r="U790" s="914">
        <f t="shared" si="55"/>
        <v>4</v>
      </c>
      <c r="V790" s="612"/>
      <c r="W790" s="612"/>
      <c r="X790" s="612"/>
      <c r="Y790" s="612"/>
      <c r="Z790" s="612"/>
      <c r="AA790" s="612"/>
      <c r="AB790" s="612"/>
      <c r="AC790" s="612"/>
    </row>
    <row r="791" spans="1:30">
      <c r="A791" s="48" t="s">
        <v>5316</v>
      </c>
      <c r="B791" s="60">
        <v>45598</v>
      </c>
      <c r="C791" s="54" t="s">
        <v>168</v>
      </c>
      <c r="D791" s="435" t="str">
        <f>IFERROR(VLOOKUP(C791,Mychart!$A$125:$B$811,2,FALSE),"-")</f>
        <v>UTS Carrier</v>
      </c>
      <c r="E791" s="295" t="s">
        <v>239</v>
      </c>
      <c r="F791" s="58">
        <v>4</v>
      </c>
      <c r="G791" s="58"/>
      <c r="H791" s="58">
        <v>71080</v>
      </c>
      <c r="I791" s="58">
        <v>3554</v>
      </c>
      <c r="J791" s="56" t="s">
        <v>4809</v>
      </c>
      <c r="K791" s="56" t="s">
        <v>268</v>
      </c>
      <c r="L791" s="292">
        <v>277</v>
      </c>
      <c r="M791" s="292"/>
      <c r="N791" s="358"/>
      <c r="O791" s="292"/>
      <c r="P791" s="292">
        <v>4</v>
      </c>
      <c r="Q791" s="614"/>
      <c r="R791" s="913">
        <f t="shared" si="52"/>
        <v>0</v>
      </c>
      <c r="S791" s="913">
        <f t="shared" si="53"/>
        <v>0</v>
      </c>
      <c r="T791" s="913">
        <f t="shared" si="54"/>
        <v>0</v>
      </c>
      <c r="U791" s="914">
        <f t="shared" si="55"/>
        <v>0</v>
      </c>
      <c r="V791" s="612"/>
      <c r="W791" s="612"/>
      <c r="X791" s="612"/>
      <c r="Y791" s="612"/>
      <c r="Z791" s="612"/>
      <c r="AA791" s="612"/>
      <c r="AB791" s="612"/>
      <c r="AC791" s="612"/>
    </row>
    <row r="792" spans="1:30">
      <c r="A792" s="48" t="s">
        <v>5316</v>
      </c>
      <c r="B792" s="60">
        <v>45598</v>
      </c>
      <c r="C792" s="54" t="s">
        <v>168</v>
      </c>
      <c r="D792" s="435" t="str">
        <f>IFERROR(VLOOKUP(C792,Mychart!$A$125:$B$811,2,FALSE),"-")</f>
        <v>UTS Carrier</v>
      </c>
      <c r="E792" s="295" t="s">
        <v>1300</v>
      </c>
      <c r="F792" s="58">
        <v>12</v>
      </c>
      <c r="G792" s="58"/>
      <c r="H792" s="58">
        <v>71080</v>
      </c>
      <c r="I792" s="58">
        <v>3554</v>
      </c>
      <c r="J792" s="56" t="s">
        <v>4809</v>
      </c>
      <c r="K792" s="56" t="s">
        <v>268</v>
      </c>
      <c r="L792" s="292">
        <v>277</v>
      </c>
      <c r="M792" s="292"/>
      <c r="N792" s="358"/>
      <c r="O792" s="292"/>
      <c r="P792" s="292">
        <v>12</v>
      </c>
      <c r="Q792" s="614"/>
      <c r="R792" s="913">
        <f t="shared" si="52"/>
        <v>0</v>
      </c>
      <c r="S792" s="913">
        <f t="shared" si="53"/>
        <v>0</v>
      </c>
      <c r="T792" s="913">
        <f t="shared" si="54"/>
        <v>0</v>
      </c>
      <c r="U792" s="914">
        <f t="shared" si="55"/>
        <v>0</v>
      </c>
      <c r="V792" s="612"/>
      <c r="W792" s="612"/>
      <c r="X792" s="612"/>
      <c r="Y792" s="612"/>
      <c r="Z792" s="612"/>
      <c r="AA792" s="612"/>
      <c r="AB792" s="612"/>
      <c r="AC792" s="612"/>
    </row>
    <row r="793" spans="1:30">
      <c r="A793" s="48" t="s">
        <v>5316</v>
      </c>
      <c r="B793" s="60">
        <v>45598</v>
      </c>
      <c r="C793" s="54" t="s">
        <v>168</v>
      </c>
      <c r="D793" s="435" t="str">
        <f>IFERROR(VLOOKUP(C793,Mychart!$A$125:$B$811,2,FALSE),"-")</f>
        <v>UTS Carrier</v>
      </c>
      <c r="E793" s="295" t="s">
        <v>5317</v>
      </c>
      <c r="F793" s="58">
        <v>1</v>
      </c>
      <c r="G793" s="58">
        <v>71080</v>
      </c>
      <c r="H793" s="58">
        <v>71080</v>
      </c>
      <c r="I793" s="58">
        <v>3554</v>
      </c>
      <c r="J793" s="56" t="s">
        <v>5344</v>
      </c>
      <c r="K793" s="56" t="s">
        <v>268</v>
      </c>
      <c r="L793" s="292">
        <v>277</v>
      </c>
      <c r="M793" s="292" t="s">
        <v>5625</v>
      </c>
      <c r="N793" s="358">
        <v>28182</v>
      </c>
      <c r="O793" s="292">
        <v>28182</v>
      </c>
      <c r="P793" s="292"/>
      <c r="Q793" s="614">
        <v>74634</v>
      </c>
      <c r="R793" s="913">
        <f>O793-N793</f>
        <v>0</v>
      </c>
      <c r="S793" s="913">
        <f>Q793-N793</f>
        <v>46452</v>
      </c>
      <c r="T793" s="913">
        <f>Q793-O793</f>
        <v>46452</v>
      </c>
      <c r="U793" s="914">
        <f>F793-P793</f>
        <v>1</v>
      </c>
      <c r="V793" s="612"/>
      <c r="W793" s="612"/>
      <c r="X793" s="612"/>
      <c r="Y793" s="612"/>
      <c r="Z793" s="612"/>
      <c r="AA793" s="612"/>
      <c r="AB793" s="612"/>
      <c r="AC793" s="612"/>
      <c r="AD793" s="930">
        <v>45613.428622685184</v>
      </c>
    </row>
    <row r="794" spans="1:30">
      <c r="A794" s="48" t="s">
        <v>5318</v>
      </c>
      <c r="B794" s="60">
        <v>45598</v>
      </c>
      <c r="C794" s="54" t="s">
        <v>168</v>
      </c>
      <c r="D794" s="435" t="str">
        <f>IFERROR(VLOOKUP(C794,Mychart!$A$125:$B$811,2,FALSE),"-")</f>
        <v>UTS Carrier</v>
      </c>
      <c r="E794" s="295" t="s">
        <v>236</v>
      </c>
      <c r="F794" s="58">
        <v>2</v>
      </c>
      <c r="G794" s="58"/>
      <c r="H794" s="58">
        <v>49940</v>
      </c>
      <c r="I794" s="58">
        <v>2497</v>
      </c>
      <c r="J794" s="56" t="s">
        <v>4809</v>
      </c>
      <c r="K794" s="56" t="s">
        <v>283</v>
      </c>
      <c r="L794" s="292">
        <v>276</v>
      </c>
      <c r="M794" s="292"/>
      <c r="N794" s="358"/>
      <c r="O794" s="292"/>
      <c r="P794" s="292"/>
      <c r="Q794" s="614"/>
      <c r="R794" s="913">
        <f t="shared" ref="R794:R805" si="56">O794-N794</f>
        <v>0</v>
      </c>
      <c r="S794" s="913">
        <f t="shared" ref="S794:S805" si="57">Q794-N794</f>
        <v>0</v>
      </c>
      <c r="T794" s="913">
        <f t="shared" ref="T794:T805" si="58">Q794-O794</f>
        <v>0</v>
      </c>
      <c r="U794" s="914">
        <f t="shared" ref="U794:U805" si="59">F794-P794</f>
        <v>2</v>
      </c>
      <c r="V794" s="612"/>
      <c r="W794" s="612"/>
      <c r="X794" s="612"/>
      <c r="Y794" s="612"/>
      <c r="Z794" s="612"/>
      <c r="AA794" s="612"/>
      <c r="AB794" s="612"/>
      <c r="AC794" s="612"/>
    </row>
    <row r="795" spans="1:30">
      <c r="A795" s="48" t="s">
        <v>5318</v>
      </c>
      <c r="B795" s="60">
        <v>45598</v>
      </c>
      <c r="C795" s="54" t="s">
        <v>168</v>
      </c>
      <c r="D795" s="435" t="str">
        <f>IFERROR(VLOOKUP(C795,Mychart!$A$125:$B$811,2,FALSE),"-")</f>
        <v>UTS Carrier</v>
      </c>
      <c r="E795" s="295" t="s">
        <v>237</v>
      </c>
      <c r="F795" s="58">
        <v>2</v>
      </c>
      <c r="G795" s="58"/>
      <c r="H795" s="58">
        <v>49940</v>
      </c>
      <c r="I795" s="58">
        <v>2497</v>
      </c>
      <c r="J795" s="56" t="s">
        <v>4809</v>
      </c>
      <c r="K795" s="56" t="s">
        <v>283</v>
      </c>
      <c r="L795" s="292">
        <v>276</v>
      </c>
      <c r="M795" s="292"/>
      <c r="N795" s="358"/>
      <c r="O795" s="292"/>
      <c r="P795" s="292">
        <v>2</v>
      </c>
      <c r="Q795" s="614"/>
      <c r="R795" s="913">
        <f t="shared" si="56"/>
        <v>0</v>
      </c>
      <c r="S795" s="913">
        <f t="shared" si="57"/>
        <v>0</v>
      </c>
      <c r="T795" s="913">
        <f t="shared" si="58"/>
        <v>0</v>
      </c>
      <c r="U795" s="914">
        <f t="shared" si="59"/>
        <v>0</v>
      </c>
      <c r="V795" s="612"/>
      <c r="W795" s="612"/>
      <c r="X795" s="612"/>
      <c r="Y795" s="612"/>
      <c r="Z795" s="612"/>
      <c r="AA795" s="612"/>
      <c r="AB795" s="612"/>
      <c r="AC795" s="612"/>
    </row>
    <row r="796" spans="1:30">
      <c r="A796" s="48" t="s">
        <v>5318</v>
      </c>
      <c r="B796" s="60">
        <v>45598</v>
      </c>
      <c r="C796" s="54" t="s">
        <v>168</v>
      </c>
      <c r="D796" s="435" t="str">
        <f>IFERROR(VLOOKUP(C796,Mychart!$A$125:$B$811,2,FALSE),"-")</f>
        <v>UTS Carrier</v>
      </c>
      <c r="E796" s="295" t="s">
        <v>827</v>
      </c>
      <c r="F796" s="58">
        <v>2</v>
      </c>
      <c r="G796" s="58"/>
      <c r="H796" s="58">
        <v>49940</v>
      </c>
      <c r="I796" s="58">
        <v>2497</v>
      </c>
      <c r="J796" s="56" t="s">
        <v>4809</v>
      </c>
      <c r="K796" s="56" t="s">
        <v>283</v>
      </c>
      <c r="L796" s="292">
        <v>276</v>
      </c>
      <c r="M796" s="292"/>
      <c r="N796" s="358"/>
      <c r="O796" s="292"/>
      <c r="P796" s="292"/>
      <c r="Q796" s="614"/>
      <c r="R796" s="913">
        <f t="shared" si="56"/>
        <v>0</v>
      </c>
      <c r="S796" s="913">
        <f t="shared" si="57"/>
        <v>0</v>
      </c>
      <c r="T796" s="913">
        <f t="shared" si="58"/>
        <v>0</v>
      </c>
      <c r="U796" s="914">
        <f t="shared" si="59"/>
        <v>2</v>
      </c>
      <c r="V796" s="612"/>
      <c r="W796" s="612"/>
      <c r="X796" s="612"/>
      <c r="Y796" s="612"/>
      <c r="Z796" s="612"/>
      <c r="AA796" s="612"/>
      <c r="AB796" s="612"/>
      <c r="AC796" s="612"/>
    </row>
    <row r="797" spans="1:30">
      <c r="A797" s="48" t="s">
        <v>5318</v>
      </c>
      <c r="B797" s="60">
        <v>45598</v>
      </c>
      <c r="C797" s="54" t="s">
        <v>168</v>
      </c>
      <c r="D797" s="435" t="str">
        <f>IFERROR(VLOOKUP(C797,Mychart!$A$125:$B$811,2,FALSE),"-")</f>
        <v>UTS Carrier</v>
      </c>
      <c r="E797" s="295" t="s">
        <v>828</v>
      </c>
      <c r="F797" s="58">
        <v>2</v>
      </c>
      <c r="G797" s="58"/>
      <c r="H797" s="58">
        <v>49940</v>
      </c>
      <c r="I797" s="58">
        <v>2497</v>
      </c>
      <c r="J797" s="56" t="s">
        <v>4809</v>
      </c>
      <c r="K797" s="56" t="s">
        <v>283</v>
      </c>
      <c r="L797" s="292">
        <v>276</v>
      </c>
      <c r="M797" s="292"/>
      <c r="N797" s="358"/>
      <c r="O797" s="292"/>
      <c r="P797" s="292">
        <v>2</v>
      </c>
      <c r="Q797" s="614"/>
      <c r="R797" s="913">
        <f t="shared" si="56"/>
        <v>0</v>
      </c>
      <c r="S797" s="913">
        <f t="shared" si="57"/>
        <v>0</v>
      </c>
      <c r="T797" s="913">
        <f t="shared" si="58"/>
        <v>0</v>
      </c>
      <c r="U797" s="914">
        <f t="shared" si="59"/>
        <v>0</v>
      </c>
      <c r="V797" s="612"/>
      <c r="W797" s="612"/>
      <c r="X797" s="612"/>
      <c r="Y797" s="612"/>
      <c r="Z797" s="612"/>
      <c r="AA797" s="612"/>
      <c r="AB797" s="612"/>
      <c r="AC797" s="612"/>
    </row>
    <row r="798" spans="1:30">
      <c r="A798" s="48" t="s">
        <v>5318</v>
      </c>
      <c r="B798" s="60">
        <v>45598</v>
      </c>
      <c r="C798" s="54" t="s">
        <v>168</v>
      </c>
      <c r="D798" s="435" t="str">
        <f>IFERROR(VLOOKUP(C798,Mychart!$A$125:$B$811,2,FALSE),"-")</f>
        <v>UTS Carrier</v>
      </c>
      <c r="E798" s="295" t="s">
        <v>238</v>
      </c>
      <c r="F798" s="58">
        <v>3</v>
      </c>
      <c r="G798" s="58"/>
      <c r="H798" s="58">
        <v>49940</v>
      </c>
      <c r="I798" s="58">
        <v>2497</v>
      </c>
      <c r="J798" s="56" t="s">
        <v>4809</v>
      </c>
      <c r="K798" s="56" t="s">
        <v>283</v>
      </c>
      <c r="L798" s="292">
        <v>276</v>
      </c>
      <c r="M798" s="292"/>
      <c r="N798" s="358"/>
      <c r="O798" s="292"/>
      <c r="P798" s="292"/>
      <c r="Q798" s="614"/>
      <c r="R798" s="913">
        <f t="shared" si="56"/>
        <v>0</v>
      </c>
      <c r="S798" s="913">
        <f t="shared" si="57"/>
        <v>0</v>
      </c>
      <c r="T798" s="913">
        <f t="shared" si="58"/>
        <v>0</v>
      </c>
      <c r="U798" s="914">
        <f t="shared" si="59"/>
        <v>3</v>
      </c>
      <c r="V798" s="612"/>
      <c r="W798" s="612"/>
      <c r="X798" s="612"/>
      <c r="Y798" s="612"/>
      <c r="Z798" s="612"/>
      <c r="AA798" s="612"/>
      <c r="AB798" s="612"/>
      <c r="AC798" s="612"/>
    </row>
    <row r="799" spans="1:30">
      <c r="A799" s="48" t="s">
        <v>5318</v>
      </c>
      <c r="B799" s="60">
        <v>45598</v>
      </c>
      <c r="C799" s="54" t="s">
        <v>168</v>
      </c>
      <c r="D799" s="435" t="str">
        <f>IFERROR(VLOOKUP(C799,Mychart!$A$125:$B$811,2,FALSE),"-")</f>
        <v>UTS Carrier</v>
      </c>
      <c r="E799" s="295" t="s">
        <v>239</v>
      </c>
      <c r="F799" s="58">
        <v>3</v>
      </c>
      <c r="G799" s="58"/>
      <c r="H799" s="58">
        <v>49940</v>
      </c>
      <c r="I799" s="58">
        <v>2497</v>
      </c>
      <c r="J799" s="56" t="s">
        <v>4809</v>
      </c>
      <c r="K799" s="56" t="s">
        <v>283</v>
      </c>
      <c r="L799" s="292">
        <v>276</v>
      </c>
      <c r="M799" s="292"/>
      <c r="N799" s="358"/>
      <c r="O799" s="292"/>
      <c r="P799" s="292">
        <v>3</v>
      </c>
      <c r="Q799" s="614"/>
      <c r="R799" s="913">
        <f t="shared" si="56"/>
        <v>0</v>
      </c>
      <c r="S799" s="913">
        <f t="shared" si="57"/>
        <v>0</v>
      </c>
      <c r="T799" s="913">
        <f t="shared" si="58"/>
        <v>0</v>
      </c>
      <c r="U799" s="914">
        <f t="shared" si="59"/>
        <v>0</v>
      </c>
      <c r="V799" s="612"/>
      <c r="W799" s="612"/>
      <c r="X799" s="612"/>
      <c r="Y799" s="612"/>
      <c r="Z799" s="612"/>
      <c r="AA799" s="612"/>
      <c r="AB799" s="612"/>
      <c r="AC799" s="612"/>
    </row>
    <row r="800" spans="1:30">
      <c r="A800" s="48" t="s">
        <v>5318</v>
      </c>
      <c r="B800" s="60">
        <v>45598</v>
      </c>
      <c r="C800" s="54" t="s">
        <v>168</v>
      </c>
      <c r="D800" s="435" t="str">
        <f>IFERROR(VLOOKUP(C800,Mychart!$A$125:$B$811,2,FALSE),"-")</f>
        <v>UTS Carrier</v>
      </c>
      <c r="E800" s="295" t="s">
        <v>234</v>
      </c>
      <c r="F800" s="58">
        <v>1</v>
      </c>
      <c r="G800" s="58"/>
      <c r="H800" s="58">
        <v>49940</v>
      </c>
      <c r="I800" s="58">
        <v>2497</v>
      </c>
      <c r="J800" s="56" t="s">
        <v>4809</v>
      </c>
      <c r="K800" s="56" t="s">
        <v>283</v>
      </c>
      <c r="L800" s="292">
        <v>276</v>
      </c>
      <c r="M800" s="292"/>
      <c r="N800" s="358"/>
      <c r="O800" s="292"/>
      <c r="P800" s="292"/>
      <c r="Q800" s="614"/>
      <c r="R800" s="913">
        <f t="shared" si="56"/>
        <v>0</v>
      </c>
      <c r="S800" s="913">
        <f t="shared" si="57"/>
        <v>0</v>
      </c>
      <c r="T800" s="913">
        <f t="shared" si="58"/>
        <v>0</v>
      </c>
      <c r="U800" s="914">
        <f t="shared" si="59"/>
        <v>1</v>
      </c>
      <c r="V800" s="612"/>
      <c r="W800" s="612"/>
      <c r="X800" s="612"/>
      <c r="Y800" s="612"/>
      <c r="Z800" s="612"/>
      <c r="AA800" s="612"/>
      <c r="AB800" s="612"/>
      <c r="AC800" s="612"/>
    </row>
    <row r="801" spans="1:30">
      <c r="A801" s="48" t="s">
        <v>5318</v>
      </c>
      <c r="B801" s="60">
        <v>45598</v>
      </c>
      <c r="C801" s="54" t="s">
        <v>168</v>
      </c>
      <c r="D801" s="435" t="str">
        <f>IFERROR(VLOOKUP(C801,Mychart!$A$125:$B$811,2,FALSE),"-")</f>
        <v>UTS Carrier</v>
      </c>
      <c r="E801" s="295" t="s">
        <v>235</v>
      </c>
      <c r="F801" s="58">
        <v>1</v>
      </c>
      <c r="G801" s="58"/>
      <c r="H801" s="58">
        <v>49940</v>
      </c>
      <c r="I801" s="58">
        <v>2497</v>
      </c>
      <c r="J801" s="56" t="s">
        <v>4809</v>
      </c>
      <c r="K801" s="56" t="s">
        <v>283</v>
      </c>
      <c r="L801" s="292">
        <v>276</v>
      </c>
      <c r="M801" s="292"/>
      <c r="N801" s="358"/>
      <c r="O801" s="292"/>
      <c r="P801" s="292">
        <v>1</v>
      </c>
      <c r="Q801" s="614"/>
      <c r="R801" s="913">
        <f t="shared" si="56"/>
        <v>0</v>
      </c>
      <c r="S801" s="913">
        <f t="shared" si="57"/>
        <v>0</v>
      </c>
      <c r="T801" s="913">
        <f t="shared" si="58"/>
        <v>0</v>
      </c>
      <c r="U801" s="914">
        <f t="shared" si="59"/>
        <v>0</v>
      </c>
      <c r="V801" s="612"/>
      <c r="W801" s="612"/>
      <c r="X801" s="612"/>
      <c r="Y801" s="612"/>
      <c r="Z801" s="612"/>
      <c r="AA801" s="612"/>
      <c r="AB801" s="612"/>
      <c r="AC801" s="612"/>
    </row>
    <row r="802" spans="1:30">
      <c r="A802" s="48" t="s">
        <v>5318</v>
      </c>
      <c r="B802" s="60">
        <v>45598</v>
      </c>
      <c r="C802" s="54" t="s">
        <v>168</v>
      </c>
      <c r="D802" s="435" t="str">
        <f>IFERROR(VLOOKUP(C802,Mychart!$A$125:$B$811,2,FALSE),"-")</f>
        <v>UTS Carrier</v>
      </c>
      <c r="E802" s="295" t="s">
        <v>1300</v>
      </c>
      <c r="F802" s="58">
        <v>8</v>
      </c>
      <c r="G802" s="58"/>
      <c r="H802" s="58">
        <v>49940</v>
      </c>
      <c r="I802" s="58">
        <v>2497</v>
      </c>
      <c r="J802" s="56" t="s">
        <v>4809</v>
      </c>
      <c r="K802" s="56" t="s">
        <v>283</v>
      </c>
      <c r="L802" s="292">
        <v>276</v>
      </c>
      <c r="M802" s="292"/>
      <c r="N802" s="358"/>
      <c r="O802" s="292"/>
      <c r="P802" s="292">
        <v>8</v>
      </c>
      <c r="Q802" s="614"/>
      <c r="R802" s="913">
        <f t="shared" si="56"/>
        <v>0</v>
      </c>
      <c r="S802" s="913">
        <f t="shared" si="57"/>
        <v>0</v>
      </c>
      <c r="T802" s="913">
        <f t="shared" si="58"/>
        <v>0</v>
      </c>
      <c r="U802" s="914">
        <f t="shared" si="59"/>
        <v>0</v>
      </c>
      <c r="V802" s="612"/>
      <c r="W802" s="612"/>
      <c r="X802" s="612"/>
      <c r="Y802" s="612"/>
      <c r="Z802" s="612"/>
      <c r="AA802" s="612"/>
      <c r="AB802" s="612"/>
      <c r="AC802" s="612"/>
    </row>
    <row r="803" spans="1:30">
      <c r="A803" s="48" t="s">
        <v>5318</v>
      </c>
      <c r="B803" s="60">
        <v>45598</v>
      </c>
      <c r="C803" s="54" t="s">
        <v>168</v>
      </c>
      <c r="D803" s="435" t="str">
        <f>IFERROR(VLOOKUP(C803,Mychart!$A$125:$B$811,2,FALSE),"-")</f>
        <v>UTS Carrier</v>
      </c>
      <c r="E803" s="295" t="s">
        <v>5317</v>
      </c>
      <c r="F803" s="58">
        <v>1</v>
      </c>
      <c r="G803" s="58">
        <v>49940</v>
      </c>
      <c r="H803" s="58">
        <v>49940</v>
      </c>
      <c r="I803" s="58">
        <v>2497</v>
      </c>
      <c r="J803" s="56" t="s">
        <v>5344</v>
      </c>
      <c r="K803" s="56" t="s">
        <v>283</v>
      </c>
      <c r="L803" s="292">
        <v>276</v>
      </c>
      <c r="M803" s="292" t="s">
        <v>5626</v>
      </c>
      <c r="N803" s="358">
        <v>19713.75</v>
      </c>
      <c r="O803" s="292">
        <v>19714</v>
      </c>
      <c r="P803" s="292"/>
      <c r="Q803" s="614">
        <v>52437</v>
      </c>
      <c r="R803" s="913">
        <f t="shared" si="56"/>
        <v>0.25</v>
      </c>
      <c r="S803" s="913">
        <f t="shared" si="57"/>
        <v>32723.25</v>
      </c>
      <c r="T803" s="913">
        <f t="shared" si="58"/>
        <v>32723</v>
      </c>
      <c r="U803" s="914">
        <f t="shared" si="59"/>
        <v>1</v>
      </c>
      <c r="V803" s="612"/>
      <c r="W803" s="612"/>
      <c r="X803" s="612"/>
      <c r="Y803" s="612"/>
      <c r="Z803" s="612"/>
      <c r="AA803" s="612"/>
      <c r="AB803" s="612"/>
      <c r="AC803" s="612"/>
      <c r="AD803" s="930">
        <v>45613.425486111111</v>
      </c>
    </row>
    <row r="804" spans="1:30">
      <c r="A804" s="48" t="s">
        <v>5319</v>
      </c>
      <c r="B804" s="60">
        <v>45598</v>
      </c>
      <c r="C804" s="54" t="s">
        <v>168</v>
      </c>
      <c r="D804" s="435" t="str">
        <f>IFERROR(VLOOKUP(C804,Mychart!$A$125:$B$811,2,FALSE),"-")</f>
        <v>UTS Carrier</v>
      </c>
      <c r="E804" s="295" t="s">
        <v>236</v>
      </c>
      <c r="F804" s="58">
        <v>4</v>
      </c>
      <c r="G804" s="58"/>
      <c r="H804" s="58">
        <v>106200</v>
      </c>
      <c r="I804" s="58">
        <v>5310</v>
      </c>
      <c r="J804" s="56" t="s">
        <v>4809</v>
      </c>
      <c r="K804" s="56" t="s">
        <v>264</v>
      </c>
      <c r="L804" s="292">
        <v>259</v>
      </c>
      <c r="M804" s="292"/>
      <c r="N804" s="358"/>
      <c r="O804" s="292"/>
      <c r="P804" s="292"/>
      <c r="Q804" s="614"/>
      <c r="R804" s="913">
        <f t="shared" si="56"/>
        <v>0</v>
      </c>
      <c r="S804" s="913">
        <f t="shared" si="57"/>
        <v>0</v>
      </c>
      <c r="T804" s="913">
        <f t="shared" si="58"/>
        <v>0</v>
      </c>
      <c r="U804" s="914">
        <f t="shared" si="59"/>
        <v>4</v>
      </c>
      <c r="V804" s="612"/>
      <c r="W804" s="612"/>
      <c r="X804" s="612"/>
      <c r="Y804" s="612"/>
      <c r="Z804" s="612"/>
      <c r="AA804" s="612"/>
      <c r="AB804" s="612"/>
      <c r="AC804" s="612"/>
    </row>
    <row r="805" spans="1:30">
      <c r="A805" s="48" t="s">
        <v>5319</v>
      </c>
      <c r="B805" s="60">
        <v>45598</v>
      </c>
      <c r="C805" s="54" t="s">
        <v>168</v>
      </c>
      <c r="D805" s="435" t="str">
        <f>IFERROR(VLOOKUP(C805,Mychart!$A$125:$B$811,2,FALSE),"-")</f>
        <v>UTS Carrier</v>
      </c>
      <c r="E805" s="295" t="s">
        <v>237</v>
      </c>
      <c r="F805" s="58">
        <v>4</v>
      </c>
      <c r="G805" s="58"/>
      <c r="H805" s="58">
        <v>106200</v>
      </c>
      <c r="I805" s="58">
        <v>5310</v>
      </c>
      <c r="J805" s="56" t="s">
        <v>4809</v>
      </c>
      <c r="K805" s="56" t="s">
        <v>264</v>
      </c>
      <c r="L805" s="292">
        <v>259</v>
      </c>
      <c r="M805" s="292"/>
      <c r="N805" s="358"/>
      <c r="O805" s="292"/>
      <c r="P805" s="292"/>
      <c r="Q805" s="614"/>
      <c r="R805" s="913">
        <f t="shared" si="56"/>
        <v>0</v>
      </c>
      <c r="S805" s="913">
        <f t="shared" si="57"/>
        <v>0</v>
      </c>
      <c r="T805" s="913">
        <f t="shared" si="58"/>
        <v>0</v>
      </c>
      <c r="U805" s="914">
        <f t="shared" si="59"/>
        <v>4</v>
      </c>
      <c r="V805" s="612"/>
      <c r="W805" s="612"/>
      <c r="X805" s="612"/>
      <c r="Y805" s="612"/>
      <c r="Z805" s="612"/>
      <c r="AA805" s="612"/>
      <c r="AB805" s="612"/>
      <c r="AC805" s="612"/>
    </row>
    <row r="806" spans="1:30">
      <c r="A806" s="48" t="s">
        <v>5319</v>
      </c>
      <c r="B806" s="60">
        <v>45598</v>
      </c>
      <c r="C806" s="54" t="s">
        <v>168</v>
      </c>
      <c r="D806" s="435" t="str">
        <f>IFERROR(VLOOKUP(C806,Mychart!$A$125:$B$811,2,FALSE),"-")</f>
        <v>UTS Carrier</v>
      </c>
      <c r="E806" s="295" t="s">
        <v>827</v>
      </c>
      <c r="F806" s="58">
        <v>2</v>
      </c>
      <c r="G806" s="58"/>
      <c r="H806" s="58">
        <v>106200</v>
      </c>
      <c r="I806" s="58">
        <v>5310</v>
      </c>
      <c r="J806" s="56" t="s">
        <v>4809</v>
      </c>
      <c r="K806" s="56" t="s">
        <v>264</v>
      </c>
      <c r="L806" s="292">
        <v>259</v>
      </c>
      <c r="M806" s="292"/>
      <c r="N806" s="358"/>
      <c r="O806" s="292"/>
      <c r="P806" s="292"/>
      <c r="Q806" s="614"/>
      <c r="R806" s="913">
        <f t="shared" ref="R806:R869" si="60">O806-N806</f>
        <v>0</v>
      </c>
      <c r="S806" s="913">
        <f t="shared" ref="S806:S869" si="61">Q806-N806</f>
        <v>0</v>
      </c>
      <c r="T806" s="913">
        <f t="shared" ref="T806:T869" si="62">Q806-O806</f>
        <v>0</v>
      </c>
      <c r="U806" s="914">
        <f t="shared" ref="U806:U869" si="63">F806-P806</f>
        <v>2</v>
      </c>
      <c r="V806" s="612"/>
      <c r="W806" s="612"/>
      <c r="X806" s="612"/>
      <c r="Y806" s="612"/>
      <c r="Z806" s="612"/>
      <c r="AA806" s="612"/>
      <c r="AB806" s="612"/>
      <c r="AC806" s="612"/>
    </row>
    <row r="807" spans="1:30">
      <c r="A807" s="48" t="s">
        <v>5319</v>
      </c>
      <c r="B807" s="60">
        <v>45598</v>
      </c>
      <c r="C807" s="54" t="s">
        <v>168</v>
      </c>
      <c r="D807" s="435" t="str">
        <f>IFERROR(VLOOKUP(C807,Mychart!$A$125:$B$811,2,FALSE),"-")</f>
        <v>UTS Carrier</v>
      </c>
      <c r="E807" s="295" t="s">
        <v>828</v>
      </c>
      <c r="F807" s="58">
        <v>2</v>
      </c>
      <c r="G807" s="58"/>
      <c r="H807" s="58">
        <v>106200</v>
      </c>
      <c r="I807" s="58">
        <v>5310</v>
      </c>
      <c r="J807" s="56" t="s">
        <v>4809</v>
      </c>
      <c r="K807" s="56" t="s">
        <v>264</v>
      </c>
      <c r="L807" s="292">
        <v>259</v>
      </c>
      <c r="M807" s="292"/>
      <c r="N807" s="358"/>
      <c r="O807" s="292"/>
      <c r="P807" s="292"/>
      <c r="Q807" s="614"/>
      <c r="R807" s="913">
        <f t="shared" si="60"/>
        <v>0</v>
      </c>
      <c r="S807" s="913">
        <f t="shared" si="61"/>
        <v>0</v>
      </c>
      <c r="T807" s="913">
        <f t="shared" si="62"/>
        <v>0</v>
      </c>
      <c r="U807" s="914">
        <f t="shared" si="63"/>
        <v>2</v>
      </c>
      <c r="V807" s="612"/>
      <c r="W807" s="612"/>
      <c r="X807" s="612"/>
      <c r="Y807" s="612"/>
      <c r="Z807" s="612"/>
      <c r="AA807" s="612"/>
      <c r="AB807" s="612"/>
      <c r="AC807" s="612"/>
    </row>
    <row r="808" spans="1:30">
      <c r="A808" s="48" t="s">
        <v>5319</v>
      </c>
      <c r="B808" s="60">
        <v>45598</v>
      </c>
      <c r="C808" s="54" t="s">
        <v>168</v>
      </c>
      <c r="D808" s="435" t="str">
        <f>IFERROR(VLOOKUP(C808,Mychart!$A$125:$B$811,2,FALSE),"-")</f>
        <v>UTS Carrier</v>
      </c>
      <c r="E808" s="295" t="s">
        <v>234</v>
      </c>
      <c r="F808" s="58">
        <v>2</v>
      </c>
      <c r="G808" s="58"/>
      <c r="H808" s="58">
        <v>106200</v>
      </c>
      <c r="I808" s="58">
        <v>5310</v>
      </c>
      <c r="J808" s="56" t="s">
        <v>4809</v>
      </c>
      <c r="K808" s="56" t="s">
        <v>264</v>
      </c>
      <c r="L808" s="292">
        <v>259</v>
      </c>
      <c r="M808" s="292"/>
      <c r="N808" s="358"/>
      <c r="O808" s="292"/>
      <c r="P808" s="292"/>
      <c r="Q808" s="614"/>
      <c r="R808" s="913">
        <f t="shared" si="60"/>
        <v>0</v>
      </c>
      <c r="S808" s="913">
        <f t="shared" si="61"/>
        <v>0</v>
      </c>
      <c r="T808" s="913">
        <f t="shared" si="62"/>
        <v>0</v>
      </c>
      <c r="U808" s="914">
        <f t="shared" si="63"/>
        <v>2</v>
      </c>
      <c r="V808" s="612"/>
      <c r="W808" s="612"/>
      <c r="X808" s="612"/>
      <c r="Y808" s="612"/>
      <c r="Z808" s="612"/>
      <c r="AA808" s="612"/>
      <c r="AB808" s="612"/>
      <c r="AC808" s="612"/>
    </row>
    <row r="809" spans="1:30">
      <c r="A809" s="48" t="s">
        <v>5319</v>
      </c>
      <c r="B809" s="60">
        <v>45598</v>
      </c>
      <c r="C809" s="54" t="s">
        <v>168</v>
      </c>
      <c r="D809" s="435" t="str">
        <f>IFERROR(VLOOKUP(C809,Mychart!$A$125:$B$811,2,FALSE),"-")</f>
        <v>UTS Carrier</v>
      </c>
      <c r="E809" s="295" t="s">
        <v>235</v>
      </c>
      <c r="F809" s="58">
        <v>2</v>
      </c>
      <c r="G809" s="58"/>
      <c r="H809" s="58">
        <v>106200</v>
      </c>
      <c r="I809" s="58">
        <v>5310</v>
      </c>
      <c r="J809" s="56" t="s">
        <v>4809</v>
      </c>
      <c r="K809" s="56" t="s">
        <v>264</v>
      </c>
      <c r="L809" s="292">
        <v>259</v>
      </c>
      <c r="M809" s="292"/>
      <c r="N809" s="358"/>
      <c r="O809" s="292"/>
      <c r="P809" s="292"/>
      <c r="Q809" s="614"/>
      <c r="R809" s="913">
        <f t="shared" si="60"/>
        <v>0</v>
      </c>
      <c r="S809" s="913">
        <f t="shared" si="61"/>
        <v>0</v>
      </c>
      <c r="T809" s="913">
        <f t="shared" si="62"/>
        <v>0</v>
      </c>
      <c r="U809" s="914">
        <f t="shared" si="63"/>
        <v>2</v>
      </c>
      <c r="V809" s="612"/>
      <c r="W809" s="612"/>
      <c r="X809" s="612"/>
      <c r="Y809" s="612"/>
      <c r="Z809" s="612"/>
      <c r="AA809" s="612"/>
      <c r="AB809" s="612"/>
      <c r="AC809" s="612"/>
    </row>
    <row r="810" spans="1:30">
      <c r="A810" s="48" t="s">
        <v>5319</v>
      </c>
      <c r="B810" s="60">
        <v>45598</v>
      </c>
      <c r="C810" s="54" t="s">
        <v>168</v>
      </c>
      <c r="D810" s="435" t="str">
        <f>IFERROR(VLOOKUP(C810,Mychart!$A$125:$B$811,2,FALSE),"-")</f>
        <v>UTS Carrier</v>
      </c>
      <c r="E810" s="295" t="s">
        <v>232</v>
      </c>
      <c r="F810" s="58">
        <v>6</v>
      </c>
      <c r="G810" s="58"/>
      <c r="H810" s="58">
        <v>106200</v>
      </c>
      <c r="I810" s="58">
        <v>5310</v>
      </c>
      <c r="J810" s="56" t="s">
        <v>4809</v>
      </c>
      <c r="K810" s="56" t="s">
        <v>264</v>
      </c>
      <c r="L810" s="292">
        <v>259</v>
      </c>
      <c r="M810" s="292"/>
      <c r="N810" s="358"/>
      <c r="O810" s="292"/>
      <c r="P810" s="292"/>
      <c r="Q810" s="614"/>
      <c r="R810" s="913">
        <f t="shared" si="60"/>
        <v>0</v>
      </c>
      <c r="S810" s="913">
        <f t="shared" si="61"/>
        <v>0</v>
      </c>
      <c r="T810" s="913">
        <f t="shared" si="62"/>
        <v>0</v>
      </c>
      <c r="U810" s="914">
        <f t="shared" si="63"/>
        <v>6</v>
      </c>
      <c r="V810" s="612"/>
      <c r="W810" s="612"/>
      <c r="X810" s="612"/>
      <c r="Y810" s="612"/>
      <c r="Z810" s="612"/>
      <c r="AA810" s="612"/>
      <c r="AB810" s="612"/>
      <c r="AC810" s="612"/>
    </row>
    <row r="811" spans="1:30">
      <c r="A811" s="48" t="s">
        <v>5319</v>
      </c>
      <c r="B811" s="60">
        <v>45598</v>
      </c>
      <c r="C811" s="54" t="s">
        <v>168</v>
      </c>
      <c r="D811" s="435" t="str">
        <f>IFERROR(VLOOKUP(C811,Mychart!$A$125:$B$811,2,FALSE),"-")</f>
        <v>UTS Carrier</v>
      </c>
      <c r="E811" s="295" t="s">
        <v>233</v>
      </c>
      <c r="F811" s="58">
        <v>6</v>
      </c>
      <c r="G811" s="58"/>
      <c r="H811" s="58">
        <v>106200</v>
      </c>
      <c r="I811" s="58">
        <v>5310</v>
      </c>
      <c r="J811" s="56" t="s">
        <v>4809</v>
      </c>
      <c r="K811" s="56" t="s">
        <v>264</v>
      </c>
      <c r="L811" s="292">
        <v>259</v>
      </c>
      <c r="M811" s="292"/>
      <c r="N811" s="358"/>
      <c r="O811" s="292"/>
      <c r="P811" s="292"/>
      <c r="Q811" s="614"/>
      <c r="R811" s="913">
        <f t="shared" si="60"/>
        <v>0</v>
      </c>
      <c r="S811" s="913">
        <f t="shared" si="61"/>
        <v>0</v>
      </c>
      <c r="T811" s="913">
        <f t="shared" si="62"/>
        <v>0</v>
      </c>
      <c r="U811" s="914">
        <f t="shared" si="63"/>
        <v>6</v>
      </c>
      <c r="V811" s="612"/>
      <c r="W811" s="612"/>
      <c r="X811" s="612"/>
      <c r="Y811" s="612"/>
      <c r="Z811" s="612"/>
      <c r="AA811" s="612"/>
      <c r="AB811" s="612"/>
      <c r="AC811" s="612"/>
    </row>
    <row r="812" spans="1:30">
      <c r="A812" s="48" t="s">
        <v>5319</v>
      </c>
      <c r="B812" s="60">
        <v>45598</v>
      </c>
      <c r="C812" s="54" t="s">
        <v>168</v>
      </c>
      <c r="D812" s="435" t="str">
        <f>IFERROR(VLOOKUP(C812,Mychart!$A$125:$B$811,2,FALSE),"-")</f>
        <v>UTS Carrier</v>
      </c>
      <c r="E812" s="295" t="s">
        <v>1099</v>
      </c>
      <c r="F812" s="58">
        <v>2</v>
      </c>
      <c r="G812" s="58"/>
      <c r="H812" s="58">
        <v>106200</v>
      </c>
      <c r="I812" s="58">
        <v>5310</v>
      </c>
      <c r="J812" s="56" t="s">
        <v>4809</v>
      </c>
      <c r="K812" s="56" t="s">
        <v>264</v>
      </c>
      <c r="L812" s="292">
        <v>259</v>
      </c>
      <c r="M812" s="292"/>
      <c r="N812" s="358"/>
      <c r="O812" s="292"/>
      <c r="P812" s="292"/>
      <c r="Q812" s="614"/>
      <c r="R812" s="913">
        <f t="shared" si="60"/>
        <v>0</v>
      </c>
      <c r="S812" s="913">
        <f t="shared" si="61"/>
        <v>0</v>
      </c>
      <c r="T812" s="913">
        <f t="shared" si="62"/>
        <v>0</v>
      </c>
      <c r="U812" s="914">
        <f t="shared" si="63"/>
        <v>2</v>
      </c>
      <c r="V812" s="612"/>
      <c r="W812" s="612"/>
      <c r="X812" s="612"/>
      <c r="Y812" s="612"/>
      <c r="Z812" s="612"/>
      <c r="AA812" s="612"/>
      <c r="AB812" s="612"/>
      <c r="AC812" s="612"/>
    </row>
    <row r="813" spans="1:30">
      <c r="A813" s="48" t="s">
        <v>5319</v>
      </c>
      <c r="B813" s="60">
        <v>45598</v>
      </c>
      <c r="C813" s="54" t="s">
        <v>168</v>
      </c>
      <c r="D813" s="435" t="str">
        <f>IFERROR(VLOOKUP(C813,Mychart!$A$125:$B$811,2,FALSE),"-")</f>
        <v>UTS Carrier</v>
      </c>
      <c r="E813" s="295" t="s">
        <v>1100</v>
      </c>
      <c r="F813" s="58">
        <v>2</v>
      </c>
      <c r="G813" s="58"/>
      <c r="H813" s="58">
        <v>106200</v>
      </c>
      <c r="I813" s="58">
        <v>5310</v>
      </c>
      <c r="J813" s="56" t="s">
        <v>4809</v>
      </c>
      <c r="K813" s="56" t="s">
        <v>264</v>
      </c>
      <c r="L813" s="292">
        <v>259</v>
      </c>
      <c r="M813" s="292"/>
      <c r="N813" s="358"/>
      <c r="O813" s="292"/>
      <c r="P813" s="292"/>
      <c r="Q813" s="614"/>
      <c r="R813" s="913">
        <f t="shared" si="60"/>
        <v>0</v>
      </c>
      <c r="S813" s="913">
        <f t="shared" si="61"/>
        <v>0</v>
      </c>
      <c r="T813" s="913">
        <f t="shared" si="62"/>
        <v>0</v>
      </c>
      <c r="U813" s="914">
        <f t="shared" si="63"/>
        <v>2</v>
      </c>
      <c r="V813" s="612"/>
      <c r="W813" s="612"/>
      <c r="X813" s="612"/>
      <c r="Y813" s="612"/>
      <c r="Z813" s="612"/>
      <c r="AA813" s="612"/>
      <c r="AB813" s="612"/>
      <c r="AC813" s="612"/>
    </row>
    <row r="814" spans="1:30">
      <c r="A814" s="48" t="s">
        <v>5319</v>
      </c>
      <c r="B814" s="60">
        <v>45598</v>
      </c>
      <c r="C814" s="54" t="s">
        <v>168</v>
      </c>
      <c r="D814" s="435" t="str">
        <f>IFERROR(VLOOKUP(C814,Mychart!$A$125:$B$811,2,FALSE),"-")</f>
        <v>UTS Carrier</v>
      </c>
      <c r="E814" s="295" t="s">
        <v>832</v>
      </c>
      <c r="F814" s="58">
        <v>1</v>
      </c>
      <c r="G814" s="58"/>
      <c r="H814" s="58">
        <v>106200</v>
      </c>
      <c r="I814" s="58">
        <v>5310</v>
      </c>
      <c r="J814" s="56" t="s">
        <v>4809</v>
      </c>
      <c r="K814" s="56" t="s">
        <v>264</v>
      </c>
      <c r="L814" s="292">
        <v>259</v>
      </c>
      <c r="M814" s="292"/>
      <c r="N814" s="358"/>
      <c r="O814" s="292"/>
      <c r="P814" s="292"/>
      <c r="Q814" s="614"/>
      <c r="R814" s="913">
        <f t="shared" si="60"/>
        <v>0</v>
      </c>
      <c r="S814" s="913">
        <f t="shared" si="61"/>
        <v>0</v>
      </c>
      <c r="T814" s="913">
        <f t="shared" si="62"/>
        <v>0</v>
      </c>
      <c r="U814" s="914">
        <f t="shared" si="63"/>
        <v>1</v>
      </c>
      <c r="V814" s="612"/>
      <c r="W814" s="612"/>
      <c r="X814" s="612"/>
      <c r="Y814" s="612"/>
      <c r="Z814" s="612"/>
      <c r="AA814" s="612"/>
      <c r="AB814" s="612"/>
      <c r="AC814" s="612"/>
    </row>
    <row r="815" spans="1:30">
      <c r="A815" s="48" t="s">
        <v>5319</v>
      </c>
      <c r="B815" s="60">
        <v>45598</v>
      </c>
      <c r="C815" s="54" t="s">
        <v>168</v>
      </c>
      <c r="D815" s="435" t="str">
        <f>IFERROR(VLOOKUP(C815,Mychart!$A$125:$B$811,2,FALSE),"-")</f>
        <v>UTS Carrier</v>
      </c>
      <c r="E815" s="295" t="s">
        <v>833</v>
      </c>
      <c r="F815" s="58">
        <v>1</v>
      </c>
      <c r="G815" s="58"/>
      <c r="H815" s="58">
        <v>106200</v>
      </c>
      <c r="I815" s="58">
        <v>5310</v>
      </c>
      <c r="J815" s="56" t="s">
        <v>4809</v>
      </c>
      <c r="K815" s="56" t="s">
        <v>264</v>
      </c>
      <c r="L815" s="292">
        <v>259</v>
      </c>
      <c r="M815" s="292"/>
      <c r="N815" s="358"/>
      <c r="O815" s="292"/>
      <c r="P815" s="292"/>
      <c r="Q815" s="614"/>
      <c r="R815" s="913">
        <f t="shared" si="60"/>
        <v>0</v>
      </c>
      <c r="S815" s="913">
        <f t="shared" si="61"/>
        <v>0</v>
      </c>
      <c r="T815" s="913">
        <f t="shared" si="62"/>
        <v>0</v>
      </c>
      <c r="U815" s="914">
        <f t="shared" si="63"/>
        <v>1</v>
      </c>
      <c r="V815" s="612"/>
      <c r="W815" s="612"/>
      <c r="X815" s="612"/>
      <c r="Y815" s="612"/>
      <c r="Z815" s="612"/>
      <c r="AA815" s="612"/>
      <c r="AB815" s="612"/>
      <c r="AC815" s="612"/>
    </row>
    <row r="816" spans="1:30">
      <c r="A816" s="48" t="s">
        <v>5319</v>
      </c>
      <c r="B816" s="60">
        <v>45598</v>
      </c>
      <c r="C816" s="54" t="s">
        <v>168</v>
      </c>
      <c r="D816" s="435" t="str">
        <f>IFERROR(VLOOKUP(C816,Mychart!$A$125:$B$811,2,FALSE),"-")</f>
        <v>UTS Carrier</v>
      </c>
      <c r="E816" s="295" t="s">
        <v>1081</v>
      </c>
      <c r="F816" s="58">
        <v>1</v>
      </c>
      <c r="G816" s="58"/>
      <c r="H816" s="58">
        <v>106200</v>
      </c>
      <c r="I816" s="58">
        <v>5310</v>
      </c>
      <c r="J816" s="56" t="s">
        <v>4809</v>
      </c>
      <c r="K816" s="56" t="s">
        <v>264</v>
      </c>
      <c r="L816" s="292">
        <v>259</v>
      </c>
      <c r="M816" s="292"/>
      <c r="N816" s="358"/>
      <c r="O816" s="292"/>
      <c r="P816" s="292"/>
      <c r="Q816" s="614"/>
      <c r="R816" s="913">
        <f t="shared" si="60"/>
        <v>0</v>
      </c>
      <c r="S816" s="913">
        <f t="shared" si="61"/>
        <v>0</v>
      </c>
      <c r="T816" s="913">
        <f t="shared" si="62"/>
        <v>0</v>
      </c>
      <c r="U816" s="914">
        <f t="shared" si="63"/>
        <v>1</v>
      </c>
      <c r="V816" s="612"/>
      <c r="W816" s="612"/>
      <c r="X816" s="612"/>
      <c r="Y816" s="612"/>
      <c r="Z816" s="612"/>
      <c r="AA816" s="612"/>
      <c r="AB816" s="612"/>
      <c r="AC816" s="612"/>
    </row>
    <row r="817" spans="1:29">
      <c r="A817" s="48" t="s">
        <v>5319</v>
      </c>
      <c r="B817" s="60">
        <v>45598</v>
      </c>
      <c r="C817" s="54" t="s">
        <v>168</v>
      </c>
      <c r="D817" s="435" t="str">
        <f>IFERROR(VLOOKUP(C817,Mychart!$A$125:$B$811,2,FALSE),"-")</f>
        <v>UTS Carrier</v>
      </c>
      <c r="E817" s="295" t="s">
        <v>1082</v>
      </c>
      <c r="F817" s="58">
        <v>1</v>
      </c>
      <c r="G817" s="58"/>
      <c r="H817" s="58">
        <v>106200</v>
      </c>
      <c r="I817" s="58">
        <v>5310</v>
      </c>
      <c r="J817" s="56" t="s">
        <v>4809</v>
      </c>
      <c r="K817" s="56" t="s">
        <v>264</v>
      </c>
      <c r="L817" s="292">
        <v>259</v>
      </c>
      <c r="M817" s="292"/>
      <c r="N817" s="358"/>
      <c r="O817" s="292"/>
      <c r="P817" s="292"/>
      <c r="Q817" s="614"/>
      <c r="R817" s="913">
        <f t="shared" si="60"/>
        <v>0</v>
      </c>
      <c r="S817" s="913">
        <f t="shared" si="61"/>
        <v>0</v>
      </c>
      <c r="T817" s="913">
        <f t="shared" si="62"/>
        <v>0</v>
      </c>
      <c r="U817" s="914">
        <f t="shared" si="63"/>
        <v>1</v>
      </c>
      <c r="V817" s="612"/>
      <c r="W817" s="612"/>
      <c r="X817" s="612"/>
      <c r="Y817" s="612"/>
      <c r="Z817" s="612"/>
      <c r="AA817" s="612"/>
      <c r="AB817" s="612"/>
      <c r="AC817" s="612"/>
    </row>
    <row r="818" spans="1:29">
      <c r="A818" s="48" t="s">
        <v>5319</v>
      </c>
      <c r="B818" s="60">
        <v>45598</v>
      </c>
      <c r="C818" s="54" t="s">
        <v>168</v>
      </c>
      <c r="D818" s="435" t="str">
        <f>IFERROR(VLOOKUP(C818,Mychart!$A$125:$B$811,2,FALSE),"-")</f>
        <v>UTS Carrier</v>
      </c>
      <c r="E818" s="295" t="s">
        <v>1300</v>
      </c>
      <c r="F818" s="58">
        <v>14</v>
      </c>
      <c r="G818" s="58"/>
      <c r="H818" s="58">
        <v>106200</v>
      </c>
      <c r="I818" s="58">
        <v>5310</v>
      </c>
      <c r="J818" s="56" t="s">
        <v>4809</v>
      </c>
      <c r="K818" s="56" t="s">
        <v>264</v>
      </c>
      <c r="L818" s="292">
        <v>259</v>
      </c>
      <c r="M818" s="292"/>
      <c r="N818" s="358"/>
      <c r="O818" s="292"/>
      <c r="P818" s="292"/>
      <c r="Q818" s="614"/>
      <c r="R818" s="913">
        <f t="shared" si="60"/>
        <v>0</v>
      </c>
      <c r="S818" s="913">
        <f t="shared" si="61"/>
        <v>0</v>
      </c>
      <c r="T818" s="913">
        <f t="shared" si="62"/>
        <v>0</v>
      </c>
      <c r="U818" s="914">
        <f t="shared" si="63"/>
        <v>14</v>
      </c>
      <c r="V818" s="612"/>
      <c r="W818" s="612"/>
      <c r="X818" s="612"/>
      <c r="Y818" s="612"/>
      <c r="Z818" s="612"/>
      <c r="AA818" s="612"/>
      <c r="AB818" s="612"/>
      <c r="AC818" s="612"/>
    </row>
    <row r="819" spans="1:29">
      <c r="A819" s="48" t="s">
        <v>5319</v>
      </c>
      <c r="B819" s="60">
        <v>45598</v>
      </c>
      <c r="C819" s="54" t="s">
        <v>168</v>
      </c>
      <c r="D819" s="435" t="str">
        <f>IFERROR(VLOOKUP(C819,Mychart!$A$125:$B$811,2,FALSE),"-")</f>
        <v>UTS Carrier</v>
      </c>
      <c r="E819" s="295" t="s">
        <v>5317</v>
      </c>
      <c r="F819" s="58">
        <v>1</v>
      </c>
      <c r="G819" s="58">
        <v>106200</v>
      </c>
      <c r="H819" s="58">
        <v>106200</v>
      </c>
      <c r="I819" s="58">
        <v>5310</v>
      </c>
      <c r="J819" s="56" t="s">
        <v>5340</v>
      </c>
      <c r="K819" s="56" t="s">
        <v>264</v>
      </c>
      <c r="L819" s="292">
        <v>259</v>
      </c>
      <c r="M819" s="292"/>
      <c r="N819" s="358"/>
      <c r="O819" s="292"/>
      <c r="P819" s="292"/>
      <c r="Q819" s="614">
        <v>111510</v>
      </c>
      <c r="R819" s="913">
        <f t="shared" si="60"/>
        <v>0</v>
      </c>
      <c r="S819" s="913">
        <f t="shared" si="61"/>
        <v>111510</v>
      </c>
      <c r="T819" s="913">
        <f t="shared" si="62"/>
        <v>111510</v>
      </c>
      <c r="U819" s="914">
        <f t="shared" si="63"/>
        <v>1</v>
      </c>
      <c r="V819" s="612"/>
      <c r="W819" s="612"/>
      <c r="X819" s="612"/>
      <c r="Y819" s="612"/>
      <c r="Z819" s="612"/>
      <c r="AA819" s="612"/>
      <c r="AB819" s="612"/>
      <c r="AC819" s="612"/>
    </row>
    <row r="820" spans="1:29">
      <c r="A820" s="48" t="s">
        <v>5320</v>
      </c>
      <c r="B820" s="60">
        <v>45598</v>
      </c>
      <c r="C820" s="54" t="s">
        <v>168</v>
      </c>
      <c r="D820" s="435" t="str">
        <f>IFERROR(VLOOKUP(C820,Mychart!$A$125:$B$811,2,FALSE),"-")</f>
        <v>UTS Carrier</v>
      </c>
      <c r="E820" s="295" t="s">
        <v>236</v>
      </c>
      <c r="F820" s="58">
        <v>2</v>
      </c>
      <c r="G820" s="58"/>
      <c r="H820" s="58">
        <v>117505</v>
      </c>
      <c r="I820" s="58">
        <v>5875.25</v>
      </c>
      <c r="J820" s="56" t="s">
        <v>4809</v>
      </c>
      <c r="K820" s="56" t="s">
        <v>5321</v>
      </c>
      <c r="L820" s="292">
        <v>261</v>
      </c>
      <c r="M820" s="292"/>
      <c r="N820" s="358"/>
      <c r="O820" s="292"/>
      <c r="P820" s="292"/>
      <c r="Q820" s="614"/>
      <c r="R820" s="913">
        <f t="shared" si="60"/>
        <v>0</v>
      </c>
      <c r="S820" s="913">
        <f t="shared" si="61"/>
        <v>0</v>
      </c>
      <c r="T820" s="913">
        <f t="shared" si="62"/>
        <v>0</v>
      </c>
      <c r="U820" s="914">
        <f t="shared" si="63"/>
        <v>2</v>
      </c>
      <c r="V820" s="612"/>
      <c r="W820" s="612"/>
      <c r="X820" s="612"/>
      <c r="Y820" s="612"/>
      <c r="Z820" s="612"/>
      <c r="AA820" s="612"/>
      <c r="AB820" s="612"/>
      <c r="AC820" s="612"/>
    </row>
    <row r="821" spans="1:29">
      <c r="A821" s="48" t="s">
        <v>5320</v>
      </c>
      <c r="B821" s="60">
        <v>45598</v>
      </c>
      <c r="C821" s="54" t="s">
        <v>168</v>
      </c>
      <c r="D821" s="435" t="str">
        <f>IFERROR(VLOOKUP(C821,Mychart!$A$125:$B$811,2,FALSE),"-")</f>
        <v>UTS Carrier</v>
      </c>
      <c r="E821" s="295" t="s">
        <v>237</v>
      </c>
      <c r="F821" s="58">
        <v>2</v>
      </c>
      <c r="G821" s="58"/>
      <c r="H821" s="58">
        <v>117505</v>
      </c>
      <c r="I821" s="58">
        <v>5875.25</v>
      </c>
      <c r="J821" s="56" t="s">
        <v>4809</v>
      </c>
      <c r="K821" s="56" t="s">
        <v>5321</v>
      </c>
      <c r="L821" s="292">
        <v>261</v>
      </c>
      <c r="M821" s="292"/>
      <c r="N821" s="358"/>
      <c r="O821" s="292"/>
      <c r="P821" s="292"/>
      <c r="Q821" s="614"/>
      <c r="R821" s="913">
        <f t="shared" si="60"/>
        <v>0</v>
      </c>
      <c r="S821" s="913">
        <f t="shared" si="61"/>
        <v>0</v>
      </c>
      <c r="T821" s="913">
        <f t="shared" si="62"/>
        <v>0</v>
      </c>
      <c r="U821" s="914">
        <f t="shared" si="63"/>
        <v>2</v>
      </c>
      <c r="V821" s="612"/>
      <c r="W821" s="612"/>
      <c r="X821" s="612"/>
      <c r="Y821" s="612"/>
      <c r="Z821" s="612"/>
      <c r="AA821" s="612"/>
      <c r="AB821" s="612"/>
      <c r="AC821" s="612"/>
    </row>
    <row r="822" spans="1:29">
      <c r="A822" s="48" t="s">
        <v>5320</v>
      </c>
      <c r="B822" s="60">
        <v>45598</v>
      </c>
      <c r="C822" s="54" t="s">
        <v>168</v>
      </c>
      <c r="D822" s="435" t="str">
        <f>IFERROR(VLOOKUP(C822,Mychart!$A$125:$B$811,2,FALSE),"-")</f>
        <v>UTS Carrier</v>
      </c>
      <c r="E822" s="295" t="s">
        <v>827</v>
      </c>
      <c r="F822" s="58">
        <v>1</v>
      </c>
      <c r="G822" s="58"/>
      <c r="H822" s="58">
        <v>117505</v>
      </c>
      <c r="I822" s="58">
        <v>5875.25</v>
      </c>
      <c r="J822" s="56" t="s">
        <v>4809</v>
      </c>
      <c r="K822" s="56" t="s">
        <v>5321</v>
      </c>
      <c r="L822" s="292">
        <v>261</v>
      </c>
      <c r="M822" s="292"/>
      <c r="N822" s="358"/>
      <c r="O822" s="292"/>
      <c r="P822" s="292"/>
      <c r="Q822" s="614"/>
      <c r="R822" s="913">
        <f t="shared" si="60"/>
        <v>0</v>
      </c>
      <c r="S822" s="913">
        <f t="shared" si="61"/>
        <v>0</v>
      </c>
      <c r="T822" s="913">
        <f t="shared" si="62"/>
        <v>0</v>
      </c>
      <c r="U822" s="914">
        <f t="shared" si="63"/>
        <v>1</v>
      </c>
      <c r="V822" s="612"/>
      <c r="W822" s="612"/>
      <c r="X822" s="612"/>
      <c r="Y822" s="612"/>
      <c r="Z822" s="612"/>
      <c r="AA822" s="612"/>
      <c r="AB822" s="612"/>
      <c r="AC822" s="612"/>
    </row>
    <row r="823" spans="1:29">
      <c r="A823" s="48" t="s">
        <v>5320</v>
      </c>
      <c r="B823" s="60">
        <v>45598</v>
      </c>
      <c r="C823" s="54" t="s">
        <v>168</v>
      </c>
      <c r="D823" s="435" t="str">
        <f>IFERROR(VLOOKUP(C823,Mychart!$A$125:$B$811,2,FALSE),"-")</f>
        <v>UTS Carrier</v>
      </c>
      <c r="E823" s="295" t="s">
        <v>828</v>
      </c>
      <c r="F823" s="58">
        <v>1</v>
      </c>
      <c r="G823" s="58"/>
      <c r="H823" s="58">
        <v>117505</v>
      </c>
      <c r="I823" s="58">
        <v>5875.25</v>
      </c>
      <c r="J823" s="56" t="s">
        <v>4809</v>
      </c>
      <c r="K823" s="56" t="s">
        <v>5321</v>
      </c>
      <c r="L823" s="292">
        <v>261</v>
      </c>
      <c r="M823" s="292"/>
      <c r="N823" s="358"/>
      <c r="O823" s="292"/>
      <c r="P823" s="292"/>
      <c r="Q823" s="614"/>
      <c r="R823" s="913">
        <f t="shared" si="60"/>
        <v>0</v>
      </c>
      <c r="S823" s="913">
        <f t="shared" si="61"/>
        <v>0</v>
      </c>
      <c r="T823" s="913">
        <f t="shared" si="62"/>
        <v>0</v>
      </c>
      <c r="U823" s="914">
        <f t="shared" si="63"/>
        <v>1</v>
      </c>
      <c r="V823" s="612"/>
      <c r="W823" s="612"/>
      <c r="X823" s="612"/>
      <c r="Y823" s="612"/>
      <c r="Z823" s="612"/>
      <c r="AA823" s="612"/>
      <c r="AB823" s="612"/>
      <c r="AC823" s="612"/>
    </row>
    <row r="824" spans="1:29">
      <c r="A824" s="48" t="s">
        <v>5320</v>
      </c>
      <c r="B824" s="60">
        <v>45598</v>
      </c>
      <c r="C824" s="54" t="s">
        <v>168</v>
      </c>
      <c r="D824" s="435" t="str">
        <f>IFERROR(VLOOKUP(C824,Mychart!$A$125:$B$811,2,FALSE),"-")</f>
        <v>UTS Carrier</v>
      </c>
      <c r="E824" s="295" t="s">
        <v>238</v>
      </c>
      <c r="F824" s="58">
        <v>3</v>
      </c>
      <c r="G824" s="58"/>
      <c r="H824" s="58">
        <v>117505</v>
      </c>
      <c r="I824" s="58">
        <v>5875.25</v>
      </c>
      <c r="J824" s="56" t="s">
        <v>4809</v>
      </c>
      <c r="K824" s="56" t="s">
        <v>5321</v>
      </c>
      <c r="L824" s="292">
        <v>261</v>
      </c>
      <c r="M824" s="292"/>
      <c r="N824" s="358"/>
      <c r="O824" s="292"/>
      <c r="P824" s="292"/>
      <c r="Q824" s="614"/>
      <c r="R824" s="913">
        <f t="shared" si="60"/>
        <v>0</v>
      </c>
      <c r="S824" s="913">
        <f t="shared" si="61"/>
        <v>0</v>
      </c>
      <c r="T824" s="913">
        <f t="shared" si="62"/>
        <v>0</v>
      </c>
      <c r="U824" s="914">
        <f t="shared" si="63"/>
        <v>3</v>
      </c>
      <c r="V824" s="612"/>
      <c r="W824" s="612"/>
      <c r="X824" s="612"/>
      <c r="Y824" s="612"/>
      <c r="Z824" s="612"/>
      <c r="AA824" s="612"/>
      <c r="AB824" s="612"/>
      <c r="AC824" s="612"/>
    </row>
    <row r="825" spans="1:29">
      <c r="A825" s="48" t="s">
        <v>5320</v>
      </c>
      <c r="B825" s="60">
        <v>45598</v>
      </c>
      <c r="C825" s="54" t="s">
        <v>168</v>
      </c>
      <c r="D825" s="435" t="str">
        <f>IFERROR(VLOOKUP(C825,Mychart!$A$125:$B$811,2,FALSE),"-")</f>
        <v>UTS Carrier</v>
      </c>
      <c r="E825" s="295" t="s">
        <v>239</v>
      </c>
      <c r="F825" s="58">
        <v>3</v>
      </c>
      <c r="G825" s="58"/>
      <c r="H825" s="58">
        <v>117505</v>
      </c>
      <c r="I825" s="58">
        <v>5875.25</v>
      </c>
      <c r="J825" s="56" t="s">
        <v>4809</v>
      </c>
      <c r="K825" s="56" t="s">
        <v>5321</v>
      </c>
      <c r="L825" s="292">
        <v>261</v>
      </c>
      <c r="M825" s="292"/>
      <c r="N825" s="358"/>
      <c r="O825" s="292"/>
      <c r="P825" s="292"/>
      <c r="Q825" s="614"/>
      <c r="R825" s="913">
        <f t="shared" si="60"/>
        <v>0</v>
      </c>
      <c r="S825" s="913">
        <f t="shared" si="61"/>
        <v>0</v>
      </c>
      <c r="T825" s="913">
        <f t="shared" si="62"/>
        <v>0</v>
      </c>
      <c r="U825" s="914">
        <f t="shared" si="63"/>
        <v>3</v>
      </c>
      <c r="V825" s="612"/>
      <c r="W825" s="612"/>
      <c r="X825" s="612"/>
      <c r="Y825" s="612"/>
      <c r="Z825" s="612"/>
      <c r="AA825" s="612"/>
      <c r="AB825" s="612"/>
      <c r="AC825" s="612"/>
    </row>
    <row r="826" spans="1:29">
      <c r="A826" s="48" t="s">
        <v>5320</v>
      </c>
      <c r="B826" s="60">
        <v>45598</v>
      </c>
      <c r="C826" s="54" t="s">
        <v>168</v>
      </c>
      <c r="D826" s="435" t="str">
        <f>IFERROR(VLOOKUP(C826,Mychart!$A$125:$B$811,2,FALSE),"-")</f>
        <v>UTS Carrier</v>
      </c>
      <c r="E826" s="295" t="s">
        <v>232</v>
      </c>
      <c r="F826" s="58">
        <v>3</v>
      </c>
      <c r="G826" s="58"/>
      <c r="H826" s="58">
        <v>117505</v>
      </c>
      <c r="I826" s="58">
        <v>5875.25</v>
      </c>
      <c r="J826" s="56" t="s">
        <v>4809</v>
      </c>
      <c r="K826" s="56" t="s">
        <v>5321</v>
      </c>
      <c r="L826" s="292">
        <v>261</v>
      </c>
      <c r="M826" s="292"/>
      <c r="N826" s="358"/>
      <c r="O826" s="292"/>
      <c r="P826" s="292"/>
      <c r="Q826" s="614"/>
      <c r="R826" s="913">
        <f t="shared" si="60"/>
        <v>0</v>
      </c>
      <c r="S826" s="913">
        <f t="shared" si="61"/>
        <v>0</v>
      </c>
      <c r="T826" s="913">
        <f t="shared" si="62"/>
        <v>0</v>
      </c>
      <c r="U826" s="914">
        <f t="shared" si="63"/>
        <v>3</v>
      </c>
      <c r="V826" s="612"/>
      <c r="W826" s="612"/>
      <c r="X826" s="612"/>
      <c r="Y826" s="612"/>
      <c r="Z826" s="612"/>
      <c r="AA826" s="612"/>
      <c r="AB826" s="612"/>
      <c r="AC826" s="612"/>
    </row>
    <row r="827" spans="1:29">
      <c r="A827" s="48" t="s">
        <v>5320</v>
      </c>
      <c r="B827" s="60">
        <v>45598</v>
      </c>
      <c r="C827" s="54" t="s">
        <v>168</v>
      </c>
      <c r="D827" s="435" t="str">
        <f>IFERROR(VLOOKUP(C827,Mychart!$A$125:$B$811,2,FALSE),"-")</f>
        <v>UTS Carrier</v>
      </c>
      <c r="E827" s="295" t="s">
        <v>233</v>
      </c>
      <c r="F827" s="58">
        <v>3</v>
      </c>
      <c r="G827" s="58"/>
      <c r="H827" s="58">
        <v>117505</v>
      </c>
      <c r="I827" s="58">
        <v>5875.25</v>
      </c>
      <c r="J827" s="56" t="s">
        <v>4809</v>
      </c>
      <c r="K827" s="56" t="s">
        <v>5321</v>
      </c>
      <c r="L827" s="292">
        <v>261</v>
      </c>
      <c r="M827" s="292"/>
      <c r="N827" s="358"/>
      <c r="O827" s="292"/>
      <c r="P827" s="292"/>
      <c r="Q827" s="614"/>
      <c r="R827" s="913">
        <f t="shared" si="60"/>
        <v>0</v>
      </c>
      <c r="S827" s="913">
        <f t="shared" si="61"/>
        <v>0</v>
      </c>
      <c r="T827" s="913">
        <f t="shared" si="62"/>
        <v>0</v>
      </c>
      <c r="U827" s="914">
        <f t="shared" si="63"/>
        <v>3</v>
      </c>
      <c r="V827" s="612"/>
      <c r="W827" s="612"/>
      <c r="X827" s="612"/>
      <c r="Y827" s="612"/>
      <c r="Z827" s="612"/>
      <c r="AA827" s="612"/>
      <c r="AB827" s="612"/>
      <c r="AC827" s="612"/>
    </row>
    <row r="828" spans="1:29">
      <c r="A828" s="48" t="s">
        <v>5320</v>
      </c>
      <c r="B828" s="60">
        <v>45598</v>
      </c>
      <c r="C828" s="54" t="s">
        <v>168</v>
      </c>
      <c r="D828" s="435" t="str">
        <f>IFERROR(VLOOKUP(C828,Mychart!$A$125:$B$811,2,FALSE),"-")</f>
        <v>UTS Carrier</v>
      </c>
      <c r="E828" s="295" t="s">
        <v>1099</v>
      </c>
      <c r="F828" s="58">
        <v>2</v>
      </c>
      <c r="G828" s="58"/>
      <c r="H828" s="58">
        <v>117505</v>
      </c>
      <c r="I828" s="58">
        <v>5875.25</v>
      </c>
      <c r="J828" s="56" t="s">
        <v>4809</v>
      </c>
      <c r="K828" s="56" t="s">
        <v>5321</v>
      </c>
      <c r="L828" s="292">
        <v>261</v>
      </c>
      <c r="M828" s="292"/>
      <c r="N828" s="358"/>
      <c r="O828" s="292"/>
      <c r="P828" s="292"/>
      <c r="Q828" s="614"/>
      <c r="R828" s="913">
        <f t="shared" si="60"/>
        <v>0</v>
      </c>
      <c r="S828" s="913">
        <f t="shared" si="61"/>
        <v>0</v>
      </c>
      <c r="T828" s="913">
        <f t="shared" si="62"/>
        <v>0</v>
      </c>
      <c r="U828" s="914">
        <f t="shared" si="63"/>
        <v>2</v>
      </c>
      <c r="V828" s="612"/>
      <c r="W828" s="612"/>
      <c r="X828" s="612"/>
      <c r="Y828" s="612"/>
      <c r="Z828" s="612"/>
      <c r="AA828" s="612"/>
      <c r="AB828" s="612"/>
      <c r="AC828" s="612"/>
    </row>
    <row r="829" spans="1:29">
      <c r="A829" s="48" t="s">
        <v>5320</v>
      </c>
      <c r="B829" s="60">
        <v>45598</v>
      </c>
      <c r="C829" s="54" t="s">
        <v>168</v>
      </c>
      <c r="D829" s="435" t="str">
        <f>IFERROR(VLOOKUP(C829,Mychart!$A$125:$B$811,2,FALSE),"-")</f>
        <v>UTS Carrier</v>
      </c>
      <c r="E829" s="295" t="s">
        <v>1100</v>
      </c>
      <c r="F829" s="58">
        <v>2</v>
      </c>
      <c r="G829" s="58"/>
      <c r="H829" s="58">
        <v>117505</v>
      </c>
      <c r="I829" s="58">
        <v>5875.25</v>
      </c>
      <c r="J829" s="56" t="s">
        <v>4809</v>
      </c>
      <c r="K829" s="56" t="s">
        <v>5321</v>
      </c>
      <c r="L829" s="292">
        <v>261</v>
      </c>
      <c r="M829" s="292"/>
      <c r="N829" s="358"/>
      <c r="O829" s="292"/>
      <c r="P829" s="292"/>
      <c r="Q829" s="614"/>
      <c r="R829" s="913">
        <f t="shared" si="60"/>
        <v>0</v>
      </c>
      <c r="S829" s="913">
        <f t="shared" si="61"/>
        <v>0</v>
      </c>
      <c r="T829" s="913">
        <f t="shared" si="62"/>
        <v>0</v>
      </c>
      <c r="U829" s="914">
        <f t="shared" si="63"/>
        <v>2</v>
      </c>
      <c r="V829" s="612"/>
      <c r="W829" s="612"/>
      <c r="X829" s="612"/>
      <c r="Y829" s="612"/>
      <c r="Z829" s="612"/>
      <c r="AA829" s="612"/>
      <c r="AB829" s="612"/>
      <c r="AC829" s="612"/>
    </row>
    <row r="830" spans="1:29">
      <c r="A830" s="48" t="s">
        <v>5320</v>
      </c>
      <c r="B830" s="60">
        <v>45598</v>
      </c>
      <c r="C830" s="54" t="s">
        <v>168</v>
      </c>
      <c r="D830" s="435" t="str">
        <f>IFERROR(VLOOKUP(C830,Mychart!$A$125:$B$811,2,FALSE),"-")</f>
        <v>UTS Carrier</v>
      </c>
      <c r="E830" s="295" t="s">
        <v>832</v>
      </c>
      <c r="F830" s="58">
        <v>1</v>
      </c>
      <c r="G830" s="58"/>
      <c r="H830" s="58">
        <v>117505</v>
      </c>
      <c r="I830" s="58">
        <v>5875.25</v>
      </c>
      <c r="J830" s="56" t="s">
        <v>4809</v>
      </c>
      <c r="K830" s="56" t="s">
        <v>5321</v>
      </c>
      <c r="L830" s="292">
        <v>261</v>
      </c>
      <c r="M830" s="292"/>
      <c r="N830" s="358"/>
      <c r="O830" s="292"/>
      <c r="P830" s="292"/>
      <c r="Q830" s="614"/>
      <c r="R830" s="913">
        <f t="shared" si="60"/>
        <v>0</v>
      </c>
      <c r="S830" s="913">
        <f t="shared" si="61"/>
        <v>0</v>
      </c>
      <c r="T830" s="913">
        <f t="shared" si="62"/>
        <v>0</v>
      </c>
      <c r="U830" s="914">
        <f t="shared" si="63"/>
        <v>1</v>
      </c>
      <c r="V830" s="612"/>
      <c r="W830" s="612"/>
      <c r="X830" s="612"/>
      <c r="Y830" s="612"/>
      <c r="Z830" s="612"/>
      <c r="AA830" s="612"/>
      <c r="AB830" s="612"/>
      <c r="AC830" s="612"/>
    </row>
    <row r="831" spans="1:29">
      <c r="A831" s="48" t="s">
        <v>5320</v>
      </c>
      <c r="B831" s="60">
        <v>45598</v>
      </c>
      <c r="C831" s="54" t="s">
        <v>168</v>
      </c>
      <c r="D831" s="435" t="str">
        <f>IFERROR(VLOOKUP(C831,Mychart!$A$125:$B$811,2,FALSE),"-")</f>
        <v>UTS Carrier</v>
      </c>
      <c r="E831" s="295" t="s">
        <v>833</v>
      </c>
      <c r="F831" s="58">
        <v>1</v>
      </c>
      <c r="G831" s="58"/>
      <c r="H831" s="58">
        <v>117505</v>
      </c>
      <c r="I831" s="58">
        <v>5875.25</v>
      </c>
      <c r="J831" s="56" t="s">
        <v>4809</v>
      </c>
      <c r="K831" s="56" t="s">
        <v>5321</v>
      </c>
      <c r="L831" s="292">
        <v>261</v>
      </c>
      <c r="M831" s="292"/>
      <c r="N831" s="358"/>
      <c r="O831" s="292"/>
      <c r="P831" s="292"/>
      <c r="Q831" s="614"/>
      <c r="R831" s="913">
        <f t="shared" si="60"/>
        <v>0</v>
      </c>
      <c r="S831" s="913">
        <f t="shared" si="61"/>
        <v>0</v>
      </c>
      <c r="T831" s="913">
        <f t="shared" si="62"/>
        <v>0</v>
      </c>
      <c r="U831" s="914">
        <f t="shared" si="63"/>
        <v>1</v>
      </c>
      <c r="V831" s="612"/>
      <c r="W831" s="612"/>
      <c r="X831" s="612"/>
      <c r="Y831" s="612"/>
      <c r="Z831" s="612"/>
      <c r="AA831" s="612"/>
      <c r="AB831" s="612"/>
      <c r="AC831" s="612"/>
    </row>
    <row r="832" spans="1:29">
      <c r="A832" s="48" t="s">
        <v>5320</v>
      </c>
      <c r="B832" s="60">
        <v>45598</v>
      </c>
      <c r="C832" s="54" t="s">
        <v>168</v>
      </c>
      <c r="D832" s="435" t="str">
        <f>IFERROR(VLOOKUP(C832,Mychart!$A$125:$B$811,2,FALSE),"-")</f>
        <v>UTS Carrier</v>
      </c>
      <c r="E832" s="295" t="s">
        <v>1203</v>
      </c>
      <c r="F832" s="58">
        <v>1</v>
      </c>
      <c r="G832" s="58"/>
      <c r="H832" s="58">
        <v>117505</v>
      </c>
      <c r="I832" s="58">
        <v>5875.25</v>
      </c>
      <c r="J832" s="56" t="s">
        <v>4809</v>
      </c>
      <c r="K832" s="56" t="s">
        <v>5321</v>
      </c>
      <c r="L832" s="292">
        <v>261</v>
      </c>
      <c r="M832" s="292"/>
      <c r="N832" s="358"/>
      <c r="O832" s="292"/>
      <c r="P832" s="292"/>
      <c r="Q832" s="614"/>
      <c r="R832" s="913">
        <f t="shared" si="60"/>
        <v>0</v>
      </c>
      <c r="S832" s="913">
        <f t="shared" si="61"/>
        <v>0</v>
      </c>
      <c r="T832" s="913">
        <f t="shared" si="62"/>
        <v>0</v>
      </c>
      <c r="U832" s="914">
        <f t="shared" si="63"/>
        <v>1</v>
      </c>
      <c r="V832" s="612"/>
      <c r="W832" s="612"/>
      <c r="X832" s="612"/>
      <c r="Y832" s="612"/>
      <c r="Z832" s="612"/>
      <c r="AA832" s="612"/>
      <c r="AB832" s="612"/>
      <c r="AC832" s="612"/>
    </row>
    <row r="833" spans="1:29">
      <c r="A833" s="48" t="s">
        <v>5320</v>
      </c>
      <c r="B833" s="60">
        <v>45598</v>
      </c>
      <c r="C833" s="54" t="s">
        <v>168</v>
      </c>
      <c r="D833" s="435" t="str">
        <f>IFERROR(VLOOKUP(C833,Mychart!$A$125:$B$811,2,FALSE),"-")</f>
        <v>UTS Carrier</v>
      </c>
      <c r="E833" s="295" t="s">
        <v>1204</v>
      </c>
      <c r="F833" s="58">
        <v>1</v>
      </c>
      <c r="G833" s="58"/>
      <c r="H833" s="58">
        <v>117505</v>
      </c>
      <c r="I833" s="58">
        <v>5875.25</v>
      </c>
      <c r="J833" s="56" t="s">
        <v>4809</v>
      </c>
      <c r="K833" s="56" t="s">
        <v>5321</v>
      </c>
      <c r="L833" s="292">
        <v>261</v>
      </c>
      <c r="M833" s="292"/>
      <c r="N833" s="358"/>
      <c r="O833" s="292"/>
      <c r="P833" s="292"/>
      <c r="Q833" s="614"/>
      <c r="R833" s="913">
        <f t="shared" si="60"/>
        <v>0</v>
      </c>
      <c r="S833" s="913">
        <f t="shared" si="61"/>
        <v>0</v>
      </c>
      <c r="T833" s="913">
        <f t="shared" si="62"/>
        <v>0</v>
      </c>
      <c r="U833" s="914">
        <f t="shared" si="63"/>
        <v>1</v>
      </c>
      <c r="V833" s="612"/>
      <c r="W833" s="612"/>
      <c r="X833" s="612"/>
      <c r="Y833" s="612"/>
      <c r="Z833" s="612"/>
      <c r="AA833" s="612"/>
      <c r="AB833" s="612"/>
      <c r="AC833" s="612"/>
    </row>
    <row r="834" spans="1:29">
      <c r="A834" s="48" t="s">
        <v>5320</v>
      </c>
      <c r="B834" s="60">
        <v>45598</v>
      </c>
      <c r="C834" s="54" t="s">
        <v>168</v>
      </c>
      <c r="D834" s="435" t="str">
        <f>IFERROR(VLOOKUP(C834,Mychart!$A$125:$B$811,2,FALSE),"-")</f>
        <v>UTS Carrier</v>
      </c>
      <c r="E834" s="295" t="s">
        <v>1281</v>
      </c>
      <c r="F834" s="58">
        <v>2</v>
      </c>
      <c r="G834" s="58"/>
      <c r="H834" s="58">
        <v>117505</v>
      </c>
      <c r="I834" s="58">
        <v>5875.25</v>
      </c>
      <c r="J834" s="56" t="s">
        <v>4809</v>
      </c>
      <c r="K834" s="56" t="s">
        <v>5321</v>
      </c>
      <c r="L834" s="292">
        <v>261</v>
      </c>
      <c r="M834" s="292"/>
      <c r="N834" s="358"/>
      <c r="O834" s="292"/>
      <c r="P834" s="292"/>
      <c r="Q834" s="614"/>
      <c r="R834" s="913">
        <f t="shared" si="60"/>
        <v>0</v>
      </c>
      <c r="S834" s="913">
        <f t="shared" si="61"/>
        <v>0</v>
      </c>
      <c r="T834" s="913">
        <f t="shared" si="62"/>
        <v>0</v>
      </c>
      <c r="U834" s="914">
        <f t="shared" si="63"/>
        <v>2</v>
      </c>
      <c r="V834" s="612"/>
      <c r="W834" s="612"/>
      <c r="X834" s="612"/>
      <c r="Y834" s="612"/>
      <c r="Z834" s="612"/>
      <c r="AA834" s="612"/>
      <c r="AB834" s="612"/>
      <c r="AC834" s="612"/>
    </row>
    <row r="835" spans="1:29">
      <c r="A835" s="48" t="s">
        <v>5320</v>
      </c>
      <c r="B835" s="60">
        <v>45598</v>
      </c>
      <c r="C835" s="54" t="s">
        <v>168</v>
      </c>
      <c r="D835" s="435" t="str">
        <f>IFERROR(VLOOKUP(C835,Mychart!$A$125:$B$811,2,FALSE),"-")</f>
        <v>UTS Carrier</v>
      </c>
      <c r="E835" s="295" t="s">
        <v>1300</v>
      </c>
      <c r="F835" s="58">
        <v>9</v>
      </c>
      <c r="G835" s="58"/>
      <c r="H835" s="58">
        <v>117505</v>
      </c>
      <c r="I835" s="58">
        <v>5875.25</v>
      </c>
      <c r="J835" s="56" t="s">
        <v>4809</v>
      </c>
      <c r="K835" s="56" t="s">
        <v>5321</v>
      </c>
      <c r="L835" s="292">
        <v>261</v>
      </c>
      <c r="M835" s="292"/>
      <c r="N835" s="358"/>
      <c r="O835" s="292"/>
      <c r="P835" s="292"/>
      <c r="Q835" s="614"/>
      <c r="R835" s="913">
        <f t="shared" si="60"/>
        <v>0</v>
      </c>
      <c r="S835" s="913">
        <f t="shared" si="61"/>
        <v>0</v>
      </c>
      <c r="T835" s="913">
        <f t="shared" si="62"/>
        <v>0</v>
      </c>
      <c r="U835" s="914">
        <f t="shared" si="63"/>
        <v>9</v>
      </c>
      <c r="V835" s="612"/>
      <c r="W835" s="612"/>
      <c r="X835" s="612"/>
      <c r="Y835" s="612"/>
      <c r="Z835" s="612"/>
      <c r="AA835" s="612"/>
      <c r="AB835" s="612"/>
      <c r="AC835" s="612"/>
    </row>
    <row r="836" spans="1:29">
      <c r="A836" s="48" t="s">
        <v>5320</v>
      </c>
      <c r="B836" s="60">
        <v>45598</v>
      </c>
      <c r="C836" s="54" t="s">
        <v>168</v>
      </c>
      <c r="D836" s="435" t="str">
        <f>IFERROR(VLOOKUP(C836,Mychart!$A$125:$B$811,2,FALSE),"-")</f>
        <v>UTS Carrier</v>
      </c>
      <c r="E836" s="295" t="s">
        <v>5322</v>
      </c>
      <c r="F836" s="58">
        <v>2</v>
      </c>
      <c r="G836" s="58"/>
      <c r="H836" s="58">
        <v>117505</v>
      </c>
      <c r="I836" s="58">
        <v>5875.25</v>
      </c>
      <c r="J836" s="56" t="s">
        <v>4809</v>
      </c>
      <c r="K836" s="56" t="s">
        <v>5321</v>
      </c>
      <c r="L836" s="292">
        <v>261</v>
      </c>
      <c r="M836" s="292"/>
      <c r="N836" s="358"/>
      <c r="O836" s="292"/>
      <c r="P836" s="292"/>
      <c r="Q836" s="614"/>
      <c r="R836" s="913">
        <f t="shared" si="60"/>
        <v>0</v>
      </c>
      <c r="S836" s="913">
        <f t="shared" si="61"/>
        <v>0</v>
      </c>
      <c r="T836" s="913">
        <f t="shared" si="62"/>
        <v>0</v>
      </c>
      <c r="U836" s="914">
        <f t="shared" si="63"/>
        <v>2</v>
      </c>
      <c r="V836" s="612"/>
      <c r="W836" s="612"/>
      <c r="X836" s="612"/>
      <c r="Y836" s="612"/>
      <c r="Z836" s="612"/>
      <c r="AA836" s="612"/>
      <c r="AB836" s="612"/>
      <c r="AC836" s="612"/>
    </row>
    <row r="837" spans="1:29">
      <c r="A837" s="48" t="s">
        <v>5320</v>
      </c>
      <c r="B837" s="60">
        <v>45598</v>
      </c>
      <c r="C837" s="54" t="s">
        <v>168</v>
      </c>
      <c r="D837" s="435" t="str">
        <f>IFERROR(VLOOKUP(C837,Mychart!$A$125:$B$811,2,FALSE),"-")</f>
        <v>UTS Carrier</v>
      </c>
      <c r="E837" s="295" t="s">
        <v>5317</v>
      </c>
      <c r="F837" s="58">
        <v>1</v>
      </c>
      <c r="G837" s="58">
        <v>117505</v>
      </c>
      <c r="H837" s="58">
        <v>117505</v>
      </c>
      <c r="I837" s="58">
        <v>5875.25</v>
      </c>
      <c r="J837" s="56" t="s">
        <v>5344</v>
      </c>
      <c r="K837" s="56" t="s">
        <v>5321</v>
      </c>
      <c r="L837" s="292">
        <v>261</v>
      </c>
      <c r="M837" s="292"/>
      <c r="N837" s="358"/>
      <c r="O837" s="292"/>
      <c r="P837" s="292"/>
      <c r="Q837" s="614">
        <v>123380.25</v>
      </c>
      <c r="R837" s="913">
        <f t="shared" si="60"/>
        <v>0</v>
      </c>
      <c r="S837" s="913">
        <f t="shared" si="61"/>
        <v>123380.25</v>
      </c>
      <c r="T837" s="913">
        <f t="shared" si="62"/>
        <v>123380.25</v>
      </c>
      <c r="U837" s="914">
        <f t="shared" si="63"/>
        <v>1</v>
      </c>
      <c r="V837" s="612"/>
      <c r="W837" s="612"/>
      <c r="X837" s="612"/>
      <c r="Y837" s="612"/>
      <c r="Z837" s="612"/>
      <c r="AA837" s="612"/>
      <c r="AB837" s="612"/>
      <c r="AC837" s="612"/>
    </row>
    <row r="838" spans="1:29">
      <c r="A838" s="48" t="s">
        <v>5323</v>
      </c>
      <c r="B838" s="60">
        <v>45598</v>
      </c>
      <c r="C838" s="54" t="s">
        <v>168</v>
      </c>
      <c r="D838" s="435" t="str">
        <f>IFERROR(VLOOKUP(C838,Mychart!$A$125:$B$811,2,FALSE),"-")</f>
        <v>UTS Carrier</v>
      </c>
      <c r="E838" s="295" t="s">
        <v>825</v>
      </c>
      <c r="F838" s="58">
        <v>1</v>
      </c>
      <c r="G838" s="58"/>
      <c r="H838" s="58">
        <v>141690</v>
      </c>
      <c r="I838" s="58">
        <v>7084.5</v>
      </c>
      <c r="J838" s="56" t="s">
        <v>4809</v>
      </c>
      <c r="K838" s="56" t="s">
        <v>5324</v>
      </c>
      <c r="L838" s="292">
        <v>260</v>
      </c>
      <c r="M838" s="292"/>
      <c r="N838" s="358"/>
      <c r="O838" s="292"/>
      <c r="P838" s="292"/>
      <c r="Q838" s="614"/>
      <c r="R838" s="913">
        <f t="shared" si="60"/>
        <v>0</v>
      </c>
      <c r="S838" s="913">
        <f t="shared" si="61"/>
        <v>0</v>
      </c>
      <c r="T838" s="913">
        <f t="shared" si="62"/>
        <v>0</v>
      </c>
      <c r="U838" s="914">
        <f t="shared" si="63"/>
        <v>1</v>
      </c>
      <c r="V838" s="612"/>
      <c r="W838" s="612"/>
      <c r="X838" s="612"/>
      <c r="Y838" s="612"/>
      <c r="Z838" s="612"/>
      <c r="AA838" s="612"/>
      <c r="AB838" s="612"/>
      <c r="AC838" s="612"/>
    </row>
    <row r="839" spans="1:29">
      <c r="A839" s="48" t="s">
        <v>5323</v>
      </c>
      <c r="B839" s="60">
        <v>45598</v>
      </c>
      <c r="C839" s="54" t="s">
        <v>168</v>
      </c>
      <c r="D839" s="435" t="str">
        <f>IFERROR(VLOOKUP(C839,Mychart!$A$125:$B$811,2,FALSE),"-")</f>
        <v>UTS Carrier</v>
      </c>
      <c r="E839" s="295" t="s">
        <v>826</v>
      </c>
      <c r="F839" s="58">
        <v>1</v>
      </c>
      <c r="G839" s="58"/>
      <c r="H839" s="58">
        <v>141690</v>
      </c>
      <c r="I839" s="58">
        <v>7084.5</v>
      </c>
      <c r="J839" s="56" t="s">
        <v>4809</v>
      </c>
      <c r="K839" s="56" t="s">
        <v>5324</v>
      </c>
      <c r="L839" s="292">
        <v>260</v>
      </c>
      <c r="M839" s="292"/>
      <c r="N839" s="358"/>
      <c r="O839" s="292"/>
      <c r="P839" s="292"/>
      <c r="Q839" s="614"/>
      <c r="R839" s="913">
        <f t="shared" si="60"/>
        <v>0</v>
      </c>
      <c r="S839" s="913">
        <f t="shared" si="61"/>
        <v>0</v>
      </c>
      <c r="T839" s="913">
        <f t="shared" si="62"/>
        <v>0</v>
      </c>
      <c r="U839" s="914">
        <f t="shared" si="63"/>
        <v>1</v>
      </c>
      <c r="V839" s="612"/>
      <c r="W839" s="612"/>
      <c r="X839" s="612"/>
      <c r="Y839" s="612"/>
      <c r="Z839" s="612"/>
      <c r="AA839" s="612"/>
      <c r="AB839" s="612"/>
      <c r="AC839" s="612"/>
    </row>
    <row r="840" spans="1:29">
      <c r="A840" s="48" t="s">
        <v>5323</v>
      </c>
      <c r="B840" s="60">
        <v>45598</v>
      </c>
      <c r="C840" s="54" t="s">
        <v>168</v>
      </c>
      <c r="D840" s="435" t="str">
        <f>IFERROR(VLOOKUP(C840,Mychart!$A$125:$B$811,2,FALSE),"-")</f>
        <v>UTS Carrier</v>
      </c>
      <c r="E840" s="295" t="s">
        <v>827</v>
      </c>
      <c r="F840" s="58">
        <v>3</v>
      </c>
      <c r="G840" s="58"/>
      <c r="H840" s="58">
        <v>141690</v>
      </c>
      <c r="I840" s="58">
        <v>7084.5</v>
      </c>
      <c r="J840" s="56" t="s">
        <v>4809</v>
      </c>
      <c r="K840" s="56" t="s">
        <v>5324</v>
      </c>
      <c r="L840" s="292">
        <v>260</v>
      </c>
      <c r="M840" s="292"/>
      <c r="N840" s="358"/>
      <c r="O840" s="292"/>
      <c r="P840" s="292"/>
      <c r="Q840" s="614"/>
      <c r="R840" s="913">
        <f t="shared" si="60"/>
        <v>0</v>
      </c>
      <c r="S840" s="913">
        <f t="shared" si="61"/>
        <v>0</v>
      </c>
      <c r="T840" s="913">
        <f t="shared" si="62"/>
        <v>0</v>
      </c>
      <c r="U840" s="914">
        <f t="shared" si="63"/>
        <v>3</v>
      </c>
      <c r="V840" s="612"/>
      <c r="W840" s="612"/>
      <c r="X840" s="612"/>
      <c r="Y840" s="612"/>
      <c r="Z840" s="612"/>
      <c r="AA840" s="612"/>
      <c r="AB840" s="612"/>
      <c r="AC840" s="612"/>
    </row>
    <row r="841" spans="1:29">
      <c r="A841" s="48" t="s">
        <v>5323</v>
      </c>
      <c r="B841" s="60">
        <v>45598</v>
      </c>
      <c r="C841" s="54" t="s">
        <v>168</v>
      </c>
      <c r="D841" s="435" t="str">
        <f>IFERROR(VLOOKUP(C841,Mychart!$A$125:$B$811,2,FALSE),"-")</f>
        <v>UTS Carrier</v>
      </c>
      <c r="E841" s="295" t="s">
        <v>828</v>
      </c>
      <c r="F841" s="58">
        <v>3</v>
      </c>
      <c r="G841" s="58"/>
      <c r="H841" s="58">
        <v>141690</v>
      </c>
      <c r="I841" s="58">
        <v>7084.5</v>
      </c>
      <c r="J841" s="56" t="s">
        <v>4809</v>
      </c>
      <c r="K841" s="56" t="s">
        <v>5324</v>
      </c>
      <c r="L841" s="292">
        <v>260</v>
      </c>
      <c r="M841" s="292"/>
      <c r="N841" s="358"/>
      <c r="O841" s="292"/>
      <c r="P841" s="292"/>
      <c r="Q841" s="614"/>
      <c r="R841" s="913">
        <f t="shared" si="60"/>
        <v>0</v>
      </c>
      <c r="S841" s="913">
        <f t="shared" si="61"/>
        <v>0</v>
      </c>
      <c r="T841" s="913">
        <f t="shared" si="62"/>
        <v>0</v>
      </c>
      <c r="U841" s="914">
        <f t="shared" si="63"/>
        <v>3</v>
      </c>
      <c r="V841" s="612"/>
      <c r="W841" s="612"/>
      <c r="X841" s="612"/>
      <c r="Y841" s="612"/>
      <c r="Z841" s="612"/>
      <c r="AA841" s="612"/>
      <c r="AB841" s="612"/>
      <c r="AC841" s="612"/>
    </row>
    <row r="842" spans="1:29">
      <c r="A842" s="48" t="s">
        <v>5323</v>
      </c>
      <c r="B842" s="60">
        <v>45598</v>
      </c>
      <c r="C842" s="54" t="s">
        <v>168</v>
      </c>
      <c r="D842" s="435" t="str">
        <f>IFERROR(VLOOKUP(C842,Mychart!$A$125:$B$811,2,FALSE),"-")</f>
        <v>UTS Carrier</v>
      </c>
      <c r="E842" s="295" t="s">
        <v>234</v>
      </c>
      <c r="F842" s="58">
        <v>5</v>
      </c>
      <c r="G842" s="58"/>
      <c r="H842" s="58">
        <v>141690</v>
      </c>
      <c r="I842" s="58">
        <v>7084.5</v>
      </c>
      <c r="J842" s="56" t="s">
        <v>4809</v>
      </c>
      <c r="K842" s="56" t="s">
        <v>5324</v>
      </c>
      <c r="L842" s="292">
        <v>260</v>
      </c>
      <c r="M842" s="292"/>
      <c r="N842" s="358"/>
      <c r="O842" s="292"/>
      <c r="P842" s="292"/>
      <c r="Q842" s="614"/>
      <c r="R842" s="913">
        <f t="shared" si="60"/>
        <v>0</v>
      </c>
      <c r="S842" s="913">
        <f t="shared" si="61"/>
        <v>0</v>
      </c>
      <c r="T842" s="913">
        <f t="shared" si="62"/>
        <v>0</v>
      </c>
      <c r="U842" s="914">
        <f t="shared" si="63"/>
        <v>5</v>
      </c>
      <c r="V842" s="612"/>
      <c r="W842" s="612"/>
      <c r="X842" s="612"/>
      <c r="Y842" s="612"/>
      <c r="Z842" s="612"/>
      <c r="AA842" s="612"/>
      <c r="AB842" s="612"/>
      <c r="AC842" s="612"/>
    </row>
    <row r="843" spans="1:29">
      <c r="A843" s="48" t="s">
        <v>5323</v>
      </c>
      <c r="B843" s="60">
        <v>45598</v>
      </c>
      <c r="C843" s="54" t="s">
        <v>168</v>
      </c>
      <c r="D843" s="435" t="str">
        <f>IFERROR(VLOOKUP(C843,Mychart!$A$125:$B$811,2,FALSE),"-")</f>
        <v>UTS Carrier</v>
      </c>
      <c r="E843" s="295" t="s">
        <v>235</v>
      </c>
      <c r="F843" s="58">
        <v>5</v>
      </c>
      <c r="G843" s="58"/>
      <c r="H843" s="58">
        <v>141690</v>
      </c>
      <c r="I843" s="58">
        <v>7084.5</v>
      </c>
      <c r="J843" s="56" t="s">
        <v>4809</v>
      </c>
      <c r="K843" s="56" t="s">
        <v>5324</v>
      </c>
      <c r="L843" s="292">
        <v>260</v>
      </c>
      <c r="M843" s="292"/>
      <c r="N843" s="358"/>
      <c r="O843" s="292"/>
      <c r="P843" s="292"/>
      <c r="Q843" s="614"/>
      <c r="R843" s="913">
        <f t="shared" si="60"/>
        <v>0</v>
      </c>
      <c r="S843" s="913">
        <f t="shared" si="61"/>
        <v>0</v>
      </c>
      <c r="T843" s="913">
        <f t="shared" si="62"/>
        <v>0</v>
      </c>
      <c r="U843" s="914">
        <f t="shared" si="63"/>
        <v>5</v>
      </c>
      <c r="V843" s="612"/>
      <c r="W843" s="612"/>
      <c r="X843" s="612"/>
      <c r="Y843" s="612"/>
      <c r="Z843" s="612"/>
      <c r="AA843" s="612"/>
      <c r="AB843" s="612"/>
      <c r="AC843" s="612"/>
    </row>
    <row r="844" spans="1:29">
      <c r="A844" s="48" t="s">
        <v>5323</v>
      </c>
      <c r="B844" s="60">
        <v>45598</v>
      </c>
      <c r="C844" s="54" t="s">
        <v>168</v>
      </c>
      <c r="D844" s="435" t="str">
        <f>IFERROR(VLOOKUP(C844,Mychart!$A$125:$B$811,2,FALSE),"-")</f>
        <v>UTS Carrier</v>
      </c>
      <c r="E844" s="295" t="s">
        <v>232</v>
      </c>
      <c r="F844" s="58">
        <v>4</v>
      </c>
      <c r="G844" s="58"/>
      <c r="H844" s="58">
        <v>141690</v>
      </c>
      <c r="I844" s="58">
        <v>7084.5</v>
      </c>
      <c r="J844" s="56" t="s">
        <v>4809</v>
      </c>
      <c r="K844" s="56" t="s">
        <v>5324</v>
      </c>
      <c r="L844" s="292">
        <v>260</v>
      </c>
      <c r="M844" s="292"/>
      <c r="N844" s="358"/>
      <c r="O844" s="292"/>
      <c r="P844" s="292"/>
      <c r="Q844" s="614"/>
      <c r="R844" s="913">
        <f t="shared" si="60"/>
        <v>0</v>
      </c>
      <c r="S844" s="913">
        <f t="shared" si="61"/>
        <v>0</v>
      </c>
      <c r="T844" s="913">
        <f t="shared" si="62"/>
        <v>0</v>
      </c>
      <c r="U844" s="914">
        <f t="shared" si="63"/>
        <v>4</v>
      </c>
      <c r="V844" s="612"/>
      <c r="W844" s="612"/>
      <c r="X844" s="612"/>
      <c r="Y844" s="612"/>
      <c r="Z844" s="612"/>
      <c r="AA844" s="612"/>
      <c r="AB844" s="612"/>
      <c r="AC844" s="612"/>
    </row>
    <row r="845" spans="1:29">
      <c r="A845" s="48" t="s">
        <v>5323</v>
      </c>
      <c r="B845" s="60">
        <v>45598</v>
      </c>
      <c r="C845" s="54" t="s">
        <v>168</v>
      </c>
      <c r="D845" s="435" t="str">
        <f>IFERROR(VLOOKUP(C845,Mychart!$A$125:$B$811,2,FALSE),"-")</f>
        <v>UTS Carrier</v>
      </c>
      <c r="E845" s="295" t="s">
        <v>233</v>
      </c>
      <c r="F845" s="58">
        <v>4</v>
      </c>
      <c r="G845" s="58"/>
      <c r="H845" s="58">
        <v>141690</v>
      </c>
      <c r="I845" s="58">
        <v>7084.5</v>
      </c>
      <c r="J845" s="56" t="s">
        <v>4809</v>
      </c>
      <c r="K845" s="56" t="s">
        <v>5324</v>
      </c>
      <c r="L845" s="292">
        <v>260</v>
      </c>
      <c r="M845" s="292"/>
      <c r="N845" s="358"/>
      <c r="O845" s="292"/>
      <c r="P845" s="292"/>
      <c r="Q845" s="614"/>
      <c r="R845" s="913">
        <f t="shared" si="60"/>
        <v>0</v>
      </c>
      <c r="S845" s="913">
        <f t="shared" si="61"/>
        <v>0</v>
      </c>
      <c r="T845" s="913">
        <f t="shared" si="62"/>
        <v>0</v>
      </c>
      <c r="U845" s="914">
        <f t="shared" si="63"/>
        <v>4</v>
      </c>
      <c r="V845" s="612"/>
      <c r="W845" s="612"/>
      <c r="X845" s="612"/>
      <c r="Y845" s="612"/>
      <c r="Z845" s="612"/>
      <c r="AA845" s="612"/>
      <c r="AB845" s="612"/>
      <c r="AC845" s="612"/>
    </row>
    <row r="846" spans="1:29">
      <c r="A846" s="48" t="s">
        <v>5323</v>
      </c>
      <c r="B846" s="60">
        <v>45598</v>
      </c>
      <c r="C846" s="54" t="s">
        <v>168</v>
      </c>
      <c r="D846" s="435" t="str">
        <f>IFERROR(VLOOKUP(C846,Mychart!$A$125:$B$811,2,FALSE),"-")</f>
        <v>UTS Carrier</v>
      </c>
      <c r="E846" s="295" t="s">
        <v>832</v>
      </c>
      <c r="F846" s="58">
        <v>3</v>
      </c>
      <c r="G846" s="58"/>
      <c r="H846" s="58">
        <v>141690</v>
      </c>
      <c r="I846" s="58">
        <v>7084.5</v>
      </c>
      <c r="J846" s="56" t="s">
        <v>4809</v>
      </c>
      <c r="K846" s="56" t="s">
        <v>5324</v>
      </c>
      <c r="L846" s="292">
        <v>260</v>
      </c>
      <c r="M846" s="292"/>
      <c r="N846" s="358"/>
      <c r="O846" s="292"/>
      <c r="P846" s="292"/>
      <c r="Q846" s="614"/>
      <c r="R846" s="913">
        <f t="shared" si="60"/>
        <v>0</v>
      </c>
      <c r="S846" s="913">
        <f t="shared" si="61"/>
        <v>0</v>
      </c>
      <c r="T846" s="913">
        <f t="shared" si="62"/>
        <v>0</v>
      </c>
      <c r="U846" s="914">
        <f t="shared" si="63"/>
        <v>3</v>
      </c>
      <c r="V846" s="612"/>
      <c r="W846" s="612"/>
      <c r="X846" s="612"/>
      <c r="Y846" s="612"/>
      <c r="Z846" s="612"/>
      <c r="AA846" s="612"/>
      <c r="AB846" s="612"/>
      <c r="AC846" s="612"/>
    </row>
    <row r="847" spans="1:29">
      <c r="A847" s="48" t="s">
        <v>5323</v>
      </c>
      <c r="B847" s="60">
        <v>45598</v>
      </c>
      <c r="C847" s="54" t="s">
        <v>168</v>
      </c>
      <c r="D847" s="435" t="str">
        <f>IFERROR(VLOOKUP(C847,Mychart!$A$125:$B$811,2,FALSE),"-")</f>
        <v>UTS Carrier</v>
      </c>
      <c r="E847" s="295" t="s">
        <v>833</v>
      </c>
      <c r="F847" s="58">
        <v>3</v>
      </c>
      <c r="G847" s="58"/>
      <c r="H847" s="58">
        <v>141690</v>
      </c>
      <c r="I847" s="58">
        <v>7084.5</v>
      </c>
      <c r="J847" s="56" t="s">
        <v>4809</v>
      </c>
      <c r="K847" s="56" t="s">
        <v>5324</v>
      </c>
      <c r="L847" s="292">
        <v>260</v>
      </c>
      <c r="M847" s="292"/>
      <c r="N847" s="358"/>
      <c r="O847" s="292"/>
      <c r="P847" s="292"/>
      <c r="Q847" s="614"/>
      <c r="R847" s="913">
        <f t="shared" si="60"/>
        <v>0</v>
      </c>
      <c r="S847" s="913">
        <f t="shared" si="61"/>
        <v>0</v>
      </c>
      <c r="T847" s="913">
        <f t="shared" si="62"/>
        <v>0</v>
      </c>
      <c r="U847" s="914">
        <f t="shared" si="63"/>
        <v>3</v>
      </c>
      <c r="V847" s="612"/>
      <c r="W847" s="612"/>
      <c r="X847" s="612"/>
      <c r="Y847" s="612"/>
      <c r="Z847" s="612"/>
      <c r="AA847" s="612"/>
      <c r="AB847" s="612"/>
      <c r="AC847" s="612"/>
    </row>
    <row r="848" spans="1:29">
      <c r="A848" s="48" t="s">
        <v>5323</v>
      </c>
      <c r="B848" s="60">
        <v>45598</v>
      </c>
      <c r="C848" s="54" t="s">
        <v>168</v>
      </c>
      <c r="D848" s="435" t="str">
        <f>IFERROR(VLOOKUP(C848,Mychart!$A$125:$B$811,2,FALSE),"-")</f>
        <v>UTS Carrier</v>
      </c>
      <c r="E848" s="295" t="s">
        <v>1081</v>
      </c>
      <c r="F848" s="58">
        <v>1</v>
      </c>
      <c r="G848" s="58"/>
      <c r="H848" s="58">
        <v>141690</v>
      </c>
      <c r="I848" s="58">
        <v>7084.5</v>
      </c>
      <c r="J848" s="56" t="s">
        <v>4809</v>
      </c>
      <c r="K848" s="56" t="s">
        <v>5324</v>
      </c>
      <c r="L848" s="292">
        <v>260</v>
      </c>
      <c r="M848" s="292"/>
      <c r="N848" s="358"/>
      <c r="O848" s="292"/>
      <c r="P848" s="292"/>
      <c r="Q848" s="614"/>
      <c r="R848" s="913">
        <f t="shared" si="60"/>
        <v>0</v>
      </c>
      <c r="S848" s="913">
        <f t="shared" si="61"/>
        <v>0</v>
      </c>
      <c r="T848" s="913">
        <f t="shared" si="62"/>
        <v>0</v>
      </c>
      <c r="U848" s="914">
        <f t="shared" si="63"/>
        <v>1</v>
      </c>
      <c r="V848" s="612"/>
      <c r="W848" s="612"/>
      <c r="X848" s="612"/>
      <c r="Y848" s="612"/>
      <c r="Z848" s="612"/>
      <c r="AA848" s="612"/>
      <c r="AB848" s="612"/>
      <c r="AC848" s="612"/>
    </row>
    <row r="849" spans="1:29">
      <c r="A849" s="48" t="s">
        <v>5323</v>
      </c>
      <c r="B849" s="60">
        <v>45598</v>
      </c>
      <c r="C849" s="54" t="s">
        <v>168</v>
      </c>
      <c r="D849" s="435" t="str">
        <f>IFERROR(VLOOKUP(C849,Mychart!$A$125:$B$811,2,FALSE),"-")</f>
        <v>UTS Carrier</v>
      </c>
      <c r="E849" s="295" t="s">
        <v>1082</v>
      </c>
      <c r="F849" s="58">
        <v>1</v>
      </c>
      <c r="G849" s="58"/>
      <c r="H849" s="58">
        <v>141690</v>
      </c>
      <c r="I849" s="58">
        <v>7084.5</v>
      </c>
      <c r="J849" s="56" t="s">
        <v>4809</v>
      </c>
      <c r="K849" s="56" t="s">
        <v>5324</v>
      </c>
      <c r="L849" s="292">
        <v>260</v>
      </c>
      <c r="M849" s="292"/>
      <c r="N849" s="358"/>
      <c r="O849" s="292"/>
      <c r="P849" s="292"/>
      <c r="Q849" s="614"/>
      <c r="R849" s="913">
        <f t="shared" si="60"/>
        <v>0</v>
      </c>
      <c r="S849" s="913">
        <f t="shared" si="61"/>
        <v>0</v>
      </c>
      <c r="T849" s="913">
        <f t="shared" si="62"/>
        <v>0</v>
      </c>
      <c r="U849" s="914">
        <f t="shared" si="63"/>
        <v>1</v>
      </c>
      <c r="V849" s="612"/>
      <c r="W849" s="612"/>
      <c r="X849" s="612"/>
      <c r="Y849" s="612"/>
      <c r="Z849" s="612"/>
      <c r="AA849" s="612"/>
      <c r="AB849" s="612"/>
      <c r="AC849" s="612"/>
    </row>
    <row r="850" spans="1:29">
      <c r="A850" s="48" t="s">
        <v>5323</v>
      </c>
      <c r="B850" s="60">
        <v>45598</v>
      </c>
      <c r="C850" s="54" t="s">
        <v>168</v>
      </c>
      <c r="D850" s="435" t="str">
        <f>IFERROR(VLOOKUP(C850,Mychart!$A$125:$B$811,2,FALSE),"-")</f>
        <v>UTS Carrier</v>
      </c>
      <c r="E850" s="295" t="s">
        <v>834</v>
      </c>
      <c r="F850" s="58">
        <v>1</v>
      </c>
      <c r="G850" s="58"/>
      <c r="H850" s="58">
        <v>141690</v>
      </c>
      <c r="I850" s="58">
        <v>7084.5</v>
      </c>
      <c r="J850" s="56" t="s">
        <v>4809</v>
      </c>
      <c r="K850" s="56" t="s">
        <v>5324</v>
      </c>
      <c r="L850" s="292">
        <v>260</v>
      </c>
      <c r="M850" s="292"/>
      <c r="N850" s="358"/>
      <c r="O850" s="292"/>
      <c r="P850" s="292"/>
      <c r="Q850" s="614"/>
      <c r="R850" s="913">
        <f t="shared" si="60"/>
        <v>0</v>
      </c>
      <c r="S850" s="913">
        <f t="shared" si="61"/>
        <v>0</v>
      </c>
      <c r="T850" s="913">
        <f t="shared" si="62"/>
        <v>0</v>
      </c>
      <c r="U850" s="914">
        <f t="shared" si="63"/>
        <v>1</v>
      </c>
      <c r="V850" s="612"/>
      <c r="W850" s="612"/>
      <c r="X850" s="612"/>
      <c r="Y850" s="612"/>
      <c r="Z850" s="612"/>
      <c r="AA850" s="612"/>
      <c r="AB850" s="612"/>
      <c r="AC850" s="612"/>
    </row>
    <row r="851" spans="1:29">
      <c r="A851" s="48" t="s">
        <v>5323</v>
      </c>
      <c r="B851" s="60">
        <v>45598</v>
      </c>
      <c r="C851" s="54" t="s">
        <v>168</v>
      </c>
      <c r="D851" s="435" t="str">
        <f>IFERROR(VLOOKUP(C851,Mychart!$A$125:$B$811,2,FALSE),"-")</f>
        <v>UTS Carrier</v>
      </c>
      <c r="E851" s="295" t="s">
        <v>835</v>
      </c>
      <c r="F851" s="58">
        <v>1</v>
      </c>
      <c r="G851" s="58"/>
      <c r="H851" s="58">
        <v>141690</v>
      </c>
      <c r="I851" s="58">
        <v>7084.5</v>
      </c>
      <c r="J851" s="56" t="s">
        <v>4809</v>
      </c>
      <c r="K851" s="56" t="s">
        <v>5324</v>
      </c>
      <c r="L851" s="292">
        <v>260</v>
      </c>
      <c r="M851" s="292"/>
      <c r="N851" s="358"/>
      <c r="O851" s="292"/>
      <c r="P851" s="292"/>
      <c r="Q851" s="614"/>
      <c r="R851" s="913">
        <f t="shared" si="60"/>
        <v>0</v>
      </c>
      <c r="S851" s="913">
        <f t="shared" si="61"/>
        <v>0</v>
      </c>
      <c r="T851" s="913">
        <f t="shared" si="62"/>
        <v>0</v>
      </c>
      <c r="U851" s="914">
        <f t="shared" si="63"/>
        <v>1</v>
      </c>
      <c r="V851" s="612"/>
      <c r="W851" s="612"/>
      <c r="X851" s="612"/>
      <c r="Y851" s="612"/>
      <c r="Z851" s="612"/>
      <c r="AA851" s="612"/>
      <c r="AB851" s="612"/>
      <c r="AC851" s="612"/>
    </row>
    <row r="852" spans="1:29">
      <c r="A852" s="48" t="s">
        <v>5323</v>
      </c>
      <c r="B852" s="60">
        <v>45598</v>
      </c>
      <c r="C852" s="54" t="s">
        <v>168</v>
      </c>
      <c r="D852" s="435" t="str">
        <f>IFERROR(VLOOKUP(C852,Mychart!$A$125:$B$811,2,FALSE),"-")</f>
        <v>UTS Carrier</v>
      </c>
      <c r="E852" s="295" t="s">
        <v>5325</v>
      </c>
      <c r="F852" s="58">
        <v>1</v>
      </c>
      <c r="G852" s="58"/>
      <c r="H852" s="58">
        <v>141690</v>
      </c>
      <c r="I852" s="58">
        <v>7084.5</v>
      </c>
      <c r="J852" s="56" t="s">
        <v>4809</v>
      </c>
      <c r="K852" s="56" t="s">
        <v>5324</v>
      </c>
      <c r="L852" s="292">
        <v>260</v>
      </c>
      <c r="M852" s="292"/>
      <c r="N852" s="358"/>
      <c r="O852" s="292"/>
      <c r="P852" s="292"/>
      <c r="Q852" s="614"/>
      <c r="R852" s="913">
        <f t="shared" si="60"/>
        <v>0</v>
      </c>
      <c r="S852" s="913">
        <f t="shared" si="61"/>
        <v>0</v>
      </c>
      <c r="T852" s="913">
        <f t="shared" si="62"/>
        <v>0</v>
      </c>
      <c r="U852" s="914">
        <f t="shared" si="63"/>
        <v>1</v>
      </c>
      <c r="V852" s="612"/>
      <c r="W852" s="612"/>
      <c r="X852" s="612"/>
      <c r="Y852" s="612"/>
      <c r="Z852" s="612"/>
      <c r="AA852" s="612"/>
      <c r="AB852" s="612"/>
      <c r="AC852" s="612"/>
    </row>
    <row r="853" spans="1:29">
      <c r="A853" s="48" t="s">
        <v>5323</v>
      </c>
      <c r="B853" s="60">
        <v>45598</v>
      </c>
      <c r="C853" s="54" t="s">
        <v>168</v>
      </c>
      <c r="D853" s="435" t="str">
        <f>IFERROR(VLOOKUP(C853,Mychart!$A$125:$B$811,2,FALSE),"-")</f>
        <v>UTS Carrier</v>
      </c>
      <c r="E853" s="295" t="s">
        <v>1300</v>
      </c>
      <c r="F853" s="58">
        <v>13</v>
      </c>
      <c r="G853" s="58"/>
      <c r="H853" s="58">
        <v>141690</v>
      </c>
      <c r="I853" s="58">
        <v>7084.5</v>
      </c>
      <c r="J853" s="56" t="s">
        <v>4809</v>
      </c>
      <c r="K853" s="56" t="s">
        <v>5324</v>
      </c>
      <c r="L853" s="292">
        <v>260</v>
      </c>
      <c r="M853" s="292"/>
      <c r="N853" s="358"/>
      <c r="O853" s="292"/>
      <c r="P853" s="292"/>
      <c r="Q853" s="614"/>
      <c r="R853" s="913">
        <f t="shared" si="60"/>
        <v>0</v>
      </c>
      <c r="S853" s="913">
        <f t="shared" si="61"/>
        <v>0</v>
      </c>
      <c r="T853" s="913">
        <f t="shared" si="62"/>
        <v>0</v>
      </c>
      <c r="U853" s="914">
        <f t="shared" si="63"/>
        <v>13</v>
      </c>
      <c r="V853" s="612"/>
      <c r="W853" s="612"/>
      <c r="X853" s="612"/>
      <c r="Y853" s="612"/>
      <c r="Z853" s="612"/>
      <c r="AA853" s="612"/>
      <c r="AB853" s="612"/>
      <c r="AC853" s="612"/>
    </row>
    <row r="854" spans="1:29">
      <c r="A854" s="48" t="s">
        <v>5323</v>
      </c>
      <c r="B854" s="60">
        <v>45598</v>
      </c>
      <c r="C854" s="54" t="s">
        <v>168</v>
      </c>
      <c r="D854" s="435" t="str">
        <f>IFERROR(VLOOKUP(C854,Mychart!$A$125:$B$811,2,FALSE),"-")</f>
        <v>UTS Carrier</v>
      </c>
      <c r="E854" s="295" t="s">
        <v>5322</v>
      </c>
      <c r="F854" s="58">
        <v>1</v>
      </c>
      <c r="G854" s="58"/>
      <c r="H854" s="58">
        <v>141690</v>
      </c>
      <c r="I854" s="58">
        <v>7084.5</v>
      </c>
      <c r="J854" s="56" t="s">
        <v>4809</v>
      </c>
      <c r="K854" s="56" t="s">
        <v>5324</v>
      </c>
      <c r="L854" s="292">
        <v>260</v>
      </c>
      <c r="M854" s="292"/>
      <c r="N854" s="358"/>
      <c r="O854" s="292"/>
      <c r="P854" s="292"/>
      <c r="Q854" s="614"/>
      <c r="R854" s="913">
        <f t="shared" si="60"/>
        <v>0</v>
      </c>
      <c r="S854" s="913">
        <f t="shared" si="61"/>
        <v>0</v>
      </c>
      <c r="T854" s="913">
        <f t="shared" si="62"/>
        <v>0</v>
      </c>
      <c r="U854" s="914">
        <f t="shared" si="63"/>
        <v>1</v>
      </c>
      <c r="V854" s="612"/>
      <c r="W854" s="612"/>
      <c r="X854" s="612"/>
      <c r="Y854" s="612"/>
      <c r="Z854" s="612"/>
      <c r="AA854" s="612"/>
      <c r="AB854" s="612"/>
      <c r="AC854" s="612"/>
    </row>
    <row r="855" spans="1:29">
      <c r="A855" s="48" t="s">
        <v>5323</v>
      </c>
      <c r="B855" s="60">
        <v>45598</v>
      </c>
      <c r="C855" s="54" t="s">
        <v>168</v>
      </c>
      <c r="D855" s="435" t="str">
        <f>IFERROR(VLOOKUP(C855,Mychart!$A$125:$B$811,2,FALSE),"-")</f>
        <v>UTS Carrier</v>
      </c>
      <c r="E855" s="295" t="s">
        <v>5317</v>
      </c>
      <c r="F855" s="58">
        <v>1</v>
      </c>
      <c r="G855" s="58">
        <v>141690</v>
      </c>
      <c r="H855" s="58">
        <v>141690</v>
      </c>
      <c r="I855" s="58">
        <v>7084.5</v>
      </c>
      <c r="J855" s="56" t="s">
        <v>5344</v>
      </c>
      <c r="K855" s="56" t="s">
        <v>5324</v>
      </c>
      <c r="L855" s="292">
        <v>260</v>
      </c>
      <c r="M855" s="292"/>
      <c r="N855" s="358"/>
      <c r="O855" s="292"/>
      <c r="P855" s="292"/>
      <c r="Q855" s="614">
        <v>148774.5</v>
      </c>
      <c r="R855" s="913">
        <f t="shared" si="60"/>
        <v>0</v>
      </c>
      <c r="S855" s="913">
        <f t="shared" si="61"/>
        <v>148774.5</v>
      </c>
      <c r="T855" s="913">
        <f t="shared" si="62"/>
        <v>148774.5</v>
      </c>
      <c r="U855" s="914">
        <f t="shared" si="63"/>
        <v>1</v>
      </c>
      <c r="V855" s="612"/>
      <c r="W855" s="612"/>
      <c r="X855" s="612"/>
      <c r="Y855" s="612"/>
      <c r="Z855" s="612"/>
      <c r="AA855" s="612"/>
      <c r="AB855" s="612"/>
      <c r="AC855" s="612"/>
    </row>
    <row r="856" spans="1:29">
      <c r="A856" s="48" t="s">
        <v>5326</v>
      </c>
      <c r="B856" s="60">
        <v>45598</v>
      </c>
      <c r="C856" s="54" t="s">
        <v>168</v>
      </c>
      <c r="D856" s="435" t="str">
        <f>IFERROR(VLOOKUP(C856,Mychart!$A$125:$B$811,2,FALSE),"-")</f>
        <v>UTS Carrier</v>
      </c>
      <c r="E856" s="295" t="s">
        <v>825</v>
      </c>
      <c r="F856" s="58">
        <v>1</v>
      </c>
      <c r="G856" s="58"/>
      <c r="H856" s="58">
        <v>128105</v>
      </c>
      <c r="I856" s="58">
        <v>6405.25</v>
      </c>
      <c r="J856" s="56" t="s">
        <v>4809</v>
      </c>
      <c r="K856" s="56" t="s">
        <v>5327</v>
      </c>
      <c r="L856" s="292">
        <v>265</v>
      </c>
      <c r="M856" s="292"/>
      <c r="N856" s="358"/>
      <c r="O856" s="292"/>
      <c r="P856" s="292"/>
      <c r="Q856" s="614"/>
      <c r="R856" s="913">
        <f t="shared" si="60"/>
        <v>0</v>
      </c>
      <c r="S856" s="913">
        <f t="shared" si="61"/>
        <v>0</v>
      </c>
      <c r="T856" s="913">
        <f t="shared" si="62"/>
        <v>0</v>
      </c>
      <c r="U856" s="914">
        <f t="shared" si="63"/>
        <v>1</v>
      </c>
      <c r="V856" s="612"/>
      <c r="W856" s="612"/>
      <c r="X856" s="612"/>
      <c r="Y856" s="612"/>
      <c r="Z856" s="612"/>
      <c r="AA856" s="612"/>
      <c r="AB856" s="612"/>
      <c r="AC856" s="612"/>
    </row>
    <row r="857" spans="1:29">
      <c r="A857" s="48" t="s">
        <v>5326</v>
      </c>
      <c r="B857" s="60">
        <v>45598</v>
      </c>
      <c r="C857" s="54" t="s">
        <v>168</v>
      </c>
      <c r="D857" s="435" t="str">
        <f>IFERROR(VLOOKUP(C857,Mychart!$A$125:$B$811,2,FALSE),"-")</f>
        <v>UTS Carrier</v>
      </c>
      <c r="E857" s="295" t="s">
        <v>826</v>
      </c>
      <c r="F857" s="58">
        <v>1</v>
      </c>
      <c r="G857" s="58"/>
      <c r="H857" s="58">
        <v>128105</v>
      </c>
      <c r="I857" s="58">
        <v>6405.25</v>
      </c>
      <c r="J857" s="56" t="s">
        <v>4809</v>
      </c>
      <c r="K857" s="56" t="s">
        <v>5327</v>
      </c>
      <c r="L857" s="292">
        <v>265</v>
      </c>
      <c r="M857" s="292"/>
      <c r="N857" s="358"/>
      <c r="O857" s="292"/>
      <c r="P857" s="292"/>
      <c r="Q857" s="614"/>
      <c r="R857" s="913">
        <f t="shared" si="60"/>
        <v>0</v>
      </c>
      <c r="S857" s="913">
        <f t="shared" si="61"/>
        <v>0</v>
      </c>
      <c r="T857" s="913">
        <f t="shared" si="62"/>
        <v>0</v>
      </c>
      <c r="U857" s="914">
        <f t="shared" si="63"/>
        <v>1</v>
      </c>
      <c r="V857" s="612"/>
      <c r="W857" s="612"/>
      <c r="X857" s="612"/>
      <c r="Y857" s="612"/>
      <c r="Z857" s="612"/>
      <c r="AA857" s="612"/>
      <c r="AB857" s="612"/>
      <c r="AC857" s="612"/>
    </row>
    <row r="858" spans="1:29">
      <c r="A858" s="48" t="s">
        <v>5326</v>
      </c>
      <c r="B858" s="60">
        <v>45598</v>
      </c>
      <c r="C858" s="54" t="s">
        <v>168</v>
      </c>
      <c r="D858" s="435" t="str">
        <f>IFERROR(VLOOKUP(C858,Mychart!$A$125:$B$811,2,FALSE),"-")</f>
        <v>UTS Carrier</v>
      </c>
      <c r="E858" s="295" t="s">
        <v>827</v>
      </c>
      <c r="F858" s="58">
        <v>1</v>
      </c>
      <c r="G858" s="58"/>
      <c r="H858" s="58">
        <v>128105</v>
      </c>
      <c r="I858" s="58">
        <v>6405.25</v>
      </c>
      <c r="J858" s="56" t="s">
        <v>4809</v>
      </c>
      <c r="K858" s="56" t="s">
        <v>5327</v>
      </c>
      <c r="L858" s="292">
        <v>265</v>
      </c>
      <c r="M858" s="292"/>
      <c r="N858" s="358"/>
      <c r="O858" s="292"/>
      <c r="P858" s="292"/>
      <c r="Q858" s="614"/>
      <c r="R858" s="913">
        <f t="shared" si="60"/>
        <v>0</v>
      </c>
      <c r="S858" s="913">
        <f t="shared" si="61"/>
        <v>0</v>
      </c>
      <c r="T858" s="913">
        <f t="shared" si="62"/>
        <v>0</v>
      </c>
      <c r="U858" s="914">
        <f t="shared" si="63"/>
        <v>1</v>
      </c>
      <c r="V858" s="612"/>
      <c r="W858" s="612"/>
      <c r="X858" s="612"/>
      <c r="Y858" s="612"/>
      <c r="Z858" s="612"/>
      <c r="AA858" s="612"/>
      <c r="AB858" s="612"/>
      <c r="AC858" s="612"/>
    </row>
    <row r="859" spans="1:29">
      <c r="A859" s="48" t="s">
        <v>5326</v>
      </c>
      <c r="B859" s="60">
        <v>45598</v>
      </c>
      <c r="C859" s="54" t="s">
        <v>168</v>
      </c>
      <c r="D859" s="435" t="str">
        <f>IFERROR(VLOOKUP(C859,Mychart!$A$125:$B$811,2,FALSE),"-")</f>
        <v>UTS Carrier</v>
      </c>
      <c r="E859" s="295" t="s">
        <v>828</v>
      </c>
      <c r="F859" s="58">
        <v>1</v>
      </c>
      <c r="G859" s="58"/>
      <c r="H859" s="58">
        <v>128105</v>
      </c>
      <c r="I859" s="58">
        <v>6405.25</v>
      </c>
      <c r="J859" s="56" t="s">
        <v>4809</v>
      </c>
      <c r="K859" s="56" t="s">
        <v>5327</v>
      </c>
      <c r="L859" s="292">
        <v>265</v>
      </c>
      <c r="M859" s="292"/>
      <c r="N859" s="358"/>
      <c r="O859" s="292"/>
      <c r="P859" s="292"/>
      <c r="Q859" s="614"/>
      <c r="R859" s="913">
        <f t="shared" si="60"/>
        <v>0</v>
      </c>
      <c r="S859" s="913">
        <f t="shared" si="61"/>
        <v>0</v>
      </c>
      <c r="T859" s="913">
        <f t="shared" si="62"/>
        <v>0</v>
      </c>
      <c r="U859" s="914">
        <f t="shared" si="63"/>
        <v>1</v>
      </c>
      <c r="V859" s="612"/>
      <c r="W859" s="612"/>
      <c r="X859" s="612"/>
      <c r="Y859" s="612"/>
      <c r="Z859" s="612"/>
      <c r="AA859" s="612"/>
      <c r="AB859" s="612"/>
      <c r="AC859" s="612"/>
    </row>
    <row r="860" spans="1:29">
      <c r="A860" s="48" t="s">
        <v>5326</v>
      </c>
      <c r="B860" s="60">
        <v>45598</v>
      </c>
      <c r="C860" s="54" t="s">
        <v>168</v>
      </c>
      <c r="D860" s="435" t="str">
        <f>IFERROR(VLOOKUP(C860,Mychart!$A$125:$B$811,2,FALSE),"-")</f>
        <v>UTS Carrier</v>
      </c>
      <c r="E860" s="295" t="s">
        <v>238</v>
      </c>
      <c r="F860" s="58">
        <v>2</v>
      </c>
      <c r="G860" s="58"/>
      <c r="H860" s="58">
        <v>128105</v>
      </c>
      <c r="I860" s="58">
        <v>6405.25</v>
      </c>
      <c r="J860" s="56" t="s">
        <v>4809</v>
      </c>
      <c r="K860" s="56" t="s">
        <v>5327</v>
      </c>
      <c r="L860" s="292">
        <v>265</v>
      </c>
      <c r="M860" s="292"/>
      <c r="N860" s="358"/>
      <c r="O860" s="292"/>
      <c r="P860" s="292"/>
      <c r="Q860" s="614"/>
      <c r="R860" s="913">
        <f t="shared" si="60"/>
        <v>0</v>
      </c>
      <c r="S860" s="913">
        <f t="shared" si="61"/>
        <v>0</v>
      </c>
      <c r="T860" s="913">
        <f t="shared" si="62"/>
        <v>0</v>
      </c>
      <c r="U860" s="914">
        <f t="shared" si="63"/>
        <v>2</v>
      </c>
      <c r="V860" s="612"/>
      <c r="W860" s="612"/>
      <c r="X860" s="612"/>
      <c r="Y860" s="612"/>
      <c r="Z860" s="612"/>
      <c r="AA860" s="612"/>
      <c r="AB860" s="612"/>
      <c r="AC860" s="612"/>
    </row>
    <row r="861" spans="1:29">
      <c r="A861" s="48" t="s">
        <v>5326</v>
      </c>
      <c r="B861" s="60">
        <v>45598</v>
      </c>
      <c r="C861" s="54" t="s">
        <v>168</v>
      </c>
      <c r="D861" s="435" t="str">
        <f>IFERROR(VLOOKUP(C861,Mychart!$A$125:$B$811,2,FALSE),"-")</f>
        <v>UTS Carrier</v>
      </c>
      <c r="E861" s="295" t="s">
        <v>239</v>
      </c>
      <c r="F861" s="58">
        <v>2</v>
      </c>
      <c r="G861" s="58"/>
      <c r="H861" s="58">
        <v>128105</v>
      </c>
      <c r="I861" s="58">
        <v>6405.25</v>
      </c>
      <c r="J861" s="56" t="s">
        <v>4809</v>
      </c>
      <c r="K861" s="56" t="s">
        <v>5327</v>
      </c>
      <c r="L861" s="292">
        <v>265</v>
      </c>
      <c r="M861" s="292"/>
      <c r="N861" s="358"/>
      <c r="O861" s="292"/>
      <c r="P861" s="292"/>
      <c r="Q861" s="614"/>
      <c r="R861" s="913">
        <f t="shared" si="60"/>
        <v>0</v>
      </c>
      <c r="S861" s="913">
        <f t="shared" si="61"/>
        <v>0</v>
      </c>
      <c r="T861" s="913">
        <f t="shared" si="62"/>
        <v>0</v>
      </c>
      <c r="U861" s="914">
        <f t="shared" si="63"/>
        <v>2</v>
      </c>
      <c r="V861" s="612"/>
      <c r="W861" s="612"/>
      <c r="X861" s="612"/>
      <c r="Y861" s="612"/>
      <c r="Z861" s="612"/>
      <c r="AA861" s="612"/>
      <c r="AB861" s="612"/>
      <c r="AC861" s="612"/>
    </row>
    <row r="862" spans="1:29">
      <c r="A862" s="48" t="s">
        <v>5326</v>
      </c>
      <c r="B862" s="60">
        <v>45598</v>
      </c>
      <c r="C862" s="54" t="s">
        <v>168</v>
      </c>
      <c r="D862" s="435" t="str">
        <f>IFERROR(VLOOKUP(C862,Mychart!$A$125:$B$811,2,FALSE),"-")</f>
        <v>UTS Carrier</v>
      </c>
      <c r="E862" s="295" t="s">
        <v>234</v>
      </c>
      <c r="F862" s="58">
        <v>4</v>
      </c>
      <c r="G862" s="58"/>
      <c r="H862" s="58">
        <v>128105</v>
      </c>
      <c r="I862" s="58">
        <v>6405.25</v>
      </c>
      <c r="J862" s="56" t="s">
        <v>4809</v>
      </c>
      <c r="K862" s="56" t="s">
        <v>5327</v>
      </c>
      <c r="L862" s="292">
        <v>265</v>
      </c>
      <c r="M862" s="292"/>
      <c r="N862" s="358"/>
      <c r="O862" s="292"/>
      <c r="P862" s="292"/>
      <c r="Q862" s="614"/>
      <c r="R862" s="913">
        <f t="shared" si="60"/>
        <v>0</v>
      </c>
      <c r="S862" s="913">
        <f t="shared" si="61"/>
        <v>0</v>
      </c>
      <c r="T862" s="913">
        <f t="shared" si="62"/>
        <v>0</v>
      </c>
      <c r="U862" s="914">
        <f t="shared" si="63"/>
        <v>4</v>
      </c>
      <c r="V862" s="612"/>
      <c r="W862" s="612"/>
      <c r="X862" s="612"/>
      <c r="Y862" s="612"/>
      <c r="Z862" s="612"/>
      <c r="AA862" s="612"/>
      <c r="AB862" s="612"/>
      <c r="AC862" s="612"/>
    </row>
    <row r="863" spans="1:29">
      <c r="A863" s="48" t="s">
        <v>5326</v>
      </c>
      <c r="B863" s="60">
        <v>45598</v>
      </c>
      <c r="C863" s="54" t="s">
        <v>168</v>
      </c>
      <c r="D863" s="435" t="str">
        <f>IFERROR(VLOOKUP(C863,Mychart!$A$125:$B$811,2,FALSE),"-")</f>
        <v>UTS Carrier</v>
      </c>
      <c r="E863" s="295" t="s">
        <v>235</v>
      </c>
      <c r="F863" s="58">
        <v>4</v>
      </c>
      <c r="G863" s="58"/>
      <c r="H863" s="58">
        <v>128105</v>
      </c>
      <c r="I863" s="58">
        <v>6405.25</v>
      </c>
      <c r="J863" s="56" t="s">
        <v>4809</v>
      </c>
      <c r="K863" s="56" t="s">
        <v>5327</v>
      </c>
      <c r="L863" s="292">
        <v>265</v>
      </c>
      <c r="M863" s="292"/>
      <c r="N863" s="358"/>
      <c r="O863" s="292"/>
      <c r="P863" s="292"/>
      <c r="Q863" s="614"/>
      <c r="R863" s="913">
        <f t="shared" si="60"/>
        <v>0</v>
      </c>
      <c r="S863" s="913">
        <f t="shared" si="61"/>
        <v>0</v>
      </c>
      <c r="T863" s="913">
        <f t="shared" si="62"/>
        <v>0</v>
      </c>
      <c r="U863" s="914">
        <f t="shared" si="63"/>
        <v>4</v>
      </c>
      <c r="V863" s="612"/>
      <c r="W863" s="612"/>
      <c r="X863" s="612"/>
      <c r="Y863" s="612"/>
      <c r="Z863" s="612"/>
      <c r="AA863" s="612"/>
      <c r="AB863" s="612"/>
      <c r="AC863" s="612"/>
    </row>
    <row r="864" spans="1:29">
      <c r="A864" s="48" t="s">
        <v>5326</v>
      </c>
      <c r="B864" s="60">
        <v>45598</v>
      </c>
      <c r="C864" s="54" t="s">
        <v>168</v>
      </c>
      <c r="D864" s="435" t="str">
        <f>IFERROR(VLOOKUP(C864,Mychart!$A$125:$B$811,2,FALSE),"-")</f>
        <v>UTS Carrier</v>
      </c>
      <c r="E864" s="295" t="s">
        <v>232</v>
      </c>
      <c r="F864" s="58">
        <v>8</v>
      </c>
      <c r="G864" s="58"/>
      <c r="H864" s="58">
        <v>128105</v>
      </c>
      <c r="I864" s="58">
        <v>6405.25</v>
      </c>
      <c r="J864" s="56" t="s">
        <v>4809</v>
      </c>
      <c r="K864" s="56" t="s">
        <v>5327</v>
      </c>
      <c r="L864" s="292">
        <v>265</v>
      </c>
      <c r="M864" s="292"/>
      <c r="N864" s="358"/>
      <c r="O864" s="292"/>
      <c r="P864" s="292"/>
      <c r="Q864" s="614"/>
      <c r="R864" s="913">
        <f t="shared" si="60"/>
        <v>0</v>
      </c>
      <c r="S864" s="913">
        <f t="shared" si="61"/>
        <v>0</v>
      </c>
      <c r="T864" s="913">
        <f t="shared" si="62"/>
        <v>0</v>
      </c>
      <c r="U864" s="914">
        <f t="shared" si="63"/>
        <v>8</v>
      </c>
      <c r="V864" s="612"/>
      <c r="W864" s="612"/>
      <c r="X864" s="612"/>
      <c r="Y864" s="612"/>
      <c r="Z864" s="612"/>
      <c r="AA864" s="612"/>
      <c r="AB864" s="612"/>
      <c r="AC864" s="612"/>
    </row>
    <row r="865" spans="1:29">
      <c r="A865" s="48" t="s">
        <v>5326</v>
      </c>
      <c r="B865" s="60">
        <v>45598</v>
      </c>
      <c r="C865" s="54" t="s">
        <v>168</v>
      </c>
      <c r="D865" s="435" t="str">
        <f>IFERROR(VLOOKUP(C865,Mychart!$A$125:$B$811,2,FALSE),"-")</f>
        <v>UTS Carrier</v>
      </c>
      <c r="E865" s="295" t="s">
        <v>233</v>
      </c>
      <c r="F865" s="58">
        <v>8</v>
      </c>
      <c r="G865" s="58"/>
      <c r="H865" s="58">
        <v>128105</v>
      </c>
      <c r="I865" s="58">
        <v>6405.25</v>
      </c>
      <c r="J865" s="56" t="s">
        <v>4809</v>
      </c>
      <c r="K865" s="56" t="s">
        <v>5327</v>
      </c>
      <c r="L865" s="292">
        <v>265</v>
      </c>
      <c r="M865" s="292"/>
      <c r="N865" s="358"/>
      <c r="O865" s="292"/>
      <c r="P865" s="292"/>
      <c r="Q865" s="614"/>
      <c r="R865" s="913">
        <f t="shared" si="60"/>
        <v>0</v>
      </c>
      <c r="S865" s="913">
        <f t="shared" si="61"/>
        <v>0</v>
      </c>
      <c r="T865" s="913">
        <f t="shared" si="62"/>
        <v>0</v>
      </c>
      <c r="U865" s="914">
        <f t="shared" si="63"/>
        <v>8</v>
      </c>
      <c r="V865" s="612"/>
      <c r="W865" s="612"/>
      <c r="X865" s="612"/>
      <c r="Y865" s="612"/>
      <c r="Z865" s="612"/>
      <c r="AA865" s="612"/>
      <c r="AB865" s="612"/>
      <c r="AC865" s="612"/>
    </row>
    <row r="866" spans="1:29">
      <c r="A866" s="48" t="s">
        <v>5326</v>
      </c>
      <c r="B866" s="60">
        <v>45598</v>
      </c>
      <c r="C866" s="54" t="s">
        <v>168</v>
      </c>
      <c r="D866" s="435" t="str">
        <f>IFERROR(VLOOKUP(C866,Mychart!$A$125:$B$811,2,FALSE),"-")</f>
        <v>UTS Carrier</v>
      </c>
      <c r="E866" s="295" t="s">
        <v>832</v>
      </c>
      <c r="F866" s="58">
        <v>3</v>
      </c>
      <c r="G866" s="58"/>
      <c r="H866" s="58">
        <v>128105</v>
      </c>
      <c r="I866" s="58">
        <v>6405.25</v>
      </c>
      <c r="J866" s="56" t="s">
        <v>4809</v>
      </c>
      <c r="K866" s="56" t="s">
        <v>5327</v>
      </c>
      <c r="L866" s="292">
        <v>265</v>
      </c>
      <c r="M866" s="292"/>
      <c r="N866" s="358"/>
      <c r="O866" s="292"/>
      <c r="P866" s="292"/>
      <c r="Q866" s="614"/>
      <c r="R866" s="913">
        <f t="shared" si="60"/>
        <v>0</v>
      </c>
      <c r="S866" s="913">
        <f t="shared" si="61"/>
        <v>0</v>
      </c>
      <c r="T866" s="913">
        <f t="shared" si="62"/>
        <v>0</v>
      </c>
      <c r="U866" s="914">
        <f t="shared" si="63"/>
        <v>3</v>
      </c>
      <c r="V866" s="612"/>
      <c r="W866" s="612"/>
      <c r="X866" s="612"/>
      <c r="Y866" s="612"/>
      <c r="Z866" s="612"/>
      <c r="AA866" s="612"/>
      <c r="AB866" s="612"/>
      <c r="AC866" s="612"/>
    </row>
    <row r="867" spans="1:29">
      <c r="A867" s="48" t="s">
        <v>5326</v>
      </c>
      <c r="B867" s="60">
        <v>45598</v>
      </c>
      <c r="C867" s="54" t="s">
        <v>168</v>
      </c>
      <c r="D867" s="435" t="str">
        <f>IFERROR(VLOOKUP(C867,Mychart!$A$125:$B$811,2,FALSE),"-")</f>
        <v>UTS Carrier</v>
      </c>
      <c r="E867" s="295" t="s">
        <v>833</v>
      </c>
      <c r="F867" s="58">
        <v>3</v>
      </c>
      <c r="G867" s="58"/>
      <c r="H867" s="58">
        <v>128105</v>
      </c>
      <c r="I867" s="58">
        <v>6405.25</v>
      </c>
      <c r="J867" s="56" t="s">
        <v>4809</v>
      </c>
      <c r="K867" s="56" t="s">
        <v>5327</v>
      </c>
      <c r="L867" s="292">
        <v>265</v>
      </c>
      <c r="M867" s="292"/>
      <c r="N867" s="358"/>
      <c r="O867" s="292"/>
      <c r="P867" s="292"/>
      <c r="Q867" s="614"/>
      <c r="R867" s="913">
        <f t="shared" si="60"/>
        <v>0</v>
      </c>
      <c r="S867" s="913">
        <f t="shared" si="61"/>
        <v>0</v>
      </c>
      <c r="T867" s="913">
        <f t="shared" si="62"/>
        <v>0</v>
      </c>
      <c r="U867" s="914">
        <f t="shared" si="63"/>
        <v>3</v>
      </c>
      <c r="V867" s="612"/>
      <c r="W867" s="612"/>
      <c r="X867" s="612"/>
      <c r="Y867" s="612"/>
      <c r="Z867" s="612"/>
      <c r="AA867" s="612"/>
      <c r="AB867" s="612"/>
      <c r="AC867" s="612"/>
    </row>
    <row r="868" spans="1:29">
      <c r="A868" s="48" t="s">
        <v>5326</v>
      </c>
      <c r="B868" s="60">
        <v>45598</v>
      </c>
      <c r="C868" s="54" t="s">
        <v>168</v>
      </c>
      <c r="D868" s="435" t="str">
        <f>IFERROR(VLOOKUP(C868,Mychart!$A$125:$B$811,2,FALSE),"-")</f>
        <v>UTS Carrier</v>
      </c>
      <c r="E868" s="295" t="s">
        <v>1300</v>
      </c>
      <c r="F868" s="58">
        <v>16</v>
      </c>
      <c r="G868" s="58"/>
      <c r="H868" s="58">
        <v>128105</v>
      </c>
      <c r="I868" s="58">
        <v>6405.25</v>
      </c>
      <c r="J868" s="56" t="s">
        <v>4809</v>
      </c>
      <c r="K868" s="56" t="s">
        <v>5327</v>
      </c>
      <c r="L868" s="292">
        <v>265</v>
      </c>
      <c r="M868" s="292"/>
      <c r="N868" s="358"/>
      <c r="O868" s="292"/>
      <c r="P868" s="292"/>
      <c r="Q868" s="614"/>
      <c r="R868" s="913">
        <f t="shared" si="60"/>
        <v>0</v>
      </c>
      <c r="S868" s="913">
        <f t="shared" si="61"/>
        <v>0</v>
      </c>
      <c r="T868" s="913">
        <f t="shared" si="62"/>
        <v>0</v>
      </c>
      <c r="U868" s="914">
        <f t="shared" si="63"/>
        <v>16</v>
      </c>
      <c r="V868" s="612"/>
      <c r="W868" s="612"/>
      <c r="X868" s="612"/>
      <c r="Y868" s="612"/>
      <c r="Z868" s="612"/>
      <c r="AA868" s="612"/>
      <c r="AB868" s="612"/>
      <c r="AC868" s="612"/>
    </row>
    <row r="869" spans="1:29">
      <c r="A869" s="48" t="s">
        <v>5326</v>
      </c>
      <c r="B869" s="60">
        <v>45598</v>
      </c>
      <c r="C869" s="54" t="s">
        <v>168</v>
      </c>
      <c r="D869" s="435" t="str">
        <f>IFERROR(VLOOKUP(C869,Mychart!$A$125:$B$811,2,FALSE),"-")</f>
        <v>UTS Carrier</v>
      </c>
      <c r="E869" s="295" t="s">
        <v>5317</v>
      </c>
      <c r="F869" s="58">
        <v>1</v>
      </c>
      <c r="G869" s="58">
        <v>128105</v>
      </c>
      <c r="H869" s="58">
        <v>128105</v>
      </c>
      <c r="I869" s="58">
        <v>6405.25</v>
      </c>
      <c r="J869" s="56" t="s">
        <v>5344</v>
      </c>
      <c r="K869" s="56" t="s">
        <v>5327</v>
      </c>
      <c r="L869" s="292">
        <v>265</v>
      </c>
      <c r="M869" s="292"/>
      <c r="N869" s="358"/>
      <c r="O869" s="292"/>
      <c r="P869" s="292"/>
      <c r="Q869" s="614">
        <v>134510.25</v>
      </c>
      <c r="R869" s="913">
        <f t="shared" si="60"/>
        <v>0</v>
      </c>
      <c r="S869" s="913">
        <f t="shared" si="61"/>
        <v>134510.25</v>
      </c>
      <c r="T869" s="913">
        <f t="shared" si="62"/>
        <v>134510.25</v>
      </c>
      <c r="U869" s="914">
        <f t="shared" si="63"/>
        <v>1</v>
      </c>
      <c r="V869" s="612"/>
      <c r="W869" s="612"/>
      <c r="X869" s="612"/>
      <c r="Y869" s="612"/>
      <c r="Z869" s="612"/>
      <c r="AA869" s="612"/>
      <c r="AB869" s="612"/>
      <c r="AC869" s="612"/>
    </row>
    <row r="870" spans="1:29">
      <c r="A870" s="48" t="s">
        <v>5328</v>
      </c>
      <c r="B870" s="60">
        <v>45598</v>
      </c>
      <c r="C870" s="54" t="s">
        <v>168</v>
      </c>
      <c r="D870" s="435" t="str">
        <f>IFERROR(VLOOKUP(C870,Mychart!$A$125:$B$811,2,FALSE),"-")</f>
        <v>UTS Carrier</v>
      </c>
      <c r="E870" s="295" t="s">
        <v>236</v>
      </c>
      <c r="F870" s="58">
        <v>2</v>
      </c>
      <c r="G870" s="58"/>
      <c r="H870" s="58">
        <v>70815</v>
      </c>
      <c r="I870" s="58">
        <v>3540.75</v>
      </c>
      <c r="J870" s="56" t="s">
        <v>4809</v>
      </c>
      <c r="K870" s="56" t="s">
        <v>869</v>
      </c>
      <c r="L870" s="292">
        <v>280</v>
      </c>
      <c r="M870" s="292"/>
      <c r="N870" s="358"/>
      <c r="O870" s="292"/>
      <c r="P870" s="292"/>
      <c r="Q870" s="614"/>
      <c r="R870" s="913">
        <f t="shared" ref="R870:R933" si="64">O870-N870</f>
        <v>0</v>
      </c>
      <c r="S870" s="913">
        <f t="shared" ref="S870:S933" si="65">Q870-N870</f>
        <v>0</v>
      </c>
      <c r="T870" s="913">
        <f t="shared" ref="T870:T933" si="66">Q870-O870</f>
        <v>0</v>
      </c>
      <c r="U870" s="914">
        <f t="shared" ref="U870:U933" si="67">F870-P870</f>
        <v>2</v>
      </c>
      <c r="V870" s="612"/>
      <c r="W870" s="612"/>
      <c r="X870" s="612"/>
      <c r="Y870" s="612"/>
      <c r="Z870" s="612"/>
      <c r="AA870" s="612"/>
      <c r="AB870" s="612"/>
      <c r="AC870" s="612"/>
    </row>
    <row r="871" spans="1:29">
      <c r="A871" s="48" t="s">
        <v>5328</v>
      </c>
      <c r="B871" s="60">
        <v>45598</v>
      </c>
      <c r="C871" s="54" t="s">
        <v>168</v>
      </c>
      <c r="D871" s="435" t="str">
        <f>IFERROR(VLOOKUP(C871,Mychart!$A$125:$B$811,2,FALSE),"-")</f>
        <v>UTS Carrier</v>
      </c>
      <c r="E871" s="295" t="s">
        <v>237</v>
      </c>
      <c r="F871" s="58">
        <v>2</v>
      </c>
      <c r="G871" s="58"/>
      <c r="H871" s="58">
        <v>70815</v>
      </c>
      <c r="I871" s="58">
        <v>3540.75</v>
      </c>
      <c r="J871" s="56" t="s">
        <v>4809</v>
      </c>
      <c r="K871" s="56" t="s">
        <v>869</v>
      </c>
      <c r="L871" s="292">
        <v>280</v>
      </c>
      <c r="M871" s="292"/>
      <c r="N871" s="358"/>
      <c r="O871" s="292"/>
      <c r="P871" s="292"/>
      <c r="Q871" s="614"/>
      <c r="R871" s="913">
        <f t="shared" si="64"/>
        <v>0</v>
      </c>
      <c r="S871" s="913">
        <f t="shared" si="65"/>
        <v>0</v>
      </c>
      <c r="T871" s="913">
        <f t="shared" si="66"/>
        <v>0</v>
      </c>
      <c r="U871" s="914">
        <f t="shared" si="67"/>
        <v>2</v>
      </c>
      <c r="V871" s="612"/>
      <c r="W871" s="612"/>
      <c r="X871" s="612"/>
      <c r="Y871" s="612"/>
      <c r="Z871" s="612"/>
      <c r="AA871" s="612"/>
      <c r="AB871" s="612"/>
      <c r="AC871" s="612"/>
    </row>
    <row r="872" spans="1:29">
      <c r="A872" s="48" t="s">
        <v>5328</v>
      </c>
      <c r="B872" s="60">
        <v>45598</v>
      </c>
      <c r="C872" s="54" t="s">
        <v>168</v>
      </c>
      <c r="D872" s="435" t="str">
        <f>IFERROR(VLOOKUP(C872,Mychart!$A$125:$B$811,2,FALSE),"-")</f>
        <v>UTS Carrier</v>
      </c>
      <c r="E872" s="295" t="s">
        <v>827</v>
      </c>
      <c r="F872" s="58">
        <v>3</v>
      </c>
      <c r="G872" s="58"/>
      <c r="H872" s="58">
        <v>70815</v>
      </c>
      <c r="I872" s="58">
        <v>3540.75</v>
      </c>
      <c r="J872" s="56" t="s">
        <v>4809</v>
      </c>
      <c r="K872" s="56" t="s">
        <v>869</v>
      </c>
      <c r="L872" s="292">
        <v>280</v>
      </c>
      <c r="M872" s="292"/>
      <c r="N872" s="358"/>
      <c r="O872" s="292"/>
      <c r="P872" s="292"/>
      <c r="Q872" s="614"/>
      <c r="R872" s="913">
        <f t="shared" si="64"/>
        <v>0</v>
      </c>
      <c r="S872" s="913">
        <f t="shared" si="65"/>
        <v>0</v>
      </c>
      <c r="T872" s="913">
        <f t="shared" si="66"/>
        <v>0</v>
      </c>
      <c r="U872" s="914">
        <f t="shared" si="67"/>
        <v>3</v>
      </c>
      <c r="V872" s="612"/>
      <c r="W872" s="612"/>
      <c r="X872" s="612"/>
      <c r="Y872" s="612"/>
      <c r="Z872" s="612"/>
      <c r="AA872" s="612"/>
      <c r="AB872" s="612"/>
      <c r="AC872" s="612"/>
    </row>
    <row r="873" spans="1:29">
      <c r="A873" s="48" t="s">
        <v>5328</v>
      </c>
      <c r="B873" s="60">
        <v>45598</v>
      </c>
      <c r="C873" s="54" t="s">
        <v>168</v>
      </c>
      <c r="D873" s="435" t="str">
        <f>IFERROR(VLOOKUP(C873,Mychart!$A$125:$B$811,2,FALSE),"-")</f>
        <v>UTS Carrier</v>
      </c>
      <c r="E873" s="295" t="s">
        <v>828</v>
      </c>
      <c r="F873" s="58">
        <v>3</v>
      </c>
      <c r="G873" s="58"/>
      <c r="H873" s="58">
        <v>70815</v>
      </c>
      <c r="I873" s="58">
        <v>3540.75</v>
      </c>
      <c r="J873" s="56" t="s">
        <v>4809</v>
      </c>
      <c r="K873" s="56" t="s">
        <v>869</v>
      </c>
      <c r="L873" s="292">
        <v>280</v>
      </c>
      <c r="M873" s="292"/>
      <c r="N873" s="358"/>
      <c r="O873" s="292"/>
      <c r="P873" s="292"/>
      <c r="Q873" s="614"/>
      <c r="R873" s="913">
        <f t="shared" si="64"/>
        <v>0</v>
      </c>
      <c r="S873" s="913">
        <f t="shared" si="65"/>
        <v>0</v>
      </c>
      <c r="T873" s="913">
        <f t="shared" si="66"/>
        <v>0</v>
      </c>
      <c r="U873" s="914">
        <f t="shared" si="67"/>
        <v>3</v>
      </c>
      <c r="V873" s="612"/>
      <c r="W873" s="612"/>
      <c r="X873" s="612"/>
      <c r="Y873" s="612"/>
      <c r="Z873" s="612"/>
      <c r="AA873" s="612"/>
      <c r="AB873" s="612"/>
      <c r="AC873" s="612"/>
    </row>
    <row r="874" spans="1:29">
      <c r="A874" s="48" t="s">
        <v>5328</v>
      </c>
      <c r="B874" s="60">
        <v>45598</v>
      </c>
      <c r="C874" s="54" t="s">
        <v>168</v>
      </c>
      <c r="D874" s="435" t="str">
        <f>IFERROR(VLOOKUP(C874,Mychart!$A$125:$B$811,2,FALSE),"-")</f>
        <v>UTS Carrier</v>
      </c>
      <c r="E874" s="295" t="s">
        <v>238</v>
      </c>
      <c r="F874" s="58">
        <v>2</v>
      </c>
      <c r="G874" s="58"/>
      <c r="H874" s="58">
        <v>70815</v>
      </c>
      <c r="I874" s="58">
        <v>3540.75</v>
      </c>
      <c r="J874" s="56" t="s">
        <v>4809</v>
      </c>
      <c r="K874" s="56" t="s">
        <v>869</v>
      </c>
      <c r="L874" s="292">
        <v>280</v>
      </c>
      <c r="M874" s="292"/>
      <c r="N874" s="358"/>
      <c r="O874" s="292"/>
      <c r="P874" s="292"/>
      <c r="Q874" s="614"/>
      <c r="R874" s="913">
        <f t="shared" si="64"/>
        <v>0</v>
      </c>
      <c r="S874" s="913">
        <f t="shared" si="65"/>
        <v>0</v>
      </c>
      <c r="T874" s="913">
        <f t="shared" si="66"/>
        <v>0</v>
      </c>
      <c r="U874" s="914">
        <f t="shared" si="67"/>
        <v>2</v>
      </c>
      <c r="V874" s="612"/>
      <c r="W874" s="612"/>
      <c r="X874" s="612"/>
      <c r="Y874" s="612"/>
      <c r="Z874" s="612"/>
      <c r="AA874" s="612"/>
      <c r="AB874" s="612"/>
      <c r="AC874" s="612"/>
    </row>
    <row r="875" spans="1:29">
      <c r="A875" s="48" t="s">
        <v>5328</v>
      </c>
      <c r="B875" s="60">
        <v>45598</v>
      </c>
      <c r="C875" s="54" t="s">
        <v>168</v>
      </c>
      <c r="D875" s="435" t="str">
        <f>IFERROR(VLOOKUP(C875,Mychart!$A$125:$B$811,2,FALSE),"-")</f>
        <v>UTS Carrier</v>
      </c>
      <c r="E875" s="295" t="s">
        <v>239</v>
      </c>
      <c r="F875" s="58">
        <v>2</v>
      </c>
      <c r="G875" s="58"/>
      <c r="H875" s="58">
        <v>70815</v>
      </c>
      <c r="I875" s="58">
        <v>3540.75</v>
      </c>
      <c r="J875" s="56" t="s">
        <v>4809</v>
      </c>
      <c r="K875" s="56" t="s">
        <v>869</v>
      </c>
      <c r="L875" s="292">
        <v>280</v>
      </c>
      <c r="M875" s="292"/>
      <c r="N875" s="358"/>
      <c r="O875" s="292"/>
      <c r="P875" s="292"/>
      <c r="Q875" s="614"/>
      <c r="R875" s="913">
        <f t="shared" si="64"/>
        <v>0</v>
      </c>
      <c r="S875" s="913">
        <f t="shared" si="65"/>
        <v>0</v>
      </c>
      <c r="T875" s="913">
        <f t="shared" si="66"/>
        <v>0</v>
      </c>
      <c r="U875" s="914">
        <f t="shared" si="67"/>
        <v>2</v>
      </c>
      <c r="V875" s="612"/>
      <c r="W875" s="612"/>
      <c r="X875" s="612"/>
      <c r="Y875" s="612"/>
      <c r="Z875" s="612"/>
      <c r="AA875" s="612"/>
      <c r="AB875" s="612"/>
      <c r="AC875" s="612"/>
    </row>
    <row r="876" spans="1:29">
      <c r="A876" s="48" t="s">
        <v>5328</v>
      </c>
      <c r="B876" s="60">
        <v>45598</v>
      </c>
      <c r="C876" s="54" t="s">
        <v>168</v>
      </c>
      <c r="D876" s="435" t="str">
        <f>IFERROR(VLOOKUP(C876,Mychart!$A$125:$B$811,2,FALSE),"-")</f>
        <v>UTS Carrier</v>
      </c>
      <c r="E876" s="295" t="s">
        <v>234</v>
      </c>
      <c r="F876" s="58">
        <v>2</v>
      </c>
      <c r="G876" s="58"/>
      <c r="H876" s="58">
        <v>70815</v>
      </c>
      <c r="I876" s="58">
        <v>3540.75</v>
      </c>
      <c r="J876" s="56" t="s">
        <v>4809</v>
      </c>
      <c r="K876" s="56" t="s">
        <v>869</v>
      </c>
      <c r="L876" s="292">
        <v>280</v>
      </c>
      <c r="M876" s="292"/>
      <c r="N876" s="358"/>
      <c r="O876" s="292"/>
      <c r="P876" s="292"/>
      <c r="Q876" s="614"/>
      <c r="R876" s="913">
        <f t="shared" si="64"/>
        <v>0</v>
      </c>
      <c r="S876" s="913">
        <f t="shared" si="65"/>
        <v>0</v>
      </c>
      <c r="T876" s="913">
        <f t="shared" si="66"/>
        <v>0</v>
      </c>
      <c r="U876" s="914">
        <f t="shared" si="67"/>
        <v>2</v>
      </c>
      <c r="V876" s="612"/>
      <c r="W876" s="612"/>
      <c r="X876" s="612"/>
      <c r="Y876" s="612"/>
      <c r="Z876" s="612"/>
      <c r="AA876" s="612"/>
      <c r="AB876" s="612"/>
      <c r="AC876" s="612"/>
    </row>
    <row r="877" spans="1:29">
      <c r="A877" s="48" t="s">
        <v>5328</v>
      </c>
      <c r="B877" s="60">
        <v>45598</v>
      </c>
      <c r="C877" s="54" t="s">
        <v>168</v>
      </c>
      <c r="D877" s="435" t="str">
        <f>IFERROR(VLOOKUP(C877,Mychart!$A$125:$B$811,2,FALSE),"-")</f>
        <v>UTS Carrier</v>
      </c>
      <c r="E877" s="295" t="s">
        <v>235</v>
      </c>
      <c r="F877" s="58">
        <v>2</v>
      </c>
      <c r="G877" s="58"/>
      <c r="H877" s="58">
        <v>70815</v>
      </c>
      <c r="I877" s="58">
        <v>3540.75</v>
      </c>
      <c r="J877" s="56" t="s">
        <v>4809</v>
      </c>
      <c r="K877" s="56" t="s">
        <v>869</v>
      </c>
      <c r="L877" s="292">
        <v>280</v>
      </c>
      <c r="M877" s="292"/>
      <c r="N877" s="358"/>
      <c r="O877" s="292"/>
      <c r="P877" s="292"/>
      <c r="Q877" s="614"/>
      <c r="R877" s="913">
        <f t="shared" si="64"/>
        <v>0</v>
      </c>
      <c r="S877" s="913">
        <f t="shared" si="65"/>
        <v>0</v>
      </c>
      <c r="T877" s="913">
        <f t="shared" si="66"/>
        <v>0</v>
      </c>
      <c r="U877" s="914">
        <f t="shared" si="67"/>
        <v>2</v>
      </c>
      <c r="V877" s="612"/>
      <c r="W877" s="612"/>
      <c r="X877" s="612"/>
      <c r="Y877" s="612"/>
      <c r="Z877" s="612"/>
      <c r="AA877" s="612"/>
      <c r="AB877" s="612"/>
      <c r="AC877" s="612"/>
    </row>
    <row r="878" spans="1:29">
      <c r="A878" s="48" t="s">
        <v>5328</v>
      </c>
      <c r="B878" s="60">
        <v>45598</v>
      </c>
      <c r="C878" s="54" t="s">
        <v>168</v>
      </c>
      <c r="D878" s="435" t="str">
        <f>IFERROR(VLOOKUP(C878,Mychart!$A$125:$B$811,2,FALSE),"-")</f>
        <v>UTS Carrier</v>
      </c>
      <c r="E878" s="295" t="s">
        <v>1099</v>
      </c>
      <c r="F878" s="58">
        <v>4</v>
      </c>
      <c r="G878" s="58"/>
      <c r="H878" s="58">
        <v>70815</v>
      </c>
      <c r="I878" s="58">
        <v>3540.75</v>
      </c>
      <c r="J878" s="56" t="s">
        <v>4809</v>
      </c>
      <c r="K878" s="56" t="s">
        <v>869</v>
      </c>
      <c r="L878" s="292">
        <v>280</v>
      </c>
      <c r="M878" s="292"/>
      <c r="N878" s="358"/>
      <c r="O878" s="292"/>
      <c r="P878" s="292"/>
      <c r="Q878" s="614"/>
      <c r="R878" s="913">
        <f t="shared" si="64"/>
        <v>0</v>
      </c>
      <c r="S878" s="913">
        <f t="shared" si="65"/>
        <v>0</v>
      </c>
      <c r="T878" s="913">
        <f t="shared" si="66"/>
        <v>0</v>
      </c>
      <c r="U878" s="914">
        <f t="shared" si="67"/>
        <v>4</v>
      </c>
      <c r="V878" s="612"/>
      <c r="W878" s="612"/>
      <c r="X878" s="612"/>
      <c r="Y878" s="612"/>
      <c r="Z878" s="612"/>
      <c r="AA878" s="612"/>
      <c r="AB878" s="612"/>
      <c r="AC878" s="612"/>
    </row>
    <row r="879" spans="1:29">
      <c r="A879" s="48" t="s">
        <v>5328</v>
      </c>
      <c r="B879" s="60">
        <v>45598</v>
      </c>
      <c r="C879" s="54" t="s">
        <v>168</v>
      </c>
      <c r="D879" s="435" t="str">
        <f>IFERROR(VLOOKUP(C879,Mychart!$A$125:$B$811,2,FALSE),"-")</f>
        <v>UTS Carrier</v>
      </c>
      <c r="E879" s="295" t="s">
        <v>1100</v>
      </c>
      <c r="F879" s="58">
        <v>4</v>
      </c>
      <c r="G879" s="58"/>
      <c r="H879" s="58">
        <v>70815</v>
      </c>
      <c r="I879" s="58">
        <v>3540.75</v>
      </c>
      <c r="J879" s="56" t="s">
        <v>4809</v>
      </c>
      <c r="K879" s="56" t="s">
        <v>869</v>
      </c>
      <c r="L879" s="292">
        <v>280</v>
      </c>
      <c r="M879" s="292"/>
      <c r="N879" s="358"/>
      <c r="O879" s="292"/>
      <c r="P879" s="292"/>
      <c r="Q879" s="614"/>
      <c r="R879" s="913">
        <f t="shared" si="64"/>
        <v>0</v>
      </c>
      <c r="S879" s="913">
        <f t="shared" si="65"/>
        <v>0</v>
      </c>
      <c r="T879" s="913">
        <f t="shared" si="66"/>
        <v>0</v>
      </c>
      <c r="U879" s="914">
        <f t="shared" si="67"/>
        <v>4</v>
      </c>
      <c r="V879" s="612"/>
      <c r="W879" s="612"/>
      <c r="X879" s="612"/>
      <c r="Y879" s="612"/>
      <c r="Z879" s="612"/>
      <c r="AA879" s="612"/>
      <c r="AB879" s="612"/>
      <c r="AC879" s="612"/>
    </row>
    <row r="880" spans="1:29">
      <c r="A880" s="48" t="s">
        <v>5328</v>
      </c>
      <c r="B880" s="60">
        <v>45598</v>
      </c>
      <c r="C880" s="54" t="s">
        <v>168</v>
      </c>
      <c r="D880" s="435" t="str">
        <f>IFERROR(VLOOKUP(C880,Mychart!$A$125:$B$811,2,FALSE),"-")</f>
        <v>UTS Carrier</v>
      </c>
      <c r="E880" s="295" t="s">
        <v>832</v>
      </c>
      <c r="F880" s="58">
        <v>2</v>
      </c>
      <c r="G880" s="58"/>
      <c r="H880" s="58">
        <v>70815</v>
      </c>
      <c r="I880" s="58">
        <v>3540.75</v>
      </c>
      <c r="J880" s="56" t="s">
        <v>4809</v>
      </c>
      <c r="K880" s="56" t="s">
        <v>869</v>
      </c>
      <c r="L880" s="292">
        <v>280</v>
      </c>
      <c r="M880" s="292"/>
      <c r="N880" s="358"/>
      <c r="O880" s="292"/>
      <c r="P880" s="292"/>
      <c r="Q880" s="614"/>
      <c r="R880" s="913">
        <f t="shared" si="64"/>
        <v>0</v>
      </c>
      <c r="S880" s="913">
        <f t="shared" si="65"/>
        <v>0</v>
      </c>
      <c r="T880" s="913">
        <f t="shared" si="66"/>
        <v>0</v>
      </c>
      <c r="U880" s="914">
        <f t="shared" si="67"/>
        <v>2</v>
      </c>
      <c r="V880" s="612"/>
      <c r="W880" s="612"/>
      <c r="X880" s="612"/>
      <c r="Y880" s="612"/>
      <c r="Z880" s="612"/>
      <c r="AA880" s="612"/>
      <c r="AB880" s="612"/>
      <c r="AC880" s="612"/>
    </row>
    <row r="881" spans="1:29">
      <c r="A881" s="48" t="s">
        <v>5328</v>
      </c>
      <c r="B881" s="60">
        <v>45598</v>
      </c>
      <c r="C881" s="54" t="s">
        <v>168</v>
      </c>
      <c r="D881" s="435" t="str">
        <f>IFERROR(VLOOKUP(C881,Mychart!$A$125:$B$811,2,FALSE),"-")</f>
        <v>UTS Carrier</v>
      </c>
      <c r="E881" s="295" t="s">
        <v>833</v>
      </c>
      <c r="F881" s="58">
        <v>2</v>
      </c>
      <c r="G881" s="58"/>
      <c r="H881" s="58">
        <v>70815</v>
      </c>
      <c r="I881" s="58">
        <v>3540.75</v>
      </c>
      <c r="J881" s="56" t="s">
        <v>4809</v>
      </c>
      <c r="K881" s="56" t="s">
        <v>869</v>
      </c>
      <c r="L881" s="292">
        <v>280</v>
      </c>
      <c r="M881" s="292"/>
      <c r="N881" s="358"/>
      <c r="O881" s="292"/>
      <c r="P881" s="292"/>
      <c r="Q881" s="614"/>
      <c r="R881" s="913">
        <f t="shared" si="64"/>
        <v>0</v>
      </c>
      <c r="S881" s="913">
        <f t="shared" si="65"/>
        <v>0</v>
      </c>
      <c r="T881" s="913">
        <f t="shared" si="66"/>
        <v>0</v>
      </c>
      <c r="U881" s="914">
        <f t="shared" si="67"/>
        <v>2</v>
      </c>
      <c r="V881" s="612"/>
      <c r="W881" s="612"/>
      <c r="X881" s="612"/>
      <c r="Y881" s="612"/>
      <c r="Z881" s="612"/>
      <c r="AA881" s="612"/>
      <c r="AB881" s="612"/>
      <c r="AC881" s="612"/>
    </row>
    <row r="882" spans="1:29">
      <c r="A882" s="48" t="s">
        <v>5328</v>
      </c>
      <c r="B882" s="60">
        <v>45598</v>
      </c>
      <c r="C882" s="54" t="s">
        <v>168</v>
      </c>
      <c r="D882" s="435" t="str">
        <f>IFERROR(VLOOKUP(C882,Mychart!$A$125:$B$811,2,FALSE),"-")</f>
        <v>UTS Carrier</v>
      </c>
      <c r="E882" s="295" t="s">
        <v>3012</v>
      </c>
      <c r="F882" s="58">
        <v>1</v>
      </c>
      <c r="G882" s="58"/>
      <c r="H882" s="58">
        <v>70815</v>
      </c>
      <c r="I882" s="58">
        <v>3540.75</v>
      </c>
      <c r="J882" s="56" t="s">
        <v>4809</v>
      </c>
      <c r="K882" s="56" t="s">
        <v>869</v>
      </c>
      <c r="L882" s="292">
        <v>280</v>
      </c>
      <c r="M882" s="292"/>
      <c r="N882" s="358"/>
      <c r="O882" s="292"/>
      <c r="P882" s="292"/>
      <c r="Q882" s="614"/>
      <c r="R882" s="913">
        <f t="shared" si="64"/>
        <v>0</v>
      </c>
      <c r="S882" s="913">
        <f t="shared" si="65"/>
        <v>0</v>
      </c>
      <c r="T882" s="913">
        <f t="shared" si="66"/>
        <v>0</v>
      </c>
      <c r="U882" s="914">
        <f t="shared" si="67"/>
        <v>1</v>
      </c>
      <c r="V882" s="612"/>
      <c r="W882" s="612"/>
      <c r="X882" s="612"/>
      <c r="Y882" s="612"/>
      <c r="Z882" s="612"/>
      <c r="AA882" s="612"/>
      <c r="AB882" s="612"/>
      <c r="AC882" s="612"/>
    </row>
    <row r="883" spans="1:29">
      <c r="A883" s="48" t="s">
        <v>5328</v>
      </c>
      <c r="B883" s="60">
        <v>45598</v>
      </c>
      <c r="C883" s="54" t="s">
        <v>168</v>
      </c>
      <c r="D883" s="435" t="str">
        <f>IFERROR(VLOOKUP(C883,Mychart!$A$125:$B$811,2,FALSE),"-")</f>
        <v>UTS Carrier</v>
      </c>
      <c r="E883" s="295" t="s">
        <v>3013</v>
      </c>
      <c r="F883" s="58">
        <v>1</v>
      </c>
      <c r="G883" s="58"/>
      <c r="H883" s="58">
        <v>70815</v>
      </c>
      <c r="I883" s="58">
        <v>3540.75</v>
      </c>
      <c r="J883" s="56" t="s">
        <v>4809</v>
      </c>
      <c r="K883" s="56" t="s">
        <v>869</v>
      </c>
      <c r="L883" s="292">
        <v>280</v>
      </c>
      <c r="M883" s="292"/>
      <c r="N883" s="358"/>
      <c r="O883" s="292"/>
      <c r="P883" s="292"/>
      <c r="Q883" s="614"/>
      <c r="R883" s="913">
        <f t="shared" si="64"/>
        <v>0</v>
      </c>
      <c r="S883" s="913">
        <f t="shared" si="65"/>
        <v>0</v>
      </c>
      <c r="T883" s="913">
        <f t="shared" si="66"/>
        <v>0</v>
      </c>
      <c r="U883" s="914">
        <f t="shared" si="67"/>
        <v>1</v>
      </c>
      <c r="V883" s="612"/>
      <c r="W883" s="612"/>
      <c r="X883" s="612"/>
      <c r="Y883" s="612"/>
      <c r="Z883" s="612"/>
      <c r="AA883" s="612"/>
      <c r="AB883" s="612"/>
      <c r="AC883" s="612"/>
    </row>
    <row r="884" spans="1:29">
      <c r="A884" s="48" t="s">
        <v>5328</v>
      </c>
      <c r="B884" s="60">
        <v>45598</v>
      </c>
      <c r="C884" s="54" t="s">
        <v>168</v>
      </c>
      <c r="D884" s="435" t="str">
        <f>IFERROR(VLOOKUP(C884,Mychart!$A$125:$B$811,2,FALSE),"-")</f>
        <v>UTS Carrier</v>
      </c>
      <c r="E884" s="295" t="s">
        <v>5317</v>
      </c>
      <c r="F884" s="58">
        <v>1</v>
      </c>
      <c r="G884" s="58">
        <v>70815</v>
      </c>
      <c r="H884" s="58">
        <v>70815</v>
      </c>
      <c r="I884" s="58">
        <v>3540.75</v>
      </c>
      <c r="J884" s="56" t="s">
        <v>5346</v>
      </c>
      <c r="K884" s="56" t="s">
        <v>869</v>
      </c>
      <c r="L884" s="292">
        <v>280</v>
      </c>
      <c r="M884" s="292"/>
      <c r="N884" s="358"/>
      <c r="O884" s="292"/>
      <c r="P884" s="292"/>
      <c r="Q884" s="614">
        <v>74355.75</v>
      </c>
      <c r="R884" s="913">
        <f t="shared" si="64"/>
        <v>0</v>
      </c>
      <c r="S884" s="913">
        <f t="shared" si="65"/>
        <v>74355.75</v>
      </c>
      <c r="T884" s="913">
        <f t="shared" si="66"/>
        <v>74355.75</v>
      </c>
      <c r="U884" s="914">
        <f t="shared" si="67"/>
        <v>1</v>
      </c>
      <c r="V884" s="612"/>
      <c r="W884" s="612"/>
      <c r="X884" s="612"/>
      <c r="Y884" s="612"/>
      <c r="Z884" s="612"/>
      <c r="AA884" s="612"/>
      <c r="AB884" s="612"/>
      <c r="AC884" s="612"/>
    </row>
    <row r="885" spans="1:29">
      <c r="A885" s="48" t="s">
        <v>5329</v>
      </c>
      <c r="B885" s="60">
        <v>45598</v>
      </c>
      <c r="C885" s="54" t="s">
        <v>168</v>
      </c>
      <c r="D885" s="435" t="str">
        <f>IFERROR(VLOOKUP(C885,Mychart!$A$125:$B$811,2,FALSE),"-")</f>
        <v>UTS Carrier</v>
      </c>
      <c r="E885" s="295" t="s">
        <v>825</v>
      </c>
      <c r="F885" s="58">
        <v>4</v>
      </c>
      <c r="G885" s="58"/>
      <c r="H885" s="58">
        <v>53570</v>
      </c>
      <c r="I885" s="58">
        <v>2678.5</v>
      </c>
      <c r="J885" s="56" t="s">
        <v>4809</v>
      </c>
      <c r="K885" s="56" t="s">
        <v>866</v>
      </c>
      <c r="L885" s="292">
        <v>281</v>
      </c>
      <c r="M885" s="292"/>
      <c r="N885" s="358"/>
      <c r="O885" s="292"/>
      <c r="P885" s="292"/>
      <c r="Q885" s="614"/>
      <c r="R885" s="913">
        <f t="shared" si="64"/>
        <v>0</v>
      </c>
      <c r="S885" s="913">
        <f t="shared" si="65"/>
        <v>0</v>
      </c>
      <c r="T885" s="913">
        <f t="shared" si="66"/>
        <v>0</v>
      </c>
      <c r="U885" s="914">
        <f t="shared" si="67"/>
        <v>4</v>
      </c>
      <c r="V885" s="612"/>
      <c r="W885" s="612"/>
      <c r="X885" s="612"/>
      <c r="Y885" s="612"/>
      <c r="Z885" s="612"/>
      <c r="AA885" s="612"/>
      <c r="AB885" s="612"/>
      <c r="AC885" s="612"/>
    </row>
    <row r="886" spans="1:29">
      <c r="A886" s="48" t="s">
        <v>5329</v>
      </c>
      <c r="B886" s="60">
        <v>45598</v>
      </c>
      <c r="C886" s="54" t="s">
        <v>168</v>
      </c>
      <c r="D886" s="435" t="str">
        <f>IFERROR(VLOOKUP(C886,Mychart!$A$125:$B$811,2,FALSE),"-")</f>
        <v>UTS Carrier</v>
      </c>
      <c r="E886" s="295" t="s">
        <v>826</v>
      </c>
      <c r="F886" s="58">
        <v>4</v>
      </c>
      <c r="G886" s="58"/>
      <c r="H886" s="58">
        <v>53570</v>
      </c>
      <c r="I886" s="58">
        <v>2678.5</v>
      </c>
      <c r="J886" s="56" t="s">
        <v>4809</v>
      </c>
      <c r="K886" s="56" t="s">
        <v>866</v>
      </c>
      <c r="L886" s="292">
        <v>281</v>
      </c>
      <c r="M886" s="292"/>
      <c r="N886" s="358"/>
      <c r="O886" s="292"/>
      <c r="P886" s="292"/>
      <c r="Q886" s="614"/>
      <c r="R886" s="913">
        <f t="shared" si="64"/>
        <v>0</v>
      </c>
      <c r="S886" s="913">
        <f t="shared" si="65"/>
        <v>0</v>
      </c>
      <c r="T886" s="913">
        <f t="shared" si="66"/>
        <v>0</v>
      </c>
      <c r="U886" s="914">
        <f t="shared" si="67"/>
        <v>4</v>
      </c>
      <c r="V886" s="612"/>
      <c r="W886" s="612"/>
      <c r="X886" s="612"/>
      <c r="Y886" s="612"/>
      <c r="Z886" s="612"/>
      <c r="AA886" s="612"/>
      <c r="AB886" s="612"/>
      <c r="AC886" s="612"/>
    </row>
    <row r="887" spans="1:29">
      <c r="A887" s="48" t="s">
        <v>5329</v>
      </c>
      <c r="B887" s="60">
        <v>45598</v>
      </c>
      <c r="C887" s="54" t="s">
        <v>168</v>
      </c>
      <c r="D887" s="435" t="str">
        <f>IFERROR(VLOOKUP(C887,Mychart!$A$125:$B$811,2,FALSE),"-")</f>
        <v>UTS Carrier</v>
      </c>
      <c r="E887" s="295" t="s">
        <v>236</v>
      </c>
      <c r="F887" s="58">
        <v>2</v>
      </c>
      <c r="G887" s="58"/>
      <c r="H887" s="58">
        <v>53570</v>
      </c>
      <c r="I887" s="58">
        <v>2678.5</v>
      </c>
      <c r="J887" s="56" t="s">
        <v>4809</v>
      </c>
      <c r="K887" s="56" t="s">
        <v>866</v>
      </c>
      <c r="L887" s="292">
        <v>281</v>
      </c>
      <c r="M887" s="292"/>
      <c r="N887" s="358"/>
      <c r="O887" s="292"/>
      <c r="P887" s="292"/>
      <c r="Q887" s="614"/>
      <c r="R887" s="913">
        <f t="shared" si="64"/>
        <v>0</v>
      </c>
      <c r="S887" s="913">
        <f t="shared" si="65"/>
        <v>0</v>
      </c>
      <c r="T887" s="913">
        <f t="shared" si="66"/>
        <v>0</v>
      </c>
      <c r="U887" s="914">
        <f t="shared" si="67"/>
        <v>2</v>
      </c>
      <c r="V887" s="612"/>
      <c r="W887" s="612"/>
      <c r="X887" s="612"/>
      <c r="Y887" s="612"/>
      <c r="Z887" s="612"/>
      <c r="AA887" s="612"/>
      <c r="AB887" s="612"/>
      <c r="AC887" s="612"/>
    </row>
    <row r="888" spans="1:29">
      <c r="A888" s="48" t="s">
        <v>5329</v>
      </c>
      <c r="B888" s="60">
        <v>45598</v>
      </c>
      <c r="C888" s="54" t="s">
        <v>168</v>
      </c>
      <c r="D888" s="435" t="str">
        <f>IFERROR(VLOOKUP(C888,Mychart!$A$125:$B$811,2,FALSE),"-")</f>
        <v>UTS Carrier</v>
      </c>
      <c r="E888" s="295" t="s">
        <v>237</v>
      </c>
      <c r="F888" s="58">
        <v>2</v>
      </c>
      <c r="G888" s="58"/>
      <c r="H888" s="58">
        <v>53570</v>
      </c>
      <c r="I888" s="58">
        <v>2678.5</v>
      </c>
      <c r="J888" s="56" t="s">
        <v>4809</v>
      </c>
      <c r="K888" s="56" t="s">
        <v>866</v>
      </c>
      <c r="L888" s="292">
        <v>281</v>
      </c>
      <c r="M888" s="292"/>
      <c r="N888" s="358"/>
      <c r="O888" s="292"/>
      <c r="P888" s="292"/>
      <c r="Q888" s="614"/>
      <c r="R888" s="913">
        <f t="shared" si="64"/>
        <v>0</v>
      </c>
      <c r="S888" s="913">
        <f t="shared" si="65"/>
        <v>0</v>
      </c>
      <c r="T888" s="913">
        <f t="shared" si="66"/>
        <v>0</v>
      </c>
      <c r="U888" s="914">
        <f t="shared" si="67"/>
        <v>2</v>
      </c>
      <c r="V888" s="612"/>
      <c r="W888" s="612"/>
      <c r="X888" s="612"/>
      <c r="Y888" s="612"/>
      <c r="Z888" s="612"/>
      <c r="AA888" s="612"/>
      <c r="AB888" s="612"/>
      <c r="AC888" s="612"/>
    </row>
    <row r="889" spans="1:29">
      <c r="A889" s="48" t="s">
        <v>5329</v>
      </c>
      <c r="B889" s="60">
        <v>45598</v>
      </c>
      <c r="C889" s="54" t="s">
        <v>168</v>
      </c>
      <c r="D889" s="435" t="str">
        <f>IFERROR(VLOOKUP(C889,Mychart!$A$125:$B$811,2,FALSE),"-")</f>
        <v>UTS Carrier</v>
      </c>
      <c r="E889" s="295" t="s">
        <v>827</v>
      </c>
      <c r="F889" s="58">
        <v>1</v>
      </c>
      <c r="G889" s="58"/>
      <c r="H889" s="58">
        <v>53570</v>
      </c>
      <c r="I889" s="58">
        <v>2678.5</v>
      </c>
      <c r="J889" s="56" t="s">
        <v>4809</v>
      </c>
      <c r="K889" s="56" t="s">
        <v>866</v>
      </c>
      <c r="L889" s="292">
        <v>281</v>
      </c>
      <c r="M889" s="292"/>
      <c r="N889" s="358"/>
      <c r="O889" s="292"/>
      <c r="P889" s="292"/>
      <c r="Q889" s="614"/>
      <c r="R889" s="913">
        <f t="shared" si="64"/>
        <v>0</v>
      </c>
      <c r="S889" s="913">
        <f t="shared" si="65"/>
        <v>0</v>
      </c>
      <c r="T889" s="913">
        <f t="shared" si="66"/>
        <v>0</v>
      </c>
      <c r="U889" s="914">
        <f t="shared" si="67"/>
        <v>1</v>
      </c>
      <c r="V889" s="612"/>
      <c r="W889" s="612"/>
      <c r="X889" s="612"/>
      <c r="Y889" s="612"/>
      <c r="Z889" s="612"/>
      <c r="AA889" s="612"/>
      <c r="AB889" s="612"/>
      <c r="AC889" s="612"/>
    </row>
    <row r="890" spans="1:29">
      <c r="A890" s="48" t="s">
        <v>5329</v>
      </c>
      <c r="B890" s="60">
        <v>45598</v>
      </c>
      <c r="C890" s="54" t="s">
        <v>168</v>
      </c>
      <c r="D890" s="435" t="str">
        <f>IFERROR(VLOOKUP(C890,Mychart!$A$125:$B$811,2,FALSE),"-")</f>
        <v>UTS Carrier</v>
      </c>
      <c r="E890" s="295" t="s">
        <v>828</v>
      </c>
      <c r="F890" s="58">
        <v>1</v>
      </c>
      <c r="G890" s="58"/>
      <c r="H890" s="58">
        <v>53570</v>
      </c>
      <c r="I890" s="58">
        <v>2678.5</v>
      </c>
      <c r="J890" s="56" t="s">
        <v>4809</v>
      </c>
      <c r="K890" s="56" t="s">
        <v>866</v>
      </c>
      <c r="L890" s="292">
        <v>281</v>
      </c>
      <c r="M890" s="292"/>
      <c r="N890" s="358"/>
      <c r="O890" s="292"/>
      <c r="P890" s="292"/>
      <c r="Q890" s="614"/>
      <c r="R890" s="913">
        <f t="shared" si="64"/>
        <v>0</v>
      </c>
      <c r="S890" s="913">
        <f t="shared" si="65"/>
        <v>0</v>
      </c>
      <c r="T890" s="913">
        <f t="shared" si="66"/>
        <v>0</v>
      </c>
      <c r="U890" s="914">
        <f t="shared" si="67"/>
        <v>1</v>
      </c>
      <c r="V890" s="612"/>
      <c r="W890" s="612"/>
      <c r="X890" s="612"/>
      <c r="Y890" s="612"/>
      <c r="Z890" s="612"/>
      <c r="AA890" s="612"/>
      <c r="AB890" s="612"/>
      <c r="AC890" s="612"/>
    </row>
    <row r="891" spans="1:29">
      <c r="A891" s="48" t="s">
        <v>5329</v>
      </c>
      <c r="B891" s="60">
        <v>45598</v>
      </c>
      <c r="C891" s="54" t="s">
        <v>168</v>
      </c>
      <c r="D891" s="435" t="str">
        <f>IFERROR(VLOOKUP(C891,Mychart!$A$125:$B$811,2,FALSE),"-")</f>
        <v>UTS Carrier</v>
      </c>
      <c r="E891" s="295" t="s">
        <v>232</v>
      </c>
      <c r="F891" s="58">
        <v>2</v>
      </c>
      <c r="G891" s="58"/>
      <c r="H891" s="58">
        <v>53570</v>
      </c>
      <c r="I891" s="58">
        <v>2678.5</v>
      </c>
      <c r="J891" s="56" t="s">
        <v>4809</v>
      </c>
      <c r="K891" s="56" t="s">
        <v>866</v>
      </c>
      <c r="L891" s="292">
        <v>281</v>
      </c>
      <c r="M891" s="292"/>
      <c r="N891" s="358"/>
      <c r="O891" s="292"/>
      <c r="P891" s="292"/>
      <c r="Q891" s="614"/>
      <c r="R891" s="913">
        <f t="shared" si="64"/>
        <v>0</v>
      </c>
      <c r="S891" s="913">
        <f t="shared" si="65"/>
        <v>0</v>
      </c>
      <c r="T891" s="913">
        <f t="shared" si="66"/>
        <v>0</v>
      </c>
      <c r="U891" s="914">
        <f t="shared" si="67"/>
        <v>2</v>
      </c>
      <c r="V891" s="612"/>
      <c r="W891" s="612"/>
      <c r="X891" s="612"/>
      <c r="Y891" s="612"/>
      <c r="Z891" s="612"/>
      <c r="AA891" s="612"/>
      <c r="AB891" s="612"/>
      <c r="AC891" s="612"/>
    </row>
    <row r="892" spans="1:29">
      <c r="A892" s="48" t="s">
        <v>5329</v>
      </c>
      <c r="B892" s="60">
        <v>45598</v>
      </c>
      <c r="C892" s="54" t="s">
        <v>168</v>
      </c>
      <c r="D892" s="435" t="str">
        <f>IFERROR(VLOOKUP(C892,Mychart!$A$125:$B$811,2,FALSE),"-")</f>
        <v>UTS Carrier</v>
      </c>
      <c r="E892" s="295" t="s">
        <v>233</v>
      </c>
      <c r="F892" s="58">
        <v>2</v>
      </c>
      <c r="G892" s="58"/>
      <c r="H892" s="58">
        <v>53570</v>
      </c>
      <c r="I892" s="58">
        <v>2678.5</v>
      </c>
      <c r="J892" s="56" t="s">
        <v>4809</v>
      </c>
      <c r="K892" s="56" t="s">
        <v>866</v>
      </c>
      <c r="L892" s="292">
        <v>281</v>
      </c>
      <c r="M892" s="292"/>
      <c r="N892" s="358"/>
      <c r="O892" s="292"/>
      <c r="P892" s="292"/>
      <c r="Q892" s="614"/>
      <c r="R892" s="913">
        <f t="shared" si="64"/>
        <v>0</v>
      </c>
      <c r="S892" s="913">
        <f t="shared" si="65"/>
        <v>0</v>
      </c>
      <c r="T892" s="913">
        <f t="shared" si="66"/>
        <v>0</v>
      </c>
      <c r="U892" s="914">
        <f t="shared" si="67"/>
        <v>2</v>
      </c>
      <c r="V892" s="612"/>
      <c r="W892" s="612"/>
      <c r="X892" s="612"/>
      <c r="Y892" s="612"/>
      <c r="Z892" s="612"/>
      <c r="AA892" s="612"/>
      <c r="AB892" s="612"/>
      <c r="AC892" s="612"/>
    </row>
    <row r="893" spans="1:29">
      <c r="A893" s="48" t="s">
        <v>5329</v>
      </c>
      <c r="B893" s="60">
        <v>45598</v>
      </c>
      <c r="C893" s="54" t="s">
        <v>168</v>
      </c>
      <c r="D893" s="435" t="str">
        <f>IFERROR(VLOOKUP(C893,Mychart!$A$125:$B$811,2,FALSE),"-")</f>
        <v>UTS Carrier</v>
      </c>
      <c r="E893" s="295" t="s">
        <v>5317</v>
      </c>
      <c r="F893" s="58">
        <v>1</v>
      </c>
      <c r="G893" s="58">
        <v>53570</v>
      </c>
      <c r="H893" s="58">
        <v>53570</v>
      </c>
      <c r="I893" s="58">
        <v>2678.5</v>
      </c>
      <c r="J893" s="56" t="s">
        <v>5345</v>
      </c>
      <c r="K893" s="56" t="s">
        <v>866</v>
      </c>
      <c r="L893" s="292">
        <v>281</v>
      </c>
      <c r="M893" s="292"/>
      <c r="N893" s="358"/>
      <c r="O893" s="292"/>
      <c r="P893" s="292"/>
      <c r="Q893" s="614">
        <v>56248.5</v>
      </c>
      <c r="R893" s="913">
        <f t="shared" si="64"/>
        <v>0</v>
      </c>
      <c r="S893" s="913">
        <f t="shared" si="65"/>
        <v>56248.5</v>
      </c>
      <c r="T893" s="913">
        <f t="shared" si="66"/>
        <v>56248.5</v>
      </c>
      <c r="U893" s="914">
        <f t="shared" si="67"/>
        <v>1</v>
      </c>
      <c r="V893" s="612"/>
      <c r="W893" s="612"/>
      <c r="X893" s="612"/>
      <c r="Y893" s="612"/>
      <c r="Z893" s="612"/>
      <c r="AA893" s="612"/>
      <c r="AB893" s="612"/>
      <c r="AC893" s="612"/>
    </row>
    <row r="894" spans="1:29">
      <c r="A894" s="48" t="s">
        <v>5330</v>
      </c>
      <c r="B894" s="60">
        <v>45598</v>
      </c>
      <c r="C894" s="54" t="s">
        <v>168</v>
      </c>
      <c r="D894" s="435" t="str">
        <f>IFERROR(VLOOKUP(C894,Mychart!$A$125:$B$811,2,FALSE),"-")</f>
        <v>UTS Carrier</v>
      </c>
      <c r="E894" s="295" t="s">
        <v>825</v>
      </c>
      <c r="F894" s="58">
        <v>1</v>
      </c>
      <c r="G894" s="58"/>
      <c r="H894" s="58">
        <v>130190</v>
      </c>
      <c r="I894" s="58">
        <v>6509.5</v>
      </c>
      <c r="J894" s="56" t="s">
        <v>4809</v>
      </c>
      <c r="K894" s="56" t="s">
        <v>1213</v>
      </c>
      <c r="L894" s="292">
        <v>282</v>
      </c>
      <c r="M894" s="292"/>
      <c r="N894" s="358"/>
      <c r="O894" s="292"/>
      <c r="P894" s="292"/>
      <c r="Q894" s="614"/>
      <c r="R894" s="913">
        <f t="shared" si="64"/>
        <v>0</v>
      </c>
      <c r="S894" s="913">
        <f t="shared" si="65"/>
        <v>0</v>
      </c>
      <c r="T894" s="913">
        <f t="shared" si="66"/>
        <v>0</v>
      </c>
      <c r="U894" s="914">
        <f t="shared" si="67"/>
        <v>1</v>
      </c>
      <c r="V894" s="612"/>
      <c r="W894" s="612"/>
      <c r="X894" s="612"/>
      <c r="Y894" s="612"/>
      <c r="Z894" s="612"/>
      <c r="AA894" s="612"/>
      <c r="AB894" s="612"/>
      <c r="AC894" s="612"/>
    </row>
    <row r="895" spans="1:29">
      <c r="A895" s="48" t="s">
        <v>5330</v>
      </c>
      <c r="B895" s="60">
        <v>45598</v>
      </c>
      <c r="C895" s="54" t="s">
        <v>168</v>
      </c>
      <c r="D895" s="435" t="str">
        <f>IFERROR(VLOOKUP(C895,Mychart!$A$125:$B$811,2,FALSE),"-")</f>
        <v>UTS Carrier</v>
      </c>
      <c r="E895" s="295" t="s">
        <v>826</v>
      </c>
      <c r="F895" s="58">
        <v>1</v>
      </c>
      <c r="G895" s="58"/>
      <c r="H895" s="58">
        <v>130190</v>
      </c>
      <c r="I895" s="58">
        <v>6509.5</v>
      </c>
      <c r="J895" s="56" t="s">
        <v>4809</v>
      </c>
      <c r="K895" s="56" t="s">
        <v>1213</v>
      </c>
      <c r="L895" s="292">
        <v>282</v>
      </c>
      <c r="M895" s="292"/>
      <c r="N895" s="358"/>
      <c r="O895" s="292"/>
      <c r="P895" s="292"/>
      <c r="Q895" s="614"/>
      <c r="R895" s="913">
        <f t="shared" si="64"/>
        <v>0</v>
      </c>
      <c r="S895" s="913">
        <f t="shared" si="65"/>
        <v>0</v>
      </c>
      <c r="T895" s="913">
        <f t="shared" si="66"/>
        <v>0</v>
      </c>
      <c r="U895" s="914">
        <f t="shared" si="67"/>
        <v>1</v>
      </c>
      <c r="V895" s="612"/>
      <c r="W895" s="612"/>
      <c r="X895" s="612"/>
      <c r="Y895" s="612"/>
      <c r="Z895" s="612"/>
      <c r="AA895" s="612"/>
      <c r="AB895" s="612"/>
      <c r="AC895" s="612"/>
    </row>
    <row r="896" spans="1:29">
      <c r="A896" s="48" t="s">
        <v>5330</v>
      </c>
      <c r="B896" s="60">
        <v>45598</v>
      </c>
      <c r="C896" s="54" t="s">
        <v>168</v>
      </c>
      <c r="D896" s="435" t="str">
        <f>IFERROR(VLOOKUP(C896,Mychart!$A$125:$B$811,2,FALSE),"-")</f>
        <v>UTS Carrier</v>
      </c>
      <c r="E896" s="295" t="s">
        <v>236</v>
      </c>
      <c r="F896" s="58">
        <v>1</v>
      </c>
      <c r="G896" s="58"/>
      <c r="H896" s="58">
        <v>130190</v>
      </c>
      <c r="I896" s="58">
        <v>6509.5</v>
      </c>
      <c r="J896" s="56" t="s">
        <v>4809</v>
      </c>
      <c r="K896" s="56" t="s">
        <v>1213</v>
      </c>
      <c r="L896" s="292">
        <v>282</v>
      </c>
      <c r="M896" s="292"/>
      <c r="N896" s="358"/>
      <c r="O896" s="292"/>
      <c r="P896" s="292"/>
      <c r="Q896" s="614"/>
      <c r="R896" s="913">
        <f t="shared" si="64"/>
        <v>0</v>
      </c>
      <c r="S896" s="913">
        <f t="shared" si="65"/>
        <v>0</v>
      </c>
      <c r="T896" s="913">
        <f t="shared" si="66"/>
        <v>0</v>
      </c>
      <c r="U896" s="914">
        <f t="shared" si="67"/>
        <v>1</v>
      </c>
      <c r="V896" s="612"/>
      <c r="W896" s="612"/>
      <c r="X896" s="612"/>
      <c r="Y896" s="612"/>
      <c r="Z896" s="612"/>
      <c r="AA896" s="612"/>
      <c r="AB896" s="612"/>
      <c r="AC896" s="612"/>
    </row>
    <row r="897" spans="1:29">
      <c r="A897" s="48" t="s">
        <v>5330</v>
      </c>
      <c r="B897" s="60">
        <v>45598</v>
      </c>
      <c r="C897" s="54" t="s">
        <v>168</v>
      </c>
      <c r="D897" s="435" t="str">
        <f>IFERROR(VLOOKUP(C897,Mychart!$A$125:$B$811,2,FALSE),"-")</f>
        <v>UTS Carrier</v>
      </c>
      <c r="E897" s="295" t="s">
        <v>237</v>
      </c>
      <c r="F897" s="58">
        <v>1</v>
      </c>
      <c r="G897" s="58"/>
      <c r="H897" s="58">
        <v>130190</v>
      </c>
      <c r="I897" s="58">
        <v>6509.5</v>
      </c>
      <c r="J897" s="56" t="s">
        <v>4809</v>
      </c>
      <c r="K897" s="56" t="s">
        <v>1213</v>
      </c>
      <c r="L897" s="292">
        <v>282</v>
      </c>
      <c r="M897" s="292"/>
      <c r="N897" s="358"/>
      <c r="O897" s="292"/>
      <c r="P897" s="292"/>
      <c r="Q897" s="614"/>
      <c r="R897" s="913">
        <f t="shared" si="64"/>
        <v>0</v>
      </c>
      <c r="S897" s="913">
        <f t="shared" si="65"/>
        <v>0</v>
      </c>
      <c r="T897" s="913">
        <f t="shared" si="66"/>
        <v>0</v>
      </c>
      <c r="U897" s="914">
        <f t="shared" si="67"/>
        <v>1</v>
      </c>
      <c r="V897" s="612"/>
      <c r="W897" s="612"/>
      <c r="X897" s="612"/>
      <c r="Y897" s="612"/>
      <c r="Z897" s="612"/>
      <c r="AA897" s="612"/>
      <c r="AB897" s="612"/>
      <c r="AC897" s="612"/>
    </row>
    <row r="898" spans="1:29">
      <c r="A898" s="48" t="s">
        <v>5330</v>
      </c>
      <c r="B898" s="60">
        <v>45598</v>
      </c>
      <c r="C898" s="54" t="s">
        <v>168</v>
      </c>
      <c r="D898" s="435" t="str">
        <f>IFERROR(VLOOKUP(C898,Mychart!$A$125:$B$811,2,FALSE),"-")</f>
        <v>UTS Carrier</v>
      </c>
      <c r="E898" s="295" t="s">
        <v>827</v>
      </c>
      <c r="F898" s="58">
        <v>4</v>
      </c>
      <c r="G898" s="58"/>
      <c r="H898" s="58">
        <v>130190</v>
      </c>
      <c r="I898" s="58">
        <v>6509.5</v>
      </c>
      <c r="J898" s="56" t="s">
        <v>4809</v>
      </c>
      <c r="K898" s="56" t="s">
        <v>1213</v>
      </c>
      <c r="L898" s="292">
        <v>282</v>
      </c>
      <c r="M898" s="292"/>
      <c r="N898" s="358"/>
      <c r="O898" s="292"/>
      <c r="P898" s="292"/>
      <c r="Q898" s="614"/>
      <c r="R898" s="913">
        <f t="shared" si="64"/>
        <v>0</v>
      </c>
      <c r="S898" s="913">
        <f t="shared" si="65"/>
        <v>0</v>
      </c>
      <c r="T898" s="913">
        <f t="shared" si="66"/>
        <v>0</v>
      </c>
      <c r="U898" s="914">
        <f t="shared" si="67"/>
        <v>4</v>
      </c>
      <c r="V898" s="612"/>
      <c r="W898" s="612"/>
      <c r="X898" s="612"/>
      <c r="Y898" s="612"/>
      <c r="Z898" s="612"/>
      <c r="AA898" s="612"/>
      <c r="AB898" s="612"/>
      <c r="AC898" s="612"/>
    </row>
    <row r="899" spans="1:29">
      <c r="A899" s="48" t="s">
        <v>5330</v>
      </c>
      <c r="B899" s="60">
        <v>45598</v>
      </c>
      <c r="C899" s="54" t="s">
        <v>168</v>
      </c>
      <c r="D899" s="435" t="str">
        <f>IFERROR(VLOOKUP(C899,Mychart!$A$125:$B$811,2,FALSE),"-")</f>
        <v>UTS Carrier</v>
      </c>
      <c r="E899" s="295" t="s">
        <v>828</v>
      </c>
      <c r="F899" s="58">
        <v>4</v>
      </c>
      <c r="G899" s="58"/>
      <c r="H899" s="58">
        <v>130190</v>
      </c>
      <c r="I899" s="58">
        <v>6509.5</v>
      </c>
      <c r="J899" s="56" t="s">
        <v>4809</v>
      </c>
      <c r="K899" s="56" t="s">
        <v>1213</v>
      </c>
      <c r="L899" s="292">
        <v>282</v>
      </c>
      <c r="M899" s="292"/>
      <c r="N899" s="358"/>
      <c r="O899" s="292"/>
      <c r="P899" s="292"/>
      <c r="Q899" s="614"/>
      <c r="R899" s="913">
        <f t="shared" si="64"/>
        <v>0</v>
      </c>
      <c r="S899" s="913">
        <f t="shared" si="65"/>
        <v>0</v>
      </c>
      <c r="T899" s="913">
        <f t="shared" si="66"/>
        <v>0</v>
      </c>
      <c r="U899" s="914">
        <f t="shared" si="67"/>
        <v>4</v>
      </c>
      <c r="V899" s="612"/>
      <c r="W899" s="612"/>
      <c r="X899" s="612"/>
      <c r="Y899" s="612"/>
      <c r="Z899" s="612"/>
      <c r="AA899" s="612"/>
      <c r="AB899" s="612"/>
      <c r="AC899" s="612"/>
    </row>
    <row r="900" spans="1:29">
      <c r="A900" s="48" t="s">
        <v>5330</v>
      </c>
      <c r="B900" s="60">
        <v>45598</v>
      </c>
      <c r="C900" s="54" t="s">
        <v>168</v>
      </c>
      <c r="D900" s="435" t="str">
        <f>IFERROR(VLOOKUP(C900,Mychart!$A$125:$B$811,2,FALSE),"-")</f>
        <v>UTS Carrier</v>
      </c>
      <c r="E900" s="295" t="s">
        <v>238</v>
      </c>
      <c r="F900" s="58">
        <v>1</v>
      </c>
      <c r="G900" s="58"/>
      <c r="H900" s="58">
        <v>130190</v>
      </c>
      <c r="I900" s="58">
        <v>6509.5</v>
      </c>
      <c r="J900" s="56" t="s">
        <v>4809</v>
      </c>
      <c r="K900" s="56" t="s">
        <v>1213</v>
      </c>
      <c r="L900" s="292">
        <v>282</v>
      </c>
      <c r="M900" s="292"/>
      <c r="N900" s="358"/>
      <c r="O900" s="292"/>
      <c r="P900" s="292"/>
      <c r="Q900" s="614"/>
      <c r="R900" s="913">
        <f t="shared" si="64"/>
        <v>0</v>
      </c>
      <c r="S900" s="913">
        <f t="shared" si="65"/>
        <v>0</v>
      </c>
      <c r="T900" s="913">
        <f t="shared" si="66"/>
        <v>0</v>
      </c>
      <c r="U900" s="914">
        <f t="shared" si="67"/>
        <v>1</v>
      </c>
      <c r="V900" s="612"/>
      <c r="W900" s="612"/>
      <c r="X900" s="612"/>
      <c r="Y900" s="612"/>
      <c r="Z900" s="612"/>
      <c r="AA900" s="612"/>
      <c r="AB900" s="612"/>
      <c r="AC900" s="612"/>
    </row>
    <row r="901" spans="1:29">
      <c r="A901" s="48" t="s">
        <v>5330</v>
      </c>
      <c r="B901" s="60">
        <v>45598</v>
      </c>
      <c r="C901" s="54" t="s">
        <v>168</v>
      </c>
      <c r="D901" s="435" t="str">
        <f>IFERROR(VLOOKUP(C901,Mychart!$A$125:$B$811,2,FALSE),"-")</f>
        <v>UTS Carrier</v>
      </c>
      <c r="E901" s="295" t="s">
        <v>239</v>
      </c>
      <c r="F901" s="58">
        <v>1</v>
      </c>
      <c r="G901" s="58"/>
      <c r="H901" s="58">
        <v>130190</v>
      </c>
      <c r="I901" s="58">
        <v>6509.5</v>
      </c>
      <c r="J901" s="56" t="s">
        <v>4809</v>
      </c>
      <c r="K901" s="56" t="s">
        <v>1213</v>
      </c>
      <c r="L901" s="292">
        <v>282</v>
      </c>
      <c r="M901" s="292"/>
      <c r="N901" s="358"/>
      <c r="O901" s="292"/>
      <c r="P901" s="292"/>
      <c r="Q901" s="614"/>
      <c r="R901" s="913">
        <f t="shared" si="64"/>
        <v>0</v>
      </c>
      <c r="S901" s="913">
        <f t="shared" si="65"/>
        <v>0</v>
      </c>
      <c r="T901" s="913">
        <f t="shared" si="66"/>
        <v>0</v>
      </c>
      <c r="U901" s="914">
        <f t="shared" si="67"/>
        <v>1</v>
      </c>
      <c r="V901" s="612"/>
      <c r="W901" s="612"/>
      <c r="X901" s="612"/>
      <c r="Y901" s="612"/>
      <c r="Z901" s="612"/>
      <c r="AA901" s="612"/>
      <c r="AB901" s="612"/>
      <c r="AC901" s="612"/>
    </row>
    <row r="902" spans="1:29">
      <c r="A902" s="48" t="s">
        <v>5330</v>
      </c>
      <c r="B902" s="60">
        <v>45598</v>
      </c>
      <c r="C902" s="54" t="s">
        <v>168</v>
      </c>
      <c r="D902" s="435" t="str">
        <f>IFERROR(VLOOKUP(C902,Mychart!$A$125:$B$811,2,FALSE),"-")</f>
        <v>UTS Carrier</v>
      </c>
      <c r="E902" s="295" t="s">
        <v>234</v>
      </c>
      <c r="F902" s="58">
        <v>1</v>
      </c>
      <c r="G902" s="58"/>
      <c r="H902" s="58">
        <v>130190</v>
      </c>
      <c r="I902" s="58">
        <v>6509.5</v>
      </c>
      <c r="J902" s="56" t="s">
        <v>4809</v>
      </c>
      <c r="K902" s="56" t="s">
        <v>1213</v>
      </c>
      <c r="L902" s="292">
        <v>282</v>
      </c>
      <c r="M902" s="292"/>
      <c r="N902" s="358"/>
      <c r="O902" s="292"/>
      <c r="P902" s="292"/>
      <c r="Q902" s="614"/>
      <c r="R902" s="913">
        <f t="shared" si="64"/>
        <v>0</v>
      </c>
      <c r="S902" s="913">
        <f t="shared" si="65"/>
        <v>0</v>
      </c>
      <c r="T902" s="913">
        <f t="shared" si="66"/>
        <v>0</v>
      </c>
      <c r="U902" s="914">
        <f t="shared" si="67"/>
        <v>1</v>
      </c>
      <c r="V902" s="612"/>
      <c r="W902" s="612"/>
      <c r="X902" s="612"/>
      <c r="Y902" s="612"/>
      <c r="Z902" s="612"/>
      <c r="AA902" s="612"/>
      <c r="AB902" s="612"/>
      <c r="AC902" s="612"/>
    </row>
    <row r="903" spans="1:29">
      <c r="A903" s="48" t="s">
        <v>5330</v>
      </c>
      <c r="B903" s="60">
        <v>45598</v>
      </c>
      <c r="C903" s="54" t="s">
        <v>168</v>
      </c>
      <c r="D903" s="435" t="str">
        <f>IFERROR(VLOOKUP(C903,Mychart!$A$125:$B$811,2,FALSE),"-")</f>
        <v>UTS Carrier</v>
      </c>
      <c r="E903" s="295" t="s">
        <v>235</v>
      </c>
      <c r="F903" s="58">
        <v>1</v>
      </c>
      <c r="G903" s="58"/>
      <c r="H903" s="58">
        <v>130190</v>
      </c>
      <c r="I903" s="58">
        <v>6509.5</v>
      </c>
      <c r="J903" s="56" t="s">
        <v>4809</v>
      </c>
      <c r="K903" s="56" t="s">
        <v>1213</v>
      </c>
      <c r="L903" s="292">
        <v>282</v>
      </c>
      <c r="M903" s="292"/>
      <c r="N903" s="358"/>
      <c r="O903" s="292"/>
      <c r="P903" s="292"/>
      <c r="Q903" s="614"/>
      <c r="R903" s="913">
        <f t="shared" si="64"/>
        <v>0</v>
      </c>
      <c r="S903" s="913">
        <f t="shared" si="65"/>
        <v>0</v>
      </c>
      <c r="T903" s="913">
        <f t="shared" si="66"/>
        <v>0</v>
      </c>
      <c r="U903" s="914">
        <f t="shared" si="67"/>
        <v>1</v>
      </c>
      <c r="V903" s="612"/>
      <c r="W903" s="612"/>
      <c r="X903" s="612"/>
      <c r="Y903" s="612"/>
      <c r="Z903" s="612"/>
      <c r="AA903" s="612"/>
      <c r="AB903" s="612"/>
      <c r="AC903" s="612"/>
    </row>
    <row r="904" spans="1:29">
      <c r="A904" s="48" t="s">
        <v>5330</v>
      </c>
      <c r="B904" s="60">
        <v>45598</v>
      </c>
      <c r="C904" s="54" t="s">
        <v>168</v>
      </c>
      <c r="D904" s="435" t="str">
        <f>IFERROR(VLOOKUP(C904,Mychart!$A$125:$B$811,2,FALSE),"-")</f>
        <v>UTS Carrier</v>
      </c>
      <c r="E904" s="295" t="s">
        <v>232</v>
      </c>
      <c r="F904" s="58">
        <v>3</v>
      </c>
      <c r="G904" s="58"/>
      <c r="H904" s="58">
        <v>130190</v>
      </c>
      <c r="I904" s="58">
        <v>6509.5</v>
      </c>
      <c r="J904" s="56" t="s">
        <v>4809</v>
      </c>
      <c r="K904" s="56" t="s">
        <v>1213</v>
      </c>
      <c r="L904" s="292">
        <v>282</v>
      </c>
      <c r="M904" s="292"/>
      <c r="N904" s="358"/>
      <c r="O904" s="292"/>
      <c r="P904" s="292"/>
      <c r="Q904" s="614"/>
      <c r="R904" s="913">
        <f t="shared" si="64"/>
        <v>0</v>
      </c>
      <c r="S904" s="913">
        <f t="shared" si="65"/>
        <v>0</v>
      </c>
      <c r="T904" s="913">
        <f t="shared" si="66"/>
        <v>0</v>
      </c>
      <c r="U904" s="914">
        <f t="shared" si="67"/>
        <v>3</v>
      </c>
      <c r="V904" s="612"/>
      <c r="W904" s="612"/>
      <c r="X904" s="612"/>
      <c r="Y904" s="612"/>
      <c r="Z904" s="612"/>
      <c r="AA904" s="612"/>
      <c r="AB904" s="612"/>
      <c r="AC904" s="612"/>
    </row>
    <row r="905" spans="1:29">
      <c r="A905" s="48" t="s">
        <v>5330</v>
      </c>
      <c r="B905" s="60">
        <v>45598</v>
      </c>
      <c r="C905" s="54" t="s">
        <v>168</v>
      </c>
      <c r="D905" s="435" t="str">
        <f>IFERROR(VLOOKUP(C905,Mychart!$A$125:$B$811,2,FALSE),"-")</f>
        <v>UTS Carrier</v>
      </c>
      <c r="E905" s="295" t="s">
        <v>233</v>
      </c>
      <c r="F905" s="58">
        <v>3</v>
      </c>
      <c r="G905" s="58"/>
      <c r="H905" s="58">
        <v>130190</v>
      </c>
      <c r="I905" s="58">
        <v>6509.5</v>
      </c>
      <c r="J905" s="56" t="s">
        <v>4809</v>
      </c>
      <c r="K905" s="56" t="s">
        <v>1213</v>
      </c>
      <c r="L905" s="292">
        <v>282</v>
      </c>
      <c r="M905" s="292"/>
      <c r="N905" s="358"/>
      <c r="O905" s="292"/>
      <c r="P905" s="292"/>
      <c r="Q905" s="614"/>
      <c r="R905" s="913">
        <f t="shared" si="64"/>
        <v>0</v>
      </c>
      <c r="S905" s="913">
        <f t="shared" si="65"/>
        <v>0</v>
      </c>
      <c r="T905" s="913">
        <f t="shared" si="66"/>
        <v>0</v>
      </c>
      <c r="U905" s="914">
        <f t="shared" si="67"/>
        <v>3</v>
      </c>
      <c r="V905" s="612"/>
      <c r="W905" s="612"/>
      <c r="X905" s="612"/>
      <c r="Y905" s="612"/>
      <c r="Z905" s="612"/>
      <c r="AA905" s="612"/>
      <c r="AB905" s="612"/>
      <c r="AC905" s="612"/>
    </row>
    <row r="906" spans="1:29">
      <c r="A906" s="48" t="s">
        <v>5330</v>
      </c>
      <c r="B906" s="60">
        <v>45598</v>
      </c>
      <c r="C906" s="54" t="s">
        <v>168</v>
      </c>
      <c r="D906" s="435" t="str">
        <f>IFERROR(VLOOKUP(C906,Mychart!$A$125:$B$811,2,FALSE),"-")</f>
        <v>UTS Carrier</v>
      </c>
      <c r="E906" s="295" t="s">
        <v>832</v>
      </c>
      <c r="F906" s="58">
        <v>5</v>
      </c>
      <c r="G906" s="58"/>
      <c r="H906" s="58">
        <v>130190</v>
      </c>
      <c r="I906" s="58">
        <v>6509.5</v>
      </c>
      <c r="J906" s="56" t="s">
        <v>4809</v>
      </c>
      <c r="K906" s="56" t="s">
        <v>1213</v>
      </c>
      <c r="L906" s="292">
        <v>282</v>
      </c>
      <c r="M906" s="292"/>
      <c r="N906" s="358"/>
      <c r="O906" s="292"/>
      <c r="P906" s="292"/>
      <c r="Q906" s="614"/>
      <c r="R906" s="913">
        <f t="shared" si="64"/>
        <v>0</v>
      </c>
      <c r="S906" s="913">
        <f t="shared" si="65"/>
        <v>0</v>
      </c>
      <c r="T906" s="913">
        <f t="shared" si="66"/>
        <v>0</v>
      </c>
      <c r="U906" s="914">
        <f t="shared" si="67"/>
        <v>5</v>
      </c>
      <c r="V906" s="612"/>
      <c r="W906" s="612"/>
      <c r="X906" s="612"/>
      <c r="Y906" s="612"/>
      <c r="Z906" s="612"/>
      <c r="AA906" s="612"/>
      <c r="AB906" s="612"/>
      <c r="AC906" s="612"/>
    </row>
    <row r="907" spans="1:29">
      <c r="A907" s="48" t="s">
        <v>5330</v>
      </c>
      <c r="B907" s="60">
        <v>45598</v>
      </c>
      <c r="C907" s="54" t="s">
        <v>168</v>
      </c>
      <c r="D907" s="435" t="str">
        <f>IFERROR(VLOOKUP(C907,Mychart!$A$125:$B$811,2,FALSE),"-")</f>
        <v>UTS Carrier</v>
      </c>
      <c r="E907" s="295" t="s">
        <v>833</v>
      </c>
      <c r="F907" s="58">
        <v>5</v>
      </c>
      <c r="G907" s="58"/>
      <c r="H907" s="58">
        <v>130190</v>
      </c>
      <c r="I907" s="58">
        <v>6509.5</v>
      </c>
      <c r="J907" s="56" t="s">
        <v>4809</v>
      </c>
      <c r="K907" s="56" t="s">
        <v>1213</v>
      </c>
      <c r="L907" s="292">
        <v>282</v>
      </c>
      <c r="M907" s="292"/>
      <c r="N907" s="358"/>
      <c r="O907" s="292"/>
      <c r="P907" s="292"/>
      <c r="Q907" s="614"/>
      <c r="R907" s="913">
        <f t="shared" si="64"/>
        <v>0</v>
      </c>
      <c r="S907" s="913">
        <f t="shared" si="65"/>
        <v>0</v>
      </c>
      <c r="T907" s="913">
        <f t="shared" si="66"/>
        <v>0</v>
      </c>
      <c r="U907" s="914">
        <f t="shared" si="67"/>
        <v>5</v>
      </c>
      <c r="V907" s="612"/>
      <c r="W907" s="612"/>
      <c r="X907" s="612"/>
      <c r="Y907" s="612"/>
      <c r="Z907" s="612"/>
      <c r="AA907" s="612"/>
      <c r="AB907" s="612"/>
      <c r="AC907" s="612"/>
    </row>
    <row r="908" spans="1:29">
      <c r="A908" s="48" t="s">
        <v>5330</v>
      </c>
      <c r="B908" s="60">
        <v>45598</v>
      </c>
      <c r="C908" s="54" t="s">
        <v>168</v>
      </c>
      <c r="D908" s="435" t="str">
        <f>IFERROR(VLOOKUP(C908,Mychart!$A$125:$B$811,2,FALSE),"-")</f>
        <v>UTS Carrier</v>
      </c>
      <c r="E908" s="295" t="s">
        <v>3012</v>
      </c>
      <c r="F908" s="58">
        <v>1</v>
      </c>
      <c r="G908" s="58"/>
      <c r="H908" s="58">
        <v>130190</v>
      </c>
      <c r="I908" s="58">
        <v>6509.5</v>
      </c>
      <c r="J908" s="56" t="s">
        <v>4809</v>
      </c>
      <c r="K908" s="56" t="s">
        <v>1213</v>
      </c>
      <c r="L908" s="292">
        <v>282</v>
      </c>
      <c r="M908" s="292"/>
      <c r="N908" s="358"/>
      <c r="O908" s="292"/>
      <c r="P908" s="292"/>
      <c r="Q908" s="614"/>
      <c r="R908" s="913">
        <f t="shared" si="64"/>
        <v>0</v>
      </c>
      <c r="S908" s="913">
        <f t="shared" si="65"/>
        <v>0</v>
      </c>
      <c r="T908" s="913">
        <f t="shared" si="66"/>
        <v>0</v>
      </c>
      <c r="U908" s="914">
        <f t="shared" si="67"/>
        <v>1</v>
      </c>
      <c r="V908" s="612"/>
      <c r="W908" s="612"/>
      <c r="X908" s="612"/>
      <c r="Y908" s="612"/>
      <c r="Z908" s="612"/>
      <c r="AA908" s="612"/>
      <c r="AB908" s="612"/>
      <c r="AC908" s="612"/>
    </row>
    <row r="909" spans="1:29">
      <c r="A909" s="48" t="s">
        <v>5330</v>
      </c>
      <c r="B909" s="60">
        <v>45598</v>
      </c>
      <c r="C909" s="54" t="s">
        <v>168</v>
      </c>
      <c r="D909" s="435" t="str">
        <f>IFERROR(VLOOKUP(C909,Mychart!$A$125:$B$811,2,FALSE),"-")</f>
        <v>UTS Carrier</v>
      </c>
      <c r="E909" s="295" t="s">
        <v>3013</v>
      </c>
      <c r="F909" s="58">
        <v>1</v>
      </c>
      <c r="G909" s="58"/>
      <c r="H909" s="58">
        <v>130190</v>
      </c>
      <c r="I909" s="58">
        <v>6509.5</v>
      </c>
      <c r="J909" s="56" t="s">
        <v>4809</v>
      </c>
      <c r="K909" s="56" t="s">
        <v>1213</v>
      </c>
      <c r="L909" s="292">
        <v>282</v>
      </c>
      <c r="M909" s="292"/>
      <c r="N909" s="358"/>
      <c r="O909" s="292"/>
      <c r="P909" s="292"/>
      <c r="Q909" s="614"/>
      <c r="R909" s="913">
        <f t="shared" si="64"/>
        <v>0</v>
      </c>
      <c r="S909" s="913">
        <f t="shared" si="65"/>
        <v>0</v>
      </c>
      <c r="T909" s="913">
        <f t="shared" si="66"/>
        <v>0</v>
      </c>
      <c r="U909" s="914">
        <f t="shared" si="67"/>
        <v>1</v>
      </c>
      <c r="V909" s="612"/>
      <c r="W909" s="612"/>
      <c r="X909" s="612"/>
      <c r="Y909" s="612"/>
      <c r="Z909" s="612"/>
      <c r="AA909" s="612"/>
      <c r="AB909" s="612"/>
      <c r="AC909" s="612"/>
    </row>
    <row r="910" spans="1:29">
      <c r="A910" s="48" t="s">
        <v>5330</v>
      </c>
      <c r="B910" s="60">
        <v>45598</v>
      </c>
      <c r="C910" s="54" t="s">
        <v>168</v>
      </c>
      <c r="D910" s="435" t="str">
        <f>IFERROR(VLOOKUP(C910,Mychart!$A$125:$B$811,2,FALSE),"-")</f>
        <v>UTS Carrier</v>
      </c>
      <c r="E910" s="295" t="s">
        <v>5331</v>
      </c>
      <c r="F910" s="58">
        <v>1</v>
      </c>
      <c r="G910" s="58"/>
      <c r="H910" s="58">
        <v>130190</v>
      </c>
      <c r="I910" s="58">
        <v>6509.5</v>
      </c>
      <c r="J910" s="56" t="s">
        <v>4809</v>
      </c>
      <c r="K910" s="56" t="s">
        <v>1213</v>
      </c>
      <c r="L910" s="292">
        <v>282</v>
      </c>
      <c r="M910" s="292"/>
      <c r="N910" s="358"/>
      <c r="O910" s="292"/>
      <c r="P910" s="292"/>
      <c r="Q910" s="614"/>
      <c r="R910" s="913">
        <f t="shared" si="64"/>
        <v>0</v>
      </c>
      <c r="S910" s="913">
        <f t="shared" si="65"/>
        <v>0</v>
      </c>
      <c r="T910" s="913">
        <f t="shared" si="66"/>
        <v>0</v>
      </c>
      <c r="U910" s="914">
        <f t="shared" si="67"/>
        <v>1</v>
      </c>
      <c r="V910" s="612"/>
      <c r="W910" s="612"/>
      <c r="X910" s="612"/>
      <c r="Y910" s="612"/>
      <c r="Z910" s="612"/>
      <c r="AA910" s="612"/>
      <c r="AB910" s="612"/>
      <c r="AC910" s="612"/>
    </row>
    <row r="911" spans="1:29">
      <c r="A911" s="48" t="s">
        <v>5330</v>
      </c>
      <c r="B911" s="60">
        <v>45598</v>
      </c>
      <c r="C911" s="54" t="s">
        <v>168</v>
      </c>
      <c r="D911" s="435" t="str">
        <f>IFERROR(VLOOKUP(C911,Mychart!$A$125:$B$811,2,FALSE),"-")</f>
        <v>UTS Carrier</v>
      </c>
      <c r="E911" s="295" t="s">
        <v>1236</v>
      </c>
      <c r="F911" s="58">
        <v>1</v>
      </c>
      <c r="G911" s="58"/>
      <c r="H911" s="58">
        <v>130190</v>
      </c>
      <c r="I911" s="58">
        <v>6509.5</v>
      </c>
      <c r="J911" s="56" t="s">
        <v>4809</v>
      </c>
      <c r="K911" s="56" t="s">
        <v>1213</v>
      </c>
      <c r="L911" s="292">
        <v>282</v>
      </c>
      <c r="M911" s="292"/>
      <c r="N911" s="358"/>
      <c r="O911" s="292"/>
      <c r="P911" s="292"/>
      <c r="Q911" s="614"/>
      <c r="R911" s="913">
        <f t="shared" si="64"/>
        <v>0</v>
      </c>
      <c r="S911" s="913">
        <f t="shared" si="65"/>
        <v>0</v>
      </c>
      <c r="T911" s="913">
        <f t="shared" si="66"/>
        <v>0</v>
      </c>
      <c r="U911" s="914">
        <f t="shared" si="67"/>
        <v>1</v>
      </c>
      <c r="V911" s="612"/>
      <c r="W911" s="612"/>
      <c r="X911" s="612"/>
      <c r="Y911" s="612"/>
      <c r="Z911" s="612"/>
      <c r="AA911" s="612"/>
      <c r="AB911" s="612"/>
      <c r="AC911" s="612"/>
    </row>
    <row r="912" spans="1:29">
      <c r="A912" s="48" t="s">
        <v>5330</v>
      </c>
      <c r="B912" s="60">
        <v>45598</v>
      </c>
      <c r="C912" s="54" t="s">
        <v>168</v>
      </c>
      <c r="D912" s="435" t="str">
        <f>IFERROR(VLOOKUP(C912,Mychart!$A$125:$B$811,2,FALSE),"-")</f>
        <v>UTS Carrier</v>
      </c>
      <c r="E912" s="295" t="s">
        <v>1271</v>
      </c>
      <c r="F912" s="58">
        <v>11</v>
      </c>
      <c r="G912" s="58"/>
      <c r="H912" s="58">
        <v>130190</v>
      </c>
      <c r="I912" s="58">
        <v>6509.5</v>
      </c>
      <c r="J912" s="56" t="s">
        <v>4809</v>
      </c>
      <c r="K912" s="56" t="s">
        <v>1213</v>
      </c>
      <c r="L912" s="292">
        <v>282</v>
      </c>
      <c r="M912" s="292"/>
      <c r="N912" s="358"/>
      <c r="O912" s="292"/>
      <c r="P912" s="292"/>
      <c r="Q912" s="614"/>
      <c r="R912" s="913">
        <f t="shared" si="64"/>
        <v>0</v>
      </c>
      <c r="S912" s="913">
        <f t="shared" si="65"/>
        <v>0</v>
      </c>
      <c r="T912" s="913">
        <f t="shared" si="66"/>
        <v>0</v>
      </c>
      <c r="U912" s="914">
        <f t="shared" si="67"/>
        <v>11</v>
      </c>
      <c r="V912" s="612"/>
      <c r="W912" s="612"/>
      <c r="X912" s="612"/>
      <c r="Y912" s="612"/>
      <c r="Z912" s="612"/>
      <c r="AA912" s="612"/>
      <c r="AB912" s="612"/>
      <c r="AC912" s="612"/>
    </row>
    <row r="913" spans="1:29">
      <c r="A913" s="48" t="s">
        <v>5330</v>
      </c>
      <c r="B913" s="60">
        <v>45598</v>
      </c>
      <c r="C913" s="54" t="s">
        <v>168</v>
      </c>
      <c r="D913" s="435" t="str">
        <f>IFERROR(VLOOKUP(C913,Mychart!$A$125:$B$811,2,FALSE),"-")</f>
        <v>UTS Carrier</v>
      </c>
      <c r="E913" s="295" t="s">
        <v>5317</v>
      </c>
      <c r="F913" s="58">
        <v>1</v>
      </c>
      <c r="G913" s="58">
        <v>130190</v>
      </c>
      <c r="H913" s="58">
        <v>130190</v>
      </c>
      <c r="I913" s="58">
        <v>6509.5</v>
      </c>
      <c r="J913" s="56" t="s">
        <v>5344</v>
      </c>
      <c r="K913" s="56" t="s">
        <v>1213</v>
      </c>
      <c r="L913" s="292">
        <v>282</v>
      </c>
      <c r="M913" s="292"/>
      <c r="N913" s="358"/>
      <c r="O913" s="292"/>
      <c r="P913" s="292"/>
      <c r="Q913" s="614">
        <v>136699.5</v>
      </c>
      <c r="R913" s="913">
        <f t="shared" si="64"/>
        <v>0</v>
      </c>
      <c r="S913" s="913">
        <f t="shared" si="65"/>
        <v>136699.5</v>
      </c>
      <c r="T913" s="913">
        <f t="shared" si="66"/>
        <v>136699.5</v>
      </c>
      <c r="U913" s="914">
        <f t="shared" si="67"/>
        <v>1</v>
      </c>
      <c r="V913" s="612"/>
      <c r="W913" s="612"/>
      <c r="X913" s="612"/>
      <c r="Y913" s="612"/>
      <c r="Z913" s="612"/>
      <c r="AA913" s="612"/>
      <c r="AB913" s="612"/>
      <c r="AC913" s="612"/>
    </row>
    <row r="914" spans="1:29">
      <c r="A914" s="48" t="s">
        <v>5332</v>
      </c>
      <c r="B914" s="60">
        <v>45598</v>
      </c>
      <c r="C914" s="54" t="s">
        <v>168</v>
      </c>
      <c r="D914" s="435" t="str">
        <f>IFERROR(VLOOKUP(C914,Mychart!$A$125:$B$811,2,FALSE),"-")</f>
        <v>UTS Carrier</v>
      </c>
      <c r="E914" s="295" t="s">
        <v>825</v>
      </c>
      <c r="F914" s="58">
        <v>1</v>
      </c>
      <c r="G914" s="58"/>
      <c r="H914" s="58">
        <v>72335</v>
      </c>
      <c r="I914" s="58">
        <v>3616.75</v>
      </c>
      <c r="J914" s="56" t="s">
        <v>4809</v>
      </c>
      <c r="K914" s="56" t="s">
        <v>5260</v>
      </c>
      <c r="L914" s="292">
        <v>289</v>
      </c>
      <c r="M914" s="292"/>
      <c r="N914" s="358"/>
      <c r="O914" s="292"/>
      <c r="P914" s="292"/>
      <c r="Q914" s="614"/>
      <c r="R914" s="913">
        <f t="shared" si="64"/>
        <v>0</v>
      </c>
      <c r="S914" s="913">
        <f t="shared" si="65"/>
        <v>0</v>
      </c>
      <c r="T914" s="913">
        <f t="shared" si="66"/>
        <v>0</v>
      </c>
      <c r="U914" s="914">
        <f t="shared" si="67"/>
        <v>1</v>
      </c>
      <c r="V914" s="612"/>
      <c r="W914" s="612"/>
      <c r="X914" s="612"/>
      <c r="Y914" s="612"/>
      <c r="Z914" s="612"/>
      <c r="AA914" s="612"/>
      <c r="AB914" s="612"/>
      <c r="AC914" s="612"/>
    </row>
    <row r="915" spans="1:29">
      <c r="A915" s="48" t="s">
        <v>5332</v>
      </c>
      <c r="B915" s="60">
        <v>45598</v>
      </c>
      <c r="C915" s="54" t="s">
        <v>168</v>
      </c>
      <c r="D915" s="435" t="str">
        <f>IFERROR(VLOOKUP(C915,Mychart!$A$125:$B$811,2,FALSE),"-")</f>
        <v>UTS Carrier</v>
      </c>
      <c r="E915" s="295" t="s">
        <v>826</v>
      </c>
      <c r="F915" s="58">
        <v>1</v>
      </c>
      <c r="G915" s="58"/>
      <c r="H915" s="58">
        <v>72335</v>
      </c>
      <c r="I915" s="58">
        <v>3616.75</v>
      </c>
      <c r="J915" s="56" t="s">
        <v>4809</v>
      </c>
      <c r="K915" s="56" t="s">
        <v>5260</v>
      </c>
      <c r="L915" s="292">
        <v>289</v>
      </c>
      <c r="M915" s="292"/>
      <c r="N915" s="358"/>
      <c r="O915" s="292"/>
      <c r="P915" s="292"/>
      <c r="Q915" s="614"/>
      <c r="R915" s="913">
        <f t="shared" si="64"/>
        <v>0</v>
      </c>
      <c r="S915" s="913">
        <f t="shared" si="65"/>
        <v>0</v>
      </c>
      <c r="T915" s="913">
        <f t="shared" si="66"/>
        <v>0</v>
      </c>
      <c r="U915" s="914">
        <f t="shared" si="67"/>
        <v>1</v>
      </c>
      <c r="V915" s="612"/>
      <c r="W915" s="612"/>
      <c r="X915" s="612"/>
      <c r="Y915" s="612"/>
      <c r="Z915" s="612"/>
      <c r="AA915" s="612"/>
      <c r="AB915" s="612"/>
      <c r="AC915" s="612"/>
    </row>
    <row r="916" spans="1:29">
      <c r="A916" s="48" t="s">
        <v>5332</v>
      </c>
      <c r="B916" s="60">
        <v>45598</v>
      </c>
      <c r="C916" s="54" t="s">
        <v>168</v>
      </c>
      <c r="D916" s="435" t="str">
        <f>IFERROR(VLOOKUP(C916,Mychart!$A$125:$B$811,2,FALSE),"-")</f>
        <v>UTS Carrier</v>
      </c>
      <c r="E916" s="295" t="s">
        <v>827</v>
      </c>
      <c r="F916" s="58">
        <v>3</v>
      </c>
      <c r="G916" s="58"/>
      <c r="H916" s="58">
        <v>72335</v>
      </c>
      <c r="I916" s="58">
        <v>3616.75</v>
      </c>
      <c r="J916" s="56" t="s">
        <v>4809</v>
      </c>
      <c r="K916" s="56" t="s">
        <v>5260</v>
      </c>
      <c r="L916" s="292">
        <v>289</v>
      </c>
      <c r="M916" s="292"/>
      <c r="N916" s="358"/>
      <c r="O916" s="292"/>
      <c r="P916" s="292"/>
      <c r="Q916" s="614"/>
      <c r="R916" s="913">
        <f t="shared" si="64"/>
        <v>0</v>
      </c>
      <c r="S916" s="913">
        <f t="shared" si="65"/>
        <v>0</v>
      </c>
      <c r="T916" s="913">
        <f t="shared" si="66"/>
        <v>0</v>
      </c>
      <c r="U916" s="914">
        <f t="shared" si="67"/>
        <v>3</v>
      </c>
      <c r="V916" s="612"/>
      <c r="W916" s="612"/>
      <c r="X916" s="612"/>
      <c r="Y916" s="612"/>
      <c r="Z916" s="612"/>
      <c r="AA916" s="612"/>
      <c r="AB916" s="612"/>
      <c r="AC916" s="612"/>
    </row>
    <row r="917" spans="1:29">
      <c r="A917" s="48" t="s">
        <v>5332</v>
      </c>
      <c r="B917" s="60">
        <v>45598</v>
      </c>
      <c r="C917" s="54" t="s">
        <v>168</v>
      </c>
      <c r="D917" s="435" t="str">
        <f>IFERROR(VLOOKUP(C917,Mychart!$A$125:$B$811,2,FALSE),"-")</f>
        <v>UTS Carrier</v>
      </c>
      <c r="E917" s="295" t="s">
        <v>828</v>
      </c>
      <c r="F917" s="58">
        <v>3</v>
      </c>
      <c r="G917" s="58"/>
      <c r="H917" s="58">
        <v>72335</v>
      </c>
      <c r="I917" s="58">
        <v>3616.75</v>
      </c>
      <c r="J917" s="56" t="s">
        <v>4809</v>
      </c>
      <c r="K917" s="56" t="s">
        <v>5260</v>
      </c>
      <c r="L917" s="292">
        <v>289</v>
      </c>
      <c r="M917" s="292"/>
      <c r="N917" s="358"/>
      <c r="O917" s="292"/>
      <c r="P917" s="292"/>
      <c r="Q917" s="614"/>
      <c r="R917" s="913">
        <f t="shared" si="64"/>
        <v>0</v>
      </c>
      <c r="S917" s="913">
        <f t="shared" si="65"/>
        <v>0</v>
      </c>
      <c r="T917" s="913">
        <f t="shared" si="66"/>
        <v>0</v>
      </c>
      <c r="U917" s="914">
        <f t="shared" si="67"/>
        <v>3</v>
      </c>
      <c r="V917" s="612"/>
      <c r="W917" s="612"/>
      <c r="X917" s="612"/>
      <c r="Y917" s="612"/>
      <c r="Z917" s="612"/>
      <c r="AA917" s="612"/>
      <c r="AB917" s="612"/>
      <c r="AC917" s="612"/>
    </row>
    <row r="918" spans="1:29">
      <c r="A918" s="48" t="s">
        <v>5332</v>
      </c>
      <c r="B918" s="60">
        <v>45598</v>
      </c>
      <c r="C918" s="54" t="s">
        <v>168</v>
      </c>
      <c r="D918" s="435" t="str">
        <f>IFERROR(VLOOKUP(C918,Mychart!$A$125:$B$811,2,FALSE),"-")</f>
        <v>UTS Carrier</v>
      </c>
      <c r="E918" s="295" t="s">
        <v>238</v>
      </c>
      <c r="F918" s="58">
        <v>1</v>
      </c>
      <c r="G918" s="58"/>
      <c r="H918" s="58">
        <v>72335</v>
      </c>
      <c r="I918" s="58">
        <v>3616.75</v>
      </c>
      <c r="J918" s="56" t="s">
        <v>4809</v>
      </c>
      <c r="K918" s="56" t="s">
        <v>5260</v>
      </c>
      <c r="L918" s="292">
        <v>289</v>
      </c>
      <c r="M918" s="292"/>
      <c r="N918" s="358"/>
      <c r="O918" s="292"/>
      <c r="P918" s="292"/>
      <c r="Q918" s="614"/>
      <c r="R918" s="913">
        <f t="shared" si="64"/>
        <v>0</v>
      </c>
      <c r="S918" s="913">
        <f t="shared" si="65"/>
        <v>0</v>
      </c>
      <c r="T918" s="913">
        <f t="shared" si="66"/>
        <v>0</v>
      </c>
      <c r="U918" s="914">
        <f t="shared" si="67"/>
        <v>1</v>
      </c>
      <c r="V918" s="612"/>
      <c r="W918" s="612"/>
      <c r="X918" s="612"/>
      <c r="Y918" s="612"/>
      <c r="Z918" s="612"/>
      <c r="AA918" s="612"/>
      <c r="AB918" s="612"/>
      <c r="AC918" s="612"/>
    </row>
    <row r="919" spans="1:29">
      <c r="A919" s="48" t="s">
        <v>5332</v>
      </c>
      <c r="B919" s="60">
        <v>45598</v>
      </c>
      <c r="C919" s="54" t="s">
        <v>168</v>
      </c>
      <c r="D919" s="435" t="str">
        <f>IFERROR(VLOOKUP(C919,Mychart!$A$125:$B$811,2,FALSE),"-")</f>
        <v>UTS Carrier</v>
      </c>
      <c r="E919" s="295" t="s">
        <v>239</v>
      </c>
      <c r="F919" s="58">
        <v>1</v>
      </c>
      <c r="G919" s="58"/>
      <c r="H919" s="58">
        <v>72335</v>
      </c>
      <c r="I919" s="58">
        <v>3616.75</v>
      </c>
      <c r="J919" s="56" t="s">
        <v>4809</v>
      </c>
      <c r="K919" s="56" t="s">
        <v>5260</v>
      </c>
      <c r="L919" s="292">
        <v>289</v>
      </c>
      <c r="M919" s="292"/>
      <c r="N919" s="358"/>
      <c r="O919" s="292"/>
      <c r="P919" s="292"/>
      <c r="Q919" s="614"/>
      <c r="R919" s="913">
        <f t="shared" si="64"/>
        <v>0</v>
      </c>
      <c r="S919" s="913">
        <f t="shared" si="65"/>
        <v>0</v>
      </c>
      <c r="T919" s="913">
        <f t="shared" si="66"/>
        <v>0</v>
      </c>
      <c r="U919" s="914">
        <f t="shared" si="67"/>
        <v>1</v>
      </c>
      <c r="V919" s="612"/>
      <c r="W919" s="612"/>
      <c r="X919" s="612"/>
      <c r="Y919" s="612"/>
      <c r="Z919" s="612"/>
      <c r="AA919" s="612"/>
      <c r="AB919" s="612"/>
      <c r="AC919" s="612"/>
    </row>
    <row r="920" spans="1:29">
      <c r="A920" s="48" t="s">
        <v>5332</v>
      </c>
      <c r="B920" s="60">
        <v>45598</v>
      </c>
      <c r="C920" s="54" t="s">
        <v>168</v>
      </c>
      <c r="D920" s="435" t="str">
        <f>IFERROR(VLOOKUP(C920,Mychart!$A$125:$B$811,2,FALSE),"-")</f>
        <v>UTS Carrier</v>
      </c>
      <c r="E920" s="295" t="s">
        <v>234</v>
      </c>
      <c r="F920" s="58">
        <v>2</v>
      </c>
      <c r="G920" s="58"/>
      <c r="H920" s="58">
        <v>72335</v>
      </c>
      <c r="I920" s="58">
        <v>3616.75</v>
      </c>
      <c r="J920" s="56" t="s">
        <v>4809</v>
      </c>
      <c r="K920" s="56" t="s">
        <v>5260</v>
      </c>
      <c r="L920" s="292">
        <v>289</v>
      </c>
      <c r="M920" s="292"/>
      <c r="N920" s="358"/>
      <c r="O920" s="292"/>
      <c r="P920" s="292"/>
      <c r="Q920" s="614"/>
      <c r="R920" s="913">
        <f t="shared" si="64"/>
        <v>0</v>
      </c>
      <c r="S920" s="913">
        <f t="shared" si="65"/>
        <v>0</v>
      </c>
      <c r="T920" s="913">
        <f t="shared" si="66"/>
        <v>0</v>
      </c>
      <c r="U920" s="914">
        <f t="shared" si="67"/>
        <v>2</v>
      </c>
      <c r="V920" s="612"/>
      <c r="W920" s="612"/>
      <c r="X920" s="612"/>
      <c r="Y920" s="612"/>
      <c r="Z920" s="612"/>
      <c r="AA920" s="612"/>
      <c r="AB920" s="612"/>
      <c r="AC920" s="612"/>
    </row>
    <row r="921" spans="1:29">
      <c r="A921" s="48" t="s">
        <v>5332</v>
      </c>
      <c r="B921" s="60">
        <v>45598</v>
      </c>
      <c r="C921" s="54" t="s">
        <v>168</v>
      </c>
      <c r="D921" s="435" t="str">
        <f>IFERROR(VLOOKUP(C921,Mychart!$A$125:$B$811,2,FALSE),"-")</f>
        <v>UTS Carrier</v>
      </c>
      <c r="E921" s="295" t="s">
        <v>235</v>
      </c>
      <c r="F921" s="58">
        <v>2</v>
      </c>
      <c r="G921" s="58"/>
      <c r="H921" s="58">
        <v>72335</v>
      </c>
      <c r="I921" s="58">
        <v>3616.75</v>
      </c>
      <c r="J921" s="56" t="s">
        <v>4809</v>
      </c>
      <c r="K921" s="56" t="s">
        <v>5260</v>
      </c>
      <c r="L921" s="292">
        <v>289</v>
      </c>
      <c r="M921" s="292"/>
      <c r="N921" s="358"/>
      <c r="O921" s="292"/>
      <c r="P921" s="292"/>
      <c r="Q921" s="614"/>
      <c r="R921" s="913">
        <f t="shared" si="64"/>
        <v>0</v>
      </c>
      <c r="S921" s="913">
        <f t="shared" si="65"/>
        <v>0</v>
      </c>
      <c r="T921" s="913">
        <f t="shared" si="66"/>
        <v>0</v>
      </c>
      <c r="U921" s="914">
        <f t="shared" si="67"/>
        <v>2</v>
      </c>
      <c r="V921" s="612"/>
      <c r="W921" s="612"/>
      <c r="X921" s="612"/>
      <c r="Y921" s="612"/>
      <c r="Z921" s="612"/>
      <c r="AA921" s="612"/>
      <c r="AB921" s="612"/>
      <c r="AC921" s="612"/>
    </row>
    <row r="922" spans="1:29">
      <c r="A922" s="48" t="s">
        <v>5332</v>
      </c>
      <c r="B922" s="60">
        <v>45598</v>
      </c>
      <c r="C922" s="54" t="s">
        <v>168</v>
      </c>
      <c r="D922" s="435" t="str">
        <f>IFERROR(VLOOKUP(C922,Mychart!$A$125:$B$811,2,FALSE),"-")</f>
        <v>UTS Carrier</v>
      </c>
      <c r="E922" s="295" t="s">
        <v>232</v>
      </c>
      <c r="F922" s="58">
        <v>3</v>
      </c>
      <c r="G922" s="58"/>
      <c r="H922" s="58">
        <v>72335</v>
      </c>
      <c r="I922" s="58">
        <v>3616.75</v>
      </c>
      <c r="J922" s="56" t="s">
        <v>4809</v>
      </c>
      <c r="K922" s="56" t="s">
        <v>5260</v>
      </c>
      <c r="L922" s="292">
        <v>289</v>
      </c>
      <c r="M922" s="292"/>
      <c r="N922" s="358"/>
      <c r="O922" s="292"/>
      <c r="P922" s="292"/>
      <c r="Q922" s="614"/>
      <c r="R922" s="913">
        <f t="shared" si="64"/>
        <v>0</v>
      </c>
      <c r="S922" s="913">
        <f t="shared" si="65"/>
        <v>0</v>
      </c>
      <c r="T922" s="913">
        <f t="shared" si="66"/>
        <v>0</v>
      </c>
      <c r="U922" s="914">
        <f t="shared" si="67"/>
        <v>3</v>
      </c>
      <c r="V922" s="612"/>
      <c r="W922" s="612"/>
      <c r="X922" s="612"/>
      <c r="Y922" s="612"/>
      <c r="Z922" s="612"/>
      <c r="AA922" s="612"/>
      <c r="AB922" s="612"/>
      <c r="AC922" s="612"/>
    </row>
    <row r="923" spans="1:29">
      <c r="A923" s="48" t="s">
        <v>5332</v>
      </c>
      <c r="B923" s="60">
        <v>45598</v>
      </c>
      <c r="C923" s="54" t="s">
        <v>168</v>
      </c>
      <c r="D923" s="435" t="str">
        <f>IFERROR(VLOOKUP(C923,Mychart!$A$125:$B$811,2,FALSE),"-")</f>
        <v>UTS Carrier</v>
      </c>
      <c r="E923" s="295" t="s">
        <v>233</v>
      </c>
      <c r="F923" s="58">
        <v>3</v>
      </c>
      <c r="G923" s="58"/>
      <c r="H923" s="58">
        <v>72335</v>
      </c>
      <c r="I923" s="58">
        <v>3616.75</v>
      </c>
      <c r="J923" s="56" t="s">
        <v>4809</v>
      </c>
      <c r="K923" s="56" t="s">
        <v>5260</v>
      </c>
      <c r="L923" s="292">
        <v>289</v>
      </c>
      <c r="M923" s="292"/>
      <c r="N923" s="358"/>
      <c r="O923" s="292"/>
      <c r="P923" s="292"/>
      <c r="Q923" s="614"/>
      <c r="R923" s="913">
        <f t="shared" si="64"/>
        <v>0</v>
      </c>
      <c r="S923" s="913">
        <f t="shared" si="65"/>
        <v>0</v>
      </c>
      <c r="T923" s="913">
        <f t="shared" si="66"/>
        <v>0</v>
      </c>
      <c r="U923" s="914">
        <f t="shared" si="67"/>
        <v>3</v>
      </c>
      <c r="V923" s="612"/>
      <c r="W923" s="612"/>
      <c r="X923" s="612"/>
      <c r="Y923" s="612"/>
      <c r="Z923" s="612"/>
      <c r="AA923" s="612"/>
      <c r="AB923" s="612"/>
      <c r="AC923" s="612"/>
    </row>
    <row r="924" spans="1:29">
      <c r="A924" s="48" t="s">
        <v>5332</v>
      </c>
      <c r="B924" s="60">
        <v>45598</v>
      </c>
      <c r="C924" s="54" t="s">
        <v>168</v>
      </c>
      <c r="D924" s="435" t="str">
        <f>IFERROR(VLOOKUP(C924,Mychart!$A$125:$B$811,2,FALSE),"-")</f>
        <v>UTS Carrier</v>
      </c>
      <c r="E924" s="295" t="s">
        <v>832</v>
      </c>
      <c r="F924" s="58">
        <v>1</v>
      </c>
      <c r="G924" s="58"/>
      <c r="H924" s="58">
        <v>72335</v>
      </c>
      <c r="I924" s="58">
        <v>3616.75</v>
      </c>
      <c r="J924" s="56" t="s">
        <v>4809</v>
      </c>
      <c r="K924" s="56" t="s">
        <v>5260</v>
      </c>
      <c r="L924" s="292">
        <v>289</v>
      </c>
      <c r="M924" s="292"/>
      <c r="N924" s="358"/>
      <c r="O924" s="292"/>
      <c r="P924" s="292"/>
      <c r="Q924" s="614"/>
      <c r="R924" s="913">
        <f t="shared" si="64"/>
        <v>0</v>
      </c>
      <c r="S924" s="913">
        <f t="shared" si="65"/>
        <v>0</v>
      </c>
      <c r="T924" s="913">
        <f t="shared" si="66"/>
        <v>0</v>
      </c>
      <c r="U924" s="914">
        <f t="shared" si="67"/>
        <v>1</v>
      </c>
      <c r="V924" s="612"/>
      <c r="W924" s="612"/>
      <c r="X924" s="612"/>
      <c r="Y924" s="612"/>
      <c r="Z924" s="612"/>
      <c r="AA924" s="612"/>
      <c r="AB924" s="612"/>
      <c r="AC924" s="612"/>
    </row>
    <row r="925" spans="1:29">
      <c r="A925" s="48" t="s">
        <v>5332</v>
      </c>
      <c r="B925" s="60">
        <v>45598</v>
      </c>
      <c r="C925" s="54" t="s">
        <v>168</v>
      </c>
      <c r="D925" s="435" t="str">
        <f>IFERROR(VLOOKUP(C925,Mychart!$A$125:$B$811,2,FALSE),"-")</f>
        <v>UTS Carrier</v>
      </c>
      <c r="E925" s="295" t="s">
        <v>833</v>
      </c>
      <c r="F925" s="58">
        <v>1</v>
      </c>
      <c r="G925" s="58"/>
      <c r="H925" s="58">
        <v>72335</v>
      </c>
      <c r="I925" s="58">
        <v>3616.75</v>
      </c>
      <c r="J925" s="56" t="s">
        <v>4809</v>
      </c>
      <c r="K925" s="56" t="s">
        <v>5260</v>
      </c>
      <c r="L925" s="292">
        <v>289</v>
      </c>
      <c r="M925" s="292"/>
      <c r="N925" s="358"/>
      <c r="O925" s="292"/>
      <c r="P925" s="292"/>
      <c r="Q925" s="614"/>
      <c r="R925" s="913">
        <f t="shared" si="64"/>
        <v>0</v>
      </c>
      <c r="S925" s="913">
        <f t="shared" si="65"/>
        <v>0</v>
      </c>
      <c r="T925" s="913">
        <f t="shared" si="66"/>
        <v>0</v>
      </c>
      <c r="U925" s="914">
        <f t="shared" si="67"/>
        <v>1</v>
      </c>
      <c r="V925" s="612"/>
      <c r="W925" s="612"/>
      <c r="X925" s="612"/>
      <c r="Y925" s="612"/>
      <c r="Z925" s="612"/>
      <c r="AA925" s="612"/>
      <c r="AB925" s="612"/>
      <c r="AC925" s="612"/>
    </row>
    <row r="926" spans="1:29">
      <c r="A926" s="48" t="s">
        <v>5332</v>
      </c>
      <c r="B926" s="60">
        <v>45598</v>
      </c>
      <c r="C926" s="54" t="s">
        <v>168</v>
      </c>
      <c r="D926" s="435" t="str">
        <f>IFERROR(VLOOKUP(C926,Mychart!$A$125:$B$811,2,FALSE),"-")</f>
        <v>UTS Carrier</v>
      </c>
      <c r="E926" s="295" t="s">
        <v>1300</v>
      </c>
      <c r="F926" s="58">
        <v>10</v>
      </c>
      <c r="G926" s="58"/>
      <c r="H926" s="58">
        <v>72335</v>
      </c>
      <c r="I926" s="58">
        <v>3616.75</v>
      </c>
      <c r="J926" s="56" t="s">
        <v>4809</v>
      </c>
      <c r="K926" s="56" t="s">
        <v>5260</v>
      </c>
      <c r="L926" s="292">
        <v>289</v>
      </c>
      <c r="M926" s="292"/>
      <c r="N926" s="358"/>
      <c r="O926" s="292"/>
      <c r="P926" s="292"/>
      <c r="Q926" s="614"/>
      <c r="R926" s="913">
        <f t="shared" si="64"/>
        <v>0</v>
      </c>
      <c r="S926" s="913">
        <f t="shared" si="65"/>
        <v>0</v>
      </c>
      <c r="T926" s="913">
        <f t="shared" si="66"/>
        <v>0</v>
      </c>
      <c r="U926" s="914">
        <f t="shared" si="67"/>
        <v>10</v>
      </c>
      <c r="V926" s="612"/>
      <c r="W926" s="612"/>
      <c r="X926" s="612"/>
      <c r="Y926" s="612"/>
      <c r="Z926" s="612"/>
      <c r="AA926" s="612"/>
      <c r="AB926" s="612"/>
      <c r="AC926" s="612"/>
    </row>
    <row r="927" spans="1:29">
      <c r="A927" s="48" t="s">
        <v>5332</v>
      </c>
      <c r="B927" s="60">
        <v>45598</v>
      </c>
      <c r="C927" s="54" t="s">
        <v>168</v>
      </c>
      <c r="D927" s="435" t="str">
        <f>IFERROR(VLOOKUP(C927,Mychart!$A$125:$B$811,2,FALSE),"-")</f>
        <v>UTS Carrier</v>
      </c>
      <c r="E927" s="295" t="s">
        <v>5317</v>
      </c>
      <c r="F927" s="58">
        <v>1</v>
      </c>
      <c r="G927" s="58">
        <v>72335</v>
      </c>
      <c r="H927" s="58">
        <v>72335</v>
      </c>
      <c r="I927" s="58">
        <v>3616.75</v>
      </c>
      <c r="J927" s="56" t="s">
        <v>5343</v>
      </c>
      <c r="K927" s="56" t="s">
        <v>5260</v>
      </c>
      <c r="L927" s="292">
        <v>289</v>
      </c>
      <c r="M927" s="292"/>
      <c r="N927" s="358"/>
      <c r="O927" s="292"/>
      <c r="P927" s="292"/>
      <c r="Q927" s="614">
        <v>75951.75</v>
      </c>
      <c r="R927" s="913">
        <f t="shared" si="64"/>
        <v>0</v>
      </c>
      <c r="S927" s="913">
        <f t="shared" si="65"/>
        <v>75951.75</v>
      </c>
      <c r="T927" s="913">
        <f t="shared" si="66"/>
        <v>75951.75</v>
      </c>
      <c r="U927" s="914">
        <f t="shared" si="67"/>
        <v>1</v>
      </c>
      <c r="V927" s="612"/>
      <c r="W927" s="612"/>
      <c r="X927" s="612"/>
      <c r="Y927" s="612"/>
      <c r="Z927" s="612"/>
      <c r="AA927" s="612"/>
      <c r="AB927" s="612"/>
      <c r="AC927" s="612"/>
    </row>
    <row r="928" spans="1:29">
      <c r="A928" s="48" t="s">
        <v>5333</v>
      </c>
      <c r="B928" s="60">
        <v>45598</v>
      </c>
      <c r="C928" s="54" t="s">
        <v>168</v>
      </c>
      <c r="D928" s="435" t="str">
        <f>IFERROR(VLOOKUP(C928,Mychart!$A$125:$B$811,2,FALSE),"-")</f>
        <v>UTS Carrier</v>
      </c>
      <c r="E928" s="295" t="s">
        <v>5335</v>
      </c>
      <c r="F928" s="58">
        <v>1</v>
      </c>
      <c r="G928" s="58"/>
      <c r="H928" s="58">
        <v>101100</v>
      </c>
      <c r="I928" s="58">
        <v>5055</v>
      </c>
      <c r="J928" s="56" t="s">
        <v>4809</v>
      </c>
      <c r="K928" s="56" t="s">
        <v>5334</v>
      </c>
      <c r="L928" s="292">
        <v>264</v>
      </c>
      <c r="M928" s="292"/>
      <c r="N928" s="358"/>
      <c r="O928" s="292"/>
      <c r="P928" s="292"/>
      <c r="Q928" s="614"/>
      <c r="R928" s="913">
        <f t="shared" si="64"/>
        <v>0</v>
      </c>
      <c r="S928" s="913">
        <f t="shared" si="65"/>
        <v>0</v>
      </c>
      <c r="T928" s="913">
        <f t="shared" si="66"/>
        <v>0</v>
      </c>
      <c r="U928" s="914">
        <f t="shared" si="67"/>
        <v>1</v>
      </c>
      <c r="V928" s="612"/>
      <c r="W928" s="612"/>
      <c r="X928" s="612"/>
      <c r="Y928" s="612"/>
      <c r="Z928" s="612"/>
      <c r="AA928" s="612"/>
      <c r="AB928" s="612"/>
      <c r="AC928" s="612"/>
    </row>
    <row r="929" spans="1:29">
      <c r="A929" s="48" t="s">
        <v>5333</v>
      </c>
      <c r="B929" s="60">
        <v>45598</v>
      </c>
      <c r="C929" s="54" t="s">
        <v>168</v>
      </c>
      <c r="D929" s="435" t="str">
        <f>IFERROR(VLOOKUP(C929,Mychart!$A$125:$B$811,2,FALSE),"-")</f>
        <v>UTS Carrier</v>
      </c>
      <c r="E929" s="295" t="s">
        <v>5336</v>
      </c>
      <c r="F929" s="58">
        <v>1</v>
      </c>
      <c r="G929" s="58"/>
      <c r="H929" s="58">
        <v>101100</v>
      </c>
      <c r="I929" s="58">
        <v>5055</v>
      </c>
      <c r="J929" s="56" t="s">
        <v>4809</v>
      </c>
      <c r="K929" s="56" t="s">
        <v>5334</v>
      </c>
      <c r="L929" s="292">
        <v>264</v>
      </c>
      <c r="M929" s="292"/>
      <c r="N929" s="358"/>
      <c r="O929" s="292"/>
      <c r="P929" s="292"/>
      <c r="Q929" s="614"/>
      <c r="R929" s="913">
        <f t="shared" si="64"/>
        <v>0</v>
      </c>
      <c r="S929" s="913">
        <f t="shared" si="65"/>
        <v>0</v>
      </c>
      <c r="T929" s="913">
        <f t="shared" si="66"/>
        <v>0</v>
      </c>
      <c r="U929" s="914">
        <f t="shared" si="67"/>
        <v>1</v>
      </c>
      <c r="V929" s="612"/>
      <c r="W929" s="612"/>
      <c r="X929" s="612"/>
      <c r="Y929" s="612"/>
      <c r="Z929" s="612"/>
      <c r="AA929" s="612"/>
      <c r="AB929" s="612"/>
      <c r="AC929" s="612"/>
    </row>
    <row r="930" spans="1:29">
      <c r="A930" s="48" t="s">
        <v>5333</v>
      </c>
      <c r="B930" s="60">
        <v>45598</v>
      </c>
      <c r="C930" s="54" t="s">
        <v>168</v>
      </c>
      <c r="D930" s="435" t="str">
        <f>IFERROR(VLOOKUP(C930,Mychart!$A$125:$B$811,2,FALSE),"-")</f>
        <v>UTS Carrier</v>
      </c>
      <c r="E930" s="295" t="s">
        <v>827</v>
      </c>
      <c r="F930" s="58">
        <v>3</v>
      </c>
      <c r="G930" s="58"/>
      <c r="H930" s="58">
        <v>101100</v>
      </c>
      <c r="I930" s="58">
        <v>5055</v>
      </c>
      <c r="J930" s="56" t="s">
        <v>4809</v>
      </c>
      <c r="K930" s="56" t="s">
        <v>5334</v>
      </c>
      <c r="L930" s="292">
        <v>264</v>
      </c>
      <c r="M930" s="292"/>
      <c r="N930" s="358"/>
      <c r="O930" s="292"/>
      <c r="P930" s="292"/>
      <c r="Q930" s="614"/>
      <c r="R930" s="913">
        <f t="shared" si="64"/>
        <v>0</v>
      </c>
      <c r="S930" s="913">
        <f t="shared" si="65"/>
        <v>0</v>
      </c>
      <c r="T930" s="913">
        <f t="shared" si="66"/>
        <v>0</v>
      </c>
      <c r="U930" s="914">
        <f t="shared" si="67"/>
        <v>3</v>
      </c>
      <c r="V930" s="612"/>
      <c r="W930" s="612"/>
      <c r="X930" s="612"/>
      <c r="Y930" s="612"/>
      <c r="Z930" s="612"/>
      <c r="AA930" s="612"/>
      <c r="AB930" s="612"/>
      <c r="AC930" s="612"/>
    </row>
    <row r="931" spans="1:29">
      <c r="A931" s="48" t="s">
        <v>5333</v>
      </c>
      <c r="B931" s="60">
        <v>45598</v>
      </c>
      <c r="C931" s="54" t="s">
        <v>168</v>
      </c>
      <c r="D931" s="435" t="str">
        <f>IFERROR(VLOOKUP(C931,Mychart!$A$125:$B$811,2,FALSE),"-")</f>
        <v>UTS Carrier</v>
      </c>
      <c r="E931" s="295" t="s">
        <v>828</v>
      </c>
      <c r="F931" s="58">
        <v>3</v>
      </c>
      <c r="G931" s="58"/>
      <c r="H931" s="58">
        <v>101100</v>
      </c>
      <c r="I931" s="58">
        <v>5055</v>
      </c>
      <c r="J931" s="56" t="s">
        <v>4809</v>
      </c>
      <c r="K931" s="56" t="s">
        <v>5334</v>
      </c>
      <c r="L931" s="292">
        <v>264</v>
      </c>
      <c r="M931" s="292"/>
      <c r="N931" s="358"/>
      <c r="O931" s="292"/>
      <c r="P931" s="292"/>
      <c r="Q931" s="614"/>
      <c r="R931" s="913">
        <f t="shared" si="64"/>
        <v>0</v>
      </c>
      <c r="S931" s="913">
        <f t="shared" si="65"/>
        <v>0</v>
      </c>
      <c r="T931" s="913">
        <f t="shared" si="66"/>
        <v>0</v>
      </c>
      <c r="U931" s="914">
        <f t="shared" si="67"/>
        <v>3</v>
      </c>
      <c r="V931" s="612"/>
      <c r="W931" s="612"/>
      <c r="X931" s="612"/>
      <c r="Y931" s="612"/>
      <c r="Z931" s="612"/>
      <c r="AA931" s="612"/>
      <c r="AB931" s="612"/>
      <c r="AC931" s="612"/>
    </row>
    <row r="932" spans="1:29">
      <c r="A932" s="48" t="s">
        <v>5333</v>
      </c>
      <c r="B932" s="60">
        <v>45598</v>
      </c>
      <c r="C932" s="54" t="s">
        <v>168</v>
      </c>
      <c r="D932" s="435" t="str">
        <f>IFERROR(VLOOKUP(C932,Mychart!$A$125:$B$811,2,FALSE),"-")</f>
        <v>UTS Carrier</v>
      </c>
      <c r="E932" s="295" t="s">
        <v>238</v>
      </c>
      <c r="F932" s="58">
        <v>3</v>
      </c>
      <c r="G932" s="58"/>
      <c r="H932" s="58">
        <v>101100</v>
      </c>
      <c r="I932" s="58">
        <v>5055</v>
      </c>
      <c r="J932" s="56" t="s">
        <v>4809</v>
      </c>
      <c r="K932" s="56" t="s">
        <v>5334</v>
      </c>
      <c r="L932" s="292">
        <v>264</v>
      </c>
      <c r="M932" s="292"/>
      <c r="N932" s="358"/>
      <c r="O932" s="292"/>
      <c r="P932" s="292"/>
      <c r="Q932" s="614"/>
      <c r="R932" s="913">
        <f t="shared" si="64"/>
        <v>0</v>
      </c>
      <c r="S932" s="913">
        <f t="shared" si="65"/>
        <v>0</v>
      </c>
      <c r="T932" s="913">
        <f t="shared" si="66"/>
        <v>0</v>
      </c>
      <c r="U932" s="914">
        <f t="shared" si="67"/>
        <v>3</v>
      </c>
      <c r="V932" s="612"/>
      <c r="W932" s="612"/>
      <c r="X932" s="612"/>
      <c r="Y932" s="612"/>
      <c r="Z932" s="612"/>
      <c r="AA932" s="612"/>
      <c r="AB932" s="612"/>
      <c r="AC932" s="612"/>
    </row>
    <row r="933" spans="1:29">
      <c r="A933" s="48" t="s">
        <v>5333</v>
      </c>
      <c r="B933" s="60">
        <v>45598</v>
      </c>
      <c r="C933" s="54" t="s">
        <v>168</v>
      </c>
      <c r="D933" s="435" t="str">
        <f>IFERROR(VLOOKUP(C933,Mychart!$A$125:$B$811,2,FALSE),"-")</f>
        <v>UTS Carrier</v>
      </c>
      <c r="E933" s="295" t="s">
        <v>239</v>
      </c>
      <c r="F933" s="58">
        <v>3</v>
      </c>
      <c r="G933" s="58"/>
      <c r="H933" s="58">
        <v>101100</v>
      </c>
      <c r="I933" s="58">
        <v>5055</v>
      </c>
      <c r="J933" s="56" t="s">
        <v>4809</v>
      </c>
      <c r="K933" s="56" t="s">
        <v>5334</v>
      </c>
      <c r="L933" s="292">
        <v>264</v>
      </c>
      <c r="M933" s="292"/>
      <c r="N933" s="358"/>
      <c r="O933" s="292"/>
      <c r="P933" s="292"/>
      <c r="Q933" s="614"/>
      <c r="R933" s="913">
        <f t="shared" si="64"/>
        <v>0</v>
      </c>
      <c r="S933" s="913">
        <f t="shared" si="65"/>
        <v>0</v>
      </c>
      <c r="T933" s="913">
        <f t="shared" si="66"/>
        <v>0</v>
      </c>
      <c r="U933" s="914">
        <f t="shared" si="67"/>
        <v>3</v>
      </c>
      <c r="V933" s="612"/>
      <c r="W933" s="612"/>
      <c r="X933" s="612"/>
      <c r="Y933" s="612"/>
      <c r="Z933" s="612"/>
      <c r="AA933" s="612"/>
      <c r="AB933" s="612"/>
      <c r="AC933" s="612"/>
    </row>
    <row r="934" spans="1:29">
      <c r="A934" s="48" t="s">
        <v>5333</v>
      </c>
      <c r="B934" s="60">
        <v>45598</v>
      </c>
      <c r="C934" s="54" t="s">
        <v>168</v>
      </c>
      <c r="D934" s="435" t="str">
        <f>IFERROR(VLOOKUP(C934,Mychart!$A$125:$B$811,2,FALSE),"-")</f>
        <v>UTS Carrier</v>
      </c>
      <c r="E934" s="295" t="s">
        <v>234</v>
      </c>
      <c r="F934" s="58">
        <v>4</v>
      </c>
      <c r="G934" s="58"/>
      <c r="H934" s="58">
        <v>101100</v>
      </c>
      <c r="I934" s="58">
        <v>5055</v>
      </c>
      <c r="J934" s="56" t="s">
        <v>4809</v>
      </c>
      <c r="K934" s="56" t="s">
        <v>5334</v>
      </c>
      <c r="L934" s="292">
        <v>264</v>
      </c>
      <c r="M934" s="292"/>
      <c r="N934" s="358"/>
      <c r="O934" s="292"/>
      <c r="P934" s="292"/>
      <c r="Q934" s="614"/>
      <c r="R934" s="913">
        <f t="shared" ref="R934:R997" si="68">O934-N934</f>
        <v>0</v>
      </c>
      <c r="S934" s="913">
        <f t="shared" ref="S934:S997" si="69">Q934-N934</f>
        <v>0</v>
      </c>
      <c r="T934" s="913">
        <f t="shared" ref="T934:T997" si="70">Q934-O934</f>
        <v>0</v>
      </c>
      <c r="U934" s="914">
        <f t="shared" ref="U934:U997" si="71">F934-P934</f>
        <v>4</v>
      </c>
      <c r="V934" s="612"/>
      <c r="W934" s="612"/>
      <c r="X934" s="612"/>
      <c r="Y934" s="612"/>
      <c r="Z934" s="612"/>
      <c r="AA934" s="612"/>
      <c r="AB934" s="612"/>
      <c r="AC934" s="612"/>
    </row>
    <row r="935" spans="1:29">
      <c r="A935" s="48" t="s">
        <v>5333</v>
      </c>
      <c r="B935" s="60">
        <v>45598</v>
      </c>
      <c r="C935" s="54" t="s">
        <v>168</v>
      </c>
      <c r="D935" s="435" t="str">
        <f>IFERROR(VLOOKUP(C935,Mychart!$A$125:$B$811,2,FALSE),"-")</f>
        <v>UTS Carrier</v>
      </c>
      <c r="E935" s="295" t="s">
        <v>235</v>
      </c>
      <c r="F935" s="58">
        <v>4</v>
      </c>
      <c r="G935" s="58"/>
      <c r="H935" s="58">
        <v>101100</v>
      </c>
      <c r="I935" s="58">
        <v>5055</v>
      </c>
      <c r="J935" s="56" t="s">
        <v>4809</v>
      </c>
      <c r="K935" s="56" t="s">
        <v>5334</v>
      </c>
      <c r="L935" s="292">
        <v>264</v>
      </c>
      <c r="M935" s="292"/>
      <c r="N935" s="358"/>
      <c r="O935" s="292"/>
      <c r="P935" s="292"/>
      <c r="Q935" s="614"/>
      <c r="R935" s="913">
        <f t="shared" si="68"/>
        <v>0</v>
      </c>
      <c r="S935" s="913">
        <f t="shared" si="69"/>
        <v>0</v>
      </c>
      <c r="T935" s="913">
        <f t="shared" si="70"/>
        <v>0</v>
      </c>
      <c r="U935" s="914">
        <f t="shared" si="71"/>
        <v>4</v>
      </c>
      <c r="V935" s="612"/>
      <c r="W935" s="612"/>
      <c r="X935" s="612"/>
      <c r="Y935" s="612"/>
      <c r="Z935" s="612"/>
      <c r="AA935" s="612"/>
      <c r="AB935" s="612"/>
      <c r="AC935" s="612"/>
    </row>
    <row r="936" spans="1:29">
      <c r="A936" s="48" t="s">
        <v>5333</v>
      </c>
      <c r="B936" s="60">
        <v>45598</v>
      </c>
      <c r="C936" s="54" t="s">
        <v>168</v>
      </c>
      <c r="D936" s="435" t="str">
        <f>IFERROR(VLOOKUP(C936,Mychart!$A$125:$B$811,2,FALSE),"-")</f>
        <v>UTS Carrier</v>
      </c>
      <c r="E936" s="295" t="s">
        <v>232</v>
      </c>
      <c r="F936" s="58">
        <v>2</v>
      </c>
      <c r="G936" s="58"/>
      <c r="H936" s="58">
        <v>101100</v>
      </c>
      <c r="I936" s="58">
        <v>5055</v>
      </c>
      <c r="J936" s="56" t="s">
        <v>4809</v>
      </c>
      <c r="K936" s="56" t="s">
        <v>5334</v>
      </c>
      <c r="L936" s="292">
        <v>264</v>
      </c>
      <c r="M936" s="292"/>
      <c r="N936" s="358"/>
      <c r="O936" s="292"/>
      <c r="P936" s="292"/>
      <c r="Q936" s="614"/>
      <c r="R936" s="913">
        <f t="shared" si="68"/>
        <v>0</v>
      </c>
      <c r="S936" s="913">
        <f t="shared" si="69"/>
        <v>0</v>
      </c>
      <c r="T936" s="913">
        <f t="shared" si="70"/>
        <v>0</v>
      </c>
      <c r="U936" s="914">
        <f t="shared" si="71"/>
        <v>2</v>
      </c>
      <c r="V936" s="612"/>
      <c r="W936" s="612"/>
      <c r="X936" s="612"/>
      <c r="Y936" s="612"/>
      <c r="Z936" s="612"/>
      <c r="AA936" s="612"/>
      <c r="AB936" s="612"/>
      <c r="AC936" s="612"/>
    </row>
    <row r="937" spans="1:29">
      <c r="A937" s="48" t="s">
        <v>5333</v>
      </c>
      <c r="B937" s="60">
        <v>45598</v>
      </c>
      <c r="C937" s="54" t="s">
        <v>168</v>
      </c>
      <c r="D937" s="435" t="str">
        <f>IFERROR(VLOOKUP(C937,Mychart!$A$125:$B$811,2,FALSE),"-")</f>
        <v>UTS Carrier</v>
      </c>
      <c r="E937" s="295" t="s">
        <v>233</v>
      </c>
      <c r="F937" s="58">
        <v>2</v>
      </c>
      <c r="G937" s="58"/>
      <c r="H937" s="58">
        <v>101100</v>
      </c>
      <c r="I937" s="58">
        <v>5055</v>
      </c>
      <c r="J937" s="56" t="s">
        <v>4809</v>
      </c>
      <c r="K937" s="56" t="s">
        <v>5334</v>
      </c>
      <c r="L937" s="292">
        <v>264</v>
      </c>
      <c r="M937" s="292"/>
      <c r="N937" s="358"/>
      <c r="O937" s="292"/>
      <c r="P937" s="292"/>
      <c r="Q937" s="614"/>
      <c r="R937" s="913">
        <f t="shared" si="68"/>
        <v>0</v>
      </c>
      <c r="S937" s="913">
        <f t="shared" si="69"/>
        <v>0</v>
      </c>
      <c r="T937" s="913">
        <f t="shared" si="70"/>
        <v>0</v>
      </c>
      <c r="U937" s="914">
        <f t="shared" si="71"/>
        <v>2</v>
      </c>
      <c r="V937" s="612"/>
      <c r="W937" s="612"/>
      <c r="X937" s="612"/>
      <c r="Y937" s="612"/>
      <c r="Z937" s="612"/>
      <c r="AA937" s="612"/>
      <c r="AB937" s="612"/>
      <c r="AC937" s="612"/>
    </row>
    <row r="938" spans="1:29">
      <c r="A938" s="48" t="s">
        <v>5333</v>
      </c>
      <c r="B938" s="60">
        <v>45598</v>
      </c>
      <c r="C938" s="54" t="s">
        <v>168</v>
      </c>
      <c r="D938" s="435" t="str">
        <f>IFERROR(VLOOKUP(C938,Mychart!$A$125:$B$811,2,FALSE),"-")</f>
        <v>UTS Carrier</v>
      </c>
      <c r="E938" s="295" t="s">
        <v>1099</v>
      </c>
      <c r="F938" s="58">
        <v>2</v>
      </c>
      <c r="G938" s="58"/>
      <c r="H938" s="58">
        <v>101100</v>
      </c>
      <c r="I938" s="58">
        <v>5055</v>
      </c>
      <c r="J938" s="56" t="s">
        <v>4809</v>
      </c>
      <c r="K938" s="56" t="s">
        <v>5334</v>
      </c>
      <c r="L938" s="292">
        <v>264</v>
      </c>
      <c r="M938" s="292"/>
      <c r="N938" s="358"/>
      <c r="O938" s="292"/>
      <c r="P938" s="292"/>
      <c r="Q938" s="614"/>
      <c r="R938" s="913">
        <f t="shared" si="68"/>
        <v>0</v>
      </c>
      <c r="S938" s="913">
        <f t="shared" si="69"/>
        <v>0</v>
      </c>
      <c r="T938" s="913">
        <f t="shared" si="70"/>
        <v>0</v>
      </c>
      <c r="U938" s="914">
        <f t="shared" si="71"/>
        <v>2</v>
      </c>
      <c r="V938" s="612"/>
      <c r="W938" s="612"/>
      <c r="X938" s="612"/>
      <c r="Y938" s="612"/>
      <c r="Z938" s="612"/>
      <c r="AA938" s="612"/>
      <c r="AB938" s="612"/>
      <c r="AC938" s="612"/>
    </row>
    <row r="939" spans="1:29">
      <c r="A939" s="48" t="s">
        <v>5333</v>
      </c>
      <c r="B939" s="60">
        <v>45598</v>
      </c>
      <c r="C939" s="54" t="s">
        <v>168</v>
      </c>
      <c r="D939" s="435" t="str">
        <f>IFERROR(VLOOKUP(C939,Mychart!$A$125:$B$811,2,FALSE),"-")</f>
        <v>UTS Carrier</v>
      </c>
      <c r="E939" s="295" t="s">
        <v>1100</v>
      </c>
      <c r="F939" s="58">
        <v>2</v>
      </c>
      <c r="G939" s="58"/>
      <c r="H939" s="58">
        <v>101100</v>
      </c>
      <c r="I939" s="58">
        <v>5055</v>
      </c>
      <c r="J939" s="56" t="s">
        <v>4809</v>
      </c>
      <c r="K939" s="56" t="s">
        <v>5334</v>
      </c>
      <c r="L939" s="292">
        <v>264</v>
      </c>
      <c r="M939" s="292"/>
      <c r="N939" s="358"/>
      <c r="O939" s="292"/>
      <c r="P939" s="292"/>
      <c r="Q939" s="614"/>
      <c r="R939" s="913">
        <f t="shared" si="68"/>
        <v>0</v>
      </c>
      <c r="S939" s="913">
        <f t="shared" si="69"/>
        <v>0</v>
      </c>
      <c r="T939" s="913">
        <f t="shared" si="70"/>
        <v>0</v>
      </c>
      <c r="U939" s="914">
        <f t="shared" si="71"/>
        <v>2</v>
      </c>
      <c r="V939" s="612"/>
      <c r="W939" s="612"/>
      <c r="X939" s="612"/>
      <c r="Y939" s="612"/>
      <c r="Z939" s="612"/>
      <c r="AA939" s="612"/>
      <c r="AB939" s="612"/>
      <c r="AC939" s="612"/>
    </row>
    <row r="940" spans="1:29">
      <c r="A940" s="48" t="s">
        <v>5333</v>
      </c>
      <c r="B940" s="60">
        <v>45598</v>
      </c>
      <c r="C940" s="54" t="s">
        <v>168</v>
      </c>
      <c r="D940" s="435" t="str">
        <f>IFERROR(VLOOKUP(C940,Mychart!$A$125:$B$811,2,FALSE),"-")</f>
        <v>UTS Carrier</v>
      </c>
      <c r="E940" s="295" t="s">
        <v>832</v>
      </c>
      <c r="F940" s="58">
        <v>1</v>
      </c>
      <c r="G940" s="58"/>
      <c r="H940" s="58">
        <v>101100</v>
      </c>
      <c r="I940" s="58">
        <v>5055</v>
      </c>
      <c r="J940" s="56" t="s">
        <v>4809</v>
      </c>
      <c r="K940" s="56" t="s">
        <v>5334</v>
      </c>
      <c r="L940" s="292">
        <v>264</v>
      </c>
      <c r="M940" s="292"/>
      <c r="N940" s="358"/>
      <c r="O940" s="292"/>
      <c r="P940" s="292"/>
      <c r="Q940" s="614"/>
      <c r="R940" s="913">
        <f t="shared" si="68"/>
        <v>0</v>
      </c>
      <c r="S940" s="913">
        <f t="shared" si="69"/>
        <v>0</v>
      </c>
      <c r="T940" s="913">
        <f t="shared" si="70"/>
        <v>0</v>
      </c>
      <c r="U940" s="914">
        <f t="shared" si="71"/>
        <v>1</v>
      </c>
      <c r="V940" s="612"/>
      <c r="W940" s="612"/>
      <c r="X940" s="612"/>
      <c r="Y940" s="612"/>
      <c r="Z940" s="612"/>
      <c r="AA940" s="612"/>
      <c r="AB940" s="612"/>
      <c r="AC940" s="612"/>
    </row>
    <row r="941" spans="1:29">
      <c r="A941" s="48" t="s">
        <v>5333</v>
      </c>
      <c r="B941" s="60">
        <v>45598</v>
      </c>
      <c r="C941" s="54" t="s">
        <v>168</v>
      </c>
      <c r="D941" s="435" t="str">
        <f>IFERROR(VLOOKUP(C941,Mychart!$A$125:$B$811,2,FALSE),"-")</f>
        <v>UTS Carrier</v>
      </c>
      <c r="E941" s="295" t="s">
        <v>833</v>
      </c>
      <c r="F941" s="58">
        <v>1</v>
      </c>
      <c r="G941" s="58"/>
      <c r="H941" s="58">
        <v>101100</v>
      </c>
      <c r="I941" s="58">
        <v>5055</v>
      </c>
      <c r="J941" s="56" t="s">
        <v>4809</v>
      </c>
      <c r="K941" s="56" t="s">
        <v>5334</v>
      </c>
      <c r="L941" s="292">
        <v>264</v>
      </c>
      <c r="M941" s="292"/>
      <c r="N941" s="358"/>
      <c r="O941" s="292"/>
      <c r="P941" s="292"/>
      <c r="Q941" s="614"/>
      <c r="R941" s="913">
        <f t="shared" si="68"/>
        <v>0</v>
      </c>
      <c r="S941" s="913">
        <f t="shared" si="69"/>
        <v>0</v>
      </c>
      <c r="T941" s="913">
        <f t="shared" si="70"/>
        <v>0</v>
      </c>
      <c r="U941" s="914">
        <f t="shared" si="71"/>
        <v>1</v>
      </c>
      <c r="V941" s="612"/>
      <c r="W941" s="612"/>
      <c r="X941" s="612"/>
      <c r="Y941" s="612"/>
      <c r="Z941" s="612"/>
      <c r="AA941" s="612"/>
      <c r="AB941" s="612"/>
      <c r="AC941" s="612"/>
    </row>
    <row r="942" spans="1:29">
      <c r="A942" s="48" t="s">
        <v>5333</v>
      </c>
      <c r="B942" s="60">
        <v>45598</v>
      </c>
      <c r="C942" s="54" t="s">
        <v>168</v>
      </c>
      <c r="D942" s="435" t="str">
        <f>IFERROR(VLOOKUP(C942,Mychart!$A$125:$B$811,2,FALSE),"-")</f>
        <v>UTS Carrier</v>
      </c>
      <c r="E942" s="295" t="s">
        <v>5337</v>
      </c>
      <c r="F942" s="58">
        <v>1</v>
      </c>
      <c r="G942" s="58"/>
      <c r="H942" s="58">
        <v>101100</v>
      </c>
      <c r="I942" s="58">
        <v>5055</v>
      </c>
      <c r="J942" s="56" t="s">
        <v>4809</v>
      </c>
      <c r="K942" s="56" t="s">
        <v>5334</v>
      </c>
      <c r="L942" s="292">
        <v>264</v>
      </c>
      <c r="M942" s="292"/>
      <c r="N942" s="358"/>
      <c r="O942" s="292"/>
      <c r="P942" s="292"/>
      <c r="Q942" s="614"/>
      <c r="R942" s="913">
        <f t="shared" si="68"/>
        <v>0</v>
      </c>
      <c r="S942" s="913">
        <f t="shared" si="69"/>
        <v>0</v>
      </c>
      <c r="T942" s="913">
        <f t="shared" si="70"/>
        <v>0</v>
      </c>
      <c r="U942" s="914">
        <f t="shared" si="71"/>
        <v>1</v>
      </c>
      <c r="V942" s="612"/>
      <c r="W942" s="612"/>
      <c r="X942" s="612"/>
      <c r="Y942" s="612"/>
      <c r="Z942" s="612"/>
      <c r="AA942" s="612"/>
      <c r="AB942" s="612"/>
      <c r="AC942" s="612"/>
    </row>
    <row r="943" spans="1:29">
      <c r="A943" s="48" t="s">
        <v>5333</v>
      </c>
      <c r="B943" s="60">
        <v>45598</v>
      </c>
      <c r="C943" s="54" t="s">
        <v>168</v>
      </c>
      <c r="D943" s="435" t="str">
        <f>IFERROR(VLOOKUP(C943,Mychart!$A$125:$B$811,2,FALSE),"-")</f>
        <v>UTS Carrier</v>
      </c>
      <c r="E943" s="295" t="s">
        <v>5338</v>
      </c>
      <c r="F943" s="58">
        <v>1</v>
      </c>
      <c r="G943" s="58"/>
      <c r="H943" s="58">
        <v>101100</v>
      </c>
      <c r="I943" s="58">
        <v>5055</v>
      </c>
      <c r="J943" s="56" t="s">
        <v>4809</v>
      </c>
      <c r="K943" s="56" t="s">
        <v>5334</v>
      </c>
      <c r="L943" s="292">
        <v>264</v>
      </c>
      <c r="M943" s="292"/>
      <c r="N943" s="358"/>
      <c r="O943" s="292"/>
      <c r="P943" s="292"/>
      <c r="Q943" s="614"/>
      <c r="R943" s="913">
        <f t="shared" si="68"/>
        <v>0</v>
      </c>
      <c r="S943" s="913">
        <f t="shared" si="69"/>
        <v>0</v>
      </c>
      <c r="T943" s="913">
        <f t="shared" si="70"/>
        <v>0</v>
      </c>
      <c r="U943" s="914">
        <f t="shared" si="71"/>
        <v>1</v>
      </c>
      <c r="V943" s="612"/>
      <c r="W943" s="612"/>
      <c r="X943" s="612"/>
      <c r="Y943" s="612"/>
      <c r="Z943" s="612"/>
      <c r="AA943" s="612"/>
      <c r="AB943" s="612"/>
      <c r="AC943" s="612"/>
    </row>
    <row r="944" spans="1:29">
      <c r="A944" s="48" t="s">
        <v>5333</v>
      </c>
      <c r="B944" s="60">
        <v>45598</v>
      </c>
      <c r="C944" s="54" t="s">
        <v>168</v>
      </c>
      <c r="D944" s="435" t="str">
        <f>IFERROR(VLOOKUP(C944,Mychart!$A$125:$B$811,2,FALSE),"-")</f>
        <v>UTS Carrier</v>
      </c>
      <c r="E944" s="295" t="s">
        <v>1300</v>
      </c>
      <c r="F944" s="58">
        <v>13</v>
      </c>
      <c r="G944" s="58"/>
      <c r="H944" s="58">
        <v>101100</v>
      </c>
      <c r="I944" s="58">
        <v>5055</v>
      </c>
      <c r="J944" s="56" t="s">
        <v>4809</v>
      </c>
      <c r="K944" s="56" t="s">
        <v>5334</v>
      </c>
      <c r="L944" s="292">
        <v>264</v>
      </c>
      <c r="M944" s="292"/>
      <c r="N944" s="358"/>
      <c r="O944" s="292"/>
      <c r="P944" s="292"/>
      <c r="Q944" s="614"/>
      <c r="R944" s="913">
        <f t="shared" si="68"/>
        <v>0</v>
      </c>
      <c r="S944" s="913">
        <f t="shared" si="69"/>
        <v>0</v>
      </c>
      <c r="T944" s="913">
        <f t="shared" si="70"/>
        <v>0</v>
      </c>
      <c r="U944" s="914">
        <f t="shared" si="71"/>
        <v>13</v>
      </c>
      <c r="V944" s="612"/>
      <c r="W944" s="612"/>
      <c r="X944" s="612"/>
      <c r="Y944" s="612"/>
      <c r="Z944" s="612"/>
      <c r="AA944" s="612"/>
      <c r="AB944" s="612"/>
      <c r="AC944" s="612"/>
    </row>
    <row r="945" spans="1:30">
      <c r="A945" s="48" t="s">
        <v>5333</v>
      </c>
      <c r="B945" s="60">
        <v>45598</v>
      </c>
      <c r="C945" s="54" t="s">
        <v>168</v>
      </c>
      <c r="D945" s="435" t="str">
        <f>IFERROR(VLOOKUP(C945,Mychart!$A$125:$B$811,2,FALSE),"-")</f>
        <v>UTS Carrier</v>
      </c>
      <c r="E945" s="295" t="s">
        <v>5317</v>
      </c>
      <c r="F945" s="58">
        <v>1</v>
      </c>
      <c r="G945" s="58">
        <v>101100</v>
      </c>
      <c r="H945" s="58">
        <v>101100</v>
      </c>
      <c r="I945" s="58">
        <v>5055</v>
      </c>
      <c r="J945" s="56" t="s">
        <v>5342</v>
      </c>
      <c r="K945" s="56" t="s">
        <v>5334</v>
      </c>
      <c r="L945" s="292">
        <v>264</v>
      </c>
      <c r="M945" s="292" t="s">
        <v>5913</v>
      </c>
      <c r="N945" s="358">
        <v>35196</v>
      </c>
      <c r="O945" s="292">
        <v>35196</v>
      </c>
      <c r="P945" s="292"/>
      <c r="Q945" s="614">
        <v>106155</v>
      </c>
      <c r="R945" s="913">
        <f t="shared" si="68"/>
        <v>0</v>
      </c>
      <c r="S945" s="913">
        <f t="shared" si="69"/>
        <v>70959</v>
      </c>
      <c r="T945" s="913">
        <f t="shared" si="70"/>
        <v>70959</v>
      </c>
      <c r="U945" s="914">
        <f t="shared" si="71"/>
        <v>1</v>
      </c>
      <c r="V945" s="612"/>
      <c r="W945" s="612"/>
      <c r="X945" s="612"/>
      <c r="Y945" s="612"/>
      <c r="Z945" s="612"/>
      <c r="AA945" s="612"/>
      <c r="AB945" s="612"/>
      <c r="AC945" s="612"/>
      <c r="AD945" s="930">
        <v>45626.496111111112</v>
      </c>
    </row>
    <row r="946" spans="1:30">
      <c r="A946" s="48" t="s">
        <v>5339</v>
      </c>
      <c r="B946" s="60">
        <v>45598</v>
      </c>
      <c r="C946" s="54" t="s">
        <v>168</v>
      </c>
      <c r="D946" s="435" t="str">
        <f>IFERROR(VLOOKUP(C946,Mychart!$A$125:$B$811,2,FALSE),"-")</f>
        <v>UTS Carrier</v>
      </c>
      <c r="E946" s="295" t="s">
        <v>5335</v>
      </c>
      <c r="F946" s="58">
        <v>3</v>
      </c>
      <c r="G946" s="58"/>
      <c r="H946" s="58">
        <v>47925</v>
      </c>
      <c r="I946" s="58">
        <v>2396.25</v>
      </c>
      <c r="J946" s="56"/>
      <c r="K946" s="56" t="s">
        <v>1356</v>
      </c>
      <c r="L946" s="292">
        <v>285</v>
      </c>
      <c r="M946" s="292"/>
      <c r="N946" s="358"/>
      <c r="O946" s="292"/>
      <c r="P946" s="292"/>
      <c r="Q946" s="614"/>
      <c r="R946" s="913">
        <f t="shared" si="68"/>
        <v>0</v>
      </c>
      <c r="S946" s="913">
        <f t="shared" si="69"/>
        <v>0</v>
      </c>
      <c r="T946" s="913">
        <f t="shared" si="70"/>
        <v>0</v>
      </c>
      <c r="U946" s="914">
        <f t="shared" si="71"/>
        <v>3</v>
      </c>
      <c r="V946" s="612"/>
      <c r="W946" s="612"/>
      <c r="X946" s="612"/>
      <c r="Y946" s="612"/>
      <c r="Z946" s="612"/>
      <c r="AA946" s="612"/>
      <c r="AB946" s="612"/>
      <c r="AC946" s="612"/>
    </row>
    <row r="947" spans="1:30">
      <c r="A947" s="48" t="s">
        <v>5339</v>
      </c>
      <c r="B947" s="60">
        <v>45598</v>
      </c>
      <c r="C947" s="54" t="s">
        <v>168</v>
      </c>
      <c r="D947" s="435" t="str">
        <f>IFERROR(VLOOKUP(C947,Mychart!$A$125:$B$811,2,FALSE),"-")</f>
        <v>UTS Carrier</v>
      </c>
      <c r="E947" s="295" t="s">
        <v>5336</v>
      </c>
      <c r="F947" s="58">
        <v>3</v>
      </c>
      <c r="G947" s="58"/>
      <c r="H947" s="58">
        <v>47925</v>
      </c>
      <c r="I947" s="58">
        <v>2396.25</v>
      </c>
      <c r="J947" s="56" t="s">
        <v>4809</v>
      </c>
      <c r="K947" s="56" t="s">
        <v>1356</v>
      </c>
      <c r="L947" s="292">
        <v>285</v>
      </c>
      <c r="M947" s="292"/>
      <c r="N947" s="358"/>
      <c r="O947" s="292"/>
      <c r="P947" s="292"/>
      <c r="Q947" s="614"/>
      <c r="R947" s="913">
        <f t="shared" si="68"/>
        <v>0</v>
      </c>
      <c r="S947" s="913">
        <f t="shared" si="69"/>
        <v>0</v>
      </c>
      <c r="T947" s="913">
        <f t="shared" si="70"/>
        <v>0</v>
      </c>
      <c r="U947" s="914">
        <f t="shared" si="71"/>
        <v>3</v>
      </c>
      <c r="V947" s="612"/>
      <c r="W947" s="612"/>
      <c r="X947" s="612"/>
      <c r="Y947" s="612"/>
      <c r="Z947" s="612"/>
      <c r="AA947" s="612"/>
      <c r="AB947" s="612"/>
      <c r="AC947" s="612"/>
    </row>
    <row r="948" spans="1:30">
      <c r="A948" s="48" t="s">
        <v>5339</v>
      </c>
      <c r="B948" s="60">
        <v>45598</v>
      </c>
      <c r="C948" s="54" t="s">
        <v>168</v>
      </c>
      <c r="D948" s="435" t="str">
        <f>IFERROR(VLOOKUP(C948,Mychart!$A$125:$B$811,2,FALSE),"-")</f>
        <v>UTS Carrier</v>
      </c>
      <c r="E948" s="295" t="s">
        <v>236</v>
      </c>
      <c r="F948" s="58">
        <v>1</v>
      </c>
      <c r="G948" s="58"/>
      <c r="H948" s="58">
        <v>47925</v>
      </c>
      <c r="I948" s="58">
        <v>2396.25</v>
      </c>
      <c r="J948" s="56" t="s">
        <v>4809</v>
      </c>
      <c r="K948" s="56" t="s">
        <v>1356</v>
      </c>
      <c r="L948" s="292">
        <v>285</v>
      </c>
      <c r="M948" s="292"/>
      <c r="N948" s="358"/>
      <c r="O948" s="292"/>
      <c r="P948" s="292"/>
      <c r="Q948" s="614"/>
      <c r="R948" s="913">
        <f t="shared" si="68"/>
        <v>0</v>
      </c>
      <c r="S948" s="913">
        <f t="shared" si="69"/>
        <v>0</v>
      </c>
      <c r="T948" s="913">
        <f t="shared" si="70"/>
        <v>0</v>
      </c>
      <c r="U948" s="914">
        <f t="shared" si="71"/>
        <v>1</v>
      </c>
      <c r="V948" s="612"/>
      <c r="W948" s="612"/>
      <c r="X948" s="612"/>
      <c r="Y948" s="612"/>
      <c r="Z948" s="612"/>
      <c r="AA948" s="612"/>
      <c r="AB948" s="612"/>
      <c r="AC948" s="612"/>
    </row>
    <row r="949" spans="1:30">
      <c r="A949" s="48" t="s">
        <v>5339</v>
      </c>
      <c r="B949" s="60">
        <v>45598</v>
      </c>
      <c r="C949" s="54" t="s">
        <v>168</v>
      </c>
      <c r="D949" s="435" t="str">
        <f>IFERROR(VLOOKUP(C949,Mychart!$A$125:$B$811,2,FALSE),"-")</f>
        <v>UTS Carrier</v>
      </c>
      <c r="E949" s="295" t="s">
        <v>237</v>
      </c>
      <c r="F949" s="58">
        <v>1</v>
      </c>
      <c r="G949" s="58"/>
      <c r="H949" s="58">
        <v>47925</v>
      </c>
      <c r="I949" s="58">
        <v>2396.25</v>
      </c>
      <c r="J949" s="56" t="s">
        <v>4809</v>
      </c>
      <c r="K949" s="56" t="s">
        <v>1356</v>
      </c>
      <c r="L949" s="292">
        <v>285</v>
      </c>
      <c r="M949" s="292"/>
      <c r="N949" s="358"/>
      <c r="O949" s="292"/>
      <c r="P949" s="292"/>
      <c r="Q949" s="614"/>
      <c r="R949" s="913">
        <f t="shared" si="68"/>
        <v>0</v>
      </c>
      <c r="S949" s="913">
        <f t="shared" si="69"/>
        <v>0</v>
      </c>
      <c r="T949" s="913">
        <f t="shared" si="70"/>
        <v>0</v>
      </c>
      <c r="U949" s="914">
        <f t="shared" si="71"/>
        <v>1</v>
      </c>
      <c r="V949" s="612"/>
      <c r="W949" s="612"/>
      <c r="X949" s="612"/>
      <c r="Y949" s="612"/>
      <c r="Z949" s="612"/>
      <c r="AA949" s="612"/>
      <c r="AB949" s="612"/>
      <c r="AC949" s="612"/>
    </row>
    <row r="950" spans="1:30">
      <c r="A950" s="48" t="s">
        <v>5339</v>
      </c>
      <c r="B950" s="60">
        <v>45598</v>
      </c>
      <c r="C950" s="54" t="s">
        <v>168</v>
      </c>
      <c r="D950" s="435" t="str">
        <f>IFERROR(VLOOKUP(C950,Mychart!$A$125:$B$811,2,FALSE),"-")</f>
        <v>UTS Carrier</v>
      </c>
      <c r="E950" s="295" t="s">
        <v>238</v>
      </c>
      <c r="F950" s="58">
        <v>2</v>
      </c>
      <c r="G950" s="58"/>
      <c r="H950" s="58">
        <v>47925</v>
      </c>
      <c r="I950" s="58">
        <v>2396.25</v>
      </c>
      <c r="J950" s="56" t="s">
        <v>4809</v>
      </c>
      <c r="K950" s="56" t="s">
        <v>1356</v>
      </c>
      <c r="L950" s="292">
        <v>285</v>
      </c>
      <c r="M950" s="292"/>
      <c r="N950" s="358"/>
      <c r="O950" s="292"/>
      <c r="P950" s="292"/>
      <c r="Q950" s="614"/>
      <c r="R950" s="913">
        <f t="shared" si="68"/>
        <v>0</v>
      </c>
      <c r="S950" s="913">
        <f t="shared" si="69"/>
        <v>0</v>
      </c>
      <c r="T950" s="913">
        <f t="shared" si="70"/>
        <v>0</v>
      </c>
      <c r="U950" s="914">
        <f t="shared" si="71"/>
        <v>2</v>
      </c>
      <c r="V950" s="612"/>
      <c r="W950" s="612"/>
      <c r="X950" s="612"/>
      <c r="Y950" s="612"/>
      <c r="Z950" s="612"/>
      <c r="AA950" s="612"/>
      <c r="AB950" s="612"/>
      <c r="AC950" s="612"/>
    </row>
    <row r="951" spans="1:30">
      <c r="A951" s="48" t="s">
        <v>5339</v>
      </c>
      <c r="B951" s="60">
        <v>45598</v>
      </c>
      <c r="C951" s="54" t="s">
        <v>168</v>
      </c>
      <c r="D951" s="435" t="str">
        <f>IFERROR(VLOOKUP(C951,Mychart!$A$125:$B$811,2,FALSE),"-")</f>
        <v>UTS Carrier</v>
      </c>
      <c r="E951" s="295" t="s">
        <v>239</v>
      </c>
      <c r="F951" s="58">
        <v>2</v>
      </c>
      <c r="G951" s="58"/>
      <c r="H951" s="58">
        <v>47925</v>
      </c>
      <c r="I951" s="58">
        <v>2396.25</v>
      </c>
      <c r="J951" s="56" t="s">
        <v>4809</v>
      </c>
      <c r="K951" s="56" t="s">
        <v>1356</v>
      </c>
      <c r="L951" s="292">
        <v>285</v>
      </c>
      <c r="M951" s="292"/>
      <c r="N951" s="358"/>
      <c r="O951" s="292"/>
      <c r="P951" s="292"/>
      <c r="Q951" s="614"/>
      <c r="R951" s="913">
        <f t="shared" si="68"/>
        <v>0</v>
      </c>
      <c r="S951" s="913">
        <f t="shared" si="69"/>
        <v>0</v>
      </c>
      <c r="T951" s="913">
        <f t="shared" si="70"/>
        <v>0</v>
      </c>
      <c r="U951" s="914">
        <f t="shared" si="71"/>
        <v>2</v>
      </c>
      <c r="V951" s="612"/>
      <c r="W951" s="612"/>
      <c r="X951" s="612"/>
      <c r="Y951" s="612"/>
      <c r="Z951" s="612"/>
      <c r="AA951" s="612"/>
      <c r="AB951" s="612"/>
      <c r="AC951" s="612"/>
    </row>
    <row r="952" spans="1:30">
      <c r="A952" s="48" t="s">
        <v>5339</v>
      </c>
      <c r="B952" s="60">
        <v>45598</v>
      </c>
      <c r="C952" s="54" t="s">
        <v>168</v>
      </c>
      <c r="D952" s="435" t="str">
        <f>IFERROR(VLOOKUP(C952,Mychart!$A$125:$B$811,2,FALSE),"-")</f>
        <v>UTS Carrier</v>
      </c>
      <c r="E952" s="295" t="s">
        <v>232</v>
      </c>
      <c r="F952" s="58">
        <v>1</v>
      </c>
      <c r="G952" s="58"/>
      <c r="H952" s="58">
        <v>47925</v>
      </c>
      <c r="I952" s="58">
        <v>2396.25</v>
      </c>
      <c r="J952" s="56" t="s">
        <v>4809</v>
      </c>
      <c r="K952" s="56" t="s">
        <v>1356</v>
      </c>
      <c r="L952" s="292">
        <v>285</v>
      </c>
      <c r="M952" s="292"/>
      <c r="N952" s="358"/>
      <c r="O952" s="292"/>
      <c r="P952" s="292"/>
      <c r="Q952" s="614"/>
      <c r="R952" s="913">
        <f t="shared" si="68"/>
        <v>0</v>
      </c>
      <c r="S952" s="913">
        <f t="shared" si="69"/>
        <v>0</v>
      </c>
      <c r="T952" s="913">
        <f t="shared" si="70"/>
        <v>0</v>
      </c>
      <c r="U952" s="914">
        <f t="shared" si="71"/>
        <v>1</v>
      </c>
      <c r="V952" s="612"/>
      <c r="W952" s="612"/>
      <c r="X952" s="612"/>
      <c r="Y952" s="612"/>
      <c r="Z952" s="612"/>
      <c r="AA952" s="612"/>
      <c r="AB952" s="612"/>
      <c r="AC952" s="612"/>
    </row>
    <row r="953" spans="1:30">
      <c r="A953" s="48" t="s">
        <v>5339</v>
      </c>
      <c r="B953" s="60">
        <v>45598</v>
      </c>
      <c r="C953" s="54" t="s">
        <v>168</v>
      </c>
      <c r="D953" s="435" t="str">
        <f>IFERROR(VLOOKUP(C953,Mychart!$A$125:$B$811,2,FALSE),"-")</f>
        <v>UTS Carrier</v>
      </c>
      <c r="E953" s="295" t="s">
        <v>233</v>
      </c>
      <c r="F953" s="58">
        <v>1</v>
      </c>
      <c r="G953" s="58"/>
      <c r="H953" s="58">
        <v>47925</v>
      </c>
      <c r="I953" s="58">
        <v>2396.25</v>
      </c>
      <c r="J953" s="56" t="s">
        <v>4809</v>
      </c>
      <c r="K953" s="56" t="s">
        <v>1356</v>
      </c>
      <c r="L953" s="292">
        <v>285</v>
      </c>
      <c r="M953" s="292"/>
      <c r="N953" s="358"/>
      <c r="O953" s="292"/>
      <c r="P953" s="292"/>
      <c r="Q953" s="614"/>
      <c r="R953" s="913">
        <f t="shared" si="68"/>
        <v>0</v>
      </c>
      <c r="S953" s="913">
        <f t="shared" si="69"/>
        <v>0</v>
      </c>
      <c r="T953" s="913">
        <f t="shared" si="70"/>
        <v>0</v>
      </c>
      <c r="U953" s="914">
        <f t="shared" si="71"/>
        <v>1</v>
      </c>
      <c r="V953" s="612"/>
      <c r="W953" s="612"/>
      <c r="X953" s="612"/>
      <c r="Y953" s="612"/>
      <c r="Z953" s="612"/>
      <c r="AA953" s="612"/>
      <c r="AB953" s="612"/>
      <c r="AC953" s="612"/>
    </row>
    <row r="954" spans="1:30">
      <c r="A954" s="48" t="s">
        <v>5339</v>
      </c>
      <c r="B954" s="60">
        <v>45598</v>
      </c>
      <c r="C954" s="54" t="s">
        <v>168</v>
      </c>
      <c r="D954" s="435" t="str">
        <f>IFERROR(VLOOKUP(C954,Mychart!$A$125:$B$811,2,FALSE),"-")</f>
        <v>UTS Carrier</v>
      </c>
      <c r="E954" s="295" t="s">
        <v>1169</v>
      </c>
      <c r="F954" s="58">
        <v>1</v>
      </c>
      <c r="G954" s="58"/>
      <c r="H954" s="58">
        <v>47925</v>
      </c>
      <c r="I954" s="58">
        <v>2396.25</v>
      </c>
      <c r="J954" s="56" t="s">
        <v>4809</v>
      </c>
      <c r="K954" s="56" t="s">
        <v>1356</v>
      </c>
      <c r="L954" s="292">
        <v>285</v>
      </c>
      <c r="M954" s="292"/>
      <c r="N954" s="358"/>
      <c r="O954" s="292"/>
      <c r="P954" s="292"/>
      <c r="Q954" s="614"/>
      <c r="R954" s="913">
        <f t="shared" si="68"/>
        <v>0</v>
      </c>
      <c r="S954" s="913">
        <f t="shared" si="69"/>
        <v>0</v>
      </c>
      <c r="T954" s="913">
        <f t="shared" si="70"/>
        <v>0</v>
      </c>
      <c r="U954" s="914">
        <f t="shared" si="71"/>
        <v>1</v>
      </c>
      <c r="V954" s="612"/>
      <c r="W954" s="612"/>
      <c r="X954" s="612"/>
      <c r="Y954" s="612"/>
      <c r="Z954" s="612"/>
      <c r="AA954" s="612"/>
      <c r="AB954" s="612"/>
      <c r="AC954" s="612"/>
    </row>
    <row r="955" spans="1:30">
      <c r="A955" s="48" t="s">
        <v>5339</v>
      </c>
      <c r="B955" s="60">
        <v>45598</v>
      </c>
      <c r="C955" s="54" t="s">
        <v>168</v>
      </c>
      <c r="D955" s="435" t="str">
        <f>IFERROR(VLOOKUP(C955,Mychart!$A$125:$B$811,2,FALSE),"-")</f>
        <v>UTS Carrier</v>
      </c>
      <c r="E955" s="295" t="s">
        <v>1170</v>
      </c>
      <c r="F955" s="58">
        <v>1</v>
      </c>
      <c r="G955" s="58"/>
      <c r="H955" s="58">
        <v>47925</v>
      </c>
      <c r="I955" s="58">
        <v>2396.25</v>
      </c>
      <c r="J955" s="56" t="s">
        <v>4809</v>
      </c>
      <c r="K955" s="56" t="s">
        <v>1356</v>
      </c>
      <c r="L955" s="292">
        <v>285</v>
      </c>
      <c r="M955" s="292"/>
      <c r="N955" s="358"/>
      <c r="O955" s="292"/>
      <c r="P955" s="292"/>
      <c r="Q955" s="614"/>
      <c r="R955" s="913">
        <f t="shared" si="68"/>
        <v>0</v>
      </c>
      <c r="S955" s="913">
        <f t="shared" si="69"/>
        <v>0</v>
      </c>
      <c r="T955" s="913">
        <f t="shared" si="70"/>
        <v>0</v>
      </c>
      <c r="U955" s="914">
        <f t="shared" si="71"/>
        <v>1</v>
      </c>
      <c r="V955" s="612"/>
      <c r="W955" s="612"/>
      <c r="X955" s="612"/>
      <c r="Y955" s="612"/>
      <c r="Z955" s="612"/>
      <c r="AA955" s="612"/>
      <c r="AB955" s="612"/>
      <c r="AC955" s="612"/>
    </row>
    <row r="956" spans="1:30">
      <c r="A956" s="48" t="s">
        <v>5339</v>
      </c>
      <c r="B956" s="60">
        <v>45598</v>
      </c>
      <c r="C956" s="54" t="s">
        <v>168</v>
      </c>
      <c r="D956" s="435" t="str">
        <f>IFERROR(VLOOKUP(C956,Mychart!$A$125:$B$811,2,FALSE),"-")</f>
        <v>UTS Carrier</v>
      </c>
      <c r="E956" s="295" t="s">
        <v>1099</v>
      </c>
      <c r="F956" s="58">
        <v>1</v>
      </c>
      <c r="G956" s="58"/>
      <c r="H956" s="58">
        <v>47925</v>
      </c>
      <c r="I956" s="58">
        <v>2396.25</v>
      </c>
      <c r="J956" s="56" t="s">
        <v>4809</v>
      </c>
      <c r="K956" s="56" t="s">
        <v>1356</v>
      </c>
      <c r="L956" s="292">
        <v>285</v>
      </c>
      <c r="M956" s="292"/>
      <c r="N956" s="358"/>
      <c r="O956" s="292"/>
      <c r="P956" s="292"/>
      <c r="Q956" s="614"/>
      <c r="R956" s="913">
        <f t="shared" si="68"/>
        <v>0</v>
      </c>
      <c r="S956" s="913">
        <f t="shared" si="69"/>
        <v>0</v>
      </c>
      <c r="T956" s="913">
        <f t="shared" si="70"/>
        <v>0</v>
      </c>
      <c r="U956" s="914">
        <f t="shared" si="71"/>
        <v>1</v>
      </c>
      <c r="V956" s="612"/>
      <c r="W956" s="612"/>
      <c r="X956" s="612"/>
      <c r="Y956" s="612"/>
      <c r="Z956" s="612"/>
      <c r="AA956" s="612"/>
      <c r="AB956" s="612"/>
      <c r="AC956" s="612"/>
    </row>
    <row r="957" spans="1:30">
      <c r="A957" s="48" t="s">
        <v>5339</v>
      </c>
      <c r="B957" s="60">
        <v>45598</v>
      </c>
      <c r="C957" s="54" t="s">
        <v>168</v>
      </c>
      <c r="D957" s="435" t="str">
        <f>IFERROR(VLOOKUP(C957,Mychart!$A$125:$B$811,2,FALSE),"-")</f>
        <v>UTS Carrier</v>
      </c>
      <c r="E957" s="295" t="s">
        <v>1100</v>
      </c>
      <c r="F957" s="58">
        <v>1</v>
      </c>
      <c r="G957" s="58"/>
      <c r="H957" s="58">
        <v>47925</v>
      </c>
      <c r="I957" s="58">
        <v>2396.25</v>
      </c>
      <c r="J957" s="56" t="s">
        <v>4809</v>
      </c>
      <c r="K957" s="56" t="s">
        <v>1356</v>
      </c>
      <c r="L957" s="292">
        <v>285</v>
      </c>
      <c r="M957" s="292"/>
      <c r="N957" s="358"/>
      <c r="O957" s="292"/>
      <c r="P957" s="292"/>
      <c r="Q957" s="614"/>
      <c r="R957" s="913">
        <f t="shared" si="68"/>
        <v>0</v>
      </c>
      <c r="S957" s="913">
        <f t="shared" si="69"/>
        <v>0</v>
      </c>
      <c r="T957" s="913">
        <f t="shared" si="70"/>
        <v>0</v>
      </c>
      <c r="U957" s="914">
        <f t="shared" si="71"/>
        <v>1</v>
      </c>
      <c r="V957" s="612"/>
      <c r="W957" s="612"/>
      <c r="X957" s="612"/>
      <c r="Y957" s="612"/>
      <c r="Z957" s="612"/>
      <c r="AA957" s="612"/>
      <c r="AB957" s="612"/>
      <c r="AC957" s="612"/>
    </row>
    <row r="958" spans="1:30">
      <c r="A958" s="48" t="s">
        <v>5339</v>
      </c>
      <c r="B958" s="60">
        <v>45598</v>
      </c>
      <c r="C958" s="54" t="s">
        <v>168</v>
      </c>
      <c r="D958" s="435" t="str">
        <f>IFERROR(VLOOKUP(C958,Mychart!$A$125:$B$811,2,FALSE),"-")</f>
        <v>UTS Carrier</v>
      </c>
      <c r="E958" s="295" t="s">
        <v>832</v>
      </c>
      <c r="F958" s="58">
        <v>1</v>
      </c>
      <c r="G958" s="58"/>
      <c r="H958" s="58">
        <v>47925</v>
      </c>
      <c r="I958" s="58">
        <v>2396.25</v>
      </c>
      <c r="J958" s="56" t="s">
        <v>4809</v>
      </c>
      <c r="K958" s="56" t="s">
        <v>1356</v>
      </c>
      <c r="L958" s="292">
        <v>285</v>
      </c>
      <c r="M958" s="292"/>
      <c r="N958" s="358"/>
      <c r="O958" s="292"/>
      <c r="P958" s="292"/>
      <c r="Q958" s="614"/>
      <c r="R958" s="913">
        <f t="shared" si="68"/>
        <v>0</v>
      </c>
      <c r="S958" s="913">
        <f t="shared" si="69"/>
        <v>0</v>
      </c>
      <c r="T958" s="913">
        <f t="shared" si="70"/>
        <v>0</v>
      </c>
      <c r="U958" s="914">
        <f t="shared" si="71"/>
        <v>1</v>
      </c>
      <c r="V958" s="612"/>
      <c r="W958" s="612"/>
      <c r="X958" s="612"/>
      <c r="Y958" s="612"/>
      <c r="Z958" s="612"/>
      <c r="AA958" s="612"/>
      <c r="AB958" s="612"/>
      <c r="AC958" s="612"/>
    </row>
    <row r="959" spans="1:30">
      <c r="A959" s="48" t="s">
        <v>5339</v>
      </c>
      <c r="B959" s="60">
        <v>45598</v>
      </c>
      <c r="C959" s="54" t="s">
        <v>168</v>
      </c>
      <c r="D959" s="435" t="str">
        <f>IFERROR(VLOOKUP(C959,Mychart!$A$125:$B$811,2,FALSE),"-")</f>
        <v>UTS Carrier</v>
      </c>
      <c r="E959" s="295" t="s">
        <v>833</v>
      </c>
      <c r="F959" s="58">
        <v>1</v>
      </c>
      <c r="G959" s="58"/>
      <c r="H959" s="58">
        <v>47925</v>
      </c>
      <c r="I959" s="58">
        <v>2396.25</v>
      </c>
      <c r="J959" s="56" t="s">
        <v>4809</v>
      </c>
      <c r="K959" s="56" t="s">
        <v>1356</v>
      </c>
      <c r="L959" s="292">
        <v>285</v>
      </c>
      <c r="M959" s="292"/>
      <c r="N959" s="358"/>
      <c r="O959" s="292"/>
      <c r="P959" s="292"/>
      <c r="Q959" s="614"/>
      <c r="R959" s="913">
        <f t="shared" si="68"/>
        <v>0</v>
      </c>
      <c r="S959" s="913">
        <f t="shared" si="69"/>
        <v>0</v>
      </c>
      <c r="T959" s="913">
        <f t="shared" si="70"/>
        <v>0</v>
      </c>
      <c r="U959" s="914">
        <f t="shared" si="71"/>
        <v>1</v>
      </c>
      <c r="V959" s="612"/>
      <c r="W959" s="612"/>
      <c r="X959" s="612"/>
      <c r="Y959" s="612"/>
      <c r="Z959" s="612"/>
      <c r="AA959" s="612"/>
      <c r="AB959" s="612"/>
      <c r="AC959" s="612"/>
    </row>
    <row r="960" spans="1:30">
      <c r="A960" s="48" t="s">
        <v>5339</v>
      </c>
      <c r="B960" s="60">
        <v>45598</v>
      </c>
      <c r="C960" s="54" t="s">
        <v>168</v>
      </c>
      <c r="D960" s="435" t="str">
        <f>IFERROR(VLOOKUP(C960,Mychart!$A$125:$B$811,2,FALSE),"-")</f>
        <v>UTS Carrier</v>
      </c>
      <c r="E960" s="295" t="s">
        <v>1300</v>
      </c>
      <c r="F960" s="58">
        <v>7</v>
      </c>
      <c r="G960" s="58"/>
      <c r="H960" s="58">
        <v>47925</v>
      </c>
      <c r="I960" s="58">
        <v>2396.25</v>
      </c>
      <c r="J960" s="56" t="s">
        <v>4809</v>
      </c>
      <c r="K960" s="56" t="s">
        <v>1356</v>
      </c>
      <c r="L960" s="292">
        <v>285</v>
      </c>
      <c r="M960" s="292"/>
      <c r="N960" s="358"/>
      <c r="O960" s="292"/>
      <c r="P960" s="292"/>
      <c r="Q960" s="614"/>
      <c r="R960" s="913">
        <f t="shared" si="68"/>
        <v>0</v>
      </c>
      <c r="S960" s="913">
        <f t="shared" si="69"/>
        <v>0</v>
      </c>
      <c r="T960" s="913">
        <f t="shared" si="70"/>
        <v>0</v>
      </c>
      <c r="U960" s="914">
        <f t="shared" si="71"/>
        <v>7</v>
      </c>
      <c r="V960" s="612"/>
      <c r="W960" s="612"/>
      <c r="X960" s="612"/>
      <c r="Y960" s="612"/>
      <c r="Z960" s="612"/>
      <c r="AA960" s="612"/>
      <c r="AB960" s="612"/>
      <c r="AC960" s="612"/>
    </row>
    <row r="961" spans="1:30">
      <c r="A961" s="48" t="s">
        <v>5339</v>
      </c>
      <c r="B961" s="60">
        <v>45598</v>
      </c>
      <c r="C961" s="54" t="s">
        <v>168</v>
      </c>
      <c r="D961" s="435" t="str">
        <f>IFERROR(VLOOKUP(C961,Mychart!$A$125:$B$811,2,FALSE),"-")</f>
        <v>UTS Carrier</v>
      </c>
      <c r="E961" s="295" t="s">
        <v>5317</v>
      </c>
      <c r="F961" s="58">
        <v>1</v>
      </c>
      <c r="G961" s="58">
        <v>47925</v>
      </c>
      <c r="H961" s="58">
        <v>47925</v>
      </c>
      <c r="I961" s="58">
        <v>2396.25</v>
      </c>
      <c r="J961" s="56" t="s">
        <v>5340</v>
      </c>
      <c r="K961" s="56" t="s">
        <v>1356</v>
      </c>
      <c r="L961" s="292">
        <v>285</v>
      </c>
      <c r="M961" s="292"/>
      <c r="N961" s="358"/>
      <c r="O961" s="292"/>
      <c r="P961" s="292"/>
      <c r="Q961" s="614">
        <v>50321.25</v>
      </c>
      <c r="R961" s="913">
        <f t="shared" si="68"/>
        <v>0</v>
      </c>
      <c r="S961" s="913">
        <f t="shared" si="69"/>
        <v>50321.25</v>
      </c>
      <c r="T961" s="913">
        <f t="shared" si="70"/>
        <v>50321.25</v>
      </c>
      <c r="U961" s="914">
        <f t="shared" si="71"/>
        <v>1</v>
      </c>
      <c r="V961" s="612"/>
      <c r="W961" s="612"/>
      <c r="X961" s="612"/>
      <c r="Y961" s="612"/>
      <c r="Z961" s="612"/>
      <c r="AA961" s="612"/>
      <c r="AB961" s="612"/>
      <c r="AC961" s="612"/>
    </row>
    <row r="962" spans="1:30">
      <c r="A962" s="48" t="s">
        <v>5398</v>
      </c>
      <c r="B962" s="60">
        <v>45600</v>
      </c>
      <c r="C962" s="54" t="s">
        <v>173</v>
      </c>
      <c r="D962" s="435" t="str">
        <f>IFERROR(VLOOKUP(C962,Mychart!$A$125:$B$811,2,FALSE),"-")</f>
        <v>BAB AL TABREED A/C UNITS FIX.CONT</v>
      </c>
      <c r="E962" s="295" t="s">
        <v>985</v>
      </c>
      <c r="F962" s="58">
        <v>304.32</v>
      </c>
      <c r="G962" s="58">
        <v>2.8</v>
      </c>
      <c r="H962" s="58">
        <v>957.09599999999989</v>
      </c>
      <c r="I962" s="58">
        <v>47.854799999999997</v>
      </c>
      <c r="J962" s="56" t="s">
        <v>5399</v>
      </c>
      <c r="K962" s="56" t="s">
        <v>5334</v>
      </c>
      <c r="L962" s="292">
        <v>264</v>
      </c>
      <c r="M962" s="292"/>
      <c r="N962" s="358"/>
      <c r="O962" s="292"/>
      <c r="P962" s="292"/>
      <c r="Q962" s="614"/>
      <c r="R962" s="913">
        <f t="shared" si="68"/>
        <v>0</v>
      </c>
      <c r="S962" s="913">
        <f t="shared" si="69"/>
        <v>0</v>
      </c>
      <c r="T962" s="913">
        <f t="shared" si="70"/>
        <v>0</v>
      </c>
      <c r="U962" s="914">
        <f t="shared" si="71"/>
        <v>304.32</v>
      </c>
      <c r="V962" s="612"/>
      <c r="W962" s="612"/>
      <c r="X962" s="612"/>
      <c r="Y962" s="612"/>
      <c r="Z962" s="612"/>
      <c r="AA962" s="612"/>
      <c r="AB962" s="612"/>
      <c r="AC962" s="612"/>
    </row>
    <row r="963" spans="1:30">
      <c r="A963" s="48" t="s">
        <v>5398</v>
      </c>
      <c r="B963" s="60">
        <v>45600</v>
      </c>
      <c r="C963" s="54" t="s">
        <v>173</v>
      </c>
      <c r="D963" s="435" t="str">
        <f>IFERROR(VLOOKUP(C963,Mychart!$A$125:$B$811,2,FALSE),"-")</f>
        <v>BAB AL TABREED A/C UNITS FIX.CONT</v>
      </c>
      <c r="E963" s="295" t="s">
        <v>986</v>
      </c>
      <c r="F963" s="58">
        <v>21</v>
      </c>
      <c r="G963" s="58">
        <v>3</v>
      </c>
      <c r="H963" s="58">
        <v>957.09599999999989</v>
      </c>
      <c r="I963" s="58">
        <v>47.854799999999997</v>
      </c>
      <c r="J963" s="56" t="s">
        <v>5399</v>
      </c>
      <c r="K963" s="56" t="s">
        <v>5334</v>
      </c>
      <c r="L963" s="292">
        <v>264</v>
      </c>
      <c r="M963" s="292"/>
      <c r="N963" s="358"/>
      <c r="O963" s="292"/>
      <c r="P963" s="292"/>
      <c r="Q963" s="614"/>
      <c r="R963" s="913">
        <f t="shared" si="68"/>
        <v>0</v>
      </c>
      <c r="S963" s="913">
        <f t="shared" si="69"/>
        <v>0</v>
      </c>
      <c r="T963" s="913">
        <f t="shared" si="70"/>
        <v>0</v>
      </c>
      <c r="U963" s="914">
        <f t="shared" si="71"/>
        <v>21</v>
      </c>
      <c r="V963" s="612"/>
      <c r="W963" s="612"/>
      <c r="X963" s="612"/>
      <c r="Y963" s="612"/>
      <c r="Z963" s="612"/>
      <c r="AA963" s="612"/>
      <c r="AB963" s="612"/>
      <c r="AC963" s="612"/>
    </row>
    <row r="964" spans="1:30">
      <c r="A964" s="48" t="s">
        <v>5398</v>
      </c>
      <c r="B964" s="60">
        <v>45600</v>
      </c>
      <c r="C964" s="54" t="s">
        <v>173</v>
      </c>
      <c r="D964" s="435" t="str">
        <f>IFERROR(VLOOKUP(C964,Mychart!$A$125:$B$811,2,FALSE),"-")</f>
        <v>BAB AL TABREED A/C UNITS FIX.CONT</v>
      </c>
      <c r="E964" s="295" t="s">
        <v>987</v>
      </c>
      <c r="F964" s="58">
        <v>21</v>
      </c>
      <c r="G964" s="58">
        <v>2</v>
      </c>
      <c r="H964" s="58">
        <v>957.09599999999989</v>
      </c>
      <c r="I964" s="58">
        <v>47.854799999999997</v>
      </c>
      <c r="J964" s="56" t="s">
        <v>5399</v>
      </c>
      <c r="K964" s="56" t="s">
        <v>5334</v>
      </c>
      <c r="L964" s="292">
        <v>264</v>
      </c>
      <c r="M964" s="292" t="s">
        <v>5776</v>
      </c>
      <c r="N964" s="358">
        <v>1004.96</v>
      </c>
      <c r="O964" s="292">
        <v>1004.96</v>
      </c>
      <c r="P964" s="292"/>
      <c r="Q964" s="614">
        <v>1004.9507999999998</v>
      </c>
      <c r="R964" s="913">
        <f t="shared" si="68"/>
        <v>0</v>
      </c>
      <c r="S964" s="913">
        <f t="shared" si="69"/>
        <v>-9.2000000001917215E-3</v>
      </c>
      <c r="T964" s="913">
        <f t="shared" si="70"/>
        <v>-9.2000000001917215E-3</v>
      </c>
      <c r="U964" s="914">
        <f t="shared" si="71"/>
        <v>21</v>
      </c>
      <c r="V964" s="612"/>
      <c r="W964" s="612"/>
      <c r="X964" s="612"/>
      <c r="Y964" s="612"/>
      <c r="Z964" s="612"/>
      <c r="AA964" s="612"/>
      <c r="AB964" s="612"/>
      <c r="AC964" s="612"/>
      <c r="AD964" s="930">
        <v>45619.608402777776</v>
      </c>
    </row>
    <row r="965" spans="1:30">
      <c r="A965" s="48" t="s">
        <v>5462</v>
      </c>
      <c r="B965" s="60">
        <v>45603</v>
      </c>
      <c r="C965" s="54" t="s">
        <v>173</v>
      </c>
      <c r="D965" s="435" t="str">
        <f>IFERROR(VLOOKUP(C965,Mychart!$A$125:$B$811,2,FALSE),"-")</f>
        <v>BAB AL TABREED A/C UNITS FIX.CONT</v>
      </c>
      <c r="E965" s="295" t="s">
        <v>5464</v>
      </c>
      <c r="F965" s="58">
        <v>510</v>
      </c>
      <c r="G965" s="58">
        <v>2.8</v>
      </c>
      <c r="H965" s="58">
        <v>1703</v>
      </c>
      <c r="I965" s="58">
        <v>85.15</v>
      </c>
      <c r="J965" s="56" t="s">
        <v>5463</v>
      </c>
      <c r="K965" s="56" t="s">
        <v>158</v>
      </c>
      <c r="L965" s="292">
        <v>241</v>
      </c>
      <c r="M965" s="292"/>
      <c r="N965" s="358"/>
      <c r="O965" s="292"/>
      <c r="P965" s="292"/>
      <c r="Q965" s="614"/>
      <c r="R965" s="913">
        <f t="shared" si="68"/>
        <v>0</v>
      </c>
      <c r="S965" s="913">
        <f t="shared" si="69"/>
        <v>0</v>
      </c>
      <c r="T965" s="913">
        <f t="shared" si="70"/>
        <v>0</v>
      </c>
      <c r="U965" s="914">
        <f t="shared" si="71"/>
        <v>510</v>
      </c>
      <c r="V965" s="612"/>
      <c r="W965" s="612"/>
      <c r="X965" s="612"/>
      <c r="Y965" s="612"/>
      <c r="Z965" s="612"/>
      <c r="AA965" s="612"/>
      <c r="AB965" s="612"/>
      <c r="AC965" s="612"/>
    </row>
    <row r="966" spans="1:30">
      <c r="A966" s="48" t="s">
        <v>5462</v>
      </c>
      <c r="B966" s="60">
        <v>45603</v>
      </c>
      <c r="C966" s="54" t="s">
        <v>173</v>
      </c>
      <c r="D966" s="435" t="str">
        <f>IFERROR(VLOOKUP(C966,Mychart!$A$125:$B$811,2,FALSE),"-")</f>
        <v>BAB AL TABREED A/C UNITS FIX.CONT</v>
      </c>
      <c r="E966" s="295" t="s">
        <v>5465</v>
      </c>
      <c r="F966" s="58">
        <v>50</v>
      </c>
      <c r="G966" s="58">
        <v>3.5</v>
      </c>
      <c r="H966" s="58">
        <v>1703</v>
      </c>
      <c r="I966" s="58">
        <v>85.15</v>
      </c>
      <c r="J966" s="56" t="s">
        <v>5463</v>
      </c>
      <c r="K966" s="56" t="s">
        <v>158</v>
      </c>
      <c r="L966" s="292">
        <v>241</v>
      </c>
      <c r="M966" s="292"/>
      <c r="N966" s="358"/>
      <c r="O966" s="292"/>
      <c r="P966" s="292"/>
      <c r="Q966" s="614"/>
      <c r="R966" s="913">
        <f t="shared" si="68"/>
        <v>0</v>
      </c>
      <c r="S966" s="913">
        <f t="shared" si="69"/>
        <v>0</v>
      </c>
      <c r="T966" s="913">
        <f t="shared" si="70"/>
        <v>0</v>
      </c>
      <c r="U966" s="914">
        <f t="shared" si="71"/>
        <v>50</v>
      </c>
      <c r="V966" s="612"/>
      <c r="W966" s="612"/>
      <c r="X966" s="612"/>
      <c r="Y966" s="612"/>
      <c r="Z966" s="612"/>
      <c r="AA966" s="612"/>
      <c r="AB966" s="612"/>
      <c r="AC966" s="612"/>
    </row>
    <row r="967" spans="1:30">
      <c r="A967" s="48" t="s">
        <v>5462</v>
      </c>
      <c r="B967" s="60">
        <v>45603</v>
      </c>
      <c r="C967" s="54" t="s">
        <v>173</v>
      </c>
      <c r="D967" s="435" t="str">
        <f>IFERROR(VLOOKUP(C967,Mychart!$A$125:$B$811,2,FALSE),"-")</f>
        <v>BAB AL TABREED A/C UNITS FIX.CONT</v>
      </c>
      <c r="E967" s="295" t="s">
        <v>986</v>
      </c>
      <c r="F967" s="58">
        <v>22</v>
      </c>
      <c r="G967" s="58">
        <v>3</v>
      </c>
      <c r="H967" s="58">
        <v>1703</v>
      </c>
      <c r="I967" s="58">
        <v>85.15</v>
      </c>
      <c r="J967" s="56" t="s">
        <v>5463</v>
      </c>
      <c r="K967" s="56" t="s">
        <v>158</v>
      </c>
      <c r="L967" s="292">
        <v>241</v>
      </c>
      <c r="M967" s="292"/>
      <c r="N967" s="358"/>
      <c r="O967" s="292"/>
      <c r="P967" s="292"/>
      <c r="Q967" s="614"/>
      <c r="R967" s="913">
        <f t="shared" si="68"/>
        <v>0</v>
      </c>
      <c r="S967" s="913">
        <f t="shared" si="69"/>
        <v>0</v>
      </c>
      <c r="T967" s="913">
        <f t="shared" si="70"/>
        <v>0</v>
      </c>
      <c r="U967" s="914">
        <f t="shared" si="71"/>
        <v>22</v>
      </c>
      <c r="V967" s="612"/>
      <c r="W967" s="612"/>
      <c r="X967" s="612"/>
      <c r="Y967" s="612"/>
      <c r="Z967" s="612"/>
      <c r="AA967" s="612"/>
      <c r="AB967" s="612"/>
      <c r="AC967" s="612"/>
    </row>
    <row r="968" spans="1:30">
      <c r="A968" s="48" t="s">
        <v>5462</v>
      </c>
      <c r="B968" s="60">
        <v>45603</v>
      </c>
      <c r="C968" s="54" t="s">
        <v>173</v>
      </c>
      <c r="D968" s="435" t="str">
        <f>IFERROR(VLOOKUP(C968,Mychart!$A$125:$B$811,2,FALSE),"-")</f>
        <v>BAB AL TABREED A/C UNITS FIX.CONT</v>
      </c>
      <c r="E968" s="295" t="s">
        <v>987</v>
      </c>
      <c r="F968" s="58">
        <v>17</v>
      </c>
      <c r="G968" s="58">
        <v>2</v>
      </c>
      <c r="H968" s="58">
        <v>1703</v>
      </c>
      <c r="I968" s="58">
        <v>85.15</v>
      </c>
      <c r="J968" s="56" t="s">
        <v>5463</v>
      </c>
      <c r="K968" s="56" t="s">
        <v>158</v>
      </c>
      <c r="L968" s="292">
        <v>241</v>
      </c>
      <c r="M968" s="292"/>
      <c r="N968" s="358"/>
      <c r="O968" s="292"/>
      <c r="P968" s="292"/>
      <c r="Q968" s="614"/>
      <c r="R968" s="913">
        <f t="shared" si="68"/>
        <v>0</v>
      </c>
      <c r="S968" s="913">
        <f t="shared" si="69"/>
        <v>0</v>
      </c>
      <c r="T968" s="913">
        <f t="shared" si="70"/>
        <v>0</v>
      </c>
      <c r="U968" s="914">
        <f t="shared" si="71"/>
        <v>17</v>
      </c>
      <c r="V968" s="612"/>
      <c r="W968" s="612"/>
      <c r="X968" s="612"/>
      <c r="Y968" s="612"/>
      <c r="Z968" s="612"/>
      <c r="AA968" s="612"/>
      <c r="AB968" s="612"/>
      <c r="AC968" s="612"/>
    </row>
    <row r="969" spans="1:30">
      <c r="A969" s="48" t="s">
        <v>5462</v>
      </c>
      <c r="B969" s="60">
        <v>45603</v>
      </c>
      <c r="C969" s="54" t="s">
        <v>173</v>
      </c>
      <c r="D969" s="435" t="str">
        <f>IFERROR(VLOOKUP(C969,Mychart!$A$125:$B$811,2,FALSE),"-")</f>
        <v>BAB AL TABREED A/C UNITS FIX.CONT</v>
      </c>
      <c r="E969" s="295" t="s">
        <v>5466</v>
      </c>
      <c r="F969" s="58">
        <v>0</v>
      </c>
      <c r="G969" s="58">
        <v>0</v>
      </c>
      <c r="H969" s="58">
        <v>1703</v>
      </c>
      <c r="I969" s="58">
        <v>85.15</v>
      </c>
      <c r="J969" s="56" t="s">
        <v>5463</v>
      </c>
      <c r="K969" s="56" t="s">
        <v>158</v>
      </c>
      <c r="L969" s="292">
        <v>241</v>
      </c>
      <c r="M969" s="292" t="s">
        <v>6111</v>
      </c>
      <c r="N969" s="358">
        <v>1788.15</v>
      </c>
      <c r="O969" s="292"/>
      <c r="P969" s="292"/>
      <c r="Q969" s="614">
        <v>1788.15</v>
      </c>
      <c r="R969" s="913">
        <f t="shared" si="68"/>
        <v>-1788.15</v>
      </c>
      <c r="S969" s="913">
        <f t="shared" si="69"/>
        <v>0</v>
      </c>
      <c r="T969" s="913">
        <f t="shared" si="70"/>
        <v>1788.15</v>
      </c>
      <c r="U969" s="914">
        <f t="shared" si="71"/>
        <v>0</v>
      </c>
      <c r="V969" s="612"/>
      <c r="W969" s="612"/>
      <c r="X969" s="612"/>
      <c r="Y969" s="612"/>
      <c r="Z969" s="612"/>
      <c r="AA969" s="612"/>
      <c r="AB969" s="612"/>
      <c r="AC969" s="612"/>
      <c r="AD969" s="930">
        <v>45635.622013888889</v>
      </c>
    </row>
    <row r="970" spans="1:30">
      <c r="A970" s="48" t="s">
        <v>5504</v>
      </c>
      <c r="B970" s="60">
        <v>45605</v>
      </c>
      <c r="C970" s="54" t="s">
        <v>168</v>
      </c>
      <c r="D970" s="435" t="str">
        <f>IFERROR(VLOOKUP(C970,Mychart!$A$125:$B$811,2,FALSE),"-")</f>
        <v>UTS Carrier</v>
      </c>
      <c r="E970" s="295" t="s">
        <v>825</v>
      </c>
      <c r="F970" s="58">
        <v>1</v>
      </c>
      <c r="G970" s="58"/>
      <c r="H970" s="58">
        <v>70485</v>
      </c>
      <c r="I970" s="58">
        <v>3524.25</v>
      </c>
      <c r="J970" s="56" t="s">
        <v>5505</v>
      </c>
      <c r="K970" s="56" t="s">
        <v>5367</v>
      </c>
      <c r="L970" s="292">
        <v>290</v>
      </c>
      <c r="M970" s="292"/>
      <c r="N970" s="358"/>
      <c r="O970" s="292"/>
      <c r="P970" s="292"/>
      <c r="Q970" s="614"/>
      <c r="R970" s="913">
        <f t="shared" si="68"/>
        <v>0</v>
      </c>
      <c r="S970" s="913">
        <f t="shared" si="69"/>
        <v>0</v>
      </c>
      <c r="T970" s="913">
        <f t="shared" si="70"/>
        <v>0</v>
      </c>
      <c r="U970" s="914">
        <f t="shared" si="71"/>
        <v>1</v>
      </c>
      <c r="V970" s="612"/>
      <c r="W970" s="612"/>
      <c r="X970" s="612"/>
      <c r="Y970" s="612"/>
      <c r="Z970" s="612"/>
      <c r="AA970" s="612"/>
      <c r="AB970" s="612"/>
      <c r="AC970" s="612"/>
    </row>
    <row r="971" spans="1:30">
      <c r="A971" s="48" t="s">
        <v>5504</v>
      </c>
      <c r="B971" s="60">
        <v>45605</v>
      </c>
      <c r="C971" s="54" t="s">
        <v>168</v>
      </c>
      <c r="D971" s="435" t="str">
        <f>IFERROR(VLOOKUP(C971,Mychart!$A$125:$B$811,2,FALSE),"-")</f>
        <v>UTS Carrier</v>
      </c>
      <c r="E971" s="295" t="s">
        <v>1275</v>
      </c>
      <c r="F971" s="58">
        <v>1</v>
      </c>
      <c r="G971" s="58"/>
      <c r="H971" s="58">
        <v>70485</v>
      </c>
      <c r="I971" s="58">
        <v>3524.25</v>
      </c>
      <c r="J971" s="56" t="s">
        <v>5505</v>
      </c>
      <c r="K971" s="56" t="s">
        <v>5367</v>
      </c>
      <c r="L971" s="292">
        <v>290</v>
      </c>
      <c r="M971" s="292"/>
      <c r="N971" s="358"/>
      <c r="O971" s="292"/>
      <c r="P971" s="292"/>
      <c r="Q971" s="614"/>
      <c r="R971" s="913">
        <f t="shared" si="68"/>
        <v>0</v>
      </c>
      <c r="S971" s="913">
        <f t="shared" si="69"/>
        <v>0</v>
      </c>
      <c r="T971" s="913">
        <f t="shared" si="70"/>
        <v>0</v>
      </c>
      <c r="U971" s="914">
        <f t="shared" si="71"/>
        <v>1</v>
      </c>
      <c r="V971" s="612"/>
      <c r="W971" s="612"/>
      <c r="X971" s="612"/>
      <c r="Y971" s="612"/>
      <c r="Z971" s="612"/>
      <c r="AA971" s="612"/>
      <c r="AB971" s="612"/>
      <c r="AC971" s="612"/>
    </row>
    <row r="972" spans="1:30">
      <c r="A972" s="48" t="s">
        <v>5504</v>
      </c>
      <c r="B972" s="60">
        <v>45605</v>
      </c>
      <c r="C972" s="54" t="s">
        <v>168</v>
      </c>
      <c r="D972" s="435" t="str">
        <f>IFERROR(VLOOKUP(C972,Mychart!$A$125:$B$811,2,FALSE),"-")</f>
        <v>UTS Carrier</v>
      </c>
      <c r="E972" s="295" t="s">
        <v>827</v>
      </c>
      <c r="F972" s="58">
        <v>2</v>
      </c>
      <c r="G972" s="58"/>
      <c r="H972" s="58">
        <v>70485</v>
      </c>
      <c r="I972" s="58">
        <v>3524.25</v>
      </c>
      <c r="J972" s="56" t="s">
        <v>5505</v>
      </c>
      <c r="K972" s="56" t="s">
        <v>5367</v>
      </c>
      <c r="L972" s="292">
        <v>290</v>
      </c>
      <c r="M972" s="292"/>
      <c r="N972" s="358"/>
      <c r="O972" s="292"/>
      <c r="P972" s="292"/>
      <c r="Q972" s="614"/>
      <c r="R972" s="913">
        <f t="shared" si="68"/>
        <v>0</v>
      </c>
      <c r="S972" s="913">
        <f t="shared" si="69"/>
        <v>0</v>
      </c>
      <c r="T972" s="913">
        <f t="shared" si="70"/>
        <v>0</v>
      </c>
      <c r="U972" s="914">
        <f t="shared" si="71"/>
        <v>2</v>
      </c>
      <c r="V972" s="612"/>
      <c r="W972" s="612"/>
      <c r="X972" s="612"/>
      <c r="Y972" s="612"/>
      <c r="Z972" s="612"/>
      <c r="AA972" s="612"/>
      <c r="AB972" s="612"/>
      <c r="AC972" s="612"/>
    </row>
    <row r="973" spans="1:30">
      <c r="A973" s="48" t="s">
        <v>5504</v>
      </c>
      <c r="B973" s="60">
        <v>45605</v>
      </c>
      <c r="C973" s="54" t="s">
        <v>168</v>
      </c>
      <c r="D973" s="435" t="str">
        <f>IFERROR(VLOOKUP(C973,Mychart!$A$125:$B$811,2,FALSE),"-")</f>
        <v>UTS Carrier</v>
      </c>
      <c r="E973" s="295" t="s">
        <v>1276</v>
      </c>
      <c r="F973" s="58">
        <v>2</v>
      </c>
      <c r="G973" s="58"/>
      <c r="H973" s="58">
        <v>70485</v>
      </c>
      <c r="I973" s="58">
        <v>3524.25</v>
      </c>
      <c r="J973" s="56" t="s">
        <v>5505</v>
      </c>
      <c r="K973" s="56" t="s">
        <v>5367</v>
      </c>
      <c r="L973" s="292">
        <v>290</v>
      </c>
      <c r="M973" s="292"/>
      <c r="N973" s="358"/>
      <c r="O973" s="292"/>
      <c r="P973" s="292"/>
      <c r="Q973" s="614"/>
      <c r="R973" s="913">
        <f t="shared" si="68"/>
        <v>0</v>
      </c>
      <c r="S973" s="913">
        <f t="shared" si="69"/>
        <v>0</v>
      </c>
      <c r="T973" s="913">
        <f t="shared" si="70"/>
        <v>0</v>
      </c>
      <c r="U973" s="914">
        <f t="shared" si="71"/>
        <v>2</v>
      </c>
      <c r="V973" s="612"/>
      <c r="W973" s="612"/>
      <c r="X973" s="612"/>
      <c r="Y973" s="612"/>
      <c r="Z973" s="612"/>
      <c r="AA973" s="612"/>
      <c r="AB973" s="612"/>
      <c r="AC973" s="612"/>
    </row>
    <row r="974" spans="1:30">
      <c r="A974" s="48" t="s">
        <v>5504</v>
      </c>
      <c r="B974" s="60">
        <v>45605</v>
      </c>
      <c r="C974" s="54" t="s">
        <v>168</v>
      </c>
      <c r="D974" s="435" t="str">
        <f>IFERROR(VLOOKUP(C974,Mychart!$A$125:$B$811,2,FALSE),"-")</f>
        <v>UTS Carrier</v>
      </c>
      <c r="E974" s="295" t="s">
        <v>238</v>
      </c>
      <c r="F974" s="58">
        <v>2</v>
      </c>
      <c r="G974" s="58"/>
      <c r="H974" s="58">
        <v>70485</v>
      </c>
      <c r="I974" s="58">
        <v>3524.25</v>
      </c>
      <c r="J974" s="56" t="s">
        <v>5505</v>
      </c>
      <c r="K974" s="56" t="s">
        <v>5367</v>
      </c>
      <c r="L974" s="292">
        <v>290</v>
      </c>
      <c r="M974" s="292"/>
      <c r="N974" s="358"/>
      <c r="O974" s="292"/>
      <c r="P974" s="292"/>
      <c r="Q974" s="614"/>
      <c r="R974" s="913">
        <f t="shared" si="68"/>
        <v>0</v>
      </c>
      <c r="S974" s="913">
        <f t="shared" si="69"/>
        <v>0</v>
      </c>
      <c r="T974" s="913">
        <f t="shared" si="70"/>
        <v>0</v>
      </c>
      <c r="U974" s="914">
        <f t="shared" si="71"/>
        <v>2</v>
      </c>
      <c r="V974" s="612"/>
      <c r="W974" s="612"/>
      <c r="X974" s="612"/>
      <c r="Y974" s="612"/>
      <c r="Z974" s="612"/>
      <c r="AA974" s="612"/>
      <c r="AB974" s="612"/>
      <c r="AC974" s="612"/>
    </row>
    <row r="975" spans="1:30">
      <c r="A975" s="48" t="s">
        <v>5504</v>
      </c>
      <c r="B975" s="60">
        <v>45605</v>
      </c>
      <c r="C975" s="54" t="s">
        <v>168</v>
      </c>
      <c r="D975" s="435" t="str">
        <f>IFERROR(VLOOKUP(C975,Mychart!$A$125:$B$811,2,FALSE),"-")</f>
        <v>UTS Carrier</v>
      </c>
      <c r="E975" s="295" t="s">
        <v>1367</v>
      </c>
      <c r="F975" s="58">
        <v>2</v>
      </c>
      <c r="G975" s="58"/>
      <c r="H975" s="58">
        <v>70485</v>
      </c>
      <c r="I975" s="58">
        <v>3524.25</v>
      </c>
      <c r="J975" s="56" t="s">
        <v>5505</v>
      </c>
      <c r="K975" s="56" t="s">
        <v>5367</v>
      </c>
      <c r="L975" s="292">
        <v>290</v>
      </c>
      <c r="M975" s="292"/>
      <c r="N975" s="358"/>
      <c r="O975" s="292"/>
      <c r="P975" s="292"/>
      <c r="Q975" s="614"/>
      <c r="R975" s="913">
        <f t="shared" si="68"/>
        <v>0</v>
      </c>
      <c r="S975" s="913">
        <f t="shared" si="69"/>
        <v>0</v>
      </c>
      <c r="T975" s="913">
        <f t="shared" si="70"/>
        <v>0</v>
      </c>
      <c r="U975" s="914">
        <f t="shared" si="71"/>
        <v>2</v>
      </c>
      <c r="V975" s="612"/>
      <c r="W975" s="612"/>
      <c r="X975" s="612"/>
      <c r="Y975" s="612"/>
      <c r="Z975" s="612"/>
      <c r="AA975" s="612"/>
      <c r="AB975" s="612"/>
      <c r="AC975" s="612"/>
    </row>
    <row r="976" spans="1:30">
      <c r="A976" s="48" t="s">
        <v>5504</v>
      </c>
      <c r="B976" s="60">
        <v>45605</v>
      </c>
      <c r="C976" s="54" t="s">
        <v>168</v>
      </c>
      <c r="D976" s="435" t="str">
        <f>IFERROR(VLOOKUP(C976,Mychart!$A$125:$B$811,2,FALSE),"-")</f>
        <v>UTS Carrier</v>
      </c>
      <c r="E976" s="295" t="s">
        <v>234</v>
      </c>
      <c r="F976" s="58">
        <v>1</v>
      </c>
      <c r="G976" s="58"/>
      <c r="H976" s="58">
        <v>70485</v>
      </c>
      <c r="I976" s="58">
        <v>3524.25</v>
      </c>
      <c r="J976" s="56" t="s">
        <v>5505</v>
      </c>
      <c r="K976" s="56" t="s">
        <v>5367</v>
      </c>
      <c r="L976" s="292">
        <v>290</v>
      </c>
      <c r="M976" s="292"/>
      <c r="N976" s="358"/>
      <c r="O976" s="292"/>
      <c r="P976" s="292"/>
      <c r="Q976" s="614"/>
      <c r="R976" s="913">
        <f t="shared" si="68"/>
        <v>0</v>
      </c>
      <c r="S976" s="913">
        <f t="shared" si="69"/>
        <v>0</v>
      </c>
      <c r="T976" s="913">
        <f t="shared" si="70"/>
        <v>0</v>
      </c>
      <c r="U976" s="914">
        <f t="shared" si="71"/>
        <v>1</v>
      </c>
      <c r="V976" s="612"/>
      <c r="W976" s="612"/>
      <c r="X976" s="612"/>
      <c r="Y976" s="612"/>
      <c r="Z976" s="612"/>
      <c r="AA976" s="612"/>
      <c r="AB976" s="612"/>
      <c r="AC976" s="612"/>
    </row>
    <row r="977" spans="1:29">
      <c r="A977" s="48" t="s">
        <v>5504</v>
      </c>
      <c r="B977" s="60">
        <v>45605</v>
      </c>
      <c r="C977" s="54" t="s">
        <v>168</v>
      </c>
      <c r="D977" s="435" t="str">
        <f>IFERROR(VLOOKUP(C977,Mychart!$A$125:$B$811,2,FALSE),"-")</f>
        <v>UTS Carrier</v>
      </c>
      <c r="E977" s="295" t="s">
        <v>1277</v>
      </c>
      <c r="F977" s="58">
        <v>1</v>
      </c>
      <c r="G977" s="58"/>
      <c r="H977" s="58">
        <v>70485</v>
      </c>
      <c r="I977" s="58">
        <v>3524.25</v>
      </c>
      <c r="J977" s="56" t="s">
        <v>5505</v>
      </c>
      <c r="K977" s="56" t="s">
        <v>5367</v>
      </c>
      <c r="L977" s="292">
        <v>290</v>
      </c>
      <c r="M977" s="292"/>
      <c r="N977" s="358"/>
      <c r="O977" s="292"/>
      <c r="P977" s="292"/>
      <c r="Q977" s="614"/>
      <c r="R977" s="913">
        <f t="shared" si="68"/>
        <v>0</v>
      </c>
      <c r="S977" s="913">
        <f t="shared" si="69"/>
        <v>0</v>
      </c>
      <c r="T977" s="913">
        <f t="shared" si="70"/>
        <v>0</v>
      </c>
      <c r="U977" s="914">
        <f t="shared" si="71"/>
        <v>1</v>
      </c>
      <c r="V977" s="612"/>
      <c r="W977" s="612"/>
      <c r="X977" s="612"/>
      <c r="Y977" s="612"/>
      <c r="Z977" s="612"/>
      <c r="AA977" s="612"/>
      <c r="AB977" s="612"/>
      <c r="AC977" s="612"/>
    </row>
    <row r="978" spans="1:29">
      <c r="A978" s="48" t="s">
        <v>5504</v>
      </c>
      <c r="B978" s="60">
        <v>45605</v>
      </c>
      <c r="C978" s="54" t="s">
        <v>168</v>
      </c>
      <c r="D978" s="435" t="str">
        <f>IFERROR(VLOOKUP(C978,Mychart!$A$125:$B$811,2,FALSE),"-")</f>
        <v>UTS Carrier</v>
      </c>
      <c r="E978" s="295" t="s">
        <v>232</v>
      </c>
      <c r="F978" s="58">
        <v>4</v>
      </c>
      <c r="G978" s="58"/>
      <c r="H978" s="58">
        <v>70485</v>
      </c>
      <c r="I978" s="58">
        <v>3524.25</v>
      </c>
      <c r="J978" s="56" t="s">
        <v>5505</v>
      </c>
      <c r="K978" s="56" t="s">
        <v>5367</v>
      </c>
      <c r="L978" s="292">
        <v>290</v>
      </c>
      <c r="M978" s="292"/>
      <c r="N978" s="358"/>
      <c r="O978" s="292"/>
      <c r="P978" s="292"/>
      <c r="Q978" s="614"/>
      <c r="R978" s="913">
        <f t="shared" si="68"/>
        <v>0</v>
      </c>
      <c r="S978" s="913">
        <f t="shared" si="69"/>
        <v>0</v>
      </c>
      <c r="T978" s="913">
        <f t="shared" si="70"/>
        <v>0</v>
      </c>
      <c r="U978" s="914">
        <f t="shared" si="71"/>
        <v>4</v>
      </c>
      <c r="V978" s="612"/>
      <c r="W978" s="612"/>
      <c r="X978" s="612"/>
      <c r="Y978" s="612"/>
      <c r="Z978" s="612"/>
      <c r="AA978" s="612"/>
      <c r="AB978" s="612"/>
      <c r="AC978" s="612"/>
    </row>
    <row r="979" spans="1:29">
      <c r="A979" s="48" t="s">
        <v>5504</v>
      </c>
      <c r="B979" s="60">
        <v>45605</v>
      </c>
      <c r="C979" s="54" t="s">
        <v>168</v>
      </c>
      <c r="D979" s="435" t="str">
        <f>IFERROR(VLOOKUP(C979,Mychart!$A$125:$B$811,2,FALSE),"-")</f>
        <v>UTS Carrier</v>
      </c>
      <c r="E979" s="295" t="s">
        <v>1368</v>
      </c>
      <c r="F979" s="58">
        <v>4</v>
      </c>
      <c r="G979" s="58"/>
      <c r="H979" s="58">
        <v>70485</v>
      </c>
      <c r="I979" s="58">
        <v>3524.25</v>
      </c>
      <c r="J979" s="56" t="s">
        <v>5505</v>
      </c>
      <c r="K979" s="56" t="s">
        <v>5367</v>
      </c>
      <c r="L979" s="292">
        <v>290</v>
      </c>
      <c r="M979" s="292"/>
      <c r="N979" s="358"/>
      <c r="O979" s="292"/>
      <c r="P979" s="292"/>
      <c r="Q979" s="614"/>
      <c r="R979" s="913">
        <f t="shared" si="68"/>
        <v>0</v>
      </c>
      <c r="S979" s="913">
        <f t="shared" si="69"/>
        <v>0</v>
      </c>
      <c r="T979" s="913">
        <f t="shared" si="70"/>
        <v>0</v>
      </c>
      <c r="U979" s="914">
        <f t="shared" si="71"/>
        <v>4</v>
      </c>
      <c r="V979" s="612"/>
      <c r="W979" s="612"/>
      <c r="X979" s="612"/>
      <c r="Y979" s="612"/>
      <c r="Z979" s="612"/>
      <c r="AA979" s="612"/>
      <c r="AB979" s="612"/>
      <c r="AC979" s="612"/>
    </row>
    <row r="980" spans="1:29">
      <c r="A980" s="48" t="s">
        <v>5504</v>
      </c>
      <c r="B980" s="60">
        <v>45605</v>
      </c>
      <c r="C980" s="54" t="s">
        <v>168</v>
      </c>
      <c r="D980" s="435" t="str">
        <f>IFERROR(VLOOKUP(C980,Mychart!$A$125:$B$811,2,FALSE),"-")</f>
        <v>UTS Carrier</v>
      </c>
      <c r="E980" s="295" t="s">
        <v>1169</v>
      </c>
      <c r="F980" s="58">
        <v>1</v>
      </c>
      <c r="G980" s="58"/>
      <c r="H980" s="58">
        <v>70485</v>
      </c>
      <c r="I980" s="58">
        <v>3524.25</v>
      </c>
      <c r="J980" s="56" t="s">
        <v>5505</v>
      </c>
      <c r="K980" s="56" t="s">
        <v>5367</v>
      </c>
      <c r="L980" s="292">
        <v>290</v>
      </c>
      <c r="M980" s="292"/>
      <c r="N980" s="358"/>
      <c r="O980" s="292"/>
      <c r="P980" s="292"/>
      <c r="Q980" s="614"/>
      <c r="R980" s="913">
        <f t="shared" si="68"/>
        <v>0</v>
      </c>
      <c r="S980" s="913">
        <f t="shared" si="69"/>
        <v>0</v>
      </c>
      <c r="T980" s="913">
        <f t="shared" si="70"/>
        <v>0</v>
      </c>
      <c r="U980" s="914">
        <f t="shared" si="71"/>
        <v>1</v>
      </c>
      <c r="V980" s="612"/>
      <c r="W980" s="612"/>
      <c r="X980" s="612"/>
      <c r="Y980" s="612"/>
      <c r="Z980" s="612"/>
      <c r="AA980" s="612"/>
      <c r="AB980" s="612"/>
      <c r="AC980" s="612"/>
    </row>
    <row r="981" spans="1:29">
      <c r="A981" s="48" t="s">
        <v>5504</v>
      </c>
      <c r="B981" s="60">
        <v>45605</v>
      </c>
      <c r="C981" s="54" t="s">
        <v>168</v>
      </c>
      <c r="D981" s="435" t="str">
        <f>IFERROR(VLOOKUP(C981,Mychart!$A$125:$B$811,2,FALSE),"-")</f>
        <v>UTS Carrier</v>
      </c>
      <c r="E981" s="295" t="s">
        <v>1170</v>
      </c>
      <c r="F981" s="58">
        <v>1</v>
      </c>
      <c r="G981" s="58"/>
      <c r="H981" s="58">
        <v>70485</v>
      </c>
      <c r="I981" s="58">
        <v>3524.25</v>
      </c>
      <c r="J981" s="56" t="s">
        <v>5505</v>
      </c>
      <c r="K981" s="56" t="s">
        <v>5367</v>
      </c>
      <c r="L981" s="292">
        <v>290</v>
      </c>
      <c r="M981" s="292"/>
      <c r="N981" s="358"/>
      <c r="O981" s="292"/>
      <c r="P981" s="292"/>
      <c r="Q981" s="614"/>
      <c r="R981" s="913">
        <f t="shared" si="68"/>
        <v>0</v>
      </c>
      <c r="S981" s="913">
        <f t="shared" si="69"/>
        <v>0</v>
      </c>
      <c r="T981" s="913">
        <f t="shared" si="70"/>
        <v>0</v>
      </c>
      <c r="U981" s="914">
        <f t="shared" si="71"/>
        <v>1</v>
      </c>
      <c r="V981" s="612"/>
      <c r="W981" s="612"/>
      <c r="X981" s="612"/>
      <c r="Y981" s="612"/>
      <c r="Z981" s="612"/>
      <c r="AA981" s="612"/>
      <c r="AB981" s="612"/>
      <c r="AC981" s="612"/>
    </row>
    <row r="982" spans="1:29">
      <c r="A982" s="48" t="s">
        <v>5504</v>
      </c>
      <c r="B982" s="60">
        <v>45605</v>
      </c>
      <c r="C982" s="54" t="s">
        <v>168</v>
      </c>
      <c r="D982" s="435" t="str">
        <f>IFERROR(VLOOKUP(C982,Mychart!$A$125:$B$811,2,FALSE),"-")</f>
        <v>UTS Carrier</v>
      </c>
      <c r="E982" s="295" t="s">
        <v>832</v>
      </c>
      <c r="F982" s="58">
        <v>1</v>
      </c>
      <c r="G982" s="58"/>
      <c r="H982" s="58">
        <v>70485</v>
      </c>
      <c r="I982" s="58">
        <v>3524.25</v>
      </c>
      <c r="J982" s="56" t="s">
        <v>5505</v>
      </c>
      <c r="K982" s="56" t="s">
        <v>5367</v>
      </c>
      <c r="L982" s="292">
        <v>290</v>
      </c>
      <c r="M982" s="292"/>
      <c r="N982" s="358"/>
      <c r="O982" s="292"/>
      <c r="P982" s="292"/>
      <c r="Q982" s="614"/>
      <c r="R982" s="913">
        <f t="shared" si="68"/>
        <v>0</v>
      </c>
      <c r="S982" s="913">
        <f t="shared" si="69"/>
        <v>0</v>
      </c>
      <c r="T982" s="913">
        <f t="shared" si="70"/>
        <v>0</v>
      </c>
      <c r="U982" s="914">
        <f t="shared" si="71"/>
        <v>1</v>
      </c>
      <c r="V982" s="612"/>
      <c r="W982" s="612"/>
      <c r="X982" s="612"/>
      <c r="Y982" s="612"/>
      <c r="Z982" s="612"/>
      <c r="AA982" s="612"/>
      <c r="AB982" s="612"/>
      <c r="AC982" s="612"/>
    </row>
    <row r="983" spans="1:29">
      <c r="A983" s="48" t="s">
        <v>5504</v>
      </c>
      <c r="B983" s="60">
        <v>45605</v>
      </c>
      <c r="C983" s="54" t="s">
        <v>168</v>
      </c>
      <c r="D983" s="435" t="str">
        <f>IFERROR(VLOOKUP(C983,Mychart!$A$125:$B$811,2,FALSE),"-")</f>
        <v>UTS Carrier</v>
      </c>
      <c r="E983" s="295" t="s">
        <v>833</v>
      </c>
      <c r="F983" s="58">
        <v>1</v>
      </c>
      <c r="G983" s="58"/>
      <c r="H983" s="58">
        <v>70485</v>
      </c>
      <c r="I983" s="58">
        <v>3524.25</v>
      </c>
      <c r="J983" s="56" t="s">
        <v>5505</v>
      </c>
      <c r="K983" s="56" t="s">
        <v>5367</v>
      </c>
      <c r="L983" s="292">
        <v>290</v>
      </c>
      <c r="M983" s="292"/>
      <c r="N983" s="358"/>
      <c r="O983" s="292"/>
      <c r="P983" s="292"/>
      <c r="Q983" s="614"/>
      <c r="R983" s="913">
        <f t="shared" si="68"/>
        <v>0</v>
      </c>
      <c r="S983" s="913">
        <f t="shared" si="69"/>
        <v>0</v>
      </c>
      <c r="T983" s="913">
        <f t="shared" si="70"/>
        <v>0</v>
      </c>
      <c r="U983" s="914">
        <f t="shared" si="71"/>
        <v>1</v>
      </c>
      <c r="V983" s="612"/>
      <c r="W983" s="612"/>
      <c r="X983" s="612"/>
      <c r="Y983" s="612"/>
      <c r="Z983" s="612"/>
      <c r="AA983" s="612"/>
      <c r="AB983" s="612"/>
      <c r="AC983" s="612"/>
    </row>
    <row r="984" spans="1:29">
      <c r="A984" s="48" t="s">
        <v>5504</v>
      </c>
      <c r="B984" s="60">
        <v>45605</v>
      </c>
      <c r="C984" s="54" t="s">
        <v>168</v>
      </c>
      <c r="D984" s="435" t="str">
        <f>IFERROR(VLOOKUP(C984,Mychart!$A$125:$B$811,2,FALSE),"-")</f>
        <v>UTS Carrier</v>
      </c>
      <c r="E984" s="295" t="s">
        <v>5503</v>
      </c>
      <c r="F984" s="58">
        <v>1</v>
      </c>
      <c r="G984" s="58">
        <v>70485</v>
      </c>
      <c r="H984" s="58">
        <v>70485</v>
      </c>
      <c r="I984" s="58">
        <v>3524.25</v>
      </c>
      <c r="J984" s="56" t="s">
        <v>5505</v>
      </c>
      <c r="K984" s="56" t="s">
        <v>5367</v>
      </c>
      <c r="L984" s="292">
        <v>290</v>
      </c>
      <c r="M984" s="292"/>
      <c r="N984" s="358"/>
      <c r="O984" s="292"/>
      <c r="P984" s="292"/>
      <c r="Q984" s="614">
        <v>74009.25</v>
      </c>
      <c r="R984" s="913">
        <f t="shared" si="68"/>
        <v>0</v>
      </c>
      <c r="S984" s="913">
        <f t="shared" si="69"/>
        <v>74009.25</v>
      </c>
      <c r="T984" s="913">
        <f t="shared" si="70"/>
        <v>74009.25</v>
      </c>
      <c r="U984" s="914">
        <f t="shared" si="71"/>
        <v>1</v>
      </c>
      <c r="V984" s="612"/>
      <c r="W984" s="612"/>
      <c r="X984" s="612"/>
      <c r="Y984" s="612"/>
      <c r="Z984" s="612"/>
      <c r="AA984" s="612"/>
      <c r="AB984" s="612"/>
      <c r="AC984" s="612"/>
    </row>
    <row r="985" spans="1:29">
      <c r="A985" s="48" t="s">
        <v>5506</v>
      </c>
      <c r="B985" s="60">
        <v>45605</v>
      </c>
      <c r="C985" s="54" t="s">
        <v>168</v>
      </c>
      <c r="D985" s="435" t="str">
        <f>IFERROR(VLOOKUP(C985,Mychart!$A$125:$B$811,2,FALSE),"-")</f>
        <v>UTS Carrier</v>
      </c>
      <c r="E985" s="295" t="s">
        <v>236</v>
      </c>
      <c r="F985" s="58">
        <v>1</v>
      </c>
      <c r="G985" s="58"/>
      <c r="H985" s="58">
        <v>87120</v>
      </c>
      <c r="I985" s="58">
        <v>4356</v>
      </c>
      <c r="J985" s="56" t="s">
        <v>5505</v>
      </c>
      <c r="K985" s="56" t="s">
        <v>5362</v>
      </c>
      <c r="L985" s="292">
        <v>291</v>
      </c>
      <c r="M985" s="292"/>
      <c r="N985" s="358"/>
      <c r="O985" s="292"/>
      <c r="P985" s="292"/>
      <c r="Q985" s="614"/>
      <c r="R985" s="913">
        <f t="shared" si="68"/>
        <v>0</v>
      </c>
      <c r="S985" s="913">
        <f t="shared" si="69"/>
        <v>0</v>
      </c>
      <c r="T985" s="913">
        <f t="shared" si="70"/>
        <v>0</v>
      </c>
      <c r="U985" s="914">
        <f t="shared" si="71"/>
        <v>1</v>
      </c>
      <c r="V985" s="612"/>
      <c r="W985" s="612"/>
      <c r="X985" s="612"/>
      <c r="Y985" s="612"/>
      <c r="Z985" s="612"/>
      <c r="AA985" s="612"/>
      <c r="AB985" s="612"/>
      <c r="AC985" s="612"/>
    </row>
    <row r="986" spans="1:29">
      <c r="A986" s="48" t="s">
        <v>5506</v>
      </c>
      <c r="B986" s="60">
        <v>45605</v>
      </c>
      <c r="C986" s="54" t="s">
        <v>168</v>
      </c>
      <c r="D986" s="435" t="str">
        <f>IFERROR(VLOOKUP(C986,Mychart!$A$125:$B$811,2,FALSE),"-")</f>
        <v>UTS Carrier</v>
      </c>
      <c r="E986" s="295" t="s">
        <v>237</v>
      </c>
      <c r="F986" s="58">
        <v>1</v>
      </c>
      <c r="G986" s="58"/>
      <c r="H986" s="58">
        <v>87120</v>
      </c>
      <c r="I986" s="58">
        <v>4356</v>
      </c>
      <c r="J986" s="56" t="s">
        <v>5505</v>
      </c>
      <c r="K986" s="56" t="s">
        <v>5362</v>
      </c>
      <c r="L986" s="292">
        <v>291</v>
      </c>
      <c r="M986" s="292"/>
      <c r="N986" s="358"/>
      <c r="O986" s="292"/>
      <c r="P986" s="292"/>
      <c r="Q986" s="614"/>
      <c r="R986" s="913">
        <f t="shared" si="68"/>
        <v>0</v>
      </c>
      <c r="S986" s="913">
        <f t="shared" si="69"/>
        <v>0</v>
      </c>
      <c r="T986" s="913">
        <f t="shared" si="70"/>
        <v>0</v>
      </c>
      <c r="U986" s="914">
        <f t="shared" si="71"/>
        <v>1</v>
      </c>
      <c r="V986" s="612"/>
      <c r="W986" s="612"/>
      <c r="X986" s="612"/>
      <c r="Y986" s="612"/>
      <c r="Z986" s="612"/>
      <c r="AA986" s="612"/>
      <c r="AB986" s="612"/>
      <c r="AC986" s="612"/>
    </row>
    <row r="987" spans="1:29">
      <c r="A987" s="48" t="s">
        <v>5506</v>
      </c>
      <c r="B987" s="60">
        <v>45605</v>
      </c>
      <c r="C987" s="54" t="s">
        <v>168</v>
      </c>
      <c r="D987" s="435" t="str">
        <f>IFERROR(VLOOKUP(C987,Mychart!$A$125:$B$811,2,FALSE),"-")</f>
        <v>UTS Carrier</v>
      </c>
      <c r="E987" s="295" t="s">
        <v>827</v>
      </c>
      <c r="F987" s="58">
        <v>2</v>
      </c>
      <c r="G987" s="58"/>
      <c r="H987" s="58">
        <v>87120</v>
      </c>
      <c r="I987" s="58">
        <v>4356</v>
      </c>
      <c r="J987" s="56" t="s">
        <v>5505</v>
      </c>
      <c r="K987" s="56" t="s">
        <v>5362</v>
      </c>
      <c r="L987" s="292">
        <v>291</v>
      </c>
      <c r="M987" s="292"/>
      <c r="N987" s="358"/>
      <c r="O987" s="292"/>
      <c r="P987" s="292"/>
      <c r="Q987" s="614"/>
      <c r="R987" s="913">
        <f t="shared" si="68"/>
        <v>0</v>
      </c>
      <c r="S987" s="913">
        <f t="shared" si="69"/>
        <v>0</v>
      </c>
      <c r="T987" s="913">
        <f t="shared" si="70"/>
        <v>0</v>
      </c>
      <c r="U987" s="914">
        <f t="shared" si="71"/>
        <v>2</v>
      </c>
      <c r="V987" s="612"/>
      <c r="W987" s="612"/>
      <c r="X987" s="612"/>
      <c r="Y987" s="612"/>
      <c r="Z987" s="612"/>
      <c r="AA987" s="612"/>
      <c r="AB987" s="612"/>
      <c r="AC987" s="612"/>
    </row>
    <row r="988" spans="1:29">
      <c r="A988" s="48" t="s">
        <v>5506</v>
      </c>
      <c r="B988" s="60">
        <v>45605</v>
      </c>
      <c r="C988" s="54" t="s">
        <v>168</v>
      </c>
      <c r="D988" s="435" t="str">
        <f>IFERROR(VLOOKUP(C988,Mychart!$A$125:$B$811,2,FALSE),"-")</f>
        <v>UTS Carrier</v>
      </c>
      <c r="E988" s="295" t="s">
        <v>828</v>
      </c>
      <c r="F988" s="58">
        <v>2</v>
      </c>
      <c r="G988" s="58"/>
      <c r="H988" s="58">
        <v>87120</v>
      </c>
      <c r="I988" s="58">
        <v>4356</v>
      </c>
      <c r="J988" s="56" t="s">
        <v>5505</v>
      </c>
      <c r="K988" s="56" t="s">
        <v>5362</v>
      </c>
      <c r="L988" s="292">
        <v>291</v>
      </c>
      <c r="M988" s="292"/>
      <c r="N988" s="358"/>
      <c r="O988" s="292"/>
      <c r="P988" s="292"/>
      <c r="Q988" s="614"/>
      <c r="R988" s="913">
        <f t="shared" si="68"/>
        <v>0</v>
      </c>
      <c r="S988" s="913">
        <f t="shared" si="69"/>
        <v>0</v>
      </c>
      <c r="T988" s="913">
        <f t="shared" si="70"/>
        <v>0</v>
      </c>
      <c r="U988" s="914">
        <f t="shared" si="71"/>
        <v>2</v>
      </c>
      <c r="V988" s="612"/>
      <c r="W988" s="612"/>
      <c r="X988" s="612"/>
      <c r="Y988" s="612"/>
      <c r="Z988" s="612"/>
      <c r="AA988" s="612"/>
      <c r="AB988" s="612"/>
      <c r="AC988" s="612"/>
    </row>
    <row r="989" spans="1:29">
      <c r="A989" s="48" t="s">
        <v>5506</v>
      </c>
      <c r="B989" s="60">
        <v>45605</v>
      </c>
      <c r="C989" s="54" t="s">
        <v>168</v>
      </c>
      <c r="D989" s="435" t="str">
        <f>IFERROR(VLOOKUP(C989,Mychart!$A$125:$B$811,2,FALSE),"-")</f>
        <v>UTS Carrier</v>
      </c>
      <c r="E989" s="295" t="s">
        <v>238</v>
      </c>
      <c r="F989" s="58">
        <v>1</v>
      </c>
      <c r="G989" s="58"/>
      <c r="H989" s="58">
        <v>87120</v>
      </c>
      <c r="I989" s="58">
        <v>4356</v>
      </c>
      <c r="J989" s="56" t="s">
        <v>5505</v>
      </c>
      <c r="K989" s="56" t="s">
        <v>5362</v>
      </c>
      <c r="L989" s="292">
        <v>291</v>
      </c>
      <c r="M989" s="292"/>
      <c r="N989" s="358"/>
      <c r="O989" s="292"/>
      <c r="P989" s="292"/>
      <c r="Q989" s="614"/>
      <c r="R989" s="913">
        <f t="shared" si="68"/>
        <v>0</v>
      </c>
      <c r="S989" s="913">
        <f t="shared" si="69"/>
        <v>0</v>
      </c>
      <c r="T989" s="913">
        <f t="shared" si="70"/>
        <v>0</v>
      </c>
      <c r="U989" s="914">
        <f t="shared" si="71"/>
        <v>1</v>
      </c>
      <c r="V989" s="612"/>
      <c r="W989" s="612"/>
      <c r="X989" s="612"/>
      <c r="Y989" s="612"/>
      <c r="Z989" s="612"/>
      <c r="AA989" s="612"/>
      <c r="AB989" s="612"/>
      <c r="AC989" s="612"/>
    </row>
    <row r="990" spans="1:29">
      <c r="A990" s="48" t="s">
        <v>5506</v>
      </c>
      <c r="B990" s="60">
        <v>45605</v>
      </c>
      <c r="C990" s="54" t="s">
        <v>168</v>
      </c>
      <c r="D990" s="435" t="str">
        <f>IFERROR(VLOOKUP(C990,Mychart!$A$125:$B$811,2,FALSE),"-")</f>
        <v>UTS Carrier</v>
      </c>
      <c r="E990" s="295" t="s">
        <v>239</v>
      </c>
      <c r="F990" s="58">
        <v>1</v>
      </c>
      <c r="G990" s="58"/>
      <c r="H990" s="58">
        <v>87120</v>
      </c>
      <c r="I990" s="58">
        <v>4356</v>
      </c>
      <c r="J990" s="56" t="s">
        <v>5505</v>
      </c>
      <c r="K990" s="56" t="s">
        <v>5362</v>
      </c>
      <c r="L990" s="292">
        <v>291</v>
      </c>
      <c r="M990" s="292"/>
      <c r="N990" s="358"/>
      <c r="O990" s="292"/>
      <c r="P990" s="292"/>
      <c r="Q990" s="614"/>
      <c r="R990" s="913">
        <f t="shared" si="68"/>
        <v>0</v>
      </c>
      <c r="S990" s="913">
        <f t="shared" si="69"/>
        <v>0</v>
      </c>
      <c r="T990" s="913">
        <f t="shared" si="70"/>
        <v>0</v>
      </c>
      <c r="U990" s="914">
        <f t="shared" si="71"/>
        <v>1</v>
      </c>
      <c r="V990" s="612"/>
      <c r="W990" s="612"/>
      <c r="X990" s="612"/>
      <c r="Y990" s="612"/>
      <c r="Z990" s="612"/>
      <c r="AA990" s="612"/>
      <c r="AB990" s="612"/>
      <c r="AC990" s="612"/>
    </row>
    <row r="991" spans="1:29">
      <c r="A991" s="48" t="s">
        <v>5506</v>
      </c>
      <c r="B991" s="60">
        <v>45605</v>
      </c>
      <c r="C991" s="54" t="s">
        <v>168</v>
      </c>
      <c r="D991" s="435" t="str">
        <f>IFERROR(VLOOKUP(C991,Mychart!$A$125:$B$811,2,FALSE),"-")</f>
        <v>UTS Carrier</v>
      </c>
      <c r="E991" s="295" t="s">
        <v>234</v>
      </c>
      <c r="F991" s="58">
        <v>3</v>
      </c>
      <c r="G991" s="58"/>
      <c r="H991" s="58">
        <v>87120</v>
      </c>
      <c r="I991" s="58">
        <v>4356</v>
      </c>
      <c r="J991" s="56" t="s">
        <v>5505</v>
      </c>
      <c r="K991" s="56" t="s">
        <v>5362</v>
      </c>
      <c r="L991" s="292">
        <v>291</v>
      </c>
      <c r="M991" s="292"/>
      <c r="N991" s="358"/>
      <c r="O991" s="292"/>
      <c r="P991" s="292"/>
      <c r="Q991" s="614"/>
      <c r="R991" s="913">
        <f t="shared" si="68"/>
        <v>0</v>
      </c>
      <c r="S991" s="913">
        <f t="shared" si="69"/>
        <v>0</v>
      </c>
      <c r="T991" s="913">
        <f t="shared" si="70"/>
        <v>0</v>
      </c>
      <c r="U991" s="914">
        <f t="shared" si="71"/>
        <v>3</v>
      </c>
      <c r="V991" s="612"/>
      <c r="W991" s="612"/>
      <c r="X991" s="612"/>
      <c r="Y991" s="612"/>
      <c r="Z991" s="612"/>
      <c r="AA991" s="612"/>
      <c r="AB991" s="612"/>
      <c r="AC991" s="612"/>
    </row>
    <row r="992" spans="1:29">
      <c r="A992" s="48" t="s">
        <v>5506</v>
      </c>
      <c r="B992" s="60">
        <v>45605</v>
      </c>
      <c r="C992" s="54" t="s">
        <v>168</v>
      </c>
      <c r="D992" s="435" t="str">
        <f>IFERROR(VLOOKUP(C992,Mychart!$A$125:$B$811,2,FALSE),"-")</f>
        <v>UTS Carrier</v>
      </c>
      <c r="E992" s="295" t="s">
        <v>235</v>
      </c>
      <c r="F992" s="58">
        <v>3</v>
      </c>
      <c r="G992" s="58"/>
      <c r="H992" s="58">
        <v>87120</v>
      </c>
      <c r="I992" s="58">
        <v>4356</v>
      </c>
      <c r="J992" s="56" t="s">
        <v>5505</v>
      </c>
      <c r="K992" s="56" t="s">
        <v>5362</v>
      </c>
      <c r="L992" s="292">
        <v>291</v>
      </c>
      <c r="M992" s="292"/>
      <c r="N992" s="358"/>
      <c r="O992" s="292"/>
      <c r="P992" s="292"/>
      <c r="Q992" s="614"/>
      <c r="R992" s="913">
        <f t="shared" si="68"/>
        <v>0</v>
      </c>
      <c r="S992" s="913">
        <f t="shared" si="69"/>
        <v>0</v>
      </c>
      <c r="T992" s="913">
        <f t="shared" si="70"/>
        <v>0</v>
      </c>
      <c r="U992" s="914">
        <f t="shared" si="71"/>
        <v>3</v>
      </c>
      <c r="V992" s="612"/>
      <c r="W992" s="612"/>
      <c r="X992" s="612"/>
      <c r="Y992" s="612"/>
      <c r="Z992" s="612"/>
      <c r="AA992" s="612"/>
      <c r="AB992" s="612"/>
      <c r="AC992" s="612"/>
    </row>
    <row r="993" spans="1:30">
      <c r="A993" s="48" t="s">
        <v>5506</v>
      </c>
      <c r="B993" s="60">
        <v>45605</v>
      </c>
      <c r="C993" s="54" t="s">
        <v>168</v>
      </c>
      <c r="D993" s="435" t="str">
        <f>IFERROR(VLOOKUP(C993,Mychart!$A$125:$B$811,2,FALSE),"-")</f>
        <v>UTS Carrier</v>
      </c>
      <c r="E993" s="295" t="s">
        <v>232</v>
      </c>
      <c r="F993" s="58">
        <v>1</v>
      </c>
      <c r="G993" s="58"/>
      <c r="H993" s="58">
        <v>87120</v>
      </c>
      <c r="I993" s="58">
        <v>4356</v>
      </c>
      <c r="J993" s="56" t="s">
        <v>5505</v>
      </c>
      <c r="K993" s="56" t="s">
        <v>5362</v>
      </c>
      <c r="L993" s="292">
        <v>291</v>
      </c>
      <c r="M993" s="292"/>
      <c r="N993" s="358"/>
      <c r="O993" s="292"/>
      <c r="P993" s="292"/>
      <c r="Q993" s="614"/>
      <c r="R993" s="913">
        <f t="shared" si="68"/>
        <v>0</v>
      </c>
      <c r="S993" s="913">
        <f t="shared" si="69"/>
        <v>0</v>
      </c>
      <c r="T993" s="913">
        <f t="shared" si="70"/>
        <v>0</v>
      </c>
      <c r="U993" s="914">
        <f t="shared" si="71"/>
        <v>1</v>
      </c>
      <c r="V993" s="612"/>
      <c r="W993" s="612"/>
      <c r="X993" s="612"/>
      <c r="Y993" s="612"/>
      <c r="Z993" s="612"/>
      <c r="AA993" s="612"/>
      <c r="AB993" s="612"/>
      <c r="AC993" s="612"/>
    </row>
    <row r="994" spans="1:30">
      <c r="A994" s="48" t="s">
        <v>5506</v>
      </c>
      <c r="B994" s="60">
        <v>45605</v>
      </c>
      <c r="C994" s="54" t="s">
        <v>168</v>
      </c>
      <c r="D994" s="435" t="str">
        <f>IFERROR(VLOOKUP(C994,Mychart!$A$125:$B$811,2,FALSE),"-")</f>
        <v>UTS Carrier</v>
      </c>
      <c r="E994" s="295" t="s">
        <v>233</v>
      </c>
      <c r="F994" s="58">
        <v>1</v>
      </c>
      <c r="G994" s="58"/>
      <c r="H994" s="58">
        <v>87120</v>
      </c>
      <c r="I994" s="58">
        <v>4356</v>
      </c>
      <c r="J994" s="56" t="s">
        <v>5505</v>
      </c>
      <c r="K994" s="56" t="s">
        <v>5362</v>
      </c>
      <c r="L994" s="292">
        <v>291</v>
      </c>
      <c r="M994" s="292"/>
      <c r="N994" s="358"/>
      <c r="O994" s="292"/>
      <c r="P994" s="292"/>
      <c r="Q994" s="614"/>
      <c r="R994" s="913">
        <f t="shared" si="68"/>
        <v>0</v>
      </c>
      <c r="S994" s="913">
        <f t="shared" si="69"/>
        <v>0</v>
      </c>
      <c r="T994" s="913">
        <f t="shared" si="70"/>
        <v>0</v>
      </c>
      <c r="U994" s="914">
        <f t="shared" si="71"/>
        <v>1</v>
      </c>
      <c r="V994" s="612"/>
      <c r="W994" s="612"/>
      <c r="X994" s="612"/>
      <c r="Y994" s="612"/>
      <c r="Z994" s="612"/>
      <c r="AA994" s="612"/>
      <c r="AB994" s="612"/>
      <c r="AC994" s="612"/>
    </row>
    <row r="995" spans="1:30">
      <c r="A995" s="48" t="s">
        <v>5506</v>
      </c>
      <c r="B995" s="60">
        <v>45605</v>
      </c>
      <c r="C995" s="54" t="s">
        <v>168</v>
      </c>
      <c r="D995" s="435" t="str">
        <f>IFERROR(VLOOKUP(C995,Mychart!$A$125:$B$811,2,FALSE),"-")</f>
        <v>UTS Carrier</v>
      </c>
      <c r="E995" s="295" t="s">
        <v>3012</v>
      </c>
      <c r="F995" s="58">
        <v>1</v>
      </c>
      <c r="G995" s="58"/>
      <c r="H995" s="58">
        <v>87120</v>
      </c>
      <c r="I995" s="58">
        <v>4356</v>
      </c>
      <c r="J995" s="56" t="s">
        <v>5505</v>
      </c>
      <c r="K995" s="56" t="s">
        <v>5362</v>
      </c>
      <c r="L995" s="292">
        <v>291</v>
      </c>
      <c r="M995" s="292"/>
      <c r="N995" s="358"/>
      <c r="O995" s="292"/>
      <c r="P995" s="292"/>
      <c r="Q995" s="614"/>
      <c r="R995" s="913">
        <f t="shared" si="68"/>
        <v>0</v>
      </c>
      <c r="S995" s="913">
        <f t="shared" si="69"/>
        <v>0</v>
      </c>
      <c r="T995" s="913">
        <f t="shared" si="70"/>
        <v>0</v>
      </c>
      <c r="U995" s="914">
        <f t="shared" si="71"/>
        <v>1</v>
      </c>
      <c r="V995" s="612"/>
      <c r="W995" s="612"/>
      <c r="X995" s="612"/>
      <c r="Y995" s="612"/>
      <c r="Z995" s="612"/>
      <c r="AA995" s="612"/>
      <c r="AB995" s="612"/>
      <c r="AC995" s="612"/>
    </row>
    <row r="996" spans="1:30">
      <c r="A996" s="48" t="s">
        <v>5506</v>
      </c>
      <c r="B996" s="60">
        <v>45605</v>
      </c>
      <c r="C996" s="54" t="s">
        <v>168</v>
      </c>
      <c r="D996" s="435" t="str">
        <f>IFERROR(VLOOKUP(C996,Mychart!$A$125:$B$811,2,FALSE),"-")</f>
        <v>UTS Carrier</v>
      </c>
      <c r="E996" s="295" t="s">
        <v>3013</v>
      </c>
      <c r="F996" s="58">
        <v>1</v>
      </c>
      <c r="G996" s="58"/>
      <c r="H996" s="58">
        <v>87120</v>
      </c>
      <c r="I996" s="58">
        <v>4356</v>
      </c>
      <c r="J996" s="56" t="s">
        <v>5505</v>
      </c>
      <c r="K996" s="56" t="s">
        <v>5362</v>
      </c>
      <c r="L996" s="292">
        <v>291</v>
      </c>
      <c r="M996" s="292"/>
      <c r="N996" s="358"/>
      <c r="O996" s="292"/>
      <c r="P996" s="292"/>
      <c r="Q996" s="614"/>
      <c r="R996" s="913">
        <f t="shared" si="68"/>
        <v>0</v>
      </c>
      <c r="S996" s="913">
        <f t="shared" si="69"/>
        <v>0</v>
      </c>
      <c r="T996" s="913">
        <f t="shared" si="70"/>
        <v>0</v>
      </c>
      <c r="U996" s="914">
        <f t="shared" si="71"/>
        <v>1</v>
      </c>
      <c r="V996" s="612"/>
      <c r="W996" s="612"/>
      <c r="X996" s="612"/>
      <c r="Y996" s="612"/>
      <c r="Z996" s="612"/>
      <c r="AA996" s="612"/>
      <c r="AB996" s="612"/>
      <c r="AC996" s="612"/>
    </row>
    <row r="997" spans="1:30">
      <c r="A997" s="48" t="s">
        <v>5506</v>
      </c>
      <c r="B997" s="60">
        <v>45605</v>
      </c>
      <c r="C997" s="54" t="s">
        <v>168</v>
      </c>
      <c r="D997" s="435" t="str">
        <f>IFERROR(VLOOKUP(C997,Mychart!$A$125:$B$811,2,FALSE),"-")</f>
        <v>UTS Carrier</v>
      </c>
      <c r="E997" s="295" t="s">
        <v>1099</v>
      </c>
      <c r="F997" s="58">
        <v>2</v>
      </c>
      <c r="G997" s="58"/>
      <c r="H997" s="58">
        <v>87120</v>
      </c>
      <c r="I997" s="58">
        <v>4356</v>
      </c>
      <c r="J997" s="56" t="s">
        <v>5505</v>
      </c>
      <c r="K997" s="56" t="s">
        <v>5362</v>
      </c>
      <c r="L997" s="292">
        <v>291</v>
      </c>
      <c r="M997" s="292"/>
      <c r="N997" s="358"/>
      <c r="O997" s="292"/>
      <c r="P997" s="292"/>
      <c r="Q997" s="614"/>
      <c r="R997" s="913">
        <f t="shared" si="68"/>
        <v>0</v>
      </c>
      <c r="S997" s="913">
        <f t="shared" si="69"/>
        <v>0</v>
      </c>
      <c r="T997" s="913">
        <f t="shared" si="70"/>
        <v>0</v>
      </c>
      <c r="U997" s="914">
        <f t="shared" si="71"/>
        <v>2</v>
      </c>
      <c r="V997" s="612"/>
      <c r="W997" s="612"/>
      <c r="X997" s="612"/>
      <c r="Y997" s="612"/>
      <c r="Z997" s="612"/>
      <c r="AA997" s="612"/>
      <c r="AB997" s="612"/>
      <c r="AC997" s="612"/>
    </row>
    <row r="998" spans="1:30">
      <c r="A998" s="48" t="s">
        <v>5506</v>
      </c>
      <c r="B998" s="60">
        <v>45605</v>
      </c>
      <c r="C998" s="54" t="s">
        <v>168</v>
      </c>
      <c r="D998" s="435" t="str">
        <f>IFERROR(VLOOKUP(C998,Mychart!$A$125:$B$811,2,FALSE),"-")</f>
        <v>UTS Carrier</v>
      </c>
      <c r="E998" s="295" t="s">
        <v>1100</v>
      </c>
      <c r="F998" s="58">
        <v>2</v>
      </c>
      <c r="G998" s="58"/>
      <c r="H998" s="58">
        <v>87120</v>
      </c>
      <c r="I998" s="58">
        <v>4356</v>
      </c>
      <c r="J998" s="56" t="s">
        <v>5505</v>
      </c>
      <c r="K998" s="56" t="s">
        <v>5362</v>
      </c>
      <c r="L998" s="292">
        <v>291</v>
      </c>
      <c r="M998" s="292"/>
      <c r="N998" s="358"/>
      <c r="O998" s="292"/>
      <c r="P998" s="292"/>
      <c r="Q998" s="614"/>
      <c r="R998" s="913">
        <f t="shared" ref="R998:R1064" si="72">O998-N998</f>
        <v>0</v>
      </c>
      <c r="S998" s="913">
        <f t="shared" ref="S998:S1064" si="73">Q998-N998</f>
        <v>0</v>
      </c>
      <c r="T998" s="913">
        <f t="shared" ref="T998:T1064" si="74">Q998-O998</f>
        <v>0</v>
      </c>
      <c r="U998" s="914">
        <f t="shared" ref="U998:U1064" si="75">F998-P998</f>
        <v>2</v>
      </c>
      <c r="V998" s="612"/>
      <c r="W998" s="612"/>
      <c r="X998" s="612"/>
      <c r="Y998" s="612"/>
      <c r="Z998" s="612"/>
      <c r="AA998" s="612"/>
      <c r="AB998" s="612"/>
      <c r="AC998" s="612"/>
    </row>
    <row r="999" spans="1:30">
      <c r="A999" s="48" t="s">
        <v>5506</v>
      </c>
      <c r="B999" s="60">
        <v>45605</v>
      </c>
      <c r="C999" s="54" t="s">
        <v>168</v>
      </c>
      <c r="D999" s="435" t="str">
        <f>IFERROR(VLOOKUP(C999,Mychart!$A$125:$B$811,2,FALSE),"-")</f>
        <v>UTS Carrier</v>
      </c>
      <c r="E999" s="295" t="s">
        <v>832</v>
      </c>
      <c r="F999" s="58">
        <v>1</v>
      </c>
      <c r="G999" s="58"/>
      <c r="H999" s="58">
        <v>87120</v>
      </c>
      <c r="I999" s="58">
        <v>4356</v>
      </c>
      <c r="J999" s="56" t="s">
        <v>5505</v>
      </c>
      <c r="K999" s="56" t="s">
        <v>5362</v>
      </c>
      <c r="L999" s="292">
        <v>291</v>
      </c>
      <c r="M999" s="292"/>
      <c r="N999" s="358"/>
      <c r="O999" s="292"/>
      <c r="P999" s="292"/>
      <c r="Q999" s="614"/>
      <c r="R999" s="913">
        <f t="shared" si="72"/>
        <v>0</v>
      </c>
      <c r="S999" s="913">
        <f t="shared" si="73"/>
        <v>0</v>
      </c>
      <c r="T999" s="913">
        <f t="shared" si="74"/>
        <v>0</v>
      </c>
      <c r="U999" s="914">
        <f t="shared" si="75"/>
        <v>1</v>
      </c>
      <c r="V999" s="612"/>
      <c r="W999" s="612"/>
      <c r="X999" s="612"/>
      <c r="Y999" s="612"/>
      <c r="Z999" s="612"/>
      <c r="AA999" s="612"/>
      <c r="AB999" s="612"/>
      <c r="AC999" s="612"/>
    </row>
    <row r="1000" spans="1:30">
      <c r="A1000" s="48" t="s">
        <v>5506</v>
      </c>
      <c r="B1000" s="60">
        <v>45605</v>
      </c>
      <c r="C1000" s="54" t="s">
        <v>168</v>
      </c>
      <c r="D1000" s="435" t="str">
        <f>IFERROR(VLOOKUP(C1000,Mychart!$A$125:$B$811,2,FALSE),"-")</f>
        <v>UTS Carrier</v>
      </c>
      <c r="E1000" s="295" t="s">
        <v>833</v>
      </c>
      <c r="F1000" s="58">
        <v>1</v>
      </c>
      <c r="G1000" s="58"/>
      <c r="H1000" s="58">
        <v>87120</v>
      </c>
      <c r="I1000" s="58">
        <v>4356</v>
      </c>
      <c r="J1000" s="56" t="s">
        <v>5505</v>
      </c>
      <c r="K1000" s="56" t="s">
        <v>5362</v>
      </c>
      <c r="L1000" s="292">
        <v>291</v>
      </c>
      <c r="M1000" s="292"/>
      <c r="N1000" s="358"/>
      <c r="O1000" s="292"/>
      <c r="P1000" s="292"/>
      <c r="Q1000" s="614"/>
      <c r="R1000" s="913">
        <f t="shared" si="72"/>
        <v>0</v>
      </c>
      <c r="S1000" s="913">
        <f t="shared" si="73"/>
        <v>0</v>
      </c>
      <c r="T1000" s="913">
        <f t="shared" si="74"/>
        <v>0</v>
      </c>
      <c r="U1000" s="914">
        <f t="shared" si="75"/>
        <v>1</v>
      </c>
      <c r="V1000" s="612"/>
      <c r="W1000" s="612"/>
      <c r="X1000" s="612"/>
      <c r="Y1000" s="612"/>
      <c r="Z1000" s="612"/>
      <c r="AA1000" s="612"/>
      <c r="AB1000" s="612"/>
      <c r="AC1000" s="612"/>
    </row>
    <row r="1001" spans="1:30">
      <c r="A1001" s="48" t="s">
        <v>5506</v>
      </c>
      <c r="B1001" s="60">
        <v>45605</v>
      </c>
      <c r="C1001" s="54" t="s">
        <v>168</v>
      </c>
      <c r="D1001" s="435" t="str">
        <f>IFERROR(VLOOKUP(C1001,Mychart!$A$125:$B$811,2,FALSE),"-")</f>
        <v>UTS Carrier</v>
      </c>
      <c r="E1001" s="295" t="s">
        <v>1281</v>
      </c>
      <c r="F1001" s="58">
        <v>1</v>
      </c>
      <c r="G1001" s="58"/>
      <c r="H1001" s="58">
        <v>87120</v>
      </c>
      <c r="I1001" s="58">
        <v>4356</v>
      </c>
      <c r="J1001" s="56" t="s">
        <v>5505</v>
      </c>
      <c r="K1001" s="56" t="s">
        <v>5362</v>
      </c>
      <c r="L1001" s="292">
        <v>291</v>
      </c>
      <c r="M1001" s="292"/>
      <c r="N1001" s="358"/>
      <c r="O1001" s="292"/>
      <c r="P1001" s="292"/>
      <c r="Q1001" s="614"/>
      <c r="R1001" s="913">
        <f t="shared" si="72"/>
        <v>0</v>
      </c>
      <c r="S1001" s="913">
        <f t="shared" si="73"/>
        <v>0</v>
      </c>
      <c r="T1001" s="913">
        <f t="shared" si="74"/>
        <v>0</v>
      </c>
      <c r="U1001" s="914">
        <f t="shared" si="75"/>
        <v>1</v>
      </c>
      <c r="V1001" s="612"/>
      <c r="W1001" s="612"/>
      <c r="X1001" s="612"/>
      <c r="Y1001" s="612"/>
      <c r="Z1001" s="612"/>
      <c r="AA1001" s="612"/>
      <c r="AB1001" s="612"/>
      <c r="AC1001" s="612"/>
    </row>
    <row r="1002" spans="1:30">
      <c r="A1002" s="48" t="s">
        <v>5506</v>
      </c>
      <c r="B1002" s="60">
        <v>45605</v>
      </c>
      <c r="C1002" s="54" t="s">
        <v>168</v>
      </c>
      <c r="D1002" s="435" t="str">
        <f>IFERROR(VLOOKUP(C1002,Mychart!$A$125:$B$811,2,FALSE),"-")</f>
        <v>UTS Carrier</v>
      </c>
      <c r="E1002" s="295" t="s">
        <v>1300</v>
      </c>
      <c r="F1002" s="58">
        <v>8</v>
      </c>
      <c r="G1002" s="58"/>
      <c r="H1002" s="58">
        <v>87120</v>
      </c>
      <c r="I1002" s="58">
        <v>4356</v>
      </c>
      <c r="J1002" s="56" t="s">
        <v>5505</v>
      </c>
      <c r="K1002" s="56" t="s">
        <v>5362</v>
      </c>
      <c r="L1002" s="292">
        <v>291</v>
      </c>
      <c r="M1002" s="292"/>
      <c r="N1002" s="358"/>
      <c r="O1002" s="292"/>
      <c r="P1002" s="292"/>
      <c r="Q1002" s="614"/>
      <c r="R1002" s="913">
        <f t="shared" si="72"/>
        <v>0</v>
      </c>
      <c r="S1002" s="913">
        <f t="shared" si="73"/>
        <v>0</v>
      </c>
      <c r="T1002" s="913">
        <f t="shared" si="74"/>
        <v>0</v>
      </c>
      <c r="U1002" s="914">
        <f t="shared" si="75"/>
        <v>8</v>
      </c>
      <c r="V1002" s="612"/>
      <c r="W1002" s="612"/>
      <c r="X1002" s="612"/>
      <c r="Y1002" s="612"/>
      <c r="Z1002" s="612"/>
      <c r="AA1002" s="612"/>
      <c r="AB1002" s="612"/>
      <c r="AC1002" s="612"/>
    </row>
    <row r="1003" spans="1:30">
      <c r="A1003" s="48" t="s">
        <v>5506</v>
      </c>
      <c r="B1003" s="60">
        <v>45605</v>
      </c>
      <c r="C1003" s="54" t="s">
        <v>168</v>
      </c>
      <c r="D1003" s="435" t="str">
        <f>IFERROR(VLOOKUP(C1003,Mychart!$A$125:$B$811,2,FALSE),"-")</f>
        <v>UTS Carrier</v>
      </c>
      <c r="E1003" s="295" t="s">
        <v>5322</v>
      </c>
      <c r="F1003" s="58">
        <v>1</v>
      </c>
      <c r="G1003" s="58"/>
      <c r="H1003" s="58">
        <v>87120</v>
      </c>
      <c r="I1003" s="58">
        <v>4356</v>
      </c>
      <c r="J1003" s="56" t="s">
        <v>5505</v>
      </c>
      <c r="K1003" s="56" t="s">
        <v>5362</v>
      </c>
      <c r="L1003" s="292">
        <v>291</v>
      </c>
      <c r="M1003" s="292"/>
      <c r="N1003" s="358"/>
      <c r="O1003" s="292"/>
      <c r="P1003" s="292"/>
      <c r="Q1003" s="614"/>
      <c r="R1003" s="913">
        <f t="shared" si="72"/>
        <v>0</v>
      </c>
      <c r="S1003" s="913">
        <f t="shared" si="73"/>
        <v>0</v>
      </c>
      <c r="T1003" s="913">
        <f t="shared" si="74"/>
        <v>0</v>
      </c>
      <c r="U1003" s="914">
        <f t="shared" si="75"/>
        <v>1</v>
      </c>
      <c r="V1003" s="612"/>
      <c r="W1003" s="612"/>
      <c r="X1003" s="612"/>
      <c r="Y1003" s="612"/>
      <c r="Z1003" s="612"/>
      <c r="AA1003" s="612"/>
      <c r="AB1003" s="612"/>
      <c r="AC1003" s="612"/>
    </row>
    <row r="1004" spans="1:30">
      <c r="A1004" s="48" t="s">
        <v>5506</v>
      </c>
      <c r="B1004" s="60">
        <v>45605</v>
      </c>
      <c r="C1004" s="54" t="s">
        <v>168</v>
      </c>
      <c r="D1004" s="435" t="str">
        <f>IFERROR(VLOOKUP(C1004,Mychart!$A$125:$B$811,2,FALSE),"-")</f>
        <v>UTS Carrier</v>
      </c>
      <c r="E1004" s="295" t="s">
        <v>5503</v>
      </c>
      <c r="F1004" s="58">
        <v>1</v>
      </c>
      <c r="G1004" s="58">
        <v>87120</v>
      </c>
      <c r="H1004" s="58">
        <v>87120</v>
      </c>
      <c r="I1004" s="58">
        <v>4356</v>
      </c>
      <c r="J1004" s="56" t="s">
        <v>5505</v>
      </c>
      <c r="K1004" s="56" t="s">
        <v>5362</v>
      </c>
      <c r="L1004" s="292">
        <v>291</v>
      </c>
      <c r="M1004" s="292"/>
      <c r="N1004" s="358"/>
      <c r="O1004" s="292"/>
      <c r="P1004" s="292"/>
      <c r="Q1004" s="614">
        <v>91476</v>
      </c>
      <c r="R1004" s="913">
        <f t="shared" si="72"/>
        <v>0</v>
      </c>
      <c r="S1004" s="913">
        <f t="shared" si="73"/>
        <v>91476</v>
      </c>
      <c r="T1004" s="913">
        <f t="shared" si="74"/>
        <v>91476</v>
      </c>
      <c r="U1004" s="914">
        <f t="shared" si="75"/>
        <v>1</v>
      </c>
      <c r="V1004" s="612"/>
      <c r="W1004" s="612"/>
      <c r="X1004" s="612"/>
      <c r="Y1004" s="612"/>
      <c r="Z1004" s="612"/>
      <c r="AA1004" s="612"/>
      <c r="AB1004" s="612"/>
      <c r="AC1004" s="612"/>
    </row>
    <row r="1005" spans="1:30">
      <c r="A1005" s="48" t="s">
        <v>5508</v>
      </c>
      <c r="B1005" s="60">
        <v>45605</v>
      </c>
      <c r="C1005" s="54" t="s">
        <v>173</v>
      </c>
      <c r="D1005" s="435" t="str">
        <f>IFERROR(VLOOKUP(C1005,Mychart!$A$125:$B$811,2,FALSE),"-")</f>
        <v>BAB AL TABREED A/C UNITS FIX.CONT</v>
      </c>
      <c r="E1005" s="295" t="s">
        <v>1591</v>
      </c>
      <c r="F1005" s="58">
        <v>267.02999999999997</v>
      </c>
      <c r="G1005" s="58">
        <v>2.8</v>
      </c>
      <c r="H1005" s="58">
        <v>930.62899999999991</v>
      </c>
      <c r="I1005" s="58">
        <v>46.53145</v>
      </c>
      <c r="J1005" s="56" t="s">
        <v>5507</v>
      </c>
      <c r="K1005" s="56" t="s">
        <v>2845</v>
      </c>
      <c r="L1005" s="292">
        <v>278</v>
      </c>
      <c r="M1005" s="292"/>
      <c r="N1005" s="358"/>
      <c r="O1005" s="292"/>
      <c r="P1005" s="292"/>
      <c r="Q1005" s="614"/>
      <c r="R1005" s="913">
        <f t="shared" si="72"/>
        <v>0</v>
      </c>
      <c r="S1005" s="913">
        <f t="shared" si="73"/>
        <v>0</v>
      </c>
      <c r="T1005" s="913">
        <f t="shared" si="74"/>
        <v>0</v>
      </c>
      <c r="U1005" s="914">
        <f t="shared" si="75"/>
        <v>267.02999999999997</v>
      </c>
      <c r="V1005" s="612"/>
      <c r="W1005" s="612"/>
      <c r="X1005" s="612"/>
      <c r="Y1005" s="612"/>
      <c r="Z1005" s="612"/>
      <c r="AA1005" s="612"/>
      <c r="AB1005" s="612"/>
      <c r="AC1005" s="612"/>
    </row>
    <row r="1006" spans="1:30">
      <c r="A1006" s="48" t="s">
        <v>5508</v>
      </c>
      <c r="B1006" s="60">
        <v>45605</v>
      </c>
      <c r="C1006" s="54" t="s">
        <v>173</v>
      </c>
      <c r="D1006" s="435" t="str">
        <f>IFERROR(VLOOKUP(C1006,Mychart!$A$125:$B$811,2,FALSE),"-")</f>
        <v>BAB AL TABREED A/C UNITS FIX.CONT</v>
      </c>
      <c r="E1006" s="295" t="s">
        <v>5509</v>
      </c>
      <c r="F1006" s="58">
        <v>52.27</v>
      </c>
      <c r="G1006" s="58">
        <v>3.5</v>
      </c>
      <c r="H1006" s="58">
        <v>930.62899999999991</v>
      </c>
      <c r="I1006" s="58">
        <v>46.53145</v>
      </c>
      <c r="J1006" s="56" t="s">
        <v>5507</v>
      </c>
      <c r="K1006" s="56" t="s">
        <v>2845</v>
      </c>
      <c r="L1006" s="292">
        <v>278</v>
      </c>
      <c r="M1006" s="292" t="s">
        <v>6112</v>
      </c>
      <c r="N1006" s="358">
        <v>977.16044999999997</v>
      </c>
      <c r="O1006" s="292"/>
      <c r="P1006" s="292"/>
      <c r="Q1006" s="614">
        <v>977.16044999999986</v>
      </c>
      <c r="R1006" s="913">
        <f t="shared" si="72"/>
        <v>-977.16044999999997</v>
      </c>
      <c r="S1006" s="913">
        <f t="shared" si="73"/>
        <v>0</v>
      </c>
      <c r="T1006" s="913">
        <f t="shared" si="74"/>
        <v>977.16044999999986</v>
      </c>
      <c r="U1006" s="914">
        <f t="shared" si="75"/>
        <v>52.27</v>
      </c>
      <c r="V1006" s="612"/>
      <c r="W1006" s="612"/>
      <c r="X1006" s="612"/>
      <c r="Y1006" s="612"/>
      <c r="Z1006" s="612"/>
      <c r="AA1006" s="612"/>
      <c r="AB1006" s="612"/>
      <c r="AC1006" s="612"/>
      <c r="AD1006" s="930">
        <v>45635.622013888889</v>
      </c>
    </row>
    <row r="1007" spans="1:30">
      <c r="A1007" s="48" t="s">
        <v>5604</v>
      </c>
      <c r="B1007" s="60">
        <v>45609</v>
      </c>
      <c r="C1007" s="54" t="s">
        <v>171</v>
      </c>
      <c r="D1007" s="435" t="str">
        <f>IFERROR(VLOOKUP(C1007,Mychart!$A$125:$B$811,2,FALSE),"-")</f>
        <v>MACS -Al Muthathawerah</v>
      </c>
      <c r="E1007" s="295" t="s">
        <v>985</v>
      </c>
      <c r="F1007" s="58">
        <v>1271</v>
      </c>
      <c r="G1007" s="58">
        <v>2.85</v>
      </c>
      <c r="H1007" s="58">
        <v>3715.1</v>
      </c>
      <c r="I1007" s="58">
        <v>185.8</v>
      </c>
      <c r="J1007" s="56">
        <v>242089</v>
      </c>
      <c r="K1007" s="56" t="s">
        <v>869</v>
      </c>
      <c r="L1007" s="292">
        <v>280</v>
      </c>
      <c r="M1007" s="292"/>
      <c r="N1007" s="358"/>
      <c r="O1007" s="292"/>
      <c r="P1007" s="292"/>
      <c r="Q1007" s="614"/>
      <c r="R1007" s="913">
        <f t="shared" si="72"/>
        <v>0</v>
      </c>
      <c r="S1007" s="913">
        <f t="shared" si="73"/>
        <v>0</v>
      </c>
      <c r="T1007" s="913">
        <f t="shared" si="74"/>
        <v>0</v>
      </c>
      <c r="U1007" s="914">
        <f t="shared" si="75"/>
        <v>1271</v>
      </c>
      <c r="V1007" s="612"/>
      <c r="W1007" s="612"/>
      <c r="X1007" s="612"/>
      <c r="Y1007" s="612"/>
      <c r="Z1007" s="612"/>
      <c r="AA1007" s="612"/>
      <c r="AB1007" s="612"/>
      <c r="AC1007" s="612"/>
    </row>
    <row r="1008" spans="1:30">
      <c r="A1008" s="48" t="s">
        <v>5604</v>
      </c>
      <c r="B1008" s="60">
        <v>45609</v>
      </c>
      <c r="C1008" s="54" t="s">
        <v>171</v>
      </c>
      <c r="D1008" s="435" t="str">
        <f>IFERROR(VLOOKUP(C1008,Mychart!$A$125:$B$811,2,FALSE),"-")</f>
        <v>MACS -Al Muthathawerah</v>
      </c>
      <c r="E1008" s="295" t="s">
        <v>986</v>
      </c>
      <c r="F1008" s="58">
        <v>65</v>
      </c>
      <c r="G1008" s="58">
        <v>3.25</v>
      </c>
      <c r="H1008" s="58">
        <v>3715.1</v>
      </c>
      <c r="I1008" s="58">
        <v>185.8</v>
      </c>
      <c r="J1008" s="56">
        <v>242089</v>
      </c>
      <c r="K1008" s="56" t="s">
        <v>869</v>
      </c>
      <c r="L1008" s="292">
        <v>280</v>
      </c>
      <c r="M1008" s="292"/>
      <c r="N1008" s="358"/>
      <c r="O1008" s="292"/>
      <c r="P1008" s="292"/>
      <c r="Q1008" s="614"/>
      <c r="R1008" s="913">
        <f t="shared" ref="R1008:R1010" si="76">O1008-N1008</f>
        <v>0</v>
      </c>
      <c r="S1008" s="913">
        <f t="shared" ref="S1008:S1010" si="77">Q1008-N1008</f>
        <v>0</v>
      </c>
      <c r="T1008" s="913">
        <f t="shared" ref="T1008:T1010" si="78">Q1008-O1008</f>
        <v>0</v>
      </c>
      <c r="U1008" s="914">
        <f t="shared" ref="U1008:U1010" si="79">F1008-P1008</f>
        <v>65</v>
      </c>
      <c r="V1008" s="612"/>
      <c r="W1008" s="612"/>
      <c r="X1008" s="612"/>
      <c r="Y1008" s="612"/>
      <c r="Z1008" s="612"/>
      <c r="AA1008" s="612"/>
      <c r="AB1008" s="612"/>
      <c r="AC1008" s="612"/>
    </row>
    <row r="1009" spans="1:30">
      <c r="A1009" s="48" t="s">
        <v>5604</v>
      </c>
      <c r="B1009" s="60">
        <v>45609</v>
      </c>
      <c r="C1009" s="54" t="s">
        <v>171</v>
      </c>
      <c r="D1009" s="435" t="str">
        <f>IFERROR(VLOOKUP(C1009,Mychart!$A$125:$B$811,2,FALSE),"-")</f>
        <v>MACS -Al Muthathawerah</v>
      </c>
      <c r="E1009" s="295" t="s">
        <v>987</v>
      </c>
      <c r="F1009" s="58">
        <v>46</v>
      </c>
      <c r="G1009" s="58">
        <v>2.25</v>
      </c>
      <c r="H1009" s="58">
        <v>3715.1</v>
      </c>
      <c r="I1009" s="58">
        <v>185.8</v>
      </c>
      <c r="J1009" s="56">
        <v>242089</v>
      </c>
      <c r="K1009" s="56" t="s">
        <v>869</v>
      </c>
      <c r="L1009" s="292">
        <v>280</v>
      </c>
      <c r="M1009" s="292"/>
      <c r="N1009" s="358"/>
      <c r="O1009" s="292"/>
      <c r="P1009" s="292"/>
      <c r="Q1009" s="614"/>
      <c r="R1009" s="913">
        <f t="shared" si="76"/>
        <v>0</v>
      </c>
      <c r="S1009" s="913">
        <f t="shared" si="77"/>
        <v>0</v>
      </c>
      <c r="T1009" s="913">
        <f t="shared" si="78"/>
        <v>0</v>
      </c>
      <c r="U1009" s="914">
        <f t="shared" si="79"/>
        <v>46</v>
      </c>
      <c r="V1009" s="612"/>
      <c r="W1009" s="612"/>
      <c r="X1009" s="612"/>
      <c r="Y1009" s="612"/>
      <c r="Z1009" s="612"/>
      <c r="AA1009" s="612"/>
      <c r="AB1009" s="612"/>
      <c r="AC1009" s="612"/>
    </row>
    <row r="1010" spans="1:30">
      <c r="A1010" s="48" t="s">
        <v>5604</v>
      </c>
      <c r="B1010" s="60">
        <v>45609</v>
      </c>
      <c r="C1010" s="54" t="s">
        <v>171</v>
      </c>
      <c r="D1010" s="435" t="str">
        <f>IFERROR(VLOOKUP(C1010,Mychart!$A$125:$B$811,2,FALSE),"-")</f>
        <v>MACS -Al Muthathawerah</v>
      </c>
      <c r="E1010" s="295" t="s">
        <v>5317</v>
      </c>
      <c r="F1010" s="58">
        <v>1</v>
      </c>
      <c r="G1010" s="58">
        <v>-222</v>
      </c>
      <c r="H1010" s="58">
        <v>-222</v>
      </c>
      <c r="I1010" s="58">
        <v>185.8</v>
      </c>
      <c r="J1010" s="56">
        <v>242089</v>
      </c>
      <c r="K1010" s="56" t="s">
        <v>869</v>
      </c>
      <c r="L1010" s="292">
        <v>280</v>
      </c>
      <c r="M1010" s="292" t="s">
        <v>5851</v>
      </c>
      <c r="N1010" s="358">
        <v>3900.86</v>
      </c>
      <c r="O1010" s="292"/>
      <c r="P1010" s="292"/>
      <c r="Q1010" s="614">
        <v>3900.9</v>
      </c>
      <c r="R1010" s="913">
        <f t="shared" si="76"/>
        <v>-3900.86</v>
      </c>
      <c r="S1010" s="913">
        <f t="shared" si="77"/>
        <v>3.999999999996362E-2</v>
      </c>
      <c r="T1010" s="913">
        <f t="shared" si="78"/>
        <v>3900.9</v>
      </c>
      <c r="U1010" s="914">
        <f t="shared" si="79"/>
        <v>1</v>
      </c>
      <c r="V1010" s="612"/>
      <c r="W1010" s="612"/>
      <c r="X1010" s="612"/>
      <c r="Y1010" s="612"/>
      <c r="Z1010" s="612"/>
      <c r="AA1010" s="612"/>
      <c r="AB1010" s="612"/>
      <c r="AC1010" s="612"/>
      <c r="AD1010" s="930">
        <v>45624.393761574072</v>
      </c>
    </row>
    <row r="1011" spans="1:30">
      <c r="A1011" s="48" t="s">
        <v>5605</v>
      </c>
      <c r="B1011" s="60">
        <v>45612</v>
      </c>
      <c r="C1011" s="54" t="s">
        <v>5596</v>
      </c>
      <c r="D1011" s="435" t="str">
        <f>IFERROR(VLOOKUP(C1011,Mychart!$A$125:$B$811,2,FALSE),"-")</f>
        <v xml:space="preserve">united electronics co. llc. (mitsubishi electric) </v>
      </c>
      <c r="E1011" s="295" t="s">
        <v>5692</v>
      </c>
      <c r="F1011" s="58">
        <v>1</v>
      </c>
      <c r="G1011" s="58"/>
      <c r="H1011" s="58">
        <v>210600</v>
      </c>
      <c r="I1011" s="58">
        <v>10530</v>
      </c>
      <c r="J1011" s="56" t="s">
        <v>5606</v>
      </c>
      <c r="K1011" s="56" t="s">
        <v>5611</v>
      </c>
      <c r="L1011" s="292">
        <v>293</v>
      </c>
      <c r="M1011" s="292"/>
      <c r="N1011" s="358"/>
      <c r="O1011" s="292"/>
      <c r="P1011" s="292"/>
      <c r="Q1011" s="614"/>
      <c r="R1011" s="913">
        <f t="shared" si="72"/>
        <v>0</v>
      </c>
      <c r="S1011" s="913">
        <f t="shared" si="73"/>
        <v>0</v>
      </c>
      <c r="T1011" s="913">
        <f t="shared" si="74"/>
        <v>0</v>
      </c>
      <c r="U1011" s="914">
        <f t="shared" si="75"/>
        <v>1</v>
      </c>
      <c r="V1011" s="612"/>
      <c r="W1011" s="612"/>
      <c r="X1011" s="612"/>
      <c r="Y1011" s="612"/>
      <c r="Z1011" s="612"/>
      <c r="AA1011" s="612"/>
      <c r="AB1011" s="612"/>
      <c r="AC1011" s="612"/>
    </row>
    <row r="1012" spans="1:30">
      <c r="A1012" s="48" t="s">
        <v>5605</v>
      </c>
      <c r="B1012" s="60">
        <v>45612</v>
      </c>
      <c r="C1012" s="54" t="s">
        <v>5596</v>
      </c>
      <c r="D1012" s="435" t="str">
        <f>IFERROR(VLOOKUP(C1012,Mychart!$A$125:$B$811,2,FALSE),"-")</f>
        <v xml:space="preserve">united electronics co. llc. (mitsubishi electric) </v>
      </c>
      <c r="E1012" s="295" t="s">
        <v>5607</v>
      </c>
      <c r="F1012" s="58">
        <v>3</v>
      </c>
      <c r="G1012" s="58"/>
      <c r="H1012" s="58">
        <v>210600</v>
      </c>
      <c r="I1012" s="58">
        <v>10530</v>
      </c>
      <c r="J1012" s="56" t="s">
        <v>5606</v>
      </c>
      <c r="K1012" s="56" t="s">
        <v>5611</v>
      </c>
      <c r="L1012" s="292">
        <v>293</v>
      </c>
      <c r="M1012" s="292"/>
      <c r="N1012" s="358"/>
      <c r="O1012" s="292"/>
      <c r="P1012" s="292"/>
      <c r="Q1012" s="614"/>
      <c r="R1012" s="913">
        <f t="shared" si="72"/>
        <v>0</v>
      </c>
      <c r="S1012" s="913">
        <f t="shared" si="73"/>
        <v>0</v>
      </c>
      <c r="T1012" s="913">
        <f t="shared" si="74"/>
        <v>0</v>
      </c>
      <c r="U1012" s="914">
        <f t="shared" si="75"/>
        <v>3</v>
      </c>
      <c r="V1012" s="612"/>
      <c r="W1012" s="612"/>
      <c r="X1012" s="612"/>
      <c r="Y1012" s="612"/>
      <c r="Z1012" s="612"/>
      <c r="AA1012" s="612"/>
      <c r="AB1012" s="612"/>
      <c r="AC1012" s="612"/>
    </row>
    <row r="1013" spans="1:30">
      <c r="A1013" s="48" t="s">
        <v>5605</v>
      </c>
      <c r="B1013" s="60">
        <v>45612</v>
      </c>
      <c r="C1013" s="54" t="s">
        <v>5596</v>
      </c>
      <c r="D1013" s="435" t="str">
        <f>IFERROR(VLOOKUP(C1013,Mychart!$A$125:$B$811,2,FALSE),"-")</f>
        <v xml:space="preserve">united electronics co. llc. (mitsubishi electric) </v>
      </c>
      <c r="E1013" s="295" t="s">
        <v>5608</v>
      </c>
      <c r="F1013" s="58">
        <v>4</v>
      </c>
      <c r="G1013" s="58"/>
      <c r="H1013" s="58">
        <v>210600</v>
      </c>
      <c r="I1013" s="58">
        <v>10530</v>
      </c>
      <c r="J1013" s="56" t="s">
        <v>5606</v>
      </c>
      <c r="K1013" s="56" t="s">
        <v>5611</v>
      </c>
      <c r="L1013" s="292">
        <v>293</v>
      </c>
      <c r="M1013" s="292"/>
      <c r="N1013" s="358"/>
      <c r="O1013" s="292"/>
      <c r="P1013" s="292"/>
      <c r="Q1013" s="614"/>
      <c r="R1013" s="913">
        <f t="shared" si="72"/>
        <v>0</v>
      </c>
      <c r="S1013" s="913">
        <f t="shared" si="73"/>
        <v>0</v>
      </c>
      <c r="T1013" s="913">
        <f t="shared" si="74"/>
        <v>0</v>
      </c>
      <c r="U1013" s="914">
        <f t="shared" si="75"/>
        <v>4</v>
      </c>
      <c r="V1013" s="612"/>
      <c r="W1013" s="612"/>
      <c r="X1013" s="612"/>
      <c r="Y1013" s="612"/>
      <c r="Z1013" s="612"/>
      <c r="AA1013" s="612"/>
      <c r="AB1013" s="612"/>
      <c r="AC1013" s="612"/>
    </row>
    <row r="1014" spans="1:30">
      <c r="A1014" s="48" t="s">
        <v>5605</v>
      </c>
      <c r="B1014" s="60">
        <v>45612</v>
      </c>
      <c r="C1014" s="54" t="s">
        <v>5596</v>
      </c>
      <c r="D1014" s="435" t="str">
        <f>IFERROR(VLOOKUP(C1014,Mychart!$A$125:$B$811,2,FALSE),"-")</f>
        <v xml:space="preserve">united electronics co. llc. (mitsubishi electric) </v>
      </c>
      <c r="E1014" s="295" t="s">
        <v>5317</v>
      </c>
      <c r="F1014" s="58">
        <v>1</v>
      </c>
      <c r="G1014" s="58">
        <v>210600</v>
      </c>
      <c r="H1014" s="58">
        <v>210600</v>
      </c>
      <c r="I1014" s="58">
        <v>10530</v>
      </c>
      <c r="J1014" s="56" t="s">
        <v>5606</v>
      </c>
      <c r="K1014" s="56" t="s">
        <v>5611</v>
      </c>
      <c r="L1014" s="292">
        <v>293</v>
      </c>
      <c r="M1014" s="292" t="s">
        <v>5729</v>
      </c>
      <c r="N1014" s="358"/>
      <c r="O1014" s="292">
        <v>221130</v>
      </c>
      <c r="P1014" s="292"/>
      <c r="Q1014" s="614">
        <v>221130</v>
      </c>
      <c r="R1014" s="913">
        <f t="shared" si="72"/>
        <v>221130</v>
      </c>
      <c r="S1014" s="913">
        <f t="shared" si="73"/>
        <v>221130</v>
      </c>
      <c r="T1014" s="913">
        <f t="shared" si="74"/>
        <v>0</v>
      </c>
      <c r="U1014" s="914">
        <f t="shared" si="75"/>
        <v>1</v>
      </c>
      <c r="V1014" s="612"/>
      <c r="W1014" s="612"/>
      <c r="X1014" s="612"/>
      <c r="Y1014" s="612"/>
      <c r="Z1014" s="612"/>
      <c r="AA1014" s="612"/>
      <c r="AB1014" s="612"/>
      <c r="AC1014" s="612"/>
      <c r="AD1014" s="930">
        <v>45619.387372685182</v>
      </c>
    </row>
    <row r="1015" spans="1:30">
      <c r="A1015" s="48" t="s">
        <v>5664</v>
      </c>
      <c r="B1015" s="60">
        <v>45614</v>
      </c>
      <c r="C1015" s="54" t="s">
        <v>173</v>
      </c>
      <c r="D1015" s="435" t="str">
        <f>IFERROR(VLOOKUP(C1015,Mychart!$A$125:$B$811,2,FALSE),"-")</f>
        <v>BAB AL TABREED A/C UNITS FIX.CONT</v>
      </c>
      <c r="E1015" s="295" t="s">
        <v>5464</v>
      </c>
      <c r="F1015" s="58">
        <v>209</v>
      </c>
      <c r="G1015" s="58">
        <v>2.8</v>
      </c>
      <c r="H1015" s="58">
        <v>648.69999999999993</v>
      </c>
      <c r="I1015" s="58">
        <v>32.434999999999995</v>
      </c>
      <c r="J1015" s="56" t="s">
        <v>5665</v>
      </c>
      <c r="K1015" s="56" t="s">
        <v>2845</v>
      </c>
      <c r="L1015" s="292">
        <v>278</v>
      </c>
      <c r="M1015" s="292"/>
      <c r="N1015" s="358"/>
      <c r="O1015" s="292"/>
      <c r="P1015" s="292"/>
      <c r="Q1015" s="614"/>
      <c r="R1015" s="913">
        <f t="shared" si="72"/>
        <v>0</v>
      </c>
      <c r="S1015" s="913">
        <f t="shared" si="73"/>
        <v>0</v>
      </c>
      <c r="T1015" s="913">
        <f t="shared" si="74"/>
        <v>0</v>
      </c>
      <c r="U1015" s="914">
        <f t="shared" si="75"/>
        <v>209</v>
      </c>
      <c r="V1015" s="612"/>
      <c r="W1015" s="612"/>
      <c r="X1015" s="612"/>
      <c r="Y1015" s="612"/>
      <c r="Z1015" s="612"/>
      <c r="AA1015" s="612"/>
      <c r="AB1015" s="612"/>
      <c r="AC1015" s="612"/>
    </row>
    <row r="1016" spans="1:30">
      <c r="A1016" s="48" t="s">
        <v>5664</v>
      </c>
      <c r="B1016" s="60">
        <v>45614</v>
      </c>
      <c r="C1016" s="54" t="s">
        <v>173</v>
      </c>
      <c r="D1016" s="435" t="str">
        <f>IFERROR(VLOOKUP(C1016,Mychart!$A$125:$B$811,2,FALSE),"-")</f>
        <v>BAB AL TABREED A/C UNITS FIX.CONT</v>
      </c>
      <c r="E1016" s="295" t="s">
        <v>5465</v>
      </c>
      <c r="F1016" s="58">
        <v>9</v>
      </c>
      <c r="G1016" s="58">
        <v>3.5</v>
      </c>
      <c r="H1016" s="58">
        <v>648.69999999999993</v>
      </c>
      <c r="I1016" s="58">
        <v>32.434999999999995</v>
      </c>
      <c r="J1016" s="56" t="s">
        <v>5665</v>
      </c>
      <c r="K1016" s="56" t="s">
        <v>2845</v>
      </c>
      <c r="L1016" s="292">
        <v>278</v>
      </c>
      <c r="M1016" s="292"/>
      <c r="N1016" s="358"/>
      <c r="O1016" s="292"/>
      <c r="P1016" s="292"/>
      <c r="Q1016" s="614"/>
      <c r="R1016" s="913">
        <f t="shared" si="72"/>
        <v>0</v>
      </c>
      <c r="S1016" s="913">
        <f t="shared" si="73"/>
        <v>0</v>
      </c>
      <c r="T1016" s="913">
        <f t="shared" si="74"/>
        <v>0</v>
      </c>
      <c r="U1016" s="914">
        <f t="shared" si="75"/>
        <v>9</v>
      </c>
      <c r="V1016" s="612"/>
      <c r="W1016" s="612"/>
      <c r="X1016" s="612"/>
      <c r="Y1016" s="612"/>
      <c r="Z1016" s="612"/>
      <c r="AA1016" s="612"/>
      <c r="AB1016" s="612"/>
      <c r="AC1016" s="612"/>
    </row>
    <row r="1017" spans="1:30">
      <c r="A1017" s="48" t="s">
        <v>5664</v>
      </c>
      <c r="B1017" s="60">
        <v>45614</v>
      </c>
      <c r="C1017" s="54" t="s">
        <v>173</v>
      </c>
      <c r="D1017" s="435" t="str">
        <f>IFERROR(VLOOKUP(C1017,Mychart!$A$125:$B$811,2,FALSE),"-")</f>
        <v>BAB AL TABREED A/C UNITS FIX.CONT</v>
      </c>
      <c r="E1017" s="295" t="s">
        <v>986</v>
      </c>
      <c r="F1017" s="58">
        <v>8</v>
      </c>
      <c r="G1017" s="58">
        <v>3</v>
      </c>
      <c r="H1017" s="58">
        <v>648.69999999999993</v>
      </c>
      <c r="I1017" s="58">
        <v>32.434999999999995</v>
      </c>
      <c r="J1017" s="56" t="s">
        <v>5665</v>
      </c>
      <c r="K1017" s="56" t="s">
        <v>2845</v>
      </c>
      <c r="L1017" s="292">
        <v>278</v>
      </c>
      <c r="M1017" s="292"/>
      <c r="N1017" s="358"/>
      <c r="O1017" s="292"/>
      <c r="P1017" s="292"/>
      <c r="Q1017" s="614"/>
      <c r="R1017" s="913">
        <f t="shared" si="72"/>
        <v>0</v>
      </c>
      <c r="S1017" s="913">
        <f t="shared" si="73"/>
        <v>0</v>
      </c>
      <c r="T1017" s="913">
        <f t="shared" si="74"/>
        <v>0</v>
      </c>
      <c r="U1017" s="914">
        <f t="shared" si="75"/>
        <v>8</v>
      </c>
      <c r="V1017" s="612"/>
      <c r="W1017" s="612"/>
      <c r="X1017" s="612"/>
      <c r="Y1017" s="612"/>
      <c r="Z1017" s="612"/>
      <c r="AA1017" s="612"/>
      <c r="AB1017" s="612"/>
      <c r="AC1017" s="612"/>
    </row>
    <row r="1018" spans="1:30">
      <c r="A1018" s="48" t="s">
        <v>5664</v>
      </c>
      <c r="B1018" s="60">
        <v>45614</v>
      </c>
      <c r="C1018" s="54" t="s">
        <v>173</v>
      </c>
      <c r="D1018" s="435" t="str">
        <f>IFERROR(VLOOKUP(C1018,Mychart!$A$125:$B$811,2,FALSE),"-")</f>
        <v>BAB AL TABREED A/C UNITS FIX.CONT</v>
      </c>
      <c r="E1018" s="295" t="s">
        <v>987</v>
      </c>
      <c r="F1018" s="58">
        <v>4</v>
      </c>
      <c r="G1018" s="58">
        <v>2</v>
      </c>
      <c r="H1018" s="58">
        <v>648.69999999999993</v>
      </c>
      <c r="I1018" s="58">
        <v>32.434999999999995</v>
      </c>
      <c r="J1018" s="56" t="s">
        <v>5665</v>
      </c>
      <c r="K1018" s="56" t="s">
        <v>2845</v>
      </c>
      <c r="L1018" s="292">
        <v>278</v>
      </c>
      <c r="M1018" s="292"/>
      <c r="N1018" s="358"/>
      <c r="O1018" s="292"/>
      <c r="P1018" s="292"/>
      <c r="Q1018" s="614"/>
      <c r="R1018" s="913">
        <f t="shared" si="72"/>
        <v>0</v>
      </c>
      <c r="S1018" s="913">
        <f t="shared" si="73"/>
        <v>0</v>
      </c>
      <c r="T1018" s="913">
        <f t="shared" si="74"/>
        <v>0</v>
      </c>
      <c r="U1018" s="914">
        <f t="shared" si="75"/>
        <v>4</v>
      </c>
      <c r="V1018" s="612"/>
      <c r="W1018" s="612"/>
      <c r="X1018" s="612"/>
      <c r="Y1018" s="612"/>
      <c r="Z1018" s="612"/>
      <c r="AA1018" s="612"/>
      <c r="AB1018" s="612"/>
      <c r="AC1018" s="612"/>
    </row>
    <row r="1019" spans="1:30">
      <c r="A1019" s="48" t="s">
        <v>5664</v>
      </c>
      <c r="B1019" s="60">
        <v>45614</v>
      </c>
      <c r="C1019" s="54" t="s">
        <v>173</v>
      </c>
      <c r="D1019" s="435" t="str">
        <f>IFERROR(VLOOKUP(C1019,Mychart!$A$125:$B$811,2,FALSE),"-")</f>
        <v>BAB AL TABREED A/C UNITS FIX.CONT</v>
      </c>
      <c r="E1019" s="295" t="s">
        <v>5666</v>
      </c>
      <c r="F1019" s="58">
        <v>0</v>
      </c>
      <c r="G1019" s="58">
        <v>0</v>
      </c>
      <c r="H1019" s="58">
        <v>648.69999999999993</v>
      </c>
      <c r="I1019" s="58">
        <v>32.434999999999995</v>
      </c>
      <c r="J1019" s="56" t="s">
        <v>5665</v>
      </c>
      <c r="K1019" s="56" t="s">
        <v>2845</v>
      </c>
      <c r="L1019" s="292">
        <v>278</v>
      </c>
      <c r="M1019" s="292" t="s">
        <v>6113</v>
      </c>
      <c r="N1019" s="358">
        <v>681.13499999999999</v>
      </c>
      <c r="O1019" s="292"/>
      <c r="P1019" s="292"/>
      <c r="Q1019" s="614">
        <v>681.13499999999988</v>
      </c>
      <c r="R1019" s="913">
        <f t="shared" si="72"/>
        <v>-681.13499999999999</v>
      </c>
      <c r="S1019" s="913">
        <f t="shared" si="73"/>
        <v>0</v>
      </c>
      <c r="T1019" s="913">
        <f t="shared" si="74"/>
        <v>681.13499999999988</v>
      </c>
      <c r="U1019" s="914">
        <f t="shared" si="75"/>
        <v>0</v>
      </c>
      <c r="V1019" s="612"/>
      <c r="W1019" s="612"/>
      <c r="X1019" s="612"/>
      <c r="Y1019" s="612"/>
      <c r="Z1019" s="612"/>
      <c r="AA1019" s="612"/>
      <c r="AB1019" s="612"/>
      <c r="AC1019" s="612"/>
      <c r="AD1019" s="930">
        <v>45635.622013888889</v>
      </c>
    </row>
    <row r="1020" spans="1:30">
      <c r="A1020" s="48" t="s">
        <v>5694</v>
      </c>
      <c r="B1020" s="60">
        <v>45615</v>
      </c>
      <c r="C1020" s="54" t="s">
        <v>173</v>
      </c>
      <c r="D1020" s="435" t="str">
        <f>IFERROR(VLOOKUP(C1020,Mychart!$A$125:$B$811,2,FALSE),"-")</f>
        <v>BAB AL TABREED A/C UNITS FIX.CONT</v>
      </c>
      <c r="E1020" s="295" t="s">
        <v>5464</v>
      </c>
      <c r="F1020" s="58">
        <v>71.02</v>
      </c>
      <c r="G1020" s="58">
        <v>2.8</v>
      </c>
      <c r="H1020" s="58">
        <v>1523.701</v>
      </c>
      <c r="I1020" s="58">
        <v>76.185050000000004</v>
      </c>
      <c r="J1020" s="56" t="s">
        <v>5695</v>
      </c>
      <c r="K1020" s="56" t="s">
        <v>269</v>
      </c>
      <c r="L1020" s="292">
        <v>256</v>
      </c>
      <c r="M1020" s="292"/>
      <c r="N1020" s="358"/>
      <c r="O1020" s="292"/>
      <c r="P1020" s="292"/>
      <c r="Q1020" s="614"/>
      <c r="R1020" s="913">
        <f t="shared" si="72"/>
        <v>0</v>
      </c>
      <c r="S1020" s="913">
        <f t="shared" si="73"/>
        <v>0</v>
      </c>
      <c r="T1020" s="913">
        <f t="shared" si="74"/>
        <v>0</v>
      </c>
      <c r="U1020" s="914">
        <f t="shared" si="75"/>
        <v>71.02</v>
      </c>
      <c r="V1020" s="612"/>
      <c r="W1020" s="612"/>
      <c r="X1020" s="612"/>
      <c r="Y1020" s="612"/>
      <c r="Z1020" s="612"/>
      <c r="AA1020" s="612"/>
      <c r="AB1020" s="612"/>
      <c r="AC1020" s="612"/>
    </row>
    <row r="1021" spans="1:30">
      <c r="A1021" s="48" t="s">
        <v>5694</v>
      </c>
      <c r="B1021" s="60">
        <v>45615</v>
      </c>
      <c r="C1021" s="54" t="s">
        <v>173</v>
      </c>
      <c r="D1021" s="435" t="str">
        <f>IFERROR(VLOOKUP(C1021,Mychart!$A$125:$B$811,2,FALSE),"-")</f>
        <v>BAB AL TABREED A/C UNITS FIX.CONT</v>
      </c>
      <c r="E1021" s="295" t="s">
        <v>5465</v>
      </c>
      <c r="F1021" s="58">
        <v>112</v>
      </c>
      <c r="G1021" s="58">
        <v>3.5</v>
      </c>
      <c r="H1021" s="58">
        <v>1523.701</v>
      </c>
      <c r="I1021" s="58">
        <v>76.185050000000004</v>
      </c>
      <c r="J1021" s="56" t="s">
        <v>5695</v>
      </c>
      <c r="K1021" s="56" t="s">
        <v>269</v>
      </c>
      <c r="L1021" s="292">
        <v>256</v>
      </c>
      <c r="M1021" s="292"/>
      <c r="N1021" s="358"/>
      <c r="O1021" s="292"/>
      <c r="P1021" s="292"/>
      <c r="Q1021" s="614"/>
      <c r="R1021" s="913">
        <f t="shared" si="72"/>
        <v>0</v>
      </c>
      <c r="S1021" s="913">
        <f t="shared" si="73"/>
        <v>0</v>
      </c>
      <c r="T1021" s="913">
        <f t="shared" si="74"/>
        <v>0</v>
      </c>
      <c r="U1021" s="914">
        <f t="shared" si="75"/>
        <v>112</v>
      </c>
      <c r="V1021" s="612"/>
      <c r="W1021" s="612"/>
      <c r="X1021" s="612"/>
      <c r="Y1021" s="612"/>
      <c r="Z1021" s="612"/>
      <c r="AA1021" s="612"/>
      <c r="AB1021" s="612"/>
      <c r="AC1021" s="612"/>
    </row>
    <row r="1022" spans="1:30">
      <c r="A1022" s="48" t="s">
        <v>5694</v>
      </c>
      <c r="B1022" s="60">
        <v>45615</v>
      </c>
      <c r="C1022" s="54" t="s">
        <v>173</v>
      </c>
      <c r="D1022" s="435" t="str">
        <f>IFERROR(VLOOKUP(C1022,Mychart!$A$125:$B$811,2,FALSE),"-")</f>
        <v>BAB AL TABREED A/C UNITS FIX.CONT</v>
      </c>
      <c r="E1022" s="295" t="s">
        <v>1411</v>
      </c>
      <c r="F1022" s="58">
        <v>184.41</v>
      </c>
      <c r="G1022" s="58">
        <v>4.5</v>
      </c>
      <c r="H1022" s="58">
        <v>1523.701</v>
      </c>
      <c r="I1022" s="58">
        <v>76.185050000000004</v>
      </c>
      <c r="J1022" s="56" t="s">
        <v>5695</v>
      </c>
      <c r="K1022" s="56" t="s">
        <v>269</v>
      </c>
      <c r="L1022" s="292">
        <v>256</v>
      </c>
      <c r="M1022" s="292"/>
      <c r="N1022" s="358"/>
      <c r="O1022" s="292"/>
      <c r="P1022" s="292"/>
      <c r="Q1022" s="614"/>
      <c r="R1022" s="913">
        <f t="shared" si="72"/>
        <v>0</v>
      </c>
      <c r="S1022" s="913">
        <f t="shared" si="73"/>
        <v>0</v>
      </c>
      <c r="T1022" s="913">
        <f t="shared" si="74"/>
        <v>0</v>
      </c>
      <c r="U1022" s="914">
        <f t="shared" si="75"/>
        <v>184.41</v>
      </c>
      <c r="V1022" s="612"/>
      <c r="W1022" s="612"/>
      <c r="X1022" s="612"/>
      <c r="Y1022" s="612"/>
      <c r="Z1022" s="612"/>
      <c r="AA1022" s="612"/>
      <c r="AB1022" s="612"/>
      <c r="AC1022" s="612"/>
    </row>
    <row r="1023" spans="1:30">
      <c r="A1023" s="48" t="s">
        <v>5694</v>
      </c>
      <c r="B1023" s="60">
        <v>45615</v>
      </c>
      <c r="C1023" s="54" t="s">
        <v>173</v>
      </c>
      <c r="D1023" s="435" t="str">
        <f>IFERROR(VLOOKUP(C1023,Mychart!$A$125:$B$811,2,FALSE),"-")</f>
        <v>BAB AL TABREED A/C UNITS FIX.CONT</v>
      </c>
      <c r="E1023" s="295" t="s">
        <v>986</v>
      </c>
      <c r="F1023" s="58">
        <v>27</v>
      </c>
      <c r="G1023" s="58">
        <v>3</v>
      </c>
      <c r="H1023" s="58">
        <v>1523.701</v>
      </c>
      <c r="I1023" s="58">
        <v>76.185050000000004</v>
      </c>
      <c r="J1023" s="56" t="s">
        <v>5695</v>
      </c>
      <c r="K1023" s="56" t="s">
        <v>269</v>
      </c>
      <c r="L1023" s="292">
        <v>256</v>
      </c>
      <c r="M1023" s="292"/>
      <c r="N1023" s="358"/>
      <c r="O1023" s="292"/>
      <c r="P1023" s="292"/>
      <c r="Q1023" s="614"/>
      <c r="R1023" s="913">
        <f t="shared" si="72"/>
        <v>0</v>
      </c>
      <c r="S1023" s="913">
        <f t="shared" si="73"/>
        <v>0</v>
      </c>
      <c r="T1023" s="913">
        <f t="shared" si="74"/>
        <v>0</v>
      </c>
      <c r="U1023" s="914">
        <f t="shared" si="75"/>
        <v>27</v>
      </c>
      <c r="V1023" s="612"/>
      <c r="W1023" s="612"/>
      <c r="X1023" s="612"/>
      <c r="Y1023" s="612"/>
      <c r="Z1023" s="612"/>
      <c r="AA1023" s="612"/>
      <c r="AB1023" s="612"/>
      <c r="AC1023" s="612"/>
    </row>
    <row r="1024" spans="1:30">
      <c r="A1024" s="48" t="s">
        <v>5694</v>
      </c>
      <c r="B1024" s="60">
        <v>45615</v>
      </c>
      <c r="C1024" s="54" t="s">
        <v>173</v>
      </c>
      <c r="D1024" s="435" t="str">
        <f>IFERROR(VLOOKUP(C1024,Mychart!$A$125:$B$811,2,FALSE),"-")</f>
        <v>BAB AL TABREED A/C UNITS FIX.CONT</v>
      </c>
      <c r="E1024" s="295" t="s">
        <v>987</v>
      </c>
      <c r="F1024" s="58">
        <v>11</v>
      </c>
      <c r="G1024" s="58">
        <v>2</v>
      </c>
      <c r="H1024" s="58">
        <v>1523.701</v>
      </c>
      <c r="I1024" s="58">
        <v>76.185050000000004</v>
      </c>
      <c r="J1024" s="56" t="s">
        <v>5695</v>
      </c>
      <c r="K1024" s="56" t="s">
        <v>269</v>
      </c>
      <c r="L1024" s="292">
        <v>256</v>
      </c>
      <c r="M1024" s="292"/>
      <c r="N1024" s="358"/>
      <c r="O1024" s="292"/>
      <c r="P1024" s="292"/>
      <c r="Q1024" s="614"/>
      <c r="R1024" s="913">
        <f t="shared" si="72"/>
        <v>0</v>
      </c>
      <c r="S1024" s="913">
        <f t="shared" si="73"/>
        <v>0</v>
      </c>
      <c r="T1024" s="913">
        <f t="shared" si="74"/>
        <v>0</v>
      </c>
      <c r="U1024" s="914">
        <f t="shared" si="75"/>
        <v>11</v>
      </c>
      <c r="V1024" s="612"/>
      <c r="W1024" s="612"/>
      <c r="X1024" s="612"/>
      <c r="Y1024" s="612"/>
      <c r="Z1024" s="612"/>
      <c r="AA1024" s="612"/>
      <c r="AB1024" s="612"/>
      <c r="AC1024" s="612"/>
    </row>
    <row r="1025" spans="1:30">
      <c r="A1025" s="48" t="s">
        <v>5694</v>
      </c>
      <c r="B1025" s="60">
        <v>45615</v>
      </c>
      <c r="C1025" s="54" t="s">
        <v>173</v>
      </c>
      <c r="D1025" s="435" t="str">
        <f>IFERROR(VLOOKUP(C1025,Mychart!$A$125:$B$811,2,FALSE),"-")</f>
        <v>BAB AL TABREED A/C UNITS FIX.CONT</v>
      </c>
      <c r="E1025" s="295" t="s">
        <v>5666</v>
      </c>
      <c r="F1025" s="58">
        <v>0</v>
      </c>
      <c r="G1025" s="58">
        <v>0</v>
      </c>
      <c r="H1025" s="58">
        <v>1523.701</v>
      </c>
      <c r="I1025" s="58">
        <v>76.185050000000004</v>
      </c>
      <c r="J1025" s="56" t="s">
        <v>5695</v>
      </c>
      <c r="K1025" s="56" t="s">
        <v>269</v>
      </c>
      <c r="L1025" s="292">
        <v>256</v>
      </c>
      <c r="M1025" s="292" t="s">
        <v>6114</v>
      </c>
      <c r="N1025" s="358">
        <v>1599.8860500000001</v>
      </c>
      <c r="O1025" s="292"/>
      <c r="P1025" s="292"/>
      <c r="Q1025" s="614">
        <v>1599.8860500000001</v>
      </c>
      <c r="R1025" s="913">
        <f t="shared" si="72"/>
        <v>-1599.8860500000001</v>
      </c>
      <c r="S1025" s="913">
        <f t="shared" si="73"/>
        <v>0</v>
      </c>
      <c r="T1025" s="913">
        <f t="shared" si="74"/>
        <v>1599.8860500000001</v>
      </c>
      <c r="U1025" s="914">
        <f t="shared" si="75"/>
        <v>0</v>
      </c>
      <c r="V1025" s="612"/>
      <c r="W1025" s="612"/>
      <c r="X1025" s="612"/>
      <c r="Y1025" s="612"/>
      <c r="Z1025" s="612"/>
      <c r="AA1025" s="612"/>
      <c r="AB1025" s="612"/>
      <c r="AC1025" s="612"/>
      <c r="AD1025" s="930">
        <v>45635.622013888889</v>
      </c>
    </row>
    <row r="1026" spans="1:30">
      <c r="A1026" s="48" t="s">
        <v>5719</v>
      </c>
      <c r="B1026" s="60">
        <v>45617</v>
      </c>
      <c r="C1026" s="54" t="s">
        <v>172</v>
      </c>
      <c r="D1026" s="435" t="str">
        <f>IFERROR(VLOOKUP(C1026,Mychart!$A$125:$B$811,2,FALSE),"-")</f>
        <v>BEST CHOICE INDUSTRIES LLC</v>
      </c>
      <c r="E1026" s="295" t="s">
        <v>5720</v>
      </c>
      <c r="F1026" s="58">
        <v>1</v>
      </c>
      <c r="G1026" s="58"/>
      <c r="H1026" s="58">
        <v>185</v>
      </c>
      <c r="I1026" s="58">
        <v>9.25</v>
      </c>
      <c r="J1026" s="56">
        <v>81911</v>
      </c>
      <c r="K1026" s="56" t="s">
        <v>287</v>
      </c>
      <c r="L1026" s="292">
        <v>252</v>
      </c>
      <c r="M1026" s="292"/>
      <c r="N1026" s="358"/>
      <c r="O1026" s="292"/>
      <c r="P1026" s="292"/>
      <c r="Q1026" s="614"/>
      <c r="R1026" s="913">
        <f t="shared" si="72"/>
        <v>0</v>
      </c>
      <c r="S1026" s="913">
        <f t="shared" si="73"/>
        <v>0</v>
      </c>
      <c r="T1026" s="913">
        <f t="shared" si="74"/>
        <v>0</v>
      </c>
      <c r="U1026" s="914">
        <f t="shared" si="75"/>
        <v>1</v>
      </c>
      <c r="V1026" s="612"/>
      <c r="W1026" s="612"/>
      <c r="X1026" s="612"/>
      <c r="Y1026" s="612"/>
      <c r="Z1026" s="612"/>
      <c r="AA1026" s="612"/>
      <c r="AB1026" s="612"/>
      <c r="AC1026" s="612"/>
    </row>
    <row r="1027" spans="1:30">
      <c r="A1027" s="48" t="s">
        <v>5719</v>
      </c>
      <c r="B1027" s="60">
        <v>45617</v>
      </c>
      <c r="C1027" s="54" t="s">
        <v>172</v>
      </c>
      <c r="D1027" s="435" t="str">
        <f>IFERROR(VLOOKUP(C1027,Mychart!$A$125:$B$811,2,FALSE),"-")</f>
        <v>BEST CHOICE INDUSTRIES LLC</v>
      </c>
      <c r="E1027" s="295" t="s">
        <v>5721</v>
      </c>
      <c r="F1027" s="58">
        <v>1</v>
      </c>
      <c r="G1027" s="58"/>
      <c r="H1027" s="58">
        <v>185</v>
      </c>
      <c r="I1027" s="58">
        <v>9.25</v>
      </c>
      <c r="J1027" s="56">
        <v>81911</v>
      </c>
      <c r="K1027" s="56" t="s">
        <v>287</v>
      </c>
      <c r="L1027" s="292">
        <v>252</v>
      </c>
      <c r="M1027" s="292"/>
      <c r="N1027" s="358"/>
      <c r="O1027" s="292"/>
      <c r="P1027" s="292"/>
      <c r="Q1027" s="614"/>
      <c r="R1027" s="913">
        <f t="shared" si="72"/>
        <v>0</v>
      </c>
      <c r="S1027" s="913">
        <f t="shared" si="73"/>
        <v>0</v>
      </c>
      <c r="T1027" s="913">
        <f t="shared" si="74"/>
        <v>0</v>
      </c>
      <c r="U1027" s="914">
        <f t="shared" si="75"/>
        <v>1</v>
      </c>
      <c r="V1027" s="612"/>
      <c r="W1027" s="612"/>
      <c r="X1027" s="612"/>
      <c r="Y1027" s="612"/>
      <c r="Z1027" s="612"/>
      <c r="AA1027" s="612"/>
      <c r="AB1027" s="612"/>
      <c r="AC1027" s="612"/>
    </row>
    <row r="1028" spans="1:30">
      <c r="A1028" s="48" t="s">
        <v>5719</v>
      </c>
      <c r="B1028" s="60">
        <v>45617</v>
      </c>
      <c r="C1028" s="54" t="s">
        <v>172</v>
      </c>
      <c r="D1028" s="435" t="str">
        <f>IFERROR(VLOOKUP(C1028,Mychart!$A$125:$B$811,2,FALSE),"-")</f>
        <v>BEST CHOICE INDUSTRIES LLC</v>
      </c>
      <c r="E1028" s="295" t="s">
        <v>5722</v>
      </c>
      <c r="F1028" s="58">
        <v>1</v>
      </c>
      <c r="G1028" s="58"/>
      <c r="H1028" s="58">
        <v>185</v>
      </c>
      <c r="I1028" s="58">
        <v>9.25</v>
      </c>
      <c r="J1028" s="56">
        <v>81911</v>
      </c>
      <c r="K1028" s="56" t="s">
        <v>287</v>
      </c>
      <c r="L1028" s="292">
        <v>252</v>
      </c>
      <c r="M1028" s="292"/>
      <c r="N1028" s="358"/>
      <c r="O1028" s="292"/>
      <c r="P1028" s="292"/>
      <c r="Q1028" s="614"/>
      <c r="R1028" s="913">
        <f t="shared" si="72"/>
        <v>0</v>
      </c>
      <c r="S1028" s="913">
        <f t="shared" si="73"/>
        <v>0</v>
      </c>
      <c r="T1028" s="913">
        <f t="shared" si="74"/>
        <v>0</v>
      </c>
      <c r="U1028" s="914">
        <f t="shared" si="75"/>
        <v>1</v>
      </c>
      <c r="V1028" s="612"/>
      <c r="W1028" s="612"/>
      <c r="X1028" s="612"/>
      <c r="Y1028" s="612"/>
      <c r="Z1028" s="612"/>
      <c r="AA1028" s="612"/>
      <c r="AB1028" s="612"/>
      <c r="AC1028" s="612"/>
    </row>
    <row r="1029" spans="1:30">
      <c r="A1029" s="48" t="s">
        <v>5719</v>
      </c>
      <c r="B1029" s="60">
        <v>45617</v>
      </c>
      <c r="C1029" s="54" t="s">
        <v>172</v>
      </c>
      <c r="D1029" s="435" t="str">
        <f>IFERROR(VLOOKUP(C1029,Mychart!$A$125:$B$811,2,FALSE),"-")</f>
        <v>BEST CHOICE INDUSTRIES LLC</v>
      </c>
      <c r="E1029" s="295" t="s">
        <v>5723</v>
      </c>
      <c r="F1029" s="58">
        <v>1</v>
      </c>
      <c r="G1029" s="58"/>
      <c r="H1029" s="58">
        <v>185</v>
      </c>
      <c r="I1029" s="58">
        <v>9.25</v>
      </c>
      <c r="J1029" s="56">
        <v>81911</v>
      </c>
      <c r="K1029" s="56" t="s">
        <v>287</v>
      </c>
      <c r="L1029" s="292">
        <v>252</v>
      </c>
      <c r="M1029" s="292"/>
      <c r="N1029" s="358"/>
      <c r="O1029" s="292"/>
      <c r="P1029" s="292"/>
      <c r="Q1029" s="614"/>
      <c r="R1029" s="913">
        <f t="shared" si="72"/>
        <v>0</v>
      </c>
      <c r="S1029" s="913">
        <f t="shared" si="73"/>
        <v>0</v>
      </c>
      <c r="T1029" s="913">
        <f t="shared" si="74"/>
        <v>0</v>
      </c>
      <c r="U1029" s="914">
        <f t="shared" si="75"/>
        <v>1</v>
      </c>
      <c r="V1029" s="612"/>
      <c r="W1029" s="612"/>
      <c r="X1029" s="612"/>
      <c r="Y1029" s="612"/>
      <c r="Z1029" s="612"/>
      <c r="AA1029" s="612"/>
      <c r="AB1029" s="612"/>
      <c r="AC1029" s="612"/>
    </row>
    <row r="1030" spans="1:30">
      <c r="A1030" s="48" t="s">
        <v>5719</v>
      </c>
      <c r="B1030" s="60">
        <v>45617</v>
      </c>
      <c r="C1030" s="54" t="s">
        <v>172</v>
      </c>
      <c r="D1030" s="435" t="str">
        <f>IFERROR(VLOOKUP(C1030,Mychart!$A$125:$B$811,2,FALSE),"-")</f>
        <v>BEST CHOICE INDUSTRIES LLC</v>
      </c>
      <c r="E1030" s="295" t="s">
        <v>5724</v>
      </c>
      <c r="F1030" s="58">
        <v>1</v>
      </c>
      <c r="G1030" s="58"/>
      <c r="H1030" s="58">
        <v>185</v>
      </c>
      <c r="I1030" s="58">
        <v>9.25</v>
      </c>
      <c r="J1030" s="56">
        <v>81911</v>
      </c>
      <c r="K1030" s="56" t="s">
        <v>287</v>
      </c>
      <c r="L1030" s="292">
        <v>252</v>
      </c>
      <c r="M1030" s="292"/>
      <c r="N1030" s="358"/>
      <c r="O1030" s="292"/>
      <c r="P1030" s="292"/>
      <c r="Q1030" s="614"/>
      <c r="R1030" s="913">
        <f t="shared" si="72"/>
        <v>0</v>
      </c>
      <c r="S1030" s="913">
        <f t="shared" si="73"/>
        <v>0</v>
      </c>
      <c r="T1030" s="913">
        <f t="shared" si="74"/>
        <v>0</v>
      </c>
      <c r="U1030" s="914">
        <f t="shared" si="75"/>
        <v>1</v>
      </c>
      <c r="V1030" s="612"/>
      <c r="W1030" s="612"/>
      <c r="X1030" s="612"/>
      <c r="Y1030" s="612"/>
      <c r="Z1030" s="612"/>
      <c r="AA1030" s="612"/>
      <c r="AB1030" s="612"/>
      <c r="AC1030" s="612"/>
    </row>
    <row r="1031" spans="1:30">
      <c r="A1031" s="48" t="s">
        <v>5719</v>
      </c>
      <c r="B1031" s="60">
        <v>45617</v>
      </c>
      <c r="C1031" s="54" t="s">
        <v>172</v>
      </c>
      <c r="D1031" s="435" t="str">
        <f>IFERROR(VLOOKUP(C1031,Mychart!$A$125:$B$811,2,FALSE),"-")</f>
        <v>BEST CHOICE INDUSTRIES LLC</v>
      </c>
      <c r="E1031" s="295" t="s">
        <v>5666</v>
      </c>
      <c r="F1031" s="58">
        <v>1</v>
      </c>
      <c r="G1031" s="58">
        <v>185</v>
      </c>
      <c r="H1031" s="58">
        <v>185</v>
      </c>
      <c r="I1031" s="58">
        <v>9.25</v>
      </c>
      <c r="J1031" s="56">
        <v>81911</v>
      </c>
      <c r="K1031" s="56" t="s">
        <v>287</v>
      </c>
      <c r="L1031" s="292">
        <v>252</v>
      </c>
      <c r="M1031" s="292" t="s">
        <v>6027</v>
      </c>
      <c r="N1031" s="358">
        <v>194.34</v>
      </c>
      <c r="O1031" s="292"/>
      <c r="P1031" s="292"/>
      <c r="Q1031" s="614">
        <v>194.25</v>
      </c>
      <c r="R1031" s="913">
        <f t="shared" si="72"/>
        <v>-194.34</v>
      </c>
      <c r="S1031" s="913">
        <f t="shared" si="73"/>
        <v>-9.0000000000003411E-2</v>
      </c>
      <c r="T1031" s="913">
        <f t="shared" si="74"/>
        <v>194.25</v>
      </c>
      <c r="U1031" s="914">
        <f t="shared" si="75"/>
        <v>1</v>
      </c>
      <c r="V1031" s="612"/>
      <c r="W1031" s="612"/>
      <c r="X1031" s="612"/>
      <c r="Y1031" s="612"/>
      <c r="Z1031" s="612"/>
      <c r="AA1031" s="612"/>
      <c r="AB1031" s="612"/>
      <c r="AC1031" s="612"/>
      <c r="AD1031" s="930">
        <v>45633.466736111113</v>
      </c>
    </row>
    <row r="1032" spans="1:30">
      <c r="A1032" s="48" t="s">
        <v>5725</v>
      </c>
      <c r="B1032" s="60">
        <v>45617</v>
      </c>
      <c r="C1032" s="54" t="s">
        <v>172</v>
      </c>
      <c r="D1032" s="435" t="str">
        <f>IFERROR(VLOOKUP(C1032,Mychart!$A$125:$B$811,2,FALSE),"-")</f>
        <v>BEST CHOICE INDUSTRIES LLC</v>
      </c>
      <c r="E1032" s="295" t="s">
        <v>5726</v>
      </c>
      <c r="F1032" s="58">
        <v>4</v>
      </c>
      <c r="G1032" s="58"/>
      <c r="H1032" s="58">
        <v>1381</v>
      </c>
      <c r="I1032" s="58">
        <v>69.05</v>
      </c>
      <c r="J1032" s="56">
        <v>81908</v>
      </c>
      <c r="K1032" s="56" t="s">
        <v>5610</v>
      </c>
      <c r="L1032" s="292">
        <v>293</v>
      </c>
      <c r="M1032" s="292"/>
      <c r="N1032" s="358"/>
      <c r="O1032" s="292"/>
      <c r="P1032" s="292"/>
      <c r="Q1032" s="614"/>
      <c r="R1032" s="913">
        <f t="shared" si="72"/>
        <v>0</v>
      </c>
      <c r="S1032" s="913">
        <f t="shared" si="73"/>
        <v>0</v>
      </c>
      <c r="T1032" s="913">
        <f t="shared" si="74"/>
        <v>0</v>
      </c>
      <c r="U1032" s="914">
        <f t="shared" si="75"/>
        <v>4</v>
      </c>
      <c r="V1032" s="612"/>
      <c r="W1032" s="612"/>
      <c r="X1032" s="612"/>
      <c r="Y1032" s="612"/>
      <c r="Z1032" s="612"/>
      <c r="AA1032" s="612"/>
      <c r="AB1032" s="612"/>
      <c r="AC1032" s="612"/>
    </row>
    <row r="1033" spans="1:30">
      <c r="A1033" s="48" t="s">
        <v>5725</v>
      </c>
      <c r="B1033" s="60">
        <v>45617</v>
      </c>
      <c r="C1033" s="54" t="s">
        <v>172</v>
      </c>
      <c r="D1033" s="435" t="str">
        <f>IFERROR(VLOOKUP(C1033,Mychart!$A$125:$B$811,2,FALSE),"-")</f>
        <v>BEST CHOICE INDUSTRIES LLC</v>
      </c>
      <c r="E1033" s="295" t="s">
        <v>5666</v>
      </c>
      <c r="F1033" s="58">
        <v>1</v>
      </c>
      <c r="G1033" s="58">
        <v>1381</v>
      </c>
      <c r="H1033" s="58">
        <v>1381</v>
      </c>
      <c r="I1033" s="58">
        <v>69.05</v>
      </c>
      <c r="J1033" s="56">
        <v>81908</v>
      </c>
      <c r="K1033" s="56" t="s">
        <v>5610</v>
      </c>
      <c r="L1033" s="292">
        <v>293</v>
      </c>
      <c r="M1033" s="292" t="s">
        <v>6029</v>
      </c>
      <c r="N1033" s="358">
        <v>1449</v>
      </c>
      <c r="O1033" s="292"/>
      <c r="P1033" s="292"/>
      <c r="Q1033" s="614">
        <v>1450.05</v>
      </c>
      <c r="R1033" s="913">
        <f t="shared" si="72"/>
        <v>-1449</v>
      </c>
      <c r="S1033" s="913">
        <f t="shared" si="73"/>
        <v>1.0499999999999545</v>
      </c>
      <c r="T1033" s="913">
        <f t="shared" si="74"/>
        <v>1450.05</v>
      </c>
      <c r="U1033" s="914">
        <f t="shared" si="75"/>
        <v>1</v>
      </c>
      <c r="V1033" s="612"/>
      <c r="W1033" s="612"/>
      <c r="X1033" s="612"/>
      <c r="Y1033" s="612"/>
      <c r="Z1033" s="612"/>
      <c r="AA1033" s="612"/>
      <c r="AB1033" s="612"/>
      <c r="AC1033" s="612"/>
      <c r="AD1033" s="930">
        <v>45633.466736111113</v>
      </c>
    </row>
    <row r="1034" spans="1:30">
      <c r="A1034" s="48" t="s">
        <v>5730</v>
      </c>
      <c r="B1034" s="60">
        <v>45619</v>
      </c>
      <c r="C1034" s="54" t="s">
        <v>173</v>
      </c>
      <c r="D1034" s="435" t="str">
        <f>IFERROR(VLOOKUP(C1034,Mychart!$A$125:$B$811,2,FALSE),"-")</f>
        <v>BAB AL TABREED A/C UNITS FIX.CONT</v>
      </c>
      <c r="E1034" s="295" t="s">
        <v>5509</v>
      </c>
      <c r="F1034" s="58">
        <v>12</v>
      </c>
      <c r="G1034" s="58">
        <v>3.5</v>
      </c>
      <c r="H1034" s="58">
        <v>82</v>
      </c>
      <c r="I1034" s="58">
        <v>4.1000000000000005</v>
      </c>
      <c r="J1034" s="56" t="s">
        <v>5731</v>
      </c>
      <c r="K1034" s="56" t="s">
        <v>269</v>
      </c>
      <c r="L1034" s="292">
        <v>256</v>
      </c>
      <c r="M1034" s="292"/>
      <c r="N1034" s="358"/>
      <c r="O1034" s="292"/>
      <c r="P1034" s="292"/>
      <c r="Q1034" s="614"/>
      <c r="R1034" s="913">
        <f t="shared" si="72"/>
        <v>0</v>
      </c>
      <c r="S1034" s="913">
        <f t="shared" si="73"/>
        <v>0</v>
      </c>
      <c r="T1034" s="913">
        <f t="shared" si="74"/>
        <v>0</v>
      </c>
      <c r="U1034" s="914">
        <f t="shared" si="75"/>
        <v>12</v>
      </c>
      <c r="V1034" s="612"/>
      <c r="W1034" s="612"/>
      <c r="X1034" s="612"/>
      <c r="Y1034" s="612"/>
      <c r="Z1034" s="612"/>
      <c r="AA1034" s="612"/>
      <c r="AB1034" s="612"/>
      <c r="AC1034" s="612"/>
    </row>
    <row r="1035" spans="1:30">
      <c r="A1035" s="48" t="s">
        <v>5730</v>
      </c>
      <c r="B1035" s="60">
        <v>45619</v>
      </c>
      <c r="C1035" s="54" t="s">
        <v>173</v>
      </c>
      <c r="D1035" s="435" t="str">
        <f>IFERROR(VLOOKUP(C1035,Mychart!$A$125:$B$811,2,FALSE),"-")</f>
        <v>BAB AL TABREED A/C UNITS FIX.CONT</v>
      </c>
      <c r="E1035" s="295" t="s">
        <v>987</v>
      </c>
      <c r="F1035" s="58">
        <v>20</v>
      </c>
      <c r="G1035" s="58">
        <v>2</v>
      </c>
      <c r="H1035" s="58">
        <v>82</v>
      </c>
      <c r="I1035" s="58">
        <v>4.1000000000000005</v>
      </c>
      <c r="J1035" s="56" t="s">
        <v>5731</v>
      </c>
      <c r="K1035" s="56" t="s">
        <v>269</v>
      </c>
      <c r="L1035" s="292">
        <v>256</v>
      </c>
      <c r="M1035" s="292"/>
      <c r="N1035" s="358"/>
      <c r="O1035" s="292"/>
      <c r="P1035" s="292"/>
      <c r="Q1035" s="614"/>
      <c r="R1035" s="913">
        <f t="shared" si="72"/>
        <v>0</v>
      </c>
      <c r="S1035" s="913">
        <f t="shared" si="73"/>
        <v>0</v>
      </c>
      <c r="T1035" s="913">
        <f t="shared" si="74"/>
        <v>0</v>
      </c>
      <c r="U1035" s="914">
        <f t="shared" si="75"/>
        <v>20</v>
      </c>
      <c r="V1035" s="612"/>
      <c r="W1035" s="612"/>
      <c r="X1035" s="612"/>
      <c r="Y1035" s="612"/>
      <c r="Z1035" s="612"/>
      <c r="AA1035" s="612"/>
      <c r="AB1035" s="612"/>
      <c r="AC1035" s="612"/>
    </row>
    <row r="1036" spans="1:30">
      <c r="A1036" s="48" t="s">
        <v>5730</v>
      </c>
      <c r="B1036" s="60">
        <v>45619</v>
      </c>
      <c r="C1036" s="54" t="s">
        <v>173</v>
      </c>
      <c r="D1036" s="435" t="str">
        <f>IFERROR(VLOOKUP(C1036,Mychart!$A$125:$B$811,2,FALSE),"-")</f>
        <v>BAB AL TABREED A/C UNITS FIX.CONT</v>
      </c>
      <c r="E1036" s="295" t="s">
        <v>5666</v>
      </c>
      <c r="F1036" s="58"/>
      <c r="G1036" s="58"/>
      <c r="H1036" s="58">
        <v>82</v>
      </c>
      <c r="I1036" s="58">
        <v>4.1000000000000005</v>
      </c>
      <c r="J1036" s="56" t="s">
        <v>5731</v>
      </c>
      <c r="K1036" s="56" t="s">
        <v>269</v>
      </c>
      <c r="L1036" s="292">
        <v>256</v>
      </c>
      <c r="M1036" s="292" t="s">
        <v>6115</v>
      </c>
      <c r="N1036" s="358">
        <v>86.1</v>
      </c>
      <c r="O1036" s="292"/>
      <c r="P1036" s="292"/>
      <c r="Q1036" s="614">
        <v>86.1</v>
      </c>
      <c r="R1036" s="913">
        <f t="shared" si="72"/>
        <v>-86.1</v>
      </c>
      <c r="S1036" s="913">
        <f t="shared" si="73"/>
        <v>0</v>
      </c>
      <c r="T1036" s="913">
        <f t="shared" si="74"/>
        <v>86.1</v>
      </c>
      <c r="U1036" s="914">
        <f t="shared" si="75"/>
        <v>0</v>
      </c>
      <c r="V1036" s="612"/>
      <c r="W1036" s="612"/>
      <c r="X1036" s="612"/>
      <c r="Y1036" s="612"/>
      <c r="Z1036" s="612"/>
      <c r="AA1036" s="612"/>
      <c r="AB1036" s="612"/>
      <c r="AC1036" s="612"/>
      <c r="AD1036" s="930">
        <v>45635.622013888889</v>
      </c>
    </row>
    <row r="1037" spans="1:30">
      <c r="A1037" s="48" t="s">
        <v>5792</v>
      </c>
      <c r="B1037" s="60">
        <v>45621</v>
      </c>
      <c r="C1037" s="54" t="s">
        <v>171</v>
      </c>
      <c r="D1037" s="435" t="str">
        <f>IFERROR(VLOOKUP(C1037,Mychart!$A$125:$B$811,2,FALSE),"-")</f>
        <v>MACS -Al Muthathawerah</v>
      </c>
      <c r="E1037" s="295" t="s">
        <v>5793</v>
      </c>
      <c r="F1037" s="58">
        <v>1738</v>
      </c>
      <c r="G1037" s="58">
        <v>2.85</v>
      </c>
      <c r="H1037" s="58">
        <v>5095.24</v>
      </c>
      <c r="I1037" s="58">
        <v>254.762</v>
      </c>
      <c r="J1037" s="56">
        <v>242166</v>
      </c>
      <c r="K1037" s="56" t="s">
        <v>978</v>
      </c>
      <c r="L1037" s="292">
        <v>286</v>
      </c>
      <c r="M1037" s="292"/>
      <c r="N1037" s="358"/>
      <c r="O1037" s="292"/>
      <c r="P1037" s="292"/>
      <c r="Q1037" s="614"/>
      <c r="R1037" s="913">
        <f t="shared" si="72"/>
        <v>0</v>
      </c>
      <c r="S1037" s="913">
        <f t="shared" si="73"/>
        <v>0</v>
      </c>
      <c r="T1037" s="913">
        <f t="shared" si="74"/>
        <v>0</v>
      </c>
      <c r="U1037" s="914">
        <f t="shared" si="75"/>
        <v>1738</v>
      </c>
      <c r="V1037" s="612"/>
      <c r="W1037" s="612"/>
      <c r="X1037" s="612"/>
      <c r="Y1037" s="612"/>
      <c r="Z1037" s="612"/>
      <c r="AA1037" s="612"/>
      <c r="AB1037" s="612"/>
      <c r="AC1037" s="612"/>
    </row>
    <row r="1038" spans="1:30">
      <c r="A1038" s="48" t="s">
        <v>5792</v>
      </c>
      <c r="B1038" s="60">
        <v>45621</v>
      </c>
      <c r="C1038" s="54" t="s">
        <v>171</v>
      </c>
      <c r="D1038" s="435" t="str">
        <f>IFERROR(VLOOKUP(C1038,Mychart!$A$125:$B$811,2,FALSE),"-")</f>
        <v>MACS -Al Muthathawerah</v>
      </c>
      <c r="E1038" s="295" t="s">
        <v>986</v>
      </c>
      <c r="F1038" s="58">
        <v>84</v>
      </c>
      <c r="G1038" s="58">
        <v>3.25</v>
      </c>
      <c r="H1038" s="58">
        <v>5095.24</v>
      </c>
      <c r="I1038" s="58">
        <v>254.762</v>
      </c>
      <c r="J1038" s="56">
        <v>242166</v>
      </c>
      <c r="K1038" s="56" t="s">
        <v>978</v>
      </c>
      <c r="L1038" s="292">
        <v>286</v>
      </c>
      <c r="M1038" s="292"/>
      <c r="N1038" s="358"/>
      <c r="O1038" s="292"/>
      <c r="P1038" s="292"/>
      <c r="Q1038" s="614"/>
      <c r="R1038" s="913">
        <f t="shared" si="72"/>
        <v>0</v>
      </c>
      <c r="S1038" s="913">
        <f t="shared" si="73"/>
        <v>0</v>
      </c>
      <c r="T1038" s="913">
        <f t="shared" si="74"/>
        <v>0</v>
      </c>
      <c r="U1038" s="914">
        <f t="shared" si="75"/>
        <v>84</v>
      </c>
      <c r="V1038" s="612"/>
      <c r="W1038" s="612"/>
      <c r="X1038" s="612"/>
      <c r="Y1038" s="612"/>
      <c r="Z1038" s="612"/>
      <c r="AA1038" s="612"/>
      <c r="AB1038" s="612"/>
      <c r="AC1038" s="612"/>
    </row>
    <row r="1039" spans="1:30">
      <c r="A1039" s="48" t="s">
        <v>5792</v>
      </c>
      <c r="B1039" s="60">
        <v>45621</v>
      </c>
      <c r="C1039" s="54" t="s">
        <v>171</v>
      </c>
      <c r="D1039" s="435" t="str">
        <f>IFERROR(VLOOKUP(C1039,Mychart!$A$125:$B$811,2,FALSE),"-")</f>
        <v>MACS -Al Muthathawerah</v>
      </c>
      <c r="E1039" s="295" t="s">
        <v>987</v>
      </c>
      <c r="F1039" s="58">
        <v>62</v>
      </c>
      <c r="G1039" s="58">
        <v>2.25</v>
      </c>
      <c r="H1039" s="58">
        <v>5095.24</v>
      </c>
      <c r="I1039" s="58">
        <v>254.762</v>
      </c>
      <c r="J1039" s="56">
        <v>242166</v>
      </c>
      <c r="K1039" s="56" t="s">
        <v>978</v>
      </c>
      <c r="L1039" s="292">
        <v>286</v>
      </c>
      <c r="M1039" s="292"/>
      <c r="N1039" s="358"/>
      <c r="O1039" s="292"/>
      <c r="P1039" s="292"/>
      <c r="Q1039" s="614"/>
      <c r="R1039" s="913">
        <f t="shared" si="72"/>
        <v>0</v>
      </c>
      <c r="S1039" s="913">
        <f t="shared" si="73"/>
        <v>0</v>
      </c>
      <c r="T1039" s="913">
        <f t="shared" si="74"/>
        <v>0</v>
      </c>
      <c r="U1039" s="914">
        <f t="shared" si="75"/>
        <v>62</v>
      </c>
      <c r="V1039" s="612"/>
      <c r="W1039" s="612"/>
      <c r="X1039" s="612"/>
      <c r="Y1039" s="612"/>
      <c r="Z1039" s="612"/>
      <c r="AA1039" s="612"/>
      <c r="AB1039" s="612"/>
      <c r="AC1039" s="612"/>
    </row>
    <row r="1040" spans="1:30">
      <c r="A1040" s="48" t="s">
        <v>5792</v>
      </c>
      <c r="B1040" s="60">
        <v>45621</v>
      </c>
      <c r="C1040" s="54" t="s">
        <v>171</v>
      </c>
      <c r="D1040" s="435" t="str">
        <f>IFERROR(VLOOKUP(C1040,Mychart!$A$125:$B$811,2,FALSE),"-")</f>
        <v>MACS -Al Muthathawerah</v>
      </c>
      <c r="E1040" s="295" t="s">
        <v>5794</v>
      </c>
      <c r="F1040" s="58">
        <v>1</v>
      </c>
      <c r="G1040" s="58">
        <v>-270.56</v>
      </c>
      <c r="H1040" s="58">
        <v>5095.24</v>
      </c>
      <c r="I1040" s="58">
        <v>254.762</v>
      </c>
      <c r="J1040" s="56">
        <v>242166</v>
      </c>
      <c r="K1040" s="56" t="s">
        <v>978</v>
      </c>
      <c r="L1040" s="292">
        <v>286</v>
      </c>
      <c r="M1040" s="292"/>
      <c r="N1040" s="358"/>
      <c r="O1040" s="292"/>
      <c r="P1040" s="292"/>
      <c r="Q1040" s="614"/>
      <c r="R1040" s="913">
        <f t="shared" si="72"/>
        <v>0</v>
      </c>
      <c r="S1040" s="913">
        <f t="shared" si="73"/>
        <v>0</v>
      </c>
      <c r="T1040" s="913">
        <f t="shared" si="74"/>
        <v>0</v>
      </c>
      <c r="U1040" s="914">
        <f t="shared" si="75"/>
        <v>1</v>
      </c>
      <c r="V1040" s="612"/>
      <c r="W1040" s="612"/>
      <c r="X1040" s="612"/>
      <c r="Y1040" s="612"/>
      <c r="Z1040" s="612"/>
      <c r="AA1040" s="612"/>
      <c r="AB1040" s="612"/>
      <c r="AC1040" s="612"/>
    </row>
    <row r="1041" spans="1:30">
      <c r="A1041" s="48" t="s">
        <v>5792</v>
      </c>
      <c r="B1041" s="60">
        <v>45621</v>
      </c>
      <c r="C1041" s="54" t="s">
        <v>171</v>
      </c>
      <c r="D1041" s="435" t="str">
        <f>IFERROR(VLOOKUP(C1041,Mychart!$A$125:$B$811,2,FALSE),"-")</f>
        <v>MACS -Al Muthathawerah</v>
      </c>
      <c r="E1041" s="295" t="s">
        <v>5666</v>
      </c>
      <c r="F1041" s="58">
        <v>1</v>
      </c>
      <c r="G1041" s="58">
        <v>0</v>
      </c>
      <c r="H1041" s="58">
        <v>5095.24</v>
      </c>
      <c r="I1041" s="58">
        <v>254.762</v>
      </c>
      <c r="J1041" s="56">
        <v>242166</v>
      </c>
      <c r="K1041" s="56" t="s">
        <v>978</v>
      </c>
      <c r="L1041" s="292">
        <v>286</v>
      </c>
      <c r="M1041" s="292"/>
      <c r="N1041" s="358"/>
      <c r="O1041" s="292"/>
      <c r="P1041" s="292"/>
      <c r="Q1041" s="614">
        <v>5350.0019999999995</v>
      </c>
      <c r="R1041" s="913">
        <f t="shared" si="72"/>
        <v>0</v>
      </c>
      <c r="S1041" s="913">
        <f t="shared" si="73"/>
        <v>5350.0019999999995</v>
      </c>
      <c r="T1041" s="913">
        <f t="shared" si="74"/>
        <v>5350.0019999999995</v>
      </c>
      <c r="U1041" s="914">
        <f t="shared" si="75"/>
        <v>1</v>
      </c>
      <c r="V1041" s="612"/>
      <c r="W1041" s="612"/>
      <c r="X1041" s="612"/>
      <c r="Y1041" s="612"/>
      <c r="Z1041" s="612"/>
      <c r="AA1041" s="612"/>
      <c r="AB1041" s="612"/>
      <c r="AC1041" s="612"/>
    </row>
    <row r="1042" spans="1:30">
      <c r="A1042" s="48" t="s">
        <v>5795</v>
      </c>
      <c r="B1042" s="60">
        <v>45621</v>
      </c>
      <c r="C1042" s="54" t="s">
        <v>172</v>
      </c>
      <c r="D1042" s="435" t="str">
        <f>IFERROR(VLOOKUP(C1042,Mychart!$A$125:$B$811,2,FALSE),"-")</f>
        <v>BEST CHOICE INDUSTRIES LLC</v>
      </c>
      <c r="E1042" s="295" t="s">
        <v>5796</v>
      </c>
      <c r="F1042" s="58">
        <v>1</v>
      </c>
      <c r="G1042" s="58"/>
      <c r="H1042" s="58">
        <v>953</v>
      </c>
      <c r="I1042" s="58">
        <v>47.650000000000006</v>
      </c>
      <c r="J1042" s="56">
        <v>81954</v>
      </c>
      <c r="K1042" s="56" t="s">
        <v>274</v>
      </c>
      <c r="L1042" s="292">
        <v>242</v>
      </c>
      <c r="M1042" s="292"/>
      <c r="N1042" s="358"/>
      <c r="O1042" s="292"/>
      <c r="P1042" s="292"/>
      <c r="Q1042" s="614"/>
      <c r="R1042" s="913">
        <f t="shared" si="72"/>
        <v>0</v>
      </c>
      <c r="S1042" s="913">
        <f t="shared" si="73"/>
        <v>0</v>
      </c>
      <c r="T1042" s="913">
        <f t="shared" si="74"/>
        <v>0</v>
      </c>
      <c r="U1042" s="914">
        <f t="shared" si="75"/>
        <v>1</v>
      </c>
      <c r="V1042" s="612"/>
      <c r="W1042" s="612"/>
      <c r="X1042" s="612"/>
      <c r="Y1042" s="612"/>
      <c r="Z1042" s="612"/>
      <c r="AA1042" s="612"/>
      <c r="AB1042" s="612"/>
      <c r="AC1042" s="612"/>
    </row>
    <row r="1043" spans="1:30">
      <c r="A1043" s="48" t="s">
        <v>5795</v>
      </c>
      <c r="B1043" s="60">
        <v>45621</v>
      </c>
      <c r="C1043" s="54" t="s">
        <v>172</v>
      </c>
      <c r="D1043" s="435" t="str">
        <f>IFERROR(VLOOKUP(C1043,Mychart!$A$125:$B$811,2,FALSE),"-")</f>
        <v>BEST CHOICE INDUSTRIES LLC</v>
      </c>
      <c r="E1043" s="295" t="s">
        <v>5797</v>
      </c>
      <c r="F1043" s="58">
        <v>1</v>
      </c>
      <c r="G1043" s="58"/>
      <c r="H1043" s="58">
        <v>953</v>
      </c>
      <c r="I1043" s="58">
        <v>47.650000000000006</v>
      </c>
      <c r="J1043" s="56">
        <v>81954</v>
      </c>
      <c r="K1043" s="56" t="s">
        <v>274</v>
      </c>
      <c r="L1043" s="292">
        <v>242</v>
      </c>
      <c r="M1043" s="292"/>
      <c r="N1043" s="358"/>
      <c r="O1043" s="292"/>
      <c r="P1043" s="292"/>
      <c r="Q1043" s="614"/>
      <c r="R1043" s="913">
        <f t="shared" si="72"/>
        <v>0</v>
      </c>
      <c r="S1043" s="913">
        <f t="shared" si="73"/>
        <v>0</v>
      </c>
      <c r="T1043" s="913">
        <f t="shared" si="74"/>
        <v>0</v>
      </c>
      <c r="U1043" s="914">
        <f t="shared" si="75"/>
        <v>1</v>
      </c>
      <c r="V1043" s="612"/>
      <c r="W1043" s="612"/>
      <c r="X1043" s="612"/>
      <c r="Y1043" s="612"/>
      <c r="Z1043" s="612"/>
      <c r="AA1043" s="612"/>
      <c r="AB1043" s="612"/>
      <c r="AC1043" s="612"/>
    </row>
    <row r="1044" spans="1:30">
      <c r="A1044" s="48" t="s">
        <v>5795</v>
      </c>
      <c r="B1044" s="60">
        <v>45621</v>
      </c>
      <c r="C1044" s="54" t="s">
        <v>172</v>
      </c>
      <c r="D1044" s="435" t="str">
        <f>IFERROR(VLOOKUP(C1044,Mychart!$A$125:$B$811,2,FALSE),"-")</f>
        <v>BEST CHOICE INDUSTRIES LLC</v>
      </c>
      <c r="E1044" s="295" t="s">
        <v>5798</v>
      </c>
      <c r="F1044" s="58">
        <v>1</v>
      </c>
      <c r="G1044" s="58">
        <v>0</v>
      </c>
      <c r="H1044" s="58">
        <v>953</v>
      </c>
      <c r="I1044" s="58">
        <v>47.650000000000006</v>
      </c>
      <c r="J1044" s="56">
        <v>81954</v>
      </c>
      <c r="K1044" s="56" t="s">
        <v>274</v>
      </c>
      <c r="L1044" s="292">
        <v>242</v>
      </c>
      <c r="M1044" s="292"/>
      <c r="N1044" s="358"/>
      <c r="O1044" s="292"/>
      <c r="P1044" s="292"/>
      <c r="Q1044" s="614"/>
      <c r="R1044" s="913">
        <f t="shared" si="72"/>
        <v>0</v>
      </c>
      <c r="S1044" s="913">
        <f t="shared" si="73"/>
        <v>0</v>
      </c>
      <c r="T1044" s="913">
        <f t="shared" si="74"/>
        <v>0</v>
      </c>
      <c r="U1044" s="914">
        <f t="shared" si="75"/>
        <v>1</v>
      </c>
      <c r="V1044" s="612"/>
      <c r="W1044" s="612"/>
      <c r="X1044" s="612"/>
      <c r="Y1044" s="612"/>
      <c r="Z1044" s="612"/>
      <c r="AA1044" s="612"/>
      <c r="AB1044" s="612"/>
      <c r="AC1044" s="612"/>
    </row>
    <row r="1045" spans="1:30">
      <c r="A1045" s="48" t="s">
        <v>5795</v>
      </c>
      <c r="B1045" s="60">
        <v>45621</v>
      </c>
      <c r="C1045" s="54" t="s">
        <v>172</v>
      </c>
      <c r="D1045" s="435" t="str">
        <f>IFERROR(VLOOKUP(C1045,Mychart!$A$125:$B$811,2,FALSE),"-")</f>
        <v>BEST CHOICE INDUSTRIES LLC</v>
      </c>
      <c r="E1045" s="295" t="s">
        <v>5666</v>
      </c>
      <c r="F1045" s="58">
        <v>1</v>
      </c>
      <c r="G1045" s="58">
        <v>953</v>
      </c>
      <c r="H1045" s="58">
        <v>953</v>
      </c>
      <c r="I1045" s="58">
        <v>47.650000000000006</v>
      </c>
      <c r="J1045" s="56">
        <v>81954</v>
      </c>
      <c r="K1045" s="56" t="s">
        <v>274</v>
      </c>
      <c r="L1045" s="292">
        <v>242</v>
      </c>
      <c r="M1045" s="292" t="s">
        <v>6031</v>
      </c>
      <c r="N1045" s="358">
        <v>1000.01</v>
      </c>
      <c r="O1045" s="292"/>
      <c r="P1045" s="292"/>
      <c r="Q1045" s="614">
        <v>1000.65</v>
      </c>
      <c r="R1045" s="913">
        <f t="shared" si="72"/>
        <v>-1000.01</v>
      </c>
      <c r="S1045" s="913">
        <f t="shared" si="73"/>
        <v>0.63999999999998636</v>
      </c>
      <c r="T1045" s="913">
        <f t="shared" si="74"/>
        <v>1000.65</v>
      </c>
      <c r="U1045" s="914">
        <f t="shared" si="75"/>
        <v>1</v>
      </c>
      <c r="V1045" s="612"/>
      <c r="W1045" s="612"/>
      <c r="X1045" s="612"/>
      <c r="Y1045" s="612"/>
      <c r="Z1045" s="612"/>
      <c r="AA1045" s="612"/>
      <c r="AB1045" s="612"/>
      <c r="AC1045" s="612"/>
      <c r="AD1045" s="930">
        <v>45633.466747685183</v>
      </c>
    </row>
    <row r="1046" spans="1:30">
      <c r="A1046" s="48" t="s">
        <v>5836</v>
      </c>
      <c r="B1046" s="60">
        <v>45622</v>
      </c>
      <c r="C1046" s="54" t="s">
        <v>172</v>
      </c>
      <c r="D1046" s="435" t="str">
        <f>IFERROR(VLOOKUP(C1046,Mychart!$A$125:$B$811,2,FALSE),"-")</f>
        <v>BEST CHOICE INDUSTRIES LLC</v>
      </c>
      <c r="E1046" s="295" t="s">
        <v>5837</v>
      </c>
      <c r="F1046" s="58"/>
      <c r="G1046" s="58">
        <v>4</v>
      </c>
      <c r="H1046" s="58">
        <v>1096</v>
      </c>
      <c r="I1046" s="58">
        <v>54.800000000000004</v>
      </c>
      <c r="J1046" s="56">
        <v>81961</v>
      </c>
      <c r="K1046" s="56" t="s">
        <v>275</v>
      </c>
      <c r="L1046" s="292">
        <v>262</v>
      </c>
      <c r="M1046" s="292"/>
      <c r="N1046" s="358"/>
      <c r="O1046" s="292"/>
      <c r="P1046" s="292"/>
      <c r="Q1046" s="614"/>
      <c r="R1046" s="913">
        <f t="shared" si="72"/>
        <v>0</v>
      </c>
      <c r="S1046" s="913">
        <f t="shared" si="73"/>
        <v>0</v>
      </c>
      <c r="T1046" s="913">
        <f t="shared" si="74"/>
        <v>0</v>
      </c>
      <c r="U1046" s="914">
        <f t="shared" si="75"/>
        <v>0</v>
      </c>
      <c r="V1046" s="612"/>
      <c r="W1046" s="612"/>
      <c r="X1046" s="612"/>
      <c r="Y1046" s="612"/>
      <c r="Z1046" s="612"/>
      <c r="AA1046" s="612"/>
      <c r="AB1046" s="612"/>
      <c r="AC1046" s="612"/>
    </row>
    <row r="1047" spans="1:30">
      <c r="A1047" s="48" t="s">
        <v>5836</v>
      </c>
      <c r="B1047" s="60">
        <v>45622</v>
      </c>
      <c r="C1047" s="54" t="s">
        <v>172</v>
      </c>
      <c r="D1047" s="435" t="str">
        <f>IFERROR(VLOOKUP(C1047,Mychart!$A$125:$B$811,2,FALSE),"-")</f>
        <v>BEST CHOICE INDUSTRIES LLC</v>
      </c>
      <c r="E1047" s="295" t="s">
        <v>5838</v>
      </c>
      <c r="F1047" s="58"/>
      <c r="G1047" s="58">
        <v>4</v>
      </c>
      <c r="H1047" s="58">
        <v>1096</v>
      </c>
      <c r="I1047" s="58">
        <v>54.800000000000004</v>
      </c>
      <c r="J1047" s="56">
        <v>81961</v>
      </c>
      <c r="K1047" s="56" t="s">
        <v>275</v>
      </c>
      <c r="L1047" s="292">
        <v>262</v>
      </c>
      <c r="M1047" s="292"/>
      <c r="N1047" s="358"/>
      <c r="O1047" s="292"/>
      <c r="P1047" s="292"/>
      <c r="Q1047" s="614"/>
      <c r="R1047" s="913">
        <f t="shared" si="72"/>
        <v>0</v>
      </c>
      <c r="S1047" s="913">
        <f t="shared" si="73"/>
        <v>0</v>
      </c>
      <c r="T1047" s="913">
        <f t="shared" si="74"/>
        <v>0</v>
      </c>
      <c r="U1047" s="914">
        <f t="shared" si="75"/>
        <v>0</v>
      </c>
      <c r="V1047" s="612"/>
      <c r="W1047" s="612"/>
      <c r="X1047" s="612"/>
      <c r="Y1047" s="612"/>
      <c r="Z1047" s="612"/>
      <c r="AA1047" s="612"/>
      <c r="AB1047" s="612"/>
      <c r="AC1047" s="612"/>
    </row>
    <row r="1048" spans="1:30">
      <c r="A1048" s="48" t="s">
        <v>5836</v>
      </c>
      <c r="B1048" s="60">
        <v>45622</v>
      </c>
      <c r="C1048" s="54" t="s">
        <v>172</v>
      </c>
      <c r="D1048" s="435" t="str">
        <f>IFERROR(VLOOKUP(C1048,Mychart!$A$125:$B$811,2,FALSE),"-")</f>
        <v>BEST CHOICE INDUSTRIES LLC</v>
      </c>
      <c r="E1048" s="295" t="s">
        <v>5839</v>
      </c>
      <c r="F1048" s="58"/>
      <c r="G1048" s="58">
        <v>2</v>
      </c>
      <c r="H1048" s="58">
        <v>1096</v>
      </c>
      <c r="I1048" s="58">
        <v>54.800000000000004</v>
      </c>
      <c r="J1048" s="56">
        <v>81961</v>
      </c>
      <c r="K1048" s="56" t="s">
        <v>275</v>
      </c>
      <c r="L1048" s="292">
        <v>262</v>
      </c>
      <c r="M1048" s="292"/>
      <c r="N1048" s="358"/>
      <c r="O1048" s="292"/>
      <c r="P1048" s="292"/>
      <c r="Q1048" s="614"/>
      <c r="R1048" s="913">
        <f t="shared" si="72"/>
        <v>0</v>
      </c>
      <c r="S1048" s="913">
        <f t="shared" si="73"/>
        <v>0</v>
      </c>
      <c r="T1048" s="913">
        <f t="shared" si="74"/>
        <v>0</v>
      </c>
      <c r="U1048" s="914">
        <f t="shared" si="75"/>
        <v>0</v>
      </c>
      <c r="V1048" s="612"/>
      <c r="W1048" s="612"/>
      <c r="X1048" s="612"/>
      <c r="Y1048" s="612"/>
      <c r="Z1048" s="612"/>
      <c r="AA1048" s="612"/>
      <c r="AB1048" s="612"/>
      <c r="AC1048" s="612"/>
    </row>
    <row r="1049" spans="1:30">
      <c r="A1049" s="48" t="s">
        <v>5836</v>
      </c>
      <c r="B1049" s="60">
        <v>45622</v>
      </c>
      <c r="C1049" s="54" t="s">
        <v>172</v>
      </c>
      <c r="D1049" s="435" t="str">
        <f>IFERROR(VLOOKUP(C1049,Mychart!$A$125:$B$811,2,FALSE),"-")</f>
        <v>BEST CHOICE INDUSTRIES LLC</v>
      </c>
      <c r="E1049" s="295" t="s">
        <v>5840</v>
      </c>
      <c r="F1049" s="58"/>
      <c r="G1049" s="58">
        <v>2</v>
      </c>
      <c r="H1049" s="58">
        <v>1096</v>
      </c>
      <c r="I1049" s="58">
        <v>54.800000000000004</v>
      </c>
      <c r="J1049" s="56">
        <v>81961</v>
      </c>
      <c r="K1049" s="56" t="s">
        <v>275</v>
      </c>
      <c r="L1049" s="292">
        <v>262</v>
      </c>
      <c r="M1049" s="292"/>
      <c r="N1049" s="358"/>
      <c r="O1049" s="292"/>
      <c r="P1049" s="292"/>
      <c r="Q1049" s="614"/>
      <c r="R1049" s="913">
        <f t="shared" si="72"/>
        <v>0</v>
      </c>
      <c r="S1049" s="913">
        <f t="shared" si="73"/>
        <v>0</v>
      </c>
      <c r="T1049" s="913">
        <f t="shared" si="74"/>
        <v>0</v>
      </c>
      <c r="U1049" s="914">
        <f t="shared" si="75"/>
        <v>0</v>
      </c>
      <c r="V1049" s="612"/>
      <c r="W1049" s="612"/>
      <c r="X1049" s="612"/>
      <c r="Y1049" s="612"/>
      <c r="Z1049" s="612"/>
      <c r="AA1049" s="612"/>
      <c r="AB1049" s="612"/>
      <c r="AC1049" s="612"/>
    </row>
    <row r="1050" spans="1:30">
      <c r="A1050" s="48" t="s">
        <v>5836</v>
      </c>
      <c r="B1050" s="60">
        <v>45622</v>
      </c>
      <c r="C1050" s="54" t="s">
        <v>172</v>
      </c>
      <c r="D1050" s="435" t="str">
        <f>IFERROR(VLOOKUP(C1050,Mychart!$A$125:$B$811,2,FALSE),"-")</f>
        <v>BEST CHOICE INDUSTRIES LLC</v>
      </c>
      <c r="E1050" s="295" t="s">
        <v>5841</v>
      </c>
      <c r="F1050" s="58"/>
      <c r="G1050" s="58">
        <v>10</v>
      </c>
      <c r="H1050" s="58">
        <v>1096</v>
      </c>
      <c r="I1050" s="58">
        <v>54.800000000000004</v>
      </c>
      <c r="J1050" s="56">
        <v>81961</v>
      </c>
      <c r="K1050" s="56" t="s">
        <v>275</v>
      </c>
      <c r="L1050" s="292">
        <v>262</v>
      </c>
      <c r="M1050" s="292"/>
      <c r="N1050" s="358"/>
      <c r="O1050" s="292"/>
      <c r="P1050" s="292"/>
      <c r="Q1050" s="614"/>
      <c r="R1050" s="913">
        <f t="shared" si="72"/>
        <v>0</v>
      </c>
      <c r="S1050" s="913">
        <f t="shared" si="73"/>
        <v>0</v>
      </c>
      <c r="T1050" s="913">
        <f t="shared" si="74"/>
        <v>0</v>
      </c>
      <c r="U1050" s="914">
        <f t="shared" si="75"/>
        <v>0</v>
      </c>
      <c r="V1050" s="612"/>
      <c r="W1050" s="612"/>
      <c r="X1050" s="612"/>
      <c r="Y1050" s="612"/>
      <c r="Z1050" s="612"/>
      <c r="AA1050" s="612"/>
      <c r="AB1050" s="612"/>
      <c r="AC1050" s="612"/>
    </row>
    <row r="1051" spans="1:30">
      <c r="A1051" s="48" t="s">
        <v>5836</v>
      </c>
      <c r="B1051" s="60">
        <v>45622</v>
      </c>
      <c r="C1051" s="54" t="s">
        <v>172</v>
      </c>
      <c r="D1051" s="435" t="str">
        <f>IFERROR(VLOOKUP(C1051,Mychart!$A$125:$B$811,2,FALSE),"-")</f>
        <v>BEST CHOICE INDUSTRIES LLC</v>
      </c>
      <c r="E1051" s="295" t="s">
        <v>5666</v>
      </c>
      <c r="F1051" s="58">
        <v>1</v>
      </c>
      <c r="G1051" s="58">
        <v>1096</v>
      </c>
      <c r="H1051" s="58">
        <v>1096</v>
      </c>
      <c r="I1051" s="58">
        <v>54.800000000000004</v>
      </c>
      <c r="J1051" s="56">
        <v>81961</v>
      </c>
      <c r="K1051" s="56" t="s">
        <v>275</v>
      </c>
      <c r="L1051" s="292">
        <v>262</v>
      </c>
      <c r="M1051" s="292" t="s">
        <v>6034</v>
      </c>
      <c r="N1051" s="358">
        <v>1150.1500000000001</v>
      </c>
      <c r="O1051" s="292"/>
      <c r="P1051" s="292"/>
      <c r="Q1051" s="614">
        <v>1150.8</v>
      </c>
      <c r="R1051" s="913">
        <f t="shared" si="72"/>
        <v>-1150.1500000000001</v>
      </c>
      <c r="S1051" s="913">
        <f t="shared" si="73"/>
        <v>0.64999999999986358</v>
      </c>
      <c r="T1051" s="913">
        <f t="shared" si="74"/>
        <v>1150.8</v>
      </c>
      <c r="U1051" s="914">
        <f t="shared" si="75"/>
        <v>1</v>
      </c>
      <c r="V1051" s="612"/>
      <c r="W1051" s="612"/>
      <c r="X1051" s="612"/>
      <c r="Y1051" s="612"/>
      <c r="Z1051" s="612"/>
      <c r="AA1051" s="612"/>
      <c r="AB1051" s="612"/>
      <c r="AC1051" s="612"/>
      <c r="AD1051" s="930">
        <v>45633.467407407406</v>
      </c>
    </row>
    <row r="1052" spans="1:30">
      <c r="A1052" s="48" t="s">
        <v>5843</v>
      </c>
      <c r="B1052" s="60">
        <v>45624</v>
      </c>
      <c r="C1052" s="54" t="s">
        <v>173</v>
      </c>
      <c r="D1052" s="435" t="str">
        <f>IFERROR(VLOOKUP(C1052,Mychart!$A$125:$B$811,2,FALSE),"-")</f>
        <v>BAB AL TABREED A/C UNITS FIX.CONT</v>
      </c>
      <c r="E1052" s="295" t="s">
        <v>5844</v>
      </c>
      <c r="F1052" s="58">
        <v>65</v>
      </c>
      <c r="G1052" s="58">
        <v>2.8</v>
      </c>
      <c r="H1052" s="58">
        <v>295.54000000000002</v>
      </c>
      <c r="I1052" s="58">
        <v>14.777000000000001</v>
      </c>
      <c r="J1052" s="56" t="s">
        <v>5845</v>
      </c>
      <c r="K1052" s="56" t="s">
        <v>269</v>
      </c>
      <c r="L1052" s="292">
        <v>256</v>
      </c>
      <c r="M1052" s="292"/>
      <c r="N1052" s="358"/>
      <c r="O1052" s="292"/>
      <c r="P1052" s="292"/>
      <c r="Q1052" s="614"/>
      <c r="R1052" s="913">
        <f t="shared" si="72"/>
        <v>0</v>
      </c>
      <c r="S1052" s="913">
        <f t="shared" si="73"/>
        <v>0</v>
      </c>
      <c r="T1052" s="913">
        <f t="shared" si="74"/>
        <v>0</v>
      </c>
      <c r="U1052" s="914">
        <f t="shared" si="75"/>
        <v>65</v>
      </c>
      <c r="V1052" s="612"/>
      <c r="W1052" s="612"/>
      <c r="X1052" s="612"/>
      <c r="Y1052" s="612"/>
      <c r="Z1052" s="612"/>
      <c r="AA1052" s="612"/>
      <c r="AB1052" s="612"/>
      <c r="AC1052" s="612"/>
    </row>
    <row r="1053" spans="1:30">
      <c r="A1053" s="48" t="s">
        <v>5843</v>
      </c>
      <c r="B1053" s="60">
        <v>45624</v>
      </c>
      <c r="C1053" s="54" t="s">
        <v>173</v>
      </c>
      <c r="D1053" s="435" t="str">
        <f>IFERROR(VLOOKUP(C1053,Mychart!$A$125:$B$811,2,FALSE),"-")</f>
        <v>BAB AL TABREED A/C UNITS FIX.CONT</v>
      </c>
      <c r="E1053" s="295" t="s">
        <v>5509</v>
      </c>
      <c r="F1053" s="58">
        <v>28.44</v>
      </c>
      <c r="G1053" s="58">
        <v>3.5</v>
      </c>
      <c r="H1053" s="58">
        <v>295.54000000000002</v>
      </c>
      <c r="I1053" s="58">
        <v>14.777000000000001</v>
      </c>
      <c r="J1053" s="56" t="s">
        <v>5845</v>
      </c>
      <c r="K1053" s="56" t="s">
        <v>269</v>
      </c>
      <c r="L1053" s="292">
        <v>256</v>
      </c>
      <c r="M1053" s="292"/>
      <c r="N1053" s="358"/>
      <c r="O1053" s="292"/>
      <c r="P1053" s="292"/>
      <c r="Q1053" s="614"/>
      <c r="R1053" s="913">
        <f t="shared" si="72"/>
        <v>0</v>
      </c>
      <c r="S1053" s="913">
        <f t="shared" si="73"/>
        <v>0</v>
      </c>
      <c r="T1053" s="913">
        <f t="shared" si="74"/>
        <v>0</v>
      </c>
      <c r="U1053" s="914">
        <f t="shared" si="75"/>
        <v>28.44</v>
      </c>
      <c r="V1053" s="612"/>
      <c r="W1053" s="612"/>
      <c r="X1053" s="612"/>
      <c r="Y1053" s="612"/>
      <c r="Z1053" s="612"/>
      <c r="AA1053" s="612"/>
      <c r="AB1053" s="612"/>
      <c r="AC1053" s="612"/>
    </row>
    <row r="1054" spans="1:30">
      <c r="A1054" s="48" t="s">
        <v>5843</v>
      </c>
      <c r="B1054" s="60">
        <v>45624</v>
      </c>
      <c r="C1054" s="54" t="s">
        <v>173</v>
      </c>
      <c r="D1054" s="435" t="str">
        <f>IFERROR(VLOOKUP(C1054,Mychart!$A$125:$B$811,2,FALSE),"-")</f>
        <v>BAB AL TABREED A/C UNITS FIX.CONT</v>
      </c>
      <c r="E1054" s="295" t="s">
        <v>986</v>
      </c>
      <c r="F1054" s="58">
        <v>4</v>
      </c>
      <c r="G1054" s="58">
        <v>3</v>
      </c>
      <c r="H1054" s="58">
        <v>295.54000000000002</v>
      </c>
      <c r="I1054" s="58">
        <v>14.777000000000001</v>
      </c>
      <c r="J1054" s="56" t="s">
        <v>5845</v>
      </c>
      <c r="K1054" s="56" t="s">
        <v>269</v>
      </c>
      <c r="L1054" s="292">
        <v>256</v>
      </c>
      <c r="M1054" s="292"/>
      <c r="N1054" s="358"/>
      <c r="O1054" s="292"/>
      <c r="P1054" s="292"/>
      <c r="Q1054" s="614"/>
      <c r="R1054" s="913">
        <f t="shared" si="72"/>
        <v>0</v>
      </c>
      <c r="S1054" s="913">
        <f t="shared" si="73"/>
        <v>0</v>
      </c>
      <c r="T1054" s="913">
        <f t="shared" si="74"/>
        <v>0</v>
      </c>
      <c r="U1054" s="914">
        <f t="shared" si="75"/>
        <v>4</v>
      </c>
      <c r="V1054" s="612"/>
      <c r="W1054" s="612"/>
      <c r="X1054" s="612"/>
      <c r="Y1054" s="612"/>
      <c r="Z1054" s="612"/>
      <c r="AA1054" s="612"/>
      <c r="AB1054" s="612"/>
      <c r="AC1054" s="612"/>
    </row>
    <row r="1055" spans="1:30">
      <c r="A1055" s="48" t="s">
        <v>5843</v>
      </c>
      <c r="B1055" s="60">
        <v>45624</v>
      </c>
      <c r="C1055" s="54" t="s">
        <v>173</v>
      </c>
      <c r="D1055" s="435" t="str">
        <f>IFERROR(VLOOKUP(C1055,Mychart!$A$125:$B$811,2,FALSE),"-")</f>
        <v>BAB AL TABREED A/C UNITS FIX.CONT</v>
      </c>
      <c r="E1055" s="295" t="s">
        <v>987</v>
      </c>
      <c r="F1055" s="58">
        <v>1</v>
      </c>
      <c r="G1055" s="58">
        <v>2</v>
      </c>
      <c r="H1055" s="58">
        <v>295.54000000000002</v>
      </c>
      <c r="I1055" s="58">
        <v>14.777000000000001</v>
      </c>
      <c r="J1055" s="56" t="s">
        <v>5845</v>
      </c>
      <c r="K1055" s="56" t="s">
        <v>269</v>
      </c>
      <c r="L1055" s="292">
        <v>256</v>
      </c>
      <c r="M1055" s="292"/>
      <c r="N1055" s="358"/>
      <c r="O1055" s="292"/>
      <c r="P1055" s="292"/>
      <c r="Q1055" s="614"/>
      <c r="R1055" s="913">
        <f t="shared" si="72"/>
        <v>0</v>
      </c>
      <c r="S1055" s="913">
        <f t="shared" si="73"/>
        <v>0</v>
      </c>
      <c r="T1055" s="913">
        <f t="shared" si="74"/>
        <v>0</v>
      </c>
      <c r="U1055" s="914">
        <f t="shared" si="75"/>
        <v>1</v>
      </c>
      <c r="V1055" s="612"/>
      <c r="W1055" s="612"/>
      <c r="X1055" s="612"/>
      <c r="Y1055" s="612"/>
      <c r="Z1055" s="612"/>
      <c r="AA1055" s="612"/>
      <c r="AB1055" s="612"/>
      <c r="AC1055" s="612"/>
    </row>
    <row r="1056" spans="1:30">
      <c r="A1056" s="48" t="s">
        <v>5843</v>
      </c>
      <c r="B1056" s="60">
        <v>45624</v>
      </c>
      <c r="C1056" s="54" t="s">
        <v>173</v>
      </c>
      <c r="D1056" s="435" t="str">
        <f>IFERROR(VLOOKUP(C1056,Mychart!$A$125:$B$811,2,FALSE),"-")</f>
        <v>BAB AL TABREED A/C UNITS FIX.CONT</v>
      </c>
      <c r="E1056" s="295" t="s">
        <v>5666</v>
      </c>
      <c r="F1056" s="58"/>
      <c r="G1056" s="58"/>
      <c r="H1056" s="58">
        <v>295.54000000000002</v>
      </c>
      <c r="I1056" s="58">
        <v>14.777000000000001</v>
      </c>
      <c r="J1056" s="56" t="s">
        <v>5845</v>
      </c>
      <c r="K1056" s="56" t="s">
        <v>269</v>
      </c>
      <c r="L1056" s="292">
        <v>256</v>
      </c>
      <c r="M1056" s="292" t="s">
        <v>6116</v>
      </c>
      <c r="N1056" s="358">
        <v>310.31700000000001</v>
      </c>
      <c r="O1056" s="292"/>
      <c r="P1056" s="292"/>
      <c r="Q1056" s="614">
        <v>310.31700000000001</v>
      </c>
      <c r="R1056" s="913">
        <f t="shared" si="72"/>
        <v>-310.31700000000001</v>
      </c>
      <c r="S1056" s="913">
        <f t="shared" si="73"/>
        <v>0</v>
      </c>
      <c r="T1056" s="913">
        <f t="shared" si="74"/>
        <v>310.31700000000001</v>
      </c>
      <c r="U1056" s="914">
        <f t="shared" si="75"/>
        <v>0</v>
      </c>
      <c r="V1056" s="612"/>
      <c r="W1056" s="612"/>
      <c r="X1056" s="612"/>
      <c r="Y1056" s="612"/>
      <c r="Z1056" s="612"/>
      <c r="AA1056" s="612"/>
      <c r="AB1056" s="612"/>
      <c r="AC1056" s="612"/>
      <c r="AD1056" s="930">
        <v>45635.622013888889</v>
      </c>
    </row>
    <row r="1057" spans="1:30">
      <c r="A1057" s="48" t="s">
        <v>5867</v>
      </c>
      <c r="B1057" s="60">
        <v>45624</v>
      </c>
      <c r="C1057" s="54" t="s">
        <v>173</v>
      </c>
      <c r="D1057" s="435" t="str">
        <f>IFERROR(VLOOKUP(C1057,Mychart!$A$125:$B$811,2,FALSE),"-")</f>
        <v>BAB AL TABREED A/C UNITS FIX.CONT</v>
      </c>
      <c r="E1057" s="295" t="s">
        <v>5844</v>
      </c>
      <c r="F1057" s="58">
        <v>45.25</v>
      </c>
      <c r="G1057" s="58">
        <v>2.8</v>
      </c>
      <c r="H1057" s="58">
        <v>133.69999999999999</v>
      </c>
      <c r="I1057" s="58">
        <v>6.6849999999999996</v>
      </c>
      <c r="J1057" s="56" t="s">
        <v>5868</v>
      </c>
      <c r="K1057" s="56" t="s">
        <v>158</v>
      </c>
      <c r="L1057" s="292">
        <v>241</v>
      </c>
      <c r="M1057" s="292"/>
      <c r="N1057" s="358"/>
      <c r="O1057" s="292"/>
      <c r="P1057" s="292"/>
      <c r="Q1057" s="614"/>
      <c r="R1057" s="913">
        <f t="shared" si="72"/>
        <v>0</v>
      </c>
      <c r="S1057" s="913">
        <f t="shared" si="73"/>
        <v>0</v>
      </c>
      <c r="T1057" s="913">
        <f t="shared" si="74"/>
        <v>0</v>
      </c>
      <c r="U1057" s="914">
        <f t="shared" si="75"/>
        <v>45.25</v>
      </c>
      <c r="V1057" s="612"/>
      <c r="W1057" s="612"/>
      <c r="X1057" s="612"/>
      <c r="Y1057" s="612"/>
      <c r="Z1057" s="612"/>
      <c r="AA1057" s="612"/>
      <c r="AB1057" s="612"/>
      <c r="AC1057" s="612"/>
    </row>
    <row r="1058" spans="1:30">
      <c r="A1058" s="48" t="s">
        <v>5867</v>
      </c>
      <c r="B1058" s="60">
        <v>45624</v>
      </c>
      <c r="C1058" s="54" t="s">
        <v>173</v>
      </c>
      <c r="D1058" s="435" t="str">
        <f>IFERROR(VLOOKUP(C1058,Mychart!$A$125:$B$811,2,FALSE),"-")</f>
        <v>BAB AL TABREED A/C UNITS FIX.CONT</v>
      </c>
      <c r="E1058" s="295" t="s">
        <v>986</v>
      </c>
      <c r="F1058" s="58">
        <v>1</v>
      </c>
      <c r="G1058" s="58">
        <v>3</v>
      </c>
      <c r="H1058" s="58">
        <v>133.69999999999999</v>
      </c>
      <c r="I1058" s="58">
        <v>6.6849999999999996</v>
      </c>
      <c r="J1058" s="56" t="s">
        <v>5868</v>
      </c>
      <c r="K1058" s="56" t="s">
        <v>158</v>
      </c>
      <c r="L1058" s="292">
        <v>241</v>
      </c>
      <c r="M1058" s="292"/>
      <c r="N1058" s="358"/>
      <c r="O1058" s="292"/>
      <c r="P1058" s="292"/>
      <c r="Q1058" s="614"/>
      <c r="R1058" s="913">
        <f t="shared" si="72"/>
        <v>0</v>
      </c>
      <c r="S1058" s="913">
        <f t="shared" si="73"/>
        <v>0</v>
      </c>
      <c r="T1058" s="913">
        <f t="shared" si="74"/>
        <v>0</v>
      </c>
      <c r="U1058" s="914">
        <f t="shared" si="75"/>
        <v>1</v>
      </c>
      <c r="V1058" s="612"/>
      <c r="W1058" s="612"/>
      <c r="X1058" s="612"/>
      <c r="Y1058" s="612"/>
      <c r="Z1058" s="612"/>
      <c r="AA1058" s="612"/>
      <c r="AB1058" s="612"/>
      <c r="AC1058" s="612"/>
    </row>
    <row r="1059" spans="1:30">
      <c r="A1059" s="48" t="s">
        <v>5867</v>
      </c>
      <c r="B1059" s="60">
        <v>45624</v>
      </c>
      <c r="C1059" s="54" t="s">
        <v>173</v>
      </c>
      <c r="D1059" s="435" t="str">
        <f>IFERROR(VLOOKUP(C1059,Mychart!$A$125:$B$811,2,FALSE),"-")</f>
        <v>BAB AL TABREED A/C UNITS FIX.CONT</v>
      </c>
      <c r="E1059" s="295" t="s">
        <v>987</v>
      </c>
      <c r="F1059" s="58">
        <v>2</v>
      </c>
      <c r="G1059" s="58">
        <v>2</v>
      </c>
      <c r="H1059" s="58">
        <v>133.69999999999999</v>
      </c>
      <c r="I1059" s="58">
        <v>6.6849999999999996</v>
      </c>
      <c r="J1059" s="56" t="s">
        <v>5868</v>
      </c>
      <c r="K1059" s="56" t="s">
        <v>158</v>
      </c>
      <c r="L1059" s="292">
        <v>241</v>
      </c>
      <c r="M1059" s="292"/>
      <c r="N1059" s="358"/>
      <c r="O1059" s="292"/>
      <c r="P1059" s="292"/>
      <c r="Q1059" s="614"/>
      <c r="R1059" s="913">
        <f t="shared" si="72"/>
        <v>0</v>
      </c>
      <c r="S1059" s="913">
        <f t="shared" si="73"/>
        <v>0</v>
      </c>
      <c r="T1059" s="913">
        <f t="shared" si="74"/>
        <v>0</v>
      </c>
      <c r="U1059" s="914">
        <f t="shared" si="75"/>
        <v>2</v>
      </c>
      <c r="V1059" s="612"/>
      <c r="W1059" s="612"/>
      <c r="X1059" s="612"/>
      <c r="Y1059" s="612"/>
      <c r="Z1059" s="612"/>
      <c r="AA1059" s="612"/>
      <c r="AB1059" s="612"/>
      <c r="AC1059" s="612"/>
    </row>
    <row r="1060" spans="1:30">
      <c r="A1060" s="48" t="s">
        <v>5867</v>
      </c>
      <c r="B1060" s="60">
        <v>45624</v>
      </c>
      <c r="C1060" s="54" t="s">
        <v>173</v>
      </c>
      <c r="D1060" s="435" t="str">
        <f>IFERROR(VLOOKUP(C1060,Mychart!$A$125:$B$811,2,FALSE),"-")</f>
        <v>BAB AL TABREED A/C UNITS FIX.CONT</v>
      </c>
      <c r="E1060" s="295" t="s">
        <v>5666</v>
      </c>
      <c r="F1060" s="58">
        <v>0</v>
      </c>
      <c r="G1060" s="58">
        <v>0</v>
      </c>
      <c r="H1060" s="58">
        <v>133.69999999999999</v>
      </c>
      <c r="I1060" s="58">
        <v>6.6849999999999996</v>
      </c>
      <c r="J1060" s="56" t="s">
        <v>5868</v>
      </c>
      <c r="K1060" s="56" t="s">
        <v>158</v>
      </c>
      <c r="L1060" s="292">
        <v>241</v>
      </c>
      <c r="M1060" s="292" t="s">
        <v>6117</v>
      </c>
      <c r="N1060" s="358">
        <v>140.38499999999999</v>
      </c>
      <c r="O1060" s="292"/>
      <c r="P1060" s="292"/>
      <c r="Q1060" s="614">
        <v>140.38499999999999</v>
      </c>
      <c r="R1060" s="913">
        <f t="shared" si="72"/>
        <v>-140.38499999999999</v>
      </c>
      <c r="S1060" s="913">
        <f t="shared" si="73"/>
        <v>0</v>
      </c>
      <c r="T1060" s="913">
        <f t="shared" si="74"/>
        <v>140.38499999999999</v>
      </c>
      <c r="U1060" s="914">
        <f t="shared" si="75"/>
        <v>0</v>
      </c>
      <c r="V1060" s="612"/>
      <c r="W1060" s="612"/>
      <c r="X1060" s="612"/>
      <c r="Y1060" s="612"/>
      <c r="Z1060" s="612"/>
      <c r="AA1060" s="612"/>
      <c r="AB1060" s="612"/>
      <c r="AC1060" s="612"/>
      <c r="AD1060" s="930">
        <v>45635.622013888889</v>
      </c>
    </row>
    <row r="1061" spans="1:30">
      <c r="A1061" s="48" t="s">
        <v>5869</v>
      </c>
      <c r="B1061" s="60">
        <v>45624</v>
      </c>
      <c r="C1061" s="54" t="s">
        <v>173</v>
      </c>
      <c r="D1061" s="435" t="str">
        <f>IFERROR(VLOOKUP(C1061,Mychart!$A$125:$B$811,2,FALSE),"-")</f>
        <v>BAB AL TABREED A/C UNITS FIX.CONT</v>
      </c>
      <c r="E1061" s="295" t="s">
        <v>5844</v>
      </c>
      <c r="F1061" s="58">
        <v>36.1</v>
      </c>
      <c r="G1061" s="58">
        <v>2.8</v>
      </c>
      <c r="H1061" s="58">
        <v>101.08</v>
      </c>
      <c r="I1061" s="58">
        <v>5.0540000000000003</v>
      </c>
      <c r="J1061" s="56" t="s">
        <v>5870</v>
      </c>
      <c r="K1061" s="56" t="s">
        <v>275</v>
      </c>
      <c r="L1061" s="292">
        <v>262</v>
      </c>
      <c r="M1061" s="292"/>
      <c r="N1061" s="358"/>
      <c r="O1061" s="292"/>
      <c r="P1061" s="292"/>
      <c r="Q1061" s="614"/>
      <c r="R1061" s="913">
        <f t="shared" si="72"/>
        <v>0</v>
      </c>
      <c r="S1061" s="913">
        <f t="shared" si="73"/>
        <v>0</v>
      </c>
      <c r="T1061" s="913">
        <f t="shared" si="74"/>
        <v>0</v>
      </c>
      <c r="U1061" s="914">
        <f t="shared" si="75"/>
        <v>36.1</v>
      </c>
      <c r="V1061" s="612"/>
      <c r="W1061" s="612"/>
      <c r="X1061" s="612"/>
      <c r="Y1061" s="612"/>
      <c r="Z1061" s="612"/>
      <c r="AA1061" s="612"/>
      <c r="AB1061" s="612"/>
      <c r="AC1061" s="612"/>
    </row>
    <row r="1062" spans="1:30">
      <c r="A1062" s="48" t="s">
        <v>5869</v>
      </c>
      <c r="B1062" s="60">
        <v>45624</v>
      </c>
      <c r="C1062" s="54" t="s">
        <v>173</v>
      </c>
      <c r="D1062" s="435" t="str">
        <f>IFERROR(VLOOKUP(C1062,Mychart!$A$125:$B$811,2,FALSE),"-")</f>
        <v>BAB AL TABREED A/C UNITS FIX.CONT</v>
      </c>
      <c r="E1062" s="295" t="s">
        <v>5666</v>
      </c>
      <c r="F1062" s="58">
        <v>0</v>
      </c>
      <c r="G1062" s="58">
        <v>0</v>
      </c>
      <c r="H1062" s="58">
        <v>101.08</v>
      </c>
      <c r="I1062" s="58">
        <v>5.0540000000000003</v>
      </c>
      <c r="J1062" s="56" t="s">
        <v>5870</v>
      </c>
      <c r="K1062" s="56" t="s">
        <v>275</v>
      </c>
      <c r="L1062" s="292">
        <v>262</v>
      </c>
      <c r="M1062" s="292" t="s">
        <v>6118</v>
      </c>
      <c r="N1062" s="358">
        <v>106.134</v>
      </c>
      <c r="O1062" s="292"/>
      <c r="P1062" s="292"/>
      <c r="Q1062" s="614">
        <v>106.134</v>
      </c>
      <c r="R1062" s="913">
        <f t="shared" si="72"/>
        <v>-106.134</v>
      </c>
      <c r="S1062" s="913">
        <f t="shared" si="73"/>
        <v>0</v>
      </c>
      <c r="T1062" s="913">
        <f t="shared" si="74"/>
        <v>106.134</v>
      </c>
      <c r="U1062" s="914">
        <f t="shared" si="75"/>
        <v>0</v>
      </c>
      <c r="V1062" s="612"/>
      <c r="W1062" s="612"/>
      <c r="X1062" s="612"/>
      <c r="Y1062" s="612"/>
      <c r="Z1062" s="612"/>
      <c r="AA1062" s="612"/>
      <c r="AB1062" s="612"/>
      <c r="AC1062" s="612"/>
      <c r="AD1062" s="930">
        <v>45635.622013888889</v>
      </c>
    </row>
    <row r="1063" spans="1:30">
      <c r="A1063" s="48" t="s">
        <v>5880</v>
      </c>
      <c r="B1063" s="60">
        <v>45626</v>
      </c>
      <c r="C1063" s="54" t="s">
        <v>173</v>
      </c>
      <c r="D1063" s="435" t="str">
        <f>IFERROR(VLOOKUP(C1063,Mychart!$A$125:$B$811,2,FALSE),"-")</f>
        <v>BAB AL TABREED A/C UNITS FIX.CONT</v>
      </c>
      <c r="E1063" s="295" t="s">
        <v>5916</v>
      </c>
      <c r="F1063" s="58">
        <v>12.2</v>
      </c>
      <c r="G1063" s="58">
        <v>2.8</v>
      </c>
      <c r="H1063" s="58">
        <v>2905.0810000000001</v>
      </c>
      <c r="I1063" s="58">
        <v>145.25405000000001</v>
      </c>
      <c r="J1063" s="56" t="s">
        <v>5924</v>
      </c>
      <c r="K1063" s="56" t="s">
        <v>5610</v>
      </c>
      <c r="L1063" s="292">
        <v>293</v>
      </c>
      <c r="M1063" s="292"/>
      <c r="N1063" s="358"/>
      <c r="O1063" s="292"/>
      <c r="P1063" s="292"/>
      <c r="Q1063" s="614"/>
      <c r="R1063" s="913">
        <f t="shared" si="72"/>
        <v>0</v>
      </c>
      <c r="S1063" s="913">
        <f t="shared" si="73"/>
        <v>0</v>
      </c>
      <c r="T1063" s="913">
        <f t="shared" si="74"/>
        <v>0</v>
      </c>
      <c r="U1063" s="914">
        <f t="shared" si="75"/>
        <v>12.2</v>
      </c>
      <c r="V1063" s="612"/>
      <c r="W1063" s="612"/>
      <c r="X1063" s="612"/>
      <c r="Y1063" s="612"/>
      <c r="Z1063" s="612"/>
      <c r="AA1063" s="612"/>
      <c r="AB1063" s="612"/>
      <c r="AC1063" s="612"/>
    </row>
    <row r="1064" spans="1:30">
      <c r="A1064" s="48" t="s">
        <v>5880</v>
      </c>
      <c r="B1064" s="60">
        <v>45626</v>
      </c>
      <c r="C1064" s="54" t="s">
        <v>173</v>
      </c>
      <c r="D1064" s="435" t="str">
        <f>IFERROR(VLOOKUP(C1064,Mychart!$A$125:$B$811,2,FALSE),"-")</f>
        <v>BAB AL TABREED A/C UNITS FIX.CONT</v>
      </c>
      <c r="E1064" s="295" t="s">
        <v>5509</v>
      </c>
      <c r="F1064" s="58">
        <v>26</v>
      </c>
      <c r="G1064" s="58">
        <v>3.5</v>
      </c>
      <c r="H1064" s="58">
        <v>2905.0810000000001</v>
      </c>
      <c r="I1064" s="58">
        <v>145.25405000000001</v>
      </c>
      <c r="J1064" s="56" t="s">
        <v>5924</v>
      </c>
      <c r="K1064" s="56" t="s">
        <v>5610</v>
      </c>
      <c r="L1064" s="292">
        <v>293</v>
      </c>
      <c r="M1064" s="292"/>
      <c r="N1064" s="358"/>
      <c r="O1064" s="292"/>
      <c r="P1064" s="292"/>
      <c r="Q1064" s="614"/>
      <c r="R1064" s="913">
        <f t="shared" si="72"/>
        <v>0</v>
      </c>
      <c r="S1064" s="913">
        <f t="shared" si="73"/>
        <v>0</v>
      </c>
      <c r="T1064" s="913">
        <f t="shared" si="74"/>
        <v>0</v>
      </c>
      <c r="U1064" s="914">
        <f t="shared" si="75"/>
        <v>26</v>
      </c>
      <c r="V1064" s="612"/>
      <c r="W1064" s="612"/>
      <c r="X1064" s="612"/>
      <c r="Y1064" s="612"/>
      <c r="Z1064" s="612"/>
      <c r="AA1064" s="612"/>
      <c r="AB1064" s="612"/>
      <c r="AC1064" s="612"/>
    </row>
    <row r="1065" spans="1:30">
      <c r="A1065" s="48" t="s">
        <v>5880</v>
      </c>
      <c r="B1065" s="60">
        <v>45626</v>
      </c>
      <c r="C1065" s="54" t="s">
        <v>173</v>
      </c>
      <c r="D1065" s="435" t="str">
        <f>IFERROR(VLOOKUP(C1065,Mychart!$A$125:$B$811,2,FALSE),"-")</f>
        <v>BAB AL TABREED A/C UNITS FIX.CONT</v>
      </c>
      <c r="E1065" s="295" t="s">
        <v>5917</v>
      </c>
      <c r="F1065" s="58">
        <v>492</v>
      </c>
      <c r="G1065" s="58">
        <v>4.5</v>
      </c>
      <c r="H1065" s="58">
        <v>2905.0810000000001</v>
      </c>
      <c r="I1065" s="58">
        <v>145.25405000000001</v>
      </c>
      <c r="J1065" s="56" t="s">
        <v>5924</v>
      </c>
      <c r="K1065" s="56" t="s">
        <v>5610</v>
      </c>
      <c r="L1065" s="292">
        <v>293</v>
      </c>
      <c r="M1065" s="292"/>
      <c r="N1065" s="358"/>
      <c r="O1065" s="292"/>
      <c r="P1065" s="292"/>
      <c r="Q1065" s="614"/>
      <c r="R1065" s="913">
        <f t="shared" ref="R1065:R1128" si="80">O1065-N1065</f>
        <v>0</v>
      </c>
      <c r="S1065" s="913">
        <f t="shared" ref="S1065:S1128" si="81">Q1065-N1065</f>
        <v>0</v>
      </c>
      <c r="T1065" s="913">
        <f t="shared" ref="T1065:T1128" si="82">Q1065-O1065</f>
        <v>0</v>
      </c>
      <c r="U1065" s="914">
        <f t="shared" ref="U1065:U1128" si="83">F1065-P1065</f>
        <v>492</v>
      </c>
      <c r="V1065" s="612"/>
      <c r="W1065" s="612"/>
      <c r="X1065" s="612"/>
      <c r="Y1065" s="612"/>
      <c r="Z1065" s="612"/>
      <c r="AA1065" s="612"/>
      <c r="AB1065" s="612"/>
      <c r="AC1065" s="612"/>
    </row>
    <row r="1066" spans="1:30">
      <c r="A1066" s="48" t="s">
        <v>5880</v>
      </c>
      <c r="B1066" s="60">
        <v>45626</v>
      </c>
      <c r="C1066" s="54" t="s">
        <v>173</v>
      </c>
      <c r="D1066" s="435" t="str">
        <f>IFERROR(VLOOKUP(C1066,Mychart!$A$125:$B$811,2,FALSE),"-")</f>
        <v>BAB AL TABREED A/C UNITS FIX.CONT</v>
      </c>
      <c r="E1066" s="295" t="s">
        <v>5919</v>
      </c>
      <c r="F1066" s="58">
        <v>133.37</v>
      </c>
      <c r="G1066" s="58">
        <v>3.3</v>
      </c>
      <c r="H1066" s="58">
        <v>2905.0810000000001</v>
      </c>
      <c r="I1066" s="58">
        <v>145.25405000000001</v>
      </c>
      <c r="J1066" s="56" t="s">
        <v>5924</v>
      </c>
      <c r="K1066" s="56" t="s">
        <v>5610</v>
      </c>
      <c r="L1066" s="292">
        <v>293</v>
      </c>
      <c r="M1066" s="292"/>
      <c r="N1066" s="358"/>
      <c r="O1066" s="292"/>
      <c r="P1066" s="292"/>
      <c r="Q1066" s="614"/>
      <c r="R1066" s="913">
        <f t="shared" si="80"/>
        <v>0</v>
      </c>
      <c r="S1066" s="913">
        <f t="shared" si="81"/>
        <v>0</v>
      </c>
      <c r="T1066" s="913">
        <f t="shared" si="82"/>
        <v>0</v>
      </c>
      <c r="U1066" s="914">
        <f t="shared" si="83"/>
        <v>133.37</v>
      </c>
      <c r="V1066" s="612"/>
      <c r="W1066" s="612"/>
      <c r="X1066" s="612"/>
      <c r="Y1066" s="612"/>
      <c r="Z1066" s="612"/>
      <c r="AA1066" s="612"/>
      <c r="AB1066" s="612"/>
      <c r="AC1066" s="612"/>
    </row>
    <row r="1067" spans="1:30">
      <c r="A1067" s="48" t="s">
        <v>5880</v>
      </c>
      <c r="B1067" s="60">
        <v>45626</v>
      </c>
      <c r="C1067" s="54" t="s">
        <v>173</v>
      </c>
      <c r="D1067" s="435" t="str">
        <f>IFERROR(VLOOKUP(C1067,Mychart!$A$125:$B$811,2,FALSE),"-")</f>
        <v>BAB AL TABREED A/C UNITS FIX.CONT</v>
      </c>
      <c r="E1067" s="295" t="s">
        <v>5918</v>
      </c>
      <c r="F1067" s="58">
        <v>128</v>
      </c>
      <c r="G1067" s="58">
        <v>0.6</v>
      </c>
      <c r="H1067" s="58">
        <v>2905.0810000000001</v>
      </c>
      <c r="I1067" s="58">
        <v>145.25405000000001</v>
      </c>
      <c r="J1067" s="56" t="s">
        <v>5924</v>
      </c>
      <c r="K1067" s="56" t="s">
        <v>5610</v>
      </c>
      <c r="L1067" s="292">
        <v>293</v>
      </c>
      <c r="M1067" s="292"/>
      <c r="N1067" s="358"/>
      <c r="O1067" s="292"/>
      <c r="P1067" s="292"/>
      <c r="Q1067" s="614"/>
      <c r="R1067" s="913">
        <f t="shared" si="80"/>
        <v>0</v>
      </c>
      <c r="S1067" s="913">
        <f t="shared" si="81"/>
        <v>0</v>
      </c>
      <c r="T1067" s="913">
        <f t="shared" si="82"/>
        <v>0</v>
      </c>
      <c r="U1067" s="914">
        <f t="shared" si="83"/>
        <v>128</v>
      </c>
      <c r="V1067" s="612"/>
      <c r="W1067" s="612"/>
      <c r="X1067" s="612"/>
      <c r="Y1067" s="612"/>
      <c r="Z1067" s="612"/>
      <c r="AA1067" s="612"/>
      <c r="AB1067" s="612"/>
      <c r="AC1067" s="612"/>
    </row>
    <row r="1068" spans="1:30">
      <c r="A1068" s="48" t="s">
        <v>5880</v>
      </c>
      <c r="B1068" s="60">
        <v>45626</v>
      </c>
      <c r="C1068" s="54" t="s">
        <v>173</v>
      </c>
      <c r="D1068" s="435" t="str">
        <f>IFERROR(VLOOKUP(C1068,Mychart!$A$125:$B$811,2,FALSE),"-")</f>
        <v>BAB AL TABREED A/C UNITS FIX.CONT</v>
      </c>
      <c r="E1068" s="295" t="s">
        <v>5920</v>
      </c>
      <c r="F1068" s="58">
        <v>14</v>
      </c>
      <c r="G1068" s="58">
        <v>3.5</v>
      </c>
      <c r="H1068" s="58">
        <v>2905.0810000000001</v>
      </c>
      <c r="I1068" s="58">
        <v>145.25405000000001</v>
      </c>
      <c r="J1068" s="56" t="s">
        <v>5924</v>
      </c>
      <c r="K1068" s="56" t="s">
        <v>5610</v>
      </c>
      <c r="L1068" s="292">
        <v>293</v>
      </c>
      <c r="M1068" s="292"/>
      <c r="N1068" s="358"/>
      <c r="O1068" s="292"/>
      <c r="P1068" s="292"/>
      <c r="Q1068" s="614"/>
      <c r="R1068" s="913">
        <f t="shared" si="80"/>
        <v>0</v>
      </c>
      <c r="S1068" s="913">
        <f t="shared" si="81"/>
        <v>0</v>
      </c>
      <c r="T1068" s="913">
        <f t="shared" si="82"/>
        <v>0</v>
      </c>
      <c r="U1068" s="914">
        <f t="shared" si="83"/>
        <v>14</v>
      </c>
      <c r="V1068" s="612"/>
      <c r="W1068" s="612"/>
      <c r="X1068" s="612"/>
      <c r="Y1068" s="612"/>
      <c r="Z1068" s="612"/>
      <c r="AA1068" s="612"/>
      <c r="AB1068" s="612"/>
      <c r="AC1068" s="612"/>
    </row>
    <row r="1069" spans="1:30">
      <c r="A1069" s="48" t="s">
        <v>5880</v>
      </c>
      <c r="B1069" s="60">
        <v>45626</v>
      </c>
      <c r="C1069" s="54" t="s">
        <v>173</v>
      </c>
      <c r="D1069" s="435" t="str">
        <f>IFERROR(VLOOKUP(C1069,Mychart!$A$125:$B$811,2,FALSE),"-")</f>
        <v>BAB AL TABREED A/C UNITS FIX.CONT</v>
      </c>
      <c r="E1069" s="295" t="s">
        <v>5921</v>
      </c>
      <c r="F1069" s="58">
        <v>2</v>
      </c>
      <c r="G1069" s="58">
        <v>3</v>
      </c>
      <c r="H1069" s="58">
        <v>2905.0810000000001</v>
      </c>
      <c r="I1069" s="58">
        <v>145.25405000000001</v>
      </c>
      <c r="J1069" s="56" t="s">
        <v>5924</v>
      </c>
      <c r="K1069" s="56" t="s">
        <v>5610</v>
      </c>
      <c r="L1069" s="292">
        <v>293</v>
      </c>
      <c r="M1069" s="292"/>
      <c r="N1069" s="358"/>
      <c r="O1069" s="292"/>
      <c r="P1069" s="292"/>
      <c r="Q1069" s="614"/>
      <c r="R1069" s="913">
        <f t="shared" si="80"/>
        <v>0</v>
      </c>
      <c r="S1069" s="913">
        <f t="shared" si="81"/>
        <v>0</v>
      </c>
      <c r="T1069" s="913">
        <f t="shared" si="82"/>
        <v>0</v>
      </c>
      <c r="U1069" s="914">
        <f t="shared" si="83"/>
        <v>2</v>
      </c>
      <c r="V1069" s="612"/>
      <c r="W1069" s="612"/>
      <c r="X1069" s="612"/>
      <c r="Y1069" s="612"/>
      <c r="Z1069" s="612"/>
      <c r="AA1069" s="612"/>
      <c r="AB1069" s="612"/>
      <c r="AC1069" s="612"/>
    </row>
    <row r="1070" spans="1:30">
      <c r="A1070" s="48" t="s">
        <v>5880</v>
      </c>
      <c r="B1070" s="60">
        <v>45626</v>
      </c>
      <c r="C1070" s="54" t="s">
        <v>173</v>
      </c>
      <c r="D1070" s="435" t="str">
        <f>IFERROR(VLOOKUP(C1070,Mychart!$A$125:$B$811,2,FALSE),"-")</f>
        <v>BAB AL TABREED A/C UNITS FIX.CONT</v>
      </c>
      <c r="E1070" s="295" t="s">
        <v>981</v>
      </c>
      <c r="F1070" s="58">
        <v>1</v>
      </c>
      <c r="G1070" s="58">
        <v>2</v>
      </c>
      <c r="H1070" s="58">
        <v>2905.0810000000001</v>
      </c>
      <c r="I1070" s="58">
        <v>145.25405000000001</v>
      </c>
      <c r="J1070" s="56" t="s">
        <v>5924</v>
      </c>
      <c r="K1070" s="56" t="s">
        <v>5610</v>
      </c>
      <c r="L1070" s="292">
        <v>293</v>
      </c>
      <c r="M1070" s="292"/>
      <c r="N1070" s="358"/>
      <c r="O1070" s="292"/>
      <c r="P1070" s="292"/>
      <c r="Q1070" s="614"/>
      <c r="R1070" s="913">
        <f t="shared" si="80"/>
        <v>0</v>
      </c>
      <c r="S1070" s="913">
        <f t="shared" si="81"/>
        <v>0</v>
      </c>
      <c r="T1070" s="913">
        <f t="shared" si="82"/>
        <v>0</v>
      </c>
      <c r="U1070" s="914">
        <f t="shared" si="83"/>
        <v>1</v>
      </c>
      <c r="V1070" s="612"/>
      <c r="W1070" s="612"/>
      <c r="X1070" s="612"/>
      <c r="Y1070" s="612"/>
      <c r="Z1070" s="612"/>
      <c r="AA1070" s="612"/>
      <c r="AB1070" s="612"/>
      <c r="AC1070" s="612"/>
    </row>
    <row r="1071" spans="1:30">
      <c r="A1071" s="48" t="s">
        <v>5880</v>
      </c>
      <c r="B1071" s="60">
        <v>45626</v>
      </c>
      <c r="C1071" s="54" t="s">
        <v>173</v>
      </c>
      <c r="D1071" s="435" t="str">
        <f>IFERROR(VLOOKUP(C1071,Mychart!$A$125:$B$811,2,FALSE),"-")</f>
        <v>BAB AL TABREED A/C UNITS FIX.CONT</v>
      </c>
      <c r="E1071" s="295" t="s">
        <v>5922</v>
      </c>
      <c r="F1071" s="58">
        <v>4</v>
      </c>
      <c r="G1071" s="58">
        <v>38</v>
      </c>
      <c r="H1071" s="58">
        <v>2905.0810000000001</v>
      </c>
      <c r="I1071" s="58">
        <v>145.25405000000001</v>
      </c>
      <c r="J1071" s="56" t="s">
        <v>5924</v>
      </c>
      <c r="K1071" s="56" t="s">
        <v>5610</v>
      </c>
      <c r="L1071" s="292">
        <v>293</v>
      </c>
      <c r="M1071" s="292"/>
      <c r="N1071" s="358"/>
      <c r="O1071" s="292"/>
      <c r="P1071" s="292"/>
      <c r="Q1071" s="614"/>
      <c r="R1071" s="913">
        <f t="shared" si="80"/>
        <v>0</v>
      </c>
      <c r="S1071" s="913">
        <f t="shared" si="81"/>
        <v>0</v>
      </c>
      <c r="T1071" s="913">
        <f t="shared" si="82"/>
        <v>0</v>
      </c>
      <c r="U1071" s="914">
        <f t="shared" si="83"/>
        <v>4</v>
      </c>
      <c r="V1071" s="612"/>
      <c r="W1071" s="612"/>
      <c r="X1071" s="612"/>
      <c r="Y1071" s="612"/>
      <c r="Z1071" s="612"/>
      <c r="AA1071" s="612"/>
      <c r="AB1071" s="612"/>
      <c r="AC1071" s="612"/>
    </row>
    <row r="1072" spans="1:30">
      <c r="A1072" s="48" t="s">
        <v>5880</v>
      </c>
      <c r="B1072" s="60">
        <v>45626</v>
      </c>
      <c r="C1072" s="54" t="s">
        <v>173</v>
      </c>
      <c r="D1072" s="435" t="str">
        <f>IFERROR(VLOOKUP(C1072,Mychart!$A$125:$B$811,2,FALSE),"-")</f>
        <v>BAB AL TABREED A/C UNITS FIX.CONT</v>
      </c>
      <c r="E1072" s="295" t="s">
        <v>5923</v>
      </c>
      <c r="F1072" s="58">
        <v>-1</v>
      </c>
      <c r="G1072" s="58">
        <v>160</v>
      </c>
      <c r="H1072" s="58">
        <v>2905.0810000000001</v>
      </c>
      <c r="I1072" s="58">
        <v>145.25405000000001</v>
      </c>
      <c r="J1072" s="56" t="s">
        <v>5924</v>
      </c>
      <c r="K1072" s="56" t="s">
        <v>5610</v>
      </c>
      <c r="L1072" s="292">
        <v>293</v>
      </c>
      <c r="M1072" s="292"/>
      <c r="N1072" s="358"/>
      <c r="O1072" s="292"/>
      <c r="P1072" s="292"/>
      <c r="Q1072" s="614"/>
      <c r="R1072" s="913">
        <f t="shared" si="80"/>
        <v>0</v>
      </c>
      <c r="S1072" s="913">
        <f t="shared" si="81"/>
        <v>0</v>
      </c>
      <c r="T1072" s="913">
        <f t="shared" si="82"/>
        <v>0</v>
      </c>
      <c r="U1072" s="914">
        <f t="shared" si="83"/>
        <v>-1</v>
      </c>
      <c r="V1072" s="612"/>
      <c r="W1072" s="612"/>
      <c r="X1072" s="612"/>
      <c r="Y1072" s="612"/>
      <c r="Z1072" s="612"/>
      <c r="AA1072" s="612"/>
      <c r="AB1072" s="612"/>
      <c r="AC1072" s="612"/>
    </row>
    <row r="1073" spans="1:30">
      <c r="A1073" s="48" t="s">
        <v>5880</v>
      </c>
      <c r="B1073" s="60">
        <v>45626</v>
      </c>
      <c r="C1073" s="54" t="s">
        <v>173</v>
      </c>
      <c r="D1073" s="435" t="str">
        <f>IFERROR(VLOOKUP(C1073,Mychart!$A$125:$B$811,2,FALSE),"-")</f>
        <v>BAB AL TABREED A/C UNITS FIX.CONT</v>
      </c>
      <c r="E1073" s="295" t="s">
        <v>5666</v>
      </c>
      <c r="F1073" s="58">
        <v>1</v>
      </c>
      <c r="G1073" s="58">
        <v>0</v>
      </c>
      <c r="H1073" s="58">
        <v>2905.0810000000001</v>
      </c>
      <c r="I1073" s="58">
        <v>145.25405000000001</v>
      </c>
      <c r="J1073" s="56" t="s">
        <v>5924</v>
      </c>
      <c r="K1073" s="56" t="s">
        <v>5610</v>
      </c>
      <c r="L1073" s="292">
        <v>293</v>
      </c>
      <c r="M1073" s="292" t="s">
        <v>6119</v>
      </c>
      <c r="N1073" s="358">
        <v>3050.3350500000001</v>
      </c>
      <c r="O1073" s="292"/>
      <c r="P1073" s="292"/>
      <c r="Q1073" s="614">
        <v>3050.3350500000001</v>
      </c>
      <c r="R1073" s="913">
        <f t="shared" si="80"/>
        <v>-3050.3350500000001</v>
      </c>
      <c r="S1073" s="913">
        <f t="shared" si="81"/>
        <v>0</v>
      </c>
      <c r="T1073" s="913">
        <f t="shared" si="82"/>
        <v>3050.3350500000001</v>
      </c>
      <c r="U1073" s="914">
        <f t="shared" si="83"/>
        <v>1</v>
      </c>
      <c r="V1073" s="612"/>
      <c r="W1073" s="612"/>
      <c r="X1073" s="612"/>
      <c r="Y1073" s="612"/>
      <c r="Z1073" s="612"/>
      <c r="AA1073" s="612"/>
      <c r="AB1073" s="612"/>
      <c r="AC1073" s="612"/>
      <c r="AD1073" s="930">
        <v>45635.622025462966</v>
      </c>
    </row>
    <row r="1074" spans="1:30">
      <c r="A1074" s="48" t="s">
        <v>5985</v>
      </c>
      <c r="B1074" s="60">
        <v>45630</v>
      </c>
      <c r="C1074" s="54" t="s">
        <v>173</v>
      </c>
      <c r="D1074" s="435" t="str">
        <f>IFERROR(VLOOKUP(C1074,Mychart!$A$125:$B$811,2,FALSE),"-")</f>
        <v>BAB AL TABREED A/C UNITS FIX.CONT</v>
      </c>
      <c r="E1074" s="295" t="s">
        <v>5916</v>
      </c>
      <c r="F1074" s="58">
        <v>64.19</v>
      </c>
      <c r="G1074" s="58">
        <v>2.8</v>
      </c>
      <c r="H1074" s="58">
        <v>743.69699999999989</v>
      </c>
      <c r="I1074" s="58">
        <v>37.184849999999997</v>
      </c>
      <c r="J1074" s="56" t="s">
        <v>5990</v>
      </c>
      <c r="K1074" s="56" t="s">
        <v>269</v>
      </c>
      <c r="L1074" s="292">
        <v>256</v>
      </c>
      <c r="M1074" s="292"/>
      <c r="N1074" s="358"/>
      <c r="O1074" s="292"/>
      <c r="P1074" s="292"/>
      <c r="Q1074" s="614"/>
      <c r="R1074" s="913">
        <f t="shared" si="80"/>
        <v>0</v>
      </c>
      <c r="S1074" s="913">
        <f t="shared" si="81"/>
        <v>0</v>
      </c>
      <c r="T1074" s="913">
        <f t="shared" si="82"/>
        <v>0</v>
      </c>
      <c r="U1074" s="914">
        <f t="shared" si="83"/>
        <v>64.19</v>
      </c>
      <c r="V1074" s="612"/>
      <c r="W1074" s="612"/>
      <c r="X1074" s="612"/>
      <c r="Y1074" s="612"/>
      <c r="Z1074" s="612"/>
      <c r="AA1074" s="612"/>
      <c r="AB1074" s="612"/>
      <c r="AC1074" s="612"/>
    </row>
    <row r="1075" spans="1:30">
      <c r="A1075" s="48" t="s">
        <v>5985</v>
      </c>
      <c r="B1075" s="60">
        <v>45630</v>
      </c>
      <c r="C1075" s="54" t="s">
        <v>173</v>
      </c>
      <c r="D1075" s="435" t="str">
        <f>IFERROR(VLOOKUP(C1075,Mychart!$A$125:$B$811,2,FALSE),"-")</f>
        <v>BAB AL TABREED A/C UNITS FIX.CONT</v>
      </c>
      <c r="E1075" s="295" t="s">
        <v>5509</v>
      </c>
      <c r="F1075" s="58">
        <v>38.08</v>
      </c>
      <c r="G1075" s="58">
        <v>3.5</v>
      </c>
      <c r="H1075" s="58">
        <v>743.69699999999989</v>
      </c>
      <c r="I1075" s="58">
        <v>37.184849999999997</v>
      </c>
      <c r="J1075" s="56" t="s">
        <v>5990</v>
      </c>
      <c r="K1075" s="56" t="s">
        <v>269</v>
      </c>
      <c r="L1075" s="292">
        <v>256</v>
      </c>
      <c r="M1075" s="292"/>
      <c r="N1075" s="358"/>
      <c r="O1075" s="292"/>
      <c r="P1075" s="292"/>
      <c r="Q1075" s="614"/>
      <c r="R1075" s="913">
        <f t="shared" si="80"/>
        <v>0</v>
      </c>
      <c r="S1075" s="913">
        <f t="shared" si="81"/>
        <v>0</v>
      </c>
      <c r="T1075" s="913">
        <f t="shared" si="82"/>
        <v>0</v>
      </c>
      <c r="U1075" s="914">
        <f t="shared" si="83"/>
        <v>38.08</v>
      </c>
      <c r="V1075" s="612"/>
      <c r="W1075" s="612"/>
      <c r="X1075" s="612"/>
      <c r="Y1075" s="612"/>
      <c r="Z1075" s="612"/>
      <c r="AA1075" s="612"/>
      <c r="AB1075" s="612"/>
      <c r="AC1075" s="612"/>
    </row>
    <row r="1076" spans="1:30">
      <c r="A1076" s="48" t="s">
        <v>5985</v>
      </c>
      <c r="B1076" s="60">
        <v>45630</v>
      </c>
      <c r="C1076" s="54" t="s">
        <v>173</v>
      </c>
      <c r="D1076" s="435" t="str">
        <f>IFERROR(VLOOKUP(C1076,Mychart!$A$125:$B$811,2,FALSE),"-")</f>
        <v>BAB AL TABREED A/C UNITS FIX.CONT</v>
      </c>
      <c r="E1076" s="295" t="s">
        <v>5986</v>
      </c>
      <c r="F1076" s="58">
        <v>71.31</v>
      </c>
      <c r="G1076" s="58">
        <v>4.5</v>
      </c>
      <c r="H1076" s="58">
        <v>743.69699999999989</v>
      </c>
      <c r="I1076" s="58">
        <v>37.184849999999997</v>
      </c>
      <c r="J1076" s="56" t="s">
        <v>5990</v>
      </c>
      <c r="K1076" s="56" t="s">
        <v>269</v>
      </c>
      <c r="L1076" s="292">
        <v>256</v>
      </c>
      <c r="M1076" s="292"/>
      <c r="N1076" s="358"/>
      <c r="O1076" s="292"/>
      <c r="P1076" s="292"/>
      <c r="Q1076" s="614"/>
      <c r="R1076" s="913">
        <f t="shared" si="80"/>
        <v>0</v>
      </c>
      <c r="S1076" s="913">
        <f t="shared" si="81"/>
        <v>0</v>
      </c>
      <c r="T1076" s="913">
        <f t="shared" si="82"/>
        <v>0</v>
      </c>
      <c r="U1076" s="914">
        <f t="shared" si="83"/>
        <v>71.31</v>
      </c>
      <c r="V1076" s="612"/>
      <c r="W1076" s="612"/>
      <c r="X1076" s="612"/>
      <c r="Y1076" s="612"/>
      <c r="Z1076" s="612"/>
      <c r="AA1076" s="612"/>
      <c r="AB1076" s="612"/>
      <c r="AC1076" s="612"/>
    </row>
    <row r="1077" spans="1:30">
      <c r="A1077" s="48" t="s">
        <v>5985</v>
      </c>
      <c r="B1077" s="60">
        <v>45630</v>
      </c>
      <c r="C1077" s="54" t="s">
        <v>173</v>
      </c>
      <c r="D1077" s="435" t="str">
        <f>IFERROR(VLOOKUP(C1077,Mychart!$A$125:$B$811,2,FALSE),"-")</f>
        <v>BAB AL TABREED A/C UNITS FIX.CONT</v>
      </c>
      <c r="E1077" s="295" t="s">
        <v>5987</v>
      </c>
      <c r="F1077" s="58">
        <v>9</v>
      </c>
      <c r="G1077" s="58">
        <v>5</v>
      </c>
      <c r="H1077" s="58">
        <v>743.69699999999989</v>
      </c>
      <c r="I1077" s="58">
        <v>37.184849999999997</v>
      </c>
      <c r="J1077" s="56" t="s">
        <v>5990</v>
      </c>
      <c r="K1077" s="56" t="s">
        <v>269</v>
      </c>
      <c r="L1077" s="292">
        <v>256</v>
      </c>
      <c r="M1077" s="292"/>
      <c r="N1077" s="358"/>
      <c r="O1077" s="292"/>
      <c r="P1077" s="292"/>
      <c r="Q1077" s="614"/>
      <c r="R1077" s="913">
        <f t="shared" si="80"/>
        <v>0</v>
      </c>
      <c r="S1077" s="913">
        <f t="shared" si="81"/>
        <v>0</v>
      </c>
      <c r="T1077" s="913">
        <f t="shared" si="82"/>
        <v>0</v>
      </c>
      <c r="U1077" s="914">
        <f t="shared" si="83"/>
        <v>9</v>
      </c>
      <c r="V1077" s="612"/>
      <c r="W1077" s="612"/>
      <c r="X1077" s="612"/>
      <c r="Y1077" s="612"/>
      <c r="Z1077" s="612"/>
      <c r="AA1077" s="612"/>
      <c r="AB1077" s="612"/>
      <c r="AC1077" s="612"/>
    </row>
    <row r="1078" spans="1:30">
      <c r="A1078" s="48" t="s">
        <v>5985</v>
      </c>
      <c r="B1078" s="60">
        <v>45630</v>
      </c>
      <c r="C1078" s="54" t="s">
        <v>173</v>
      </c>
      <c r="D1078" s="435" t="str">
        <f>IFERROR(VLOOKUP(C1078,Mychart!$A$125:$B$811,2,FALSE),"-")</f>
        <v>BAB AL TABREED A/C UNITS FIX.CONT</v>
      </c>
      <c r="E1078" s="295" t="s">
        <v>5988</v>
      </c>
      <c r="F1078" s="58">
        <v>12</v>
      </c>
      <c r="G1078" s="58">
        <v>0.92</v>
      </c>
      <c r="H1078" s="58">
        <v>743.69699999999989</v>
      </c>
      <c r="I1078" s="58">
        <v>37.184849999999997</v>
      </c>
      <c r="J1078" s="56" t="s">
        <v>5990</v>
      </c>
      <c r="K1078" s="56" t="s">
        <v>269</v>
      </c>
      <c r="L1078" s="292">
        <v>256</v>
      </c>
      <c r="M1078" s="292"/>
      <c r="N1078" s="358"/>
      <c r="O1078" s="292"/>
      <c r="P1078" s="292"/>
      <c r="Q1078" s="614"/>
      <c r="R1078" s="913">
        <f t="shared" si="80"/>
        <v>0</v>
      </c>
      <c r="S1078" s="913">
        <f t="shared" si="81"/>
        <v>0</v>
      </c>
      <c r="T1078" s="913">
        <f t="shared" si="82"/>
        <v>0</v>
      </c>
      <c r="U1078" s="914">
        <f t="shared" si="83"/>
        <v>12</v>
      </c>
      <c r="V1078" s="612"/>
      <c r="W1078" s="612"/>
      <c r="X1078" s="612"/>
      <c r="Y1078" s="612"/>
      <c r="Z1078" s="612"/>
      <c r="AA1078" s="612"/>
      <c r="AB1078" s="612"/>
      <c r="AC1078" s="612"/>
    </row>
    <row r="1079" spans="1:30">
      <c r="A1079" s="48" t="s">
        <v>5985</v>
      </c>
      <c r="B1079" s="60">
        <v>45630</v>
      </c>
      <c r="C1079" s="54" t="s">
        <v>173</v>
      </c>
      <c r="D1079" s="435" t="str">
        <f>IFERROR(VLOOKUP(C1079,Mychart!$A$125:$B$811,2,FALSE),"-")</f>
        <v>BAB AL TABREED A/C UNITS FIX.CONT</v>
      </c>
      <c r="E1079" s="295" t="s">
        <v>5989</v>
      </c>
      <c r="F1079" s="58">
        <v>1</v>
      </c>
      <c r="G1079" s="58">
        <v>3.75</v>
      </c>
      <c r="H1079" s="58">
        <v>743.69699999999989</v>
      </c>
      <c r="I1079" s="58">
        <v>37.184849999999997</v>
      </c>
      <c r="J1079" s="56" t="s">
        <v>5990</v>
      </c>
      <c r="K1079" s="56" t="s">
        <v>269</v>
      </c>
      <c r="L1079" s="292">
        <v>256</v>
      </c>
      <c r="M1079" s="292"/>
      <c r="N1079" s="358"/>
      <c r="O1079" s="292"/>
      <c r="P1079" s="292"/>
      <c r="Q1079" s="614"/>
      <c r="R1079" s="913">
        <f t="shared" si="80"/>
        <v>0</v>
      </c>
      <c r="S1079" s="913">
        <f t="shared" si="81"/>
        <v>0</v>
      </c>
      <c r="T1079" s="913">
        <f t="shared" si="82"/>
        <v>0</v>
      </c>
      <c r="U1079" s="914">
        <f t="shared" si="83"/>
        <v>1</v>
      </c>
      <c r="V1079" s="612"/>
      <c r="W1079" s="612"/>
      <c r="X1079" s="612"/>
      <c r="Y1079" s="612"/>
      <c r="Z1079" s="612"/>
      <c r="AA1079" s="612"/>
      <c r="AB1079" s="612"/>
      <c r="AC1079" s="612"/>
    </row>
    <row r="1080" spans="1:30">
      <c r="A1080" s="48" t="s">
        <v>5985</v>
      </c>
      <c r="B1080" s="60">
        <v>45630</v>
      </c>
      <c r="C1080" s="54" t="s">
        <v>173</v>
      </c>
      <c r="D1080" s="435" t="str">
        <f>IFERROR(VLOOKUP(C1080,Mychart!$A$125:$B$811,2,FALSE),"-")</f>
        <v>BAB AL TABREED A/C UNITS FIX.CONT</v>
      </c>
      <c r="E1080" s="295" t="s">
        <v>986</v>
      </c>
      <c r="F1080" s="58">
        <v>12</v>
      </c>
      <c r="G1080" s="58">
        <v>3</v>
      </c>
      <c r="H1080" s="58">
        <v>743.69699999999989</v>
      </c>
      <c r="I1080" s="58">
        <v>37.184849999999997</v>
      </c>
      <c r="J1080" s="56" t="s">
        <v>5990</v>
      </c>
      <c r="K1080" s="56" t="s">
        <v>269</v>
      </c>
      <c r="L1080" s="292">
        <v>256</v>
      </c>
      <c r="M1080" s="292"/>
      <c r="N1080" s="358"/>
      <c r="O1080" s="292"/>
      <c r="P1080" s="292"/>
      <c r="Q1080" s="614"/>
      <c r="R1080" s="913">
        <f t="shared" si="80"/>
        <v>0</v>
      </c>
      <c r="S1080" s="913">
        <f t="shared" si="81"/>
        <v>0</v>
      </c>
      <c r="T1080" s="913">
        <f t="shared" si="82"/>
        <v>0</v>
      </c>
      <c r="U1080" s="914">
        <f t="shared" si="83"/>
        <v>12</v>
      </c>
      <c r="V1080" s="612"/>
      <c r="W1080" s="612"/>
      <c r="X1080" s="612"/>
      <c r="Y1080" s="612"/>
      <c r="Z1080" s="612"/>
      <c r="AA1080" s="612"/>
      <c r="AB1080" s="612"/>
      <c r="AC1080" s="612"/>
    </row>
    <row r="1081" spans="1:30">
      <c r="A1081" s="48" t="s">
        <v>5985</v>
      </c>
      <c r="B1081" s="60">
        <v>45630</v>
      </c>
      <c r="C1081" s="54" t="s">
        <v>173</v>
      </c>
      <c r="D1081" s="435" t="str">
        <f>IFERROR(VLOOKUP(C1081,Mychart!$A$125:$B$811,2,FALSE),"-")</f>
        <v>BAB AL TABREED A/C UNITS FIX.CONT</v>
      </c>
      <c r="E1081" s="295" t="s">
        <v>987</v>
      </c>
      <c r="F1081" s="58">
        <v>7</v>
      </c>
      <c r="G1081" s="58">
        <v>2</v>
      </c>
      <c r="H1081" s="58">
        <v>743.69699999999989</v>
      </c>
      <c r="I1081" s="58">
        <v>37.184849999999997</v>
      </c>
      <c r="J1081" s="56" t="s">
        <v>5990</v>
      </c>
      <c r="K1081" s="56" t="s">
        <v>269</v>
      </c>
      <c r="L1081" s="292">
        <v>256</v>
      </c>
      <c r="M1081" s="292"/>
      <c r="N1081" s="358"/>
      <c r="O1081" s="292"/>
      <c r="P1081" s="292"/>
      <c r="Q1081" s="614"/>
      <c r="R1081" s="913">
        <f t="shared" si="80"/>
        <v>0</v>
      </c>
      <c r="S1081" s="913">
        <f t="shared" si="81"/>
        <v>0</v>
      </c>
      <c r="T1081" s="913">
        <f t="shared" si="82"/>
        <v>0</v>
      </c>
      <c r="U1081" s="914">
        <f t="shared" si="83"/>
        <v>7</v>
      </c>
      <c r="V1081" s="612"/>
      <c r="W1081" s="612"/>
      <c r="X1081" s="612"/>
      <c r="Y1081" s="612"/>
      <c r="Z1081" s="612"/>
      <c r="AA1081" s="612"/>
      <c r="AB1081" s="612"/>
      <c r="AC1081" s="612"/>
    </row>
    <row r="1082" spans="1:30">
      <c r="A1082" s="48" t="s">
        <v>5985</v>
      </c>
      <c r="B1082" s="60">
        <v>45630</v>
      </c>
      <c r="C1082" s="54" t="s">
        <v>173</v>
      </c>
      <c r="D1082" s="435" t="str">
        <f>IFERROR(VLOOKUP(C1082,Mychart!$A$125:$B$811,2,FALSE),"-")</f>
        <v>BAB AL TABREED A/C UNITS FIX.CONT</v>
      </c>
      <c r="E1082" s="295" t="s">
        <v>5666</v>
      </c>
      <c r="F1082" s="58">
        <v>0</v>
      </c>
      <c r="G1082" s="58">
        <v>0</v>
      </c>
      <c r="H1082" s="58">
        <v>743.69699999999989</v>
      </c>
      <c r="I1082" s="58">
        <v>37.184849999999997</v>
      </c>
      <c r="J1082" s="56" t="s">
        <v>5990</v>
      </c>
      <c r="K1082" s="56" t="s">
        <v>269</v>
      </c>
      <c r="L1082" s="292">
        <v>256</v>
      </c>
      <c r="M1082" s="292"/>
      <c r="N1082" s="358"/>
      <c r="O1082" s="292"/>
      <c r="P1082" s="292"/>
      <c r="Q1082" s="614">
        <v>780.88184999999987</v>
      </c>
      <c r="R1082" s="913">
        <f t="shared" si="80"/>
        <v>0</v>
      </c>
      <c r="S1082" s="913">
        <f t="shared" si="81"/>
        <v>780.88184999999987</v>
      </c>
      <c r="T1082" s="913">
        <f t="shared" si="82"/>
        <v>780.88184999999987</v>
      </c>
      <c r="U1082" s="914">
        <f t="shared" si="83"/>
        <v>0</v>
      </c>
      <c r="V1082" s="612"/>
      <c r="W1082" s="612"/>
      <c r="X1082" s="612"/>
      <c r="Y1082" s="612"/>
      <c r="Z1082" s="612"/>
      <c r="AA1082" s="612"/>
      <c r="AB1082" s="612"/>
      <c r="AC1082" s="612"/>
    </row>
    <row r="1083" spans="1:30">
      <c r="A1083" s="48" t="s">
        <v>6081</v>
      </c>
      <c r="B1083" s="60">
        <v>45635</v>
      </c>
      <c r="C1083" s="54" t="s">
        <v>168</v>
      </c>
      <c r="D1083" s="435" t="str">
        <f>IFERROR(VLOOKUP(C1083,Mychart!$A$125:$B$811,2,FALSE),"-")</f>
        <v>UTS Carrier</v>
      </c>
      <c r="E1083" s="295" t="s">
        <v>1100</v>
      </c>
      <c r="F1083" s="58">
        <v>2</v>
      </c>
      <c r="G1083" s="58"/>
      <c r="H1083" s="58">
        <v>89590</v>
      </c>
      <c r="I1083" s="58">
        <v>4479.5</v>
      </c>
      <c r="J1083" s="56" t="s">
        <v>6079</v>
      </c>
      <c r="K1083" s="56" t="s">
        <v>293</v>
      </c>
      <c r="L1083" s="292">
        <v>246</v>
      </c>
      <c r="M1083" s="292"/>
      <c r="N1083" s="358"/>
      <c r="O1083" s="292"/>
      <c r="P1083" s="292"/>
      <c r="Q1083" s="614"/>
      <c r="R1083" s="913">
        <f t="shared" si="80"/>
        <v>0</v>
      </c>
      <c r="S1083" s="913">
        <f t="shared" si="81"/>
        <v>0</v>
      </c>
      <c r="T1083" s="913">
        <f t="shared" si="82"/>
        <v>0</v>
      </c>
      <c r="U1083" s="914">
        <f t="shared" si="83"/>
        <v>2</v>
      </c>
      <c r="V1083" s="612"/>
      <c r="W1083" s="612"/>
      <c r="X1083" s="612"/>
      <c r="Y1083" s="612"/>
      <c r="Z1083" s="612"/>
      <c r="AA1083" s="612"/>
      <c r="AB1083" s="612"/>
      <c r="AC1083" s="612"/>
    </row>
    <row r="1084" spans="1:30">
      <c r="A1084" s="48" t="s">
        <v>6081</v>
      </c>
      <c r="B1084" s="60">
        <v>45635</v>
      </c>
      <c r="C1084" s="54" t="s">
        <v>168</v>
      </c>
      <c r="D1084" s="435" t="str">
        <f>IFERROR(VLOOKUP(C1084,Mychart!$A$125:$B$811,2,FALSE),"-")</f>
        <v>UTS Carrier</v>
      </c>
      <c r="E1084" s="295" t="s">
        <v>1099</v>
      </c>
      <c r="F1084" s="58">
        <v>2</v>
      </c>
      <c r="G1084" s="58"/>
      <c r="H1084" s="58">
        <v>89590</v>
      </c>
      <c r="I1084" s="58">
        <v>4479.5</v>
      </c>
      <c r="J1084" s="56" t="s">
        <v>6079</v>
      </c>
      <c r="K1084" s="56" t="s">
        <v>293</v>
      </c>
      <c r="L1084" s="292">
        <v>246</v>
      </c>
      <c r="M1084" s="292"/>
      <c r="N1084" s="358"/>
      <c r="O1084" s="292"/>
      <c r="P1084" s="292"/>
      <c r="Q1084" s="614"/>
      <c r="R1084" s="913">
        <f t="shared" si="80"/>
        <v>0</v>
      </c>
      <c r="S1084" s="913">
        <f t="shared" si="81"/>
        <v>0</v>
      </c>
      <c r="T1084" s="913">
        <f t="shared" si="82"/>
        <v>0</v>
      </c>
      <c r="U1084" s="914">
        <f t="shared" si="83"/>
        <v>2</v>
      </c>
      <c r="V1084" s="612"/>
      <c r="W1084" s="612"/>
      <c r="X1084" s="612"/>
      <c r="Y1084" s="612"/>
      <c r="Z1084" s="612"/>
      <c r="AA1084" s="612"/>
      <c r="AB1084" s="612"/>
      <c r="AC1084" s="612"/>
    </row>
    <row r="1085" spans="1:30">
      <c r="A1085" s="48" t="s">
        <v>6081</v>
      </c>
      <c r="B1085" s="60">
        <v>45635</v>
      </c>
      <c r="C1085" s="54" t="s">
        <v>168</v>
      </c>
      <c r="D1085" s="435" t="str">
        <f>IFERROR(VLOOKUP(C1085,Mychart!$A$125:$B$811,2,FALSE),"-")</f>
        <v>UTS Carrier</v>
      </c>
      <c r="E1085" s="295" t="s">
        <v>833</v>
      </c>
      <c r="F1085" s="58">
        <v>3</v>
      </c>
      <c r="G1085" s="58"/>
      <c r="H1085" s="58">
        <v>89590</v>
      </c>
      <c r="I1085" s="58">
        <v>4479.5</v>
      </c>
      <c r="J1085" s="56" t="s">
        <v>6079</v>
      </c>
      <c r="K1085" s="56" t="s">
        <v>293</v>
      </c>
      <c r="L1085" s="292">
        <v>246</v>
      </c>
      <c r="M1085" s="292"/>
      <c r="N1085" s="358"/>
      <c r="O1085" s="292"/>
      <c r="P1085" s="292"/>
      <c r="Q1085" s="614"/>
      <c r="R1085" s="913">
        <f t="shared" si="80"/>
        <v>0</v>
      </c>
      <c r="S1085" s="913">
        <f t="shared" si="81"/>
        <v>0</v>
      </c>
      <c r="T1085" s="913">
        <f t="shared" si="82"/>
        <v>0</v>
      </c>
      <c r="U1085" s="914">
        <f t="shared" si="83"/>
        <v>3</v>
      </c>
      <c r="V1085" s="612"/>
      <c r="W1085" s="612"/>
      <c r="X1085" s="612"/>
      <c r="Y1085" s="612"/>
      <c r="Z1085" s="612"/>
      <c r="AA1085" s="612"/>
      <c r="AB1085" s="612"/>
      <c r="AC1085" s="612"/>
    </row>
    <row r="1086" spans="1:30">
      <c r="A1086" s="48" t="s">
        <v>6081</v>
      </c>
      <c r="B1086" s="60">
        <v>45635</v>
      </c>
      <c r="C1086" s="54" t="s">
        <v>168</v>
      </c>
      <c r="D1086" s="435" t="str">
        <f>IFERROR(VLOOKUP(C1086,Mychart!$A$125:$B$811,2,FALSE),"-")</f>
        <v>UTS Carrier</v>
      </c>
      <c r="E1086" s="295" t="s">
        <v>832</v>
      </c>
      <c r="F1086" s="58">
        <v>3</v>
      </c>
      <c r="G1086" s="58"/>
      <c r="H1086" s="58">
        <v>89590</v>
      </c>
      <c r="I1086" s="58">
        <v>4479.5</v>
      </c>
      <c r="J1086" s="56" t="s">
        <v>6079</v>
      </c>
      <c r="K1086" s="56" t="s">
        <v>293</v>
      </c>
      <c r="L1086" s="292">
        <v>246</v>
      </c>
      <c r="M1086" s="292"/>
      <c r="N1086" s="358"/>
      <c r="O1086" s="292"/>
      <c r="P1086" s="292"/>
      <c r="Q1086" s="614"/>
      <c r="R1086" s="913">
        <f t="shared" si="80"/>
        <v>0</v>
      </c>
      <c r="S1086" s="913">
        <f t="shared" si="81"/>
        <v>0</v>
      </c>
      <c r="T1086" s="913">
        <f t="shared" si="82"/>
        <v>0</v>
      </c>
      <c r="U1086" s="914">
        <f t="shared" si="83"/>
        <v>3</v>
      </c>
      <c r="V1086" s="612"/>
      <c r="W1086" s="612"/>
      <c r="X1086" s="612"/>
      <c r="Y1086" s="612"/>
      <c r="Z1086" s="612"/>
      <c r="AA1086" s="612"/>
      <c r="AB1086" s="612"/>
      <c r="AC1086" s="612"/>
    </row>
    <row r="1087" spans="1:30">
      <c r="A1087" s="48" t="s">
        <v>6081</v>
      </c>
      <c r="B1087" s="60">
        <v>45635</v>
      </c>
      <c r="C1087" s="54" t="s">
        <v>168</v>
      </c>
      <c r="D1087" s="435" t="str">
        <f>IFERROR(VLOOKUP(C1087,Mychart!$A$125:$B$811,2,FALSE),"-")</f>
        <v>UTS Carrier</v>
      </c>
      <c r="E1087" s="295" t="s">
        <v>1170</v>
      </c>
      <c r="F1087" s="58">
        <v>1</v>
      </c>
      <c r="G1087" s="58"/>
      <c r="H1087" s="58">
        <v>89590</v>
      </c>
      <c r="I1087" s="58">
        <v>4479.5</v>
      </c>
      <c r="J1087" s="56" t="s">
        <v>6079</v>
      </c>
      <c r="K1087" s="56" t="s">
        <v>293</v>
      </c>
      <c r="L1087" s="292">
        <v>246</v>
      </c>
      <c r="M1087" s="292"/>
      <c r="N1087" s="358"/>
      <c r="O1087" s="292"/>
      <c r="P1087" s="292"/>
      <c r="Q1087" s="614"/>
      <c r="R1087" s="913">
        <f t="shared" si="80"/>
        <v>0</v>
      </c>
      <c r="S1087" s="913">
        <f t="shared" si="81"/>
        <v>0</v>
      </c>
      <c r="T1087" s="913">
        <f t="shared" si="82"/>
        <v>0</v>
      </c>
      <c r="U1087" s="914">
        <f t="shared" si="83"/>
        <v>1</v>
      </c>
      <c r="V1087" s="612"/>
      <c r="W1087" s="612"/>
      <c r="X1087" s="612"/>
      <c r="Y1087" s="612"/>
      <c r="Z1087" s="612"/>
      <c r="AA1087" s="612"/>
      <c r="AB1087" s="612"/>
      <c r="AC1087" s="612"/>
    </row>
    <row r="1088" spans="1:30">
      <c r="A1088" s="48" t="s">
        <v>6081</v>
      </c>
      <c r="B1088" s="60">
        <v>45635</v>
      </c>
      <c r="C1088" s="54" t="s">
        <v>168</v>
      </c>
      <c r="D1088" s="435" t="str">
        <f>IFERROR(VLOOKUP(C1088,Mychart!$A$125:$B$811,2,FALSE),"-")</f>
        <v>UTS Carrier</v>
      </c>
      <c r="E1088" s="295" t="s">
        <v>1169</v>
      </c>
      <c r="F1088" s="58">
        <v>1</v>
      </c>
      <c r="G1088" s="58"/>
      <c r="H1088" s="58">
        <v>89590</v>
      </c>
      <c r="I1088" s="58">
        <v>4479.5</v>
      </c>
      <c r="J1088" s="56" t="s">
        <v>6079</v>
      </c>
      <c r="K1088" s="56" t="s">
        <v>293</v>
      </c>
      <c r="L1088" s="292">
        <v>246</v>
      </c>
      <c r="M1088" s="292"/>
      <c r="N1088" s="358"/>
      <c r="O1088" s="292"/>
      <c r="P1088" s="292"/>
      <c r="Q1088" s="614"/>
      <c r="R1088" s="913">
        <f t="shared" si="80"/>
        <v>0</v>
      </c>
      <c r="S1088" s="913">
        <f t="shared" si="81"/>
        <v>0</v>
      </c>
      <c r="T1088" s="913">
        <f t="shared" si="82"/>
        <v>0</v>
      </c>
      <c r="U1088" s="914">
        <f t="shared" si="83"/>
        <v>1</v>
      </c>
      <c r="V1088" s="612"/>
      <c r="W1088" s="612"/>
      <c r="X1088" s="612"/>
      <c r="Y1088" s="612"/>
      <c r="Z1088" s="612"/>
      <c r="AA1088" s="612"/>
      <c r="AB1088" s="612"/>
      <c r="AC1088" s="612"/>
    </row>
    <row r="1089" spans="1:30">
      <c r="A1089" s="48" t="s">
        <v>6081</v>
      </c>
      <c r="B1089" s="60">
        <v>45635</v>
      </c>
      <c r="C1089" s="54" t="s">
        <v>168</v>
      </c>
      <c r="D1089" s="435" t="str">
        <f>IFERROR(VLOOKUP(C1089,Mychart!$A$125:$B$811,2,FALSE),"-")</f>
        <v>UTS Carrier</v>
      </c>
      <c r="E1089" s="295" t="s">
        <v>237</v>
      </c>
      <c r="F1089" s="58">
        <v>1</v>
      </c>
      <c r="G1089" s="58"/>
      <c r="H1089" s="58">
        <v>89590</v>
      </c>
      <c r="I1089" s="58">
        <v>4479.5</v>
      </c>
      <c r="J1089" s="56" t="s">
        <v>6079</v>
      </c>
      <c r="K1089" s="56" t="s">
        <v>293</v>
      </c>
      <c r="L1089" s="292">
        <v>246</v>
      </c>
      <c r="M1089" s="292"/>
      <c r="N1089" s="358"/>
      <c r="O1089" s="292"/>
      <c r="P1089" s="292"/>
      <c r="Q1089" s="614"/>
      <c r="R1089" s="913">
        <f t="shared" si="80"/>
        <v>0</v>
      </c>
      <c r="S1089" s="913">
        <f t="shared" si="81"/>
        <v>0</v>
      </c>
      <c r="T1089" s="913">
        <f t="shared" si="82"/>
        <v>0</v>
      </c>
      <c r="U1089" s="914">
        <f t="shared" si="83"/>
        <v>1</v>
      </c>
      <c r="V1089" s="612"/>
      <c r="W1089" s="612"/>
      <c r="X1089" s="612"/>
      <c r="Y1089" s="612"/>
      <c r="Z1089" s="612"/>
      <c r="AA1089" s="612"/>
      <c r="AB1089" s="612"/>
      <c r="AC1089" s="612"/>
    </row>
    <row r="1090" spans="1:30">
      <c r="A1090" s="48" t="s">
        <v>6081</v>
      </c>
      <c r="B1090" s="60">
        <v>45635</v>
      </c>
      <c r="C1090" s="54" t="s">
        <v>168</v>
      </c>
      <c r="D1090" s="435" t="str">
        <f>IFERROR(VLOOKUP(C1090,Mychart!$A$125:$B$811,2,FALSE),"-")</f>
        <v>UTS Carrier</v>
      </c>
      <c r="E1090" s="295" t="s">
        <v>236</v>
      </c>
      <c r="F1090" s="58">
        <v>1</v>
      </c>
      <c r="G1090" s="58"/>
      <c r="H1090" s="58">
        <v>89590</v>
      </c>
      <c r="I1090" s="58">
        <v>4479.5</v>
      </c>
      <c r="J1090" s="56" t="s">
        <v>6079</v>
      </c>
      <c r="K1090" s="56" t="s">
        <v>293</v>
      </c>
      <c r="L1090" s="292">
        <v>246</v>
      </c>
      <c r="M1090" s="292"/>
      <c r="N1090" s="358"/>
      <c r="O1090" s="292"/>
      <c r="P1090" s="292"/>
      <c r="Q1090" s="614"/>
      <c r="R1090" s="913">
        <f t="shared" si="80"/>
        <v>0</v>
      </c>
      <c r="S1090" s="913">
        <f t="shared" si="81"/>
        <v>0</v>
      </c>
      <c r="T1090" s="913">
        <f t="shared" si="82"/>
        <v>0</v>
      </c>
      <c r="U1090" s="914">
        <f t="shared" si="83"/>
        <v>1</v>
      </c>
      <c r="V1090" s="612"/>
      <c r="W1090" s="612"/>
      <c r="X1090" s="612"/>
      <c r="Y1090" s="612"/>
      <c r="Z1090" s="612"/>
      <c r="AA1090" s="612"/>
      <c r="AB1090" s="612"/>
      <c r="AC1090" s="612"/>
    </row>
    <row r="1091" spans="1:30">
      <c r="A1091" s="48" t="s">
        <v>6081</v>
      </c>
      <c r="B1091" s="60">
        <v>45635</v>
      </c>
      <c r="C1091" s="54" t="s">
        <v>168</v>
      </c>
      <c r="D1091" s="435" t="str">
        <f>IFERROR(VLOOKUP(C1091,Mychart!$A$125:$B$811,2,FALSE),"-")</f>
        <v>UTS Carrier</v>
      </c>
      <c r="E1091" s="295" t="s">
        <v>828</v>
      </c>
      <c r="F1091" s="58">
        <v>2</v>
      </c>
      <c r="G1091" s="58"/>
      <c r="H1091" s="58">
        <v>89590</v>
      </c>
      <c r="I1091" s="58">
        <v>4479.5</v>
      </c>
      <c r="J1091" s="56" t="s">
        <v>6079</v>
      </c>
      <c r="K1091" s="56" t="s">
        <v>293</v>
      </c>
      <c r="L1091" s="292">
        <v>246</v>
      </c>
      <c r="M1091" s="292"/>
      <c r="N1091" s="358"/>
      <c r="O1091" s="292"/>
      <c r="P1091" s="292"/>
      <c r="Q1091" s="614"/>
      <c r="R1091" s="913">
        <f t="shared" si="80"/>
        <v>0</v>
      </c>
      <c r="S1091" s="913">
        <f t="shared" si="81"/>
        <v>0</v>
      </c>
      <c r="T1091" s="913">
        <f t="shared" si="82"/>
        <v>0</v>
      </c>
      <c r="U1091" s="914">
        <f t="shared" si="83"/>
        <v>2</v>
      </c>
      <c r="V1091" s="612"/>
      <c r="W1091" s="612"/>
      <c r="X1091" s="612"/>
      <c r="Y1091" s="612"/>
      <c r="Z1091" s="612"/>
      <c r="AA1091" s="612"/>
      <c r="AB1091" s="612"/>
      <c r="AC1091" s="612"/>
    </row>
    <row r="1092" spans="1:30">
      <c r="A1092" s="48" t="s">
        <v>6081</v>
      </c>
      <c r="B1092" s="60">
        <v>45635</v>
      </c>
      <c r="C1092" s="54" t="s">
        <v>168</v>
      </c>
      <c r="D1092" s="435" t="str">
        <f>IFERROR(VLOOKUP(C1092,Mychart!$A$125:$B$811,2,FALSE),"-")</f>
        <v>UTS Carrier</v>
      </c>
      <c r="E1092" s="295" t="s">
        <v>827</v>
      </c>
      <c r="F1092" s="58">
        <v>2</v>
      </c>
      <c r="G1092" s="58"/>
      <c r="H1092" s="58">
        <v>89590</v>
      </c>
      <c r="I1092" s="58">
        <v>4479.5</v>
      </c>
      <c r="J1092" s="56" t="s">
        <v>6079</v>
      </c>
      <c r="K1092" s="56" t="s">
        <v>293</v>
      </c>
      <c r="L1092" s="292">
        <v>246</v>
      </c>
      <c r="M1092" s="292"/>
      <c r="N1092" s="358"/>
      <c r="O1092" s="292"/>
      <c r="P1092" s="292"/>
      <c r="Q1092" s="614"/>
      <c r="R1092" s="913">
        <f t="shared" si="80"/>
        <v>0</v>
      </c>
      <c r="S1092" s="913">
        <f t="shared" si="81"/>
        <v>0</v>
      </c>
      <c r="T1092" s="913">
        <f t="shared" si="82"/>
        <v>0</v>
      </c>
      <c r="U1092" s="914">
        <f t="shared" si="83"/>
        <v>2</v>
      </c>
      <c r="V1092" s="612"/>
      <c r="W1092" s="612"/>
      <c r="X1092" s="612"/>
      <c r="Y1092" s="612"/>
      <c r="Z1092" s="612"/>
      <c r="AA1092" s="612"/>
      <c r="AB1092" s="612"/>
      <c r="AC1092" s="612"/>
    </row>
    <row r="1093" spans="1:30">
      <c r="A1093" s="48" t="s">
        <v>6081</v>
      </c>
      <c r="B1093" s="60">
        <v>45635</v>
      </c>
      <c r="C1093" s="54" t="s">
        <v>168</v>
      </c>
      <c r="D1093" s="435" t="str">
        <f>IFERROR(VLOOKUP(C1093,Mychart!$A$125:$B$811,2,FALSE),"-")</f>
        <v>UTS Carrier</v>
      </c>
      <c r="E1093" s="295" t="s">
        <v>235</v>
      </c>
      <c r="F1093" s="58">
        <v>1</v>
      </c>
      <c r="G1093" s="58"/>
      <c r="H1093" s="58">
        <v>89590</v>
      </c>
      <c r="I1093" s="58">
        <v>4479.5</v>
      </c>
      <c r="J1093" s="56" t="s">
        <v>6079</v>
      </c>
      <c r="K1093" s="56" t="s">
        <v>293</v>
      </c>
      <c r="L1093" s="292">
        <v>246</v>
      </c>
      <c r="M1093" s="292"/>
      <c r="N1093" s="358"/>
      <c r="O1093" s="292"/>
      <c r="P1093" s="292"/>
      <c r="Q1093" s="614"/>
      <c r="R1093" s="913">
        <f t="shared" si="80"/>
        <v>0</v>
      </c>
      <c r="S1093" s="913">
        <f t="shared" si="81"/>
        <v>0</v>
      </c>
      <c r="T1093" s="913">
        <f t="shared" si="82"/>
        <v>0</v>
      </c>
      <c r="U1093" s="914">
        <f t="shared" si="83"/>
        <v>1</v>
      </c>
      <c r="V1093" s="612"/>
      <c r="W1093" s="612"/>
      <c r="X1093" s="612"/>
      <c r="Y1093" s="612"/>
      <c r="Z1093" s="612"/>
      <c r="AA1093" s="612"/>
      <c r="AB1093" s="612"/>
      <c r="AC1093" s="612"/>
    </row>
    <row r="1094" spans="1:30">
      <c r="A1094" s="48" t="s">
        <v>6081</v>
      </c>
      <c r="B1094" s="60">
        <v>45635</v>
      </c>
      <c r="C1094" s="54" t="s">
        <v>168</v>
      </c>
      <c r="D1094" s="435" t="str">
        <f>IFERROR(VLOOKUP(C1094,Mychart!$A$125:$B$811,2,FALSE),"-")</f>
        <v>UTS Carrier</v>
      </c>
      <c r="E1094" s="295" t="s">
        <v>234</v>
      </c>
      <c r="F1094" s="58">
        <v>1</v>
      </c>
      <c r="G1094" s="58"/>
      <c r="H1094" s="58">
        <v>89590</v>
      </c>
      <c r="I1094" s="58">
        <v>4479.5</v>
      </c>
      <c r="J1094" s="56" t="s">
        <v>6079</v>
      </c>
      <c r="K1094" s="56" t="s">
        <v>293</v>
      </c>
      <c r="L1094" s="292">
        <v>246</v>
      </c>
      <c r="M1094" s="292"/>
      <c r="N1094" s="358"/>
      <c r="O1094" s="292"/>
      <c r="P1094" s="292"/>
      <c r="Q1094" s="614"/>
      <c r="R1094" s="913">
        <f t="shared" si="80"/>
        <v>0</v>
      </c>
      <c r="S1094" s="913">
        <f t="shared" si="81"/>
        <v>0</v>
      </c>
      <c r="T1094" s="913">
        <f t="shared" si="82"/>
        <v>0</v>
      </c>
      <c r="U1094" s="914">
        <f t="shared" si="83"/>
        <v>1</v>
      </c>
      <c r="V1094" s="612"/>
      <c r="W1094" s="612"/>
      <c r="X1094" s="612"/>
      <c r="Y1094" s="612"/>
      <c r="Z1094" s="612"/>
      <c r="AA1094" s="612"/>
      <c r="AB1094" s="612"/>
      <c r="AC1094" s="612"/>
    </row>
    <row r="1095" spans="1:30">
      <c r="A1095" s="48" t="s">
        <v>6081</v>
      </c>
      <c r="B1095" s="60">
        <v>45635</v>
      </c>
      <c r="C1095" s="54" t="s">
        <v>168</v>
      </c>
      <c r="D1095" s="435" t="str">
        <f>IFERROR(VLOOKUP(C1095,Mychart!$A$125:$B$811,2,FALSE),"-")</f>
        <v>UTS Carrier</v>
      </c>
      <c r="E1095" s="295" t="s">
        <v>233</v>
      </c>
      <c r="F1095" s="58">
        <v>7</v>
      </c>
      <c r="G1095" s="58"/>
      <c r="H1095" s="58">
        <v>89590</v>
      </c>
      <c r="I1095" s="58">
        <v>4479.5</v>
      </c>
      <c r="J1095" s="56" t="s">
        <v>6079</v>
      </c>
      <c r="K1095" s="56" t="s">
        <v>293</v>
      </c>
      <c r="L1095" s="292">
        <v>246</v>
      </c>
      <c r="M1095" s="292"/>
      <c r="N1095" s="358"/>
      <c r="O1095" s="292"/>
      <c r="P1095" s="292"/>
      <c r="Q1095" s="614"/>
      <c r="R1095" s="913">
        <f t="shared" si="80"/>
        <v>0</v>
      </c>
      <c r="S1095" s="913">
        <f t="shared" si="81"/>
        <v>0</v>
      </c>
      <c r="T1095" s="913">
        <f t="shared" si="82"/>
        <v>0</v>
      </c>
      <c r="U1095" s="914">
        <f t="shared" si="83"/>
        <v>7</v>
      </c>
      <c r="V1095" s="612"/>
      <c r="W1095" s="612"/>
      <c r="X1095" s="612"/>
      <c r="Y1095" s="612"/>
      <c r="Z1095" s="612"/>
      <c r="AA1095" s="612"/>
      <c r="AB1095" s="612"/>
      <c r="AC1095" s="612"/>
    </row>
    <row r="1096" spans="1:30">
      <c r="A1096" s="48" t="s">
        <v>6081</v>
      </c>
      <c r="B1096" s="60">
        <v>45635</v>
      </c>
      <c r="C1096" s="54" t="s">
        <v>168</v>
      </c>
      <c r="D1096" s="435" t="str">
        <f>IFERROR(VLOOKUP(C1096,Mychart!$A$125:$B$811,2,FALSE),"-")</f>
        <v>UTS Carrier</v>
      </c>
      <c r="E1096" s="295" t="s">
        <v>232</v>
      </c>
      <c r="F1096" s="58">
        <v>7</v>
      </c>
      <c r="G1096" s="58"/>
      <c r="H1096" s="58">
        <v>89590</v>
      </c>
      <c r="I1096" s="58">
        <v>4479.5</v>
      </c>
      <c r="J1096" s="56" t="s">
        <v>6079</v>
      </c>
      <c r="K1096" s="56" t="s">
        <v>293</v>
      </c>
      <c r="L1096" s="292">
        <v>246</v>
      </c>
      <c r="M1096" s="292"/>
      <c r="N1096" s="358"/>
      <c r="O1096" s="292"/>
      <c r="P1096" s="292"/>
      <c r="Q1096" s="614"/>
      <c r="R1096" s="913">
        <f t="shared" si="80"/>
        <v>0</v>
      </c>
      <c r="S1096" s="913">
        <f t="shared" si="81"/>
        <v>0</v>
      </c>
      <c r="T1096" s="913">
        <f t="shared" si="82"/>
        <v>0</v>
      </c>
      <c r="U1096" s="914">
        <f t="shared" si="83"/>
        <v>7</v>
      </c>
      <c r="V1096" s="612"/>
      <c r="W1096" s="612"/>
      <c r="X1096" s="612"/>
      <c r="Y1096" s="612"/>
      <c r="Z1096" s="612"/>
      <c r="AA1096" s="612"/>
      <c r="AB1096" s="612"/>
      <c r="AC1096" s="612"/>
    </row>
    <row r="1097" spans="1:30">
      <c r="A1097" s="48" t="s">
        <v>6081</v>
      </c>
      <c r="B1097" s="60">
        <v>45635</v>
      </c>
      <c r="C1097" s="54" t="s">
        <v>168</v>
      </c>
      <c r="D1097" s="435" t="str">
        <f>IFERROR(VLOOKUP(C1097,Mychart!$A$125:$B$811,2,FALSE),"-")</f>
        <v>UTS Carrier</v>
      </c>
      <c r="E1097" s="295" t="s">
        <v>1300</v>
      </c>
      <c r="F1097" s="58">
        <v>11</v>
      </c>
      <c r="G1097" s="58"/>
      <c r="H1097" s="58">
        <v>89590</v>
      </c>
      <c r="I1097" s="58">
        <v>4479.5</v>
      </c>
      <c r="J1097" s="56" t="s">
        <v>6079</v>
      </c>
      <c r="K1097" s="56" t="s">
        <v>293</v>
      </c>
      <c r="L1097" s="292">
        <v>246</v>
      </c>
      <c r="M1097" s="292"/>
      <c r="N1097" s="358"/>
      <c r="O1097" s="292"/>
      <c r="P1097" s="292"/>
      <c r="Q1097" s="614"/>
      <c r="R1097" s="913">
        <f t="shared" si="80"/>
        <v>0</v>
      </c>
      <c r="S1097" s="913">
        <f t="shared" si="81"/>
        <v>0</v>
      </c>
      <c r="T1097" s="913">
        <f t="shared" si="82"/>
        <v>0</v>
      </c>
      <c r="U1097" s="914">
        <f t="shared" si="83"/>
        <v>11</v>
      </c>
      <c r="V1097" s="612"/>
      <c r="W1097" s="612"/>
      <c r="X1097" s="612"/>
      <c r="Y1097" s="612"/>
      <c r="Z1097" s="612"/>
      <c r="AA1097" s="612"/>
      <c r="AB1097" s="612"/>
      <c r="AC1097" s="612"/>
    </row>
    <row r="1098" spans="1:30">
      <c r="A1098" s="48" t="s">
        <v>6081</v>
      </c>
      <c r="B1098" s="60">
        <v>45635</v>
      </c>
      <c r="C1098" s="54" t="s">
        <v>168</v>
      </c>
      <c r="D1098" s="435" t="str">
        <f>IFERROR(VLOOKUP(C1098,Mychart!$A$125:$B$811,2,FALSE),"-")</f>
        <v>UTS Carrier</v>
      </c>
      <c r="E1098" s="295" t="s">
        <v>5666</v>
      </c>
      <c r="F1098" s="58">
        <v>1</v>
      </c>
      <c r="G1098" s="58">
        <v>89590</v>
      </c>
      <c r="H1098" s="58">
        <v>89590</v>
      </c>
      <c r="I1098" s="58">
        <v>4479.5</v>
      </c>
      <c r="J1098" s="56" t="s">
        <v>6079</v>
      </c>
      <c r="K1098" s="56" t="s">
        <v>293</v>
      </c>
      <c r="L1098" s="292">
        <v>246</v>
      </c>
      <c r="M1098" s="292" t="s">
        <v>6139</v>
      </c>
      <c r="N1098" s="358"/>
      <c r="O1098" s="292">
        <v>61273</v>
      </c>
      <c r="P1098" s="292"/>
      <c r="Q1098" s="614">
        <v>94069.5</v>
      </c>
      <c r="R1098" s="913">
        <f t="shared" si="80"/>
        <v>61273</v>
      </c>
      <c r="S1098" s="913">
        <f t="shared" si="81"/>
        <v>94069.5</v>
      </c>
      <c r="T1098" s="913">
        <f t="shared" si="82"/>
        <v>32796.5</v>
      </c>
      <c r="U1098" s="914">
        <f t="shared" si="83"/>
        <v>1</v>
      </c>
      <c r="V1098" s="612"/>
      <c r="W1098" s="612"/>
      <c r="X1098" s="612"/>
      <c r="Y1098" s="612"/>
      <c r="Z1098" s="612"/>
      <c r="AA1098" s="612"/>
      <c r="AB1098" s="612"/>
      <c r="AC1098" s="612"/>
      <c r="AD1098" s="930">
        <v>45636.44222222222</v>
      </c>
    </row>
    <row r="1099" spans="1:30">
      <c r="A1099" s="48" t="s">
        <v>6080</v>
      </c>
      <c r="B1099" s="60">
        <v>45635</v>
      </c>
      <c r="C1099" s="54" t="s">
        <v>173</v>
      </c>
      <c r="D1099" s="435" t="str">
        <f>IFERROR(VLOOKUP(C1099,Mychart!$A$125:$B$811,2,FALSE),"-")</f>
        <v>BAB AL TABREED A/C UNITS FIX.CONT</v>
      </c>
      <c r="E1099" s="295" t="s">
        <v>6083</v>
      </c>
      <c r="F1099" s="58">
        <v>8</v>
      </c>
      <c r="G1099" s="58">
        <v>70</v>
      </c>
      <c r="H1099" s="58">
        <v>560</v>
      </c>
      <c r="I1099" s="58">
        <v>28</v>
      </c>
      <c r="J1099" s="56" t="s">
        <v>6082</v>
      </c>
      <c r="K1099" s="56" t="s">
        <v>5610</v>
      </c>
      <c r="L1099" s="292">
        <v>293</v>
      </c>
      <c r="M1099" s="292"/>
      <c r="N1099" s="358"/>
      <c r="O1099" s="292"/>
      <c r="P1099" s="292"/>
      <c r="Q1099" s="614"/>
      <c r="R1099" s="913">
        <f t="shared" si="80"/>
        <v>0</v>
      </c>
      <c r="S1099" s="913">
        <f t="shared" si="81"/>
        <v>0</v>
      </c>
      <c r="T1099" s="913">
        <f t="shared" si="82"/>
        <v>0</v>
      </c>
      <c r="U1099" s="914">
        <f t="shared" si="83"/>
        <v>8</v>
      </c>
      <c r="V1099" s="612"/>
      <c r="W1099" s="612"/>
      <c r="X1099" s="612"/>
      <c r="Y1099" s="612"/>
      <c r="Z1099" s="612"/>
      <c r="AA1099" s="612"/>
      <c r="AB1099" s="612"/>
      <c r="AC1099" s="612"/>
    </row>
    <row r="1100" spans="1:30">
      <c r="A1100" s="48" t="s">
        <v>6080</v>
      </c>
      <c r="B1100" s="60">
        <v>45635</v>
      </c>
      <c r="C1100" s="54" t="s">
        <v>173</v>
      </c>
      <c r="D1100" s="435" t="str">
        <f>IFERROR(VLOOKUP(C1100,Mychart!$A$125:$B$811,2,FALSE),"-")</f>
        <v>BAB AL TABREED A/C UNITS FIX.CONT</v>
      </c>
      <c r="E1100" s="295" t="s">
        <v>5666</v>
      </c>
      <c r="F1100" s="58"/>
      <c r="G1100" s="58"/>
      <c r="H1100" s="58">
        <v>560</v>
      </c>
      <c r="I1100" s="58">
        <v>28</v>
      </c>
      <c r="J1100" s="56" t="s">
        <v>6082</v>
      </c>
      <c r="K1100" s="56" t="s">
        <v>5610</v>
      </c>
      <c r="L1100" s="292">
        <v>293</v>
      </c>
      <c r="M1100" s="292"/>
      <c r="N1100" s="358"/>
      <c r="O1100" s="292"/>
      <c r="P1100" s="292"/>
      <c r="Q1100" s="614">
        <v>588</v>
      </c>
      <c r="R1100" s="913">
        <f t="shared" si="80"/>
        <v>0</v>
      </c>
      <c r="S1100" s="913">
        <f t="shared" si="81"/>
        <v>588</v>
      </c>
      <c r="T1100" s="913">
        <f t="shared" si="82"/>
        <v>588</v>
      </c>
      <c r="U1100" s="914">
        <f t="shared" si="83"/>
        <v>0</v>
      </c>
      <c r="V1100" s="612"/>
      <c r="W1100" s="612"/>
      <c r="X1100" s="612"/>
      <c r="Y1100" s="612"/>
      <c r="Z1100" s="612"/>
      <c r="AA1100" s="612"/>
      <c r="AB1100" s="612"/>
      <c r="AC1100" s="612"/>
    </row>
    <row r="1101" spans="1:30">
      <c r="A1101" s="48" t="s">
        <v>6122</v>
      </c>
      <c r="B1101" s="60">
        <v>45635</v>
      </c>
      <c r="C1101" s="54" t="s">
        <v>171</v>
      </c>
      <c r="D1101" s="435" t="str">
        <f>IFERROR(VLOOKUP(C1101,Mychart!$A$125:$B$811,2,FALSE),"-")</f>
        <v>MACS -Al Muthathawerah</v>
      </c>
      <c r="E1101" s="295" t="s">
        <v>6126</v>
      </c>
      <c r="F1101" s="58">
        <v>3001</v>
      </c>
      <c r="G1101" s="58">
        <v>2.85</v>
      </c>
      <c r="H1101" s="58">
        <v>9190.4800000000014</v>
      </c>
      <c r="I1101" s="58">
        <v>459.52400000000011</v>
      </c>
      <c r="J1101" s="56">
        <v>242132</v>
      </c>
      <c r="K1101" s="56" t="s">
        <v>1213</v>
      </c>
      <c r="L1101" s="292">
        <v>282</v>
      </c>
      <c r="M1101" s="292"/>
      <c r="N1101" s="358"/>
      <c r="O1101" s="292"/>
      <c r="P1101" s="292"/>
      <c r="Q1101" s="614"/>
      <c r="R1101" s="913">
        <f t="shared" si="80"/>
        <v>0</v>
      </c>
      <c r="S1101" s="913">
        <f t="shared" si="81"/>
        <v>0</v>
      </c>
      <c r="T1101" s="913">
        <f t="shared" si="82"/>
        <v>0</v>
      </c>
      <c r="U1101" s="914">
        <f t="shared" si="83"/>
        <v>3001</v>
      </c>
      <c r="V1101" s="612"/>
      <c r="W1101" s="612"/>
      <c r="X1101" s="612"/>
      <c r="Y1101" s="612"/>
      <c r="Z1101" s="612"/>
      <c r="AA1101" s="612"/>
      <c r="AB1101" s="612"/>
      <c r="AC1101" s="612"/>
    </row>
    <row r="1102" spans="1:30">
      <c r="A1102" s="48" t="s">
        <v>6122</v>
      </c>
      <c r="B1102" s="60">
        <v>45635</v>
      </c>
      <c r="C1102" s="54" t="s">
        <v>171</v>
      </c>
      <c r="D1102" s="435" t="str">
        <f>IFERROR(VLOOKUP(C1102,Mychart!$A$125:$B$811,2,FALSE),"-")</f>
        <v>MACS -Al Muthathawerah</v>
      </c>
      <c r="E1102" s="295" t="s">
        <v>6125</v>
      </c>
      <c r="F1102" s="58">
        <v>70</v>
      </c>
      <c r="G1102" s="58">
        <v>3.7</v>
      </c>
      <c r="H1102" s="58">
        <v>9190.4800000000014</v>
      </c>
      <c r="I1102" s="58">
        <v>459.52400000000011</v>
      </c>
      <c r="J1102" s="56">
        <v>242132</v>
      </c>
      <c r="K1102" s="56" t="s">
        <v>1213</v>
      </c>
      <c r="L1102" s="292">
        <v>282</v>
      </c>
      <c r="M1102" s="292"/>
      <c r="N1102" s="358"/>
      <c r="O1102" s="292"/>
      <c r="P1102" s="292"/>
      <c r="Q1102" s="614"/>
      <c r="R1102" s="913">
        <f t="shared" si="80"/>
        <v>0</v>
      </c>
      <c r="S1102" s="913">
        <f t="shared" si="81"/>
        <v>0</v>
      </c>
      <c r="T1102" s="913">
        <f t="shared" si="82"/>
        <v>0</v>
      </c>
      <c r="U1102" s="914">
        <f t="shared" si="83"/>
        <v>70</v>
      </c>
      <c r="V1102" s="612"/>
      <c r="W1102" s="612"/>
      <c r="X1102" s="612"/>
      <c r="Y1102" s="612"/>
      <c r="Z1102" s="612"/>
      <c r="AA1102" s="612"/>
      <c r="AB1102" s="612"/>
      <c r="AC1102" s="612"/>
    </row>
    <row r="1103" spans="1:30">
      <c r="A1103" s="48" t="s">
        <v>6122</v>
      </c>
      <c r="B1103" s="60">
        <v>45635</v>
      </c>
      <c r="C1103" s="54" t="s">
        <v>171</v>
      </c>
      <c r="D1103" s="435" t="str">
        <f>IFERROR(VLOOKUP(C1103,Mychart!$A$125:$B$811,2,FALSE),"-")</f>
        <v>MACS -Al Muthathawerah</v>
      </c>
      <c r="E1103" s="295" t="s">
        <v>6127</v>
      </c>
      <c r="F1103" s="58">
        <v>16</v>
      </c>
      <c r="G1103" s="58">
        <v>3.5</v>
      </c>
      <c r="H1103" s="58">
        <v>9190.4800000000014</v>
      </c>
      <c r="I1103" s="58">
        <v>459.52400000000011</v>
      </c>
      <c r="J1103" s="56">
        <v>242132</v>
      </c>
      <c r="K1103" s="56" t="s">
        <v>1213</v>
      </c>
      <c r="L1103" s="292">
        <v>282</v>
      </c>
      <c r="M1103" s="292"/>
      <c r="N1103" s="358"/>
      <c r="O1103" s="292"/>
      <c r="P1103" s="292"/>
      <c r="Q1103" s="614"/>
      <c r="R1103" s="913">
        <f t="shared" si="80"/>
        <v>0</v>
      </c>
      <c r="S1103" s="913">
        <f t="shared" si="81"/>
        <v>0</v>
      </c>
      <c r="T1103" s="913">
        <f t="shared" si="82"/>
        <v>0</v>
      </c>
      <c r="U1103" s="914">
        <f t="shared" si="83"/>
        <v>16</v>
      </c>
      <c r="V1103" s="612"/>
      <c r="W1103" s="612"/>
      <c r="X1103" s="612"/>
      <c r="Y1103" s="612"/>
      <c r="Z1103" s="612"/>
      <c r="AA1103" s="612"/>
      <c r="AB1103" s="612"/>
      <c r="AC1103" s="612"/>
    </row>
    <row r="1104" spans="1:30">
      <c r="A1104" s="48" t="s">
        <v>6122</v>
      </c>
      <c r="B1104" s="60">
        <v>45635</v>
      </c>
      <c r="C1104" s="54" t="s">
        <v>171</v>
      </c>
      <c r="D1104" s="435" t="str">
        <f>IFERROR(VLOOKUP(C1104,Mychart!$A$125:$B$811,2,FALSE),"-")</f>
        <v>MACS -Al Muthathawerah</v>
      </c>
      <c r="E1104" s="295" t="s">
        <v>6123</v>
      </c>
      <c r="F1104" s="58">
        <v>24</v>
      </c>
      <c r="G1104" s="58">
        <v>0.65</v>
      </c>
      <c r="H1104" s="58">
        <v>9190.4800000000014</v>
      </c>
      <c r="I1104" s="58">
        <v>459.52400000000011</v>
      </c>
      <c r="J1104" s="56">
        <v>242132</v>
      </c>
      <c r="K1104" s="56" t="s">
        <v>1213</v>
      </c>
      <c r="L1104" s="292">
        <v>282</v>
      </c>
      <c r="M1104" s="292"/>
      <c r="N1104" s="358"/>
      <c r="O1104" s="292"/>
      <c r="P1104" s="292"/>
      <c r="Q1104" s="614"/>
      <c r="R1104" s="913">
        <f t="shared" si="80"/>
        <v>0</v>
      </c>
      <c r="S1104" s="913">
        <f t="shared" si="81"/>
        <v>0</v>
      </c>
      <c r="T1104" s="913">
        <f t="shared" si="82"/>
        <v>0</v>
      </c>
      <c r="U1104" s="914">
        <f t="shared" si="83"/>
        <v>24</v>
      </c>
      <c r="V1104" s="612"/>
      <c r="W1104" s="612"/>
      <c r="X1104" s="612"/>
      <c r="Y1104" s="612"/>
      <c r="Z1104" s="612"/>
      <c r="AA1104" s="612"/>
      <c r="AB1104" s="612"/>
      <c r="AC1104" s="612"/>
    </row>
    <row r="1105" spans="1:29">
      <c r="A1105" s="48" t="s">
        <v>6122</v>
      </c>
      <c r="B1105" s="60">
        <v>45635</v>
      </c>
      <c r="C1105" s="54" t="s">
        <v>171</v>
      </c>
      <c r="D1105" s="435" t="str">
        <f>IFERROR(VLOOKUP(C1105,Mychart!$A$125:$B$811,2,FALSE),"-")</f>
        <v>MACS -Al Muthathawerah</v>
      </c>
      <c r="E1105" s="295" t="s">
        <v>6124</v>
      </c>
      <c r="F1105" s="58">
        <v>19</v>
      </c>
      <c r="G1105" s="58">
        <v>0.55000000000000004</v>
      </c>
      <c r="H1105" s="58">
        <v>9190.4800000000014</v>
      </c>
      <c r="I1105" s="58">
        <v>459.52400000000011</v>
      </c>
      <c r="J1105" s="56">
        <v>242132</v>
      </c>
      <c r="K1105" s="56" t="s">
        <v>1213</v>
      </c>
      <c r="L1105" s="292">
        <v>282</v>
      </c>
      <c r="M1105" s="292"/>
      <c r="N1105" s="358"/>
      <c r="O1105" s="292"/>
      <c r="P1105" s="292"/>
      <c r="Q1105" s="614"/>
      <c r="R1105" s="913">
        <f t="shared" si="80"/>
        <v>0</v>
      </c>
      <c r="S1105" s="913">
        <f t="shared" si="81"/>
        <v>0</v>
      </c>
      <c r="T1105" s="913">
        <f t="shared" si="82"/>
        <v>0</v>
      </c>
      <c r="U1105" s="914">
        <f t="shared" si="83"/>
        <v>19</v>
      </c>
      <c r="V1105" s="612"/>
      <c r="W1105" s="612"/>
      <c r="X1105" s="612"/>
      <c r="Y1105" s="612"/>
      <c r="Z1105" s="612"/>
      <c r="AA1105" s="612"/>
      <c r="AB1105" s="612"/>
      <c r="AC1105" s="612"/>
    </row>
    <row r="1106" spans="1:29">
      <c r="A1106" s="48" t="s">
        <v>6122</v>
      </c>
      <c r="B1106" s="60">
        <v>45635</v>
      </c>
      <c r="C1106" s="54" t="s">
        <v>171</v>
      </c>
      <c r="D1106" s="435" t="str">
        <f>IFERROR(VLOOKUP(C1106,Mychart!$A$125:$B$811,2,FALSE),"-")</f>
        <v>MACS -Al Muthathawerah</v>
      </c>
      <c r="E1106" s="295" t="s">
        <v>986</v>
      </c>
      <c r="F1106" s="58">
        <v>142</v>
      </c>
      <c r="G1106" s="58">
        <v>3</v>
      </c>
      <c r="H1106" s="58">
        <v>9190.4800000000014</v>
      </c>
      <c r="I1106" s="58">
        <v>459.52400000000011</v>
      </c>
      <c r="J1106" s="56">
        <v>242132</v>
      </c>
      <c r="K1106" s="56" t="s">
        <v>1213</v>
      </c>
      <c r="L1106" s="292">
        <v>282</v>
      </c>
      <c r="M1106" s="292"/>
      <c r="N1106" s="358"/>
      <c r="O1106" s="292"/>
      <c r="P1106" s="292"/>
      <c r="Q1106" s="614"/>
      <c r="R1106" s="913">
        <f t="shared" si="80"/>
        <v>0</v>
      </c>
      <c r="S1106" s="913">
        <f t="shared" si="81"/>
        <v>0</v>
      </c>
      <c r="T1106" s="913">
        <f t="shared" si="82"/>
        <v>0</v>
      </c>
      <c r="U1106" s="914">
        <f t="shared" si="83"/>
        <v>142</v>
      </c>
      <c r="V1106" s="612"/>
      <c r="W1106" s="612"/>
      <c r="X1106" s="612"/>
      <c r="Y1106" s="612"/>
      <c r="Z1106" s="612"/>
      <c r="AA1106" s="612"/>
      <c r="AB1106" s="612"/>
      <c r="AC1106" s="612"/>
    </row>
    <row r="1107" spans="1:29">
      <c r="A1107" s="48" t="s">
        <v>6122</v>
      </c>
      <c r="B1107" s="60">
        <v>45635</v>
      </c>
      <c r="C1107" s="54" t="s">
        <v>171</v>
      </c>
      <c r="D1107" s="435" t="str">
        <f>IFERROR(VLOOKUP(C1107,Mychart!$A$125:$B$811,2,FALSE),"-")</f>
        <v>MACS -Al Muthathawerah</v>
      </c>
      <c r="E1107" s="295" t="s">
        <v>987</v>
      </c>
      <c r="F1107" s="58">
        <v>100</v>
      </c>
      <c r="G1107" s="58">
        <v>2</v>
      </c>
      <c r="H1107" s="58">
        <v>9190.4800000000014</v>
      </c>
      <c r="I1107" s="58">
        <v>459.52400000000011</v>
      </c>
      <c r="J1107" s="56">
        <v>242132</v>
      </c>
      <c r="K1107" s="56" t="s">
        <v>1213</v>
      </c>
      <c r="L1107" s="292">
        <v>282</v>
      </c>
      <c r="M1107" s="292"/>
      <c r="N1107" s="358"/>
      <c r="O1107" s="292"/>
      <c r="P1107" s="292"/>
      <c r="Q1107" s="614"/>
      <c r="R1107" s="913">
        <f t="shared" si="80"/>
        <v>0</v>
      </c>
      <c r="S1107" s="913">
        <f t="shared" si="81"/>
        <v>0</v>
      </c>
      <c r="T1107" s="913">
        <f t="shared" si="82"/>
        <v>0</v>
      </c>
      <c r="U1107" s="914">
        <f t="shared" si="83"/>
        <v>100</v>
      </c>
      <c r="V1107" s="612"/>
      <c r="W1107" s="612"/>
      <c r="X1107" s="612"/>
      <c r="Y1107" s="612"/>
      <c r="Z1107" s="612"/>
      <c r="AA1107" s="612"/>
      <c r="AB1107" s="612"/>
      <c r="AC1107" s="612"/>
    </row>
    <row r="1108" spans="1:29">
      <c r="A1108" s="48" t="s">
        <v>6122</v>
      </c>
      <c r="B1108" s="60">
        <v>45635</v>
      </c>
      <c r="C1108" s="54" t="s">
        <v>171</v>
      </c>
      <c r="D1108" s="435" t="str">
        <f>IFERROR(VLOOKUP(C1108,Mychart!$A$125:$B$811,2,FALSE),"-")</f>
        <v>MACS -Al Muthathawerah</v>
      </c>
      <c r="E1108" s="295" t="s">
        <v>5794</v>
      </c>
      <c r="F1108" s="58">
        <v>1</v>
      </c>
      <c r="G1108" s="58">
        <v>-329.42</v>
      </c>
      <c r="H1108" s="58">
        <v>9190.4800000000014</v>
      </c>
      <c r="I1108" s="58">
        <v>459.52400000000011</v>
      </c>
      <c r="J1108" s="56">
        <v>242132</v>
      </c>
      <c r="K1108" s="56" t="s">
        <v>1213</v>
      </c>
      <c r="L1108" s="292">
        <v>282</v>
      </c>
      <c r="M1108" s="292"/>
      <c r="N1108" s="358"/>
      <c r="O1108" s="292"/>
      <c r="P1108" s="292"/>
      <c r="Q1108" s="614"/>
      <c r="R1108" s="913">
        <f t="shared" si="80"/>
        <v>0</v>
      </c>
      <c r="S1108" s="913">
        <f t="shared" si="81"/>
        <v>0</v>
      </c>
      <c r="T1108" s="913">
        <f t="shared" si="82"/>
        <v>0</v>
      </c>
      <c r="U1108" s="914">
        <f t="shared" si="83"/>
        <v>1</v>
      </c>
      <c r="V1108" s="612"/>
      <c r="W1108" s="612"/>
      <c r="X1108" s="612"/>
      <c r="Y1108" s="612"/>
      <c r="Z1108" s="612"/>
      <c r="AA1108" s="612"/>
      <c r="AB1108" s="612"/>
      <c r="AC1108" s="612"/>
    </row>
    <row r="1109" spans="1:29">
      <c r="A1109" s="48" t="s">
        <v>6122</v>
      </c>
      <c r="B1109" s="60">
        <v>45635</v>
      </c>
      <c r="C1109" s="54" t="s">
        <v>171</v>
      </c>
      <c r="D1109" s="435" t="str">
        <f>IFERROR(VLOOKUP(C1109,Mychart!$A$125:$B$811,2,FALSE),"-")</f>
        <v>MACS -Al Muthathawerah</v>
      </c>
      <c r="E1109" s="295" t="s">
        <v>5666</v>
      </c>
      <c r="F1109" s="58">
        <v>0</v>
      </c>
      <c r="G1109" s="58">
        <v>1</v>
      </c>
      <c r="H1109" s="58">
        <v>9190.4800000000014</v>
      </c>
      <c r="I1109" s="58">
        <v>459.52400000000011</v>
      </c>
      <c r="J1109" s="56">
        <v>242132</v>
      </c>
      <c r="K1109" s="56" t="s">
        <v>1213</v>
      </c>
      <c r="L1109" s="292">
        <v>282</v>
      </c>
      <c r="M1109" s="292"/>
      <c r="N1109" s="358"/>
      <c r="O1109" s="292"/>
      <c r="P1109" s="292"/>
      <c r="Q1109" s="614">
        <v>9650.0040000000008</v>
      </c>
      <c r="R1109" s="913">
        <f t="shared" si="80"/>
        <v>0</v>
      </c>
      <c r="S1109" s="913">
        <f t="shared" si="81"/>
        <v>9650.0040000000008</v>
      </c>
      <c r="T1109" s="913">
        <f t="shared" si="82"/>
        <v>9650.0040000000008</v>
      </c>
      <c r="U1109" s="914">
        <f t="shared" si="83"/>
        <v>0</v>
      </c>
      <c r="V1109" s="612"/>
      <c r="W1109" s="612"/>
      <c r="X1109" s="612"/>
      <c r="Y1109" s="612"/>
      <c r="Z1109" s="612"/>
      <c r="AA1109" s="612"/>
      <c r="AB1109" s="612"/>
      <c r="AC1109" s="612"/>
    </row>
    <row r="1110" spans="1:29">
      <c r="A1110" s="48" t="s">
        <v>6158</v>
      </c>
      <c r="B1110" s="60">
        <v>45637</v>
      </c>
      <c r="C1110" s="54" t="s">
        <v>172</v>
      </c>
      <c r="D1110" s="435" t="str">
        <f>IFERROR(VLOOKUP(C1110,Mychart!$A$125:$B$811,2,FALSE),"-")</f>
        <v>BEST CHOICE INDUSTRIES LLC</v>
      </c>
      <c r="E1110" s="295" t="s">
        <v>6159</v>
      </c>
      <c r="F1110" s="58">
        <v>20</v>
      </c>
      <c r="G1110" s="58"/>
      <c r="H1110" s="58">
        <v>429</v>
      </c>
      <c r="I1110" s="58">
        <v>21.450000000000003</v>
      </c>
      <c r="J1110" s="56">
        <v>82076</v>
      </c>
      <c r="K1110" s="56" t="s">
        <v>320</v>
      </c>
      <c r="L1110" s="292">
        <v>275</v>
      </c>
      <c r="M1110" s="292"/>
      <c r="N1110" s="358"/>
      <c r="O1110" s="292"/>
      <c r="P1110" s="292"/>
      <c r="Q1110" s="614"/>
      <c r="R1110" s="913">
        <f t="shared" si="80"/>
        <v>0</v>
      </c>
      <c r="S1110" s="913">
        <f t="shared" si="81"/>
        <v>0</v>
      </c>
      <c r="T1110" s="913">
        <f t="shared" si="82"/>
        <v>0</v>
      </c>
      <c r="U1110" s="914">
        <f t="shared" si="83"/>
        <v>20</v>
      </c>
      <c r="V1110" s="612"/>
      <c r="W1110" s="612"/>
      <c r="X1110" s="612"/>
      <c r="Y1110" s="612"/>
      <c r="Z1110" s="612"/>
      <c r="AA1110" s="612"/>
      <c r="AB1110" s="612"/>
      <c r="AC1110" s="612"/>
    </row>
    <row r="1111" spans="1:29">
      <c r="A1111" s="48" t="s">
        <v>6158</v>
      </c>
      <c r="B1111" s="60">
        <v>45637</v>
      </c>
      <c r="C1111" s="54" t="s">
        <v>172</v>
      </c>
      <c r="D1111" s="435" t="str">
        <f>IFERROR(VLOOKUP(C1111,Mychart!$A$125:$B$811,2,FALSE),"-")</f>
        <v>BEST CHOICE INDUSTRIES LLC</v>
      </c>
      <c r="E1111" s="295" t="s">
        <v>5666</v>
      </c>
      <c r="F1111" s="58">
        <v>1</v>
      </c>
      <c r="G1111" s="58">
        <v>429</v>
      </c>
      <c r="H1111" s="58">
        <v>429</v>
      </c>
      <c r="I1111" s="58">
        <v>21.450000000000003</v>
      </c>
      <c r="J1111" s="56">
        <v>82076</v>
      </c>
      <c r="K1111" s="56" t="s">
        <v>320</v>
      </c>
      <c r="L1111" s="292">
        <v>275</v>
      </c>
      <c r="M1111" s="292"/>
      <c r="N1111" s="358"/>
      <c r="O1111" s="292"/>
      <c r="P1111" s="292"/>
      <c r="Q1111" s="614">
        <v>450.45</v>
      </c>
      <c r="R1111" s="913">
        <f t="shared" si="80"/>
        <v>0</v>
      </c>
      <c r="S1111" s="913">
        <f t="shared" si="81"/>
        <v>450.45</v>
      </c>
      <c r="T1111" s="913">
        <f t="shared" si="82"/>
        <v>450.45</v>
      </c>
      <c r="U1111" s="914">
        <f t="shared" si="83"/>
        <v>1</v>
      </c>
      <c r="V1111" s="612"/>
      <c r="W1111" s="612"/>
      <c r="X1111" s="612"/>
      <c r="Y1111" s="612"/>
      <c r="Z1111" s="612"/>
      <c r="AA1111" s="612"/>
      <c r="AB1111" s="612"/>
      <c r="AC1111" s="612"/>
    </row>
    <row r="1112" spans="1:29">
      <c r="A1112" s="48" t="s">
        <v>6160</v>
      </c>
      <c r="B1112" s="60">
        <v>45637</v>
      </c>
      <c r="C1112" s="54" t="s">
        <v>172</v>
      </c>
      <c r="D1112" s="435" t="str">
        <f>IFERROR(VLOOKUP(C1112,Mychart!$A$125:$B$811,2,FALSE),"-")</f>
        <v>BEST CHOICE INDUSTRIES LLC</v>
      </c>
      <c r="E1112" s="295" t="s">
        <v>6161</v>
      </c>
      <c r="F1112" s="58">
        <v>24</v>
      </c>
      <c r="G1112" s="58"/>
      <c r="H1112" s="58">
        <v>2810</v>
      </c>
      <c r="I1112" s="58">
        <v>140.5</v>
      </c>
      <c r="J1112" s="56">
        <v>82072</v>
      </c>
      <c r="K1112" s="56" t="s">
        <v>269</v>
      </c>
      <c r="L1112" s="292">
        <v>256</v>
      </c>
      <c r="M1112" s="292"/>
      <c r="N1112" s="358"/>
      <c r="O1112" s="292"/>
      <c r="P1112" s="292"/>
      <c r="Q1112" s="614"/>
      <c r="R1112" s="913">
        <f t="shared" si="80"/>
        <v>0</v>
      </c>
      <c r="S1112" s="913">
        <f t="shared" si="81"/>
        <v>0</v>
      </c>
      <c r="T1112" s="913">
        <f t="shared" si="82"/>
        <v>0</v>
      </c>
      <c r="U1112" s="914">
        <f t="shared" si="83"/>
        <v>24</v>
      </c>
      <c r="V1112" s="612"/>
      <c r="W1112" s="612"/>
      <c r="X1112" s="612"/>
      <c r="Y1112" s="612"/>
      <c r="Z1112" s="612"/>
      <c r="AA1112" s="612"/>
      <c r="AB1112" s="612"/>
      <c r="AC1112" s="612"/>
    </row>
    <row r="1113" spans="1:29">
      <c r="A1113" s="48" t="s">
        <v>6160</v>
      </c>
      <c r="B1113" s="60">
        <v>45637</v>
      </c>
      <c r="C1113" s="54" t="s">
        <v>172</v>
      </c>
      <c r="D1113" s="435" t="str">
        <f>IFERROR(VLOOKUP(C1113,Mychart!$A$125:$B$811,2,FALSE),"-")</f>
        <v>BEST CHOICE INDUSTRIES LLC</v>
      </c>
      <c r="E1113" s="295" t="s">
        <v>6162</v>
      </c>
      <c r="F1113" s="58">
        <v>4</v>
      </c>
      <c r="G1113" s="58"/>
      <c r="H1113" s="58">
        <v>2810</v>
      </c>
      <c r="I1113" s="58">
        <v>140.5</v>
      </c>
      <c r="J1113" s="56">
        <v>82072</v>
      </c>
      <c r="K1113" s="56" t="s">
        <v>269</v>
      </c>
      <c r="L1113" s="292">
        <v>256</v>
      </c>
      <c r="M1113" s="292"/>
      <c r="N1113" s="358"/>
      <c r="O1113" s="292"/>
      <c r="P1113" s="292"/>
      <c r="Q1113" s="614"/>
      <c r="R1113" s="913">
        <f t="shared" si="80"/>
        <v>0</v>
      </c>
      <c r="S1113" s="913">
        <f t="shared" si="81"/>
        <v>0</v>
      </c>
      <c r="T1113" s="913">
        <f t="shared" si="82"/>
        <v>0</v>
      </c>
      <c r="U1113" s="914">
        <f t="shared" si="83"/>
        <v>4</v>
      </c>
      <c r="V1113" s="612"/>
      <c r="W1113" s="612"/>
      <c r="X1113" s="612"/>
      <c r="Y1113" s="612"/>
      <c r="Z1113" s="612"/>
      <c r="AA1113" s="612"/>
      <c r="AB1113" s="612"/>
      <c r="AC1113" s="612"/>
    </row>
    <row r="1114" spans="1:29">
      <c r="A1114" s="48" t="s">
        <v>6160</v>
      </c>
      <c r="B1114" s="60">
        <v>45637</v>
      </c>
      <c r="C1114" s="54" t="s">
        <v>172</v>
      </c>
      <c r="D1114" s="435" t="str">
        <f>IFERROR(VLOOKUP(C1114,Mychart!$A$125:$B$811,2,FALSE),"-")</f>
        <v>BEST CHOICE INDUSTRIES LLC</v>
      </c>
      <c r="E1114" s="295" t="s">
        <v>6163</v>
      </c>
      <c r="F1114" s="58">
        <v>4</v>
      </c>
      <c r="G1114" s="58"/>
      <c r="H1114" s="58">
        <v>2810</v>
      </c>
      <c r="I1114" s="58">
        <v>140.5</v>
      </c>
      <c r="J1114" s="56">
        <v>82072</v>
      </c>
      <c r="K1114" s="56" t="s">
        <v>269</v>
      </c>
      <c r="L1114" s="292">
        <v>256</v>
      </c>
      <c r="M1114" s="292"/>
      <c r="N1114" s="358"/>
      <c r="O1114" s="292"/>
      <c r="P1114" s="292"/>
      <c r="Q1114" s="614"/>
      <c r="R1114" s="913">
        <f t="shared" si="80"/>
        <v>0</v>
      </c>
      <c r="S1114" s="913">
        <f t="shared" si="81"/>
        <v>0</v>
      </c>
      <c r="T1114" s="913">
        <f t="shared" si="82"/>
        <v>0</v>
      </c>
      <c r="U1114" s="914">
        <f t="shared" si="83"/>
        <v>4</v>
      </c>
      <c r="V1114" s="612"/>
      <c r="W1114" s="612"/>
      <c r="X1114" s="612"/>
      <c r="Y1114" s="612"/>
      <c r="Z1114" s="612"/>
      <c r="AA1114" s="612"/>
      <c r="AB1114" s="612"/>
      <c r="AC1114" s="612"/>
    </row>
    <row r="1115" spans="1:29">
      <c r="A1115" s="48" t="s">
        <v>6160</v>
      </c>
      <c r="B1115" s="60">
        <v>45637</v>
      </c>
      <c r="C1115" s="54" t="s">
        <v>172</v>
      </c>
      <c r="D1115" s="435" t="str">
        <f>IFERROR(VLOOKUP(C1115,Mychart!$A$125:$B$811,2,FALSE),"-")</f>
        <v>BEST CHOICE INDUSTRIES LLC</v>
      </c>
      <c r="E1115" s="295" t="s">
        <v>5666</v>
      </c>
      <c r="F1115" s="58">
        <v>1</v>
      </c>
      <c r="G1115" s="58">
        <v>2810</v>
      </c>
      <c r="H1115" s="58">
        <v>2810</v>
      </c>
      <c r="I1115" s="58">
        <v>140.5</v>
      </c>
      <c r="J1115" s="56">
        <v>82072</v>
      </c>
      <c r="K1115" s="56" t="s">
        <v>269</v>
      </c>
      <c r="L1115" s="292">
        <v>256</v>
      </c>
      <c r="M1115" s="292"/>
      <c r="N1115" s="358"/>
      <c r="O1115" s="292"/>
      <c r="P1115" s="292"/>
      <c r="Q1115" s="614">
        <v>2950.5</v>
      </c>
      <c r="R1115" s="913">
        <f t="shared" si="80"/>
        <v>0</v>
      </c>
      <c r="S1115" s="913">
        <f t="shared" si="81"/>
        <v>2950.5</v>
      </c>
      <c r="T1115" s="913">
        <f t="shared" si="82"/>
        <v>2950.5</v>
      </c>
      <c r="U1115" s="914">
        <f t="shared" si="83"/>
        <v>1</v>
      </c>
      <c r="V1115" s="612"/>
      <c r="W1115" s="612"/>
      <c r="X1115" s="612"/>
      <c r="Y1115" s="612"/>
      <c r="Z1115" s="612"/>
      <c r="AA1115" s="612"/>
      <c r="AB1115" s="612"/>
      <c r="AC1115" s="612"/>
    </row>
    <row r="1116" spans="1:29">
      <c r="A1116" s="48" t="s">
        <v>6165</v>
      </c>
      <c r="B1116" s="60">
        <v>45638</v>
      </c>
      <c r="C1116" s="54" t="s">
        <v>173</v>
      </c>
      <c r="D1116" s="435" t="str">
        <f>IFERROR(VLOOKUP(C1116,Mychart!$A$125:$B$811,2,FALSE),"-")</f>
        <v>BAB AL TABREED A/C UNITS FIX.CONT</v>
      </c>
      <c r="E1116" s="295" t="s">
        <v>5916</v>
      </c>
      <c r="F1116" s="58">
        <v>98</v>
      </c>
      <c r="G1116" s="58">
        <v>2.8</v>
      </c>
      <c r="H1116" s="58">
        <v>310.39999999999998</v>
      </c>
      <c r="I1116" s="58">
        <v>15.52</v>
      </c>
      <c r="J1116" s="56" t="s">
        <v>6166</v>
      </c>
      <c r="K1116" s="56" t="s">
        <v>278</v>
      </c>
      <c r="L1116" s="292">
        <v>255</v>
      </c>
      <c r="M1116" s="292"/>
      <c r="N1116" s="358"/>
      <c r="O1116" s="292"/>
      <c r="P1116" s="292"/>
      <c r="Q1116" s="614"/>
      <c r="R1116" s="913">
        <f t="shared" si="80"/>
        <v>0</v>
      </c>
      <c r="S1116" s="913">
        <f t="shared" si="81"/>
        <v>0</v>
      </c>
      <c r="T1116" s="913">
        <f t="shared" si="82"/>
        <v>0</v>
      </c>
      <c r="U1116" s="914">
        <f t="shared" si="83"/>
        <v>98</v>
      </c>
      <c r="V1116" s="612"/>
      <c r="W1116" s="612"/>
      <c r="X1116" s="612"/>
      <c r="Y1116" s="612"/>
      <c r="Z1116" s="612"/>
      <c r="AA1116" s="612"/>
      <c r="AB1116" s="612"/>
      <c r="AC1116" s="612"/>
    </row>
    <row r="1117" spans="1:29">
      <c r="A1117" s="48" t="s">
        <v>6165</v>
      </c>
      <c r="B1117" s="60">
        <v>45638</v>
      </c>
      <c r="C1117" s="54" t="s">
        <v>173</v>
      </c>
      <c r="D1117" s="435" t="str">
        <f>IFERROR(VLOOKUP(C1117,Mychart!$A$125:$B$811,2,FALSE),"-")</f>
        <v>BAB AL TABREED A/C UNITS FIX.CONT</v>
      </c>
      <c r="E1117" s="295" t="s">
        <v>986</v>
      </c>
      <c r="F1117" s="58">
        <v>10</v>
      </c>
      <c r="G1117" s="58">
        <v>3</v>
      </c>
      <c r="H1117" s="58">
        <v>310.39999999999998</v>
      </c>
      <c r="I1117" s="58">
        <v>15.52</v>
      </c>
      <c r="J1117" s="56" t="s">
        <v>6166</v>
      </c>
      <c r="K1117" s="56" t="s">
        <v>278</v>
      </c>
      <c r="L1117" s="292">
        <v>255</v>
      </c>
      <c r="M1117" s="292"/>
      <c r="N1117" s="358"/>
      <c r="O1117" s="292"/>
      <c r="P1117" s="292"/>
      <c r="Q1117" s="614"/>
      <c r="R1117" s="913">
        <f t="shared" si="80"/>
        <v>0</v>
      </c>
      <c r="S1117" s="913">
        <f t="shared" si="81"/>
        <v>0</v>
      </c>
      <c r="T1117" s="913">
        <f t="shared" si="82"/>
        <v>0</v>
      </c>
      <c r="U1117" s="914">
        <f t="shared" si="83"/>
        <v>10</v>
      </c>
      <c r="V1117" s="612"/>
      <c r="W1117" s="612"/>
      <c r="X1117" s="612"/>
      <c r="Y1117" s="612"/>
      <c r="Z1117" s="612"/>
      <c r="AA1117" s="612"/>
      <c r="AB1117" s="612"/>
      <c r="AC1117" s="612"/>
    </row>
    <row r="1118" spans="1:29">
      <c r="A1118" s="48" t="s">
        <v>6165</v>
      </c>
      <c r="B1118" s="60">
        <v>45638</v>
      </c>
      <c r="C1118" s="54" t="s">
        <v>173</v>
      </c>
      <c r="D1118" s="435" t="str">
        <f>IFERROR(VLOOKUP(C1118,Mychart!$A$125:$B$811,2,FALSE),"-")</f>
        <v>BAB AL TABREED A/C UNITS FIX.CONT</v>
      </c>
      <c r="E1118" s="295" t="s">
        <v>987</v>
      </c>
      <c r="F1118" s="58">
        <v>3</v>
      </c>
      <c r="G1118" s="58">
        <v>2</v>
      </c>
      <c r="H1118" s="58">
        <v>310.39999999999998</v>
      </c>
      <c r="I1118" s="58">
        <v>15.52</v>
      </c>
      <c r="J1118" s="56" t="s">
        <v>6166</v>
      </c>
      <c r="K1118" s="56" t="s">
        <v>278</v>
      </c>
      <c r="L1118" s="292">
        <v>255</v>
      </c>
      <c r="M1118" s="292"/>
      <c r="N1118" s="358"/>
      <c r="O1118" s="292"/>
      <c r="P1118" s="292"/>
      <c r="Q1118" s="614"/>
      <c r="R1118" s="913">
        <f t="shared" si="80"/>
        <v>0</v>
      </c>
      <c r="S1118" s="913">
        <f t="shared" si="81"/>
        <v>0</v>
      </c>
      <c r="T1118" s="913">
        <f t="shared" si="82"/>
        <v>0</v>
      </c>
      <c r="U1118" s="914">
        <f t="shared" si="83"/>
        <v>3</v>
      </c>
      <c r="V1118" s="612"/>
      <c r="W1118" s="612"/>
      <c r="X1118" s="612"/>
      <c r="Y1118" s="612"/>
      <c r="Z1118" s="612"/>
      <c r="AA1118" s="612"/>
      <c r="AB1118" s="612"/>
      <c r="AC1118" s="612"/>
    </row>
    <row r="1119" spans="1:29">
      <c r="A1119" s="48" t="s">
        <v>6165</v>
      </c>
      <c r="B1119" s="60">
        <v>45638</v>
      </c>
      <c r="C1119" s="54" t="s">
        <v>173</v>
      </c>
      <c r="D1119" s="435" t="str">
        <f>IFERROR(VLOOKUP(C1119,Mychart!$A$125:$B$811,2,FALSE),"-")</f>
        <v>BAB AL TABREED A/C UNITS FIX.CONT</v>
      </c>
      <c r="E1119" s="295" t="s">
        <v>5666</v>
      </c>
      <c r="F1119" s="58"/>
      <c r="G1119" s="58"/>
      <c r="H1119" s="58">
        <v>310.39999999999998</v>
      </c>
      <c r="I1119" s="58">
        <v>15.52</v>
      </c>
      <c r="J1119" s="56" t="s">
        <v>6166</v>
      </c>
      <c r="K1119" s="56" t="s">
        <v>278</v>
      </c>
      <c r="L1119" s="292">
        <v>255</v>
      </c>
      <c r="M1119" s="292"/>
      <c r="N1119" s="358"/>
      <c r="O1119" s="292"/>
      <c r="P1119" s="292"/>
      <c r="Q1119" s="614">
        <v>325.91999999999996</v>
      </c>
      <c r="R1119" s="913">
        <f t="shared" si="80"/>
        <v>0</v>
      </c>
      <c r="S1119" s="913">
        <f t="shared" si="81"/>
        <v>325.91999999999996</v>
      </c>
      <c r="T1119" s="913">
        <f t="shared" si="82"/>
        <v>325.91999999999996</v>
      </c>
      <c r="U1119" s="914">
        <f t="shared" si="83"/>
        <v>0</v>
      </c>
      <c r="V1119" s="612"/>
      <c r="W1119" s="612"/>
      <c r="X1119" s="612"/>
      <c r="Y1119" s="612"/>
      <c r="Z1119" s="612"/>
      <c r="AA1119" s="612"/>
      <c r="AB1119" s="612"/>
      <c r="AC1119" s="612"/>
    </row>
    <row r="1120" spans="1:29" ht="57">
      <c r="A1120" s="48" t="s">
        <v>6174</v>
      </c>
      <c r="B1120" s="60">
        <v>45638</v>
      </c>
      <c r="C1120" s="54" t="s">
        <v>168</v>
      </c>
      <c r="D1120" s="435" t="str">
        <f>IFERROR(VLOOKUP(C1120,Mychart!$A$125:$B$811,2,FALSE),"-")</f>
        <v>UTS Carrier</v>
      </c>
      <c r="E1120" s="295" t="s">
        <v>6170</v>
      </c>
      <c r="F1120" s="58">
        <v>2</v>
      </c>
      <c r="G1120" s="58"/>
      <c r="H1120" s="58">
        <v>26125</v>
      </c>
      <c r="I1120" s="58">
        <v>1306.25</v>
      </c>
      <c r="J1120" s="56" t="s">
        <v>5505</v>
      </c>
      <c r="K1120" s="1712" t="s">
        <v>6175</v>
      </c>
      <c r="L1120" s="292">
        <v>283</v>
      </c>
      <c r="M1120" s="292"/>
      <c r="N1120" s="358"/>
      <c r="O1120" s="292"/>
      <c r="P1120" s="292"/>
      <c r="Q1120" s="614"/>
      <c r="R1120" s="913">
        <f t="shared" si="80"/>
        <v>0</v>
      </c>
      <c r="S1120" s="913">
        <f t="shared" si="81"/>
        <v>0</v>
      </c>
      <c r="T1120" s="913">
        <f t="shared" si="82"/>
        <v>0</v>
      </c>
      <c r="U1120" s="914">
        <f t="shared" si="83"/>
        <v>2</v>
      </c>
      <c r="V1120" s="612"/>
      <c r="W1120" s="612"/>
      <c r="X1120" s="612"/>
      <c r="Y1120" s="612"/>
      <c r="Z1120" s="612"/>
      <c r="AA1120" s="612"/>
      <c r="AB1120" s="612"/>
      <c r="AC1120" s="612"/>
    </row>
    <row r="1121" spans="1:29" ht="57">
      <c r="A1121" s="48" t="s">
        <v>6174</v>
      </c>
      <c r="B1121" s="60">
        <v>45638</v>
      </c>
      <c r="C1121" s="54" t="s">
        <v>168</v>
      </c>
      <c r="D1121" s="435" t="str">
        <f>IFERROR(VLOOKUP(C1121,Mychart!$A$125:$B$811,2,FALSE),"-")</f>
        <v>UTS Carrier</v>
      </c>
      <c r="E1121" s="295" t="s">
        <v>6171</v>
      </c>
      <c r="F1121" s="58">
        <v>2</v>
      </c>
      <c r="G1121" s="58"/>
      <c r="H1121" s="58">
        <v>26125</v>
      </c>
      <c r="I1121" s="58">
        <v>1306.25</v>
      </c>
      <c r="J1121" s="56" t="s">
        <v>5505</v>
      </c>
      <c r="K1121" s="1712" t="s">
        <v>6175</v>
      </c>
      <c r="L1121" s="292">
        <v>283</v>
      </c>
      <c r="M1121" s="292"/>
      <c r="N1121" s="358"/>
      <c r="O1121" s="292"/>
      <c r="P1121" s="292"/>
      <c r="Q1121" s="614"/>
      <c r="R1121" s="913">
        <f t="shared" si="80"/>
        <v>0</v>
      </c>
      <c r="S1121" s="913">
        <f t="shared" si="81"/>
        <v>0</v>
      </c>
      <c r="T1121" s="913">
        <f t="shared" si="82"/>
        <v>0</v>
      </c>
      <c r="U1121" s="914">
        <f t="shared" si="83"/>
        <v>2</v>
      </c>
      <c r="V1121" s="612"/>
      <c r="W1121" s="612"/>
      <c r="X1121" s="612"/>
      <c r="Y1121" s="612"/>
      <c r="Z1121" s="612"/>
      <c r="AA1121" s="612"/>
      <c r="AB1121" s="612"/>
      <c r="AC1121" s="612"/>
    </row>
    <row r="1122" spans="1:29" ht="57">
      <c r="A1122" s="48" t="s">
        <v>6174</v>
      </c>
      <c r="B1122" s="60">
        <v>45638</v>
      </c>
      <c r="C1122" s="54" t="s">
        <v>168</v>
      </c>
      <c r="D1122" s="435" t="str">
        <f>IFERROR(VLOOKUP(C1122,Mychart!$A$125:$B$811,2,FALSE),"-")</f>
        <v>UTS Carrier</v>
      </c>
      <c r="E1122" s="295" t="s">
        <v>6172</v>
      </c>
      <c r="F1122" s="58">
        <v>1</v>
      </c>
      <c r="G1122" s="58"/>
      <c r="H1122" s="58">
        <v>26125</v>
      </c>
      <c r="I1122" s="58">
        <v>1306.25</v>
      </c>
      <c r="J1122" s="56" t="s">
        <v>5505</v>
      </c>
      <c r="K1122" s="1712" t="s">
        <v>6175</v>
      </c>
      <c r="L1122" s="292">
        <v>283</v>
      </c>
      <c r="M1122" s="292"/>
      <c r="N1122" s="358"/>
      <c r="O1122" s="292"/>
      <c r="P1122" s="292"/>
      <c r="Q1122" s="614"/>
      <c r="R1122" s="913">
        <f t="shared" si="80"/>
        <v>0</v>
      </c>
      <c r="S1122" s="913">
        <f t="shared" si="81"/>
        <v>0</v>
      </c>
      <c r="T1122" s="913">
        <f t="shared" si="82"/>
        <v>0</v>
      </c>
      <c r="U1122" s="914">
        <f t="shared" si="83"/>
        <v>1</v>
      </c>
      <c r="V1122" s="612"/>
      <c r="W1122" s="612"/>
      <c r="X1122" s="612"/>
      <c r="Y1122" s="612"/>
      <c r="Z1122" s="612"/>
      <c r="AA1122" s="612"/>
      <c r="AB1122" s="612"/>
      <c r="AC1122" s="612"/>
    </row>
    <row r="1123" spans="1:29" ht="57">
      <c r="A1123" s="48" t="s">
        <v>6174</v>
      </c>
      <c r="B1123" s="60">
        <v>45638</v>
      </c>
      <c r="C1123" s="54" t="s">
        <v>168</v>
      </c>
      <c r="D1123" s="435" t="str">
        <f>IFERROR(VLOOKUP(C1123,Mychart!$A$125:$B$811,2,FALSE),"-")</f>
        <v>UTS Carrier</v>
      </c>
      <c r="E1123" s="295" t="s">
        <v>6173</v>
      </c>
      <c r="F1123" s="58">
        <v>1</v>
      </c>
      <c r="G1123" s="58"/>
      <c r="H1123" s="58">
        <v>26125</v>
      </c>
      <c r="I1123" s="58">
        <v>1306.25</v>
      </c>
      <c r="J1123" s="56" t="s">
        <v>5505</v>
      </c>
      <c r="K1123" s="1712" t="s">
        <v>6175</v>
      </c>
      <c r="L1123" s="292">
        <v>283</v>
      </c>
      <c r="M1123" s="292"/>
      <c r="N1123" s="358"/>
      <c r="O1123" s="292"/>
      <c r="P1123" s="292"/>
      <c r="Q1123" s="614"/>
      <c r="R1123" s="913">
        <f t="shared" si="80"/>
        <v>0</v>
      </c>
      <c r="S1123" s="913">
        <f t="shared" si="81"/>
        <v>0</v>
      </c>
      <c r="T1123" s="913">
        <f t="shared" si="82"/>
        <v>0</v>
      </c>
      <c r="U1123" s="914">
        <f t="shared" si="83"/>
        <v>1</v>
      </c>
      <c r="V1123" s="612"/>
      <c r="W1123" s="612"/>
      <c r="X1123" s="612"/>
      <c r="Y1123" s="612"/>
      <c r="Z1123" s="612"/>
      <c r="AA1123" s="612"/>
      <c r="AB1123" s="612"/>
      <c r="AC1123" s="612"/>
    </row>
    <row r="1124" spans="1:29" ht="57">
      <c r="A1124" s="48" t="s">
        <v>6174</v>
      </c>
      <c r="B1124" s="60">
        <v>45638</v>
      </c>
      <c r="C1124" s="54" t="s">
        <v>168</v>
      </c>
      <c r="D1124" s="435" t="str">
        <f>IFERROR(VLOOKUP(C1124,Mychart!$A$125:$B$811,2,FALSE),"-")</f>
        <v>UTS Carrier</v>
      </c>
      <c r="E1124" s="295" t="s">
        <v>234</v>
      </c>
      <c r="F1124" s="58">
        <v>1</v>
      </c>
      <c r="G1124" s="58"/>
      <c r="H1124" s="58">
        <v>26125</v>
      </c>
      <c r="I1124" s="58">
        <v>1306.25</v>
      </c>
      <c r="J1124" s="56" t="s">
        <v>5505</v>
      </c>
      <c r="K1124" s="1712" t="s">
        <v>6175</v>
      </c>
      <c r="L1124" s="292">
        <v>283</v>
      </c>
      <c r="M1124" s="292"/>
      <c r="N1124" s="358"/>
      <c r="O1124" s="292"/>
      <c r="P1124" s="292"/>
      <c r="Q1124" s="614"/>
      <c r="R1124" s="913">
        <f t="shared" si="80"/>
        <v>0</v>
      </c>
      <c r="S1124" s="913">
        <f t="shared" si="81"/>
        <v>0</v>
      </c>
      <c r="T1124" s="913">
        <f t="shared" si="82"/>
        <v>0</v>
      </c>
      <c r="U1124" s="914">
        <f t="shared" si="83"/>
        <v>1</v>
      </c>
      <c r="V1124" s="612"/>
      <c r="W1124" s="612"/>
      <c r="X1124" s="612"/>
      <c r="Y1124" s="612"/>
      <c r="Z1124" s="612"/>
      <c r="AA1124" s="612"/>
      <c r="AB1124" s="612"/>
      <c r="AC1124" s="612"/>
    </row>
    <row r="1125" spans="1:29" ht="57">
      <c r="A1125" s="48" t="s">
        <v>6174</v>
      </c>
      <c r="B1125" s="60">
        <v>45638</v>
      </c>
      <c r="C1125" s="54" t="s">
        <v>168</v>
      </c>
      <c r="D1125" s="435" t="str">
        <f>IFERROR(VLOOKUP(C1125,Mychart!$A$125:$B$811,2,FALSE),"-")</f>
        <v>UTS Carrier</v>
      </c>
      <c r="E1125" s="295" t="s">
        <v>1277</v>
      </c>
      <c r="F1125" s="58">
        <v>1</v>
      </c>
      <c r="G1125" s="58"/>
      <c r="H1125" s="58">
        <v>26125</v>
      </c>
      <c r="I1125" s="58">
        <v>1306.25</v>
      </c>
      <c r="J1125" s="56" t="s">
        <v>5505</v>
      </c>
      <c r="K1125" s="1712" t="s">
        <v>6175</v>
      </c>
      <c r="L1125" s="292">
        <v>283</v>
      </c>
      <c r="M1125" s="292"/>
      <c r="N1125" s="358"/>
      <c r="O1125" s="292"/>
      <c r="P1125" s="292"/>
      <c r="Q1125" s="614"/>
      <c r="R1125" s="913">
        <f t="shared" si="80"/>
        <v>0</v>
      </c>
      <c r="S1125" s="913">
        <f t="shared" si="81"/>
        <v>0</v>
      </c>
      <c r="T1125" s="913">
        <f t="shared" si="82"/>
        <v>0</v>
      </c>
      <c r="U1125" s="914">
        <f t="shared" si="83"/>
        <v>1</v>
      </c>
      <c r="V1125" s="612"/>
      <c r="W1125" s="612"/>
      <c r="X1125" s="612"/>
      <c r="Y1125" s="612"/>
      <c r="Z1125" s="612"/>
      <c r="AA1125" s="612"/>
      <c r="AB1125" s="612"/>
      <c r="AC1125" s="612"/>
    </row>
    <row r="1126" spans="1:29" ht="57">
      <c r="A1126" s="48" t="s">
        <v>6174</v>
      </c>
      <c r="B1126" s="60">
        <v>45638</v>
      </c>
      <c r="C1126" s="54" t="s">
        <v>168</v>
      </c>
      <c r="D1126" s="435" t="str">
        <f>IFERROR(VLOOKUP(C1126,Mychart!$A$125:$B$811,2,FALSE),"-")</f>
        <v>UTS Carrier</v>
      </c>
      <c r="E1126" s="295" t="s">
        <v>232</v>
      </c>
      <c r="F1126" s="58">
        <v>1</v>
      </c>
      <c r="G1126" s="58"/>
      <c r="H1126" s="58">
        <v>26125</v>
      </c>
      <c r="I1126" s="58">
        <v>1306.25</v>
      </c>
      <c r="J1126" s="56" t="s">
        <v>5505</v>
      </c>
      <c r="K1126" s="1712" t="s">
        <v>6175</v>
      </c>
      <c r="L1126" s="292">
        <v>283</v>
      </c>
      <c r="M1126" s="292"/>
      <c r="N1126" s="358"/>
      <c r="O1126" s="292"/>
      <c r="P1126" s="292"/>
      <c r="Q1126" s="614"/>
      <c r="R1126" s="913">
        <f t="shared" si="80"/>
        <v>0</v>
      </c>
      <c r="S1126" s="913">
        <f t="shared" si="81"/>
        <v>0</v>
      </c>
      <c r="T1126" s="913">
        <f t="shared" si="82"/>
        <v>0</v>
      </c>
      <c r="U1126" s="914">
        <f t="shared" si="83"/>
        <v>1</v>
      </c>
      <c r="V1126" s="612"/>
      <c r="W1126" s="612"/>
      <c r="X1126" s="612"/>
      <c r="Y1126" s="612"/>
      <c r="Z1126" s="612"/>
      <c r="AA1126" s="612"/>
      <c r="AB1126" s="612"/>
      <c r="AC1126" s="612"/>
    </row>
    <row r="1127" spans="1:29" ht="57">
      <c r="A1127" s="48" t="s">
        <v>6174</v>
      </c>
      <c r="B1127" s="60">
        <v>45638</v>
      </c>
      <c r="C1127" s="54" t="s">
        <v>168</v>
      </c>
      <c r="D1127" s="435" t="str">
        <f>IFERROR(VLOOKUP(C1127,Mychart!$A$125:$B$811,2,FALSE),"-")</f>
        <v>UTS Carrier</v>
      </c>
      <c r="E1127" s="295" t="s">
        <v>1368</v>
      </c>
      <c r="F1127" s="58">
        <v>1</v>
      </c>
      <c r="G1127" s="58"/>
      <c r="H1127" s="58">
        <v>26125</v>
      </c>
      <c r="I1127" s="58">
        <v>1306.25</v>
      </c>
      <c r="J1127" s="56" t="s">
        <v>5505</v>
      </c>
      <c r="K1127" s="1712" t="s">
        <v>6175</v>
      </c>
      <c r="L1127" s="292">
        <v>283</v>
      </c>
      <c r="M1127" s="292"/>
      <c r="N1127" s="358"/>
      <c r="O1127" s="292"/>
      <c r="P1127" s="292"/>
      <c r="Q1127" s="614"/>
      <c r="R1127" s="913">
        <f t="shared" si="80"/>
        <v>0</v>
      </c>
      <c r="S1127" s="913">
        <f t="shared" si="81"/>
        <v>0</v>
      </c>
      <c r="T1127" s="913">
        <f t="shared" si="82"/>
        <v>0</v>
      </c>
      <c r="U1127" s="914">
        <f t="shared" si="83"/>
        <v>1</v>
      </c>
      <c r="V1127" s="612"/>
      <c r="W1127" s="612"/>
      <c r="X1127" s="612"/>
      <c r="Y1127" s="612"/>
      <c r="Z1127" s="612"/>
      <c r="AA1127" s="612"/>
      <c r="AB1127" s="612"/>
      <c r="AC1127" s="612"/>
    </row>
    <row r="1128" spans="1:29" ht="57">
      <c r="A1128" s="48" t="s">
        <v>6174</v>
      </c>
      <c r="B1128" s="60">
        <v>45638</v>
      </c>
      <c r="C1128" s="54" t="s">
        <v>168</v>
      </c>
      <c r="D1128" s="435" t="str">
        <f>IFERROR(VLOOKUP(C1128,Mychart!$A$125:$B$811,2,FALSE),"-")</f>
        <v>UTS Carrier</v>
      </c>
      <c r="E1128" s="295" t="s">
        <v>5666</v>
      </c>
      <c r="F1128" s="58">
        <v>1</v>
      </c>
      <c r="G1128" s="58">
        <v>26125</v>
      </c>
      <c r="H1128" s="58">
        <v>26125</v>
      </c>
      <c r="I1128" s="58">
        <v>1306.25</v>
      </c>
      <c r="J1128" s="56" t="s">
        <v>5505</v>
      </c>
      <c r="K1128" s="1712" t="s">
        <v>6175</v>
      </c>
      <c r="L1128" s="292">
        <v>283</v>
      </c>
      <c r="M1128" s="292"/>
      <c r="N1128" s="358"/>
      <c r="O1128" s="292"/>
      <c r="P1128" s="292"/>
      <c r="Q1128" s="614">
        <v>27431.25</v>
      </c>
      <c r="R1128" s="913">
        <f t="shared" si="80"/>
        <v>0</v>
      </c>
      <c r="S1128" s="913">
        <f t="shared" si="81"/>
        <v>27431.25</v>
      </c>
      <c r="T1128" s="913">
        <f t="shared" si="82"/>
        <v>27431.25</v>
      </c>
      <c r="U1128" s="914">
        <f t="shared" si="83"/>
        <v>1</v>
      </c>
      <c r="V1128" s="612"/>
      <c r="W1128" s="612"/>
      <c r="X1128" s="612"/>
      <c r="Y1128" s="612"/>
      <c r="Z1128" s="612"/>
      <c r="AA1128" s="612"/>
      <c r="AB1128" s="612"/>
      <c r="AC1128" s="612"/>
    </row>
    <row r="1129" spans="1:29">
      <c r="A1129" s="48"/>
      <c r="B1129" s="60"/>
      <c r="C1129" s="54"/>
      <c r="D1129" s="435" t="str">
        <f>IFERROR(VLOOKUP(C1129,Mychart!$A$125:$B$811,2,FALSE),"-")</f>
        <v>-</v>
      </c>
      <c r="E1129" s="295"/>
      <c r="F1129" s="58"/>
      <c r="G1129" s="58"/>
      <c r="H1129" s="58"/>
      <c r="I1129" s="58"/>
      <c r="J1129" s="56"/>
      <c r="K1129" s="56"/>
      <c r="L1129" s="292"/>
      <c r="M1129" s="292"/>
      <c r="N1129" s="358"/>
      <c r="O1129" s="292"/>
      <c r="P1129" s="292"/>
      <c r="Q1129" s="614"/>
      <c r="R1129" s="913">
        <f t="shared" ref="R1129:R1137" si="84">O1129-N1129</f>
        <v>0</v>
      </c>
      <c r="S1129" s="913">
        <f t="shared" ref="S1129:S1137" si="85">Q1129-N1129</f>
        <v>0</v>
      </c>
      <c r="T1129" s="913">
        <f t="shared" ref="T1129:T1137" si="86">Q1129-O1129</f>
        <v>0</v>
      </c>
      <c r="U1129" s="914">
        <f t="shared" ref="U1129:U1137" si="87">F1129-P1129</f>
        <v>0</v>
      </c>
      <c r="V1129" s="612"/>
      <c r="W1129" s="612"/>
      <c r="X1129" s="612"/>
      <c r="Y1129" s="612"/>
      <c r="Z1129" s="612"/>
      <c r="AA1129" s="612"/>
      <c r="AB1129" s="612"/>
      <c r="AC1129" s="612"/>
    </row>
    <row r="1130" spans="1:29">
      <c r="A1130" s="48"/>
      <c r="B1130" s="60"/>
      <c r="C1130" s="54"/>
      <c r="D1130" s="435" t="str">
        <f>IFERROR(VLOOKUP(C1130,Mychart!$A$125:$B$811,2,FALSE),"-")</f>
        <v>-</v>
      </c>
      <c r="E1130" s="295"/>
      <c r="F1130" s="58"/>
      <c r="G1130" s="58"/>
      <c r="H1130" s="58"/>
      <c r="I1130" s="58"/>
      <c r="J1130" s="56"/>
      <c r="K1130" s="56"/>
      <c r="L1130" s="292"/>
      <c r="M1130" s="292"/>
      <c r="N1130" s="358"/>
      <c r="O1130" s="292"/>
      <c r="P1130" s="292"/>
      <c r="Q1130" s="614"/>
      <c r="R1130" s="913">
        <f t="shared" si="84"/>
        <v>0</v>
      </c>
      <c r="S1130" s="913">
        <f t="shared" si="85"/>
        <v>0</v>
      </c>
      <c r="T1130" s="913">
        <f t="shared" si="86"/>
        <v>0</v>
      </c>
      <c r="U1130" s="914">
        <f t="shared" si="87"/>
        <v>0</v>
      </c>
      <c r="V1130" s="612"/>
      <c r="W1130" s="612"/>
      <c r="X1130" s="612"/>
      <c r="Y1130" s="612"/>
      <c r="Z1130" s="612"/>
      <c r="AA1130" s="612"/>
      <c r="AB1130" s="612"/>
      <c r="AC1130" s="612"/>
    </row>
    <row r="1131" spans="1:29">
      <c r="A1131" s="48"/>
      <c r="B1131" s="60"/>
      <c r="C1131" s="54"/>
      <c r="D1131" s="435" t="str">
        <f>IFERROR(VLOOKUP(C1131,Mychart!$A$125:$B$811,2,FALSE),"-")</f>
        <v>-</v>
      </c>
      <c r="E1131" s="295"/>
      <c r="F1131" s="58"/>
      <c r="G1131" s="58"/>
      <c r="H1131" s="58"/>
      <c r="I1131" s="58"/>
      <c r="J1131" s="56"/>
      <c r="K1131" s="56"/>
      <c r="L1131" s="292"/>
      <c r="M1131" s="292"/>
      <c r="N1131" s="358"/>
      <c r="O1131" s="292"/>
      <c r="P1131" s="292"/>
      <c r="Q1131" s="614"/>
      <c r="R1131" s="913">
        <f t="shared" si="84"/>
        <v>0</v>
      </c>
      <c r="S1131" s="913">
        <f t="shared" si="85"/>
        <v>0</v>
      </c>
      <c r="T1131" s="913">
        <f t="shared" si="86"/>
        <v>0</v>
      </c>
      <c r="U1131" s="914">
        <f t="shared" si="87"/>
        <v>0</v>
      </c>
      <c r="V1131" s="612"/>
      <c r="W1131" s="612"/>
      <c r="X1131" s="612"/>
      <c r="Y1131" s="612"/>
      <c r="Z1131" s="612"/>
      <c r="AA1131" s="612"/>
      <c r="AB1131" s="612"/>
      <c r="AC1131" s="612"/>
    </row>
    <row r="1132" spans="1:29">
      <c r="A1132" s="48"/>
      <c r="B1132" s="60"/>
      <c r="C1132" s="54"/>
      <c r="D1132" s="435" t="str">
        <f>IFERROR(VLOOKUP(C1132,Mychart!$A$125:$B$811,2,FALSE),"-")</f>
        <v>-</v>
      </c>
      <c r="E1132" s="295"/>
      <c r="F1132" s="58"/>
      <c r="G1132" s="58"/>
      <c r="H1132" s="58"/>
      <c r="I1132" s="58"/>
      <c r="J1132" s="56"/>
      <c r="K1132" s="56"/>
      <c r="L1132" s="292"/>
      <c r="M1132" s="292"/>
      <c r="N1132" s="358"/>
      <c r="O1132" s="292"/>
      <c r="P1132" s="292"/>
      <c r="Q1132" s="614"/>
      <c r="R1132" s="913">
        <f t="shared" si="84"/>
        <v>0</v>
      </c>
      <c r="S1132" s="913">
        <f t="shared" si="85"/>
        <v>0</v>
      </c>
      <c r="T1132" s="913">
        <f t="shared" si="86"/>
        <v>0</v>
      </c>
      <c r="U1132" s="914">
        <f t="shared" si="87"/>
        <v>0</v>
      </c>
      <c r="V1132" s="612"/>
      <c r="W1132" s="612"/>
      <c r="X1132" s="612"/>
      <c r="Y1132" s="612"/>
      <c r="Z1132" s="612"/>
      <c r="AA1132" s="612"/>
      <c r="AB1132" s="612"/>
      <c r="AC1132" s="612"/>
    </row>
    <row r="1133" spans="1:29">
      <c r="A1133" s="48"/>
      <c r="B1133" s="60"/>
      <c r="C1133" s="54"/>
      <c r="D1133" s="435" t="str">
        <f>IFERROR(VLOOKUP(C1133,Mychart!$A$125:$B$811,2,FALSE),"-")</f>
        <v>-</v>
      </c>
      <c r="E1133" s="295"/>
      <c r="F1133" s="58"/>
      <c r="G1133" s="58"/>
      <c r="H1133" s="58"/>
      <c r="I1133" s="58"/>
      <c r="J1133" s="56"/>
      <c r="K1133" s="56"/>
      <c r="L1133" s="292"/>
      <c r="M1133" s="292"/>
      <c r="N1133" s="358"/>
      <c r="O1133" s="292"/>
      <c r="P1133" s="292"/>
      <c r="Q1133" s="614"/>
      <c r="R1133" s="913">
        <f t="shared" si="84"/>
        <v>0</v>
      </c>
      <c r="S1133" s="913">
        <f t="shared" si="85"/>
        <v>0</v>
      </c>
      <c r="T1133" s="913">
        <f t="shared" si="86"/>
        <v>0</v>
      </c>
      <c r="U1133" s="914">
        <f t="shared" si="87"/>
        <v>0</v>
      </c>
      <c r="V1133" s="612"/>
      <c r="W1133" s="612"/>
      <c r="X1133" s="612"/>
      <c r="Y1133" s="612"/>
      <c r="Z1133" s="612"/>
      <c r="AA1133" s="612"/>
      <c r="AB1133" s="612"/>
      <c r="AC1133" s="612"/>
    </row>
    <row r="1134" spans="1:29">
      <c r="A1134" s="48"/>
      <c r="B1134" s="60"/>
      <c r="C1134" s="54"/>
      <c r="D1134" s="435" t="str">
        <f>IFERROR(VLOOKUP(C1134,Mychart!$A$125:$B$811,2,FALSE),"-")</f>
        <v>-</v>
      </c>
      <c r="E1134" s="295"/>
      <c r="F1134" s="58"/>
      <c r="G1134" s="58"/>
      <c r="H1134" s="58"/>
      <c r="I1134" s="58"/>
      <c r="J1134" s="56"/>
      <c r="K1134" s="56"/>
      <c r="L1134" s="292"/>
      <c r="M1134" s="292"/>
      <c r="N1134" s="358"/>
      <c r="O1134" s="292"/>
      <c r="P1134" s="292"/>
      <c r="Q1134" s="614"/>
      <c r="R1134" s="913">
        <f t="shared" si="84"/>
        <v>0</v>
      </c>
      <c r="S1134" s="913">
        <f t="shared" si="85"/>
        <v>0</v>
      </c>
      <c r="T1134" s="913">
        <f t="shared" si="86"/>
        <v>0</v>
      </c>
      <c r="U1134" s="914">
        <f t="shared" si="87"/>
        <v>0</v>
      </c>
      <c r="V1134" s="612"/>
      <c r="W1134" s="612"/>
      <c r="X1134" s="612"/>
      <c r="Y1134" s="612"/>
      <c r="Z1134" s="612"/>
      <c r="AA1134" s="612"/>
      <c r="AB1134" s="612"/>
      <c r="AC1134" s="612"/>
    </row>
    <row r="1135" spans="1:29">
      <c r="A1135" s="48"/>
      <c r="B1135" s="60"/>
      <c r="C1135" s="54"/>
      <c r="D1135" s="435" t="str">
        <f>IFERROR(VLOOKUP(C1135,Mychart!$A$125:$B$811,2,FALSE),"-")</f>
        <v>-</v>
      </c>
      <c r="E1135" s="295"/>
      <c r="F1135" s="58"/>
      <c r="G1135" s="58"/>
      <c r="H1135" s="58"/>
      <c r="I1135" s="58"/>
      <c r="J1135" s="56"/>
      <c r="K1135" s="56"/>
      <c r="L1135" s="292"/>
      <c r="M1135" s="292"/>
      <c r="N1135" s="358"/>
      <c r="O1135" s="292"/>
      <c r="P1135" s="292"/>
      <c r="Q1135" s="614"/>
      <c r="R1135" s="913">
        <f t="shared" si="84"/>
        <v>0</v>
      </c>
      <c r="S1135" s="913">
        <f t="shared" si="85"/>
        <v>0</v>
      </c>
      <c r="T1135" s="913">
        <f t="shared" si="86"/>
        <v>0</v>
      </c>
      <c r="U1135" s="914">
        <f t="shared" si="87"/>
        <v>0</v>
      </c>
      <c r="V1135" s="612"/>
      <c r="W1135" s="612"/>
      <c r="X1135" s="612"/>
      <c r="Y1135" s="612"/>
      <c r="Z1135" s="612"/>
      <c r="AA1135" s="612"/>
      <c r="AB1135" s="612"/>
      <c r="AC1135" s="612"/>
    </row>
    <row r="1136" spans="1:29">
      <c r="A1136" s="48"/>
      <c r="B1136" s="60"/>
      <c r="C1136" s="54"/>
      <c r="D1136" s="435" t="str">
        <f>IFERROR(VLOOKUP(C1136,Mychart!$A$125:$B$811,2,FALSE),"-")</f>
        <v>-</v>
      </c>
      <c r="E1136" s="295"/>
      <c r="F1136" s="58"/>
      <c r="G1136" s="58"/>
      <c r="H1136" s="58"/>
      <c r="I1136" s="58"/>
      <c r="J1136" s="56"/>
      <c r="K1136" s="56"/>
      <c r="L1136" s="292"/>
      <c r="M1136" s="292"/>
      <c r="N1136" s="358"/>
      <c r="O1136" s="292"/>
      <c r="P1136" s="292"/>
      <c r="Q1136" s="614"/>
      <c r="R1136" s="913">
        <f t="shared" si="84"/>
        <v>0</v>
      </c>
      <c r="S1136" s="913">
        <f t="shared" si="85"/>
        <v>0</v>
      </c>
      <c r="T1136" s="913">
        <f t="shared" si="86"/>
        <v>0</v>
      </c>
      <c r="U1136" s="914">
        <f t="shared" si="87"/>
        <v>0</v>
      </c>
      <c r="V1136" s="612"/>
      <c r="W1136" s="612"/>
      <c r="X1136" s="612"/>
      <c r="Y1136" s="612"/>
      <c r="Z1136" s="612"/>
      <c r="AA1136" s="612"/>
      <c r="AB1136" s="612"/>
      <c r="AC1136" s="612"/>
    </row>
    <row r="1137" spans="1:29">
      <c r="A1137" s="48"/>
      <c r="B1137" s="60"/>
      <c r="C1137" s="54"/>
      <c r="D1137" s="435" t="str">
        <f>IFERROR(VLOOKUP(C1137,Mychart!$A$125:$B$811,2,FALSE),"-")</f>
        <v>-</v>
      </c>
      <c r="E1137" s="295"/>
      <c r="F1137" s="58"/>
      <c r="G1137" s="58"/>
      <c r="H1137" s="58"/>
      <c r="I1137" s="58"/>
      <c r="J1137" s="56"/>
      <c r="K1137" s="56"/>
      <c r="L1137" s="292"/>
      <c r="M1137" s="292"/>
      <c r="N1137" s="358"/>
      <c r="O1137" s="292"/>
      <c r="P1137" s="292"/>
      <c r="Q1137" s="614"/>
      <c r="R1137" s="913">
        <f t="shared" si="84"/>
        <v>0</v>
      </c>
      <c r="S1137" s="913">
        <f t="shared" si="85"/>
        <v>0</v>
      </c>
      <c r="T1137" s="913">
        <f t="shared" si="86"/>
        <v>0</v>
      </c>
      <c r="U1137" s="914">
        <f t="shared" si="87"/>
        <v>0</v>
      </c>
      <c r="V1137" s="612"/>
      <c r="W1137" s="612"/>
      <c r="X1137" s="612"/>
      <c r="Y1137" s="612"/>
      <c r="Z1137" s="612"/>
      <c r="AA1137" s="612"/>
      <c r="AB1137" s="612"/>
      <c r="AC1137" s="612"/>
    </row>
    <row r="1138" spans="1:29">
      <c r="A1138" s="48"/>
      <c r="B1138" s="60"/>
      <c r="C1138" s="54"/>
      <c r="D1138" s="435" t="str">
        <f>IFERROR(VLOOKUP(C1138,Mychart!$A$125:$B$811,2,FALSE),"-")</f>
        <v>-</v>
      </c>
      <c r="E1138" s="295"/>
      <c r="F1138" s="58"/>
      <c r="G1138" s="58"/>
      <c r="H1138" s="58"/>
      <c r="I1138" s="58"/>
      <c r="J1138" s="56"/>
      <c r="K1138" s="56"/>
      <c r="L1138" s="292"/>
      <c r="M1138" s="292"/>
      <c r="N1138" s="358"/>
      <c r="O1138" s="292"/>
      <c r="P1138" s="292"/>
      <c r="Q1138" s="614"/>
      <c r="R1138" s="912"/>
      <c r="S1138" s="912"/>
      <c r="T1138" s="912"/>
      <c r="U1138" s="912"/>
      <c r="V1138" s="612"/>
      <c r="W1138" s="612"/>
      <c r="X1138" s="612"/>
      <c r="Y1138" s="612"/>
      <c r="Z1138" s="612"/>
      <c r="AA1138" s="612"/>
      <c r="AB1138" s="612"/>
      <c r="AC1138" s="612"/>
    </row>
    <row r="1139" spans="1:29">
      <c r="A1139" s="48"/>
      <c r="B1139" s="60"/>
      <c r="C1139" s="54"/>
      <c r="D1139" s="435" t="str">
        <f>IFERROR(VLOOKUP(C1139,Mychart!$A$125:$B$811,2,FALSE),"-")</f>
        <v>-</v>
      </c>
      <c r="E1139" s="295"/>
      <c r="F1139" s="58"/>
      <c r="G1139" s="58"/>
      <c r="H1139" s="58"/>
      <c r="I1139" s="58"/>
      <c r="J1139" s="56"/>
      <c r="K1139" s="56"/>
      <c r="L1139" s="292"/>
      <c r="M1139" s="292"/>
      <c r="N1139" s="358"/>
      <c r="O1139" s="292"/>
      <c r="P1139" s="292"/>
      <c r="Q1139" s="614"/>
      <c r="R1139" s="912"/>
      <c r="S1139" s="912"/>
      <c r="T1139" s="912"/>
      <c r="U1139" s="912"/>
      <c r="V1139" s="612"/>
      <c r="W1139" s="612"/>
      <c r="X1139" s="612"/>
      <c r="Y1139" s="612"/>
      <c r="Z1139" s="612"/>
      <c r="AA1139" s="612"/>
      <c r="AB1139" s="612"/>
      <c r="AC1139" s="612"/>
    </row>
    <row r="1140" spans="1:29">
      <c r="A1140" s="48"/>
      <c r="B1140" s="60"/>
      <c r="C1140" s="54"/>
      <c r="D1140" s="435" t="str">
        <f>IFERROR(VLOOKUP(C1140,Mychart!$A$125:$B$811,2,FALSE),"-")</f>
        <v>-</v>
      </c>
      <c r="E1140" s="295"/>
      <c r="F1140" s="58"/>
      <c r="G1140" s="58"/>
      <c r="H1140" s="58"/>
      <c r="I1140" s="58"/>
      <c r="J1140" s="56"/>
      <c r="K1140" s="56"/>
      <c r="L1140" s="292"/>
      <c r="M1140" s="292"/>
      <c r="N1140" s="358"/>
      <c r="O1140" s="292"/>
      <c r="P1140" s="292"/>
      <c r="Q1140" s="614"/>
      <c r="R1140" s="912"/>
      <c r="S1140" s="912"/>
      <c r="T1140" s="912"/>
      <c r="U1140" s="912"/>
      <c r="V1140" s="612"/>
      <c r="W1140" s="612"/>
      <c r="X1140" s="612"/>
      <c r="Y1140" s="612"/>
      <c r="Z1140" s="612"/>
      <c r="AA1140" s="612"/>
      <c r="AB1140" s="612"/>
      <c r="AC1140" s="612"/>
    </row>
    <row r="1141" spans="1:29">
      <c r="A1141" s="48"/>
      <c r="B1141" s="60"/>
      <c r="C1141" s="54"/>
      <c r="D1141" s="435" t="str">
        <f>IFERROR(VLOOKUP(C1141,Mychart!$A$125:$B$811,2,FALSE),"-")</f>
        <v>-</v>
      </c>
      <c r="E1141" s="295"/>
      <c r="F1141" s="58"/>
      <c r="G1141" s="58"/>
      <c r="H1141" s="58"/>
      <c r="I1141" s="58"/>
      <c r="J1141" s="56"/>
      <c r="K1141" s="56"/>
      <c r="L1141" s="292"/>
      <c r="M1141" s="292"/>
      <c r="N1141" s="358"/>
      <c r="O1141" s="292"/>
      <c r="P1141" s="292"/>
      <c r="Q1141" s="614"/>
      <c r="R1141" s="912"/>
      <c r="S1141" s="912"/>
      <c r="T1141" s="912"/>
      <c r="U1141" s="912"/>
      <c r="V1141" s="612"/>
      <c r="W1141" s="612"/>
      <c r="X1141" s="612"/>
      <c r="Y1141" s="612"/>
      <c r="Z1141" s="612"/>
      <c r="AA1141" s="612"/>
      <c r="AB1141" s="612"/>
      <c r="AC1141" s="612"/>
    </row>
    <row r="1142" spans="1:29">
      <c r="A1142" s="48"/>
      <c r="B1142" s="60"/>
      <c r="C1142" s="54"/>
      <c r="D1142" s="435" t="str">
        <f>IFERROR(VLOOKUP(C1142,Mychart!$A$125:$B$811,2,FALSE),"-")</f>
        <v>-</v>
      </c>
      <c r="E1142" s="295"/>
      <c r="F1142" s="58"/>
      <c r="G1142" s="58"/>
      <c r="H1142" s="58"/>
      <c r="I1142" s="58"/>
      <c r="J1142" s="56"/>
      <c r="K1142" s="56"/>
      <c r="L1142" s="292"/>
      <c r="M1142" s="292"/>
      <c r="N1142" s="358"/>
      <c r="O1142" s="292"/>
      <c r="P1142" s="292"/>
      <c r="Q1142" s="614"/>
      <c r="R1142" s="912"/>
      <c r="S1142" s="912"/>
      <c r="T1142" s="912"/>
      <c r="U1142" s="912"/>
      <c r="V1142" s="612"/>
      <c r="W1142" s="612"/>
      <c r="X1142" s="612"/>
      <c r="Y1142" s="612"/>
      <c r="Z1142" s="612"/>
      <c r="AA1142" s="612"/>
      <c r="AB1142" s="612"/>
      <c r="AC1142" s="612"/>
    </row>
    <row r="1143" spans="1:29">
      <c r="A1143" s="48"/>
      <c r="B1143" s="60"/>
      <c r="C1143" s="54"/>
      <c r="D1143" s="435" t="str">
        <f>IFERROR(VLOOKUP(C1143,Mychart!$A$125:$B$811,2,FALSE),"-")</f>
        <v>-</v>
      </c>
      <c r="E1143" s="295"/>
      <c r="F1143" s="58"/>
      <c r="G1143" s="58"/>
      <c r="H1143" s="58"/>
      <c r="I1143" s="58"/>
      <c r="J1143" s="56"/>
      <c r="K1143" s="56"/>
      <c r="L1143" s="292"/>
      <c r="M1143" s="292"/>
      <c r="N1143" s="358"/>
      <c r="O1143" s="292"/>
      <c r="P1143" s="292"/>
      <c r="Q1143" s="614"/>
      <c r="R1143" s="912"/>
      <c r="S1143" s="912"/>
      <c r="T1143" s="912"/>
      <c r="U1143" s="912"/>
      <c r="V1143" s="612"/>
      <c r="W1143" s="612"/>
      <c r="X1143" s="612"/>
      <c r="Y1143" s="612"/>
      <c r="Z1143" s="612"/>
      <c r="AA1143" s="612"/>
      <c r="AB1143" s="612"/>
      <c r="AC1143" s="612"/>
    </row>
    <row r="1144" spans="1:29">
      <c r="A1144" s="48"/>
      <c r="B1144" s="60"/>
      <c r="C1144" s="54"/>
      <c r="D1144" s="435" t="str">
        <f>IFERROR(VLOOKUP(C1144,Mychart!$A$125:$B$811,2,FALSE),"-")</f>
        <v>-</v>
      </c>
      <c r="E1144" s="295"/>
      <c r="F1144" s="58"/>
      <c r="G1144" s="58"/>
      <c r="H1144" s="58"/>
      <c r="I1144" s="58"/>
      <c r="J1144" s="56"/>
      <c r="K1144" s="56"/>
      <c r="L1144" s="292"/>
      <c r="M1144" s="292"/>
      <c r="N1144" s="358"/>
      <c r="O1144" s="292"/>
      <c r="P1144" s="292"/>
      <c r="Q1144" s="614"/>
      <c r="R1144" s="912"/>
      <c r="S1144" s="912"/>
      <c r="T1144" s="912"/>
      <c r="U1144" s="912"/>
      <c r="V1144" s="612"/>
      <c r="W1144" s="612"/>
      <c r="X1144" s="612"/>
      <c r="Y1144" s="612"/>
      <c r="Z1144" s="612"/>
      <c r="AA1144" s="612"/>
      <c r="AB1144" s="612"/>
      <c r="AC1144" s="612"/>
    </row>
    <row r="1145" spans="1:29">
      <c r="A1145" s="48"/>
      <c r="B1145" s="60"/>
      <c r="C1145" s="54"/>
      <c r="D1145" s="435" t="str">
        <f>IFERROR(VLOOKUP(C1145,Mychart!$A$125:$B$811,2,FALSE),"-")</f>
        <v>-</v>
      </c>
      <c r="E1145" s="295"/>
      <c r="F1145" s="58"/>
      <c r="G1145" s="58"/>
      <c r="H1145" s="58"/>
      <c r="I1145" s="58"/>
      <c r="J1145" s="56"/>
      <c r="K1145" s="56"/>
      <c r="L1145" s="292"/>
      <c r="M1145" s="292"/>
      <c r="N1145" s="358"/>
      <c r="O1145" s="292"/>
      <c r="P1145" s="292"/>
      <c r="Q1145" s="614"/>
      <c r="R1145" s="912"/>
      <c r="S1145" s="912"/>
      <c r="T1145" s="912"/>
      <c r="U1145" s="912"/>
      <c r="V1145" s="612"/>
      <c r="W1145" s="612"/>
      <c r="X1145" s="612"/>
      <c r="Y1145" s="612"/>
      <c r="Z1145" s="612"/>
      <c r="AA1145" s="612"/>
      <c r="AB1145" s="612"/>
      <c r="AC1145" s="612"/>
    </row>
    <row r="1146" spans="1:29">
      <c r="A1146" s="48"/>
      <c r="B1146" s="60"/>
      <c r="C1146" s="54"/>
      <c r="D1146" s="435" t="str">
        <f>IFERROR(VLOOKUP(C1146,Mychart!$A$125:$B$811,2,FALSE),"-")</f>
        <v>-</v>
      </c>
      <c r="E1146" s="295"/>
      <c r="F1146" s="58"/>
      <c r="G1146" s="58"/>
      <c r="H1146" s="58"/>
      <c r="I1146" s="58"/>
      <c r="J1146" s="56"/>
      <c r="K1146" s="56"/>
      <c r="L1146" s="292"/>
      <c r="M1146" s="292"/>
      <c r="N1146" s="358"/>
      <c r="O1146" s="292"/>
      <c r="P1146" s="292"/>
      <c r="Q1146" s="614"/>
      <c r="R1146" s="912"/>
      <c r="S1146" s="912"/>
      <c r="T1146" s="912"/>
      <c r="U1146" s="912"/>
      <c r="V1146" s="612"/>
      <c r="W1146" s="612"/>
      <c r="X1146" s="612"/>
      <c r="Y1146" s="612"/>
      <c r="Z1146" s="612"/>
      <c r="AA1146" s="612"/>
      <c r="AB1146" s="612"/>
      <c r="AC1146" s="612"/>
    </row>
    <row r="1147" spans="1:29">
      <c r="A1147" s="48"/>
      <c r="B1147" s="60"/>
      <c r="C1147" s="54"/>
      <c r="D1147" s="435" t="str">
        <f>IFERROR(VLOOKUP(C1147,Mychart!$A$125:$B$811,2,FALSE),"-")</f>
        <v>-</v>
      </c>
      <c r="E1147" s="295"/>
      <c r="F1147" s="58"/>
      <c r="G1147" s="58"/>
      <c r="H1147" s="58"/>
      <c r="I1147" s="58"/>
      <c r="J1147" s="56"/>
      <c r="K1147" s="56"/>
      <c r="L1147" s="292"/>
      <c r="M1147" s="292"/>
      <c r="N1147" s="358"/>
      <c r="O1147" s="292"/>
      <c r="P1147" s="292"/>
      <c r="Q1147" s="614"/>
      <c r="R1147" s="912"/>
      <c r="S1147" s="912"/>
      <c r="T1147" s="912"/>
      <c r="U1147" s="912"/>
      <c r="V1147" s="612"/>
      <c r="W1147" s="612"/>
      <c r="X1147" s="612"/>
      <c r="Y1147" s="612"/>
      <c r="Z1147" s="612"/>
      <c r="AA1147" s="612"/>
      <c r="AB1147" s="612"/>
      <c r="AC1147" s="612"/>
    </row>
    <row r="1148" spans="1:29">
      <c r="A1148" s="48"/>
      <c r="B1148" s="60"/>
      <c r="C1148" s="54"/>
      <c r="D1148" s="435" t="str">
        <f>IFERROR(VLOOKUP(C1148,Mychart!$A$125:$B$811,2,FALSE),"-")</f>
        <v>-</v>
      </c>
      <c r="E1148" s="295"/>
      <c r="F1148" s="58"/>
      <c r="G1148" s="58"/>
      <c r="H1148" s="58"/>
      <c r="I1148" s="58"/>
      <c r="J1148" s="56"/>
      <c r="K1148" s="56"/>
      <c r="L1148" s="292"/>
      <c r="M1148" s="292"/>
      <c r="N1148" s="358"/>
      <c r="O1148" s="292"/>
      <c r="P1148" s="292"/>
      <c r="Q1148" s="614"/>
      <c r="R1148" s="912"/>
      <c r="S1148" s="912"/>
      <c r="T1148" s="912"/>
      <c r="U1148" s="912"/>
      <c r="V1148" s="612"/>
      <c r="W1148" s="612"/>
      <c r="X1148" s="612"/>
      <c r="Y1148" s="612"/>
      <c r="Z1148" s="612"/>
      <c r="AA1148" s="612"/>
      <c r="AB1148" s="612"/>
      <c r="AC1148" s="612"/>
    </row>
    <row r="1149" spans="1:29">
      <c r="A1149" s="48"/>
      <c r="B1149" s="60"/>
      <c r="C1149" s="54"/>
      <c r="D1149" s="435" t="str">
        <f>IFERROR(VLOOKUP(C1149,Mychart!$A$125:$B$811,2,FALSE),"-")</f>
        <v>-</v>
      </c>
      <c r="E1149" s="295"/>
      <c r="F1149" s="58"/>
      <c r="G1149" s="58"/>
      <c r="H1149" s="58"/>
      <c r="I1149" s="58"/>
      <c r="J1149" s="56"/>
      <c r="K1149" s="56"/>
      <c r="L1149" s="292"/>
      <c r="M1149" s="292"/>
      <c r="N1149" s="358"/>
      <c r="O1149" s="292"/>
      <c r="P1149" s="292"/>
      <c r="Q1149" s="614"/>
      <c r="R1149" s="912"/>
      <c r="S1149" s="912"/>
      <c r="T1149" s="912"/>
      <c r="U1149" s="912"/>
      <c r="V1149" s="612"/>
      <c r="W1149" s="612"/>
      <c r="X1149" s="612"/>
      <c r="Y1149" s="612"/>
      <c r="Z1149" s="612"/>
      <c r="AA1149" s="612"/>
      <c r="AB1149" s="612"/>
      <c r="AC1149" s="612"/>
    </row>
    <row r="1150" spans="1:29">
      <c r="A1150" s="48"/>
      <c r="B1150" s="60"/>
      <c r="C1150" s="54"/>
      <c r="D1150" s="435" t="str">
        <f>IFERROR(VLOOKUP(C1150,Mychart!$A$125:$B$811,2,FALSE),"-")</f>
        <v>-</v>
      </c>
      <c r="E1150" s="295"/>
      <c r="F1150" s="58"/>
      <c r="G1150" s="58"/>
      <c r="H1150" s="58"/>
      <c r="I1150" s="58"/>
      <c r="J1150" s="56"/>
      <c r="K1150" s="56"/>
      <c r="L1150" s="292"/>
      <c r="M1150" s="292"/>
      <c r="N1150" s="358"/>
      <c r="O1150" s="292"/>
      <c r="P1150" s="292"/>
      <c r="Q1150" s="614"/>
      <c r="R1150" s="912"/>
      <c r="S1150" s="912"/>
      <c r="T1150" s="912"/>
      <c r="U1150" s="912"/>
      <c r="V1150" s="612"/>
      <c r="W1150" s="612"/>
      <c r="X1150" s="612"/>
      <c r="Y1150" s="612"/>
      <c r="Z1150" s="612"/>
      <c r="AA1150" s="612"/>
      <c r="AB1150" s="612"/>
      <c r="AC1150" s="612"/>
    </row>
    <row r="1151" spans="1:29">
      <c r="A1151" s="48"/>
      <c r="B1151" s="60"/>
      <c r="C1151" s="54"/>
      <c r="D1151" s="435" t="str">
        <f>IFERROR(VLOOKUP(C1151,Mychart!$A$125:$B$811,2,FALSE),"-")</f>
        <v>-</v>
      </c>
      <c r="E1151" s="295"/>
      <c r="F1151" s="58"/>
      <c r="G1151" s="58"/>
      <c r="H1151" s="58"/>
      <c r="I1151" s="58"/>
      <c r="J1151" s="56"/>
      <c r="K1151" s="56"/>
      <c r="L1151" s="292"/>
      <c r="M1151" s="292"/>
      <c r="N1151" s="358"/>
      <c r="O1151" s="292"/>
      <c r="P1151" s="292"/>
      <c r="Q1151" s="614"/>
      <c r="R1151" s="912"/>
      <c r="S1151" s="912"/>
      <c r="T1151" s="912"/>
      <c r="U1151" s="912"/>
      <c r="V1151" s="612"/>
      <c r="W1151" s="612"/>
      <c r="X1151" s="612"/>
      <c r="Y1151" s="612"/>
      <c r="Z1151" s="612"/>
      <c r="AA1151" s="612"/>
      <c r="AB1151" s="612"/>
      <c r="AC1151" s="612"/>
    </row>
    <row r="1152" spans="1:29">
      <c r="A1152" s="48"/>
      <c r="B1152" s="60"/>
      <c r="C1152" s="54"/>
      <c r="D1152" s="435" t="str">
        <f>IFERROR(VLOOKUP(C1152,Mychart!$A$125:$B$811,2,FALSE),"-")</f>
        <v>-</v>
      </c>
      <c r="E1152" s="295"/>
      <c r="F1152" s="58"/>
      <c r="G1152" s="58"/>
      <c r="H1152" s="58"/>
      <c r="I1152" s="58"/>
      <c r="J1152" s="56"/>
      <c r="K1152" s="56"/>
      <c r="L1152" s="292"/>
      <c r="M1152" s="292"/>
      <c r="N1152" s="358"/>
      <c r="O1152" s="292"/>
      <c r="P1152" s="292"/>
      <c r="Q1152" s="614"/>
      <c r="R1152" s="912"/>
      <c r="S1152" s="912"/>
      <c r="T1152" s="912"/>
      <c r="U1152" s="912"/>
      <c r="V1152" s="612"/>
      <c r="W1152" s="612"/>
      <c r="X1152" s="612"/>
      <c r="Y1152" s="612"/>
      <c r="Z1152" s="612"/>
      <c r="AA1152" s="612"/>
      <c r="AB1152" s="612"/>
      <c r="AC1152" s="612"/>
    </row>
    <row r="1153" spans="1:29">
      <c r="A1153" s="48"/>
      <c r="B1153" s="60"/>
      <c r="C1153" s="54"/>
      <c r="D1153" s="435" t="str">
        <f>IFERROR(VLOOKUP(C1153,Mychart!$A$125:$B$811,2,FALSE),"-")</f>
        <v>-</v>
      </c>
      <c r="E1153" s="295"/>
      <c r="F1153" s="58"/>
      <c r="G1153" s="58"/>
      <c r="H1153" s="58"/>
      <c r="I1153" s="58"/>
      <c r="J1153" s="56"/>
      <c r="K1153" s="56"/>
      <c r="L1153" s="292"/>
      <c r="M1153" s="292"/>
      <c r="N1153" s="358"/>
      <c r="O1153" s="292"/>
      <c r="P1153" s="292"/>
      <c r="Q1153" s="614"/>
      <c r="R1153" s="912"/>
      <c r="S1153" s="912"/>
      <c r="T1153" s="912"/>
      <c r="U1153" s="912"/>
      <c r="V1153" s="612"/>
      <c r="W1153" s="612"/>
      <c r="X1153" s="612"/>
      <c r="Y1153" s="612"/>
      <c r="Z1153" s="612"/>
      <c r="AA1153" s="612"/>
      <c r="AB1153" s="612"/>
      <c r="AC1153" s="612"/>
    </row>
  </sheetData>
  <customSheetViews>
    <customSheetView guid="{CE7484BD-F9E2-4C03-AA0F-F7057FD8E6EF}" showAutoFilter="1">
      <pane ySplit="9" topLeftCell="A10" activePane="bottomLeft" state="frozen"/>
      <selection pane="bottomLeft" activeCell="A9" sqref="A9:R467"/>
      <colBreaks count="1" manualBreakCount="1">
        <brk id="17" max="891" man="1"/>
      </colBreaks>
      <pageMargins left="0.15748031496062992" right="0.15748031496062992" top="0.15748031496062992" bottom="0.39370078740157483" header="0.31496062992125984" footer="0.15748031496062992"/>
      <pageSetup paperSize="9" scale="52" orientation="portrait" r:id="rId1"/>
      <headerFooter>
        <oddFooter>&amp;C&amp;P/&amp;N</oddFooter>
      </headerFooter>
      <autoFilter ref="A9:U712" xr:uid="{11821DE7-6B14-42A8-B20B-34B4B6B548CA}"/>
    </customSheetView>
  </customSheetViews>
  <mergeCells count="6">
    <mergeCell ref="K3:N3"/>
    <mergeCell ref="B7:C7"/>
    <mergeCell ref="B3:C3"/>
    <mergeCell ref="B4:C4"/>
    <mergeCell ref="B5:C5"/>
    <mergeCell ref="B6:C6"/>
  </mergeCells>
  <dataValidations count="1">
    <dataValidation type="list" allowBlank="1" showInputMessage="1" showErrorMessage="1" sqref="K3:N3" xr:uid="{B241A6DE-0736-4D13-83C8-0BC76E24A8A3}">
      <formula1>$AA$1:$AA$9</formula1>
    </dataValidation>
  </dataValidations>
  <pageMargins left="0.15748031496062992" right="0.15748031496062992" top="0.15748031496062992" bottom="0.39370078740157483" header="0.31496062992125984" footer="0.15748031496062992"/>
  <pageSetup paperSize="9" scale="41" orientation="landscape" r:id="rId2"/>
  <headerFooter>
    <oddFooter>&amp;C&amp;P/&amp;N</oddFooter>
  </headerFooter>
  <colBreaks count="1" manualBreakCount="1">
    <brk id="17" max="891" man="1"/>
  </colBreaks>
  <customProperties>
    <customPr name="LastActive" r:id="rId3"/>
  </customProperties>
  <drawing r:id="rId4"/>
  <legacyDrawing r:id="rId5"/>
  <controls>
    <mc:AlternateContent xmlns:mc="http://schemas.openxmlformats.org/markup-compatibility/2006">
      <mc:Choice Requires="x14">
        <control shapeId="7191" r:id="rId6" name="CommandButton7">
          <controlPr defaultSize="0" autoLine="0" r:id="rId7">
            <anchor moveWithCells="1">
              <from>
                <xdr:col>15</xdr:col>
                <xdr:colOff>123825</xdr:colOff>
                <xdr:row>3</xdr:row>
                <xdr:rowOff>133350</xdr:rowOff>
              </from>
              <to>
                <xdr:col>17</xdr:col>
                <xdr:colOff>66675</xdr:colOff>
                <xdr:row>4</xdr:row>
                <xdr:rowOff>152400</xdr:rowOff>
              </to>
            </anchor>
          </controlPr>
        </control>
      </mc:Choice>
      <mc:Fallback>
        <control shapeId="7191" r:id="rId6" name="CommandButton7"/>
      </mc:Fallback>
    </mc:AlternateContent>
    <mc:AlternateContent xmlns:mc="http://schemas.openxmlformats.org/markup-compatibility/2006">
      <mc:Choice Requires="x14">
        <control shapeId="7175" r:id="rId8" name="CommandButton1">
          <controlPr defaultSize="0" autoFill="0" autoLine="0" r:id="rId9">
            <anchor moveWithCells="1">
              <from>
                <xdr:col>17</xdr:col>
                <xdr:colOff>152400</xdr:colOff>
                <xdr:row>4</xdr:row>
                <xdr:rowOff>180975</xdr:rowOff>
              </from>
              <to>
                <xdr:col>18</xdr:col>
                <xdr:colOff>571500</xdr:colOff>
                <xdr:row>6</xdr:row>
                <xdr:rowOff>57150</xdr:rowOff>
              </to>
            </anchor>
          </controlPr>
        </control>
      </mc:Choice>
      <mc:Fallback>
        <control shapeId="7175" r:id="rId8" name="CommandButton1"/>
      </mc:Fallback>
    </mc:AlternateContent>
    <mc:AlternateContent xmlns:mc="http://schemas.openxmlformats.org/markup-compatibility/2006">
      <mc:Choice Requires="x14">
        <control shapeId="7179" r:id="rId10" name="CommandButton2">
          <controlPr defaultSize="0" autoFill="0" autoLine="0" r:id="rId11">
            <anchor moveWithCells="1">
              <from>
                <xdr:col>17</xdr:col>
                <xdr:colOff>104775</xdr:colOff>
                <xdr:row>1</xdr:row>
                <xdr:rowOff>133350</xdr:rowOff>
              </from>
              <to>
                <xdr:col>18</xdr:col>
                <xdr:colOff>523875</xdr:colOff>
                <xdr:row>3</xdr:row>
                <xdr:rowOff>19050</xdr:rowOff>
              </to>
            </anchor>
          </controlPr>
        </control>
      </mc:Choice>
      <mc:Fallback>
        <control shapeId="7179" r:id="rId10" name="CommandButton2"/>
      </mc:Fallback>
    </mc:AlternateContent>
    <mc:AlternateContent xmlns:mc="http://schemas.openxmlformats.org/markup-compatibility/2006">
      <mc:Choice Requires="x14">
        <control shapeId="7184" r:id="rId12" name="CommandButton3">
          <controlPr defaultSize="0" autoLine="0" r:id="rId13">
            <anchor moveWithCells="1">
              <from>
                <xdr:col>17</xdr:col>
                <xdr:colOff>142875</xdr:colOff>
                <xdr:row>3</xdr:row>
                <xdr:rowOff>114300</xdr:rowOff>
              </from>
              <to>
                <xdr:col>18</xdr:col>
                <xdr:colOff>571500</xdr:colOff>
                <xdr:row>4</xdr:row>
                <xdr:rowOff>133350</xdr:rowOff>
              </to>
            </anchor>
          </controlPr>
        </control>
      </mc:Choice>
      <mc:Fallback>
        <control shapeId="7184" r:id="rId12" name="CommandButton3"/>
      </mc:Fallback>
    </mc:AlternateContent>
    <mc:AlternateContent xmlns:mc="http://schemas.openxmlformats.org/markup-compatibility/2006">
      <mc:Choice Requires="x14">
        <control shapeId="7185" r:id="rId14" name="CommandButton4">
          <controlPr defaultSize="0" autoFill="0" autoLine="0" r:id="rId15">
            <anchor moveWithCells="1">
              <from>
                <xdr:col>17</xdr:col>
                <xdr:colOff>95250</xdr:colOff>
                <xdr:row>0</xdr:row>
                <xdr:rowOff>66675</xdr:rowOff>
              </from>
              <to>
                <xdr:col>18</xdr:col>
                <xdr:colOff>523875</xdr:colOff>
                <xdr:row>1</xdr:row>
                <xdr:rowOff>76200</xdr:rowOff>
              </to>
            </anchor>
          </controlPr>
        </control>
      </mc:Choice>
      <mc:Fallback>
        <control shapeId="7185" r:id="rId14" name="CommandButton4"/>
      </mc:Fallback>
    </mc:AlternateContent>
    <mc:AlternateContent xmlns:mc="http://schemas.openxmlformats.org/markup-compatibility/2006">
      <mc:Choice Requires="x14">
        <control shapeId="7187" r:id="rId16" name="CommandButton5">
          <controlPr defaultSize="0" autoFill="0" autoLine="0" r:id="rId17">
            <anchor moveWithCells="1">
              <from>
                <xdr:col>15</xdr:col>
                <xdr:colOff>76200</xdr:colOff>
                <xdr:row>0</xdr:row>
                <xdr:rowOff>76200</xdr:rowOff>
              </from>
              <to>
                <xdr:col>17</xdr:col>
                <xdr:colOff>19050</xdr:colOff>
                <xdr:row>1</xdr:row>
                <xdr:rowOff>85725</xdr:rowOff>
              </to>
            </anchor>
          </controlPr>
        </control>
      </mc:Choice>
      <mc:Fallback>
        <control shapeId="7187" r:id="rId16" name="CommandButton5"/>
      </mc:Fallback>
    </mc:AlternateContent>
    <mc:AlternateContent xmlns:mc="http://schemas.openxmlformats.org/markup-compatibility/2006">
      <mc:Choice Requires="x14">
        <control shapeId="7188" r:id="rId18" name="CommandButton6">
          <controlPr defaultSize="0" autoFill="0" autoLine="0" r:id="rId19">
            <anchor moveWithCells="1">
              <from>
                <xdr:col>15</xdr:col>
                <xdr:colOff>95250</xdr:colOff>
                <xdr:row>1</xdr:row>
                <xdr:rowOff>123825</xdr:rowOff>
              </from>
              <to>
                <xdr:col>17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7188" r:id="rId18" name="CommandButton6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0942-19E3-40A9-B198-D478EFDC66EA}">
  <sheetPr codeName="Sheet10"/>
  <dimension ref="C1:W3192"/>
  <sheetViews>
    <sheetView topLeftCell="B70" workbookViewId="0">
      <selection activeCell="L81" sqref="L81"/>
    </sheetView>
  </sheetViews>
  <sheetFormatPr defaultRowHeight="15"/>
  <cols>
    <col min="4" max="4" width="13.42578125" customWidth="1"/>
    <col min="6" max="6" width="18.7109375" customWidth="1"/>
    <col min="7" max="12" width="17.85546875" customWidth="1"/>
    <col min="13" max="13" width="17.85546875" style="2" customWidth="1"/>
    <col min="20" max="20" width="30" bestFit="1" customWidth="1"/>
    <col min="21" max="21" width="13.85546875" bestFit="1" customWidth="1"/>
    <col min="22" max="22" width="11.5703125" bestFit="1" customWidth="1"/>
  </cols>
  <sheetData>
    <row r="1" spans="3:23">
      <c r="M1"/>
      <c r="U1" s="1051">
        <f>SUM(U2:U1048576)</f>
        <v>19012898.989999998</v>
      </c>
      <c r="V1" s="1051">
        <f>SUM(V2:V1048576)</f>
        <v>18008953.419999998</v>
      </c>
    </row>
    <row r="2" spans="3:23">
      <c r="D2" s="59" t="s">
        <v>24</v>
      </c>
      <c r="E2" s="59"/>
      <c r="F2" s="59">
        <v>249</v>
      </c>
      <c r="M2" s="656">
        <v>1011</v>
      </c>
      <c r="N2" s="648" t="s">
        <v>34</v>
      </c>
      <c r="O2" s="654">
        <v>1992.8000000000029</v>
      </c>
      <c r="P2" s="654"/>
      <c r="Q2" s="660">
        <v>55000</v>
      </c>
      <c r="R2" s="661">
        <v>53007.199999999997</v>
      </c>
      <c r="S2" s="37">
        <v>1011</v>
      </c>
      <c r="T2" s="14" t="s">
        <v>34</v>
      </c>
      <c r="U2" s="46">
        <v>55000</v>
      </c>
      <c r="V2" s="46">
        <v>53007.200000000004</v>
      </c>
      <c r="W2" s="678">
        <v>1992.7999999999956</v>
      </c>
    </row>
    <row r="3" spans="3:23">
      <c r="D3" s="56" t="s">
        <v>1235</v>
      </c>
      <c r="E3" s="56"/>
      <c r="F3" s="56"/>
      <c r="M3" s="656">
        <v>1012</v>
      </c>
      <c r="N3" s="648" t="s">
        <v>35</v>
      </c>
      <c r="O3" s="654">
        <v>2000</v>
      </c>
      <c r="P3" s="654"/>
      <c r="Q3" s="660">
        <v>2000</v>
      </c>
      <c r="R3" s="661">
        <v>0</v>
      </c>
      <c r="S3" s="37">
        <v>1012</v>
      </c>
      <c r="T3" s="14" t="s">
        <v>35</v>
      </c>
      <c r="U3" s="46">
        <v>2000</v>
      </c>
      <c r="V3" s="46">
        <v>0</v>
      </c>
      <c r="W3" s="678">
        <v>2000</v>
      </c>
    </row>
    <row r="4" spans="3:23">
      <c r="M4" s="656">
        <v>1017</v>
      </c>
      <c r="N4" s="648" t="s">
        <v>38</v>
      </c>
      <c r="O4" s="654">
        <v>13650.910000000149</v>
      </c>
      <c r="P4" s="654"/>
      <c r="Q4" s="660">
        <v>576991.55000000005</v>
      </c>
      <c r="R4" s="1053">
        <v>563340.6399999999</v>
      </c>
      <c r="S4" s="37">
        <v>1017</v>
      </c>
      <c r="T4" s="14">
        <v>576991.55000000005</v>
      </c>
      <c r="U4" s="46">
        <v>563340.6400000006</v>
      </c>
      <c r="V4" s="1054">
        <v>13650.909999999451</v>
      </c>
      <c r="W4" s="678">
        <v>-454259.09000000102</v>
      </c>
    </row>
    <row r="5" spans="3:23">
      <c r="G5" t="s">
        <v>2</v>
      </c>
      <c r="H5" s="311">
        <v>86493</v>
      </c>
      <c r="M5" s="656">
        <v>1018</v>
      </c>
      <c r="N5" s="648" t="s">
        <v>39</v>
      </c>
      <c r="O5" s="654">
        <v>1156.8999999999996</v>
      </c>
      <c r="P5" s="654"/>
      <c r="Q5" s="660">
        <v>9980.6</v>
      </c>
      <c r="R5" s="661">
        <v>8823.7000000000007</v>
      </c>
      <c r="S5" s="37">
        <v>1018</v>
      </c>
      <c r="T5" s="14" t="s">
        <v>39</v>
      </c>
      <c r="U5" s="46">
        <v>9980.6</v>
      </c>
      <c r="V5" s="46">
        <v>8823.6999999999989</v>
      </c>
      <c r="W5" s="678">
        <v>1156.9000000000015</v>
      </c>
    </row>
    <row r="6" spans="3:23">
      <c r="C6" s="55" t="s">
        <v>202</v>
      </c>
      <c r="D6" s="55" t="s">
        <v>213</v>
      </c>
      <c r="E6" s="55" t="s">
        <v>10</v>
      </c>
      <c r="F6" s="293" t="s">
        <v>204</v>
      </c>
      <c r="G6" s="57" t="s">
        <v>205</v>
      </c>
      <c r="H6" s="433" t="s">
        <v>2899</v>
      </c>
      <c r="I6" s="915" t="s">
        <v>3020</v>
      </c>
      <c r="J6" s="433" t="s">
        <v>1123</v>
      </c>
      <c r="K6" s="434" t="s">
        <v>1206</v>
      </c>
      <c r="L6" s="433" t="s">
        <v>1207</v>
      </c>
      <c r="M6" s="656">
        <v>1020</v>
      </c>
      <c r="N6" s="648" t="s">
        <v>41</v>
      </c>
      <c r="O6" s="654">
        <v>7393.15</v>
      </c>
      <c r="P6" s="654"/>
      <c r="Q6" s="660">
        <v>7393.15</v>
      </c>
      <c r="R6" s="661">
        <v>0</v>
      </c>
      <c r="S6" s="37">
        <v>1020</v>
      </c>
      <c r="T6" s="14" t="s">
        <v>41</v>
      </c>
      <c r="U6" s="46">
        <v>7393.15</v>
      </c>
      <c r="V6" s="46">
        <v>0</v>
      </c>
      <c r="W6" s="678">
        <v>7393.15</v>
      </c>
    </row>
    <row r="7" spans="3:23">
      <c r="C7" s="66" t="s">
        <v>1234</v>
      </c>
      <c r="D7" s="54" t="s">
        <v>168</v>
      </c>
      <c r="E7" s="435" t="s">
        <v>162</v>
      </c>
      <c r="F7" s="676" t="s">
        <v>236</v>
      </c>
      <c r="G7" s="58">
        <v>2</v>
      </c>
      <c r="H7" s="292"/>
      <c r="I7" s="914">
        <v>2</v>
      </c>
      <c r="J7" s="292"/>
      <c r="K7" s="358"/>
      <c r="L7" s="292"/>
      <c r="M7" s="656">
        <v>1021</v>
      </c>
      <c r="N7" s="648" t="s">
        <v>42</v>
      </c>
      <c r="O7" s="654">
        <v>46010.75</v>
      </c>
      <c r="P7" s="654"/>
      <c r="Q7" s="660">
        <v>46010.75</v>
      </c>
      <c r="R7" s="661">
        <v>0</v>
      </c>
      <c r="S7" s="37">
        <v>1021</v>
      </c>
      <c r="T7" s="14" t="s">
        <v>42</v>
      </c>
      <c r="U7" s="46">
        <v>46010.75</v>
      </c>
      <c r="V7" s="46">
        <v>0</v>
      </c>
      <c r="W7" s="678">
        <v>46010.75</v>
      </c>
    </row>
    <row r="8" spans="3:23">
      <c r="C8" s="66" t="s">
        <v>1234</v>
      </c>
      <c r="D8" s="54" t="s">
        <v>168</v>
      </c>
      <c r="E8" s="435" t="s">
        <v>162</v>
      </c>
      <c r="F8" s="676" t="s">
        <v>237</v>
      </c>
      <c r="G8" s="58">
        <v>2</v>
      </c>
      <c r="H8" s="292">
        <v>2</v>
      </c>
      <c r="I8" s="914">
        <v>0</v>
      </c>
      <c r="J8" s="292"/>
      <c r="K8" s="358"/>
      <c r="L8" s="292"/>
      <c r="M8" s="656">
        <v>1022</v>
      </c>
      <c r="N8" s="648" t="s">
        <v>43</v>
      </c>
      <c r="O8" s="654">
        <v>662611.86000000034</v>
      </c>
      <c r="P8" s="654"/>
      <c r="Q8" s="660">
        <v>4696512.3900000006</v>
      </c>
      <c r="R8" s="661">
        <v>4033900.5300000003</v>
      </c>
      <c r="S8" s="37">
        <v>1022</v>
      </c>
      <c r="T8" s="14" t="s">
        <v>43</v>
      </c>
      <c r="U8" s="46">
        <v>4696512.3900000006</v>
      </c>
      <c r="V8" s="46">
        <v>4044694.53</v>
      </c>
      <c r="W8" s="678">
        <v>651817.8600000008</v>
      </c>
    </row>
    <row r="9" spans="3:23">
      <c r="C9" s="66" t="s">
        <v>1234</v>
      </c>
      <c r="D9" s="54" t="s">
        <v>168</v>
      </c>
      <c r="E9" s="435" t="s">
        <v>162</v>
      </c>
      <c r="F9" s="676" t="s">
        <v>827</v>
      </c>
      <c r="G9" s="58">
        <v>1</v>
      </c>
      <c r="H9" s="292" t="s">
        <v>9</v>
      </c>
      <c r="I9" s="914">
        <v>1</v>
      </c>
      <c r="J9" s="292"/>
      <c r="K9" s="358"/>
      <c r="L9" s="292"/>
      <c r="M9" s="656">
        <v>1025</v>
      </c>
      <c r="N9" s="648" t="s">
        <v>44</v>
      </c>
      <c r="O9" s="654">
        <v>-40792.440000000177</v>
      </c>
      <c r="P9" s="654"/>
      <c r="Q9" s="660">
        <v>849670.2</v>
      </c>
      <c r="R9" s="661">
        <v>890462.64000000013</v>
      </c>
      <c r="S9" s="37">
        <v>1025</v>
      </c>
      <c r="T9" s="14" t="s">
        <v>44</v>
      </c>
      <c r="U9" s="46">
        <v>849670.2</v>
      </c>
      <c r="V9" s="46">
        <v>890462.64</v>
      </c>
      <c r="W9" s="678">
        <v>-40792.440000000061</v>
      </c>
    </row>
    <row r="10" spans="3:23">
      <c r="C10" s="66" t="s">
        <v>1234</v>
      </c>
      <c r="D10" s="54" t="s">
        <v>168</v>
      </c>
      <c r="E10" s="435" t="s">
        <v>162</v>
      </c>
      <c r="F10" s="676" t="s">
        <v>238</v>
      </c>
      <c r="G10" s="58">
        <v>1</v>
      </c>
      <c r="H10" s="292"/>
      <c r="I10" s="914">
        <v>1</v>
      </c>
      <c r="J10" s="292"/>
      <c r="K10" s="358"/>
      <c r="L10" s="292"/>
      <c r="M10" s="656">
        <v>1100</v>
      </c>
      <c r="N10" s="648" t="s">
        <v>46</v>
      </c>
      <c r="O10" s="654">
        <v>389864.40999999968</v>
      </c>
      <c r="P10" s="654"/>
      <c r="Q10" s="1052">
        <v>2903060.11</v>
      </c>
      <c r="R10" s="1053">
        <v>2513195.7000000002</v>
      </c>
      <c r="S10" s="37">
        <v>1100</v>
      </c>
      <c r="T10" s="14" t="s">
        <v>46</v>
      </c>
      <c r="U10" s="1054">
        <v>4337451.7299999995</v>
      </c>
      <c r="V10" s="1054">
        <v>3790973.3500000006</v>
      </c>
      <c r="W10" s="678">
        <v>546478.37999999896</v>
      </c>
    </row>
    <row r="11" spans="3:23">
      <c r="C11" s="66" t="s">
        <v>1234</v>
      </c>
      <c r="D11" s="54" t="s">
        <v>168</v>
      </c>
      <c r="E11" s="435" t="s">
        <v>162</v>
      </c>
      <c r="F11" s="676" t="s">
        <v>233</v>
      </c>
      <c r="G11" s="58">
        <v>13</v>
      </c>
      <c r="H11" s="292">
        <v>13</v>
      </c>
      <c r="I11" s="914">
        <v>0</v>
      </c>
      <c r="J11" s="292"/>
      <c r="K11" s="358"/>
      <c r="L11" s="292"/>
      <c r="M11" s="656">
        <v>1400</v>
      </c>
      <c r="N11" s="648" t="s">
        <v>49</v>
      </c>
      <c r="O11" s="654">
        <v>-53928.649999999994</v>
      </c>
      <c r="P11" s="654"/>
      <c r="Q11" s="660">
        <v>186284.29</v>
      </c>
      <c r="R11" s="661">
        <v>240212.94</v>
      </c>
      <c r="S11" s="37">
        <v>1400</v>
      </c>
      <c r="T11" s="14" t="s">
        <v>49</v>
      </c>
      <c r="U11" s="46">
        <v>186284.29</v>
      </c>
      <c r="V11" s="46">
        <v>240212.94</v>
      </c>
      <c r="W11" s="678">
        <v>-53928.649999999994</v>
      </c>
    </row>
    <row r="12" spans="3:23">
      <c r="C12" s="66" t="s">
        <v>1234</v>
      </c>
      <c r="D12" s="54" t="s">
        <v>168</v>
      </c>
      <c r="E12" s="435" t="s">
        <v>162</v>
      </c>
      <c r="F12" s="676" t="s">
        <v>1236</v>
      </c>
      <c r="G12" s="58">
        <v>17</v>
      </c>
      <c r="H12" s="292">
        <v>17</v>
      </c>
      <c r="I12" s="914">
        <v>0</v>
      </c>
      <c r="J12" s="292"/>
      <c r="K12" s="358"/>
      <c r="L12" s="292"/>
      <c r="M12" s="656">
        <v>1430</v>
      </c>
      <c r="N12" s="648" t="s">
        <v>50</v>
      </c>
      <c r="O12" s="654">
        <v>23500</v>
      </c>
      <c r="P12" s="654"/>
      <c r="Q12" s="660">
        <v>23500</v>
      </c>
      <c r="R12" s="661">
        <v>0</v>
      </c>
      <c r="S12" s="37">
        <v>1430</v>
      </c>
      <c r="T12" s="14" t="s">
        <v>50</v>
      </c>
      <c r="U12" s="46">
        <v>23500</v>
      </c>
      <c r="V12" s="46">
        <v>0</v>
      </c>
      <c r="W12" s="678">
        <v>23500</v>
      </c>
    </row>
    <row r="13" spans="3:23">
      <c r="C13" s="48"/>
      <c r="D13" s="54"/>
      <c r="E13" s="435"/>
      <c r="F13" s="295"/>
      <c r="G13" s="58"/>
      <c r="H13" s="292"/>
      <c r="I13" s="912"/>
      <c r="J13" s="292"/>
      <c r="K13" s="358"/>
      <c r="L13" s="292"/>
      <c r="M13" s="656">
        <v>1450</v>
      </c>
      <c r="N13" s="648" t="s">
        <v>52</v>
      </c>
      <c r="O13" s="654">
        <v>51307</v>
      </c>
      <c r="P13" s="654"/>
      <c r="Q13" s="660">
        <v>51307</v>
      </c>
      <c r="R13" s="661">
        <v>0</v>
      </c>
      <c r="S13" s="37">
        <v>1450</v>
      </c>
      <c r="T13" s="14" t="s">
        <v>52</v>
      </c>
      <c r="U13" s="46">
        <v>51307</v>
      </c>
      <c r="V13" s="46">
        <v>0</v>
      </c>
      <c r="W13" s="678">
        <v>51307</v>
      </c>
    </row>
    <row r="14" spans="3:23">
      <c r="M14" s="656">
        <v>1500</v>
      </c>
      <c r="N14" s="648" t="s">
        <v>53</v>
      </c>
      <c r="O14" s="654">
        <v>157982.5</v>
      </c>
      <c r="P14" s="654"/>
      <c r="Q14" s="660">
        <v>157982.5</v>
      </c>
      <c r="R14" s="661">
        <v>0</v>
      </c>
      <c r="S14" s="37">
        <v>1500</v>
      </c>
      <c r="T14" s="14" t="s">
        <v>53</v>
      </c>
      <c r="U14" s="46">
        <v>157982.49999999997</v>
      </c>
      <c r="V14" s="46">
        <v>0</v>
      </c>
      <c r="W14" s="678">
        <v>157982.49999999997</v>
      </c>
    </row>
    <row r="15" spans="3:23">
      <c r="M15" s="656">
        <v>1550</v>
      </c>
      <c r="N15" s="648" t="s">
        <v>54</v>
      </c>
      <c r="O15" s="654">
        <v>278861.98</v>
      </c>
      <c r="P15" s="654"/>
      <c r="Q15" s="660">
        <v>278861.98</v>
      </c>
      <c r="R15" s="661">
        <v>0</v>
      </c>
      <c r="S15" s="37">
        <v>1550</v>
      </c>
      <c r="T15" s="14" t="s">
        <v>54</v>
      </c>
      <c r="U15" s="46">
        <v>278861.98</v>
      </c>
      <c r="V15" s="46">
        <v>0</v>
      </c>
      <c r="W15" s="678">
        <v>278861.98</v>
      </c>
    </row>
    <row r="16" spans="3:23">
      <c r="M16" s="656">
        <v>1600</v>
      </c>
      <c r="N16" s="648" t="s">
        <v>55</v>
      </c>
      <c r="O16" s="654">
        <v>2576.42</v>
      </c>
      <c r="P16" s="654"/>
      <c r="Q16" s="660">
        <v>2576.42</v>
      </c>
      <c r="R16" s="661">
        <v>0</v>
      </c>
      <c r="S16" s="37">
        <v>1600</v>
      </c>
      <c r="T16" s="14" t="s">
        <v>55</v>
      </c>
      <c r="U16" s="46">
        <v>2576.42</v>
      </c>
      <c r="V16" s="46">
        <v>0</v>
      </c>
      <c r="W16" s="678">
        <v>2576.42</v>
      </c>
    </row>
    <row r="17" spans="13:23">
      <c r="M17" s="656">
        <v>1900</v>
      </c>
      <c r="N17" s="648" t="s">
        <v>56</v>
      </c>
      <c r="O17" s="654">
        <v>-191000</v>
      </c>
      <c r="P17" s="654"/>
      <c r="Q17" s="660">
        <v>0</v>
      </c>
      <c r="R17" s="661">
        <v>191000</v>
      </c>
      <c r="S17" s="37">
        <v>1900</v>
      </c>
      <c r="T17" s="14" t="s">
        <v>56</v>
      </c>
      <c r="U17" s="46">
        <v>0</v>
      </c>
      <c r="V17" s="46">
        <v>191000</v>
      </c>
      <c r="W17" s="678">
        <v>-191000</v>
      </c>
    </row>
    <row r="18" spans="13:23" ht="28.5">
      <c r="M18" s="1043">
        <v>1550</v>
      </c>
      <c r="S18" s="42" t="s">
        <v>5</v>
      </c>
      <c r="T18" s="42"/>
      <c r="U18" s="42"/>
      <c r="V18" s="42"/>
      <c r="W18" s="42"/>
    </row>
    <row r="19" spans="13:23">
      <c r="M19" s="1043">
        <v>1600</v>
      </c>
      <c r="S19" s="38">
        <v>2000</v>
      </c>
      <c r="T19" s="35" t="s">
        <v>57</v>
      </c>
      <c r="U19" s="46">
        <v>3429984.3399999985</v>
      </c>
      <c r="V19" s="46">
        <v>2936725.3200000012</v>
      </c>
      <c r="W19" s="678">
        <v>-493259.01999999722</v>
      </c>
    </row>
    <row r="20" spans="13:23">
      <c r="M20" s="1043">
        <v>1900</v>
      </c>
      <c r="S20" s="38">
        <v>2018</v>
      </c>
      <c r="T20" s="35" t="s">
        <v>58</v>
      </c>
      <c r="U20" s="46">
        <v>166699.99000000019</v>
      </c>
      <c r="V20" s="46">
        <v>169441.44000000006</v>
      </c>
      <c r="W20" s="678">
        <v>2741.4499999998661</v>
      </c>
    </row>
    <row r="21" spans="13:23" ht="28.5">
      <c r="M21" s="1043">
        <v>3910</v>
      </c>
      <c r="S21" s="42" t="s">
        <v>145</v>
      </c>
      <c r="T21" s="42"/>
      <c r="U21" s="42"/>
      <c r="V21" s="42"/>
      <c r="W21" s="42"/>
    </row>
    <row r="22" spans="13:23">
      <c r="M22" s="1043">
        <v>3920</v>
      </c>
      <c r="S22" s="39">
        <v>3910</v>
      </c>
      <c r="T22" s="36" t="s">
        <v>70</v>
      </c>
      <c r="U22" s="46">
        <v>0</v>
      </c>
      <c r="V22" s="46">
        <v>541593</v>
      </c>
      <c r="W22" s="678">
        <v>541593</v>
      </c>
    </row>
    <row r="23" spans="13:23">
      <c r="M23" s="1045">
        <v>1011</v>
      </c>
      <c r="S23" s="39">
        <v>3920</v>
      </c>
      <c r="T23" s="36" t="s">
        <v>71</v>
      </c>
      <c r="U23" s="46">
        <v>0</v>
      </c>
      <c r="V23" s="46">
        <v>750000</v>
      </c>
      <c r="W23" s="678">
        <v>750000</v>
      </c>
    </row>
    <row r="24" spans="13:23" ht="28.5">
      <c r="M24" s="1045">
        <v>2000</v>
      </c>
      <c r="S24" s="42" t="s">
        <v>146</v>
      </c>
      <c r="T24" s="42"/>
      <c r="U24" s="42"/>
      <c r="V24" s="42"/>
      <c r="W24" s="42"/>
    </row>
    <row r="25" spans="13:23">
      <c r="M25" s="1045">
        <v>2018</v>
      </c>
      <c r="S25" s="40">
        <v>4000</v>
      </c>
      <c r="T25" s="13" t="s">
        <v>74</v>
      </c>
      <c r="U25" s="46">
        <v>0</v>
      </c>
      <c r="V25" s="46">
        <v>4329862.3</v>
      </c>
      <c r="W25" s="678">
        <v>4329862.3</v>
      </c>
    </row>
    <row r="26" spans="13:23">
      <c r="M26" s="1045">
        <v>4000</v>
      </c>
      <c r="S26" s="40">
        <v>4010</v>
      </c>
      <c r="T26" s="13" t="s">
        <v>75</v>
      </c>
      <c r="U26" s="46">
        <v>0</v>
      </c>
      <c r="V26" s="46">
        <v>21600</v>
      </c>
      <c r="W26" s="678">
        <v>21600</v>
      </c>
    </row>
    <row r="27" spans="13:23" ht="28.5">
      <c r="M27" s="1045">
        <v>4010</v>
      </c>
      <c r="S27" s="42" t="s">
        <v>231</v>
      </c>
      <c r="T27" s="42"/>
      <c r="U27" s="42"/>
      <c r="V27" s="42"/>
      <c r="W27" s="42"/>
    </row>
    <row r="28" spans="13:23">
      <c r="M28" s="1045">
        <v>6250</v>
      </c>
      <c r="S28" s="41">
        <v>5100</v>
      </c>
      <c r="T28" s="35" t="s">
        <v>81</v>
      </c>
      <c r="U28" s="46">
        <v>12280.939999999999</v>
      </c>
      <c r="V28" s="46">
        <v>0</v>
      </c>
      <c r="W28" s="678">
        <v>12280.939999999999</v>
      </c>
    </row>
    <row r="29" spans="13:23">
      <c r="M29" s="1045">
        <v>5100</v>
      </c>
      <c r="S29" s="41">
        <v>5150</v>
      </c>
      <c r="T29" s="35" t="s">
        <v>82</v>
      </c>
      <c r="U29" s="46">
        <v>1956947.53</v>
      </c>
      <c r="V29" s="46">
        <v>0</v>
      </c>
      <c r="W29" s="678">
        <v>1956947.53</v>
      </c>
    </row>
    <row r="30" spans="13:23">
      <c r="M30" s="1045">
        <v>5150</v>
      </c>
      <c r="S30" s="41">
        <v>5200</v>
      </c>
      <c r="T30" s="35" t="s">
        <v>83</v>
      </c>
      <c r="U30" s="46">
        <v>300041.81999999995</v>
      </c>
      <c r="V30" s="46">
        <v>0</v>
      </c>
      <c r="W30" s="678">
        <v>300041.81999999995</v>
      </c>
    </row>
    <row r="31" spans="13:23">
      <c r="M31" s="1045">
        <v>5200</v>
      </c>
      <c r="S31" s="41">
        <v>5220</v>
      </c>
      <c r="T31" s="35" t="s">
        <v>84</v>
      </c>
      <c r="U31" s="46">
        <v>33317.83</v>
      </c>
      <c r="V31" s="46">
        <v>0</v>
      </c>
      <c r="W31" s="678">
        <v>33317.83</v>
      </c>
    </row>
    <row r="32" spans="13:23">
      <c r="M32" s="1045">
        <v>5250</v>
      </c>
      <c r="S32" s="41">
        <v>5250</v>
      </c>
      <c r="T32" s="35" t="s">
        <v>85</v>
      </c>
      <c r="U32" s="46">
        <v>414363.05000000005</v>
      </c>
      <c r="V32" s="46">
        <v>0</v>
      </c>
      <c r="W32" s="678">
        <v>414363.05000000005</v>
      </c>
    </row>
    <row r="33" spans="13:23">
      <c r="M33" s="1045">
        <v>5950</v>
      </c>
      <c r="S33" s="41">
        <v>5350</v>
      </c>
      <c r="T33" s="14" t="s">
        <v>87</v>
      </c>
      <c r="U33" s="46">
        <v>19600</v>
      </c>
      <c r="V33" s="46">
        <v>0</v>
      </c>
      <c r="W33" s="678">
        <v>19600</v>
      </c>
    </row>
    <row r="34" spans="13:23">
      <c r="M34" s="1045">
        <v>6000</v>
      </c>
      <c r="S34" s="41">
        <v>5950</v>
      </c>
      <c r="T34" s="14" t="s">
        <v>90</v>
      </c>
      <c r="U34" s="46">
        <v>17568.330000000002</v>
      </c>
      <c r="V34" s="46">
        <v>0</v>
      </c>
      <c r="W34" s="678">
        <v>17568.330000000002</v>
      </c>
    </row>
    <row r="35" spans="13:23" ht="28.5">
      <c r="M35" s="1045">
        <v>6001</v>
      </c>
      <c r="S35" s="42" t="s">
        <v>148</v>
      </c>
      <c r="T35" s="42"/>
      <c r="U35" s="42"/>
      <c r="V35" s="42"/>
      <c r="W35" s="42"/>
    </row>
    <row r="36" spans="13:23">
      <c r="M36" s="1045">
        <v>6003</v>
      </c>
      <c r="S36" s="41">
        <v>6000</v>
      </c>
      <c r="T36" s="2" t="s">
        <v>91</v>
      </c>
      <c r="U36" s="46">
        <v>666041</v>
      </c>
      <c r="V36" s="46">
        <v>0</v>
      </c>
      <c r="W36" s="678">
        <v>666041</v>
      </c>
    </row>
    <row r="37" spans="13:23">
      <c r="M37" s="1045">
        <v>6004</v>
      </c>
      <c r="S37" s="41">
        <v>6001</v>
      </c>
      <c r="T37" s="68" t="s">
        <v>92</v>
      </c>
      <c r="U37" s="46">
        <v>58543.14</v>
      </c>
      <c r="V37" s="46">
        <v>0</v>
      </c>
      <c r="W37" s="678">
        <v>58543.14</v>
      </c>
    </row>
    <row r="38" spans="13:23">
      <c r="M38" s="1045">
        <v>6005</v>
      </c>
      <c r="S38" s="41">
        <v>6002</v>
      </c>
      <c r="T38" s="14" t="s">
        <v>93</v>
      </c>
      <c r="U38" s="46">
        <v>47</v>
      </c>
      <c r="V38" s="46">
        <v>0</v>
      </c>
      <c r="W38" s="678">
        <v>47</v>
      </c>
    </row>
    <row r="39" spans="13:23">
      <c r="M39" s="1045">
        <v>6007</v>
      </c>
      <c r="S39" s="41">
        <v>6003</v>
      </c>
      <c r="T39" s="2" t="s">
        <v>94</v>
      </c>
      <c r="U39" s="46">
        <v>1182.05</v>
      </c>
      <c r="V39" s="46">
        <v>0</v>
      </c>
      <c r="W39" s="678">
        <v>1182.05</v>
      </c>
    </row>
    <row r="40" spans="13:23">
      <c r="M40" s="1045">
        <v>6009</v>
      </c>
      <c r="S40" s="41">
        <v>6004</v>
      </c>
      <c r="T40" s="2" t="s">
        <v>95</v>
      </c>
      <c r="U40" s="46">
        <v>15422.330000000002</v>
      </c>
      <c r="V40" s="46">
        <v>0</v>
      </c>
      <c r="W40" s="678">
        <v>15422.330000000002</v>
      </c>
    </row>
    <row r="41" spans="13:23">
      <c r="M41" s="1045">
        <v>6010</v>
      </c>
      <c r="S41" s="41">
        <v>6005</v>
      </c>
      <c r="T41" s="2" t="s">
        <v>96</v>
      </c>
      <c r="U41" s="46">
        <v>135.24</v>
      </c>
      <c r="V41" s="46">
        <v>0</v>
      </c>
      <c r="W41" s="678">
        <v>135.24</v>
      </c>
    </row>
    <row r="42" spans="13:23">
      <c r="M42" s="1045">
        <v>6011</v>
      </c>
      <c r="S42" s="41">
        <v>6006</v>
      </c>
      <c r="T42" s="2" t="s">
        <v>97</v>
      </c>
      <c r="U42" s="46">
        <v>17422.21</v>
      </c>
      <c r="V42" s="46">
        <v>0</v>
      </c>
      <c r="W42" s="678">
        <v>17422.21</v>
      </c>
    </row>
    <row r="43" spans="13:23">
      <c r="M43" s="1045">
        <v>6013</v>
      </c>
      <c r="S43" s="41">
        <v>6007</v>
      </c>
      <c r="T43" s="47" t="s">
        <v>98</v>
      </c>
      <c r="U43" s="46">
        <v>9120.619999999999</v>
      </c>
      <c r="V43" s="46">
        <v>0</v>
      </c>
      <c r="W43" s="678">
        <v>9120.619999999999</v>
      </c>
    </row>
    <row r="44" spans="13:23">
      <c r="M44" s="1045">
        <v>6014</v>
      </c>
      <c r="S44" s="41">
        <v>6009</v>
      </c>
      <c r="T44" s="2" t="s">
        <v>100</v>
      </c>
      <c r="U44" s="46">
        <v>5011.8500000000004</v>
      </c>
      <c r="V44" s="46">
        <v>0</v>
      </c>
      <c r="W44" s="678">
        <v>5011.8500000000004</v>
      </c>
    </row>
    <row r="45" spans="13:23">
      <c r="M45" s="1045">
        <v>6015</v>
      </c>
      <c r="S45" s="41">
        <v>6010</v>
      </c>
      <c r="T45" s="2" t="s">
        <v>101</v>
      </c>
      <c r="U45" s="46">
        <v>1300</v>
      </c>
      <c r="V45" s="46">
        <v>0</v>
      </c>
      <c r="W45" s="678">
        <v>1300</v>
      </c>
    </row>
    <row r="46" spans="13:23">
      <c r="M46" s="1045">
        <v>6016</v>
      </c>
      <c r="S46" s="41">
        <v>6011</v>
      </c>
      <c r="T46" s="2" t="s">
        <v>102</v>
      </c>
      <c r="U46" s="46">
        <v>14254</v>
      </c>
      <c r="V46" s="46">
        <v>0</v>
      </c>
      <c r="W46" s="678">
        <v>14254</v>
      </c>
    </row>
    <row r="47" spans="13:23">
      <c r="M47" s="1045">
        <v>6017</v>
      </c>
      <c r="S47" s="41">
        <v>6012</v>
      </c>
      <c r="T47" s="14" t="s">
        <v>103</v>
      </c>
      <c r="U47" s="46">
        <v>133.1</v>
      </c>
      <c r="V47" s="46">
        <v>0</v>
      </c>
      <c r="W47" s="678">
        <v>133.1</v>
      </c>
    </row>
    <row r="48" spans="13:23">
      <c r="M48" s="1045">
        <v>6022</v>
      </c>
      <c r="S48" s="41">
        <v>6013</v>
      </c>
      <c r="T48" s="2" t="s">
        <v>104</v>
      </c>
      <c r="U48" s="46">
        <v>54695.509999999995</v>
      </c>
      <c r="V48" s="46">
        <v>0</v>
      </c>
      <c r="W48" s="678">
        <v>54695.509999999995</v>
      </c>
    </row>
    <row r="49" spans="13:23">
      <c r="M49" s="1045">
        <v>6023</v>
      </c>
      <c r="S49" s="41">
        <v>6014</v>
      </c>
      <c r="T49" s="2" t="s">
        <v>105</v>
      </c>
      <c r="U49" s="46">
        <v>5729.41</v>
      </c>
      <c r="V49" s="46">
        <v>0</v>
      </c>
      <c r="W49" s="678">
        <v>5729.41</v>
      </c>
    </row>
    <row r="50" spans="13:23">
      <c r="M50" s="1045">
        <v>6024</v>
      </c>
      <c r="S50" s="41">
        <v>6015</v>
      </c>
      <c r="T50" s="2" t="s">
        <v>106</v>
      </c>
      <c r="U50" s="46">
        <v>1150.8499999999999</v>
      </c>
      <c r="V50" s="46">
        <v>0</v>
      </c>
      <c r="W50" s="678">
        <v>1150.8499999999999</v>
      </c>
    </row>
    <row r="51" spans="13:23">
      <c r="M51" s="1045">
        <v>6025</v>
      </c>
      <c r="S51" s="41">
        <v>6016</v>
      </c>
      <c r="T51" s="2" t="s">
        <v>107</v>
      </c>
      <c r="U51" s="46">
        <v>152714.9</v>
      </c>
      <c r="V51" s="46">
        <v>0</v>
      </c>
      <c r="W51" s="678">
        <v>152714.9</v>
      </c>
    </row>
    <row r="52" spans="13:23">
      <c r="M52" s="1045">
        <v>6026</v>
      </c>
      <c r="S52" s="41">
        <v>6017</v>
      </c>
      <c r="T52" s="2" t="s">
        <v>108</v>
      </c>
      <c r="U52" s="46">
        <v>15324.450000000004</v>
      </c>
      <c r="V52" s="46">
        <v>0</v>
      </c>
      <c r="W52" s="678">
        <v>15324.450000000004</v>
      </c>
    </row>
    <row r="53" spans="13:23">
      <c r="M53" s="1045">
        <v>6028</v>
      </c>
      <c r="S53" s="41">
        <v>6022</v>
      </c>
      <c r="T53" s="47" t="s">
        <v>113</v>
      </c>
      <c r="U53" s="46">
        <v>7081.49</v>
      </c>
      <c r="V53" s="46">
        <v>0</v>
      </c>
      <c r="W53" s="678">
        <v>7081.49</v>
      </c>
    </row>
    <row r="54" spans="13:23">
      <c r="M54" s="1045">
        <v>6200</v>
      </c>
      <c r="S54" s="41">
        <v>6023</v>
      </c>
      <c r="T54" s="2" t="s">
        <v>114</v>
      </c>
      <c r="U54" s="46">
        <v>1780</v>
      </c>
      <c r="V54" s="46">
        <v>0</v>
      </c>
      <c r="W54" s="678">
        <v>1780</v>
      </c>
    </row>
    <row r="55" spans="13:23">
      <c r="M55" s="1045">
        <v>6300</v>
      </c>
      <c r="S55" s="41">
        <v>6024</v>
      </c>
      <c r="T55" s="2" t="s">
        <v>115</v>
      </c>
      <c r="U55" s="46">
        <v>1315</v>
      </c>
      <c r="V55" s="46">
        <v>0</v>
      </c>
      <c r="W55" s="678">
        <v>1315</v>
      </c>
    </row>
    <row r="56" spans="13:23">
      <c r="M56" s="1045">
        <v>6350</v>
      </c>
      <c r="S56" s="41">
        <v>6025</v>
      </c>
      <c r="T56" s="2" t="s">
        <v>116</v>
      </c>
      <c r="U56" s="46">
        <v>925.5</v>
      </c>
      <c r="V56" s="46">
        <v>0</v>
      </c>
      <c r="W56" s="678">
        <v>925.5</v>
      </c>
    </row>
    <row r="57" spans="13:23">
      <c r="M57" s="1045">
        <v>6450</v>
      </c>
      <c r="S57" s="41">
        <v>6026</v>
      </c>
      <c r="T57" s="2" t="s">
        <v>117</v>
      </c>
      <c r="U57" s="46">
        <v>1628</v>
      </c>
      <c r="V57" s="46">
        <v>0</v>
      </c>
      <c r="W57" s="678">
        <v>1628</v>
      </c>
    </row>
    <row r="58" spans="13:23">
      <c r="M58" s="1045">
        <v>7200</v>
      </c>
      <c r="S58" s="41">
        <v>6027</v>
      </c>
      <c r="T58" s="2" t="s">
        <v>118</v>
      </c>
      <c r="U58" s="46">
        <v>126000</v>
      </c>
      <c r="V58" s="46">
        <v>500</v>
      </c>
      <c r="W58" s="678">
        <v>125500</v>
      </c>
    </row>
    <row r="59" spans="13:23">
      <c r="M59" s="1045">
        <v>7300</v>
      </c>
      <c r="S59" s="41">
        <v>6028</v>
      </c>
      <c r="T59" s="74" t="s">
        <v>119</v>
      </c>
      <c r="U59" s="46">
        <v>171065</v>
      </c>
      <c r="V59" s="46">
        <v>0</v>
      </c>
      <c r="W59" s="678">
        <v>171065</v>
      </c>
    </row>
    <row r="60" spans="13:23">
      <c r="M60" s="70">
        <v>5350</v>
      </c>
      <c r="S60" s="41">
        <v>6050</v>
      </c>
      <c r="T60" s="74" t="s">
        <v>125</v>
      </c>
      <c r="U60" s="46">
        <v>400</v>
      </c>
      <c r="V60" s="46">
        <v>0</v>
      </c>
      <c r="W60" s="678">
        <v>400</v>
      </c>
    </row>
    <row r="61" spans="13:23">
      <c r="M61" s="70">
        <v>1012</v>
      </c>
      <c r="S61" s="41">
        <v>6200</v>
      </c>
      <c r="T61" s="75" t="s">
        <v>128</v>
      </c>
      <c r="U61" s="46">
        <v>5267.55</v>
      </c>
      <c r="V61" s="46">
        <v>0</v>
      </c>
      <c r="W61" s="678">
        <v>5267.55</v>
      </c>
    </row>
    <row r="62" spans="13:23">
      <c r="M62" s="70">
        <v>6006</v>
      </c>
      <c r="S62" s="41">
        <v>6250</v>
      </c>
      <c r="T62" s="75" t="s">
        <v>129</v>
      </c>
      <c r="U62" s="46">
        <v>15105.660000000005</v>
      </c>
      <c r="V62" s="46">
        <v>26406.09</v>
      </c>
      <c r="W62" s="678">
        <v>-11300.429999999995</v>
      </c>
    </row>
    <row r="63" spans="13:23">
      <c r="M63" s="70">
        <v>6002</v>
      </c>
      <c r="S63" s="41">
        <v>6300</v>
      </c>
      <c r="T63" s="2" t="s">
        <v>130</v>
      </c>
      <c r="U63" s="46">
        <v>2827.5</v>
      </c>
      <c r="V63" s="46">
        <v>0</v>
      </c>
      <c r="W63" s="678">
        <v>2827.5</v>
      </c>
    </row>
    <row r="64" spans="13:23">
      <c r="M64" s="70">
        <v>7050</v>
      </c>
      <c r="S64" s="41">
        <v>6350</v>
      </c>
      <c r="T64" s="45" t="s">
        <v>131</v>
      </c>
      <c r="U64" s="46">
        <v>4914.0600000000004</v>
      </c>
      <c r="V64" s="46">
        <v>0</v>
      </c>
      <c r="W64" s="678">
        <v>4914.0600000000004</v>
      </c>
    </row>
    <row r="65" spans="13:23">
      <c r="M65" s="70">
        <v>6012</v>
      </c>
      <c r="S65" s="41">
        <v>6450</v>
      </c>
      <c r="T65" s="75" t="s">
        <v>133</v>
      </c>
      <c r="U65" s="46">
        <v>1018.53</v>
      </c>
      <c r="V65" s="46">
        <v>0</v>
      </c>
      <c r="W65" s="678">
        <v>1018.53</v>
      </c>
    </row>
    <row r="66" spans="13:23">
      <c r="M66" s="70">
        <v>6050</v>
      </c>
      <c r="S66" s="41">
        <v>7050</v>
      </c>
      <c r="T66" s="14" t="s">
        <v>137</v>
      </c>
      <c r="U66" s="46">
        <v>69.650000000000006</v>
      </c>
      <c r="V66" s="46">
        <v>0</v>
      </c>
      <c r="W66" s="678">
        <v>69.650000000000006</v>
      </c>
    </row>
    <row r="67" spans="13:23">
      <c r="M67" s="70">
        <v>5220</v>
      </c>
      <c r="S67" s="41">
        <v>7200</v>
      </c>
      <c r="T67" s="2" t="s">
        <v>140</v>
      </c>
      <c r="U67" s="46">
        <v>800.92</v>
      </c>
      <c r="V67" s="46">
        <v>0</v>
      </c>
      <c r="W67" s="678">
        <v>800.92</v>
      </c>
    </row>
    <row r="68" spans="13:23">
      <c r="M68"/>
      <c r="S68" s="41">
        <v>7300</v>
      </c>
      <c r="T68" s="2" t="s">
        <v>142</v>
      </c>
      <c r="U68" s="46">
        <v>35796.990000000005</v>
      </c>
      <c r="V68" s="46">
        <v>0</v>
      </c>
      <c r="W68" s="678">
        <v>35796.990000000005</v>
      </c>
    </row>
    <row r="69" spans="13:23">
      <c r="M69"/>
      <c r="S69" s="43" t="s">
        <v>175</v>
      </c>
      <c r="T69" s="43" t="s">
        <v>175</v>
      </c>
      <c r="U69" s="43"/>
      <c r="V69" s="43"/>
      <c r="W69" s="43"/>
    </row>
    <row r="70" spans="13:23">
      <c r="M70"/>
    </row>
    <row r="71" spans="13:23">
      <c r="M71"/>
    </row>
    <row r="72" spans="13:23">
      <c r="M72"/>
    </row>
    <row r="73" spans="13:23">
      <c r="M73"/>
    </row>
    <row r="74" spans="13:23">
      <c r="M74"/>
    </row>
    <row r="75" spans="13:23">
      <c r="M75"/>
    </row>
    <row r="76" spans="13:23">
      <c r="M76"/>
    </row>
    <row r="77" spans="13:23">
      <c r="M77"/>
    </row>
    <row r="78" spans="13:23">
      <c r="M78"/>
    </row>
    <row r="79" spans="13:23">
      <c r="M79"/>
    </row>
    <row r="80" spans="13:23">
      <c r="M80"/>
    </row>
    <row r="81" spans="7:13">
      <c r="M81"/>
    </row>
    <row r="82" spans="7:13">
      <c r="M82"/>
    </row>
    <row r="83" spans="7:13">
      <c r="M83"/>
    </row>
    <row r="84" spans="7:13">
      <c r="J84">
        <f>155000*20%</f>
        <v>31000</v>
      </c>
      <c r="M84"/>
    </row>
    <row r="85" spans="7:13">
      <c r="J85">
        <f>J84*5%</f>
        <v>1550</v>
      </c>
      <c r="M85"/>
    </row>
    <row r="86" spans="7:13">
      <c r="J86">
        <f>J85+J84</f>
        <v>32550</v>
      </c>
      <c r="M86"/>
    </row>
    <row r="87" spans="7:13">
      <c r="M87"/>
    </row>
    <row r="88" spans="7:13" ht="15.75" thickBot="1">
      <c r="M88"/>
    </row>
    <row r="89" spans="7:13" ht="20.25" thickBot="1">
      <c r="G89" s="1729" t="s">
        <v>220</v>
      </c>
      <c r="H89" s="1730"/>
      <c r="I89" s="1730"/>
      <c r="J89" s="1730"/>
      <c r="K89" s="1730"/>
      <c r="L89" s="1731"/>
      <c r="M89" s="1685">
        <v>155000</v>
      </c>
    </row>
    <row r="90" spans="7:13" ht="18.75" thickBot="1">
      <c r="G90" s="1564" t="s">
        <v>830</v>
      </c>
      <c r="H90" s="1565" t="s">
        <v>14</v>
      </c>
      <c r="I90" s="1565" t="s">
        <v>240</v>
      </c>
      <c r="J90" s="1565" t="s">
        <v>222</v>
      </c>
      <c r="K90" s="1565" t="s">
        <v>241</v>
      </c>
      <c r="L90" s="1565" t="s">
        <v>240</v>
      </c>
      <c r="M90" s="1565" t="s">
        <v>222</v>
      </c>
    </row>
    <row r="91" spans="7:13" ht="16.5" thickBot="1">
      <c r="G91" s="1566">
        <v>1</v>
      </c>
      <c r="H91" s="1567" t="s">
        <v>242</v>
      </c>
      <c r="I91" s="1568">
        <v>0.25</v>
      </c>
      <c r="J91" s="1569">
        <f>$M$89*I91</f>
        <v>38750</v>
      </c>
      <c r="K91" s="1570" t="s">
        <v>243</v>
      </c>
      <c r="L91" s="1568">
        <v>1</v>
      </c>
      <c r="M91" s="1569">
        <f>L91*J91</f>
        <v>38750</v>
      </c>
    </row>
    <row r="92" spans="7:13" ht="16.5" thickBot="1">
      <c r="G92" s="1566">
        <v>2</v>
      </c>
      <c r="H92" s="1567" t="s">
        <v>244</v>
      </c>
      <c r="I92" s="1568">
        <v>0.3</v>
      </c>
      <c r="J92" s="1569">
        <f t="shared" ref="J92:J95" si="0">$M$89*I92</f>
        <v>46500</v>
      </c>
      <c r="K92" s="1570" t="s">
        <v>5584</v>
      </c>
      <c r="L92" s="1568">
        <v>1</v>
      </c>
      <c r="M92" s="1569">
        <f t="shared" ref="M92:M95" si="1">L92*J92</f>
        <v>46500</v>
      </c>
    </row>
    <row r="93" spans="7:13" ht="16.5" thickBot="1">
      <c r="G93" s="1566">
        <v>3</v>
      </c>
      <c r="H93" s="1567" t="s">
        <v>245</v>
      </c>
      <c r="I93" s="1568">
        <v>0.35</v>
      </c>
      <c r="J93" s="1569">
        <f t="shared" si="0"/>
        <v>54250</v>
      </c>
      <c r="K93" s="1570" t="s">
        <v>5584</v>
      </c>
      <c r="L93" s="1568">
        <v>1</v>
      </c>
      <c r="M93" s="1569">
        <f t="shared" si="1"/>
        <v>54250</v>
      </c>
    </row>
    <row r="94" spans="7:13" ht="16.5" thickBot="1">
      <c r="G94" s="1566">
        <v>4</v>
      </c>
      <c r="H94" s="1567" t="s">
        <v>246</v>
      </c>
      <c r="I94" s="1568">
        <v>7.0000000000000007E-2</v>
      </c>
      <c r="J94" s="1569">
        <f t="shared" si="0"/>
        <v>10850.000000000002</v>
      </c>
      <c r="K94" s="1570" t="s">
        <v>243</v>
      </c>
      <c r="L94" s="1568">
        <v>1</v>
      </c>
      <c r="M94" s="1569">
        <f t="shared" si="1"/>
        <v>10850.000000000002</v>
      </c>
    </row>
    <row r="95" spans="7:13" ht="16.5" thickBot="1">
      <c r="G95" s="1566">
        <v>5</v>
      </c>
      <c r="H95" s="1567" t="s">
        <v>5585</v>
      </c>
      <c r="I95" s="1568">
        <v>0.03</v>
      </c>
      <c r="J95" s="1569">
        <f t="shared" si="0"/>
        <v>4650</v>
      </c>
      <c r="K95" s="1570" t="s">
        <v>243</v>
      </c>
      <c r="L95" s="1568">
        <v>1</v>
      </c>
      <c r="M95" s="1569">
        <f t="shared" si="1"/>
        <v>4650</v>
      </c>
    </row>
    <row r="96" spans="7:13" ht="18.75" thickBot="1">
      <c r="G96" s="1732" t="s">
        <v>247</v>
      </c>
      <c r="H96" s="1733"/>
      <c r="I96" s="1580">
        <f>SUM(I91:I95)</f>
        <v>1</v>
      </c>
      <c r="J96" s="1581">
        <f>SUM(J91:J95)</f>
        <v>155000</v>
      </c>
      <c r="K96" s="1582"/>
      <c r="L96" s="1583"/>
      <c r="M96" s="1581">
        <f>SUM(M91:M95)</f>
        <v>155000</v>
      </c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  <row r="232" spans="13:13">
      <c r="M232"/>
    </row>
    <row r="233" spans="13:13">
      <c r="M233"/>
    </row>
    <row r="234" spans="13:13">
      <c r="M234"/>
    </row>
    <row r="235" spans="13:13">
      <c r="M235"/>
    </row>
    <row r="236" spans="13:13">
      <c r="M236"/>
    </row>
    <row r="237" spans="13:13">
      <c r="M237"/>
    </row>
    <row r="238" spans="13:13">
      <c r="M238"/>
    </row>
    <row r="239" spans="13:13">
      <c r="M239"/>
    </row>
    <row r="240" spans="13:13">
      <c r="M240"/>
    </row>
    <row r="241" spans="13:13">
      <c r="M241"/>
    </row>
    <row r="242" spans="13:13">
      <c r="M242"/>
    </row>
    <row r="243" spans="13:13">
      <c r="M243"/>
    </row>
    <row r="244" spans="13:13">
      <c r="M244"/>
    </row>
    <row r="245" spans="13:13">
      <c r="M245"/>
    </row>
    <row r="246" spans="13:13">
      <c r="M246"/>
    </row>
    <row r="247" spans="13:13">
      <c r="M247"/>
    </row>
    <row r="248" spans="13:13">
      <c r="M248"/>
    </row>
    <row r="249" spans="13:13">
      <c r="M249"/>
    </row>
    <row r="250" spans="13:13">
      <c r="M250"/>
    </row>
    <row r="251" spans="13:13">
      <c r="M251"/>
    </row>
    <row r="252" spans="13:13">
      <c r="M252"/>
    </row>
    <row r="253" spans="13:13">
      <c r="M253"/>
    </row>
    <row r="254" spans="13:13">
      <c r="M254"/>
    </row>
    <row r="255" spans="13:13">
      <c r="M255"/>
    </row>
    <row r="256" spans="13:13">
      <c r="M256"/>
    </row>
    <row r="257" spans="13:13">
      <c r="M257"/>
    </row>
    <row r="258" spans="13:13">
      <c r="M258"/>
    </row>
    <row r="259" spans="13:13">
      <c r="M259"/>
    </row>
    <row r="260" spans="13:13">
      <c r="M260"/>
    </row>
    <row r="261" spans="13:13">
      <c r="M261"/>
    </row>
    <row r="262" spans="13:13">
      <c r="M262"/>
    </row>
    <row r="263" spans="13:13">
      <c r="M263"/>
    </row>
    <row r="264" spans="13:13">
      <c r="M264"/>
    </row>
    <row r="265" spans="13:13">
      <c r="M265"/>
    </row>
    <row r="266" spans="13:13">
      <c r="M266"/>
    </row>
    <row r="267" spans="13:13">
      <c r="M267"/>
    </row>
    <row r="268" spans="13:13">
      <c r="M268"/>
    </row>
    <row r="269" spans="13:13">
      <c r="M269"/>
    </row>
    <row r="270" spans="13:13">
      <c r="M270"/>
    </row>
    <row r="271" spans="13:13">
      <c r="M271"/>
    </row>
    <row r="272" spans="13:13">
      <c r="M272"/>
    </row>
    <row r="273" spans="13:13">
      <c r="M273"/>
    </row>
    <row r="274" spans="13:13">
      <c r="M274"/>
    </row>
    <row r="275" spans="13:13">
      <c r="M275"/>
    </row>
    <row r="276" spans="13:13">
      <c r="M276"/>
    </row>
    <row r="277" spans="13:13">
      <c r="M277"/>
    </row>
    <row r="278" spans="13:13">
      <c r="M278"/>
    </row>
    <row r="279" spans="13:13">
      <c r="M279"/>
    </row>
    <row r="280" spans="13:13">
      <c r="M280"/>
    </row>
    <row r="281" spans="13:13">
      <c r="M281"/>
    </row>
    <row r="282" spans="13:13">
      <c r="M282"/>
    </row>
    <row r="283" spans="13:13">
      <c r="M283"/>
    </row>
    <row r="284" spans="13:13">
      <c r="M284"/>
    </row>
    <row r="285" spans="13:13">
      <c r="M285"/>
    </row>
    <row r="286" spans="13:13">
      <c r="M286"/>
    </row>
    <row r="287" spans="13:13">
      <c r="M287"/>
    </row>
    <row r="288" spans="13:13">
      <c r="M288"/>
    </row>
    <row r="289" spans="13:13">
      <c r="M289"/>
    </row>
    <row r="290" spans="13:13">
      <c r="M290"/>
    </row>
    <row r="291" spans="13:13">
      <c r="M291"/>
    </row>
    <row r="292" spans="13:13">
      <c r="M292"/>
    </row>
    <row r="293" spans="13:13">
      <c r="M293"/>
    </row>
    <row r="294" spans="13:13">
      <c r="M294"/>
    </row>
    <row r="295" spans="13:13">
      <c r="M295"/>
    </row>
    <row r="296" spans="13:13">
      <c r="M296"/>
    </row>
    <row r="297" spans="13:13">
      <c r="M297"/>
    </row>
    <row r="298" spans="13:13">
      <c r="M298"/>
    </row>
    <row r="299" spans="13:13">
      <c r="M299"/>
    </row>
    <row r="300" spans="13:13">
      <c r="M300"/>
    </row>
    <row r="301" spans="13:13">
      <c r="M301"/>
    </row>
    <row r="302" spans="13:13">
      <c r="M302"/>
    </row>
    <row r="303" spans="13:13">
      <c r="M303"/>
    </row>
    <row r="304" spans="13:13">
      <c r="M304"/>
    </row>
    <row r="305" spans="13:13">
      <c r="M305"/>
    </row>
    <row r="306" spans="13:13">
      <c r="M306"/>
    </row>
    <row r="307" spans="13:13">
      <c r="M307"/>
    </row>
    <row r="308" spans="13:13">
      <c r="M308"/>
    </row>
    <row r="309" spans="13:13">
      <c r="M309"/>
    </row>
    <row r="310" spans="13:13">
      <c r="M310"/>
    </row>
    <row r="311" spans="13:13">
      <c r="M311"/>
    </row>
    <row r="312" spans="13:13">
      <c r="M312"/>
    </row>
    <row r="313" spans="13:13">
      <c r="M313"/>
    </row>
    <row r="314" spans="13:13">
      <c r="M314"/>
    </row>
    <row r="315" spans="13:13">
      <c r="M315"/>
    </row>
    <row r="316" spans="13:13">
      <c r="M316"/>
    </row>
    <row r="317" spans="13:13">
      <c r="M317"/>
    </row>
    <row r="318" spans="13:13">
      <c r="M318"/>
    </row>
    <row r="319" spans="13:13">
      <c r="M319"/>
    </row>
    <row r="320" spans="13:13">
      <c r="M320"/>
    </row>
    <row r="321" spans="13:13">
      <c r="M321"/>
    </row>
    <row r="322" spans="13:13">
      <c r="M322"/>
    </row>
    <row r="323" spans="13:13">
      <c r="M323"/>
    </row>
    <row r="324" spans="13:13">
      <c r="M324"/>
    </row>
    <row r="325" spans="13:13">
      <c r="M325"/>
    </row>
    <row r="326" spans="13:13">
      <c r="M326"/>
    </row>
    <row r="327" spans="13:13">
      <c r="M327"/>
    </row>
    <row r="328" spans="13:13">
      <c r="M328"/>
    </row>
    <row r="329" spans="13:13">
      <c r="M329"/>
    </row>
    <row r="330" spans="13:13">
      <c r="M330"/>
    </row>
    <row r="331" spans="13:13">
      <c r="M331"/>
    </row>
    <row r="332" spans="13:13">
      <c r="M332"/>
    </row>
    <row r="333" spans="13:13">
      <c r="M333"/>
    </row>
    <row r="334" spans="13:13">
      <c r="M334"/>
    </row>
    <row r="335" spans="13:13">
      <c r="M335"/>
    </row>
    <row r="336" spans="13:13">
      <c r="M336"/>
    </row>
    <row r="337" spans="13:13">
      <c r="M337"/>
    </row>
    <row r="338" spans="13:13">
      <c r="M338"/>
    </row>
    <row r="339" spans="13:13">
      <c r="M339"/>
    </row>
    <row r="340" spans="13:13">
      <c r="M340"/>
    </row>
    <row r="341" spans="13:13">
      <c r="M341"/>
    </row>
    <row r="342" spans="13:13">
      <c r="M342"/>
    </row>
    <row r="343" spans="13:13">
      <c r="M343"/>
    </row>
    <row r="344" spans="13:13">
      <c r="M344"/>
    </row>
    <row r="345" spans="13:13">
      <c r="M345"/>
    </row>
    <row r="346" spans="13:13">
      <c r="M346"/>
    </row>
    <row r="347" spans="13:13">
      <c r="M347"/>
    </row>
    <row r="348" spans="13:13">
      <c r="M348"/>
    </row>
    <row r="349" spans="13:13">
      <c r="M349"/>
    </row>
    <row r="350" spans="13:13">
      <c r="M350"/>
    </row>
    <row r="351" spans="13:13">
      <c r="M351"/>
    </row>
    <row r="352" spans="13:13">
      <c r="M352"/>
    </row>
    <row r="353" spans="13:13">
      <c r="M353"/>
    </row>
    <row r="354" spans="13:13">
      <c r="M354"/>
    </row>
    <row r="355" spans="13:13">
      <c r="M355"/>
    </row>
    <row r="356" spans="13:13">
      <c r="M356"/>
    </row>
    <row r="357" spans="13:13">
      <c r="M357"/>
    </row>
    <row r="358" spans="13:13">
      <c r="M358"/>
    </row>
    <row r="359" spans="13:13">
      <c r="M359"/>
    </row>
    <row r="360" spans="13:13">
      <c r="M360"/>
    </row>
    <row r="361" spans="13:13">
      <c r="M361"/>
    </row>
    <row r="362" spans="13:13">
      <c r="M362"/>
    </row>
    <row r="363" spans="13:13">
      <c r="M363"/>
    </row>
    <row r="364" spans="13:13">
      <c r="M364"/>
    </row>
    <row r="365" spans="13:13">
      <c r="M365"/>
    </row>
    <row r="366" spans="13:13">
      <c r="M366"/>
    </row>
    <row r="367" spans="13:13">
      <c r="M367"/>
    </row>
    <row r="368" spans="13:13">
      <c r="M368"/>
    </row>
    <row r="369" spans="13:13">
      <c r="M369"/>
    </row>
    <row r="370" spans="13:13">
      <c r="M370"/>
    </row>
    <row r="371" spans="13:13">
      <c r="M371"/>
    </row>
    <row r="372" spans="13:13">
      <c r="M372"/>
    </row>
    <row r="373" spans="13:13">
      <c r="M373"/>
    </row>
    <row r="374" spans="13:13">
      <c r="M374"/>
    </row>
    <row r="375" spans="13:13">
      <c r="M375"/>
    </row>
    <row r="376" spans="13:13">
      <c r="M376"/>
    </row>
    <row r="377" spans="13:13">
      <c r="M377"/>
    </row>
    <row r="378" spans="13:13">
      <c r="M378"/>
    </row>
    <row r="379" spans="13:13">
      <c r="M379"/>
    </row>
    <row r="380" spans="13:13">
      <c r="M380"/>
    </row>
    <row r="381" spans="13:13">
      <c r="M381"/>
    </row>
    <row r="382" spans="13:13">
      <c r="M382"/>
    </row>
    <row r="383" spans="13:13">
      <c r="M383"/>
    </row>
    <row r="384" spans="13:13">
      <c r="M384"/>
    </row>
    <row r="385" spans="13:13">
      <c r="M385"/>
    </row>
    <row r="386" spans="13:13">
      <c r="M386"/>
    </row>
    <row r="387" spans="13:13">
      <c r="M387"/>
    </row>
    <row r="388" spans="13:13">
      <c r="M388"/>
    </row>
    <row r="389" spans="13:13">
      <c r="M389"/>
    </row>
    <row r="390" spans="13:13">
      <c r="M390"/>
    </row>
    <row r="391" spans="13:13">
      <c r="M391"/>
    </row>
    <row r="392" spans="13:13">
      <c r="M392"/>
    </row>
    <row r="393" spans="13:13">
      <c r="M393"/>
    </row>
    <row r="394" spans="13:13">
      <c r="M394"/>
    </row>
    <row r="395" spans="13:13">
      <c r="M395"/>
    </row>
    <row r="396" spans="13:13">
      <c r="M396"/>
    </row>
    <row r="397" spans="13:13">
      <c r="M397"/>
    </row>
    <row r="398" spans="13:13">
      <c r="M398"/>
    </row>
    <row r="399" spans="13:13">
      <c r="M399"/>
    </row>
    <row r="400" spans="13:13">
      <c r="M400"/>
    </row>
    <row r="401" spans="13:13">
      <c r="M401"/>
    </row>
    <row r="402" spans="13:13">
      <c r="M402"/>
    </row>
    <row r="403" spans="13:13">
      <c r="M403"/>
    </row>
    <row r="404" spans="13:13">
      <c r="M404"/>
    </row>
    <row r="405" spans="13:13">
      <c r="M405"/>
    </row>
    <row r="406" spans="13:13">
      <c r="M406"/>
    </row>
    <row r="407" spans="13:13">
      <c r="M407"/>
    </row>
    <row r="408" spans="13:13">
      <c r="M408"/>
    </row>
    <row r="409" spans="13:13">
      <c r="M409"/>
    </row>
    <row r="410" spans="13:13">
      <c r="M410"/>
    </row>
    <row r="411" spans="13:13">
      <c r="M411"/>
    </row>
    <row r="412" spans="13:13">
      <c r="M412"/>
    </row>
    <row r="413" spans="13:13">
      <c r="M413"/>
    </row>
    <row r="414" spans="13:13">
      <c r="M414"/>
    </row>
    <row r="415" spans="13:13">
      <c r="M415"/>
    </row>
    <row r="416" spans="13:13">
      <c r="M416"/>
    </row>
    <row r="417" spans="13:13">
      <c r="M417"/>
    </row>
    <row r="418" spans="13:13">
      <c r="M418"/>
    </row>
    <row r="419" spans="13:13">
      <c r="M419"/>
    </row>
    <row r="420" spans="13:13">
      <c r="M420"/>
    </row>
    <row r="421" spans="13:13">
      <c r="M421"/>
    </row>
    <row r="422" spans="13:13">
      <c r="M422"/>
    </row>
    <row r="423" spans="13:13">
      <c r="M423"/>
    </row>
    <row r="424" spans="13:13">
      <c r="M424"/>
    </row>
    <row r="425" spans="13:13">
      <c r="M425"/>
    </row>
    <row r="426" spans="13:13">
      <c r="M426"/>
    </row>
    <row r="427" spans="13:13">
      <c r="M427"/>
    </row>
    <row r="428" spans="13:13">
      <c r="M428"/>
    </row>
    <row r="429" spans="13:13">
      <c r="M429"/>
    </row>
    <row r="430" spans="13:13">
      <c r="M430"/>
    </row>
    <row r="431" spans="13:13">
      <c r="M431"/>
    </row>
    <row r="432" spans="13:13">
      <c r="M432"/>
    </row>
    <row r="433" spans="13:13">
      <c r="M433"/>
    </row>
    <row r="434" spans="13:13">
      <c r="M434"/>
    </row>
    <row r="435" spans="13:13">
      <c r="M435"/>
    </row>
    <row r="436" spans="13:13">
      <c r="M436"/>
    </row>
    <row r="437" spans="13:13">
      <c r="M437"/>
    </row>
    <row r="438" spans="13:13">
      <c r="M438"/>
    </row>
    <row r="439" spans="13:13">
      <c r="M439"/>
    </row>
    <row r="440" spans="13:13">
      <c r="M440"/>
    </row>
    <row r="441" spans="13:13">
      <c r="M441"/>
    </row>
    <row r="442" spans="13:13">
      <c r="M442"/>
    </row>
    <row r="443" spans="13:13">
      <c r="M443"/>
    </row>
    <row r="444" spans="13:13">
      <c r="M444"/>
    </row>
    <row r="445" spans="13:13">
      <c r="M445"/>
    </row>
    <row r="446" spans="13:13">
      <c r="M446"/>
    </row>
    <row r="447" spans="13:13">
      <c r="M447"/>
    </row>
    <row r="448" spans="13:13">
      <c r="M448"/>
    </row>
    <row r="449" spans="13:13">
      <c r="M449"/>
    </row>
    <row r="450" spans="13:13">
      <c r="M450"/>
    </row>
    <row r="451" spans="13:13">
      <c r="M451"/>
    </row>
    <row r="452" spans="13:13">
      <c r="M452"/>
    </row>
    <row r="453" spans="13:13">
      <c r="M453"/>
    </row>
    <row r="454" spans="13:13">
      <c r="M454"/>
    </row>
    <row r="455" spans="13:13">
      <c r="M455"/>
    </row>
    <row r="456" spans="13:13">
      <c r="M456"/>
    </row>
    <row r="457" spans="13:13">
      <c r="M457"/>
    </row>
    <row r="458" spans="13:13">
      <c r="M458"/>
    </row>
    <row r="459" spans="13:13">
      <c r="M459"/>
    </row>
    <row r="460" spans="13:13">
      <c r="M460"/>
    </row>
    <row r="461" spans="13:13">
      <c r="M461"/>
    </row>
    <row r="462" spans="13:13">
      <c r="M462"/>
    </row>
    <row r="463" spans="13:13">
      <c r="M463"/>
    </row>
    <row r="464" spans="13:13">
      <c r="M464"/>
    </row>
    <row r="465" spans="13:13">
      <c r="M465"/>
    </row>
    <row r="466" spans="13:13">
      <c r="M466"/>
    </row>
    <row r="467" spans="13:13">
      <c r="M467"/>
    </row>
    <row r="468" spans="13:13">
      <c r="M468"/>
    </row>
    <row r="469" spans="13:13">
      <c r="M469"/>
    </row>
    <row r="470" spans="13:13">
      <c r="M470"/>
    </row>
    <row r="471" spans="13:13">
      <c r="M471"/>
    </row>
    <row r="472" spans="13:13">
      <c r="M472"/>
    </row>
    <row r="473" spans="13:13">
      <c r="M473"/>
    </row>
    <row r="474" spans="13:13">
      <c r="M474"/>
    </row>
    <row r="475" spans="13:13">
      <c r="M475"/>
    </row>
    <row r="476" spans="13:13">
      <c r="M476"/>
    </row>
    <row r="477" spans="13:13">
      <c r="M477"/>
    </row>
    <row r="478" spans="13:13">
      <c r="M478"/>
    </row>
    <row r="479" spans="13:13">
      <c r="M479"/>
    </row>
    <row r="480" spans="13:13">
      <c r="M480"/>
    </row>
    <row r="481" spans="13:13">
      <c r="M481"/>
    </row>
    <row r="482" spans="13:13">
      <c r="M482"/>
    </row>
    <row r="483" spans="13:13">
      <c r="M483"/>
    </row>
    <row r="484" spans="13:13">
      <c r="M484"/>
    </row>
    <row r="485" spans="13:13">
      <c r="M485"/>
    </row>
    <row r="486" spans="13:13">
      <c r="M486"/>
    </row>
    <row r="487" spans="13:13">
      <c r="M487"/>
    </row>
    <row r="488" spans="13:13">
      <c r="M488"/>
    </row>
    <row r="489" spans="13:13">
      <c r="M489"/>
    </row>
    <row r="490" spans="13:13">
      <c r="M490"/>
    </row>
    <row r="491" spans="13:13">
      <c r="M491"/>
    </row>
    <row r="492" spans="13:13">
      <c r="M492"/>
    </row>
    <row r="493" spans="13:13">
      <c r="M493"/>
    </row>
    <row r="494" spans="13:13">
      <c r="M494"/>
    </row>
    <row r="495" spans="13:13">
      <c r="M495"/>
    </row>
    <row r="496" spans="13:13">
      <c r="M496"/>
    </row>
    <row r="497" spans="13:13">
      <c r="M497"/>
    </row>
    <row r="498" spans="13:13">
      <c r="M498"/>
    </row>
    <row r="499" spans="13:13">
      <c r="M499"/>
    </row>
    <row r="500" spans="13:13">
      <c r="M500"/>
    </row>
    <row r="501" spans="13:13">
      <c r="M501"/>
    </row>
    <row r="502" spans="13:13">
      <c r="M502"/>
    </row>
    <row r="503" spans="13:13">
      <c r="M503"/>
    </row>
    <row r="504" spans="13:13">
      <c r="M504"/>
    </row>
    <row r="505" spans="13:13">
      <c r="M505"/>
    </row>
    <row r="506" spans="13:13">
      <c r="M506"/>
    </row>
    <row r="507" spans="13:13">
      <c r="M507"/>
    </row>
    <row r="508" spans="13:13">
      <c r="M508"/>
    </row>
    <row r="509" spans="13:13">
      <c r="M509"/>
    </row>
    <row r="510" spans="13:13">
      <c r="M510"/>
    </row>
    <row r="511" spans="13:13">
      <c r="M511"/>
    </row>
    <row r="512" spans="13:13">
      <c r="M512"/>
    </row>
    <row r="513" spans="13:13">
      <c r="M513"/>
    </row>
    <row r="514" spans="13:13">
      <c r="M514"/>
    </row>
    <row r="515" spans="13:13">
      <c r="M515"/>
    </row>
    <row r="516" spans="13:13">
      <c r="M516"/>
    </row>
    <row r="517" spans="13:13">
      <c r="M517"/>
    </row>
    <row r="518" spans="13:13">
      <c r="M518"/>
    </row>
    <row r="519" spans="13:13">
      <c r="M519"/>
    </row>
    <row r="520" spans="13:13">
      <c r="M520"/>
    </row>
    <row r="521" spans="13:13">
      <c r="M521"/>
    </row>
    <row r="522" spans="13:13">
      <c r="M522"/>
    </row>
    <row r="523" spans="13:13">
      <c r="M523"/>
    </row>
    <row r="524" spans="13:13">
      <c r="M524"/>
    </row>
    <row r="525" spans="13:13">
      <c r="M525"/>
    </row>
    <row r="526" spans="13:13">
      <c r="M526"/>
    </row>
    <row r="527" spans="13:13">
      <c r="M527"/>
    </row>
    <row r="528" spans="13:13">
      <c r="M528"/>
    </row>
    <row r="529" spans="13:13">
      <c r="M529"/>
    </row>
    <row r="530" spans="13:13">
      <c r="M530"/>
    </row>
    <row r="531" spans="13:13">
      <c r="M531"/>
    </row>
    <row r="532" spans="13:13">
      <c r="M532"/>
    </row>
    <row r="533" spans="13:13">
      <c r="M533"/>
    </row>
    <row r="534" spans="13:13">
      <c r="M534"/>
    </row>
    <row r="535" spans="13:13">
      <c r="M535"/>
    </row>
    <row r="536" spans="13:13">
      <c r="M536"/>
    </row>
    <row r="537" spans="13:13">
      <c r="M537"/>
    </row>
    <row r="538" spans="13:13">
      <c r="M538"/>
    </row>
    <row r="539" spans="13:13">
      <c r="M539"/>
    </row>
    <row r="540" spans="13:13">
      <c r="M540"/>
    </row>
    <row r="541" spans="13:13">
      <c r="M541"/>
    </row>
    <row r="542" spans="13:13">
      <c r="M542"/>
    </row>
    <row r="543" spans="13:13">
      <c r="M543"/>
    </row>
    <row r="544" spans="13:13">
      <c r="M544"/>
    </row>
    <row r="545" spans="13:13">
      <c r="M545"/>
    </row>
    <row r="546" spans="13:13">
      <c r="M546"/>
    </row>
    <row r="547" spans="13:13">
      <c r="M547"/>
    </row>
    <row r="548" spans="13:13">
      <c r="M548"/>
    </row>
    <row r="549" spans="13:13">
      <c r="M549"/>
    </row>
    <row r="550" spans="13:13">
      <c r="M550"/>
    </row>
    <row r="551" spans="13:13">
      <c r="M551"/>
    </row>
    <row r="552" spans="13:13">
      <c r="M552"/>
    </row>
    <row r="553" spans="13:13">
      <c r="M553"/>
    </row>
    <row r="554" spans="13:13">
      <c r="M554"/>
    </row>
    <row r="555" spans="13:13">
      <c r="M555"/>
    </row>
    <row r="556" spans="13:13">
      <c r="M556"/>
    </row>
    <row r="557" spans="13:13">
      <c r="M557"/>
    </row>
    <row r="558" spans="13:13">
      <c r="M558"/>
    </row>
    <row r="559" spans="13:13">
      <c r="M559"/>
    </row>
    <row r="560" spans="13:13">
      <c r="M560"/>
    </row>
    <row r="561" spans="13:13">
      <c r="M561"/>
    </row>
    <row r="562" spans="13:13">
      <c r="M562"/>
    </row>
    <row r="563" spans="13:13">
      <c r="M563"/>
    </row>
    <row r="564" spans="13:13">
      <c r="M564"/>
    </row>
    <row r="565" spans="13:13">
      <c r="M565"/>
    </row>
    <row r="566" spans="13:13">
      <c r="M566"/>
    </row>
    <row r="567" spans="13:13">
      <c r="M567"/>
    </row>
    <row r="568" spans="13:13">
      <c r="M568"/>
    </row>
    <row r="569" spans="13:13">
      <c r="M569"/>
    </row>
    <row r="570" spans="13:13">
      <c r="M570"/>
    </row>
    <row r="571" spans="13:13">
      <c r="M571"/>
    </row>
    <row r="572" spans="13:13">
      <c r="M572"/>
    </row>
    <row r="573" spans="13:13">
      <c r="M573"/>
    </row>
    <row r="574" spans="13:13">
      <c r="M574"/>
    </row>
    <row r="575" spans="13:13">
      <c r="M575"/>
    </row>
    <row r="576" spans="13:13">
      <c r="M576"/>
    </row>
    <row r="577" spans="13:13">
      <c r="M577"/>
    </row>
    <row r="578" spans="13:13">
      <c r="M578"/>
    </row>
    <row r="579" spans="13:13">
      <c r="M579"/>
    </row>
    <row r="580" spans="13:13">
      <c r="M580"/>
    </row>
    <row r="581" spans="13:13">
      <c r="M581"/>
    </row>
    <row r="582" spans="13:13">
      <c r="M582"/>
    </row>
    <row r="583" spans="13:13">
      <c r="M583"/>
    </row>
    <row r="584" spans="13:13">
      <c r="M584"/>
    </row>
    <row r="585" spans="13:13">
      <c r="M585"/>
    </row>
    <row r="586" spans="13:13">
      <c r="M586"/>
    </row>
    <row r="587" spans="13:13">
      <c r="M587"/>
    </row>
    <row r="588" spans="13:13">
      <c r="M588"/>
    </row>
    <row r="589" spans="13:13">
      <c r="M589"/>
    </row>
    <row r="590" spans="13:13">
      <c r="M590"/>
    </row>
    <row r="591" spans="13:13">
      <c r="M591"/>
    </row>
    <row r="592" spans="13:13">
      <c r="M592"/>
    </row>
    <row r="593" spans="13:13">
      <c r="M593"/>
    </row>
    <row r="594" spans="13:13">
      <c r="M594"/>
    </row>
    <row r="595" spans="13:13">
      <c r="M595"/>
    </row>
    <row r="596" spans="13:13">
      <c r="M596"/>
    </row>
    <row r="597" spans="13:13">
      <c r="M597"/>
    </row>
    <row r="598" spans="13:13">
      <c r="M598"/>
    </row>
    <row r="599" spans="13:13">
      <c r="M599"/>
    </row>
    <row r="600" spans="13:13">
      <c r="M600"/>
    </row>
    <row r="601" spans="13:13">
      <c r="M601"/>
    </row>
    <row r="602" spans="13:13">
      <c r="M602"/>
    </row>
    <row r="603" spans="13:13">
      <c r="M603"/>
    </row>
    <row r="604" spans="13:13">
      <c r="M604"/>
    </row>
    <row r="605" spans="13:13">
      <c r="M605"/>
    </row>
    <row r="606" spans="13:13">
      <c r="M606"/>
    </row>
    <row r="607" spans="13:13">
      <c r="M607"/>
    </row>
    <row r="608" spans="13:13">
      <c r="M608"/>
    </row>
    <row r="609" spans="13:13">
      <c r="M609"/>
    </row>
    <row r="610" spans="13:13">
      <c r="M610"/>
    </row>
    <row r="611" spans="13:13">
      <c r="M611"/>
    </row>
    <row r="612" spans="13:13">
      <c r="M612"/>
    </row>
    <row r="613" spans="13:13">
      <c r="M613"/>
    </row>
    <row r="614" spans="13:13">
      <c r="M614"/>
    </row>
    <row r="615" spans="13:13">
      <c r="M615"/>
    </row>
    <row r="616" spans="13:13">
      <c r="M616"/>
    </row>
    <row r="617" spans="13:13">
      <c r="M617"/>
    </row>
    <row r="618" spans="13:13">
      <c r="M618"/>
    </row>
    <row r="619" spans="13:13">
      <c r="M619"/>
    </row>
    <row r="620" spans="13:13">
      <c r="M620"/>
    </row>
    <row r="621" spans="13:13">
      <c r="M621"/>
    </row>
    <row r="622" spans="13:13">
      <c r="M622"/>
    </row>
    <row r="623" spans="13:13">
      <c r="M623"/>
    </row>
    <row r="624" spans="13:13">
      <c r="M624"/>
    </row>
    <row r="625" spans="13:13">
      <c r="M625"/>
    </row>
    <row r="626" spans="13:13">
      <c r="M626"/>
    </row>
    <row r="627" spans="13:13">
      <c r="M627"/>
    </row>
    <row r="628" spans="13:13">
      <c r="M628"/>
    </row>
    <row r="629" spans="13:13">
      <c r="M629"/>
    </row>
    <row r="630" spans="13:13">
      <c r="M630"/>
    </row>
    <row r="631" spans="13:13">
      <c r="M631"/>
    </row>
    <row r="632" spans="13:13">
      <c r="M632"/>
    </row>
    <row r="633" spans="13:13">
      <c r="M633"/>
    </row>
    <row r="634" spans="13:13">
      <c r="M634"/>
    </row>
    <row r="635" spans="13:13">
      <c r="M635"/>
    </row>
    <row r="636" spans="13:13">
      <c r="M636"/>
    </row>
    <row r="637" spans="13:13">
      <c r="M637"/>
    </row>
    <row r="638" spans="13:13">
      <c r="M638"/>
    </row>
    <row r="639" spans="13:13">
      <c r="M639"/>
    </row>
    <row r="640" spans="13:13">
      <c r="M640"/>
    </row>
    <row r="641" spans="13:13">
      <c r="M641"/>
    </row>
    <row r="642" spans="13:13">
      <c r="M642"/>
    </row>
    <row r="643" spans="13:13">
      <c r="M643"/>
    </row>
    <row r="644" spans="13:13">
      <c r="M644"/>
    </row>
    <row r="645" spans="13:13">
      <c r="M645"/>
    </row>
    <row r="646" spans="13:13">
      <c r="M646"/>
    </row>
    <row r="647" spans="13:13">
      <c r="M647"/>
    </row>
    <row r="648" spans="13:13">
      <c r="M648"/>
    </row>
    <row r="649" spans="13:13">
      <c r="M649"/>
    </row>
    <row r="650" spans="13:13">
      <c r="M650"/>
    </row>
    <row r="651" spans="13:13">
      <c r="M651"/>
    </row>
    <row r="652" spans="13:13">
      <c r="M652"/>
    </row>
    <row r="653" spans="13:13">
      <c r="M653"/>
    </row>
    <row r="654" spans="13:13">
      <c r="M654"/>
    </row>
    <row r="655" spans="13:13">
      <c r="M655"/>
    </row>
    <row r="656" spans="13:13">
      <c r="M656"/>
    </row>
    <row r="657" spans="13:13">
      <c r="M657"/>
    </row>
    <row r="658" spans="13:13">
      <c r="M658"/>
    </row>
    <row r="659" spans="13:13">
      <c r="M659"/>
    </row>
    <row r="660" spans="13:13">
      <c r="M660"/>
    </row>
    <row r="661" spans="13:13">
      <c r="M661"/>
    </row>
    <row r="662" spans="13:13">
      <c r="M662"/>
    </row>
    <row r="663" spans="13:13">
      <c r="M663"/>
    </row>
    <row r="664" spans="13:13">
      <c r="M664"/>
    </row>
    <row r="665" spans="13:13">
      <c r="M665"/>
    </row>
    <row r="666" spans="13:13">
      <c r="M666"/>
    </row>
    <row r="667" spans="13:13">
      <c r="M667"/>
    </row>
    <row r="668" spans="13:13">
      <c r="M668"/>
    </row>
    <row r="669" spans="13:13">
      <c r="M669"/>
    </row>
    <row r="670" spans="13:13">
      <c r="M670"/>
    </row>
    <row r="671" spans="13:13">
      <c r="M671"/>
    </row>
    <row r="672" spans="13:13">
      <c r="M672"/>
    </row>
    <row r="673" spans="13:13">
      <c r="M673"/>
    </row>
    <row r="674" spans="13:13">
      <c r="M674"/>
    </row>
    <row r="675" spans="13:13">
      <c r="M675"/>
    </row>
    <row r="676" spans="13:13">
      <c r="M676"/>
    </row>
    <row r="677" spans="13:13">
      <c r="M677"/>
    </row>
    <row r="678" spans="13:13">
      <c r="M678"/>
    </row>
    <row r="679" spans="13:13">
      <c r="M679"/>
    </row>
    <row r="680" spans="13:13">
      <c r="M680"/>
    </row>
    <row r="681" spans="13:13">
      <c r="M681"/>
    </row>
    <row r="682" spans="13:13">
      <c r="M682"/>
    </row>
    <row r="683" spans="13:13">
      <c r="M683"/>
    </row>
    <row r="684" spans="13:13">
      <c r="M684"/>
    </row>
    <row r="685" spans="13:13">
      <c r="M685"/>
    </row>
    <row r="686" spans="13:13">
      <c r="M686"/>
    </row>
    <row r="687" spans="13:13">
      <c r="M687"/>
    </row>
    <row r="688" spans="13:13">
      <c r="M688"/>
    </row>
    <row r="689" spans="13:13">
      <c r="M689"/>
    </row>
    <row r="690" spans="13:13">
      <c r="M690"/>
    </row>
    <row r="691" spans="13:13">
      <c r="M691"/>
    </row>
    <row r="692" spans="13:13">
      <c r="M692"/>
    </row>
    <row r="693" spans="13:13">
      <c r="M693"/>
    </row>
    <row r="694" spans="13:13">
      <c r="M694"/>
    </row>
    <row r="695" spans="13:13">
      <c r="M695"/>
    </row>
    <row r="696" spans="13:13">
      <c r="M696"/>
    </row>
    <row r="697" spans="13:13">
      <c r="M697"/>
    </row>
    <row r="698" spans="13:13">
      <c r="M698"/>
    </row>
    <row r="699" spans="13:13">
      <c r="M699"/>
    </row>
    <row r="700" spans="13:13">
      <c r="M700"/>
    </row>
    <row r="701" spans="13:13">
      <c r="M701"/>
    </row>
    <row r="702" spans="13:13">
      <c r="M702"/>
    </row>
    <row r="703" spans="13:13">
      <c r="M703"/>
    </row>
    <row r="704" spans="13:13">
      <c r="M704"/>
    </row>
    <row r="705" spans="13:13">
      <c r="M705"/>
    </row>
    <row r="706" spans="13:13">
      <c r="M706"/>
    </row>
    <row r="707" spans="13:13">
      <c r="M707"/>
    </row>
    <row r="708" spans="13:13">
      <c r="M708"/>
    </row>
    <row r="709" spans="13:13">
      <c r="M709"/>
    </row>
    <row r="710" spans="13:13">
      <c r="M710"/>
    </row>
    <row r="711" spans="13:13">
      <c r="M711"/>
    </row>
    <row r="712" spans="13:13">
      <c r="M712"/>
    </row>
    <row r="713" spans="13:13">
      <c r="M713"/>
    </row>
    <row r="714" spans="13:13">
      <c r="M714"/>
    </row>
    <row r="715" spans="13:13">
      <c r="M715"/>
    </row>
    <row r="716" spans="13:13">
      <c r="M716"/>
    </row>
    <row r="717" spans="13:13">
      <c r="M717"/>
    </row>
    <row r="718" spans="13:13">
      <c r="M718"/>
    </row>
    <row r="719" spans="13:13">
      <c r="M719"/>
    </row>
    <row r="720" spans="13:13">
      <c r="M720"/>
    </row>
    <row r="721" spans="13:13">
      <c r="M721"/>
    </row>
    <row r="722" spans="13:13">
      <c r="M722"/>
    </row>
    <row r="723" spans="13:13">
      <c r="M723"/>
    </row>
    <row r="724" spans="13:13">
      <c r="M724"/>
    </row>
    <row r="725" spans="13:13">
      <c r="M725"/>
    </row>
    <row r="726" spans="13:13">
      <c r="M726"/>
    </row>
    <row r="727" spans="13:13">
      <c r="M727"/>
    </row>
    <row r="728" spans="13:13">
      <c r="M728"/>
    </row>
    <row r="729" spans="13:13">
      <c r="M729"/>
    </row>
    <row r="730" spans="13:13">
      <c r="M730"/>
    </row>
    <row r="731" spans="13:13">
      <c r="M731"/>
    </row>
    <row r="732" spans="13:13">
      <c r="M732"/>
    </row>
    <row r="733" spans="13:13">
      <c r="M733"/>
    </row>
    <row r="734" spans="13:13">
      <c r="M734"/>
    </row>
    <row r="735" spans="13:13">
      <c r="M735"/>
    </row>
    <row r="736" spans="13:13">
      <c r="M736"/>
    </row>
    <row r="737" spans="13:13">
      <c r="M737"/>
    </row>
    <row r="738" spans="13:13">
      <c r="M738"/>
    </row>
    <row r="739" spans="13:13">
      <c r="M739"/>
    </row>
    <row r="740" spans="13:13">
      <c r="M740"/>
    </row>
    <row r="741" spans="13:13">
      <c r="M741"/>
    </row>
    <row r="742" spans="13:13">
      <c r="M742"/>
    </row>
    <row r="743" spans="13:13">
      <c r="M743"/>
    </row>
    <row r="744" spans="13:13">
      <c r="M744"/>
    </row>
    <row r="745" spans="13:13">
      <c r="M745"/>
    </row>
    <row r="746" spans="13:13">
      <c r="M746"/>
    </row>
    <row r="747" spans="13:13">
      <c r="M747"/>
    </row>
    <row r="748" spans="13:13">
      <c r="M748"/>
    </row>
    <row r="749" spans="13:13">
      <c r="M749"/>
    </row>
    <row r="750" spans="13:13">
      <c r="M750"/>
    </row>
    <row r="751" spans="13:13">
      <c r="M751"/>
    </row>
    <row r="752" spans="13:13">
      <c r="M752"/>
    </row>
    <row r="753" spans="13:13">
      <c r="M753"/>
    </row>
    <row r="754" spans="13:13">
      <c r="M754"/>
    </row>
    <row r="755" spans="13:13">
      <c r="M755"/>
    </row>
    <row r="756" spans="13:13">
      <c r="M756"/>
    </row>
    <row r="757" spans="13:13">
      <c r="M757"/>
    </row>
    <row r="758" spans="13:13">
      <c r="M758"/>
    </row>
    <row r="759" spans="13:13">
      <c r="M759"/>
    </row>
    <row r="760" spans="13:13">
      <c r="M760"/>
    </row>
    <row r="761" spans="13:13">
      <c r="M761"/>
    </row>
    <row r="762" spans="13:13">
      <c r="M762"/>
    </row>
    <row r="763" spans="13:13">
      <c r="M763"/>
    </row>
    <row r="764" spans="13:13">
      <c r="M764"/>
    </row>
    <row r="765" spans="13:13">
      <c r="M765"/>
    </row>
    <row r="766" spans="13:13">
      <c r="M766"/>
    </row>
    <row r="767" spans="13:13">
      <c r="M767"/>
    </row>
    <row r="768" spans="13:13">
      <c r="M768"/>
    </row>
    <row r="769" spans="13:13">
      <c r="M769"/>
    </row>
    <row r="770" spans="13:13">
      <c r="M770"/>
    </row>
    <row r="771" spans="13:13">
      <c r="M771"/>
    </row>
    <row r="772" spans="13:13">
      <c r="M772"/>
    </row>
    <row r="773" spans="13:13">
      <c r="M773"/>
    </row>
    <row r="774" spans="13:13">
      <c r="M774"/>
    </row>
    <row r="775" spans="13:13">
      <c r="M775"/>
    </row>
    <row r="776" spans="13:13">
      <c r="M776"/>
    </row>
    <row r="777" spans="13:13">
      <c r="M777"/>
    </row>
    <row r="778" spans="13:13">
      <c r="M778"/>
    </row>
    <row r="779" spans="13:13">
      <c r="M779"/>
    </row>
    <row r="780" spans="13:13">
      <c r="M780"/>
    </row>
    <row r="781" spans="13:13">
      <c r="M781"/>
    </row>
    <row r="782" spans="13:13">
      <c r="M782"/>
    </row>
    <row r="783" spans="13:13">
      <c r="M783"/>
    </row>
    <row r="784" spans="13:13">
      <c r="M784"/>
    </row>
    <row r="785" spans="13:13">
      <c r="M785"/>
    </row>
    <row r="786" spans="13:13">
      <c r="M786"/>
    </row>
    <row r="787" spans="13:13">
      <c r="M787"/>
    </row>
    <row r="788" spans="13:13">
      <c r="M788"/>
    </row>
    <row r="789" spans="13:13">
      <c r="M789"/>
    </row>
    <row r="790" spans="13:13">
      <c r="M790"/>
    </row>
    <row r="791" spans="13:13">
      <c r="M791"/>
    </row>
    <row r="792" spans="13:13">
      <c r="M792"/>
    </row>
    <row r="793" spans="13:13">
      <c r="M793"/>
    </row>
    <row r="794" spans="13:13">
      <c r="M794"/>
    </row>
    <row r="795" spans="13:13">
      <c r="M795"/>
    </row>
    <row r="796" spans="13:13">
      <c r="M796"/>
    </row>
    <row r="797" spans="13:13">
      <c r="M797"/>
    </row>
    <row r="798" spans="13:13">
      <c r="M798"/>
    </row>
    <row r="799" spans="13:13">
      <c r="M799"/>
    </row>
    <row r="800" spans="13:13">
      <c r="M800"/>
    </row>
    <row r="801" spans="13:13">
      <c r="M801"/>
    </row>
    <row r="802" spans="13:13">
      <c r="M802"/>
    </row>
    <row r="803" spans="13:13">
      <c r="M803"/>
    </row>
    <row r="804" spans="13:13">
      <c r="M804"/>
    </row>
    <row r="805" spans="13:13">
      <c r="M805"/>
    </row>
    <row r="806" spans="13:13">
      <c r="M806"/>
    </row>
    <row r="807" spans="13:13">
      <c r="M807"/>
    </row>
    <row r="808" spans="13:13">
      <c r="M808"/>
    </row>
    <row r="809" spans="13:13">
      <c r="M809"/>
    </row>
    <row r="810" spans="13:13">
      <c r="M810"/>
    </row>
    <row r="811" spans="13:13">
      <c r="M811"/>
    </row>
    <row r="812" spans="13:13">
      <c r="M812"/>
    </row>
    <row r="813" spans="13:13">
      <c r="M813"/>
    </row>
    <row r="814" spans="13:13">
      <c r="M814"/>
    </row>
    <row r="815" spans="13:13">
      <c r="M815"/>
    </row>
    <row r="816" spans="13:13">
      <c r="M816"/>
    </row>
    <row r="817" spans="13:13">
      <c r="M817"/>
    </row>
    <row r="818" spans="13:13">
      <c r="M818"/>
    </row>
    <row r="819" spans="13:13">
      <c r="M819"/>
    </row>
    <row r="820" spans="13:13">
      <c r="M820"/>
    </row>
    <row r="821" spans="13:13">
      <c r="M821"/>
    </row>
    <row r="822" spans="13:13">
      <c r="M822"/>
    </row>
    <row r="823" spans="13:13">
      <c r="M823"/>
    </row>
    <row r="824" spans="13:13">
      <c r="M824"/>
    </row>
    <row r="825" spans="13:13">
      <c r="M825"/>
    </row>
    <row r="826" spans="13:13">
      <c r="M826"/>
    </row>
    <row r="827" spans="13:13">
      <c r="M827"/>
    </row>
    <row r="828" spans="13:13">
      <c r="M828"/>
    </row>
    <row r="829" spans="13:13">
      <c r="M829"/>
    </row>
    <row r="830" spans="13:13">
      <c r="M830"/>
    </row>
    <row r="831" spans="13:13">
      <c r="M831"/>
    </row>
    <row r="832" spans="13:13">
      <c r="M832"/>
    </row>
    <row r="833" spans="13:13">
      <c r="M833"/>
    </row>
    <row r="834" spans="13:13">
      <c r="M834"/>
    </row>
    <row r="835" spans="13:13">
      <c r="M835"/>
    </row>
    <row r="836" spans="13:13">
      <c r="M836"/>
    </row>
    <row r="837" spans="13:13">
      <c r="M837"/>
    </row>
    <row r="838" spans="13:13">
      <c r="M838"/>
    </row>
    <row r="839" spans="13:13">
      <c r="M839"/>
    </row>
    <row r="840" spans="13:13">
      <c r="M840"/>
    </row>
    <row r="841" spans="13:13">
      <c r="M841"/>
    </row>
    <row r="842" spans="13:13">
      <c r="M842"/>
    </row>
    <row r="843" spans="13:13">
      <c r="M843"/>
    </row>
    <row r="844" spans="13:13">
      <c r="M844"/>
    </row>
    <row r="845" spans="13:13">
      <c r="M845"/>
    </row>
    <row r="846" spans="13:13">
      <c r="M846"/>
    </row>
    <row r="847" spans="13:13">
      <c r="M847"/>
    </row>
    <row r="848" spans="13:13">
      <c r="M848"/>
    </row>
    <row r="849" spans="13:13">
      <c r="M849"/>
    </row>
    <row r="850" spans="13:13">
      <c r="M850"/>
    </row>
    <row r="851" spans="13:13">
      <c r="M851"/>
    </row>
    <row r="852" spans="13:13">
      <c r="M852"/>
    </row>
    <row r="853" spans="13:13">
      <c r="M853"/>
    </row>
    <row r="854" spans="13:13">
      <c r="M854"/>
    </row>
    <row r="855" spans="13:13">
      <c r="M855"/>
    </row>
    <row r="856" spans="13:13">
      <c r="M856"/>
    </row>
    <row r="857" spans="13:13">
      <c r="M857"/>
    </row>
    <row r="858" spans="13:13">
      <c r="M858"/>
    </row>
    <row r="859" spans="13:13">
      <c r="M859"/>
    </row>
    <row r="860" spans="13:13">
      <c r="M860"/>
    </row>
    <row r="861" spans="13:13">
      <c r="M861"/>
    </row>
    <row r="862" spans="13:13">
      <c r="M862"/>
    </row>
    <row r="863" spans="13:13">
      <c r="M863"/>
    </row>
    <row r="864" spans="13:13">
      <c r="M864"/>
    </row>
    <row r="865" spans="13:13">
      <c r="M865"/>
    </row>
    <row r="866" spans="13:13">
      <c r="M866"/>
    </row>
    <row r="867" spans="13:13">
      <c r="M867"/>
    </row>
    <row r="868" spans="13:13">
      <c r="M868"/>
    </row>
    <row r="869" spans="13:13">
      <c r="M869"/>
    </row>
    <row r="870" spans="13:13">
      <c r="M870"/>
    </row>
    <row r="871" spans="13:13">
      <c r="M871"/>
    </row>
    <row r="872" spans="13:13">
      <c r="M872"/>
    </row>
    <row r="873" spans="13:13">
      <c r="M873"/>
    </row>
    <row r="874" spans="13:13">
      <c r="M874"/>
    </row>
    <row r="875" spans="13:13">
      <c r="M875"/>
    </row>
    <row r="876" spans="13:13">
      <c r="M876"/>
    </row>
    <row r="877" spans="13:13">
      <c r="M877"/>
    </row>
    <row r="878" spans="13:13">
      <c r="M878"/>
    </row>
    <row r="879" spans="13:13">
      <c r="M879"/>
    </row>
    <row r="880" spans="13:13">
      <c r="M880"/>
    </row>
    <row r="881" spans="13:13">
      <c r="M881"/>
    </row>
    <row r="882" spans="13:13">
      <c r="M882"/>
    </row>
    <row r="883" spans="13:13">
      <c r="M883"/>
    </row>
    <row r="884" spans="13:13">
      <c r="M884"/>
    </row>
    <row r="885" spans="13:13">
      <c r="M885"/>
    </row>
    <row r="886" spans="13:13">
      <c r="M886"/>
    </row>
    <row r="887" spans="13:13">
      <c r="M887"/>
    </row>
    <row r="888" spans="13:13">
      <c r="M888"/>
    </row>
    <row r="889" spans="13:13">
      <c r="M889"/>
    </row>
    <row r="890" spans="13:13">
      <c r="M890"/>
    </row>
    <row r="891" spans="13:13">
      <c r="M891"/>
    </row>
    <row r="892" spans="13:13">
      <c r="M892"/>
    </row>
    <row r="893" spans="13:13">
      <c r="M893"/>
    </row>
    <row r="894" spans="13:13">
      <c r="M894"/>
    </row>
    <row r="895" spans="13:13">
      <c r="M895"/>
    </row>
    <row r="896" spans="13:13">
      <c r="M896"/>
    </row>
    <row r="897" spans="13:13">
      <c r="M897"/>
    </row>
    <row r="898" spans="13:13">
      <c r="M898"/>
    </row>
    <row r="899" spans="13:13">
      <c r="M899"/>
    </row>
    <row r="900" spans="13:13">
      <c r="M900"/>
    </row>
    <row r="901" spans="13:13">
      <c r="M901"/>
    </row>
    <row r="902" spans="13:13">
      <c r="M902"/>
    </row>
    <row r="903" spans="13:13">
      <c r="M903"/>
    </row>
    <row r="904" spans="13:13">
      <c r="M904"/>
    </row>
    <row r="905" spans="13:13">
      <c r="M905"/>
    </row>
    <row r="906" spans="13:13">
      <c r="M906"/>
    </row>
    <row r="907" spans="13:13">
      <c r="M907"/>
    </row>
    <row r="908" spans="13:13">
      <c r="M908"/>
    </row>
    <row r="909" spans="13:13">
      <c r="M909"/>
    </row>
    <row r="910" spans="13:13">
      <c r="M910"/>
    </row>
    <row r="911" spans="13:13">
      <c r="M911"/>
    </row>
    <row r="912" spans="13:13">
      <c r="M912"/>
    </row>
    <row r="913" spans="13:13">
      <c r="M913"/>
    </row>
    <row r="914" spans="13:13">
      <c r="M914"/>
    </row>
    <row r="915" spans="13:13">
      <c r="M915"/>
    </row>
    <row r="916" spans="13:13">
      <c r="M916"/>
    </row>
    <row r="917" spans="13:13">
      <c r="M917"/>
    </row>
    <row r="918" spans="13:13">
      <c r="M918"/>
    </row>
    <row r="919" spans="13:13">
      <c r="M919"/>
    </row>
    <row r="920" spans="13:13">
      <c r="M920"/>
    </row>
    <row r="921" spans="13:13">
      <c r="M921"/>
    </row>
    <row r="922" spans="13:13">
      <c r="M922"/>
    </row>
    <row r="923" spans="13:13">
      <c r="M923"/>
    </row>
    <row r="924" spans="13:13">
      <c r="M924"/>
    </row>
    <row r="925" spans="13:13">
      <c r="M925"/>
    </row>
    <row r="926" spans="13:13">
      <c r="M926"/>
    </row>
    <row r="927" spans="13:13">
      <c r="M927"/>
    </row>
    <row r="928" spans="13:13">
      <c r="M928"/>
    </row>
    <row r="929" spans="13:13">
      <c r="M929"/>
    </row>
    <row r="930" spans="13:13">
      <c r="M930"/>
    </row>
    <row r="931" spans="13:13">
      <c r="M931"/>
    </row>
    <row r="932" spans="13:13">
      <c r="M932"/>
    </row>
    <row r="933" spans="13:13">
      <c r="M933"/>
    </row>
    <row r="934" spans="13:13">
      <c r="M934"/>
    </row>
    <row r="935" spans="13:13">
      <c r="M935"/>
    </row>
    <row r="936" spans="13:13">
      <c r="M936"/>
    </row>
    <row r="937" spans="13:13">
      <c r="M937"/>
    </row>
    <row r="938" spans="13:13">
      <c r="M938"/>
    </row>
    <row r="939" spans="13:13">
      <c r="M939"/>
    </row>
    <row r="940" spans="13:13">
      <c r="M940"/>
    </row>
    <row r="941" spans="13:13">
      <c r="M941"/>
    </row>
    <row r="942" spans="13:13">
      <c r="M942"/>
    </row>
    <row r="943" spans="13:13">
      <c r="M943"/>
    </row>
    <row r="944" spans="13:13">
      <c r="M944"/>
    </row>
    <row r="945" spans="13:13">
      <c r="M945"/>
    </row>
    <row r="946" spans="13:13">
      <c r="M946"/>
    </row>
    <row r="947" spans="13:13">
      <c r="M947"/>
    </row>
    <row r="948" spans="13:13">
      <c r="M948"/>
    </row>
    <row r="949" spans="13:13">
      <c r="M949"/>
    </row>
    <row r="950" spans="13:13">
      <c r="M950"/>
    </row>
    <row r="951" spans="13:13">
      <c r="M951"/>
    </row>
    <row r="952" spans="13:13">
      <c r="M952"/>
    </row>
    <row r="953" spans="13:13">
      <c r="M953"/>
    </row>
    <row r="954" spans="13:13">
      <c r="M954"/>
    </row>
    <row r="955" spans="13:13">
      <c r="M955"/>
    </row>
    <row r="956" spans="13:13">
      <c r="M956"/>
    </row>
    <row r="957" spans="13:13">
      <c r="M957"/>
    </row>
    <row r="958" spans="13:13">
      <c r="M958"/>
    </row>
    <row r="959" spans="13:13">
      <c r="M959"/>
    </row>
    <row r="960" spans="13:13">
      <c r="M960"/>
    </row>
    <row r="961" spans="13:13">
      <c r="M961"/>
    </row>
    <row r="962" spans="13:13">
      <c r="M962"/>
    </row>
    <row r="963" spans="13:13">
      <c r="M963"/>
    </row>
    <row r="964" spans="13:13">
      <c r="M964"/>
    </row>
    <row r="965" spans="13:13">
      <c r="M965"/>
    </row>
    <row r="966" spans="13:13">
      <c r="M966"/>
    </row>
    <row r="967" spans="13:13">
      <c r="M967"/>
    </row>
    <row r="968" spans="13:13">
      <c r="M968"/>
    </row>
    <row r="969" spans="13:13">
      <c r="M969"/>
    </row>
    <row r="970" spans="13:13">
      <c r="M970"/>
    </row>
    <row r="971" spans="13:13">
      <c r="M971"/>
    </row>
    <row r="972" spans="13:13">
      <c r="M972"/>
    </row>
    <row r="973" spans="13:13">
      <c r="M973"/>
    </row>
    <row r="974" spans="13:13">
      <c r="M974"/>
    </row>
    <row r="975" spans="13:13">
      <c r="M975"/>
    </row>
    <row r="976" spans="13:13">
      <c r="M976"/>
    </row>
    <row r="977" spans="13:13">
      <c r="M977"/>
    </row>
    <row r="978" spans="13:13">
      <c r="M978"/>
    </row>
    <row r="979" spans="13:13">
      <c r="M979"/>
    </row>
    <row r="980" spans="13:13">
      <c r="M980"/>
    </row>
    <row r="981" spans="13:13">
      <c r="M981"/>
    </row>
    <row r="982" spans="13:13">
      <c r="M982"/>
    </row>
    <row r="983" spans="13:13">
      <c r="M983"/>
    </row>
    <row r="984" spans="13:13">
      <c r="M984"/>
    </row>
    <row r="985" spans="13:13">
      <c r="M985"/>
    </row>
    <row r="986" spans="13:13">
      <c r="M986"/>
    </row>
    <row r="987" spans="13:13">
      <c r="M987"/>
    </row>
    <row r="988" spans="13:13">
      <c r="M988"/>
    </row>
    <row r="989" spans="13:13">
      <c r="M989"/>
    </row>
    <row r="990" spans="13:13">
      <c r="M990"/>
    </row>
    <row r="991" spans="13:13">
      <c r="M991"/>
    </row>
    <row r="992" spans="13:13">
      <c r="M992"/>
    </row>
    <row r="993" spans="13:13">
      <c r="M993"/>
    </row>
    <row r="994" spans="13:13">
      <c r="M994"/>
    </row>
    <row r="995" spans="13:13">
      <c r="M995"/>
    </row>
    <row r="996" spans="13:13">
      <c r="M996"/>
    </row>
    <row r="997" spans="13:13">
      <c r="M997"/>
    </row>
    <row r="998" spans="13:13">
      <c r="M998"/>
    </row>
    <row r="999" spans="13:13">
      <c r="M999"/>
    </row>
    <row r="1000" spans="13:13">
      <c r="M1000"/>
    </row>
    <row r="1001" spans="13:13">
      <c r="M1001"/>
    </row>
    <row r="1002" spans="13:13">
      <c r="M1002"/>
    </row>
    <row r="1003" spans="13:13">
      <c r="M1003"/>
    </row>
    <row r="1004" spans="13:13">
      <c r="M1004"/>
    </row>
    <row r="1005" spans="13:13">
      <c r="M1005"/>
    </row>
    <row r="1006" spans="13:13">
      <c r="M1006"/>
    </row>
    <row r="1007" spans="13:13">
      <c r="M1007"/>
    </row>
    <row r="1008" spans="13:13">
      <c r="M1008"/>
    </row>
    <row r="1009" spans="13:13">
      <c r="M1009"/>
    </row>
    <row r="1010" spans="13:13">
      <c r="M1010"/>
    </row>
    <row r="1011" spans="13:13">
      <c r="M1011"/>
    </row>
    <row r="1012" spans="13:13">
      <c r="M1012"/>
    </row>
    <row r="1013" spans="13:13">
      <c r="M1013"/>
    </row>
    <row r="1014" spans="13:13">
      <c r="M1014"/>
    </row>
    <row r="1015" spans="13:13">
      <c r="M1015"/>
    </row>
    <row r="1016" spans="13:13">
      <c r="M1016"/>
    </row>
    <row r="1017" spans="13:13">
      <c r="M1017"/>
    </row>
    <row r="1018" spans="13:13">
      <c r="M1018"/>
    </row>
    <row r="1019" spans="13:13">
      <c r="M1019"/>
    </row>
    <row r="1020" spans="13:13">
      <c r="M1020"/>
    </row>
    <row r="1021" spans="13:13">
      <c r="M1021"/>
    </row>
    <row r="1022" spans="13:13">
      <c r="M1022"/>
    </row>
    <row r="1023" spans="13:13">
      <c r="M1023"/>
    </row>
    <row r="1024" spans="13:13">
      <c r="M1024"/>
    </row>
    <row r="1025" spans="13:13">
      <c r="M1025"/>
    </row>
    <row r="1026" spans="13:13">
      <c r="M1026"/>
    </row>
    <row r="1027" spans="13:13">
      <c r="M1027"/>
    </row>
    <row r="1028" spans="13:13">
      <c r="M1028"/>
    </row>
    <row r="1029" spans="13:13">
      <c r="M1029"/>
    </row>
    <row r="1030" spans="13:13">
      <c r="M1030"/>
    </row>
    <row r="1031" spans="13:13">
      <c r="M1031"/>
    </row>
    <row r="1032" spans="13:13">
      <c r="M1032"/>
    </row>
    <row r="1033" spans="13:13">
      <c r="M1033"/>
    </row>
    <row r="1034" spans="13:13">
      <c r="M1034"/>
    </row>
    <row r="1035" spans="13:13">
      <c r="M1035"/>
    </row>
    <row r="1036" spans="13:13">
      <c r="M1036"/>
    </row>
    <row r="1037" spans="13:13">
      <c r="M1037"/>
    </row>
    <row r="1038" spans="13:13">
      <c r="M1038"/>
    </row>
    <row r="1039" spans="13:13">
      <c r="M1039"/>
    </row>
    <row r="1040" spans="13:13">
      <c r="M1040"/>
    </row>
    <row r="1041" spans="13:13">
      <c r="M1041"/>
    </row>
    <row r="1042" spans="13:13">
      <c r="M1042"/>
    </row>
    <row r="1043" spans="13:13">
      <c r="M1043"/>
    </row>
    <row r="1044" spans="13:13">
      <c r="M1044"/>
    </row>
    <row r="1045" spans="13:13">
      <c r="M1045"/>
    </row>
    <row r="1046" spans="13:13">
      <c r="M1046"/>
    </row>
    <row r="1047" spans="13:13">
      <c r="M1047"/>
    </row>
    <row r="1048" spans="13:13">
      <c r="M1048"/>
    </row>
    <row r="1049" spans="13:13">
      <c r="M1049"/>
    </row>
    <row r="1050" spans="13:13">
      <c r="M1050"/>
    </row>
    <row r="1051" spans="13:13">
      <c r="M1051"/>
    </row>
    <row r="1052" spans="13:13">
      <c r="M1052"/>
    </row>
    <row r="1053" spans="13:13">
      <c r="M1053"/>
    </row>
    <row r="1054" spans="13:13">
      <c r="M1054"/>
    </row>
    <row r="1055" spans="13:13">
      <c r="M1055"/>
    </row>
    <row r="1056" spans="13:13">
      <c r="M1056"/>
    </row>
    <row r="1057" spans="13:13">
      <c r="M1057"/>
    </row>
    <row r="1058" spans="13:13">
      <c r="M1058"/>
    </row>
    <row r="1059" spans="13:13">
      <c r="M1059"/>
    </row>
    <row r="1060" spans="13:13">
      <c r="M1060"/>
    </row>
    <row r="1061" spans="13:13">
      <c r="M1061"/>
    </row>
    <row r="1062" spans="13:13">
      <c r="M1062"/>
    </row>
    <row r="1063" spans="13:13">
      <c r="M1063"/>
    </row>
    <row r="1064" spans="13:13">
      <c r="M1064"/>
    </row>
    <row r="1065" spans="13:13">
      <c r="M1065"/>
    </row>
    <row r="1066" spans="13:13">
      <c r="M1066"/>
    </row>
    <row r="1067" spans="13:13">
      <c r="M1067"/>
    </row>
    <row r="1068" spans="13:13">
      <c r="M1068"/>
    </row>
    <row r="1069" spans="13:13">
      <c r="M1069"/>
    </row>
    <row r="1070" spans="13:13">
      <c r="M1070"/>
    </row>
    <row r="1071" spans="13:13">
      <c r="M1071"/>
    </row>
    <row r="1072" spans="13:13">
      <c r="M1072"/>
    </row>
    <row r="1073" spans="13:13">
      <c r="M1073"/>
    </row>
    <row r="1074" spans="13:13">
      <c r="M1074"/>
    </row>
    <row r="1075" spans="13:13">
      <c r="M1075"/>
    </row>
    <row r="1076" spans="13:13">
      <c r="M1076"/>
    </row>
    <row r="1077" spans="13:13">
      <c r="M1077"/>
    </row>
    <row r="1078" spans="13:13">
      <c r="M1078"/>
    </row>
    <row r="1079" spans="13:13">
      <c r="M1079"/>
    </row>
    <row r="1080" spans="13:13">
      <c r="M1080"/>
    </row>
    <row r="1081" spans="13:13">
      <c r="M1081"/>
    </row>
    <row r="1082" spans="13:13">
      <c r="M1082"/>
    </row>
    <row r="1083" spans="13:13">
      <c r="M1083"/>
    </row>
    <row r="1084" spans="13:13">
      <c r="M1084"/>
    </row>
    <row r="1085" spans="13:13">
      <c r="M1085"/>
    </row>
    <row r="1086" spans="13:13">
      <c r="M1086"/>
    </row>
    <row r="1087" spans="13:13">
      <c r="M1087"/>
    </row>
    <row r="1088" spans="13:13">
      <c r="M1088"/>
    </row>
    <row r="1089" spans="13:13">
      <c r="M1089"/>
    </row>
    <row r="1090" spans="13:13">
      <c r="M1090"/>
    </row>
    <row r="1091" spans="13:13">
      <c r="M1091"/>
    </row>
    <row r="1092" spans="13:13">
      <c r="M1092"/>
    </row>
    <row r="1093" spans="13:13">
      <c r="M1093"/>
    </row>
    <row r="1094" spans="13:13">
      <c r="M1094"/>
    </row>
    <row r="1095" spans="13:13">
      <c r="M1095"/>
    </row>
    <row r="1096" spans="13:13">
      <c r="M1096"/>
    </row>
    <row r="1097" spans="13:13">
      <c r="M1097"/>
    </row>
    <row r="1098" spans="13:13">
      <c r="M1098"/>
    </row>
    <row r="1099" spans="13:13">
      <c r="M1099"/>
    </row>
    <row r="1100" spans="13:13">
      <c r="M1100"/>
    </row>
    <row r="1101" spans="13:13">
      <c r="M1101"/>
    </row>
    <row r="1102" spans="13:13">
      <c r="M1102"/>
    </row>
    <row r="1103" spans="13:13">
      <c r="M1103"/>
    </row>
    <row r="1104" spans="13:13">
      <c r="M1104"/>
    </row>
    <row r="1105" spans="13:13">
      <c r="M1105"/>
    </row>
    <row r="1106" spans="13:13">
      <c r="M1106"/>
    </row>
    <row r="1107" spans="13:13">
      <c r="M1107"/>
    </row>
    <row r="1108" spans="13:13">
      <c r="M1108"/>
    </row>
    <row r="1109" spans="13:13">
      <c r="M1109"/>
    </row>
    <row r="1110" spans="13:13">
      <c r="M1110"/>
    </row>
    <row r="1111" spans="13:13">
      <c r="M1111"/>
    </row>
    <row r="1112" spans="13:13">
      <c r="M1112"/>
    </row>
    <row r="1113" spans="13:13">
      <c r="M1113"/>
    </row>
    <row r="1114" spans="13:13">
      <c r="M1114"/>
    </row>
    <row r="1115" spans="13:13">
      <c r="M1115"/>
    </row>
    <row r="1116" spans="13:13">
      <c r="M1116"/>
    </row>
    <row r="1117" spans="13:13">
      <c r="M1117"/>
    </row>
    <row r="1118" spans="13:13">
      <c r="M1118"/>
    </row>
    <row r="1119" spans="13:13">
      <c r="M1119"/>
    </row>
    <row r="1120" spans="13:13">
      <c r="M1120"/>
    </row>
    <row r="1121" spans="13:13">
      <c r="M1121"/>
    </row>
    <row r="1122" spans="13:13">
      <c r="M1122"/>
    </row>
    <row r="1123" spans="13:13">
      <c r="M1123"/>
    </row>
    <row r="1124" spans="13:13">
      <c r="M1124"/>
    </row>
    <row r="1125" spans="13:13">
      <c r="M1125"/>
    </row>
    <row r="1126" spans="13:13">
      <c r="M1126"/>
    </row>
    <row r="1127" spans="13:13">
      <c r="M1127"/>
    </row>
    <row r="1128" spans="13:13">
      <c r="M1128"/>
    </row>
    <row r="1129" spans="13:13">
      <c r="M1129"/>
    </row>
    <row r="1130" spans="13:13">
      <c r="M1130"/>
    </row>
    <row r="1131" spans="13:13">
      <c r="M1131"/>
    </row>
    <row r="1132" spans="13:13">
      <c r="M1132"/>
    </row>
    <row r="1133" spans="13:13">
      <c r="M1133"/>
    </row>
    <row r="1134" spans="13:13">
      <c r="M1134"/>
    </row>
    <row r="1135" spans="13:13">
      <c r="M1135"/>
    </row>
    <row r="1136" spans="13:13">
      <c r="M1136"/>
    </row>
    <row r="1137" spans="13:13">
      <c r="M1137"/>
    </row>
    <row r="1138" spans="13:13">
      <c r="M1138"/>
    </row>
    <row r="1139" spans="13:13">
      <c r="M1139"/>
    </row>
    <row r="1140" spans="13:13">
      <c r="M1140"/>
    </row>
    <row r="1141" spans="13:13">
      <c r="M1141"/>
    </row>
    <row r="1142" spans="13:13">
      <c r="M1142"/>
    </row>
    <row r="1143" spans="13:13">
      <c r="M1143"/>
    </row>
    <row r="1144" spans="13:13">
      <c r="M1144"/>
    </row>
    <row r="1145" spans="13:13">
      <c r="M1145"/>
    </row>
    <row r="1146" spans="13:13">
      <c r="M1146"/>
    </row>
    <row r="1147" spans="13:13">
      <c r="M1147"/>
    </row>
    <row r="1148" spans="13:13">
      <c r="M1148"/>
    </row>
    <row r="1149" spans="13:13">
      <c r="M1149"/>
    </row>
    <row r="1150" spans="13:13">
      <c r="M1150"/>
    </row>
    <row r="1151" spans="13:13">
      <c r="M1151"/>
    </row>
    <row r="1152" spans="13:13">
      <c r="M1152"/>
    </row>
    <row r="1153" spans="13:13">
      <c r="M1153"/>
    </row>
    <row r="1154" spans="13:13">
      <c r="M1154"/>
    </row>
    <row r="1155" spans="13:13">
      <c r="M1155"/>
    </row>
    <row r="1156" spans="13:13">
      <c r="M1156"/>
    </row>
    <row r="1157" spans="13:13">
      <c r="M1157"/>
    </row>
    <row r="1158" spans="13:13">
      <c r="M1158"/>
    </row>
    <row r="1159" spans="13:13">
      <c r="M1159"/>
    </row>
    <row r="1160" spans="13:13">
      <c r="M1160"/>
    </row>
    <row r="1161" spans="13:13">
      <c r="M1161"/>
    </row>
    <row r="1162" spans="13:13">
      <c r="M1162"/>
    </row>
    <row r="1163" spans="13:13">
      <c r="M1163"/>
    </row>
    <row r="1164" spans="13:13">
      <c r="M1164"/>
    </row>
    <row r="1165" spans="13:13">
      <c r="M1165"/>
    </row>
    <row r="1166" spans="13:13">
      <c r="M1166"/>
    </row>
    <row r="1167" spans="13:13">
      <c r="M1167"/>
    </row>
    <row r="1168" spans="13:13">
      <c r="M1168"/>
    </row>
    <row r="1169" spans="13:13">
      <c r="M1169"/>
    </row>
    <row r="1170" spans="13:13">
      <c r="M1170"/>
    </row>
    <row r="1171" spans="13:13">
      <c r="M1171"/>
    </row>
    <row r="1172" spans="13:13">
      <c r="M1172"/>
    </row>
    <row r="1173" spans="13:13">
      <c r="M1173"/>
    </row>
    <row r="1174" spans="13:13">
      <c r="M1174"/>
    </row>
    <row r="1175" spans="13:13">
      <c r="M1175"/>
    </row>
    <row r="1176" spans="13:13">
      <c r="M1176"/>
    </row>
    <row r="1177" spans="13:13">
      <c r="M1177"/>
    </row>
    <row r="1178" spans="13:13">
      <c r="M1178"/>
    </row>
    <row r="1179" spans="13:13">
      <c r="M1179"/>
    </row>
    <row r="1180" spans="13:13">
      <c r="M1180"/>
    </row>
    <row r="1181" spans="13:13">
      <c r="M1181"/>
    </row>
    <row r="1182" spans="13:13">
      <c r="M1182"/>
    </row>
    <row r="1183" spans="13:13">
      <c r="M1183"/>
    </row>
    <row r="1184" spans="13:13">
      <c r="M1184"/>
    </row>
    <row r="1185" spans="13:13">
      <c r="M1185"/>
    </row>
    <row r="1186" spans="13:13">
      <c r="M1186"/>
    </row>
    <row r="1187" spans="13:13">
      <c r="M1187"/>
    </row>
    <row r="1188" spans="13:13">
      <c r="M1188"/>
    </row>
    <row r="1189" spans="13:13">
      <c r="M1189"/>
    </row>
    <row r="1190" spans="13:13">
      <c r="M1190"/>
    </row>
    <row r="1191" spans="13:13">
      <c r="M1191"/>
    </row>
    <row r="1192" spans="13:13">
      <c r="M1192"/>
    </row>
    <row r="1193" spans="13:13">
      <c r="M1193"/>
    </row>
    <row r="1194" spans="13:13">
      <c r="M1194"/>
    </row>
    <row r="1195" spans="13:13">
      <c r="M1195"/>
    </row>
    <row r="1196" spans="13:13">
      <c r="M1196"/>
    </row>
    <row r="1197" spans="13:13">
      <c r="M1197"/>
    </row>
    <row r="1198" spans="13:13">
      <c r="M1198"/>
    </row>
    <row r="1199" spans="13:13">
      <c r="M1199"/>
    </row>
    <row r="1200" spans="13:13">
      <c r="M1200"/>
    </row>
    <row r="1201" spans="13:13">
      <c r="M1201"/>
    </row>
    <row r="1202" spans="13:13">
      <c r="M1202"/>
    </row>
    <row r="1203" spans="13:13">
      <c r="M1203"/>
    </row>
    <row r="1204" spans="13:13">
      <c r="M1204"/>
    </row>
    <row r="1205" spans="13:13">
      <c r="M1205"/>
    </row>
    <row r="1206" spans="13:13">
      <c r="M1206"/>
    </row>
    <row r="1207" spans="13:13">
      <c r="M1207"/>
    </row>
    <row r="1208" spans="13:13">
      <c r="M1208"/>
    </row>
    <row r="1209" spans="13:13">
      <c r="M1209"/>
    </row>
    <row r="1210" spans="13:13">
      <c r="M1210"/>
    </row>
    <row r="1211" spans="13:13">
      <c r="M1211"/>
    </row>
    <row r="1212" spans="13:13">
      <c r="M1212"/>
    </row>
    <row r="1213" spans="13:13">
      <c r="M1213"/>
    </row>
    <row r="1214" spans="13:13">
      <c r="M1214"/>
    </row>
    <row r="1215" spans="13:13">
      <c r="M1215"/>
    </row>
    <row r="1216" spans="13:13">
      <c r="M1216"/>
    </row>
    <row r="1217" spans="13:13">
      <c r="M1217"/>
    </row>
    <row r="1218" spans="13:13">
      <c r="M1218"/>
    </row>
    <row r="1219" spans="13:13">
      <c r="M1219"/>
    </row>
    <row r="1220" spans="13:13">
      <c r="M1220"/>
    </row>
    <row r="1221" spans="13:13">
      <c r="M1221"/>
    </row>
    <row r="1222" spans="13:13">
      <c r="M1222"/>
    </row>
    <row r="1223" spans="13:13">
      <c r="M1223"/>
    </row>
    <row r="1224" spans="13:13">
      <c r="M1224"/>
    </row>
    <row r="1225" spans="13:13">
      <c r="M1225"/>
    </row>
    <row r="1226" spans="13:13">
      <c r="M1226"/>
    </row>
    <row r="1227" spans="13:13">
      <c r="M1227"/>
    </row>
    <row r="1228" spans="13:13">
      <c r="M1228"/>
    </row>
    <row r="1229" spans="13:13">
      <c r="M1229"/>
    </row>
    <row r="1230" spans="13:13">
      <c r="M1230"/>
    </row>
    <row r="1231" spans="13:13">
      <c r="M1231"/>
    </row>
    <row r="1232" spans="13:13">
      <c r="M1232"/>
    </row>
    <row r="1233" spans="13:13">
      <c r="M1233"/>
    </row>
    <row r="1234" spans="13:13">
      <c r="M1234"/>
    </row>
    <row r="1235" spans="13:13">
      <c r="M1235"/>
    </row>
    <row r="1236" spans="13:13">
      <c r="M1236"/>
    </row>
    <row r="1237" spans="13:13">
      <c r="M1237"/>
    </row>
    <row r="1238" spans="13:13">
      <c r="M1238"/>
    </row>
    <row r="1239" spans="13:13">
      <c r="M1239"/>
    </row>
    <row r="1240" spans="13:13">
      <c r="M1240"/>
    </row>
    <row r="1241" spans="13:13">
      <c r="M1241"/>
    </row>
    <row r="1242" spans="13:13">
      <c r="M1242"/>
    </row>
    <row r="1243" spans="13:13">
      <c r="M1243"/>
    </row>
    <row r="1244" spans="13:13">
      <c r="M1244"/>
    </row>
    <row r="1245" spans="13:13">
      <c r="M1245"/>
    </row>
    <row r="1246" spans="13:13">
      <c r="M1246"/>
    </row>
    <row r="1247" spans="13:13">
      <c r="M1247"/>
    </row>
    <row r="1248" spans="13:13">
      <c r="M1248"/>
    </row>
    <row r="1249" spans="13:13">
      <c r="M1249"/>
    </row>
    <row r="1250" spans="13:13">
      <c r="M1250"/>
    </row>
    <row r="1251" spans="13:13">
      <c r="M1251"/>
    </row>
    <row r="1252" spans="13:13">
      <c r="M1252"/>
    </row>
    <row r="1253" spans="13:13">
      <c r="M1253"/>
    </row>
    <row r="1254" spans="13:13">
      <c r="M1254"/>
    </row>
    <row r="1255" spans="13:13">
      <c r="M1255"/>
    </row>
    <row r="1256" spans="13:13">
      <c r="M1256"/>
    </row>
    <row r="1257" spans="13:13">
      <c r="M1257"/>
    </row>
    <row r="1258" spans="13:13">
      <c r="M1258"/>
    </row>
    <row r="1259" spans="13:13">
      <c r="M1259"/>
    </row>
    <row r="1260" spans="13:13">
      <c r="M1260"/>
    </row>
    <row r="1261" spans="13:13">
      <c r="M1261"/>
    </row>
    <row r="1262" spans="13:13">
      <c r="M1262"/>
    </row>
    <row r="1263" spans="13:13">
      <c r="M1263"/>
    </row>
    <row r="1264" spans="13:13">
      <c r="M1264"/>
    </row>
    <row r="1265" spans="13:13">
      <c r="M1265"/>
    </row>
    <row r="1266" spans="13:13">
      <c r="M1266"/>
    </row>
    <row r="1267" spans="13:13">
      <c r="M1267"/>
    </row>
    <row r="1268" spans="13:13">
      <c r="M1268"/>
    </row>
    <row r="1269" spans="13:13">
      <c r="M1269"/>
    </row>
    <row r="1270" spans="13:13">
      <c r="M1270"/>
    </row>
    <row r="1271" spans="13:13">
      <c r="M1271"/>
    </row>
    <row r="1272" spans="13:13">
      <c r="M1272"/>
    </row>
    <row r="1273" spans="13:13">
      <c r="M1273"/>
    </row>
    <row r="1274" spans="13:13">
      <c r="M1274"/>
    </row>
    <row r="1275" spans="13:13">
      <c r="M1275"/>
    </row>
    <row r="1276" spans="13:13">
      <c r="M1276"/>
    </row>
    <row r="1277" spans="13:13">
      <c r="M1277"/>
    </row>
    <row r="1278" spans="13:13">
      <c r="M1278"/>
    </row>
    <row r="1279" spans="13:13">
      <c r="M1279"/>
    </row>
    <row r="1280" spans="13:13">
      <c r="M1280"/>
    </row>
    <row r="1281" spans="13:13">
      <c r="M1281"/>
    </row>
    <row r="1282" spans="13:13">
      <c r="M1282"/>
    </row>
    <row r="1283" spans="13:13">
      <c r="M1283"/>
    </row>
    <row r="1284" spans="13:13">
      <c r="M1284"/>
    </row>
    <row r="1285" spans="13:13">
      <c r="M1285"/>
    </row>
    <row r="1286" spans="13:13">
      <c r="M1286"/>
    </row>
    <row r="1287" spans="13:13">
      <c r="M1287"/>
    </row>
    <row r="1288" spans="13:13">
      <c r="M1288"/>
    </row>
    <row r="1289" spans="13:13">
      <c r="M1289"/>
    </row>
    <row r="1290" spans="13:13">
      <c r="M1290"/>
    </row>
    <row r="1291" spans="13:13">
      <c r="M1291"/>
    </row>
    <row r="1292" spans="13:13">
      <c r="M1292"/>
    </row>
    <row r="1293" spans="13:13">
      <c r="M1293"/>
    </row>
    <row r="1294" spans="13:13">
      <c r="M1294"/>
    </row>
    <row r="1295" spans="13:13">
      <c r="M1295"/>
    </row>
    <row r="1296" spans="13:13">
      <c r="M1296"/>
    </row>
    <row r="1297" spans="13:13">
      <c r="M1297"/>
    </row>
    <row r="1298" spans="13:13">
      <c r="M1298"/>
    </row>
    <row r="1299" spans="13:13">
      <c r="M1299"/>
    </row>
    <row r="1300" spans="13:13">
      <c r="M1300"/>
    </row>
    <row r="1301" spans="13:13">
      <c r="M1301"/>
    </row>
    <row r="1302" spans="13:13">
      <c r="M1302"/>
    </row>
    <row r="1303" spans="13:13">
      <c r="M1303"/>
    </row>
    <row r="1304" spans="13:13">
      <c r="M1304"/>
    </row>
    <row r="1305" spans="13:13">
      <c r="M1305"/>
    </row>
    <row r="1306" spans="13:13">
      <c r="M1306"/>
    </row>
    <row r="1307" spans="13:13">
      <c r="M1307"/>
    </row>
    <row r="1308" spans="13:13">
      <c r="M1308"/>
    </row>
    <row r="1309" spans="13:13">
      <c r="M1309"/>
    </row>
    <row r="1310" spans="13:13">
      <c r="M1310"/>
    </row>
    <row r="1311" spans="13:13">
      <c r="M1311"/>
    </row>
    <row r="1312" spans="13:13">
      <c r="M1312"/>
    </row>
    <row r="1313" spans="13:13">
      <c r="M1313"/>
    </row>
    <row r="1314" spans="13:13">
      <c r="M1314"/>
    </row>
    <row r="1315" spans="13:13">
      <c r="M1315"/>
    </row>
    <row r="1316" spans="13:13">
      <c r="M1316"/>
    </row>
    <row r="1317" spans="13:13">
      <c r="M1317"/>
    </row>
    <row r="1318" spans="13:13">
      <c r="M1318"/>
    </row>
    <row r="1319" spans="13:13">
      <c r="M1319"/>
    </row>
    <row r="1320" spans="13:13">
      <c r="M1320"/>
    </row>
    <row r="1321" spans="13:13">
      <c r="M1321"/>
    </row>
    <row r="1322" spans="13:13">
      <c r="M1322"/>
    </row>
    <row r="1323" spans="13:13">
      <c r="M1323"/>
    </row>
    <row r="1324" spans="13:13">
      <c r="M1324"/>
    </row>
    <row r="1325" spans="13:13">
      <c r="M1325"/>
    </row>
    <row r="1326" spans="13:13">
      <c r="M1326"/>
    </row>
    <row r="1327" spans="13:13">
      <c r="M1327"/>
    </row>
    <row r="1328" spans="13:13">
      <c r="M1328"/>
    </row>
    <row r="1329" spans="13:13">
      <c r="M1329"/>
    </row>
    <row r="1330" spans="13:13">
      <c r="M1330"/>
    </row>
    <row r="1331" spans="13:13">
      <c r="M1331"/>
    </row>
    <row r="1332" spans="13:13">
      <c r="M1332"/>
    </row>
    <row r="1333" spans="13:13">
      <c r="M1333"/>
    </row>
    <row r="1334" spans="13:13">
      <c r="M1334"/>
    </row>
    <row r="1335" spans="13:13">
      <c r="M1335"/>
    </row>
    <row r="1336" spans="13:13">
      <c r="M1336"/>
    </row>
    <row r="1337" spans="13:13">
      <c r="M1337"/>
    </row>
    <row r="1338" spans="13:13">
      <c r="M1338"/>
    </row>
    <row r="1339" spans="13:13">
      <c r="M1339"/>
    </row>
    <row r="1340" spans="13:13">
      <c r="M1340"/>
    </row>
    <row r="1341" spans="13:13">
      <c r="M1341"/>
    </row>
    <row r="1342" spans="13:13">
      <c r="M1342"/>
    </row>
    <row r="1343" spans="13:13">
      <c r="M1343"/>
    </row>
    <row r="1344" spans="13:13">
      <c r="M1344"/>
    </row>
    <row r="1345" spans="13:13">
      <c r="M1345"/>
    </row>
    <row r="1346" spans="13:13">
      <c r="M1346"/>
    </row>
    <row r="1347" spans="13:13">
      <c r="M1347"/>
    </row>
    <row r="1348" spans="13:13">
      <c r="M1348"/>
    </row>
    <row r="1349" spans="13:13">
      <c r="M1349"/>
    </row>
    <row r="1350" spans="13:13">
      <c r="M1350"/>
    </row>
    <row r="1351" spans="13:13">
      <c r="M1351"/>
    </row>
    <row r="1352" spans="13:13">
      <c r="M1352"/>
    </row>
    <row r="1353" spans="13:13">
      <c r="M1353"/>
    </row>
    <row r="1354" spans="13:13">
      <c r="M1354"/>
    </row>
    <row r="1355" spans="13:13">
      <c r="M1355"/>
    </row>
    <row r="1356" spans="13:13">
      <c r="M1356"/>
    </row>
    <row r="1357" spans="13:13">
      <c r="M1357"/>
    </row>
    <row r="1358" spans="13:13">
      <c r="M1358"/>
    </row>
    <row r="1359" spans="13:13">
      <c r="M1359"/>
    </row>
    <row r="1360" spans="13:13">
      <c r="M1360"/>
    </row>
    <row r="1361" spans="13:13">
      <c r="M1361"/>
    </row>
    <row r="1362" spans="13:13">
      <c r="M1362"/>
    </row>
    <row r="1363" spans="13:13">
      <c r="M1363"/>
    </row>
    <row r="1364" spans="13:13">
      <c r="M1364"/>
    </row>
    <row r="1365" spans="13:13">
      <c r="M1365"/>
    </row>
    <row r="1366" spans="13:13">
      <c r="M1366"/>
    </row>
    <row r="1367" spans="13:13">
      <c r="M1367"/>
    </row>
    <row r="1368" spans="13:13">
      <c r="M1368"/>
    </row>
    <row r="1369" spans="13:13">
      <c r="M1369"/>
    </row>
    <row r="1370" spans="13:13">
      <c r="M1370"/>
    </row>
    <row r="1371" spans="13:13">
      <c r="M1371"/>
    </row>
    <row r="1372" spans="13:13">
      <c r="M1372"/>
    </row>
    <row r="1373" spans="13:13">
      <c r="M1373"/>
    </row>
    <row r="1374" spans="13:13">
      <c r="M1374"/>
    </row>
    <row r="1375" spans="13:13">
      <c r="M1375"/>
    </row>
    <row r="1376" spans="13:13">
      <c r="M1376"/>
    </row>
    <row r="1377" spans="13:13">
      <c r="M1377"/>
    </row>
    <row r="1378" spans="13:13">
      <c r="M1378"/>
    </row>
    <row r="1379" spans="13:13">
      <c r="M1379"/>
    </row>
    <row r="1380" spans="13:13">
      <c r="M1380"/>
    </row>
    <row r="1381" spans="13:13">
      <c r="M1381"/>
    </row>
    <row r="1382" spans="13:13">
      <c r="M1382"/>
    </row>
    <row r="1383" spans="13:13">
      <c r="M1383"/>
    </row>
    <row r="1384" spans="13:13">
      <c r="M1384"/>
    </row>
    <row r="1385" spans="13:13">
      <c r="M1385"/>
    </row>
    <row r="1386" spans="13:13">
      <c r="M1386"/>
    </row>
    <row r="1387" spans="13:13">
      <c r="M1387"/>
    </row>
    <row r="1388" spans="13:13">
      <c r="M1388"/>
    </row>
    <row r="1389" spans="13:13">
      <c r="M1389"/>
    </row>
    <row r="1390" spans="13:13">
      <c r="M1390"/>
    </row>
    <row r="1391" spans="13:13">
      <c r="M1391"/>
    </row>
    <row r="1392" spans="13:13">
      <c r="M1392"/>
    </row>
    <row r="1393" spans="13:13">
      <c r="M1393"/>
    </row>
    <row r="1394" spans="13:13">
      <c r="M1394"/>
    </row>
    <row r="1395" spans="13:13">
      <c r="M1395"/>
    </row>
    <row r="1396" spans="13:13">
      <c r="M1396"/>
    </row>
    <row r="1397" spans="13:13">
      <c r="M1397"/>
    </row>
    <row r="1398" spans="13:13">
      <c r="M1398"/>
    </row>
    <row r="1399" spans="13:13">
      <c r="M1399"/>
    </row>
    <row r="1400" spans="13:13">
      <c r="M1400"/>
    </row>
    <row r="1401" spans="13:13">
      <c r="M1401"/>
    </row>
    <row r="1402" spans="13:13">
      <c r="M1402"/>
    </row>
    <row r="1403" spans="13:13">
      <c r="M1403"/>
    </row>
    <row r="1404" spans="13:13">
      <c r="M1404"/>
    </row>
    <row r="1405" spans="13:13">
      <c r="M1405"/>
    </row>
    <row r="1406" spans="13:13">
      <c r="M1406"/>
    </row>
    <row r="1407" spans="13:13">
      <c r="M1407"/>
    </row>
    <row r="1408" spans="13:13">
      <c r="M1408"/>
    </row>
    <row r="1409" spans="13:13">
      <c r="M1409"/>
    </row>
    <row r="1410" spans="13:13">
      <c r="M1410"/>
    </row>
    <row r="1411" spans="13:13">
      <c r="M1411"/>
    </row>
    <row r="1412" spans="13:13">
      <c r="M1412"/>
    </row>
    <row r="1413" spans="13:13">
      <c r="M1413"/>
    </row>
    <row r="1414" spans="13:13">
      <c r="M1414"/>
    </row>
    <row r="1415" spans="13:13">
      <c r="M1415"/>
    </row>
    <row r="1416" spans="13:13">
      <c r="M1416"/>
    </row>
    <row r="1417" spans="13:13">
      <c r="M1417"/>
    </row>
    <row r="1418" spans="13:13">
      <c r="M1418"/>
    </row>
    <row r="1419" spans="13:13">
      <c r="M1419"/>
    </row>
    <row r="1420" spans="13:13">
      <c r="M1420"/>
    </row>
    <row r="1421" spans="13:13">
      <c r="M1421"/>
    </row>
    <row r="1422" spans="13:13">
      <c r="M1422"/>
    </row>
    <row r="1423" spans="13:13">
      <c r="M1423"/>
    </row>
    <row r="1424" spans="13:13">
      <c r="M1424"/>
    </row>
    <row r="1425" spans="13:13">
      <c r="M1425"/>
    </row>
    <row r="1426" spans="13:13">
      <c r="M1426"/>
    </row>
    <row r="1427" spans="13:13">
      <c r="M1427"/>
    </row>
    <row r="1428" spans="13:13">
      <c r="M1428"/>
    </row>
    <row r="1429" spans="13:13">
      <c r="M1429"/>
    </row>
    <row r="1430" spans="13:13">
      <c r="M1430"/>
    </row>
    <row r="1431" spans="13:13">
      <c r="M1431"/>
    </row>
    <row r="1432" spans="13:13">
      <c r="M1432"/>
    </row>
    <row r="1433" spans="13:13">
      <c r="M1433"/>
    </row>
    <row r="1434" spans="13:13">
      <c r="M1434"/>
    </row>
    <row r="1435" spans="13:13">
      <c r="M1435"/>
    </row>
    <row r="1436" spans="13:13">
      <c r="M1436"/>
    </row>
    <row r="1437" spans="13:13">
      <c r="M1437"/>
    </row>
    <row r="1438" spans="13:13">
      <c r="M1438"/>
    </row>
    <row r="1439" spans="13:13">
      <c r="M1439"/>
    </row>
    <row r="1440" spans="13:13">
      <c r="M1440"/>
    </row>
    <row r="1441" spans="13:13">
      <c r="M1441"/>
    </row>
    <row r="1442" spans="13:13">
      <c r="M1442"/>
    </row>
    <row r="1443" spans="13:13">
      <c r="M1443"/>
    </row>
    <row r="1444" spans="13:13">
      <c r="M1444"/>
    </row>
    <row r="1445" spans="13:13">
      <c r="M1445"/>
    </row>
    <row r="1446" spans="13:13">
      <c r="M1446"/>
    </row>
    <row r="1447" spans="13:13">
      <c r="M1447"/>
    </row>
    <row r="1448" spans="13:13">
      <c r="M1448"/>
    </row>
    <row r="1449" spans="13:13">
      <c r="M1449"/>
    </row>
    <row r="1450" spans="13:13">
      <c r="M1450"/>
    </row>
    <row r="1451" spans="13:13">
      <c r="M1451"/>
    </row>
    <row r="1452" spans="13:13">
      <c r="M1452"/>
    </row>
    <row r="1453" spans="13:13">
      <c r="M1453"/>
    </row>
    <row r="1454" spans="13:13">
      <c r="M1454"/>
    </row>
    <row r="1455" spans="13:13">
      <c r="M1455"/>
    </row>
    <row r="1456" spans="13:13">
      <c r="M1456"/>
    </row>
    <row r="1457" spans="13:13">
      <c r="M1457"/>
    </row>
    <row r="1458" spans="13:13">
      <c r="M1458"/>
    </row>
    <row r="1459" spans="13:13">
      <c r="M1459"/>
    </row>
    <row r="1460" spans="13:13">
      <c r="M1460"/>
    </row>
    <row r="1461" spans="13:13">
      <c r="M1461"/>
    </row>
    <row r="1462" spans="13:13">
      <c r="M1462"/>
    </row>
    <row r="1463" spans="13:13">
      <c r="M1463"/>
    </row>
    <row r="1464" spans="13:13">
      <c r="M1464"/>
    </row>
    <row r="1465" spans="13:13">
      <c r="M1465"/>
    </row>
    <row r="1466" spans="13:13">
      <c r="M1466"/>
    </row>
    <row r="1467" spans="13:13">
      <c r="M1467"/>
    </row>
    <row r="1468" spans="13:13">
      <c r="M1468"/>
    </row>
    <row r="1469" spans="13:13">
      <c r="M1469"/>
    </row>
    <row r="1470" spans="13:13">
      <c r="M1470"/>
    </row>
    <row r="1471" spans="13:13">
      <c r="M1471"/>
    </row>
    <row r="1472" spans="13:13">
      <c r="M1472"/>
    </row>
    <row r="1473" spans="13:13">
      <c r="M1473"/>
    </row>
    <row r="1474" spans="13:13">
      <c r="M1474"/>
    </row>
    <row r="1475" spans="13:13">
      <c r="M1475"/>
    </row>
    <row r="1476" spans="13:13">
      <c r="M1476"/>
    </row>
    <row r="1477" spans="13:13">
      <c r="M1477"/>
    </row>
    <row r="1478" spans="13:13">
      <c r="M1478"/>
    </row>
    <row r="1479" spans="13:13">
      <c r="M1479"/>
    </row>
    <row r="1480" spans="13:13">
      <c r="M1480"/>
    </row>
    <row r="1481" spans="13:13">
      <c r="M1481"/>
    </row>
    <row r="1482" spans="13:13">
      <c r="M1482"/>
    </row>
    <row r="1483" spans="13:13">
      <c r="M1483"/>
    </row>
    <row r="1484" spans="13:13">
      <c r="M1484"/>
    </row>
    <row r="1485" spans="13:13">
      <c r="M1485"/>
    </row>
    <row r="1486" spans="13:13">
      <c r="M1486"/>
    </row>
    <row r="1487" spans="13:13">
      <c r="M1487"/>
    </row>
    <row r="1488" spans="13:13">
      <c r="M1488"/>
    </row>
    <row r="1489" spans="13:13">
      <c r="M1489"/>
    </row>
    <row r="1490" spans="13:13">
      <c r="M1490"/>
    </row>
    <row r="1491" spans="13:13">
      <c r="M1491"/>
    </row>
    <row r="1492" spans="13:13">
      <c r="M1492"/>
    </row>
    <row r="1493" spans="13:13">
      <c r="M1493"/>
    </row>
    <row r="1494" spans="13:13">
      <c r="M1494"/>
    </row>
    <row r="1495" spans="13:13">
      <c r="M1495"/>
    </row>
    <row r="1496" spans="13:13">
      <c r="M1496"/>
    </row>
    <row r="1497" spans="13:13">
      <c r="M1497"/>
    </row>
    <row r="1498" spans="13:13">
      <c r="M1498"/>
    </row>
    <row r="1499" spans="13:13">
      <c r="M1499"/>
    </row>
    <row r="1500" spans="13:13">
      <c r="M1500"/>
    </row>
    <row r="1501" spans="13:13">
      <c r="M1501"/>
    </row>
    <row r="1502" spans="13:13">
      <c r="M1502"/>
    </row>
    <row r="1503" spans="13:13">
      <c r="M1503"/>
    </row>
    <row r="1504" spans="13:13">
      <c r="M1504"/>
    </row>
    <row r="1505" spans="13:13">
      <c r="M1505"/>
    </row>
    <row r="1506" spans="13:13">
      <c r="M1506"/>
    </row>
    <row r="1507" spans="13:13">
      <c r="M1507"/>
    </row>
    <row r="1508" spans="13:13">
      <c r="M1508"/>
    </row>
    <row r="1509" spans="13:13">
      <c r="M1509"/>
    </row>
    <row r="1510" spans="13:13">
      <c r="M1510"/>
    </row>
    <row r="1511" spans="13:13">
      <c r="M1511"/>
    </row>
    <row r="1512" spans="13:13">
      <c r="M1512"/>
    </row>
    <row r="1513" spans="13:13">
      <c r="M1513"/>
    </row>
    <row r="1514" spans="13:13">
      <c r="M1514"/>
    </row>
    <row r="1515" spans="13:13">
      <c r="M1515"/>
    </row>
    <row r="1516" spans="13:13">
      <c r="M1516"/>
    </row>
    <row r="1517" spans="13:13">
      <c r="M1517"/>
    </row>
    <row r="1518" spans="13:13">
      <c r="M1518"/>
    </row>
    <row r="1519" spans="13:13">
      <c r="M1519"/>
    </row>
    <row r="1520" spans="13:13">
      <c r="M1520"/>
    </row>
    <row r="1521" spans="13:13">
      <c r="M1521"/>
    </row>
    <row r="1522" spans="13:13">
      <c r="M1522"/>
    </row>
    <row r="1523" spans="13:13">
      <c r="M1523"/>
    </row>
    <row r="1524" spans="13:13">
      <c r="M1524"/>
    </row>
    <row r="1525" spans="13:13">
      <c r="M1525"/>
    </row>
    <row r="1526" spans="13:13">
      <c r="M1526"/>
    </row>
    <row r="1527" spans="13:13">
      <c r="M1527"/>
    </row>
    <row r="1528" spans="13:13">
      <c r="M1528"/>
    </row>
    <row r="1529" spans="13:13">
      <c r="M1529"/>
    </row>
    <row r="1530" spans="13:13">
      <c r="M1530"/>
    </row>
    <row r="1531" spans="13:13">
      <c r="M1531"/>
    </row>
    <row r="1532" spans="13:13">
      <c r="M1532"/>
    </row>
    <row r="1533" spans="13:13">
      <c r="M1533"/>
    </row>
    <row r="1534" spans="13:13">
      <c r="M1534"/>
    </row>
    <row r="1535" spans="13:13">
      <c r="M1535"/>
    </row>
    <row r="1536" spans="13:13">
      <c r="M1536"/>
    </row>
    <row r="1537" spans="13:13">
      <c r="M1537"/>
    </row>
    <row r="1538" spans="13:13">
      <c r="M1538"/>
    </row>
    <row r="1539" spans="13:13">
      <c r="M1539"/>
    </row>
    <row r="1540" spans="13:13">
      <c r="M1540"/>
    </row>
    <row r="1541" spans="13:13">
      <c r="M1541"/>
    </row>
    <row r="1542" spans="13:13">
      <c r="M1542"/>
    </row>
    <row r="1543" spans="13:13">
      <c r="M1543"/>
    </row>
    <row r="1544" spans="13:13">
      <c r="M1544"/>
    </row>
    <row r="1545" spans="13:13">
      <c r="M1545"/>
    </row>
    <row r="1546" spans="13:13">
      <c r="M1546"/>
    </row>
    <row r="1547" spans="13:13">
      <c r="M1547"/>
    </row>
    <row r="1548" spans="13:13">
      <c r="M1548"/>
    </row>
    <row r="1549" spans="13:13">
      <c r="M1549"/>
    </row>
    <row r="1550" spans="13:13">
      <c r="M1550"/>
    </row>
    <row r="1551" spans="13:13">
      <c r="M1551"/>
    </row>
    <row r="1552" spans="13:13">
      <c r="M1552"/>
    </row>
    <row r="1553" spans="13:13">
      <c r="M1553"/>
    </row>
    <row r="1554" spans="13:13">
      <c r="M1554"/>
    </row>
    <row r="1555" spans="13:13">
      <c r="M1555"/>
    </row>
    <row r="1556" spans="13:13">
      <c r="M1556"/>
    </row>
    <row r="1557" spans="13:13">
      <c r="M1557"/>
    </row>
    <row r="1558" spans="13:13">
      <c r="M1558"/>
    </row>
    <row r="1559" spans="13:13">
      <c r="M1559"/>
    </row>
    <row r="1560" spans="13:13">
      <c r="M1560"/>
    </row>
    <row r="1561" spans="13:13">
      <c r="M1561"/>
    </row>
    <row r="1562" spans="13:13">
      <c r="M1562"/>
    </row>
    <row r="1563" spans="13:13">
      <c r="M1563"/>
    </row>
    <row r="1564" spans="13:13">
      <c r="M1564"/>
    </row>
    <row r="1565" spans="13:13">
      <c r="M1565"/>
    </row>
    <row r="1566" spans="13:13">
      <c r="M1566"/>
    </row>
    <row r="1567" spans="13:13">
      <c r="M1567"/>
    </row>
    <row r="1568" spans="13:13">
      <c r="M1568"/>
    </row>
    <row r="1569" spans="13:13">
      <c r="M1569"/>
    </row>
    <row r="1570" spans="13:13">
      <c r="M1570"/>
    </row>
    <row r="1571" spans="13:13">
      <c r="M1571"/>
    </row>
    <row r="1572" spans="13:13">
      <c r="M1572"/>
    </row>
    <row r="1573" spans="13:13">
      <c r="M1573"/>
    </row>
    <row r="1574" spans="13:13">
      <c r="M1574"/>
    </row>
    <row r="1575" spans="13:13">
      <c r="M1575"/>
    </row>
    <row r="1576" spans="13:13">
      <c r="M1576"/>
    </row>
    <row r="1577" spans="13:13">
      <c r="M1577"/>
    </row>
    <row r="1578" spans="13:13">
      <c r="M1578"/>
    </row>
    <row r="1579" spans="13:13">
      <c r="M1579"/>
    </row>
    <row r="1580" spans="13:13">
      <c r="M1580"/>
    </row>
    <row r="1581" spans="13:13">
      <c r="M1581"/>
    </row>
    <row r="1582" spans="13:13">
      <c r="M1582"/>
    </row>
    <row r="1583" spans="13:13">
      <c r="M1583"/>
    </row>
    <row r="1584" spans="13:13">
      <c r="M1584"/>
    </row>
    <row r="1585" spans="13:13">
      <c r="M1585"/>
    </row>
    <row r="1586" spans="13:13">
      <c r="M1586"/>
    </row>
    <row r="1587" spans="13:13">
      <c r="M1587"/>
    </row>
    <row r="1588" spans="13:13">
      <c r="M1588"/>
    </row>
    <row r="1589" spans="13:13">
      <c r="M1589"/>
    </row>
    <row r="1590" spans="13:13">
      <c r="M1590"/>
    </row>
    <row r="1591" spans="13:13">
      <c r="M1591"/>
    </row>
    <row r="1592" spans="13:13">
      <c r="M1592"/>
    </row>
    <row r="1593" spans="13:13">
      <c r="M1593"/>
    </row>
    <row r="1594" spans="13:13">
      <c r="M1594"/>
    </row>
    <row r="1595" spans="13:13">
      <c r="M1595"/>
    </row>
    <row r="1596" spans="13:13">
      <c r="M1596"/>
    </row>
    <row r="1597" spans="13:13">
      <c r="M1597"/>
    </row>
    <row r="1598" spans="13:13">
      <c r="M1598"/>
    </row>
    <row r="1599" spans="13:13">
      <c r="M1599"/>
    </row>
    <row r="1600" spans="13:13">
      <c r="M1600"/>
    </row>
    <row r="1601" spans="13:13">
      <c r="M1601"/>
    </row>
    <row r="1602" spans="13:13">
      <c r="M1602"/>
    </row>
    <row r="1603" spans="13:13">
      <c r="M1603"/>
    </row>
    <row r="1604" spans="13:13">
      <c r="M1604"/>
    </row>
    <row r="1605" spans="13:13">
      <c r="M1605"/>
    </row>
    <row r="1606" spans="13:13">
      <c r="M1606"/>
    </row>
    <row r="1607" spans="13:13">
      <c r="M1607"/>
    </row>
    <row r="1608" spans="13:13">
      <c r="M1608"/>
    </row>
    <row r="1609" spans="13:13">
      <c r="M1609"/>
    </row>
    <row r="1610" spans="13:13">
      <c r="M1610"/>
    </row>
    <row r="1611" spans="13:13">
      <c r="M1611"/>
    </row>
    <row r="1612" spans="13:13">
      <c r="M1612"/>
    </row>
    <row r="1613" spans="13:13">
      <c r="M1613"/>
    </row>
    <row r="1614" spans="13:13">
      <c r="M1614"/>
    </row>
    <row r="1615" spans="13:13">
      <c r="M1615"/>
    </row>
    <row r="1616" spans="13:13">
      <c r="M1616"/>
    </row>
    <row r="1617" spans="13:13">
      <c r="M1617"/>
    </row>
    <row r="1618" spans="13:13">
      <c r="M1618"/>
    </row>
    <row r="1619" spans="13:13">
      <c r="M1619"/>
    </row>
    <row r="1620" spans="13:13">
      <c r="M1620"/>
    </row>
    <row r="1621" spans="13:13">
      <c r="M1621"/>
    </row>
    <row r="1622" spans="13:13">
      <c r="M1622"/>
    </row>
    <row r="1623" spans="13:13">
      <c r="M1623"/>
    </row>
    <row r="1624" spans="13:13">
      <c r="M1624"/>
    </row>
    <row r="1625" spans="13:13">
      <c r="M1625"/>
    </row>
    <row r="1626" spans="13:13">
      <c r="M1626"/>
    </row>
    <row r="1627" spans="13:13">
      <c r="M1627"/>
    </row>
    <row r="1628" spans="13:13">
      <c r="M1628"/>
    </row>
    <row r="1629" spans="13:13">
      <c r="M1629"/>
    </row>
    <row r="1630" spans="13:13">
      <c r="M1630"/>
    </row>
    <row r="1631" spans="13:13">
      <c r="M1631"/>
    </row>
    <row r="1632" spans="13:13">
      <c r="M1632"/>
    </row>
    <row r="1633" spans="13:13">
      <c r="M1633"/>
    </row>
    <row r="1634" spans="13:13">
      <c r="M1634"/>
    </row>
    <row r="1635" spans="13:13">
      <c r="M1635"/>
    </row>
    <row r="1636" spans="13:13">
      <c r="M1636"/>
    </row>
    <row r="1637" spans="13:13">
      <c r="M1637"/>
    </row>
    <row r="1638" spans="13:13">
      <c r="M1638"/>
    </row>
    <row r="1639" spans="13:13">
      <c r="M1639"/>
    </row>
    <row r="1640" spans="13:13">
      <c r="M1640"/>
    </row>
    <row r="1641" spans="13:13">
      <c r="M1641"/>
    </row>
    <row r="1642" spans="13:13">
      <c r="M1642"/>
    </row>
    <row r="1643" spans="13:13">
      <c r="M1643"/>
    </row>
    <row r="1644" spans="13:13">
      <c r="M1644"/>
    </row>
    <row r="1645" spans="13:13">
      <c r="M1645"/>
    </row>
    <row r="1646" spans="13:13">
      <c r="M1646"/>
    </row>
    <row r="1647" spans="13:13">
      <c r="M1647"/>
    </row>
    <row r="1648" spans="13:13">
      <c r="M1648"/>
    </row>
    <row r="1649" spans="13:13">
      <c r="M1649"/>
    </row>
    <row r="1650" spans="13:13">
      <c r="M1650"/>
    </row>
    <row r="1651" spans="13:13">
      <c r="M1651"/>
    </row>
    <row r="1652" spans="13:13">
      <c r="M1652"/>
    </row>
    <row r="1653" spans="13:13">
      <c r="M1653"/>
    </row>
    <row r="1654" spans="13:13">
      <c r="M1654"/>
    </row>
    <row r="1655" spans="13:13">
      <c r="M1655"/>
    </row>
    <row r="1656" spans="13:13">
      <c r="M1656"/>
    </row>
    <row r="1657" spans="13:13">
      <c r="M1657"/>
    </row>
    <row r="1658" spans="13:13">
      <c r="M1658"/>
    </row>
    <row r="1659" spans="13:13">
      <c r="M1659"/>
    </row>
    <row r="1660" spans="13:13">
      <c r="M1660"/>
    </row>
    <row r="1661" spans="13:13">
      <c r="M1661"/>
    </row>
    <row r="1662" spans="13:13">
      <c r="M1662"/>
    </row>
    <row r="1663" spans="13:13">
      <c r="M1663"/>
    </row>
    <row r="1664" spans="13:13">
      <c r="M1664"/>
    </row>
    <row r="1665" spans="13:13">
      <c r="M1665"/>
    </row>
    <row r="1666" spans="13:13">
      <c r="M1666"/>
    </row>
    <row r="1667" spans="13:13">
      <c r="M1667"/>
    </row>
    <row r="1668" spans="13:13">
      <c r="M1668"/>
    </row>
    <row r="1669" spans="13:13">
      <c r="M1669"/>
    </row>
    <row r="1670" spans="13:13">
      <c r="M1670"/>
    </row>
    <row r="1671" spans="13:13">
      <c r="M1671"/>
    </row>
    <row r="1672" spans="13:13">
      <c r="M1672"/>
    </row>
    <row r="1673" spans="13:13">
      <c r="M1673"/>
    </row>
    <row r="1674" spans="13:13">
      <c r="M1674"/>
    </row>
    <row r="1675" spans="13:13">
      <c r="M1675"/>
    </row>
    <row r="1676" spans="13:13">
      <c r="M1676"/>
    </row>
    <row r="1677" spans="13:13">
      <c r="M1677"/>
    </row>
    <row r="1678" spans="13:13">
      <c r="M1678"/>
    </row>
    <row r="1679" spans="13:13">
      <c r="M1679"/>
    </row>
    <row r="1680" spans="13:13">
      <c r="M1680"/>
    </row>
    <row r="1681" spans="13:13">
      <c r="M1681"/>
    </row>
    <row r="1682" spans="13:13">
      <c r="M1682"/>
    </row>
    <row r="1683" spans="13:13">
      <c r="M1683"/>
    </row>
    <row r="1684" spans="13:13">
      <c r="M1684"/>
    </row>
    <row r="1685" spans="13:13">
      <c r="M1685"/>
    </row>
    <row r="1686" spans="13:13">
      <c r="M1686"/>
    </row>
    <row r="1687" spans="13:13">
      <c r="M1687"/>
    </row>
    <row r="1688" spans="13:13">
      <c r="M1688"/>
    </row>
    <row r="1689" spans="13:13">
      <c r="M1689"/>
    </row>
    <row r="1690" spans="13:13">
      <c r="M1690"/>
    </row>
    <row r="1691" spans="13:13">
      <c r="M1691"/>
    </row>
    <row r="1692" spans="13:13">
      <c r="M1692"/>
    </row>
    <row r="1693" spans="13:13">
      <c r="M1693"/>
    </row>
    <row r="1694" spans="13:13">
      <c r="M1694"/>
    </row>
    <row r="1695" spans="13:13">
      <c r="M1695"/>
    </row>
    <row r="1696" spans="13:13">
      <c r="M1696"/>
    </row>
    <row r="1697" spans="13:13">
      <c r="M1697"/>
    </row>
    <row r="1698" spans="13:13">
      <c r="M1698"/>
    </row>
    <row r="1699" spans="13:13">
      <c r="M1699"/>
    </row>
    <row r="1700" spans="13:13">
      <c r="M1700"/>
    </row>
    <row r="1701" spans="13:13">
      <c r="M1701"/>
    </row>
    <row r="1702" spans="13:13">
      <c r="M1702"/>
    </row>
    <row r="1703" spans="13:13">
      <c r="M1703"/>
    </row>
    <row r="1704" spans="13:13">
      <c r="M1704"/>
    </row>
    <row r="1705" spans="13:13">
      <c r="M1705"/>
    </row>
    <row r="1706" spans="13:13">
      <c r="M1706"/>
    </row>
    <row r="1707" spans="13:13">
      <c r="M1707"/>
    </row>
    <row r="1708" spans="13:13">
      <c r="M1708"/>
    </row>
    <row r="1709" spans="13:13">
      <c r="M1709"/>
    </row>
    <row r="1710" spans="13:13">
      <c r="M1710"/>
    </row>
    <row r="1711" spans="13:13">
      <c r="M1711"/>
    </row>
    <row r="1712" spans="13:13">
      <c r="M1712"/>
    </row>
    <row r="1713" spans="13:13">
      <c r="M1713"/>
    </row>
    <row r="1714" spans="13:13">
      <c r="M1714"/>
    </row>
    <row r="1715" spans="13:13">
      <c r="M1715"/>
    </row>
    <row r="1716" spans="13:13">
      <c r="M1716"/>
    </row>
    <row r="1717" spans="13:13">
      <c r="M1717"/>
    </row>
    <row r="1718" spans="13:13">
      <c r="M1718"/>
    </row>
    <row r="1719" spans="13:13">
      <c r="M1719"/>
    </row>
    <row r="1720" spans="13:13">
      <c r="M1720"/>
    </row>
    <row r="1721" spans="13:13">
      <c r="M1721"/>
    </row>
    <row r="1722" spans="13:13">
      <c r="M1722"/>
    </row>
    <row r="1723" spans="13:13">
      <c r="M1723"/>
    </row>
    <row r="1724" spans="13:13">
      <c r="M1724"/>
    </row>
    <row r="1725" spans="13:13">
      <c r="M1725"/>
    </row>
    <row r="1726" spans="13:13">
      <c r="M1726"/>
    </row>
    <row r="1727" spans="13:13">
      <c r="M1727"/>
    </row>
    <row r="1728" spans="13:13">
      <c r="M1728"/>
    </row>
    <row r="1729" spans="13:13">
      <c r="M1729"/>
    </row>
    <row r="1730" spans="13:13">
      <c r="M1730"/>
    </row>
    <row r="1731" spans="13:13">
      <c r="M1731"/>
    </row>
    <row r="1732" spans="13:13">
      <c r="M1732"/>
    </row>
    <row r="1733" spans="13:13">
      <c r="M1733"/>
    </row>
    <row r="1734" spans="13:13">
      <c r="M1734"/>
    </row>
    <row r="1735" spans="13:13">
      <c r="M1735"/>
    </row>
    <row r="1736" spans="13:13">
      <c r="M1736"/>
    </row>
    <row r="1737" spans="13:13">
      <c r="M1737"/>
    </row>
    <row r="1738" spans="13:13">
      <c r="M1738"/>
    </row>
    <row r="1739" spans="13:13">
      <c r="M1739"/>
    </row>
    <row r="1740" spans="13:13">
      <c r="M1740"/>
    </row>
    <row r="1741" spans="13:13">
      <c r="M1741"/>
    </row>
    <row r="1742" spans="13:13">
      <c r="M1742"/>
    </row>
    <row r="1743" spans="13:13">
      <c r="M1743"/>
    </row>
    <row r="1744" spans="13:13">
      <c r="M1744"/>
    </row>
    <row r="1745" spans="13:13">
      <c r="M1745"/>
    </row>
    <row r="1746" spans="13:13">
      <c r="M1746"/>
    </row>
    <row r="1747" spans="13:13">
      <c r="M1747"/>
    </row>
    <row r="1748" spans="13:13">
      <c r="M1748"/>
    </row>
    <row r="1749" spans="13:13">
      <c r="M1749"/>
    </row>
    <row r="1750" spans="13:13">
      <c r="M1750"/>
    </row>
    <row r="1751" spans="13:13">
      <c r="M1751"/>
    </row>
    <row r="1752" spans="13:13">
      <c r="M1752"/>
    </row>
    <row r="1753" spans="13:13">
      <c r="M1753"/>
    </row>
    <row r="1754" spans="13:13">
      <c r="M1754"/>
    </row>
    <row r="1755" spans="13:13">
      <c r="M1755"/>
    </row>
    <row r="1756" spans="13:13">
      <c r="M1756"/>
    </row>
    <row r="1757" spans="13:13">
      <c r="M1757"/>
    </row>
    <row r="1758" spans="13:13">
      <c r="M1758"/>
    </row>
    <row r="1759" spans="13:13">
      <c r="M1759"/>
    </row>
    <row r="1760" spans="13:13">
      <c r="M1760"/>
    </row>
    <row r="1761" spans="13:13">
      <c r="M1761"/>
    </row>
    <row r="1762" spans="13:13">
      <c r="M1762"/>
    </row>
    <row r="1763" spans="13:13">
      <c r="M1763"/>
    </row>
    <row r="1764" spans="13:13">
      <c r="M1764"/>
    </row>
    <row r="1765" spans="13:13">
      <c r="M1765"/>
    </row>
    <row r="1766" spans="13:13">
      <c r="M1766"/>
    </row>
    <row r="1767" spans="13:13">
      <c r="M1767"/>
    </row>
    <row r="1768" spans="13:13">
      <c r="M1768"/>
    </row>
    <row r="1769" spans="13:13">
      <c r="M1769"/>
    </row>
    <row r="1770" spans="13:13">
      <c r="M1770"/>
    </row>
    <row r="1771" spans="13:13">
      <c r="M1771"/>
    </row>
    <row r="1772" spans="13:13">
      <c r="M1772"/>
    </row>
    <row r="1773" spans="13:13">
      <c r="M1773"/>
    </row>
    <row r="1774" spans="13:13">
      <c r="M1774"/>
    </row>
    <row r="1775" spans="13:13">
      <c r="M1775"/>
    </row>
    <row r="1776" spans="13:13">
      <c r="M1776"/>
    </row>
    <row r="1777" spans="13:13">
      <c r="M1777"/>
    </row>
    <row r="1778" spans="13:13">
      <c r="M1778"/>
    </row>
    <row r="1779" spans="13:13">
      <c r="M1779"/>
    </row>
    <row r="1780" spans="13:13">
      <c r="M1780"/>
    </row>
    <row r="1781" spans="13:13">
      <c r="M1781"/>
    </row>
    <row r="1782" spans="13:13">
      <c r="M1782"/>
    </row>
    <row r="1783" spans="13:13">
      <c r="M1783"/>
    </row>
    <row r="1784" spans="13:13">
      <c r="M1784"/>
    </row>
    <row r="1785" spans="13:13">
      <c r="M1785"/>
    </row>
    <row r="1786" spans="13:13">
      <c r="M1786"/>
    </row>
    <row r="1787" spans="13:13">
      <c r="M1787"/>
    </row>
    <row r="1788" spans="13:13">
      <c r="M1788"/>
    </row>
    <row r="1789" spans="13:13">
      <c r="M1789"/>
    </row>
    <row r="1790" spans="13:13">
      <c r="M1790"/>
    </row>
    <row r="1791" spans="13:13">
      <c r="M1791"/>
    </row>
    <row r="1792" spans="13:13">
      <c r="M1792"/>
    </row>
    <row r="1793" spans="13:13">
      <c r="M1793"/>
    </row>
    <row r="1794" spans="13:13">
      <c r="M1794"/>
    </row>
    <row r="1795" spans="13:13">
      <c r="M1795"/>
    </row>
    <row r="1796" spans="13:13">
      <c r="M1796"/>
    </row>
    <row r="1797" spans="13:13">
      <c r="M1797"/>
    </row>
    <row r="1798" spans="13:13">
      <c r="M1798"/>
    </row>
    <row r="1799" spans="13:13">
      <c r="M1799"/>
    </row>
    <row r="1800" spans="13:13">
      <c r="M1800"/>
    </row>
    <row r="1801" spans="13:13">
      <c r="M1801"/>
    </row>
    <row r="1802" spans="13:13">
      <c r="M1802"/>
    </row>
    <row r="1803" spans="13:13">
      <c r="M1803"/>
    </row>
    <row r="1804" spans="13:13">
      <c r="M1804"/>
    </row>
    <row r="1805" spans="13:13">
      <c r="M1805"/>
    </row>
    <row r="1806" spans="13:13">
      <c r="M1806"/>
    </row>
    <row r="1807" spans="13:13">
      <c r="M1807"/>
    </row>
    <row r="1808" spans="13:13">
      <c r="M1808"/>
    </row>
    <row r="1809" spans="13:13">
      <c r="M1809"/>
    </row>
    <row r="1810" spans="13:13">
      <c r="M1810"/>
    </row>
    <row r="1811" spans="13:13">
      <c r="M1811"/>
    </row>
    <row r="1812" spans="13:13">
      <c r="M1812"/>
    </row>
    <row r="1813" spans="13:13">
      <c r="M1813"/>
    </row>
    <row r="1814" spans="13:13">
      <c r="M1814"/>
    </row>
    <row r="1815" spans="13:13">
      <c r="M1815"/>
    </row>
    <row r="1816" spans="13:13">
      <c r="M1816"/>
    </row>
    <row r="1817" spans="13:13">
      <c r="M1817"/>
    </row>
    <row r="1818" spans="13:13">
      <c r="M1818"/>
    </row>
    <row r="1819" spans="13:13">
      <c r="M1819"/>
    </row>
    <row r="1820" spans="13:13">
      <c r="M1820"/>
    </row>
    <row r="1821" spans="13:13">
      <c r="M1821"/>
    </row>
    <row r="1822" spans="13:13">
      <c r="M1822"/>
    </row>
    <row r="1823" spans="13:13">
      <c r="M1823"/>
    </row>
    <row r="1824" spans="13:13">
      <c r="M1824"/>
    </row>
    <row r="1825" spans="13:13">
      <c r="M1825"/>
    </row>
    <row r="1826" spans="13:13">
      <c r="M1826"/>
    </row>
    <row r="1827" spans="13:13">
      <c r="M1827"/>
    </row>
    <row r="1828" spans="13:13">
      <c r="M1828"/>
    </row>
    <row r="1829" spans="13:13">
      <c r="M1829"/>
    </row>
    <row r="1830" spans="13:13">
      <c r="M1830"/>
    </row>
    <row r="1831" spans="13:13">
      <c r="M1831"/>
    </row>
    <row r="1832" spans="13:13">
      <c r="M1832"/>
    </row>
    <row r="1833" spans="13:13">
      <c r="M1833"/>
    </row>
    <row r="1834" spans="13:13">
      <c r="M1834"/>
    </row>
    <row r="1835" spans="13:13">
      <c r="M1835"/>
    </row>
    <row r="1836" spans="13:13">
      <c r="M1836"/>
    </row>
    <row r="1837" spans="13:13">
      <c r="M1837"/>
    </row>
    <row r="1838" spans="13:13">
      <c r="M1838"/>
    </row>
    <row r="1839" spans="13:13">
      <c r="M1839"/>
    </row>
    <row r="1840" spans="13:13">
      <c r="M1840"/>
    </row>
    <row r="1841" spans="13:13">
      <c r="M1841"/>
    </row>
    <row r="1842" spans="13:13">
      <c r="M1842"/>
    </row>
    <row r="1843" spans="13:13">
      <c r="M1843"/>
    </row>
    <row r="1844" spans="13:13">
      <c r="M1844"/>
    </row>
    <row r="1845" spans="13:13">
      <c r="M1845"/>
    </row>
    <row r="1846" spans="13:13">
      <c r="M1846"/>
    </row>
    <row r="1847" spans="13:13">
      <c r="M1847"/>
    </row>
    <row r="1848" spans="13:13">
      <c r="M1848"/>
    </row>
    <row r="1849" spans="13:13">
      <c r="M1849"/>
    </row>
    <row r="1850" spans="13:13">
      <c r="M1850"/>
    </row>
    <row r="1851" spans="13:13">
      <c r="M1851"/>
    </row>
    <row r="1852" spans="13:13">
      <c r="M1852"/>
    </row>
    <row r="1853" spans="13:13">
      <c r="M1853"/>
    </row>
    <row r="1854" spans="13:13">
      <c r="M1854"/>
    </row>
    <row r="1855" spans="13:13">
      <c r="M1855"/>
    </row>
    <row r="1856" spans="13:13">
      <c r="M1856"/>
    </row>
    <row r="1857" spans="13:13">
      <c r="M1857"/>
    </row>
    <row r="1858" spans="13:13">
      <c r="M1858"/>
    </row>
    <row r="1859" spans="13:13">
      <c r="M1859"/>
    </row>
    <row r="1860" spans="13:13">
      <c r="M1860"/>
    </row>
    <row r="1861" spans="13:13">
      <c r="M1861"/>
    </row>
    <row r="1862" spans="13:13">
      <c r="M1862"/>
    </row>
    <row r="1863" spans="13:13">
      <c r="M1863"/>
    </row>
    <row r="1864" spans="13:13">
      <c r="M1864"/>
    </row>
    <row r="1865" spans="13:13">
      <c r="M1865"/>
    </row>
    <row r="1866" spans="13:13">
      <c r="M1866"/>
    </row>
    <row r="1867" spans="13:13">
      <c r="M1867"/>
    </row>
    <row r="1868" spans="13:13">
      <c r="M1868"/>
    </row>
    <row r="1869" spans="13:13">
      <c r="M1869"/>
    </row>
    <row r="1870" spans="13:13">
      <c r="M1870"/>
    </row>
    <row r="1871" spans="13:13">
      <c r="M1871"/>
    </row>
    <row r="1872" spans="13:13">
      <c r="M1872"/>
    </row>
    <row r="1873" spans="13:13">
      <c r="M1873"/>
    </row>
    <row r="1874" spans="13:13">
      <c r="M1874"/>
    </row>
    <row r="1875" spans="13:13">
      <c r="M1875"/>
    </row>
    <row r="1876" spans="13:13">
      <c r="M1876"/>
    </row>
    <row r="1877" spans="13:13">
      <c r="M1877"/>
    </row>
    <row r="1878" spans="13:13">
      <c r="M1878"/>
    </row>
    <row r="1879" spans="13:13">
      <c r="M1879"/>
    </row>
    <row r="1880" spans="13:13">
      <c r="M1880"/>
    </row>
    <row r="1881" spans="13:13">
      <c r="M1881"/>
    </row>
    <row r="1882" spans="13:13">
      <c r="M1882"/>
    </row>
    <row r="1883" spans="13:13">
      <c r="M1883"/>
    </row>
    <row r="1884" spans="13:13">
      <c r="M1884"/>
    </row>
    <row r="1885" spans="13:13">
      <c r="M1885"/>
    </row>
    <row r="1886" spans="13:13">
      <c r="M1886"/>
    </row>
    <row r="1887" spans="13:13">
      <c r="M1887"/>
    </row>
    <row r="1888" spans="13:13">
      <c r="M1888"/>
    </row>
    <row r="1889" spans="13:13">
      <c r="M1889"/>
    </row>
    <row r="1890" spans="13:13">
      <c r="M1890"/>
    </row>
    <row r="1891" spans="13:13">
      <c r="M1891"/>
    </row>
    <row r="1892" spans="13:13">
      <c r="M1892"/>
    </row>
    <row r="1893" spans="13:13">
      <c r="M1893"/>
    </row>
    <row r="1894" spans="13:13">
      <c r="M1894"/>
    </row>
    <row r="1895" spans="13:13">
      <c r="M1895"/>
    </row>
    <row r="1896" spans="13:13">
      <c r="M1896"/>
    </row>
    <row r="1897" spans="13:13">
      <c r="M1897"/>
    </row>
    <row r="1898" spans="13:13">
      <c r="M1898"/>
    </row>
    <row r="1899" spans="13:13">
      <c r="M1899"/>
    </row>
    <row r="1900" spans="13:13">
      <c r="M1900"/>
    </row>
    <row r="1901" spans="13:13">
      <c r="M1901"/>
    </row>
    <row r="1902" spans="13:13">
      <c r="M1902"/>
    </row>
    <row r="1903" spans="13:13">
      <c r="M1903"/>
    </row>
    <row r="1904" spans="13:13">
      <c r="M1904"/>
    </row>
    <row r="1905" spans="13:13">
      <c r="M1905"/>
    </row>
    <row r="1906" spans="13:13">
      <c r="M1906"/>
    </row>
    <row r="1907" spans="13:13">
      <c r="M1907"/>
    </row>
    <row r="1908" spans="13:13">
      <c r="M1908"/>
    </row>
    <row r="1909" spans="13:13">
      <c r="M1909"/>
    </row>
    <row r="1910" spans="13:13">
      <c r="M1910"/>
    </row>
    <row r="1911" spans="13:13">
      <c r="M1911"/>
    </row>
    <row r="1912" spans="13:13">
      <c r="M1912"/>
    </row>
    <row r="1913" spans="13:13">
      <c r="M1913"/>
    </row>
    <row r="1914" spans="13:13">
      <c r="M1914"/>
    </row>
    <row r="1915" spans="13:13">
      <c r="M1915"/>
    </row>
    <row r="1916" spans="13:13">
      <c r="M1916"/>
    </row>
    <row r="1917" spans="13:13">
      <c r="M1917"/>
    </row>
    <row r="1918" spans="13:13">
      <c r="M1918"/>
    </row>
    <row r="1919" spans="13:13">
      <c r="M1919"/>
    </row>
    <row r="1920" spans="13:13">
      <c r="M1920"/>
    </row>
    <row r="1921" spans="13:13">
      <c r="M1921"/>
    </row>
    <row r="1922" spans="13:13">
      <c r="M1922"/>
    </row>
    <row r="1923" spans="13:13">
      <c r="M1923"/>
    </row>
    <row r="1924" spans="13:13">
      <c r="M1924"/>
    </row>
    <row r="1925" spans="13:13">
      <c r="M1925"/>
    </row>
    <row r="1926" spans="13:13">
      <c r="M1926"/>
    </row>
    <row r="1927" spans="13:13">
      <c r="M1927"/>
    </row>
    <row r="1928" spans="13:13">
      <c r="M1928"/>
    </row>
    <row r="1929" spans="13:13">
      <c r="M1929"/>
    </row>
    <row r="1930" spans="13:13">
      <c r="M1930"/>
    </row>
    <row r="1931" spans="13:13">
      <c r="M1931"/>
    </row>
    <row r="1932" spans="13:13">
      <c r="M1932"/>
    </row>
    <row r="1933" spans="13:13">
      <c r="M1933"/>
    </row>
    <row r="1934" spans="13:13">
      <c r="M1934"/>
    </row>
    <row r="1935" spans="13:13">
      <c r="M1935"/>
    </row>
    <row r="1936" spans="13:13">
      <c r="M1936"/>
    </row>
    <row r="1937" spans="13:13">
      <c r="M1937"/>
    </row>
    <row r="1938" spans="13:13">
      <c r="M1938"/>
    </row>
    <row r="1939" spans="13:13">
      <c r="M1939"/>
    </row>
    <row r="1940" spans="13:13">
      <c r="M1940"/>
    </row>
    <row r="1941" spans="13:13">
      <c r="M1941"/>
    </row>
    <row r="1942" spans="13:13">
      <c r="M1942"/>
    </row>
    <row r="1943" spans="13:13">
      <c r="M1943"/>
    </row>
    <row r="1944" spans="13:13">
      <c r="M1944"/>
    </row>
    <row r="1945" spans="13:13">
      <c r="M1945"/>
    </row>
    <row r="1946" spans="13:13">
      <c r="M1946"/>
    </row>
    <row r="1947" spans="13:13">
      <c r="M1947"/>
    </row>
    <row r="1948" spans="13:13">
      <c r="M1948"/>
    </row>
    <row r="1949" spans="13:13">
      <c r="M1949"/>
    </row>
    <row r="1950" spans="13:13">
      <c r="M1950"/>
    </row>
    <row r="1951" spans="13:13">
      <c r="M1951"/>
    </row>
    <row r="1952" spans="13:13">
      <c r="M1952"/>
    </row>
    <row r="1953" spans="13:13">
      <c r="M1953"/>
    </row>
    <row r="1954" spans="13:13">
      <c r="M1954"/>
    </row>
    <row r="1955" spans="13:13">
      <c r="M1955"/>
    </row>
    <row r="1956" spans="13:13">
      <c r="M1956"/>
    </row>
    <row r="1957" spans="13:13">
      <c r="M1957"/>
    </row>
    <row r="1958" spans="13:13">
      <c r="M1958"/>
    </row>
    <row r="1959" spans="13:13">
      <c r="M1959"/>
    </row>
    <row r="1960" spans="13:13">
      <c r="M1960"/>
    </row>
    <row r="1961" spans="13:13">
      <c r="M1961"/>
    </row>
    <row r="1962" spans="13:13">
      <c r="M1962"/>
    </row>
    <row r="1963" spans="13:13">
      <c r="M1963"/>
    </row>
    <row r="1964" spans="13:13">
      <c r="M1964"/>
    </row>
    <row r="1965" spans="13:13">
      <c r="M1965"/>
    </row>
    <row r="1966" spans="13:13">
      <c r="M1966"/>
    </row>
    <row r="1967" spans="13:13">
      <c r="M1967"/>
    </row>
    <row r="1968" spans="13:13">
      <c r="M1968"/>
    </row>
    <row r="1969" spans="13:13">
      <c r="M1969"/>
    </row>
    <row r="1970" spans="13:13">
      <c r="M1970"/>
    </row>
    <row r="1971" spans="13:13">
      <c r="M1971"/>
    </row>
    <row r="1972" spans="13:13">
      <c r="M1972"/>
    </row>
    <row r="1973" spans="13:13">
      <c r="M1973"/>
    </row>
    <row r="1974" spans="13:13">
      <c r="M1974"/>
    </row>
    <row r="1975" spans="13:13">
      <c r="M1975"/>
    </row>
    <row r="1976" spans="13:13">
      <c r="M1976"/>
    </row>
    <row r="1977" spans="13:13">
      <c r="M1977"/>
    </row>
    <row r="1978" spans="13:13">
      <c r="M1978"/>
    </row>
    <row r="1979" spans="13:13">
      <c r="M1979"/>
    </row>
    <row r="1980" spans="13:13">
      <c r="M1980"/>
    </row>
    <row r="1981" spans="13:13">
      <c r="M1981"/>
    </row>
    <row r="1982" spans="13:13">
      <c r="M1982"/>
    </row>
    <row r="1983" spans="13:13">
      <c r="M1983"/>
    </row>
    <row r="1984" spans="13:13">
      <c r="M1984"/>
    </row>
    <row r="1985" spans="13:13">
      <c r="M1985"/>
    </row>
    <row r="1986" spans="13:13">
      <c r="M1986"/>
    </row>
    <row r="1987" spans="13:13">
      <c r="M1987"/>
    </row>
    <row r="1988" spans="13:13">
      <c r="M1988"/>
    </row>
    <row r="1989" spans="13:13">
      <c r="M1989"/>
    </row>
    <row r="1990" spans="13:13">
      <c r="M1990"/>
    </row>
    <row r="1991" spans="13:13">
      <c r="M1991"/>
    </row>
    <row r="1992" spans="13:13">
      <c r="M1992"/>
    </row>
    <row r="1993" spans="13:13">
      <c r="M1993"/>
    </row>
    <row r="1994" spans="13:13">
      <c r="M1994"/>
    </row>
    <row r="1995" spans="13:13">
      <c r="M1995"/>
    </row>
    <row r="1996" spans="13:13">
      <c r="M1996"/>
    </row>
    <row r="1997" spans="13:13">
      <c r="M1997"/>
    </row>
    <row r="1998" spans="13:13">
      <c r="M1998"/>
    </row>
    <row r="1999" spans="13:13">
      <c r="M1999"/>
    </row>
    <row r="2000" spans="13:13">
      <c r="M2000"/>
    </row>
    <row r="2001" spans="13:13">
      <c r="M2001"/>
    </row>
    <row r="2002" spans="13:13">
      <c r="M2002"/>
    </row>
    <row r="2003" spans="13:13">
      <c r="M2003"/>
    </row>
    <row r="2004" spans="13:13">
      <c r="M2004"/>
    </row>
    <row r="2005" spans="13:13">
      <c r="M2005"/>
    </row>
    <row r="2006" spans="13:13">
      <c r="M2006"/>
    </row>
    <row r="2007" spans="13:13">
      <c r="M2007"/>
    </row>
    <row r="2008" spans="13:13">
      <c r="M2008"/>
    </row>
    <row r="2009" spans="13:13">
      <c r="M2009"/>
    </row>
    <row r="2010" spans="13:13">
      <c r="M2010"/>
    </row>
    <row r="2011" spans="13:13">
      <c r="M2011"/>
    </row>
    <row r="2012" spans="13:13">
      <c r="M2012"/>
    </row>
    <row r="2013" spans="13:13">
      <c r="M2013"/>
    </row>
    <row r="2014" spans="13:13">
      <c r="M2014"/>
    </row>
    <row r="2015" spans="13:13">
      <c r="M2015"/>
    </row>
    <row r="2016" spans="13:13">
      <c r="M2016"/>
    </row>
    <row r="2017" spans="13:13">
      <c r="M2017"/>
    </row>
    <row r="2018" spans="13:13">
      <c r="M2018"/>
    </row>
    <row r="2019" spans="13:13">
      <c r="M2019"/>
    </row>
    <row r="2020" spans="13:13">
      <c r="M2020"/>
    </row>
    <row r="2021" spans="13:13">
      <c r="M2021"/>
    </row>
    <row r="2022" spans="13:13">
      <c r="M2022"/>
    </row>
    <row r="2023" spans="13:13">
      <c r="M2023"/>
    </row>
    <row r="2024" spans="13:13">
      <c r="M2024"/>
    </row>
    <row r="2025" spans="13:13">
      <c r="M2025"/>
    </row>
    <row r="2026" spans="13:13">
      <c r="M2026"/>
    </row>
    <row r="2027" spans="13:13">
      <c r="M2027"/>
    </row>
    <row r="2028" spans="13:13">
      <c r="M2028"/>
    </row>
    <row r="2029" spans="13:13">
      <c r="M2029"/>
    </row>
    <row r="2030" spans="13:13">
      <c r="M2030"/>
    </row>
    <row r="2031" spans="13:13">
      <c r="M2031"/>
    </row>
    <row r="2032" spans="13:13">
      <c r="M2032"/>
    </row>
    <row r="2033" spans="13:13">
      <c r="M2033"/>
    </row>
    <row r="2034" spans="13:13">
      <c r="M2034"/>
    </row>
    <row r="2035" spans="13:13">
      <c r="M2035"/>
    </row>
    <row r="2036" spans="13:13">
      <c r="M2036"/>
    </row>
    <row r="2037" spans="13:13">
      <c r="M2037"/>
    </row>
    <row r="2038" spans="13:13">
      <c r="M2038"/>
    </row>
    <row r="2039" spans="13:13">
      <c r="M2039"/>
    </row>
    <row r="2040" spans="13:13">
      <c r="M2040"/>
    </row>
    <row r="2041" spans="13:13">
      <c r="M2041"/>
    </row>
    <row r="2042" spans="13:13">
      <c r="M2042"/>
    </row>
    <row r="2043" spans="13:13">
      <c r="M2043"/>
    </row>
    <row r="2044" spans="13:13">
      <c r="M2044"/>
    </row>
    <row r="2045" spans="13:13">
      <c r="M2045"/>
    </row>
    <row r="2046" spans="13:13">
      <c r="M2046"/>
    </row>
    <row r="2047" spans="13:13">
      <c r="M2047"/>
    </row>
    <row r="2048" spans="13:13">
      <c r="M2048"/>
    </row>
    <row r="2049" spans="13:13">
      <c r="M2049"/>
    </row>
    <row r="2050" spans="13:13">
      <c r="M2050"/>
    </row>
    <row r="2051" spans="13:13">
      <c r="M2051"/>
    </row>
    <row r="2052" spans="13:13">
      <c r="M2052"/>
    </row>
    <row r="2053" spans="13:13">
      <c r="M2053"/>
    </row>
    <row r="2054" spans="13:13">
      <c r="M2054"/>
    </row>
    <row r="2055" spans="13:13">
      <c r="M2055"/>
    </row>
    <row r="2056" spans="13:13">
      <c r="M2056"/>
    </row>
    <row r="2057" spans="13:13">
      <c r="M2057"/>
    </row>
    <row r="2058" spans="13:13">
      <c r="M2058"/>
    </row>
    <row r="2059" spans="13:13">
      <c r="M2059"/>
    </row>
    <row r="2060" spans="13:13">
      <c r="M2060"/>
    </row>
    <row r="2061" spans="13:13">
      <c r="M2061"/>
    </row>
    <row r="2062" spans="13:13">
      <c r="M2062"/>
    </row>
    <row r="2063" spans="13:13">
      <c r="M2063"/>
    </row>
    <row r="2064" spans="13:13">
      <c r="M2064"/>
    </row>
    <row r="2065" spans="13:13">
      <c r="M2065"/>
    </row>
    <row r="2066" spans="13:13">
      <c r="M2066"/>
    </row>
    <row r="2067" spans="13:13">
      <c r="M2067"/>
    </row>
    <row r="2068" spans="13:13">
      <c r="M2068"/>
    </row>
    <row r="2069" spans="13:13">
      <c r="M2069"/>
    </row>
    <row r="2070" spans="13:13">
      <c r="M2070"/>
    </row>
    <row r="2071" spans="13:13">
      <c r="M2071"/>
    </row>
    <row r="2072" spans="13:13">
      <c r="M2072"/>
    </row>
    <row r="2073" spans="13:13">
      <c r="M2073"/>
    </row>
    <row r="2074" spans="13:13">
      <c r="M2074"/>
    </row>
    <row r="2075" spans="13:13">
      <c r="M2075"/>
    </row>
    <row r="2076" spans="13:13">
      <c r="M2076"/>
    </row>
    <row r="2077" spans="13:13">
      <c r="M2077"/>
    </row>
    <row r="2078" spans="13:13">
      <c r="M2078"/>
    </row>
    <row r="2079" spans="13:13">
      <c r="M2079"/>
    </row>
    <row r="2080" spans="13:13">
      <c r="M2080"/>
    </row>
    <row r="2081" spans="13:13">
      <c r="M2081"/>
    </row>
    <row r="2082" spans="13:13">
      <c r="M2082"/>
    </row>
    <row r="2083" spans="13:13">
      <c r="M2083"/>
    </row>
    <row r="2084" spans="13:13">
      <c r="M2084"/>
    </row>
    <row r="2085" spans="13:13">
      <c r="M2085"/>
    </row>
    <row r="2086" spans="13:13">
      <c r="M2086"/>
    </row>
    <row r="2087" spans="13:13">
      <c r="M2087"/>
    </row>
    <row r="2088" spans="13:13">
      <c r="M2088"/>
    </row>
    <row r="2089" spans="13:13">
      <c r="M2089"/>
    </row>
    <row r="2090" spans="13:13">
      <c r="M2090"/>
    </row>
    <row r="2091" spans="13:13">
      <c r="M2091"/>
    </row>
    <row r="2092" spans="13:13">
      <c r="M2092"/>
    </row>
    <row r="2093" spans="13:13">
      <c r="M2093"/>
    </row>
    <row r="2094" spans="13:13">
      <c r="M2094"/>
    </row>
    <row r="2095" spans="13:13">
      <c r="M2095"/>
    </row>
    <row r="2096" spans="13:13">
      <c r="M2096"/>
    </row>
    <row r="2097" spans="13:13">
      <c r="M2097"/>
    </row>
    <row r="2098" spans="13:13">
      <c r="M2098"/>
    </row>
    <row r="2099" spans="13:13">
      <c r="M2099"/>
    </row>
    <row r="2100" spans="13:13">
      <c r="M2100"/>
    </row>
    <row r="2101" spans="13:13">
      <c r="M2101"/>
    </row>
    <row r="2102" spans="13:13">
      <c r="M2102"/>
    </row>
    <row r="2103" spans="13:13">
      <c r="M2103"/>
    </row>
    <row r="2104" spans="13:13">
      <c r="M2104"/>
    </row>
    <row r="2105" spans="13:13">
      <c r="M2105"/>
    </row>
    <row r="2106" spans="13:13">
      <c r="M2106"/>
    </row>
    <row r="2107" spans="13:13">
      <c r="M2107"/>
    </row>
    <row r="2108" spans="13:13">
      <c r="M2108"/>
    </row>
    <row r="2109" spans="13:13">
      <c r="M2109"/>
    </row>
    <row r="2110" spans="13:13">
      <c r="M2110"/>
    </row>
    <row r="2111" spans="13:13">
      <c r="M2111"/>
    </row>
    <row r="2112" spans="13:13">
      <c r="M2112"/>
    </row>
    <row r="2113" spans="13:13">
      <c r="M2113"/>
    </row>
    <row r="2114" spans="13:13">
      <c r="M2114"/>
    </row>
    <row r="2115" spans="13:13">
      <c r="M2115"/>
    </row>
    <row r="2116" spans="13:13">
      <c r="M2116"/>
    </row>
    <row r="2117" spans="13:13">
      <c r="M2117"/>
    </row>
    <row r="2118" spans="13:13">
      <c r="M2118"/>
    </row>
    <row r="2119" spans="13:13">
      <c r="M2119"/>
    </row>
    <row r="2120" spans="13:13">
      <c r="M2120"/>
    </row>
    <row r="2121" spans="13:13">
      <c r="M2121"/>
    </row>
    <row r="2122" spans="13:13">
      <c r="M2122"/>
    </row>
    <row r="2123" spans="13:13">
      <c r="M2123"/>
    </row>
    <row r="2124" spans="13:13">
      <c r="M2124"/>
    </row>
    <row r="2125" spans="13:13">
      <c r="M2125"/>
    </row>
    <row r="2126" spans="13:13">
      <c r="M2126"/>
    </row>
    <row r="2127" spans="13:13">
      <c r="M2127"/>
    </row>
    <row r="2128" spans="13:13">
      <c r="M2128"/>
    </row>
    <row r="2129" spans="13:13">
      <c r="M2129"/>
    </row>
    <row r="2130" spans="13:13">
      <c r="M2130"/>
    </row>
    <row r="2131" spans="13:13">
      <c r="M2131"/>
    </row>
    <row r="2132" spans="13:13">
      <c r="M2132"/>
    </row>
    <row r="2133" spans="13:13">
      <c r="M2133"/>
    </row>
    <row r="2134" spans="13:13">
      <c r="M2134"/>
    </row>
    <row r="2135" spans="13:13">
      <c r="M2135"/>
    </row>
    <row r="2136" spans="13:13">
      <c r="M2136"/>
    </row>
    <row r="2137" spans="13:13">
      <c r="M2137"/>
    </row>
    <row r="2138" spans="13:13">
      <c r="M2138"/>
    </row>
    <row r="2139" spans="13:13">
      <c r="M2139"/>
    </row>
    <row r="2140" spans="13:13">
      <c r="M2140"/>
    </row>
    <row r="2141" spans="13:13">
      <c r="M2141"/>
    </row>
    <row r="2142" spans="13:13">
      <c r="M2142"/>
    </row>
    <row r="2143" spans="13:13">
      <c r="M2143"/>
    </row>
    <row r="2144" spans="13:13">
      <c r="M2144"/>
    </row>
    <row r="2145" spans="13:13">
      <c r="M2145"/>
    </row>
    <row r="2146" spans="13:13">
      <c r="M2146"/>
    </row>
    <row r="2147" spans="13:13">
      <c r="M2147"/>
    </row>
    <row r="2148" spans="13:13">
      <c r="M2148"/>
    </row>
    <row r="2149" spans="13:13">
      <c r="M2149"/>
    </row>
    <row r="2150" spans="13:13">
      <c r="M2150"/>
    </row>
    <row r="2151" spans="13:13">
      <c r="M2151"/>
    </row>
    <row r="2152" spans="13:13">
      <c r="M2152"/>
    </row>
    <row r="2153" spans="13:13">
      <c r="M2153"/>
    </row>
    <row r="2154" spans="13:13">
      <c r="M2154"/>
    </row>
    <row r="2155" spans="13:13">
      <c r="M2155"/>
    </row>
    <row r="2156" spans="13:13">
      <c r="M2156"/>
    </row>
    <row r="2157" spans="13:13">
      <c r="M2157"/>
    </row>
    <row r="2158" spans="13:13">
      <c r="M2158"/>
    </row>
    <row r="2159" spans="13:13">
      <c r="M2159"/>
    </row>
    <row r="2160" spans="13:13">
      <c r="M2160"/>
    </row>
    <row r="2161" spans="13:13">
      <c r="M2161"/>
    </row>
    <row r="2162" spans="13:13">
      <c r="M2162"/>
    </row>
    <row r="2163" spans="13:13">
      <c r="M2163"/>
    </row>
    <row r="2164" spans="13:13">
      <c r="M2164"/>
    </row>
    <row r="2165" spans="13:13">
      <c r="M2165"/>
    </row>
    <row r="2166" spans="13:13">
      <c r="M2166"/>
    </row>
    <row r="2167" spans="13:13">
      <c r="M2167"/>
    </row>
    <row r="2168" spans="13:13">
      <c r="M2168"/>
    </row>
    <row r="2169" spans="13:13">
      <c r="M2169"/>
    </row>
    <row r="2170" spans="13:13">
      <c r="M2170"/>
    </row>
    <row r="2171" spans="13:13">
      <c r="M2171"/>
    </row>
    <row r="2172" spans="13:13">
      <c r="M2172"/>
    </row>
    <row r="2173" spans="13:13">
      <c r="M2173"/>
    </row>
    <row r="2174" spans="13:13">
      <c r="M2174"/>
    </row>
    <row r="2175" spans="13:13">
      <c r="M2175"/>
    </row>
    <row r="2176" spans="13:13">
      <c r="M2176"/>
    </row>
    <row r="2177" spans="13:13">
      <c r="M2177"/>
    </row>
    <row r="2178" spans="13:13">
      <c r="M2178"/>
    </row>
    <row r="2179" spans="13:13">
      <c r="M2179"/>
    </row>
    <row r="2180" spans="13:13">
      <c r="M2180"/>
    </row>
    <row r="2181" spans="13:13">
      <c r="M2181"/>
    </row>
    <row r="2182" spans="13:13">
      <c r="M2182"/>
    </row>
    <row r="2183" spans="13:13">
      <c r="M2183"/>
    </row>
    <row r="2184" spans="13:13">
      <c r="M2184"/>
    </row>
    <row r="2185" spans="13:13">
      <c r="M2185"/>
    </row>
    <row r="2186" spans="13:13">
      <c r="M2186"/>
    </row>
    <row r="2187" spans="13:13">
      <c r="M2187"/>
    </row>
    <row r="2188" spans="13:13">
      <c r="M2188"/>
    </row>
    <row r="2189" spans="13:13">
      <c r="M2189"/>
    </row>
    <row r="2190" spans="13:13">
      <c r="M2190"/>
    </row>
    <row r="2191" spans="13:13">
      <c r="M2191"/>
    </row>
    <row r="2192" spans="13:13">
      <c r="M2192"/>
    </row>
    <row r="2193" spans="13:13">
      <c r="M2193"/>
    </row>
    <row r="2194" spans="13:13">
      <c r="M2194"/>
    </row>
    <row r="2195" spans="13:13">
      <c r="M2195"/>
    </row>
    <row r="2196" spans="13:13">
      <c r="M2196"/>
    </row>
    <row r="2197" spans="13:13">
      <c r="M2197"/>
    </row>
    <row r="2198" spans="13:13">
      <c r="M2198"/>
    </row>
    <row r="2199" spans="13:13">
      <c r="M2199"/>
    </row>
    <row r="2200" spans="13:13">
      <c r="M2200"/>
    </row>
    <row r="2201" spans="13:13">
      <c r="M2201"/>
    </row>
    <row r="2202" spans="13:13">
      <c r="M2202"/>
    </row>
    <row r="2203" spans="13:13">
      <c r="M2203"/>
    </row>
    <row r="2204" spans="13:13">
      <c r="M2204"/>
    </row>
    <row r="2205" spans="13:13">
      <c r="M2205"/>
    </row>
    <row r="2206" spans="13:13">
      <c r="M2206"/>
    </row>
    <row r="2207" spans="13:13">
      <c r="M2207"/>
    </row>
    <row r="2208" spans="13:13">
      <c r="M2208"/>
    </row>
    <row r="2209" spans="13:13">
      <c r="M2209"/>
    </row>
    <row r="2210" spans="13:13">
      <c r="M2210"/>
    </row>
    <row r="2211" spans="13:13">
      <c r="M2211"/>
    </row>
    <row r="2212" spans="13:13">
      <c r="M2212"/>
    </row>
    <row r="2213" spans="13:13">
      <c r="M2213"/>
    </row>
    <row r="2214" spans="13:13">
      <c r="M2214"/>
    </row>
    <row r="2215" spans="13:13">
      <c r="M2215"/>
    </row>
    <row r="2216" spans="13:13">
      <c r="M2216"/>
    </row>
    <row r="2217" spans="13:13">
      <c r="M2217"/>
    </row>
    <row r="2218" spans="13:13">
      <c r="M2218"/>
    </row>
    <row r="2219" spans="13:13">
      <c r="M2219"/>
    </row>
    <row r="2220" spans="13:13">
      <c r="M2220"/>
    </row>
    <row r="2221" spans="13:13">
      <c r="M2221"/>
    </row>
    <row r="2222" spans="13:13">
      <c r="M2222"/>
    </row>
    <row r="2223" spans="13:13">
      <c r="M2223"/>
    </row>
    <row r="2224" spans="13:13">
      <c r="M2224"/>
    </row>
    <row r="2225" spans="13:13">
      <c r="M2225"/>
    </row>
    <row r="2226" spans="13:13">
      <c r="M2226"/>
    </row>
    <row r="2227" spans="13:13">
      <c r="M2227"/>
    </row>
    <row r="2228" spans="13:13">
      <c r="M2228"/>
    </row>
    <row r="2229" spans="13:13">
      <c r="M2229"/>
    </row>
    <row r="2230" spans="13:13">
      <c r="M2230"/>
    </row>
    <row r="2231" spans="13:13">
      <c r="M2231"/>
    </row>
    <row r="2232" spans="13:13">
      <c r="M2232"/>
    </row>
    <row r="2233" spans="13:13">
      <c r="M2233"/>
    </row>
    <row r="2234" spans="13:13">
      <c r="M2234"/>
    </row>
    <row r="2235" spans="13:13">
      <c r="M2235"/>
    </row>
    <row r="2236" spans="13:13">
      <c r="M2236"/>
    </row>
    <row r="2237" spans="13:13">
      <c r="M2237"/>
    </row>
    <row r="2238" spans="13:13">
      <c r="M2238"/>
    </row>
    <row r="2239" spans="13:13">
      <c r="M2239"/>
    </row>
    <row r="2240" spans="13:13">
      <c r="M2240"/>
    </row>
    <row r="2241" spans="13:13">
      <c r="M2241"/>
    </row>
    <row r="2242" spans="13:13">
      <c r="M2242"/>
    </row>
    <row r="2243" spans="13:13">
      <c r="M2243"/>
    </row>
    <row r="2244" spans="13:13">
      <c r="M2244"/>
    </row>
    <row r="2245" spans="13:13">
      <c r="M2245"/>
    </row>
    <row r="2246" spans="13:13">
      <c r="M2246"/>
    </row>
    <row r="2247" spans="13:13">
      <c r="M2247"/>
    </row>
    <row r="2248" spans="13:13">
      <c r="M2248"/>
    </row>
    <row r="2249" spans="13:13">
      <c r="M2249"/>
    </row>
    <row r="2250" spans="13:13">
      <c r="M2250"/>
    </row>
    <row r="2251" spans="13:13">
      <c r="M2251"/>
    </row>
    <row r="2252" spans="13:13">
      <c r="M2252"/>
    </row>
    <row r="2253" spans="13:13">
      <c r="M2253"/>
    </row>
    <row r="2254" spans="13:13">
      <c r="M2254"/>
    </row>
    <row r="2255" spans="13:13">
      <c r="M2255"/>
    </row>
    <row r="2256" spans="13:13">
      <c r="M2256"/>
    </row>
    <row r="2257" spans="13:13">
      <c r="M2257"/>
    </row>
    <row r="2258" spans="13:13">
      <c r="M2258"/>
    </row>
    <row r="2259" spans="13:13">
      <c r="M2259"/>
    </row>
    <row r="2260" spans="13:13">
      <c r="M2260"/>
    </row>
    <row r="2261" spans="13:13">
      <c r="M2261"/>
    </row>
    <row r="2262" spans="13:13">
      <c r="M2262"/>
    </row>
    <row r="2263" spans="13:13">
      <c r="M2263"/>
    </row>
    <row r="2264" spans="13:13">
      <c r="M2264"/>
    </row>
    <row r="2265" spans="13:13">
      <c r="M2265"/>
    </row>
    <row r="2266" spans="13:13">
      <c r="M2266"/>
    </row>
    <row r="2267" spans="13:13">
      <c r="M2267"/>
    </row>
    <row r="2268" spans="13:13">
      <c r="M2268"/>
    </row>
    <row r="2269" spans="13:13">
      <c r="M2269"/>
    </row>
    <row r="2270" spans="13:13">
      <c r="M2270"/>
    </row>
    <row r="2271" spans="13:13">
      <c r="M2271"/>
    </row>
    <row r="2272" spans="13:13">
      <c r="M2272"/>
    </row>
    <row r="2273" spans="13:13">
      <c r="M2273"/>
    </row>
    <row r="2274" spans="13:13">
      <c r="M2274"/>
    </row>
    <row r="2275" spans="13:13">
      <c r="M2275"/>
    </row>
    <row r="2276" spans="13:13">
      <c r="M2276"/>
    </row>
    <row r="2277" spans="13:13">
      <c r="M2277"/>
    </row>
    <row r="2278" spans="13:13">
      <c r="M2278"/>
    </row>
    <row r="2279" spans="13:13">
      <c r="M2279"/>
    </row>
    <row r="2280" spans="13:13">
      <c r="M2280"/>
    </row>
    <row r="2281" spans="13:13">
      <c r="M2281"/>
    </row>
    <row r="2282" spans="13:13">
      <c r="M2282"/>
    </row>
    <row r="2283" spans="13:13">
      <c r="M2283"/>
    </row>
    <row r="2284" spans="13:13">
      <c r="M2284"/>
    </row>
    <row r="2285" spans="13:13">
      <c r="M2285"/>
    </row>
    <row r="2286" spans="13:13">
      <c r="M2286"/>
    </row>
    <row r="2287" spans="13:13">
      <c r="M2287"/>
    </row>
    <row r="2288" spans="13:13">
      <c r="M2288"/>
    </row>
    <row r="2289" spans="13:13">
      <c r="M2289"/>
    </row>
    <row r="2290" spans="13:13">
      <c r="M2290"/>
    </row>
    <row r="2291" spans="13:13">
      <c r="M2291"/>
    </row>
    <row r="2292" spans="13:13">
      <c r="M2292"/>
    </row>
    <row r="2293" spans="13:13">
      <c r="M2293"/>
    </row>
    <row r="2294" spans="13:13">
      <c r="M2294"/>
    </row>
    <row r="2295" spans="13:13">
      <c r="M2295"/>
    </row>
    <row r="2296" spans="13:13">
      <c r="M2296"/>
    </row>
    <row r="2297" spans="13:13">
      <c r="M2297"/>
    </row>
    <row r="2298" spans="13:13">
      <c r="M2298"/>
    </row>
    <row r="2299" spans="13:13">
      <c r="M2299"/>
    </row>
    <row r="2300" spans="13:13">
      <c r="M2300"/>
    </row>
    <row r="2301" spans="13:13">
      <c r="M2301"/>
    </row>
    <row r="2302" spans="13:13">
      <c r="M2302"/>
    </row>
    <row r="2303" spans="13:13">
      <c r="M2303"/>
    </row>
    <row r="2304" spans="13:13">
      <c r="M2304"/>
    </row>
    <row r="2305" spans="13:13">
      <c r="M2305"/>
    </row>
    <row r="2306" spans="13:13">
      <c r="M2306"/>
    </row>
    <row r="2307" spans="13:13">
      <c r="M2307"/>
    </row>
    <row r="2308" spans="13:13">
      <c r="M2308"/>
    </row>
    <row r="2309" spans="13:13">
      <c r="M2309"/>
    </row>
    <row r="2310" spans="13:13">
      <c r="M2310"/>
    </row>
    <row r="2311" spans="13:13">
      <c r="M2311"/>
    </row>
    <row r="2312" spans="13:13">
      <c r="M2312"/>
    </row>
    <row r="2313" spans="13:13">
      <c r="M2313"/>
    </row>
    <row r="2314" spans="13:13">
      <c r="M2314"/>
    </row>
    <row r="2315" spans="13:13">
      <c r="M2315"/>
    </row>
    <row r="2316" spans="13:13">
      <c r="M2316"/>
    </row>
    <row r="2317" spans="13:13">
      <c r="M2317"/>
    </row>
    <row r="2318" spans="13:13">
      <c r="M2318"/>
    </row>
    <row r="2319" spans="13:13">
      <c r="M2319"/>
    </row>
    <row r="2320" spans="13:13">
      <c r="M2320"/>
    </row>
    <row r="2321" spans="13:13">
      <c r="M2321"/>
    </row>
    <row r="2322" spans="13:13">
      <c r="M2322"/>
    </row>
    <row r="2323" spans="13:13">
      <c r="M2323"/>
    </row>
    <row r="2324" spans="13:13">
      <c r="M2324"/>
    </row>
    <row r="2325" spans="13:13">
      <c r="M2325"/>
    </row>
    <row r="2326" spans="13:13">
      <c r="M2326"/>
    </row>
    <row r="2327" spans="13:13">
      <c r="M2327"/>
    </row>
    <row r="2328" spans="13:13">
      <c r="M2328"/>
    </row>
    <row r="2329" spans="13:13">
      <c r="M2329"/>
    </row>
    <row r="2330" spans="13:13">
      <c r="M2330"/>
    </row>
    <row r="2331" spans="13:13">
      <c r="M2331"/>
    </row>
    <row r="2332" spans="13:13">
      <c r="M2332"/>
    </row>
    <row r="2333" spans="13:13">
      <c r="M2333"/>
    </row>
    <row r="2334" spans="13:13">
      <c r="M2334"/>
    </row>
    <row r="2335" spans="13:13">
      <c r="M2335"/>
    </row>
    <row r="2336" spans="13:13">
      <c r="M2336"/>
    </row>
    <row r="2337" spans="13:13">
      <c r="M2337"/>
    </row>
    <row r="2338" spans="13:13">
      <c r="M2338"/>
    </row>
    <row r="2339" spans="13:13">
      <c r="M2339"/>
    </row>
    <row r="2340" spans="13:13">
      <c r="M2340"/>
    </row>
    <row r="2341" spans="13:13">
      <c r="M2341"/>
    </row>
    <row r="2342" spans="13:13">
      <c r="M2342"/>
    </row>
    <row r="2343" spans="13:13">
      <c r="M2343"/>
    </row>
    <row r="2344" spans="13:13">
      <c r="M2344"/>
    </row>
    <row r="2345" spans="13:13">
      <c r="M2345"/>
    </row>
    <row r="2346" spans="13:13">
      <c r="M2346"/>
    </row>
    <row r="2347" spans="13:13">
      <c r="M2347"/>
    </row>
    <row r="2348" spans="13:13">
      <c r="M2348"/>
    </row>
    <row r="2349" spans="13:13">
      <c r="M2349"/>
    </row>
    <row r="2350" spans="13:13">
      <c r="M2350"/>
    </row>
    <row r="2351" spans="13:13">
      <c r="M2351"/>
    </row>
    <row r="2352" spans="13:13">
      <c r="M2352"/>
    </row>
    <row r="2353" spans="13:13">
      <c r="M2353"/>
    </row>
    <row r="2354" spans="13:13">
      <c r="M2354"/>
    </row>
    <row r="2355" spans="13:13">
      <c r="M2355"/>
    </row>
    <row r="2356" spans="13:13">
      <c r="M2356"/>
    </row>
    <row r="2357" spans="13:13">
      <c r="M2357"/>
    </row>
    <row r="2358" spans="13:13">
      <c r="M2358"/>
    </row>
    <row r="2359" spans="13:13">
      <c r="M2359"/>
    </row>
    <row r="2360" spans="13:13">
      <c r="M2360"/>
    </row>
    <row r="2361" spans="13:13">
      <c r="M2361"/>
    </row>
    <row r="2362" spans="13:13">
      <c r="M2362"/>
    </row>
    <row r="2363" spans="13:13">
      <c r="M2363"/>
    </row>
    <row r="2364" spans="13:13">
      <c r="M2364"/>
    </row>
    <row r="2365" spans="13:13">
      <c r="M2365"/>
    </row>
    <row r="2366" spans="13:13">
      <c r="M2366"/>
    </row>
    <row r="2367" spans="13:13">
      <c r="M2367"/>
    </row>
    <row r="2368" spans="13:13">
      <c r="M2368"/>
    </row>
    <row r="2369" spans="13:13">
      <c r="M2369"/>
    </row>
    <row r="2370" spans="13:13">
      <c r="M2370"/>
    </row>
    <row r="2371" spans="13:13">
      <c r="M2371"/>
    </row>
    <row r="2372" spans="13:13">
      <c r="M2372"/>
    </row>
    <row r="2373" spans="13:13">
      <c r="M2373"/>
    </row>
    <row r="2374" spans="13:13">
      <c r="M2374"/>
    </row>
    <row r="2375" spans="13:13">
      <c r="M2375"/>
    </row>
    <row r="2376" spans="13:13">
      <c r="M2376"/>
    </row>
    <row r="2377" spans="13:13">
      <c r="M2377"/>
    </row>
    <row r="2378" spans="13:13">
      <c r="M2378"/>
    </row>
    <row r="2379" spans="13:13">
      <c r="M2379"/>
    </row>
    <row r="2380" spans="13:13">
      <c r="M2380"/>
    </row>
    <row r="2381" spans="13:13">
      <c r="M2381"/>
    </row>
    <row r="2382" spans="13:13">
      <c r="M2382"/>
    </row>
    <row r="2383" spans="13:13">
      <c r="M2383"/>
    </row>
    <row r="2384" spans="13:13">
      <c r="M2384"/>
    </row>
    <row r="2385" spans="13:13">
      <c r="M2385"/>
    </row>
    <row r="2386" spans="13:13">
      <c r="M2386"/>
    </row>
    <row r="2387" spans="13:13">
      <c r="M2387"/>
    </row>
    <row r="2388" spans="13:13">
      <c r="M2388"/>
    </row>
    <row r="2389" spans="13:13">
      <c r="M2389"/>
    </row>
    <row r="2390" spans="13:13">
      <c r="M2390"/>
    </row>
    <row r="2391" spans="13:13">
      <c r="M2391"/>
    </row>
    <row r="2392" spans="13:13">
      <c r="M2392"/>
    </row>
    <row r="2393" spans="13:13">
      <c r="M2393"/>
    </row>
    <row r="2394" spans="13:13">
      <c r="M2394"/>
    </row>
    <row r="2395" spans="13:13">
      <c r="M2395"/>
    </row>
    <row r="2396" spans="13:13">
      <c r="M2396"/>
    </row>
    <row r="2397" spans="13:13">
      <c r="M2397"/>
    </row>
    <row r="2398" spans="13:13">
      <c r="M2398"/>
    </row>
    <row r="2399" spans="13:13">
      <c r="M2399"/>
    </row>
    <row r="2400" spans="13:13">
      <c r="M2400"/>
    </row>
    <row r="2401" spans="13:13">
      <c r="M2401"/>
    </row>
    <row r="2402" spans="13:13">
      <c r="M2402"/>
    </row>
    <row r="2403" spans="13:13">
      <c r="M2403"/>
    </row>
    <row r="2404" spans="13:13">
      <c r="M2404"/>
    </row>
    <row r="2405" spans="13:13">
      <c r="M2405"/>
    </row>
    <row r="2406" spans="13:13">
      <c r="M2406"/>
    </row>
    <row r="2407" spans="13:13">
      <c r="M2407"/>
    </row>
    <row r="2408" spans="13:13">
      <c r="M2408"/>
    </row>
    <row r="2409" spans="13:13">
      <c r="M2409"/>
    </row>
    <row r="2410" spans="13:13">
      <c r="M2410"/>
    </row>
    <row r="2411" spans="13:13">
      <c r="M2411"/>
    </row>
    <row r="2412" spans="13:13">
      <c r="M2412"/>
    </row>
    <row r="2413" spans="13:13">
      <c r="M2413"/>
    </row>
    <row r="2414" spans="13:13">
      <c r="M2414"/>
    </row>
    <row r="2415" spans="13:13">
      <c r="M2415"/>
    </row>
    <row r="2416" spans="13:13">
      <c r="M2416"/>
    </row>
    <row r="2417" spans="13:13">
      <c r="M2417"/>
    </row>
    <row r="2418" spans="13:13">
      <c r="M2418"/>
    </row>
    <row r="2419" spans="13:13">
      <c r="M2419"/>
    </row>
    <row r="2420" spans="13:13">
      <c r="M2420"/>
    </row>
    <row r="2421" spans="13:13">
      <c r="M2421"/>
    </row>
    <row r="2422" spans="13:13">
      <c r="M2422"/>
    </row>
    <row r="2423" spans="13:13">
      <c r="M2423"/>
    </row>
    <row r="2424" spans="13:13">
      <c r="M2424"/>
    </row>
    <row r="2425" spans="13:13">
      <c r="M2425"/>
    </row>
    <row r="2426" spans="13:13">
      <c r="M2426"/>
    </row>
    <row r="2427" spans="13:13">
      <c r="M2427"/>
    </row>
    <row r="2428" spans="13:13">
      <c r="M2428"/>
    </row>
    <row r="2429" spans="13:13">
      <c r="M2429"/>
    </row>
    <row r="2430" spans="13:13">
      <c r="M2430"/>
    </row>
    <row r="2431" spans="13:13">
      <c r="M2431"/>
    </row>
    <row r="2432" spans="13:13">
      <c r="M2432"/>
    </row>
    <row r="2433" spans="13:13">
      <c r="M2433"/>
    </row>
    <row r="2434" spans="13:13">
      <c r="M2434"/>
    </row>
    <row r="2435" spans="13:13">
      <c r="M2435"/>
    </row>
    <row r="2436" spans="13:13">
      <c r="M2436"/>
    </row>
    <row r="2437" spans="13:13">
      <c r="M2437"/>
    </row>
    <row r="2438" spans="13:13">
      <c r="M2438"/>
    </row>
    <row r="2439" spans="13:13">
      <c r="M2439"/>
    </row>
    <row r="2440" spans="13:13">
      <c r="M2440"/>
    </row>
    <row r="2441" spans="13:13">
      <c r="M2441"/>
    </row>
    <row r="2442" spans="13:13">
      <c r="M2442"/>
    </row>
    <row r="2443" spans="13:13">
      <c r="M2443"/>
    </row>
    <row r="2444" spans="13:13">
      <c r="M2444"/>
    </row>
    <row r="2445" spans="13:13">
      <c r="M2445"/>
    </row>
    <row r="2446" spans="13:13">
      <c r="M2446"/>
    </row>
    <row r="2447" spans="13:13">
      <c r="M2447"/>
    </row>
    <row r="2448" spans="13:13">
      <c r="M2448"/>
    </row>
    <row r="2449" spans="13:13">
      <c r="M2449"/>
    </row>
    <row r="2450" spans="13:13">
      <c r="M2450"/>
    </row>
    <row r="2451" spans="13:13">
      <c r="M2451"/>
    </row>
    <row r="2452" spans="13:13">
      <c r="M2452"/>
    </row>
    <row r="2453" spans="13:13">
      <c r="M2453"/>
    </row>
    <row r="2454" spans="13:13">
      <c r="M2454"/>
    </row>
    <row r="2455" spans="13:13">
      <c r="M2455"/>
    </row>
    <row r="2456" spans="13:13">
      <c r="M2456"/>
    </row>
    <row r="2457" spans="13:13">
      <c r="M2457"/>
    </row>
    <row r="2458" spans="13:13">
      <c r="M2458"/>
    </row>
    <row r="2459" spans="13:13">
      <c r="M2459"/>
    </row>
    <row r="2460" spans="13:13">
      <c r="M2460"/>
    </row>
    <row r="2461" spans="13:13">
      <c r="M2461"/>
    </row>
    <row r="2462" spans="13:13">
      <c r="M2462"/>
    </row>
    <row r="2463" spans="13:13">
      <c r="M2463"/>
    </row>
    <row r="2464" spans="13:13">
      <c r="M2464"/>
    </row>
    <row r="2465" spans="13:13">
      <c r="M2465"/>
    </row>
    <row r="2466" spans="13:13">
      <c r="M2466"/>
    </row>
    <row r="2467" spans="13:13">
      <c r="M2467"/>
    </row>
    <row r="2468" spans="13:13">
      <c r="M2468"/>
    </row>
    <row r="2469" spans="13:13">
      <c r="M2469"/>
    </row>
    <row r="2470" spans="13:13">
      <c r="M2470"/>
    </row>
    <row r="2471" spans="13:13">
      <c r="M2471"/>
    </row>
    <row r="2472" spans="13:13">
      <c r="M2472"/>
    </row>
    <row r="2473" spans="13:13">
      <c r="M2473"/>
    </row>
    <row r="2474" spans="13:13">
      <c r="M2474"/>
    </row>
    <row r="2475" spans="13:13">
      <c r="M2475"/>
    </row>
    <row r="2476" spans="13:13">
      <c r="M2476"/>
    </row>
    <row r="2477" spans="13:13">
      <c r="M2477"/>
    </row>
    <row r="2478" spans="13:13">
      <c r="M2478"/>
    </row>
    <row r="2479" spans="13:13">
      <c r="M2479"/>
    </row>
    <row r="2480" spans="13:13">
      <c r="M2480"/>
    </row>
    <row r="2481" spans="13:13">
      <c r="M2481"/>
    </row>
    <row r="2482" spans="13:13">
      <c r="M2482"/>
    </row>
    <row r="2483" spans="13:13">
      <c r="M2483"/>
    </row>
    <row r="2484" spans="13:13">
      <c r="M2484"/>
    </row>
    <row r="2485" spans="13:13">
      <c r="M2485"/>
    </row>
    <row r="2486" spans="13:13">
      <c r="M2486"/>
    </row>
    <row r="2487" spans="13:13">
      <c r="M2487"/>
    </row>
    <row r="2488" spans="13:13">
      <c r="M2488"/>
    </row>
    <row r="2489" spans="13:13">
      <c r="M2489"/>
    </row>
    <row r="2490" spans="13:13">
      <c r="M2490"/>
    </row>
    <row r="2491" spans="13:13">
      <c r="M2491"/>
    </row>
    <row r="2492" spans="13:13">
      <c r="M2492"/>
    </row>
    <row r="2493" spans="13:13">
      <c r="M2493"/>
    </row>
    <row r="2494" spans="13:13">
      <c r="M2494"/>
    </row>
    <row r="2495" spans="13:13">
      <c r="M2495"/>
    </row>
    <row r="2496" spans="13:13">
      <c r="M2496"/>
    </row>
    <row r="2497" spans="13:13">
      <c r="M2497"/>
    </row>
    <row r="2498" spans="13:13">
      <c r="M2498"/>
    </row>
    <row r="2499" spans="13:13">
      <c r="M2499"/>
    </row>
    <row r="2500" spans="13:13">
      <c r="M2500"/>
    </row>
    <row r="2501" spans="13:13">
      <c r="M2501"/>
    </row>
    <row r="2502" spans="13:13">
      <c r="M2502"/>
    </row>
    <row r="2503" spans="13:13">
      <c r="M2503"/>
    </row>
    <row r="2504" spans="13:13">
      <c r="M2504"/>
    </row>
    <row r="2505" spans="13:13">
      <c r="M2505"/>
    </row>
    <row r="2506" spans="13:13">
      <c r="M2506"/>
    </row>
    <row r="2507" spans="13:13">
      <c r="M2507"/>
    </row>
    <row r="2508" spans="13:13">
      <c r="M2508"/>
    </row>
    <row r="2509" spans="13:13">
      <c r="M2509"/>
    </row>
    <row r="2510" spans="13:13">
      <c r="M2510"/>
    </row>
    <row r="2511" spans="13:13">
      <c r="M2511"/>
    </row>
    <row r="2512" spans="13:13">
      <c r="M2512"/>
    </row>
    <row r="2513" spans="13:13">
      <c r="M2513"/>
    </row>
    <row r="2514" spans="13:13">
      <c r="M2514"/>
    </row>
    <row r="2515" spans="13:13">
      <c r="M2515"/>
    </row>
    <row r="2516" spans="13:13">
      <c r="M2516"/>
    </row>
    <row r="2517" spans="13:13">
      <c r="M2517"/>
    </row>
    <row r="2518" spans="13:13">
      <c r="M2518"/>
    </row>
    <row r="2519" spans="13:13">
      <c r="M2519"/>
    </row>
    <row r="2520" spans="13:13">
      <c r="M2520"/>
    </row>
    <row r="2521" spans="13:13">
      <c r="M2521"/>
    </row>
    <row r="2522" spans="13:13">
      <c r="M2522"/>
    </row>
    <row r="2523" spans="13:13">
      <c r="M2523"/>
    </row>
    <row r="2524" spans="13:13">
      <c r="M2524"/>
    </row>
    <row r="2525" spans="13:13">
      <c r="M2525"/>
    </row>
    <row r="2526" spans="13:13">
      <c r="M2526"/>
    </row>
    <row r="2527" spans="13:13">
      <c r="M2527"/>
    </row>
    <row r="2528" spans="13:13">
      <c r="M2528"/>
    </row>
    <row r="2529" spans="13:13">
      <c r="M2529"/>
    </row>
    <row r="2530" spans="13:13">
      <c r="M2530"/>
    </row>
    <row r="2531" spans="13:13">
      <c r="M2531"/>
    </row>
    <row r="2532" spans="13:13">
      <c r="M2532"/>
    </row>
    <row r="2533" spans="13:13">
      <c r="M2533"/>
    </row>
    <row r="2534" spans="13:13">
      <c r="M2534"/>
    </row>
    <row r="2535" spans="13:13">
      <c r="M2535"/>
    </row>
    <row r="2536" spans="13:13">
      <c r="M2536"/>
    </row>
    <row r="2537" spans="13:13">
      <c r="M2537"/>
    </row>
    <row r="2538" spans="13:13">
      <c r="M2538"/>
    </row>
    <row r="2539" spans="13:13">
      <c r="M2539"/>
    </row>
    <row r="2540" spans="13:13">
      <c r="M2540"/>
    </row>
    <row r="2541" spans="13:13">
      <c r="M2541"/>
    </row>
    <row r="2542" spans="13:13">
      <c r="M2542"/>
    </row>
    <row r="2543" spans="13:13">
      <c r="M2543"/>
    </row>
    <row r="2544" spans="13:13">
      <c r="M2544"/>
    </row>
    <row r="2545" spans="13:13">
      <c r="M2545"/>
    </row>
    <row r="2546" spans="13:13">
      <c r="M2546"/>
    </row>
    <row r="2547" spans="13:13">
      <c r="M2547"/>
    </row>
    <row r="2548" spans="13:13">
      <c r="M2548"/>
    </row>
    <row r="2549" spans="13:13">
      <c r="M2549"/>
    </row>
    <row r="2550" spans="13:13">
      <c r="M2550"/>
    </row>
    <row r="2551" spans="13:13">
      <c r="M2551"/>
    </row>
    <row r="2552" spans="13:13">
      <c r="M2552"/>
    </row>
    <row r="2553" spans="13:13">
      <c r="M2553"/>
    </row>
    <row r="2554" spans="13:13">
      <c r="M2554"/>
    </row>
    <row r="2555" spans="13:13">
      <c r="M2555"/>
    </row>
    <row r="2556" spans="13:13">
      <c r="M2556"/>
    </row>
    <row r="2557" spans="13:13">
      <c r="M2557"/>
    </row>
    <row r="2558" spans="13:13">
      <c r="M2558"/>
    </row>
    <row r="2559" spans="13:13">
      <c r="M2559"/>
    </row>
    <row r="2560" spans="13:13">
      <c r="M2560"/>
    </row>
    <row r="2561" spans="13:13">
      <c r="M2561"/>
    </row>
    <row r="2562" spans="13:13">
      <c r="M2562"/>
    </row>
    <row r="2563" spans="13:13">
      <c r="M2563"/>
    </row>
    <row r="2564" spans="13:13">
      <c r="M2564"/>
    </row>
    <row r="2565" spans="13:13">
      <c r="M2565"/>
    </row>
    <row r="2566" spans="13:13">
      <c r="M2566"/>
    </row>
    <row r="2567" spans="13:13">
      <c r="M2567"/>
    </row>
    <row r="2568" spans="13:13">
      <c r="M2568"/>
    </row>
    <row r="2569" spans="13:13">
      <c r="M2569"/>
    </row>
    <row r="2570" spans="13:13">
      <c r="M2570"/>
    </row>
    <row r="2571" spans="13:13">
      <c r="M2571"/>
    </row>
    <row r="2572" spans="13:13">
      <c r="M2572"/>
    </row>
    <row r="2573" spans="13:13">
      <c r="M2573"/>
    </row>
    <row r="2574" spans="13:13">
      <c r="M2574"/>
    </row>
    <row r="2575" spans="13:13">
      <c r="M2575"/>
    </row>
    <row r="2576" spans="13:13">
      <c r="M2576"/>
    </row>
    <row r="2577" spans="13:13">
      <c r="M2577"/>
    </row>
    <row r="2578" spans="13:13">
      <c r="M2578"/>
    </row>
    <row r="2579" spans="13:13">
      <c r="M2579"/>
    </row>
    <row r="2580" spans="13:13">
      <c r="M2580"/>
    </row>
    <row r="2581" spans="13:13">
      <c r="M2581"/>
    </row>
    <row r="2582" spans="13:13">
      <c r="M2582"/>
    </row>
    <row r="2583" spans="13:13">
      <c r="M2583"/>
    </row>
    <row r="2584" spans="13:13">
      <c r="M2584"/>
    </row>
    <row r="2585" spans="13:13">
      <c r="M2585"/>
    </row>
    <row r="2586" spans="13:13">
      <c r="M2586"/>
    </row>
    <row r="2587" spans="13:13">
      <c r="M2587"/>
    </row>
    <row r="2588" spans="13:13">
      <c r="M2588"/>
    </row>
    <row r="2589" spans="13:13">
      <c r="M2589"/>
    </row>
    <row r="2590" spans="13:13">
      <c r="M2590"/>
    </row>
    <row r="2591" spans="13:13">
      <c r="M2591"/>
    </row>
    <row r="2592" spans="13:13">
      <c r="M2592"/>
    </row>
    <row r="2593" spans="13:13">
      <c r="M2593"/>
    </row>
    <row r="2594" spans="13:13">
      <c r="M2594"/>
    </row>
    <row r="2595" spans="13:13">
      <c r="M2595"/>
    </row>
    <row r="2596" spans="13:13">
      <c r="M2596"/>
    </row>
    <row r="2597" spans="13:13">
      <c r="M2597"/>
    </row>
    <row r="2598" spans="13:13">
      <c r="M2598"/>
    </row>
    <row r="2599" spans="13:13">
      <c r="M2599"/>
    </row>
    <row r="2600" spans="13:13">
      <c r="M2600"/>
    </row>
    <row r="2601" spans="13:13">
      <c r="M2601"/>
    </row>
    <row r="2602" spans="13:13">
      <c r="M2602"/>
    </row>
    <row r="2603" spans="13:13">
      <c r="M2603"/>
    </row>
    <row r="2604" spans="13:13">
      <c r="M2604"/>
    </row>
    <row r="2605" spans="13:13">
      <c r="M2605"/>
    </row>
    <row r="2606" spans="13:13">
      <c r="M2606"/>
    </row>
    <row r="2607" spans="13:13">
      <c r="M2607"/>
    </row>
    <row r="2608" spans="13:13">
      <c r="M2608"/>
    </row>
    <row r="2609" spans="13:13">
      <c r="M2609"/>
    </row>
    <row r="2610" spans="13:13">
      <c r="M2610"/>
    </row>
    <row r="2611" spans="13:13">
      <c r="M2611"/>
    </row>
    <row r="2612" spans="13:13">
      <c r="M2612"/>
    </row>
    <row r="2613" spans="13:13">
      <c r="M2613"/>
    </row>
    <row r="2614" spans="13:13">
      <c r="M2614"/>
    </row>
    <row r="2615" spans="13:13">
      <c r="M2615"/>
    </row>
    <row r="2616" spans="13:13">
      <c r="M2616"/>
    </row>
    <row r="2617" spans="13:13">
      <c r="M2617"/>
    </row>
    <row r="2618" spans="13:13">
      <c r="M2618"/>
    </row>
    <row r="2619" spans="13:13">
      <c r="M2619"/>
    </row>
    <row r="2620" spans="13:13">
      <c r="M2620"/>
    </row>
    <row r="2621" spans="13:13">
      <c r="M2621"/>
    </row>
    <row r="2622" spans="13:13">
      <c r="M2622"/>
    </row>
    <row r="2623" spans="13:13">
      <c r="M2623"/>
    </row>
    <row r="2624" spans="13:13">
      <c r="M2624"/>
    </row>
    <row r="2625" spans="13:13">
      <c r="M2625"/>
    </row>
    <row r="2626" spans="13:13">
      <c r="M2626"/>
    </row>
    <row r="2627" spans="13:13">
      <c r="M2627"/>
    </row>
    <row r="2628" spans="13:13">
      <c r="M2628"/>
    </row>
    <row r="2629" spans="13:13">
      <c r="M2629"/>
    </row>
    <row r="2630" spans="13:13">
      <c r="M2630"/>
    </row>
    <row r="2631" spans="13:13">
      <c r="M2631"/>
    </row>
    <row r="2632" spans="13:13">
      <c r="M2632"/>
    </row>
    <row r="2633" spans="13:13">
      <c r="M2633"/>
    </row>
    <row r="2634" spans="13:13">
      <c r="M2634"/>
    </row>
    <row r="2635" spans="13:13">
      <c r="M2635"/>
    </row>
    <row r="2636" spans="13:13">
      <c r="M2636"/>
    </row>
    <row r="2637" spans="13:13">
      <c r="M2637"/>
    </row>
    <row r="2638" spans="13:13">
      <c r="M2638"/>
    </row>
    <row r="2639" spans="13:13">
      <c r="M2639"/>
    </row>
    <row r="2640" spans="13:13">
      <c r="M2640"/>
    </row>
    <row r="2641" spans="13:13">
      <c r="M2641"/>
    </row>
    <row r="2642" spans="13:13">
      <c r="M2642"/>
    </row>
    <row r="2643" spans="13:13">
      <c r="M2643"/>
    </row>
    <row r="2644" spans="13:13">
      <c r="M2644"/>
    </row>
    <row r="2645" spans="13:13">
      <c r="M2645"/>
    </row>
    <row r="2646" spans="13:13">
      <c r="M2646"/>
    </row>
    <row r="2647" spans="13:13">
      <c r="M2647"/>
    </row>
    <row r="2648" spans="13:13">
      <c r="M2648"/>
    </row>
    <row r="2649" spans="13:13">
      <c r="M2649"/>
    </row>
    <row r="2650" spans="13:13">
      <c r="M2650"/>
    </row>
    <row r="2651" spans="13:13">
      <c r="M2651"/>
    </row>
    <row r="2652" spans="13:13">
      <c r="M2652"/>
    </row>
    <row r="2653" spans="13:13">
      <c r="M2653"/>
    </row>
    <row r="2654" spans="13:13">
      <c r="M2654"/>
    </row>
    <row r="2655" spans="13:13">
      <c r="M2655"/>
    </row>
    <row r="2656" spans="13:13">
      <c r="M2656"/>
    </row>
    <row r="2657" spans="13:13">
      <c r="M2657"/>
    </row>
    <row r="2658" spans="13:13">
      <c r="M2658"/>
    </row>
    <row r="2659" spans="13:13">
      <c r="M2659"/>
    </row>
    <row r="2660" spans="13:13">
      <c r="M2660"/>
    </row>
    <row r="2661" spans="13:13">
      <c r="M2661"/>
    </row>
    <row r="2662" spans="13:13">
      <c r="M2662"/>
    </row>
    <row r="2663" spans="13:13">
      <c r="M2663"/>
    </row>
    <row r="2664" spans="13:13">
      <c r="M2664"/>
    </row>
    <row r="2665" spans="13:13">
      <c r="M2665"/>
    </row>
    <row r="2666" spans="13:13">
      <c r="M2666"/>
    </row>
    <row r="2667" spans="13:13">
      <c r="M2667"/>
    </row>
    <row r="2668" spans="13:13">
      <c r="M2668"/>
    </row>
    <row r="2669" spans="13:13">
      <c r="M2669"/>
    </row>
    <row r="2670" spans="13:13">
      <c r="M2670"/>
    </row>
    <row r="2671" spans="13:13">
      <c r="M2671"/>
    </row>
    <row r="2672" spans="13:13">
      <c r="M2672"/>
    </row>
    <row r="2673" spans="13:13">
      <c r="M2673"/>
    </row>
    <row r="2674" spans="13:13">
      <c r="M2674"/>
    </row>
    <row r="2675" spans="13:13">
      <c r="M2675"/>
    </row>
    <row r="2676" spans="13:13">
      <c r="M2676"/>
    </row>
    <row r="2677" spans="13:13">
      <c r="M2677"/>
    </row>
    <row r="2678" spans="13:13">
      <c r="M2678"/>
    </row>
    <row r="2679" spans="13:13">
      <c r="M2679"/>
    </row>
    <row r="2680" spans="13:13">
      <c r="M2680"/>
    </row>
    <row r="2681" spans="13:13">
      <c r="M2681"/>
    </row>
    <row r="2682" spans="13:13">
      <c r="M2682"/>
    </row>
    <row r="2683" spans="13:13">
      <c r="M2683"/>
    </row>
    <row r="2684" spans="13:13">
      <c r="M2684"/>
    </row>
    <row r="2685" spans="13:13">
      <c r="M2685"/>
    </row>
    <row r="2686" spans="13:13">
      <c r="M2686"/>
    </row>
    <row r="2687" spans="13:13">
      <c r="M2687"/>
    </row>
    <row r="2688" spans="13:13">
      <c r="M2688"/>
    </row>
    <row r="2689" spans="13:13">
      <c r="M2689"/>
    </row>
    <row r="2690" spans="13:13">
      <c r="M2690"/>
    </row>
    <row r="2691" spans="13:13">
      <c r="M2691"/>
    </row>
    <row r="2692" spans="13:13">
      <c r="M2692"/>
    </row>
    <row r="2693" spans="13:13">
      <c r="M2693"/>
    </row>
    <row r="2694" spans="13:13">
      <c r="M2694"/>
    </row>
    <row r="2695" spans="13:13">
      <c r="M2695"/>
    </row>
    <row r="2696" spans="13:13">
      <c r="M2696"/>
    </row>
    <row r="2697" spans="13:13">
      <c r="M2697"/>
    </row>
    <row r="2698" spans="13:13">
      <c r="M2698"/>
    </row>
    <row r="2699" spans="13:13">
      <c r="M2699"/>
    </row>
    <row r="2700" spans="13:13">
      <c r="M2700"/>
    </row>
    <row r="2701" spans="13:13">
      <c r="M2701"/>
    </row>
    <row r="2702" spans="13:13">
      <c r="M2702"/>
    </row>
    <row r="2703" spans="13:13">
      <c r="M2703"/>
    </row>
    <row r="2704" spans="13:13">
      <c r="M2704"/>
    </row>
    <row r="2705" spans="13:13">
      <c r="M2705"/>
    </row>
    <row r="2706" spans="13:13">
      <c r="M2706"/>
    </row>
    <row r="2707" spans="13:13">
      <c r="M2707"/>
    </row>
    <row r="2708" spans="13:13">
      <c r="M2708"/>
    </row>
    <row r="2709" spans="13:13">
      <c r="M2709"/>
    </row>
    <row r="2710" spans="13:13">
      <c r="M2710"/>
    </row>
    <row r="2711" spans="13:13">
      <c r="M2711"/>
    </row>
    <row r="2712" spans="13:13">
      <c r="M2712"/>
    </row>
    <row r="2713" spans="13:13">
      <c r="M2713"/>
    </row>
    <row r="2714" spans="13:13">
      <c r="M2714"/>
    </row>
    <row r="2715" spans="13:13">
      <c r="M2715"/>
    </row>
    <row r="2716" spans="13:13">
      <c r="M2716"/>
    </row>
    <row r="2717" spans="13:13">
      <c r="M2717"/>
    </row>
    <row r="2718" spans="13:13">
      <c r="M2718"/>
    </row>
    <row r="2719" spans="13:13">
      <c r="M2719"/>
    </row>
    <row r="2720" spans="13:13">
      <c r="M2720"/>
    </row>
    <row r="2721" spans="13:13">
      <c r="M2721"/>
    </row>
    <row r="2722" spans="13:13">
      <c r="M2722"/>
    </row>
    <row r="2723" spans="13:13">
      <c r="M2723"/>
    </row>
    <row r="2724" spans="13:13">
      <c r="M2724"/>
    </row>
    <row r="2725" spans="13:13">
      <c r="M2725"/>
    </row>
    <row r="2726" spans="13:13">
      <c r="M2726"/>
    </row>
    <row r="2727" spans="13:13">
      <c r="M2727"/>
    </row>
    <row r="2728" spans="13:13">
      <c r="M2728"/>
    </row>
    <row r="2729" spans="13:13">
      <c r="M2729"/>
    </row>
    <row r="2730" spans="13:13">
      <c r="M2730"/>
    </row>
    <row r="2731" spans="13:13">
      <c r="M2731"/>
    </row>
    <row r="2732" spans="13:13">
      <c r="M2732"/>
    </row>
    <row r="2733" spans="13:13">
      <c r="M2733"/>
    </row>
    <row r="2734" spans="13:13">
      <c r="M2734"/>
    </row>
    <row r="2735" spans="13:13">
      <c r="M2735"/>
    </row>
    <row r="2736" spans="13:13">
      <c r="M2736"/>
    </row>
    <row r="2737" spans="13:13">
      <c r="M2737"/>
    </row>
    <row r="2738" spans="13:13">
      <c r="M2738"/>
    </row>
    <row r="2739" spans="13:13">
      <c r="M2739"/>
    </row>
    <row r="2740" spans="13:13">
      <c r="M2740"/>
    </row>
    <row r="2741" spans="13:13">
      <c r="M2741"/>
    </row>
    <row r="2742" spans="13:13">
      <c r="M2742"/>
    </row>
    <row r="2743" spans="13:13">
      <c r="M2743"/>
    </row>
    <row r="2744" spans="13:13">
      <c r="M2744"/>
    </row>
    <row r="2745" spans="13:13">
      <c r="M2745"/>
    </row>
    <row r="2746" spans="13:13">
      <c r="M2746"/>
    </row>
    <row r="2747" spans="13:13">
      <c r="M2747"/>
    </row>
    <row r="2748" spans="13:13">
      <c r="M2748"/>
    </row>
    <row r="2749" spans="13:13">
      <c r="M2749"/>
    </row>
    <row r="2750" spans="13:13">
      <c r="M2750"/>
    </row>
    <row r="2751" spans="13:13">
      <c r="M2751"/>
    </row>
    <row r="2752" spans="13:13">
      <c r="M2752"/>
    </row>
    <row r="2753" spans="13:13">
      <c r="M2753"/>
    </row>
    <row r="2754" spans="13:13">
      <c r="M2754"/>
    </row>
    <row r="2755" spans="13:13">
      <c r="M2755"/>
    </row>
    <row r="2756" spans="13:13">
      <c r="M2756"/>
    </row>
    <row r="2757" spans="13:13">
      <c r="M2757"/>
    </row>
    <row r="2758" spans="13:13">
      <c r="M2758"/>
    </row>
    <row r="2759" spans="13:13">
      <c r="M2759"/>
    </row>
    <row r="2760" spans="13:13">
      <c r="M2760"/>
    </row>
    <row r="2761" spans="13:13">
      <c r="M2761"/>
    </row>
    <row r="2762" spans="13:13">
      <c r="M2762"/>
    </row>
    <row r="2763" spans="13:13">
      <c r="M2763"/>
    </row>
    <row r="2764" spans="13:13">
      <c r="M2764"/>
    </row>
    <row r="2765" spans="13:13">
      <c r="M2765"/>
    </row>
    <row r="2766" spans="13:13">
      <c r="M2766"/>
    </row>
    <row r="2767" spans="13:13">
      <c r="M2767"/>
    </row>
    <row r="2768" spans="13:13">
      <c r="M2768"/>
    </row>
    <row r="2769" spans="13:13">
      <c r="M2769"/>
    </row>
    <row r="2770" spans="13:13">
      <c r="M2770"/>
    </row>
    <row r="2771" spans="13:13">
      <c r="M2771"/>
    </row>
    <row r="2772" spans="13:13">
      <c r="M2772"/>
    </row>
    <row r="2773" spans="13:13">
      <c r="M2773"/>
    </row>
    <row r="2774" spans="13:13">
      <c r="M2774"/>
    </row>
    <row r="2775" spans="13:13">
      <c r="M2775"/>
    </row>
    <row r="2776" spans="13:13">
      <c r="M2776"/>
    </row>
    <row r="2777" spans="13:13">
      <c r="M2777"/>
    </row>
    <row r="2778" spans="13:13">
      <c r="M2778"/>
    </row>
    <row r="2779" spans="13:13">
      <c r="M2779"/>
    </row>
    <row r="2780" spans="13:13">
      <c r="M2780"/>
    </row>
    <row r="2781" spans="13:13">
      <c r="M2781"/>
    </row>
    <row r="2782" spans="13:13">
      <c r="M2782"/>
    </row>
    <row r="2783" spans="13:13">
      <c r="M2783"/>
    </row>
    <row r="2784" spans="13:13">
      <c r="M2784"/>
    </row>
    <row r="2785" spans="13:13">
      <c r="M2785"/>
    </row>
    <row r="2786" spans="13:13">
      <c r="M2786"/>
    </row>
    <row r="2787" spans="13:13">
      <c r="M2787"/>
    </row>
    <row r="2788" spans="13:13">
      <c r="M2788"/>
    </row>
    <row r="2789" spans="13:13">
      <c r="M2789"/>
    </row>
    <row r="2790" spans="13:13">
      <c r="M2790"/>
    </row>
    <row r="2791" spans="13:13">
      <c r="M2791"/>
    </row>
    <row r="2792" spans="13:13">
      <c r="M2792"/>
    </row>
    <row r="2793" spans="13:13">
      <c r="M2793"/>
    </row>
    <row r="2794" spans="13:13">
      <c r="M2794"/>
    </row>
    <row r="2795" spans="13:13">
      <c r="M2795"/>
    </row>
    <row r="2796" spans="13:13">
      <c r="M2796"/>
    </row>
    <row r="2797" spans="13:13">
      <c r="M2797"/>
    </row>
    <row r="2798" spans="13:13">
      <c r="M2798"/>
    </row>
    <row r="2799" spans="13:13">
      <c r="M2799"/>
    </row>
    <row r="2800" spans="13:13">
      <c r="M2800"/>
    </row>
    <row r="2801" spans="13:13">
      <c r="M2801"/>
    </row>
    <row r="2802" spans="13:13">
      <c r="M2802"/>
    </row>
    <row r="2803" spans="13:13">
      <c r="M2803"/>
    </row>
    <row r="2804" spans="13:13">
      <c r="M2804"/>
    </row>
    <row r="2805" spans="13:13">
      <c r="M2805"/>
    </row>
    <row r="2806" spans="13:13">
      <c r="M2806"/>
    </row>
    <row r="2807" spans="13:13">
      <c r="M2807"/>
    </row>
    <row r="2808" spans="13:13">
      <c r="M2808"/>
    </row>
    <row r="2809" spans="13:13">
      <c r="M2809"/>
    </row>
    <row r="2810" spans="13:13">
      <c r="M2810"/>
    </row>
    <row r="2811" spans="13:13">
      <c r="M2811"/>
    </row>
    <row r="2812" spans="13:13">
      <c r="M2812"/>
    </row>
    <row r="2813" spans="13:13">
      <c r="M2813"/>
    </row>
    <row r="2814" spans="13:13">
      <c r="M2814"/>
    </row>
    <row r="2815" spans="13:13">
      <c r="M2815"/>
    </row>
    <row r="2816" spans="13:13">
      <c r="M2816"/>
    </row>
    <row r="2817" spans="13:13">
      <c r="M2817"/>
    </row>
    <row r="2818" spans="13:13">
      <c r="M2818"/>
    </row>
    <row r="2819" spans="13:13">
      <c r="M2819"/>
    </row>
    <row r="2820" spans="13:13">
      <c r="M2820"/>
    </row>
    <row r="2821" spans="13:13">
      <c r="M2821"/>
    </row>
    <row r="2822" spans="13:13">
      <c r="M2822"/>
    </row>
    <row r="2823" spans="13:13">
      <c r="M2823"/>
    </row>
    <row r="2824" spans="13:13">
      <c r="M2824"/>
    </row>
    <row r="2825" spans="13:13">
      <c r="M2825"/>
    </row>
    <row r="2826" spans="13:13">
      <c r="M2826"/>
    </row>
    <row r="2827" spans="13:13">
      <c r="M2827"/>
    </row>
    <row r="2828" spans="13:13">
      <c r="M2828"/>
    </row>
    <row r="2829" spans="13:13">
      <c r="M2829"/>
    </row>
    <row r="2830" spans="13:13">
      <c r="M2830"/>
    </row>
    <row r="2831" spans="13:13">
      <c r="M2831"/>
    </row>
    <row r="2832" spans="13:13">
      <c r="M2832"/>
    </row>
    <row r="2833" spans="13:13">
      <c r="M2833"/>
    </row>
    <row r="2834" spans="13:13">
      <c r="M2834"/>
    </row>
    <row r="2835" spans="13:13">
      <c r="M2835"/>
    </row>
    <row r="2836" spans="13:13">
      <c r="M2836"/>
    </row>
    <row r="2837" spans="13:13">
      <c r="M2837"/>
    </row>
    <row r="2838" spans="13:13">
      <c r="M2838"/>
    </row>
    <row r="2839" spans="13:13">
      <c r="M2839"/>
    </row>
    <row r="2840" spans="13:13">
      <c r="M2840"/>
    </row>
    <row r="2841" spans="13:13">
      <c r="M2841"/>
    </row>
    <row r="2842" spans="13:13">
      <c r="M2842"/>
    </row>
    <row r="2843" spans="13:13">
      <c r="M2843"/>
    </row>
    <row r="2844" spans="13:13">
      <c r="M2844"/>
    </row>
    <row r="2845" spans="13:13">
      <c r="M2845"/>
    </row>
    <row r="2846" spans="13:13">
      <c r="M2846"/>
    </row>
    <row r="2847" spans="13:13">
      <c r="M2847"/>
    </row>
    <row r="2848" spans="13:13">
      <c r="M2848"/>
    </row>
    <row r="2849" spans="13:13">
      <c r="M2849"/>
    </row>
    <row r="2850" spans="13:13">
      <c r="M2850"/>
    </row>
    <row r="2851" spans="13:13">
      <c r="M2851"/>
    </row>
    <row r="2852" spans="13:13">
      <c r="M2852"/>
    </row>
    <row r="2853" spans="13:13">
      <c r="M2853"/>
    </row>
    <row r="2854" spans="13:13">
      <c r="M2854"/>
    </row>
    <row r="2855" spans="13:13">
      <c r="M2855"/>
    </row>
    <row r="2856" spans="13:13">
      <c r="M2856"/>
    </row>
    <row r="2857" spans="13:13">
      <c r="M2857"/>
    </row>
    <row r="2858" spans="13:13">
      <c r="M2858"/>
    </row>
    <row r="2859" spans="13:13">
      <c r="M2859"/>
    </row>
    <row r="2860" spans="13:13">
      <c r="M2860"/>
    </row>
    <row r="2861" spans="13:13">
      <c r="M2861"/>
    </row>
    <row r="2862" spans="13:13">
      <c r="M2862"/>
    </row>
    <row r="2863" spans="13:13">
      <c r="M2863"/>
    </row>
    <row r="2864" spans="13:13">
      <c r="M2864"/>
    </row>
    <row r="2865" spans="13:13">
      <c r="M2865"/>
    </row>
    <row r="2866" spans="13:13">
      <c r="M2866"/>
    </row>
    <row r="2867" spans="13:13">
      <c r="M2867"/>
    </row>
    <row r="2868" spans="13:13">
      <c r="M2868"/>
    </row>
    <row r="2869" spans="13:13">
      <c r="M2869"/>
    </row>
    <row r="2870" spans="13:13">
      <c r="M2870"/>
    </row>
    <row r="2871" spans="13:13">
      <c r="M2871"/>
    </row>
    <row r="2872" spans="13:13">
      <c r="M2872"/>
    </row>
    <row r="2873" spans="13:13">
      <c r="M2873"/>
    </row>
    <row r="2874" spans="13:13">
      <c r="M2874"/>
    </row>
    <row r="2875" spans="13:13">
      <c r="M2875"/>
    </row>
    <row r="2876" spans="13:13">
      <c r="M2876"/>
    </row>
    <row r="2877" spans="13:13">
      <c r="M2877"/>
    </row>
    <row r="2878" spans="13:13">
      <c r="M2878"/>
    </row>
    <row r="2879" spans="13:13">
      <c r="M2879"/>
    </row>
    <row r="2880" spans="13:13">
      <c r="M2880"/>
    </row>
    <row r="2881" spans="13:13">
      <c r="M2881"/>
    </row>
    <row r="2882" spans="13:13">
      <c r="M2882"/>
    </row>
    <row r="2883" spans="13:13">
      <c r="M2883"/>
    </row>
    <row r="2884" spans="13:13">
      <c r="M2884"/>
    </row>
    <row r="2885" spans="13:13">
      <c r="M2885"/>
    </row>
    <row r="2886" spans="13:13">
      <c r="M2886"/>
    </row>
    <row r="2887" spans="13:13">
      <c r="M2887"/>
    </row>
    <row r="2888" spans="13:13">
      <c r="M2888"/>
    </row>
    <row r="2889" spans="13:13">
      <c r="M2889"/>
    </row>
    <row r="2890" spans="13:13">
      <c r="M2890"/>
    </row>
    <row r="2891" spans="13:13">
      <c r="M2891"/>
    </row>
    <row r="2892" spans="13:13">
      <c r="M2892"/>
    </row>
    <row r="2893" spans="13:13">
      <c r="M2893"/>
    </row>
    <row r="2894" spans="13:13">
      <c r="M2894"/>
    </row>
    <row r="2895" spans="13:13">
      <c r="M2895"/>
    </row>
    <row r="2896" spans="13:13">
      <c r="M2896"/>
    </row>
    <row r="2897" spans="13:13">
      <c r="M2897"/>
    </row>
    <row r="2898" spans="13:13">
      <c r="M2898"/>
    </row>
    <row r="2899" spans="13:13">
      <c r="M2899"/>
    </row>
    <row r="2900" spans="13:13">
      <c r="M2900"/>
    </row>
    <row r="2901" spans="13:13">
      <c r="M2901"/>
    </row>
    <row r="2902" spans="13:13">
      <c r="M2902"/>
    </row>
    <row r="2903" spans="13:13">
      <c r="M2903"/>
    </row>
    <row r="2904" spans="13:13">
      <c r="M2904"/>
    </row>
    <row r="2905" spans="13:13">
      <c r="M2905"/>
    </row>
    <row r="2906" spans="13:13">
      <c r="M2906"/>
    </row>
    <row r="2907" spans="13:13">
      <c r="M2907"/>
    </row>
    <row r="2908" spans="13:13">
      <c r="M2908"/>
    </row>
    <row r="2909" spans="13:13">
      <c r="M2909"/>
    </row>
    <row r="2910" spans="13:13">
      <c r="M2910"/>
    </row>
    <row r="2911" spans="13:13">
      <c r="M2911"/>
    </row>
    <row r="2912" spans="13:13">
      <c r="M2912"/>
    </row>
    <row r="2913" spans="13:13">
      <c r="M2913"/>
    </row>
    <row r="2914" spans="13:13">
      <c r="M2914"/>
    </row>
    <row r="2915" spans="13:13">
      <c r="M2915"/>
    </row>
    <row r="2916" spans="13:13">
      <c r="M2916"/>
    </row>
    <row r="2917" spans="13:13">
      <c r="M2917"/>
    </row>
    <row r="2918" spans="13:13">
      <c r="M2918"/>
    </row>
    <row r="2919" spans="13:13">
      <c r="M2919"/>
    </row>
    <row r="2920" spans="13:13">
      <c r="M2920"/>
    </row>
    <row r="2921" spans="13:13">
      <c r="M2921"/>
    </row>
    <row r="2922" spans="13:13">
      <c r="M2922"/>
    </row>
    <row r="2923" spans="13:13">
      <c r="M2923"/>
    </row>
    <row r="2924" spans="13:13">
      <c r="M2924"/>
    </row>
    <row r="2925" spans="13:13">
      <c r="M2925"/>
    </row>
    <row r="2926" spans="13:13">
      <c r="M2926"/>
    </row>
    <row r="2927" spans="13:13">
      <c r="M2927"/>
    </row>
    <row r="2928" spans="13:13">
      <c r="M2928"/>
    </row>
    <row r="2929" spans="13:13">
      <c r="M2929"/>
    </row>
    <row r="2930" spans="13:13">
      <c r="M2930"/>
    </row>
    <row r="2931" spans="13:13">
      <c r="M2931"/>
    </row>
    <row r="2932" spans="13:13">
      <c r="M2932"/>
    </row>
    <row r="2933" spans="13:13">
      <c r="M2933"/>
    </row>
    <row r="2934" spans="13:13">
      <c r="M2934"/>
    </row>
    <row r="2935" spans="13:13">
      <c r="M2935"/>
    </row>
    <row r="2936" spans="13:13">
      <c r="M2936"/>
    </row>
    <row r="2937" spans="13:13">
      <c r="M2937"/>
    </row>
    <row r="2938" spans="13:13">
      <c r="M2938"/>
    </row>
    <row r="2939" spans="13:13">
      <c r="M2939"/>
    </row>
    <row r="2940" spans="13:13">
      <c r="M2940"/>
    </row>
    <row r="2941" spans="13:13">
      <c r="M2941"/>
    </row>
    <row r="2942" spans="13:13">
      <c r="M2942"/>
    </row>
    <row r="2943" spans="13:13">
      <c r="M2943"/>
    </row>
    <row r="2944" spans="13:13">
      <c r="M2944"/>
    </row>
    <row r="2945" spans="13:13">
      <c r="M2945"/>
    </row>
    <row r="2946" spans="13:13">
      <c r="M2946"/>
    </row>
    <row r="2947" spans="13:13">
      <c r="M2947"/>
    </row>
    <row r="2948" spans="13:13">
      <c r="M2948"/>
    </row>
    <row r="2949" spans="13:13">
      <c r="M2949"/>
    </row>
    <row r="2950" spans="13:13">
      <c r="M2950"/>
    </row>
    <row r="2951" spans="13:13">
      <c r="M2951"/>
    </row>
    <row r="2952" spans="13:13">
      <c r="M2952"/>
    </row>
    <row r="2953" spans="13:13">
      <c r="M2953"/>
    </row>
    <row r="2954" spans="13:13">
      <c r="M2954"/>
    </row>
    <row r="2955" spans="13:13">
      <c r="M2955"/>
    </row>
    <row r="2956" spans="13:13">
      <c r="M2956"/>
    </row>
    <row r="2957" spans="13:13">
      <c r="M2957"/>
    </row>
    <row r="2958" spans="13:13">
      <c r="M2958"/>
    </row>
    <row r="2959" spans="13:13">
      <c r="M2959"/>
    </row>
    <row r="2960" spans="13:13">
      <c r="M2960"/>
    </row>
    <row r="2961" spans="13:13">
      <c r="M2961"/>
    </row>
    <row r="2962" spans="13:13">
      <c r="M2962"/>
    </row>
    <row r="2963" spans="13:13">
      <c r="M2963"/>
    </row>
    <row r="2964" spans="13:13">
      <c r="M2964"/>
    </row>
    <row r="2965" spans="13:13">
      <c r="M2965"/>
    </row>
    <row r="2966" spans="13:13">
      <c r="M2966"/>
    </row>
    <row r="2967" spans="13:13">
      <c r="M2967"/>
    </row>
    <row r="2968" spans="13:13">
      <c r="M2968"/>
    </row>
    <row r="2969" spans="13:13">
      <c r="M2969"/>
    </row>
    <row r="2970" spans="13:13">
      <c r="M2970"/>
    </row>
    <row r="2971" spans="13:13">
      <c r="M2971"/>
    </row>
    <row r="2972" spans="13:13">
      <c r="M2972"/>
    </row>
    <row r="2973" spans="13:13">
      <c r="M2973"/>
    </row>
    <row r="2974" spans="13:13">
      <c r="M2974"/>
    </row>
    <row r="2975" spans="13:13">
      <c r="M2975"/>
    </row>
    <row r="2976" spans="13:13">
      <c r="M2976"/>
    </row>
    <row r="2977" spans="13:13">
      <c r="M2977"/>
    </row>
    <row r="2978" spans="13:13">
      <c r="M2978"/>
    </row>
    <row r="2979" spans="13:13">
      <c r="M2979"/>
    </row>
    <row r="2980" spans="13:13">
      <c r="M2980"/>
    </row>
    <row r="2981" spans="13:13">
      <c r="M2981"/>
    </row>
    <row r="2982" spans="13:13">
      <c r="M2982"/>
    </row>
    <row r="2983" spans="13:13">
      <c r="M2983"/>
    </row>
    <row r="2984" spans="13:13">
      <c r="M2984"/>
    </row>
    <row r="2985" spans="13:13">
      <c r="M2985"/>
    </row>
    <row r="2986" spans="13:13">
      <c r="M2986"/>
    </row>
    <row r="2987" spans="13:13">
      <c r="M2987"/>
    </row>
    <row r="2988" spans="13:13">
      <c r="M2988"/>
    </row>
    <row r="2989" spans="13:13">
      <c r="M2989"/>
    </row>
    <row r="2990" spans="13:13">
      <c r="M2990"/>
    </row>
    <row r="2991" spans="13:13">
      <c r="M2991"/>
    </row>
    <row r="2992" spans="13:13">
      <c r="M2992"/>
    </row>
    <row r="2993" spans="13:13">
      <c r="M2993"/>
    </row>
    <row r="2994" spans="13:13">
      <c r="M2994"/>
    </row>
    <row r="2995" spans="13:13">
      <c r="M2995"/>
    </row>
    <row r="2996" spans="13:13">
      <c r="M2996"/>
    </row>
    <row r="2997" spans="13:13">
      <c r="M2997"/>
    </row>
    <row r="2998" spans="13:13">
      <c r="M2998"/>
    </row>
    <row r="2999" spans="13:13">
      <c r="M2999"/>
    </row>
    <row r="3000" spans="13:13">
      <c r="M3000"/>
    </row>
    <row r="3001" spans="13:13">
      <c r="M3001"/>
    </row>
    <row r="3002" spans="13:13">
      <c r="M3002"/>
    </row>
    <row r="3003" spans="13:13">
      <c r="M3003"/>
    </row>
    <row r="3004" spans="13:13">
      <c r="M3004"/>
    </row>
    <row r="3005" spans="13:13">
      <c r="M3005"/>
    </row>
    <row r="3006" spans="13:13">
      <c r="M3006"/>
    </row>
    <row r="3007" spans="13:13">
      <c r="M3007"/>
    </row>
    <row r="3008" spans="13:13">
      <c r="M3008"/>
    </row>
    <row r="3009" spans="13:13">
      <c r="M3009"/>
    </row>
    <row r="3010" spans="13:13">
      <c r="M3010"/>
    </row>
    <row r="3011" spans="13:13">
      <c r="M3011"/>
    </row>
    <row r="3012" spans="13:13">
      <c r="M3012"/>
    </row>
    <row r="3013" spans="13:13">
      <c r="M3013"/>
    </row>
    <row r="3014" spans="13:13">
      <c r="M3014"/>
    </row>
    <row r="3015" spans="13:13">
      <c r="M3015"/>
    </row>
    <row r="3016" spans="13:13">
      <c r="M3016"/>
    </row>
    <row r="3017" spans="13:13">
      <c r="M3017"/>
    </row>
    <row r="3018" spans="13:13">
      <c r="M3018"/>
    </row>
    <row r="3019" spans="13:13">
      <c r="M3019"/>
    </row>
    <row r="3020" spans="13:13">
      <c r="M3020"/>
    </row>
    <row r="3021" spans="13:13">
      <c r="M3021"/>
    </row>
    <row r="3022" spans="13:13">
      <c r="M3022"/>
    </row>
    <row r="3023" spans="13:13">
      <c r="M3023"/>
    </row>
    <row r="3024" spans="13:13">
      <c r="M3024"/>
    </row>
    <row r="3025" spans="13:13">
      <c r="M3025"/>
    </row>
    <row r="3026" spans="13:13">
      <c r="M3026"/>
    </row>
    <row r="3027" spans="13:13">
      <c r="M3027"/>
    </row>
    <row r="3028" spans="13:13">
      <c r="M3028"/>
    </row>
    <row r="3029" spans="13:13">
      <c r="M3029"/>
    </row>
    <row r="3030" spans="13:13">
      <c r="M3030"/>
    </row>
    <row r="3031" spans="13:13">
      <c r="M3031"/>
    </row>
    <row r="3032" spans="13:13">
      <c r="M3032"/>
    </row>
    <row r="3033" spans="13:13">
      <c r="M3033"/>
    </row>
    <row r="3034" spans="13:13">
      <c r="M3034"/>
    </row>
    <row r="3035" spans="13:13">
      <c r="M3035"/>
    </row>
    <row r="3036" spans="13:13">
      <c r="M3036"/>
    </row>
    <row r="3037" spans="13:13">
      <c r="M3037"/>
    </row>
    <row r="3038" spans="13:13">
      <c r="M3038"/>
    </row>
    <row r="3039" spans="13:13">
      <c r="M3039"/>
    </row>
    <row r="3040" spans="13:13">
      <c r="M3040"/>
    </row>
    <row r="3041" spans="13:13">
      <c r="M3041"/>
    </row>
    <row r="3042" spans="13:13">
      <c r="M3042"/>
    </row>
    <row r="3043" spans="13:13">
      <c r="M3043"/>
    </row>
    <row r="3044" spans="13:13">
      <c r="M3044"/>
    </row>
    <row r="3045" spans="13:13">
      <c r="M3045"/>
    </row>
    <row r="3046" spans="13:13">
      <c r="M3046"/>
    </row>
    <row r="3047" spans="13:13">
      <c r="M3047"/>
    </row>
    <row r="3048" spans="13:13">
      <c r="M3048"/>
    </row>
    <row r="3049" spans="13:13">
      <c r="M3049"/>
    </row>
    <row r="3050" spans="13:13">
      <c r="M3050"/>
    </row>
    <row r="3051" spans="13:13">
      <c r="M3051"/>
    </row>
    <row r="3052" spans="13:13">
      <c r="M3052"/>
    </row>
    <row r="3053" spans="13:13">
      <c r="M3053"/>
    </row>
    <row r="3054" spans="13:13">
      <c r="M3054"/>
    </row>
    <row r="3055" spans="13:13">
      <c r="M3055"/>
    </row>
    <row r="3056" spans="13:13">
      <c r="M3056"/>
    </row>
    <row r="3057" spans="13:13">
      <c r="M3057"/>
    </row>
    <row r="3058" spans="13:13">
      <c r="M3058"/>
    </row>
    <row r="3059" spans="13:13">
      <c r="M3059"/>
    </row>
    <row r="3060" spans="13:13">
      <c r="M3060"/>
    </row>
    <row r="3061" spans="13:13">
      <c r="M3061"/>
    </row>
    <row r="3062" spans="13:13">
      <c r="M3062"/>
    </row>
    <row r="3063" spans="13:13">
      <c r="M3063"/>
    </row>
    <row r="3064" spans="13:13">
      <c r="M3064"/>
    </row>
    <row r="3065" spans="13:13">
      <c r="M3065"/>
    </row>
    <row r="3066" spans="13:13">
      <c r="M3066"/>
    </row>
    <row r="3067" spans="13:13">
      <c r="M3067"/>
    </row>
    <row r="3068" spans="13:13">
      <c r="M3068"/>
    </row>
    <row r="3069" spans="13:13">
      <c r="M3069"/>
    </row>
    <row r="3070" spans="13:13">
      <c r="M3070"/>
    </row>
    <row r="3071" spans="13:13">
      <c r="M3071"/>
    </row>
    <row r="3072" spans="13:13">
      <c r="M3072"/>
    </row>
    <row r="3073" spans="13:13">
      <c r="M3073"/>
    </row>
    <row r="3074" spans="13:13">
      <c r="M3074"/>
    </row>
    <row r="3075" spans="13:13">
      <c r="M3075"/>
    </row>
    <row r="3076" spans="13:13">
      <c r="M3076"/>
    </row>
    <row r="3077" spans="13:13">
      <c r="M3077"/>
    </row>
    <row r="3078" spans="13:13">
      <c r="M3078"/>
    </row>
    <row r="3079" spans="13:13">
      <c r="M3079"/>
    </row>
    <row r="3080" spans="13:13">
      <c r="M3080"/>
    </row>
    <row r="3081" spans="13:13">
      <c r="M3081"/>
    </row>
    <row r="3082" spans="13:13">
      <c r="M3082"/>
    </row>
    <row r="3083" spans="13:13">
      <c r="M3083"/>
    </row>
    <row r="3084" spans="13:13">
      <c r="M3084"/>
    </row>
    <row r="3085" spans="13:13">
      <c r="M3085"/>
    </row>
    <row r="3086" spans="13:13">
      <c r="M3086"/>
    </row>
    <row r="3087" spans="13:13">
      <c r="M3087"/>
    </row>
    <row r="3088" spans="13:13">
      <c r="M3088"/>
    </row>
    <row r="3089" spans="13:13">
      <c r="M3089"/>
    </row>
    <row r="3090" spans="13:13">
      <c r="M3090"/>
    </row>
    <row r="3091" spans="13:13">
      <c r="M3091"/>
    </row>
    <row r="3092" spans="13:13">
      <c r="M3092"/>
    </row>
    <row r="3093" spans="13:13">
      <c r="M3093"/>
    </row>
    <row r="3094" spans="13:13">
      <c r="M3094"/>
    </row>
    <row r="3095" spans="13:13">
      <c r="M3095"/>
    </row>
    <row r="3096" spans="13:13">
      <c r="M3096"/>
    </row>
    <row r="3097" spans="13:13">
      <c r="M3097"/>
    </row>
    <row r="3098" spans="13:13">
      <c r="M3098"/>
    </row>
    <row r="3099" spans="13:13">
      <c r="M3099"/>
    </row>
    <row r="3100" spans="13:13">
      <c r="M3100"/>
    </row>
    <row r="3101" spans="13:13">
      <c r="M3101"/>
    </row>
    <row r="3102" spans="13:13">
      <c r="M3102"/>
    </row>
    <row r="3103" spans="13:13">
      <c r="M3103"/>
    </row>
    <row r="3104" spans="13:13">
      <c r="M3104"/>
    </row>
    <row r="3105" spans="13:13">
      <c r="M3105"/>
    </row>
    <row r="3106" spans="13:13">
      <c r="M3106"/>
    </row>
    <row r="3107" spans="13:13">
      <c r="M3107"/>
    </row>
    <row r="3108" spans="13:13">
      <c r="M3108"/>
    </row>
    <row r="3109" spans="13:13">
      <c r="M3109"/>
    </row>
    <row r="3110" spans="13:13">
      <c r="M3110"/>
    </row>
    <row r="3111" spans="13:13">
      <c r="M3111"/>
    </row>
    <row r="3112" spans="13:13">
      <c r="M3112"/>
    </row>
    <row r="3113" spans="13:13">
      <c r="M3113"/>
    </row>
    <row r="3114" spans="13:13">
      <c r="M3114"/>
    </row>
    <row r="3115" spans="13:13">
      <c r="M3115"/>
    </row>
    <row r="3116" spans="13:13">
      <c r="M3116"/>
    </row>
    <row r="3117" spans="13:13">
      <c r="M3117"/>
    </row>
    <row r="3118" spans="13:13">
      <c r="M3118"/>
    </row>
    <row r="3119" spans="13:13">
      <c r="M3119"/>
    </row>
    <row r="3120" spans="13:13">
      <c r="M3120"/>
    </row>
    <row r="3121" spans="13:13">
      <c r="M3121"/>
    </row>
    <row r="3122" spans="13:13">
      <c r="M3122"/>
    </row>
    <row r="3123" spans="13:13">
      <c r="M3123"/>
    </row>
    <row r="3124" spans="13:13">
      <c r="M3124"/>
    </row>
    <row r="3125" spans="13:13">
      <c r="M3125"/>
    </row>
    <row r="3126" spans="13:13">
      <c r="M3126"/>
    </row>
    <row r="3127" spans="13:13">
      <c r="M3127"/>
    </row>
    <row r="3128" spans="13:13">
      <c r="M3128"/>
    </row>
    <row r="3129" spans="13:13">
      <c r="M3129"/>
    </row>
    <row r="3130" spans="13:13">
      <c r="M3130"/>
    </row>
    <row r="3131" spans="13:13">
      <c r="M3131"/>
    </row>
    <row r="3132" spans="13:13">
      <c r="M3132"/>
    </row>
    <row r="3133" spans="13:13">
      <c r="M3133"/>
    </row>
    <row r="3134" spans="13:13">
      <c r="M3134"/>
    </row>
    <row r="3135" spans="13:13">
      <c r="M3135"/>
    </row>
    <row r="3136" spans="13:13">
      <c r="M3136"/>
    </row>
    <row r="3137" spans="13:13">
      <c r="M3137"/>
    </row>
    <row r="3138" spans="13:13">
      <c r="M3138"/>
    </row>
    <row r="3139" spans="13:13">
      <c r="M3139"/>
    </row>
    <row r="3140" spans="13:13">
      <c r="M3140"/>
    </row>
    <row r="3141" spans="13:13">
      <c r="M3141"/>
    </row>
    <row r="3142" spans="13:13">
      <c r="M3142"/>
    </row>
    <row r="3143" spans="13:13">
      <c r="M3143"/>
    </row>
    <row r="3144" spans="13:13">
      <c r="M3144"/>
    </row>
    <row r="3145" spans="13:13">
      <c r="M3145"/>
    </row>
    <row r="3146" spans="13:13">
      <c r="M3146"/>
    </row>
    <row r="3147" spans="13:13">
      <c r="M3147"/>
    </row>
    <row r="3148" spans="13:13">
      <c r="M3148"/>
    </row>
    <row r="3149" spans="13:13">
      <c r="M3149"/>
    </row>
    <row r="3150" spans="13:13">
      <c r="M3150"/>
    </row>
    <row r="3151" spans="13:13">
      <c r="M3151"/>
    </row>
    <row r="3152" spans="13:13">
      <c r="M3152"/>
    </row>
    <row r="3153" spans="13:13">
      <c r="M3153"/>
    </row>
    <row r="3154" spans="13:13">
      <c r="M3154"/>
    </row>
    <row r="3155" spans="13:13">
      <c r="M3155"/>
    </row>
    <row r="3156" spans="13:13">
      <c r="M3156"/>
    </row>
    <row r="3157" spans="13:13">
      <c r="M3157"/>
    </row>
    <row r="3158" spans="13:13">
      <c r="M3158"/>
    </row>
    <row r="3159" spans="13:13">
      <c r="M3159"/>
    </row>
    <row r="3160" spans="13:13">
      <c r="M3160"/>
    </row>
    <row r="3161" spans="13:13">
      <c r="M3161"/>
    </row>
    <row r="3162" spans="13:13">
      <c r="M3162"/>
    </row>
    <row r="3163" spans="13:13">
      <c r="M3163"/>
    </row>
    <row r="3164" spans="13:13">
      <c r="M3164"/>
    </row>
    <row r="3165" spans="13:13">
      <c r="M3165"/>
    </row>
    <row r="3166" spans="13:13">
      <c r="M3166"/>
    </row>
    <row r="3167" spans="13:13">
      <c r="M3167"/>
    </row>
    <row r="3168" spans="13:13">
      <c r="M3168"/>
    </row>
    <row r="3169" spans="13:13">
      <c r="M3169"/>
    </row>
    <row r="3170" spans="13:13">
      <c r="M3170"/>
    </row>
    <row r="3171" spans="13:13">
      <c r="M3171"/>
    </row>
    <row r="3172" spans="13:13">
      <c r="M3172"/>
    </row>
    <row r="3173" spans="13:13">
      <c r="M3173"/>
    </row>
    <row r="3174" spans="13:13">
      <c r="M3174"/>
    </row>
    <row r="3175" spans="13:13">
      <c r="M3175"/>
    </row>
    <row r="3176" spans="13:13">
      <c r="M3176"/>
    </row>
    <row r="3177" spans="13:13">
      <c r="M3177"/>
    </row>
    <row r="3178" spans="13:13">
      <c r="M3178"/>
    </row>
    <row r="3179" spans="13:13">
      <c r="M3179"/>
    </row>
    <row r="3180" spans="13:13">
      <c r="M3180"/>
    </row>
    <row r="3181" spans="13:13">
      <c r="M3181"/>
    </row>
    <row r="3182" spans="13:13">
      <c r="M3182"/>
    </row>
    <row r="3183" spans="13:13">
      <c r="M3183"/>
    </row>
    <row r="3184" spans="13:13">
      <c r="M3184"/>
    </row>
    <row r="3185" spans="13:13">
      <c r="M3185"/>
    </row>
    <row r="3186" spans="13:13">
      <c r="M3186"/>
    </row>
    <row r="3187" spans="13:13">
      <c r="M3187"/>
    </row>
    <row r="3188" spans="13:13">
      <c r="M3188"/>
    </row>
    <row r="3189" spans="13:13">
      <c r="M3189"/>
    </row>
    <row r="3190" spans="13:13">
      <c r="M3190"/>
    </row>
    <row r="3191" spans="13:13">
      <c r="M3191"/>
    </row>
    <row r="3192" spans="13:13">
      <c r="M3192"/>
    </row>
  </sheetData>
  <autoFilter ref="S1:W69" xr:uid="{07030942-19E3-40A9-B198-D478EFDC66EA}"/>
  <mergeCells count="2">
    <mergeCell ref="G89:L89"/>
    <mergeCell ref="G96:H96"/>
  </mergeCells>
  <conditionalFormatting sqref="M2:M17">
    <cfRule type="duplicateValues" dxfId="0" priority="1"/>
  </conditionalFormatting>
  <pageMargins left="0.7" right="0.7" top="0.75" bottom="0.75" header="0.3" footer="0.3"/>
  <customProperties>
    <customPr name="LastActive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AC9EF-B2F6-4224-92FE-AA67CC0BE643}">
  <sheetPr codeName="Sheet2"/>
  <dimension ref="B2:U41"/>
  <sheetViews>
    <sheetView topLeftCell="A22" workbookViewId="0">
      <selection activeCell="E34" sqref="E34:K41"/>
    </sheetView>
  </sheetViews>
  <sheetFormatPr defaultRowHeight="15"/>
  <cols>
    <col min="2" max="2" width="2" hidden="1" customWidth="1"/>
    <col min="3" max="3" width="3.5703125" customWidth="1"/>
    <col min="4" max="4" width="38.85546875" customWidth="1"/>
    <col min="5" max="5" width="9.7109375" bestFit="1" customWidth="1"/>
    <col min="6" max="6" width="19.7109375" customWidth="1"/>
    <col min="7" max="7" width="13.28515625" customWidth="1"/>
    <col min="8" max="8" width="10.5703125" bestFit="1" customWidth="1"/>
    <col min="9" max="9" width="22.85546875" bestFit="1" customWidth="1"/>
    <col min="10" max="10" width="15" customWidth="1"/>
    <col min="11" max="11" width="16.5703125" bestFit="1" customWidth="1"/>
    <col min="18" max="18" width="16" customWidth="1"/>
    <col min="19" max="19" width="12.42578125" customWidth="1"/>
  </cols>
  <sheetData>
    <row r="2" spans="3:21" ht="30.75" customHeight="1">
      <c r="C2" s="1941" t="s">
        <v>4869</v>
      </c>
      <c r="D2" s="1941"/>
      <c r="P2" s="1168" t="s">
        <v>4938</v>
      </c>
      <c r="Q2" s="1169"/>
      <c r="R2" s="1169"/>
      <c r="S2" s="1170"/>
      <c r="T2" s="1170"/>
      <c r="U2" s="1170"/>
    </row>
    <row r="3" spans="3:21" ht="30.75" customHeight="1">
      <c r="C3" s="1941"/>
      <c r="D3" s="1941"/>
      <c r="P3" s="1167" t="s">
        <v>2855</v>
      </c>
      <c r="Q3" s="1165"/>
      <c r="R3" s="1165"/>
      <c r="S3" s="1"/>
      <c r="T3" s="1"/>
      <c r="U3" s="1"/>
    </row>
    <row r="4" spans="3:21" ht="30.75" customHeight="1">
      <c r="P4" s="1167" t="s">
        <v>2856</v>
      </c>
      <c r="Q4" s="1165"/>
      <c r="R4" s="1165"/>
      <c r="S4" s="1"/>
      <c r="T4" s="1"/>
      <c r="U4" s="1"/>
    </row>
    <row r="5" spans="3:21" ht="30.75" customHeight="1">
      <c r="D5" s="1101" t="s">
        <v>4870</v>
      </c>
      <c r="E5" s="1100">
        <v>45502</v>
      </c>
      <c r="P5" s="1167" t="s">
        <v>2969</v>
      </c>
      <c r="Q5" s="1165"/>
      <c r="R5" s="1165"/>
      <c r="S5" s="1166" t="s">
        <v>4937</v>
      </c>
      <c r="T5" s="1"/>
      <c r="U5" s="1"/>
    </row>
    <row r="6" spans="3:21" ht="30.75" customHeight="1">
      <c r="D6" s="1101" t="s">
        <v>4871</v>
      </c>
      <c r="E6" s="1100">
        <v>45551</v>
      </c>
      <c r="P6" s="1167" t="s">
        <v>2968</v>
      </c>
      <c r="Q6" s="1165"/>
      <c r="R6" s="1165"/>
      <c r="S6" s="1"/>
      <c r="T6" s="1"/>
      <c r="U6" s="1"/>
    </row>
    <row r="7" spans="3:21" ht="30.75" customHeight="1">
      <c r="P7" s="1167" t="s">
        <v>3022</v>
      </c>
      <c r="Q7" s="1165"/>
      <c r="R7" s="1165"/>
      <c r="S7" s="1165" t="s">
        <v>4939</v>
      </c>
      <c r="T7" s="1"/>
      <c r="U7" s="1"/>
    </row>
    <row r="8" spans="3:21" ht="52.5" customHeight="1">
      <c r="C8" s="1111" t="s">
        <v>13</v>
      </c>
      <c r="D8" s="1111" t="s">
        <v>1074</v>
      </c>
      <c r="E8" s="1112" t="s">
        <v>4872</v>
      </c>
      <c r="F8" s="1112" t="s">
        <v>4873</v>
      </c>
      <c r="G8" s="1112" t="s">
        <v>1083</v>
      </c>
      <c r="H8" s="1112" t="s">
        <v>2979</v>
      </c>
      <c r="I8" s="1127" t="s">
        <v>223</v>
      </c>
      <c r="J8" s="1132" t="s">
        <v>4874</v>
      </c>
    </row>
    <row r="9" spans="3:21" ht="35.25" customHeight="1">
      <c r="C9" s="1108">
        <v>5</v>
      </c>
      <c r="D9" s="1103" t="s">
        <v>1040</v>
      </c>
      <c r="E9" s="1121">
        <v>54</v>
      </c>
      <c r="F9" s="1122">
        <v>718.2</v>
      </c>
      <c r="G9" s="1102">
        <v>300</v>
      </c>
      <c r="H9" s="1113">
        <v>418.20000000000005</v>
      </c>
      <c r="I9" s="1128" t="s">
        <v>2983</v>
      </c>
      <c r="J9" s="1133"/>
    </row>
    <row r="10" spans="3:21" ht="35.25" customHeight="1">
      <c r="C10" s="1109">
        <v>6</v>
      </c>
      <c r="D10" s="33" t="s">
        <v>1041</v>
      </c>
      <c r="E10" s="1123">
        <v>44</v>
      </c>
      <c r="F10" s="1124">
        <v>513.33333333333326</v>
      </c>
      <c r="G10" s="1104"/>
      <c r="H10" s="1114">
        <v>513.33333333333326</v>
      </c>
      <c r="I10" s="1129"/>
      <c r="J10" s="1134"/>
    </row>
    <row r="11" spans="3:21" ht="35.25" customHeight="1">
      <c r="C11" s="1109">
        <v>7</v>
      </c>
      <c r="D11" s="33" t="s">
        <v>1042</v>
      </c>
      <c r="E11" s="1123">
        <v>69</v>
      </c>
      <c r="F11" s="1124">
        <v>488.75</v>
      </c>
      <c r="G11" s="1104"/>
      <c r="H11" s="1114">
        <v>488.75</v>
      </c>
      <c r="I11" s="1129"/>
      <c r="J11" s="1134"/>
    </row>
    <row r="12" spans="3:21" ht="35.25" customHeight="1">
      <c r="C12" s="1109">
        <v>8</v>
      </c>
      <c r="D12" s="33" t="s">
        <v>1043</v>
      </c>
      <c r="E12" s="1123">
        <v>51</v>
      </c>
      <c r="F12" s="1124">
        <v>382.5</v>
      </c>
      <c r="G12" s="1104"/>
      <c r="H12" s="1114">
        <v>382.5</v>
      </c>
      <c r="I12" s="1129"/>
      <c r="J12" s="1134"/>
    </row>
    <row r="13" spans="3:21" ht="35.25" customHeight="1">
      <c r="C13" s="1109">
        <v>9</v>
      </c>
      <c r="D13" s="33" t="s">
        <v>1044</v>
      </c>
      <c r="E13" s="1123">
        <v>71</v>
      </c>
      <c r="F13" s="1124">
        <v>473.33333333333337</v>
      </c>
      <c r="G13" s="1104"/>
      <c r="H13" s="1114">
        <v>473.33333333333337</v>
      </c>
      <c r="I13" s="1129"/>
      <c r="J13" s="1134"/>
    </row>
    <row r="14" spans="3:21" ht="35.25" customHeight="1">
      <c r="C14" s="1109">
        <v>10</v>
      </c>
      <c r="D14" s="33" t="s">
        <v>1045</v>
      </c>
      <c r="E14" s="1123">
        <v>55</v>
      </c>
      <c r="F14" s="1124">
        <v>550</v>
      </c>
      <c r="G14" s="1104"/>
      <c r="H14" s="1114">
        <v>550</v>
      </c>
      <c r="I14" s="1129"/>
      <c r="J14" s="1134"/>
    </row>
    <row r="15" spans="3:21" ht="35.25" customHeight="1">
      <c r="C15" s="1109">
        <v>11</v>
      </c>
      <c r="D15" s="33" t="s">
        <v>1046</v>
      </c>
      <c r="E15" s="1123">
        <v>47</v>
      </c>
      <c r="F15" s="1124">
        <v>235</v>
      </c>
      <c r="G15" s="1104"/>
      <c r="H15" s="1114">
        <v>235</v>
      </c>
      <c r="I15" s="1129"/>
      <c r="J15" s="1134"/>
    </row>
    <row r="16" spans="3:21" ht="35.25" customHeight="1">
      <c r="C16" s="1109">
        <v>12</v>
      </c>
      <c r="D16" s="33" t="s">
        <v>1047</v>
      </c>
      <c r="E16" s="1123">
        <v>59</v>
      </c>
      <c r="F16" s="1124">
        <v>319.58333333333337</v>
      </c>
      <c r="G16" s="1104"/>
      <c r="H16" s="1114">
        <v>319.58333333333337</v>
      </c>
      <c r="I16" s="1129"/>
      <c r="J16" s="1134"/>
    </row>
    <row r="17" spans="3:10" ht="35.25" customHeight="1">
      <c r="C17" s="1109">
        <v>13</v>
      </c>
      <c r="D17" s="33" t="s">
        <v>1048</v>
      </c>
      <c r="E17" s="1123">
        <v>44</v>
      </c>
      <c r="F17" s="1124">
        <v>843.04</v>
      </c>
      <c r="G17" s="1105">
        <v>250</v>
      </c>
      <c r="H17" s="1114">
        <v>593.04</v>
      </c>
      <c r="I17" s="1129" t="s">
        <v>2982</v>
      </c>
      <c r="J17" s="1134"/>
    </row>
    <row r="18" spans="3:10" ht="35.25" customHeight="1">
      <c r="C18" s="1109">
        <v>14</v>
      </c>
      <c r="D18" s="33" t="s">
        <v>1049</v>
      </c>
      <c r="E18" s="1123">
        <v>54</v>
      </c>
      <c r="F18" s="1124">
        <v>225.00000000000003</v>
      </c>
      <c r="G18" s="1104"/>
      <c r="H18" s="1114">
        <v>225.00000000000003</v>
      </c>
      <c r="I18" s="1129"/>
      <c r="J18" s="1134"/>
    </row>
    <row r="19" spans="3:10" ht="35.25" customHeight="1">
      <c r="C19" s="1109">
        <v>15</v>
      </c>
      <c r="D19" s="33" t="s">
        <v>1050</v>
      </c>
      <c r="E19" s="1123">
        <v>49</v>
      </c>
      <c r="F19" s="1124">
        <v>367.5</v>
      </c>
      <c r="G19" s="1104"/>
      <c r="H19" s="1114">
        <v>367.5</v>
      </c>
      <c r="I19" s="1129"/>
      <c r="J19" s="1134"/>
    </row>
    <row r="20" spans="3:10" ht="35.25" customHeight="1">
      <c r="C20" s="1110">
        <v>16</v>
      </c>
      <c r="D20" s="1107" t="s">
        <v>1051</v>
      </c>
      <c r="E20" s="1125">
        <v>58</v>
      </c>
      <c r="F20" s="1126">
        <v>241.66666666666669</v>
      </c>
      <c r="G20" s="1106"/>
      <c r="H20" s="1115">
        <v>241.66666666666669</v>
      </c>
      <c r="I20" s="1130"/>
      <c r="J20" s="1135"/>
    </row>
    <row r="21" spans="3:10" ht="28.5" customHeight="1" thickBot="1">
      <c r="C21" s="1116"/>
      <c r="D21" s="1117" t="s">
        <v>2981</v>
      </c>
      <c r="E21" s="1118"/>
      <c r="F21" s="1119"/>
      <c r="G21" s="1119"/>
      <c r="H21" s="1120">
        <f>SUM(H9:H20)</f>
        <v>4807.9066666666677</v>
      </c>
      <c r="I21" s="1131"/>
      <c r="J21" s="1136"/>
    </row>
    <row r="22" spans="3:10" ht="10.5" customHeight="1" thickTop="1"/>
    <row r="23" spans="3:10">
      <c r="D23" s="1137" t="s">
        <v>4875</v>
      </c>
    </row>
    <row r="33" spans="5:11" ht="15.75" thickBot="1"/>
    <row r="34" spans="5:11" ht="19.5" thickBot="1">
      <c r="E34" s="1942" t="s">
        <v>220</v>
      </c>
      <c r="F34" s="1943"/>
      <c r="G34" s="1943"/>
      <c r="H34" s="1943"/>
      <c r="I34" s="1943"/>
      <c r="J34" s="1943"/>
      <c r="K34" s="1488">
        <v>170000</v>
      </c>
    </row>
    <row r="35" spans="5:11" ht="16.5" thickBot="1">
      <c r="E35" s="1486" t="s">
        <v>830</v>
      </c>
      <c r="F35" s="1487" t="s">
        <v>14</v>
      </c>
      <c r="G35" s="1487" t="s">
        <v>240</v>
      </c>
      <c r="H35" s="1487" t="s">
        <v>222</v>
      </c>
      <c r="I35" s="1487" t="s">
        <v>241</v>
      </c>
      <c r="J35" s="1487" t="s">
        <v>240</v>
      </c>
      <c r="K35" s="1487" t="s">
        <v>222</v>
      </c>
    </row>
    <row r="36" spans="5:11" ht="16.5" thickBot="1">
      <c r="E36" s="1467">
        <v>1</v>
      </c>
      <c r="F36" s="1468" t="s">
        <v>242</v>
      </c>
      <c r="G36" s="1469">
        <v>0.25</v>
      </c>
      <c r="H36" s="1470">
        <f>G36*$K$34</f>
        <v>42500</v>
      </c>
      <c r="I36" s="1468" t="s">
        <v>243</v>
      </c>
      <c r="J36" s="1469">
        <v>1</v>
      </c>
      <c r="K36" s="1471">
        <f>H36*J36</f>
        <v>42500</v>
      </c>
    </row>
    <row r="37" spans="5:11" ht="16.5" thickBot="1">
      <c r="E37" s="1472">
        <v>2</v>
      </c>
      <c r="F37" s="1473" t="s">
        <v>244</v>
      </c>
      <c r="G37" s="1474">
        <v>0.3</v>
      </c>
      <c r="H37" s="1470">
        <f>G37*$K$34</f>
        <v>51000</v>
      </c>
      <c r="I37" s="1468" t="s">
        <v>831</v>
      </c>
      <c r="J37" s="1469">
        <v>1</v>
      </c>
      <c r="K37" s="1471">
        <f>H37*J37</f>
        <v>51000</v>
      </c>
    </row>
    <row r="38" spans="5:11" ht="16.5" thickBot="1">
      <c r="E38" s="1475">
        <v>3</v>
      </c>
      <c r="F38" s="1476" t="s">
        <v>245</v>
      </c>
      <c r="G38" s="1477">
        <v>0.35</v>
      </c>
      <c r="H38" s="1470">
        <f>G38*$K$34</f>
        <v>59499.999999999993</v>
      </c>
      <c r="I38" s="1468" t="s">
        <v>831</v>
      </c>
      <c r="J38" s="1469">
        <v>1</v>
      </c>
      <c r="K38" s="1471">
        <f>H38*J38</f>
        <v>59499.999999999993</v>
      </c>
    </row>
    <row r="39" spans="5:11" ht="16.5" thickBot="1">
      <c r="E39" s="1478">
        <v>4</v>
      </c>
      <c r="F39" s="1479" t="s">
        <v>246</v>
      </c>
      <c r="G39" s="1480">
        <v>7.0000000000000007E-2</v>
      </c>
      <c r="H39" s="1470">
        <f>G39*$K$34</f>
        <v>11900.000000000002</v>
      </c>
      <c r="I39" s="1468" t="s">
        <v>243</v>
      </c>
      <c r="J39" s="1469">
        <v>1</v>
      </c>
      <c r="K39" s="1471">
        <f>H39*J39</f>
        <v>11900.000000000002</v>
      </c>
    </row>
    <row r="40" spans="5:11" ht="16.5" thickBot="1">
      <c r="E40" s="1472">
        <v>5</v>
      </c>
      <c r="F40" s="1473" t="s">
        <v>855</v>
      </c>
      <c r="G40" s="1474">
        <v>0.03</v>
      </c>
      <c r="H40" s="1470">
        <f>G40*$K$34</f>
        <v>5100</v>
      </c>
      <c r="I40" s="1473" t="s">
        <v>243</v>
      </c>
      <c r="J40" s="1474">
        <v>1</v>
      </c>
      <c r="K40" s="1471">
        <f>H40*J40</f>
        <v>5100</v>
      </c>
    </row>
    <row r="41" spans="5:11" ht="19.5" thickBot="1">
      <c r="E41" s="1944" t="s">
        <v>247</v>
      </c>
      <c r="F41" s="1945"/>
      <c r="G41" s="1481">
        <v>1</v>
      </c>
      <c r="H41" s="1482">
        <f>SUM(H36:H40)</f>
        <v>170000</v>
      </c>
      <c r="I41" s="1483"/>
      <c r="J41" s="1484"/>
      <c r="K41" s="1485">
        <f>SUM(K36:K40)</f>
        <v>170000</v>
      </c>
    </row>
  </sheetData>
  <mergeCells count="3">
    <mergeCell ref="C2:D3"/>
    <mergeCell ref="E34:J34"/>
    <mergeCell ref="E41:F41"/>
  </mergeCells>
  <pageMargins left="0.15748031496062992" right="0.11811023622047245" top="0.15748031496062992" bottom="0.15748031496062992" header="0.11811023622047245" footer="0.15748031496062992"/>
  <pageSetup paperSize="9" scale="90" orientation="landscape" horizontalDpi="0" verticalDpi="0" r:id="rId1"/>
  <customProperties>
    <customPr name="LastActive" r:id="rId2"/>
  </customPropertie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3" tint="0.39997558519241921"/>
    <pageSetUpPr fitToPage="1"/>
  </sheetPr>
  <dimension ref="A1:AP311"/>
  <sheetViews>
    <sheetView zoomScale="85" zoomScaleNormal="85" workbookViewId="0">
      <pane ySplit="7" topLeftCell="A135" activePane="bottomLeft" state="frozen"/>
      <selection activeCell="T26" sqref="T26"/>
      <selection pane="bottomLeft" activeCell="G142" sqref="G142"/>
    </sheetView>
  </sheetViews>
  <sheetFormatPr defaultRowHeight="15"/>
  <cols>
    <col min="1" max="1" width="3.7109375" style="1" customWidth="1"/>
    <col min="2" max="2" width="37.85546875" style="1" customWidth="1"/>
    <col min="3" max="3" width="7.85546875" style="163" customWidth="1"/>
    <col min="4" max="4" width="8.42578125" style="163" customWidth="1"/>
    <col min="5" max="5" width="11.7109375" style="1" customWidth="1"/>
    <col min="6" max="6" width="9" style="1" customWidth="1"/>
    <col min="7" max="7" width="8.42578125" style="1" customWidth="1"/>
    <col min="8" max="8" width="12.7109375" style="169" customWidth="1"/>
    <col min="9" max="9" width="6.140625" style="179" customWidth="1"/>
    <col min="10" max="10" width="50.85546875" style="1" customWidth="1"/>
    <col min="11" max="11" width="11.7109375" style="155" customWidth="1"/>
    <col min="12" max="12" width="11.7109375" style="9" customWidth="1"/>
    <col min="13" max="13" width="7.7109375" style="9" customWidth="1"/>
    <col min="14" max="14" width="7.85546875" style="9" customWidth="1"/>
    <col min="15" max="15" width="3" style="1" bestFit="1" customWidth="1"/>
    <col min="16" max="16" width="36.7109375" style="1" customWidth="1"/>
    <col min="17" max="24" width="10.42578125" style="1" customWidth="1"/>
    <col min="25" max="25" width="13.28515625" style="1" customWidth="1"/>
    <col min="26" max="26" width="29.42578125" style="1" bestFit="1" customWidth="1"/>
    <col min="27" max="30" width="9.5703125" style="1" customWidth="1"/>
    <col min="31" max="31" width="15" style="163" bestFit="1" customWidth="1"/>
    <col min="32" max="32" width="8.85546875" style="1" customWidth="1"/>
    <col min="33" max="36" width="9.140625" style="9"/>
    <col min="37" max="16384" width="9.140625" style="1"/>
  </cols>
  <sheetData>
    <row r="1" spans="1:36" ht="15" customHeight="1">
      <c r="A1" s="1946" t="s">
        <v>30</v>
      </c>
      <c r="B1" s="1947"/>
      <c r="C1" s="1947"/>
      <c r="D1" s="1947"/>
      <c r="E1" s="1947"/>
      <c r="F1" s="1947"/>
      <c r="G1" s="1947"/>
      <c r="H1" s="1947"/>
      <c r="I1" s="1947"/>
      <c r="J1" s="1954" t="s">
        <v>1744</v>
      </c>
      <c r="K1" s="1954"/>
      <c r="O1" s="1951" t="s">
        <v>32</v>
      </c>
      <c r="P1" s="1952"/>
      <c r="Q1" s="1952"/>
      <c r="R1" s="1952"/>
      <c r="S1" s="1952"/>
      <c r="T1" s="1952"/>
      <c r="U1" s="1952"/>
      <c r="V1" s="1952"/>
      <c r="W1" s="1952"/>
      <c r="X1" s="1952"/>
      <c r="Y1" s="1952"/>
      <c r="Z1" s="1952"/>
      <c r="AA1" s="1218"/>
      <c r="AB1" s="1218"/>
      <c r="AC1" s="1218"/>
      <c r="AD1" s="1218"/>
      <c r="AE1" s="1219"/>
      <c r="AF1" s="1218"/>
    </row>
    <row r="2" spans="1:36" ht="15" customHeight="1">
      <c r="A2" s="1948"/>
      <c r="B2" s="1947"/>
      <c r="C2" s="1947"/>
      <c r="D2" s="1947"/>
      <c r="E2" s="1947"/>
      <c r="F2" s="1947"/>
      <c r="G2" s="1947"/>
      <c r="H2" s="1947"/>
      <c r="I2" s="1947"/>
      <c r="J2" s="1954"/>
      <c r="K2" s="1954"/>
      <c r="O2" s="1951"/>
      <c r="P2" s="1952"/>
      <c r="Q2" s="1952"/>
      <c r="R2" s="1952"/>
      <c r="S2" s="1952"/>
      <c r="T2" s="1952"/>
      <c r="U2" s="1952"/>
      <c r="V2" s="1952"/>
      <c r="W2" s="1952"/>
      <c r="X2" s="1952"/>
      <c r="Y2" s="1952"/>
      <c r="Z2" s="1952"/>
      <c r="AA2" s="1218"/>
      <c r="AB2" s="1218"/>
      <c r="AC2" s="1218"/>
      <c r="AD2" s="1218"/>
      <c r="AE2" s="1219"/>
      <c r="AF2" s="1218"/>
    </row>
    <row r="3" spans="1:36" ht="15" customHeight="1">
      <c r="A3" s="1949">
        <f ca="1">NOW()</f>
        <v>45638.651097106478</v>
      </c>
      <c r="B3" s="1950"/>
      <c r="C3" s="157"/>
      <c r="D3" s="157"/>
      <c r="E3" s="6"/>
      <c r="F3" s="6"/>
      <c r="G3" s="519"/>
      <c r="H3" s="518"/>
      <c r="I3" s="517"/>
      <c r="J3" s="1935"/>
      <c r="K3" s="1936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220"/>
      <c r="AF3" s="32"/>
    </row>
    <row r="4" spans="1:36" ht="21">
      <c r="A4" s="6"/>
      <c r="B4" s="6"/>
      <c r="C4" s="174" t="s">
        <v>5863</v>
      </c>
      <c r="D4" s="164"/>
      <c r="E4" s="174"/>
      <c r="F4" s="174"/>
      <c r="G4" s="519"/>
      <c r="H4" s="518"/>
      <c r="I4" s="517"/>
      <c r="J4" s="6"/>
      <c r="K4" s="153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220"/>
      <c r="AF4" s="32"/>
    </row>
    <row r="5" spans="1:36" ht="18.75" thickBot="1">
      <c r="A5" s="6"/>
      <c r="B5" s="6"/>
      <c r="C5" s="157"/>
      <c r="D5" s="1953">
        <f>F135</f>
        <v>73537</v>
      </c>
      <c r="E5" s="1953"/>
      <c r="F5" s="173" t="s">
        <v>1071</v>
      </c>
      <c r="G5" s="519"/>
      <c r="H5" s="518"/>
      <c r="I5" s="517"/>
      <c r="J5" s="6"/>
      <c r="K5" s="153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220"/>
      <c r="AF5" s="32"/>
    </row>
    <row r="6" spans="1:36" ht="21" customHeight="1" thickTop="1" thickBot="1">
      <c r="A6" s="6"/>
      <c r="B6" s="6"/>
      <c r="C6" s="157"/>
      <c r="D6" s="157"/>
      <c r="E6" s="6"/>
      <c r="F6" s="6"/>
      <c r="G6" s="519"/>
      <c r="H6" s="518"/>
      <c r="I6" s="517"/>
      <c r="J6" s="6"/>
      <c r="K6" s="153"/>
      <c r="O6" s="32"/>
      <c r="P6" s="32"/>
      <c r="Q6" s="1963" t="s">
        <v>5013</v>
      </c>
      <c r="R6" s="1964"/>
      <c r="S6" s="1965"/>
      <c r="T6" s="1966" t="s">
        <v>5014</v>
      </c>
      <c r="U6" s="1967"/>
      <c r="V6" s="1968" t="s">
        <v>1442</v>
      </c>
      <c r="W6" s="1969"/>
      <c r="X6" s="1221" t="s">
        <v>5015</v>
      </c>
      <c r="Y6" s="1222" t="s">
        <v>5016</v>
      </c>
      <c r="Z6" s="1223"/>
      <c r="AA6" s="1959" t="s">
        <v>5017</v>
      </c>
      <c r="AB6" s="1960"/>
      <c r="AC6" s="1960"/>
      <c r="AD6" s="1960"/>
      <c r="AE6" s="1224"/>
      <c r="AF6" s="1225"/>
    </row>
    <row r="7" spans="1:36" s="171" customFormat="1" ht="29.25" customHeight="1" thickTop="1">
      <c r="A7" s="180" t="s">
        <v>836</v>
      </c>
      <c r="B7" s="180" t="s">
        <v>1074</v>
      </c>
      <c r="C7" s="186" t="s">
        <v>1075</v>
      </c>
      <c r="D7" s="180" t="s">
        <v>1085</v>
      </c>
      <c r="E7" s="663" t="s">
        <v>1084</v>
      </c>
      <c r="F7" s="180" t="s">
        <v>1083</v>
      </c>
      <c r="G7" s="180" t="s">
        <v>1076</v>
      </c>
      <c r="H7" s="187" t="s">
        <v>1077</v>
      </c>
      <c r="I7" s="181" t="s">
        <v>3</v>
      </c>
      <c r="J7" s="182" t="s">
        <v>223</v>
      </c>
      <c r="K7" s="183" t="s">
        <v>1086</v>
      </c>
      <c r="L7" s="170"/>
      <c r="M7" s="170"/>
      <c r="N7" s="170"/>
      <c r="O7" s="5" t="s">
        <v>25</v>
      </c>
      <c r="P7" s="27" t="s">
        <v>31</v>
      </c>
      <c r="Q7" s="1226" t="s">
        <v>5018</v>
      </c>
      <c r="R7" s="1226" t="s">
        <v>5019</v>
      </c>
      <c r="S7" s="1227" t="s">
        <v>5020</v>
      </c>
      <c r="T7" s="1228" t="s">
        <v>5021</v>
      </c>
      <c r="U7" s="1229" t="s">
        <v>5022</v>
      </c>
      <c r="V7" s="1230" t="s">
        <v>5023</v>
      </c>
      <c r="W7" s="1227" t="s">
        <v>5024</v>
      </c>
      <c r="X7" s="1231" t="s">
        <v>5025</v>
      </c>
      <c r="Y7" s="1228" t="s">
        <v>5026</v>
      </c>
      <c r="Z7" s="1227" t="s">
        <v>5027</v>
      </c>
      <c r="AA7" s="1230" t="s">
        <v>5028</v>
      </c>
      <c r="AB7" s="1226" t="s">
        <v>5029</v>
      </c>
      <c r="AC7" s="1226" t="s">
        <v>5030</v>
      </c>
      <c r="AD7" s="1226" t="s">
        <v>5031</v>
      </c>
      <c r="AE7" s="1226" t="s">
        <v>5032</v>
      </c>
      <c r="AF7" s="1226" t="s">
        <v>5033</v>
      </c>
      <c r="AG7" s="170"/>
      <c r="AH7" s="170"/>
      <c r="AI7" s="170"/>
      <c r="AJ7" s="170"/>
    </row>
    <row r="8" spans="1:36" ht="20.25" customHeight="1">
      <c r="A8" s="11">
        <v>1</v>
      </c>
      <c r="B8" s="31" t="s">
        <v>1036</v>
      </c>
      <c r="C8" s="158">
        <v>30</v>
      </c>
      <c r="D8" s="158">
        <f t="shared" ref="D8:D23" si="0">(K8/30)*C8</f>
        <v>30000</v>
      </c>
      <c r="E8" s="29"/>
      <c r="F8" s="143"/>
      <c r="G8" s="143"/>
      <c r="H8" s="165">
        <f>D8+E8-F8-G8</f>
        <v>30000</v>
      </c>
      <c r="I8" s="177" t="s">
        <v>1072</v>
      </c>
      <c r="J8" s="144"/>
      <c r="K8" s="145">
        <v>30000</v>
      </c>
      <c r="O8" s="33">
        <v>1</v>
      </c>
      <c r="P8" s="142" t="s">
        <v>1036</v>
      </c>
      <c r="Q8" s="160">
        <v>30000</v>
      </c>
      <c r="R8" s="160">
        <v>0</v>
      </c>
      <c r="S8" s="1232">
        <v>0</v>
      </c>
      <c r="T8" s="1233">
        <f t="shared" ref="T8:T26" ca="1" si="1">INT(X8)*R8</f>
        <v>0</v>
      </c>
      <c r="U8" s="1234">
        <f ca="1">IF(  X8&lt;=5,(S8/30)*21*X8,(5*((S8/30)*21))+((X8-5)*(S8/30)*30))</f>
        <v>0</v>
      </c>
      <c r="V8" s="1235">
        <f t="shared" ref="V8:V26" si="2">SUMIFS($M$10:$M$5032,$L$10:$L$5032,$AM$4,$A$10:$A$5032,O10)</f>
        <v>0</v>
      </c>
      <c r="W8" s="1232">
        <f t="shared" ref="W8:W26" si="3">SUMIFS($M$13:$M$5032,$L$13:$L$5032,"EOS",$A$13:$A$5032,O10)</f>
        <v>0</v>
      </c>
      <c r="X8" s="1236">
        <f ca="1">IF(AA8="",0,DATEDIF(AA8, TODAY(), "m")/12)</f>
        <v>0</v>
      </c>
      <c r="Y8" s="1233">
        <f t="shared" ref="Y8:Y26" si="4">SUMIFS($M$12:$M$5032,$L$12:$L$5032,$AM$8,$A$12:$A$5032,O10)</f>
        <v>0</v>
      </c>
      <c r="Z8" s="1237"/>
      <c r="AA8" s="1238"/>
      <c r="AB8" s="1239"/>
      <c r="AC8" s="1239"/>
      <c r="AD8" s="1239"/>
      <c r="AE8" s="1240" t="s">
        <v>1062</v>
      </c>
      <c r="AF8" s="1241"/>
    </row>
    <row r="9" spans="1:36" ht="20.25" customHeight="1">
      <c r="A9" s="11">
        <v>2</v>
      </c>
      <c r="B9" s="31" t="s">
        <v>1037</v>
      </c>
      <c r="C9" s="158">
        <v>30</v>
      </c>
      <c r="D9" s="158">
        <f t="shared" si="0"/>
        <v>15000</v>
      </c>
      <c r="E9" s="29"/>
      <c r="F9" s="143"/>
      <c r="G9" s="143"/>
      <c r="H9" s="165">
        <f>D9+E9-F9-G9</f>
        <v>15000</v>
      </c>
      <c r="I9" s="177" t="s">
        <v>1072</v>
      </c>
      <c r="J9" s="144"/>
      <c r="K9" s="145">
        <v>15000</v>
      </c>
      <c r="O9" s="33">
        <v>2</v>
      </c>
      <c r="P9" s="142" t="s">
        <v>1037</v>
      </c>
      <c r="Q9" s="160">
        <v>15000</v>
      </c>
      <c r="R9" s="160">
        <v>0</v>
      </c>
      <c r="S9" s="1232">
        <v>0</v>
      </c>
      <c r="T9" s="1233">
        <f t="shared" ca="1" si="1"/>
        <v>0</v>
      </c>
      <c r="U9" s="1234">
        <f t="shared" ref="U9:U26" ca="1" si="5">IF(  X9&lt;=5,(S9/30)*21*X9,(5*((S9/30)*21))+((X9-5)*(S9/30)*30))</f>
        <v>0</v>
      </c>
      <c r="V9" s="1235">
        <f t="shared" si="2"/>
        <v>0</v>
      </c>
      <c r="W9" s="1232">
        <f t="shared" si="3"/>
        <v>0</v>
      </c>
      <c r="X9" s="1236">
        <f t="shared" ref="X9:X26" ca="1" si="6">IF(AA9="",0,DATEDIF(AA9, TODAY(), "m")/12)</f>
        <v>0</v>
      </c>
      <c r="Y9" s="1233">
        <f t="shared" si="4"/>
        <v>0</v>
      </c>
      <c r="Z9" s="1237"/>
      <c r="AA9" s="1238"/>
      <c r="AB9" s="1239">
        <v>46170</v>
      </c>
      <c r="AC9" s="1239"/>
      <c r="AD9" s="1239">
        <v>48996</v>
      </c>
      <c r="AE9" s="1240" t="s">
        <v>1063</v>
      </c>
      <c r="AF9" s="1241"/>
    </row>
    <row r="10" spans="1:36" ht="20.25" customHeight="1">
      <c r="A10" s="11">
        <v>3</v>
      </c>
      <c r="B10" s="31" t="s">
        <v>1038</v>
      </c>
      <c r="C10" s="158">
        <v>30</v>
      </c>
      <c r="D10" s="158">
        <f t="shared" si="0"/>
        <v>3500</v>
      </c>
      <c r="E10" s="29"/>
      <c r="F10" s="143"/>
      <c r="G10" s="143"/>
      <c r="H10" s="165">
        <f>D10+E10-F10-G10</f>
        <v>3500</v>
      </c>
      <c r="I10" s="177" t="s">
        <v>1072</v>
      </c>
      <c r="J10" s="144"/>
      <c r="K10" s="145">
        <v>3500</v>
      </c>
      <c r="O10" s="33">
        <v>3</v>
      </c>
      <c r="P10" s="142" t="s">
        <v>1038</v>
      </c>
      <c r="Q10" s="160">
        <v>3500</v>
      </c>
      <c r="R10" s="160">
        <v>0</v>
      </c>
      <c r="S10" s="1232">
        <v>0</v>
      </c>
      <c r="T10" s="1233">
        <f t="shared" ca="1" si="1"/>
        <v>0</v>
      </c>
      <c r="U10" s="1234">
        <f t="shared" ca="1" si="5"/>
        <v>0</v>
      </c>
      <c r="V10" s="1235">
        <f t="shared" si="2"/>
        <v>0</v>
      </c>
      <c r="W10" s="1232">
        <f t="shared" si="3"/>
        <v>0</v>
      </c>
      <c r="X10" s="1236">
        <f ca="1">IF(AA10="",0,DATEDIF(AA10, TODAY(), "m")/12)</f>
        <v>1</v>
      </c>
      <c r="Y10" s="1233">
        <f t="shared" si="4"/>
        <v>0</v>
      </c>
      <c r="Z10" s="1237" t="s">
        <v>1060</v>
      </c>
      <c r="AA10" s="1238">
        <v>45260</v>
      </c>
      <c r="AB10" s="1239"/>
      <c r="AC10" s="1239"/>
      <c r="AD10" s="1239"/>
      <c r="AE10" s="1240" t="s">
        <v>23</v>
      </c>
      <c r="AF10" s="1241"/>
    </row>
    <row r="11" spans="1:36" ht="20.25" customHeight="1">
      <c r="A11" s="11">
        <v>4</v>
      </c>
      <c r="B11" s="31" t="s">
        <v>1039</v>
      </c>
      <c r="C11" s="158">
        <v>30</v>
      </c>
      <c r="D11" s="158">
        <f t="shared" si="0"/>
        <v>3000</v>
      </c>
      <c r="E11" s="29">
        <v>300</v>
      </c>
      <c r="F11" s="143"/>
      <c r="G11" s="143"/>
      <c r="H11" s="165">
        <f>D11+E11-F11-G11</f>
        <v>3300</v>
      </c>
      <c r="I11" s="177" t="s">
        <v>1072</v>
      </c>
      <c r="J11" s="144" t="s">
        <v>1052</v>
      </c>
      <c r="K11" s="145">
        <v>3000</v>
      </c>
      <c r="O11" s="33">
        <v>4</v>
      </c>
      <c r="P11" s="142" t="s">
        <v>1039</v>
      </c>
      <c r="Q11" s="160">
        <v>3000</v>
      </c>
      <c r="R11" s="160">
        <v>1000</v>
      </c>
      <c r="S11" s="1232">
        <v>1000</v>
      </c>
      <c r="T11" s="1233">
        <f ca="1">INT(X11)*R11</f>
        <v>0</v>
      </c>
      <c r="U11" s="1234">
        <f t="shared" ca="1" si="5"/>
        <v>350</v>
      </c>
      <c r="V11" s="1235">
        <f t="shared" si="2"/>
        <v>0</v>
      </c>
      <c r="W11" s="1232">
        <f t="shared" si="3"/>
        <v>0</v>
      </c>
      <c r="X11" s="1236">
        <f t="shared" ca="1" si="6"/>
        <v>0.5</v>
      </c>
      <c r="Y11" s="1233">
        <f t="shared" si="4"/>
        <v>0</v>
      </c>
      <c r="Z11" s="1237" t="s">
        <v>1059</v>
      </c>
      <c r="AA11" s="1238">
        <v>45440</v>
      </c>
      <c r="AB11" s="1239">
        <v>46197</v>
      </c>
      <c r="AC11" s="1239">
        <v>46201</v>
      </c>
      <c r="AD11" s="1239">
        <v>47886</v>
      </c>
      <c r="AE11" s="1240" t="s">
        <v>1064</v>
      </c>
      <c r="AF11" s="1241"/>
    </row>
    <row r="12" spans="1:36" ht="20.25" customHeight="1">
      <c r="A12" s="11">
        <v>5</v>
      </c>
      <c r="B12" s="31" t="s">
        <v>1040</v>
      </c>
      <c r="C12" s="158">
        <v>9</v>
      </c>
      <c r="D12" s="158">
        <f t="shared" si="0"/>
        <v>960</v>
      </c>
      <c r="E12" s="29"/>
      <c r="F12" s="143"/>
      <c r="G12" s="143"/>
      <c r="H12" s="165">
        <f t="shared" ref="H12:H23" si="7">D12+E12-F12-G12</f>
        <v>960</v>
      </c>
      <c r="I12" s="177" t="s">
        <v>1072</v>
      </c>
      <c r="J12" s="144" t="s">
        <v>1053</v>
      </c>
      <c r="K12" s="145">
        <v>3200</v>
      </c>
      <c r="O12" s="33">
        <v>5</v>
      </c>
      <c r="P12" s="142" t="s">
        <v>1040</v>
      </c>
      <c r="Q12" s="160">
        <v>3200</v>
      </c>
      <c r="R12" s="160">
        <v>1000</v>
      </c>
      <c r="S12" s="1232">
        <v>1000</v>
      </c>
      <c r="T12" s="1233">
        <f t="shared" ca="1" si="1"/>
        <v>0</v>
      </c>
      <c r="U12" s="1234">
        <f t="shared" ca="1" si="5"/>
        <v>583.33333333333337</v>
      </c>
      <c r="V12" s="1235">
        <f t="shared" si="2"/>
        <v>0</v>
      </c>
      <c r="W12" s="1232">
        <f t="shared" si="3"/>
        <v>0</v>
      </c>
      <c r="X12" s="1236">
        <f t="shared" ca="1" si="6"/>
        <v>0.83333333333333337</v>
      </c>
      <c r="Y12" s="1233">
        <f t="shared" si="4"/>
        <v>0</v>
      </c>
      <c r="Z12" s="1237" t="s">
        <v>1087</v>
      </c>
      <c r="AA12" s="1242">
        <v>45306</v>
      </c>
      <c r="AB12" s="1239">
        <v>46025</v>
      </c>
      <c r="AC12" s="1239">
        <v>46037</v>
      </c>
      <c r="AD12" s="1239">
        <v>47821</v>
      </c>
      <c r="AE12" s="1240" t="s">
        <v>1065</v>
      </c>
      <c r="AF12" s="787"/>
    </row>
    <row r="13" spans="1:36" ht="20.25" customHeight="1">
      <c r="A13" s="11">
        <v>6</v>
      </c>
      <c r="B13" s="31" t="s">
        <v>1041</v>
      </c>
      <c r="C13" s="158">
        <v>20</v>
      </c>
      <c r="D13" s="158">
        <f t="shared" si="0"/>
        <v>1866.6666666666665</v>
      </c>
      <c r="E13" s="29"/>
      <c r="F13" s="143"/>
      <c r="G13" s="143"/>
      <c r="H13" s="165">
        <f t="shared" si="7"/>
        <v>1866.6666666666665</v>
      </c>
      <c r="I13" s="177" t="s">
        <v>1072</v>
      </c>
      <c r="J13" s="144" t="s">
        <v>1054</v>
      </c>
      <c r="K13" s="145">
        <v>2800</v>
      </c>
      <c r="O13" s="33">
        <v>6</v>
      </c>
      <c r="P13" s="142" t="s">
        <v>1041</v>
      </c>
      <c r="Q13" s="160">
        <v>2800</v>
      </c>
      <c r="R13" s="160">
        <v>450</v>
      </c>
      <c r="S13" s="1232">
        <v>1200</v>
      </c>
      <c r="T13" s="1233">
        <f t="shared" ca="1" si="1"/>
        <v>3600</v>
      </c>
      <c r="U13" s="1234">
        <f t="shared" ca="1" si="5"/>
        <v>8200</v>
      </c>
      <c r="V13" s="1235">
        <f t="shared" si="2"/>
        <v>0</v>
      </c>
      <c r="W13" s="1232">
        <f t="shared" si="3"/>
        <v>0</v>
      </c>
      <c r="X13" s="1236">
        <f t="shared" ca="1" si="6"/>
        <v>8.3333333333333339</v>
      </c>
      <c r="Y13" s="1233">
        <f t="shared" si="4"/>
        <v>0</v>
      </c>
      <c r="Z13" s="1237"/>
      <c r="AA13" s="1242">
        <v>42589</v>
      </c>
      <c r="AB13" s="1239">
        <v>45518</v>
      </c>
      <c r="AC13" s="1239">
        <v>45553</v>
      </c>
      <c r="AD13" s="1239">
        <v>48065</v>
      </c>
      <c r="AE13" s="1240" t="s">
        <v>1066</v>
      </c>
      <c r="AF13" s="787"/>
    </row>
    <row r="14" spans="1:36" ht="20.25" customHeight="1">
      <c r="A14" s="11">
        <v>7</v>
      </c>
      <c r="B14" s="31" t="s">
        <v>1042</v>
      </c>
      <c r="C14" s="158">
        <v>30</v>
      </c>
      <c r="D14" s="158">
        <f t="shared" si="0"/>
        <v>1700</v>
      </c>
      <c r="E14" s="29"/>
      <c r="F14" s="143"/>
      <c r="G14" s="143"/>
      <c r="H14" s="165">
        <f t="shared" si="7"/>
        <v>1700</v>
      </c>
      <c r="I14" s="177" t="s">
        <v>1072</v>
      </c>
      <c r="J14" s="144"/>
      <c r="K14" s="145">
        <v>1700</v>
      </c>
      <c r="O14" s="33">
        <v>7</v>
      </c>
      <c r="P14" s="142" t="s">
        <v>1042</v>
      </c>
      <c r="Q14" s="160">
        <v>1700</v>
      </c>
      <c r="R14" s="160">
        <v>450</v>
      </c>
      <c r="S14" s="1232">
        <v>900</v>
      </c>
      <c r="T14" s="1233">
        <f t="shared" ca="1" si="1"/>
        <v>3150</v>
      </c>
      <c r="U14" s="1234">
        <f t="shared" ca="1" si="5"/>
        <v>5775</v>
      </c>
      <c r="V14" s="1235">
        <f t="shared" si="2"/>
        <v>0</v>
      </c>
      <c r="W14" s="1232">
        <f t="shared" si="3"/>
        <v>0</v>
      </c>
      <c r="X14" s="1236">
        <f t="shared" ca="1" si="6"/>
        <v>7.916666666666667</v>
      </c>
      <c r="Y14" s="1233">
        <f t="shared" si="4"/>
        <v>0</v>
      </c>
      <c r="Z14" s="1237"/>
      <c r="AA14" s="1242">
        <v>42736</v>
      </c>
      <c r="AB14" s="1239">
        <v>45612</v>
      </c>
      <c r="AC14" s="1239">
        <v>45660</v>
      </c>
      <c r="AD14" s="1239">
        <v>47830</v>
      </c>
      <c r="AE14" s="1240" t="s">
        <v>1066</v>
      </c>
      <c r="AF14" s="787"/>
    </row>
    <row r="15" spans="1:36" ht="20.25" customHeight="1">
      <c r="A15" s="11">
        <v>8</v>
      </c>
      <c r="B15" s="31" t="s">
        <v>1043</v>
      </c>
      <c r="C15" s="184">
        <v>0</v>
      </c>
      <c r="D15" s="184">
        <f t="shared" si="0"/>
        <v>0</v>
      </c>
      <c r="E15" s="29"/>
      <c r="F15" s="143"/>
      <c r="G15" s="143"/>
      <c r="H15" s="185">
        <f t="shared" si="7"/>
        <v>0</v>
      </c>
      <c r="I15" s="177" t="s">
        <v>1072</v>
      </c>
      <c r="J15" s="476" t="s">
        <v>1055</v>
      </c>
      <c r="K15" s="145">
        <v>1800</v>
      </c>
      <c r="O15" s="33">
        <v>8</v>
      </c>
      <c r="P15" s="142" t="s">
        <v>1043</v>
      </c>
      <c r="Q15" s="160">
        <v>1800</v>
      </c>
      <c r="R15" s="160">
        <v>450</v>
      </c>
      <c r="S15" s="1232">
        <v>900</v>
      </c>
      <c r="T15" s="1233">
        <f t="shared" ca="1" si="1"/>
        <v>2700</v>
      </c>
      <c r="U15" s="1234">
        <f t="shared" ca="1" si="5"/>
        <v>4500</v>
      </c>
      <c r="V15" s="1235">
        <f t="shared" si="2"/>
        <v>0</v>
      </c>
      <c r="W15" s="1232">
        <f t="shared" si="3"/>
        <v>0</v>
      </c>
      <c r="X15" s="1236">
        <f t="shared" ca="1" si="6"/>
        <v>6.5</v>
      </c>
      <c r="Y15" s="1243">
        <f t="shared" si="4"/>
        <v>0</v>
      </c>
      <c r="Z15" s="1237"/>
      <c r="AA15" s="1242">
        <v>43252</v>
      </c>
      <c r="AB15" s="1239">
        <v>46170</v>
      </c>
      <c r="AC15" s="1239">
        <v>46222</v>
      </c>
      <c r="AD15" s="1239">
        <v>46685</v>
      </c>
      <c r="AE15" s="1240" t="s">
        <v>1066</v>
      </c>
      <c r="AF15" s="787"/>
    </row>
    <row r="16" spans="1:36" ht="20.25" customHeight="1">
      <c r="A16" s="11">
        <v>9</v>
      </c>
      <c r="B16" s="31" t="s">
        <v>1044</v>
      </c>
      <c r="C16" s="158">
        <v>30</v>
      </c>
      <c r="D16" s="158">
        <f t="shared" si="0"/>
        <v>1600</v>
      </c>
      <c r="E16" s="29"/>
      <c r="F16" s="143"/>
      <c r="G16" s="143"/>
      <c r="H16" s="165">
        <f t="shared" si="7"/>
        <v>1600</v>
      </c>
      <c r="I16" s="177" t="s">
        <v>1072</v>
      </c>
      <c r="J16" s="144"/>
      <c r="K16" s="145">
        <v>1600</v>
      </c>
      <c r="O16" s="33">
        <v>9</v>
      </c>
      <c r="P16" s="142" t="s">
        <v>1044</v>
      </c>
      <c r="Q16" s="160">
        <v>1600</v>
      </c>
      <c r="R16" s="160">
        <v>450</v>
      </c>
      <c r="S16" s="1232">
        <v>900</v>
      </c>
      <c r="T16" s="1233">
        <f t="shared" ca="1" si="1"/>
        <v>450</v>
      </c>
      <c r="U16" s="1234">
        <f t="shared" ca="1" si="5"/>
        <v>1102.5</v>
      </c>
      <c r="V16" s="1235">
        <f t="shared" si="2"/>
        <v>0</v>
      </c>
      <c r="W16" s="1232">
        <f t="shared" si="3"/>
        <v>0</v>
      </c>
      <c r="X16" s="1236">
        <f t="shared" ca="1" si="6"/>
        <v>1.75</v>
      </c>
      <c r="Y16" s="1233">
        <f t="shared" si="4"/>
        <v>0</v>
      </c>
      <c r="Z16" s="1237"/>
      <c r="AA16" s="1242">
        <v>44978</v>
      </c>
      <c r="AB16" s="1239">
        <v>45708</v>
      </c>
      <c r="AC16" s="1239">
        <v>45742</v>
      </c>
      <c r="AD16" s="1239">
        <v>46643</v>
      </c>
      <c r="AE16" s="1240" t="s">
        <v>1067</v>
      </c>
      <c r="AF16" s="787"/>
    </row>
    <row r="17" spans="1:41" ht="20.25" customHeight="1">
      <c r="A17" s="11">
        <v>10</v>
      </c>
      <c r="B17" s="31" t="s">
        <v>1045</v>
      </c>
      <c r="C17" s="158">
        <v>30</v>
      </c>
      <c r="D17" s="158">
        <f t="shared" si="0"/>
        <v>2400</v>
      </c>
      <c r="E17" s="29"/>
      <c r="F17" s="143"/>
      <c r="G17" s="143"/>
      <c r="H17" s="165">
        <f t="shared" si="7"/>
        <v>2400</v>
      </c>
      <c r="I17" s="177" t="s">
        <v>1072</v>
      </c>
      <c r="J17" s="144"/>
      <c r="K17" s="145">
        <v>2400</v>
      </c>
      <c r="O17" s="33">
        <v>10</v>
      </c>
      <c r="P17" s="142" t="s">
        <v>1045</v>
      </c>
      <c r="Q17" s="160">
        <v>2400</v>
      </c>
      <c r="R17" s="160">
        <v>450</v>
      </c>
      <c r="S17" s="1232">
        <v>900</v>
      </c>
      <c r="T17" s="1233">
        <f t="shared" ca="1" si="1"/>
        <v>1350</v>
      </c>
      <c r="U17" s="1234">
        <f t="shared" ca="1" si="5"/>
        <v>2467.5</v>
      </c>
      <c r="V17" s="1235">
        <f t="shared" si="2"/>
        <v>0</v>
      </c>
      <c r="W17" s="1232">
        <f t="shared" si="3"/>
        <v>0</v>
      </c>
      <c r="X17" s="1236">
        <f t="shared" ca="1" si="6"/>
        <v>3.9166666666666665</v>
      </c>
      <c r="Y17" s="1233">
        <f t="shared" si="4"/>
        <v>0</v>
      </c>
      <c r="Z17" s="1237"/>
      <c r="AA17" s="1242">
        <v>44197</v>
      </c>
      <c r="AB17" s="1239">
        <v>45639</v>
      </c>
      <c r="AC17" s="1239">
        <v>45673</v>
      </c>
      <c r="AD17" s="1239">
        <v>47511</v>
      </c>
      <c r="AE17" s="1240" t="s">
        <v>1066</v>
      </c>
      <c r="AF17" s="787"/>
    </row>
    <row r="18" spans="1:41" s="9" customFormat="1" ht="20.25" customHeight="1">
      <c r="A18" s="11">
        <v>11</v>
      </c>
      <c r="B18" s="31" t="s">
        <v>1046</v>
      </c>
      <c r="C18" s="158">
        <v>30</v>
      </c>
      <c r="D18" s="158">
        <f t="shared" si="0"/>
        <v>1200</v>
      </c>
      <c r="E18" s="29"/>
      <c r="F18" s="143"/>
      <c r="G18" s="143"/>
      <c r="H18" s="165">
        <f t="shared" si="7"/>
        <v>1200</v>
      </c>
      <c r="I18" s="177" t="s">
        <v>1072</v>
      </c>
      <c r="J18" s="144"/>
      <c r="K18" s="145">
        <v>1200</v>
      </c>
      <c r="O18" s="33">
        <v>11</v>
      </c>
      <c r="P18" s="142" t="s">
        <v>1046</v>
      </c>
      <c r="Q18" s="160">
        <v>1200</v>
      </c>
      <c r="R18" s="160">
        <v>450</v>
      </c>
      <c r="S18" s="1232">
        <v>900</v>
      </c>
      <c r="T18" s="1233">
        <f t="shared" ca="1" si="1"/>
        <v>900</v>
      </c>
      <c r="U18" s="1234">
        <f t="shared" ca="1" si="5"/>
        <v>1627.5</v>
      </c>
      <c r="V18" s="1235">
        <f t="shared" si="2"/>
        <v>0</v>
      </c>
      <c r="W18" s="1232">
        <f t="shared" si="3"/>
        <v>0</v>
      </c>
      <c r="X18" s="1236">
        <f t="shared" ca="1" si="6"/>
        <v>2.5833333333333335</v>
      </c>
      <c r="Y18" s="1233">
        <f t="shared" si="4"/>
        <v>0</v>
      </c>
      <c r="Z18" s="1237"/>
      <c r="AA18" s="1242">
        <v>44677</v>
      </c>
      <c r="AB18" s="1239">
        <v>46127</v>
      </c>
      <c r="AC18" s="1239"/>
      <c r="AD18" s="1239">
        <v>47308</v>
      </c>
      <c r="AE18" s="1240" t="s">
        <v>1067</v>
      </c>
      <c r="AF18" s="787"/>
      <c r="AK18" s="1"/>
      <c r="AL18" s="1"/>
      <c r="AM18" s="1"/>
      <c r="AN18" s="1"/>
      <c r="AO18" s="1"/>
    </row>
    <row r="19" spans="1:41" s="9" customFormat="1" ht="20.25" customHeight="1">
      <c r="A19" s="11">
        <v>12</v>
      </c>
      <c r="B19" s="31" t="s">
        <v>1047</v>
      </c>
      <c r="C19" s="158">
        <v>30</v>
      </c>
      <c r="D19" s="158">
        <f t="shared" si="0"/>
        <v>1300</v>
      </c>
      <c r="E19" s="29"/>
      <c r="F19" s="143"/>
      <c r="G19" s="143"/>
      <c r="H19" s="165">
        <f t="shared" si="7"/>
        <v>1300</v>
      </c>
      <c r="I19" s="177" t="s">
        <v>1072</v>
      </c>
      <c r="J19" s="144"/>
      <c r="K19" s="145">
        <v>1300</v>
      </c>
      <c r="O19" s="33">
        <v>12</v>
      </c>
      <c r="P19" s="142" t="s">
        <v>1047</v>
      </c>
      <c r="Q19" s="160">
        <v>1300</v>
      </c>
      <c r="R19" s="160">
        <v>450</v>
      </c>
      <c r="S19" s="1232">
        <v>900</v>
      </c>
      <c r="T19" s="1233">
        <f t="shared" ca="1" si="1"/>
        <v>2250</v>
      </c>
      <c r="U19" s="1234">
        <f t="shared" ca="1" si="5"/>
        <v>3600</v>
      </c>
      <c r="V19" s="1235">
        <f t="shared" si="2"/>
        <v>0</v>
      </c>
      <c r="W19" s="1232">
        <f t="shared" si="3"/>
        <v>0</v>
      </c>
      <c r="X19" s="1236">
        <f t="shared" ca="1" si="6"/>
        <v>5.5</v>
      </c>
      <c r="Y19" s="1233">
        <f t="shared" si="4"/>
        <v>0</v>
      </c>
      <c r="Z19" s="1237"/>
      <c r="AA19" s="1242">
        <v>43623</v>
      </c>
      <c r="AB19" s="1239">
        <v>45765</v>
      </c>
      <c r="AC19" s="1239">
        <v>45805</v>
      </c>
      <c r="AD19" s="1239">
        <v>45970</v>
      </c>
      <c r="AE19" s="1240" t="s">
        <v>1067</v>
      </c>
      <c r="AF19" s="787"/>
      <c r="AK19" s="1"/>
      <c r="AL19" s="1"/>
      <c r="AM19" s="1"/>
      <c r="AN19" s="1"/>
      <c r="AO19" s="1"/>
    </row>
    <row r="20" spans="1:41" s="9" customFormat="1" ht="20.25" customHeight="1">
      <c r="A20" s="11">
        <v>13</v>
      </c>
      <c r="B20" s="31" t="s">
        <v>1048</v>
      </c>
      <c r="C20" s="158">
        <v>30</v>
      </c>
      <c r="D20" s="158">
        <f t="shared" si="0"/>
        <v>4600</v>
      </c>
      <c r="E20" s="29"/>
      <c r="F20" s="143"/>
      <c r="G20" s="143">
        <v>300</v>
      </c>
      <c r="H20" s="165">
        <f t="shared" si="7"/>
        <v>4300</v>
      </c>
      <c r="I20" s="177" t="s">
        <v>1072</v>
      </c>
      <c r="J20" s="144" t="s">
        <v>1056</v>
      </c>
      <c r="K20" s="145">
        <v>4600</v>
      </c>
      <c r="O20" s="33">
        <v>13</v>
      </c>
      <c r="P20" s="142" t="s">
        <v>1048</v>
      </c>
      <c r="Q20" s="160">
        <v>4600</v>
      </c>
      <c r="R20" s="160">
        <v>450</v>
      </c>
      <c r="S20" s="1232">
        <v>900</v>
      </c>
      <c r="T20" s="1233">
        <f t="shared" ca="1" si="1"/>
        <v>4500</v>
      </c>
      <c r="U20" s="1234">
        <f t="shared" ca="1" si="5"/>
        <v>8475</v>
      </c>
      <c r="V20" s="1235">
        <f t="shared" si="2"/>
        <v>0</v>
      </c>
      <c r="W20" s="1232">
        <f t="shared" si="3"/>
        <v>0</v>
      </c>
      <c r="X20" s="1236">
        <f t="shared" ca="1" si="6"/>
        <v>10.916666666666666</v>
      </c>
      <c r="Y20" s="1233">
        <f t="shared" si="4"/>
        <v>0</v>
      </c>
      <c r="Z20" s="1237" t="s">
        <v>1088</v>
      </c>
      <c r="AA20" s="1242">
        <v>41640</v>
      </c>
      <c r="AB20" s="1239">
        <v>46005</v>
      </c>
      <c r="AC20" s="1239"/>
      <c r="AD20" s="1239">
        <v>48941</v>
      </c>
      <c r="AE20" s="1240" t="s">
        <v>1063</v>
      </c>
      <c r="AF20" s="787"/>
      <c r="AK20" s="1"/>
      <c r="AL20" s="1"/>
      <c r="AM20" s="1"/>
      <c r="AN20" s="1"/>
      <c r="AO20" s="1"/>
    </row>
    <row r="21" spans="1:41" s="9" customFormat="1" ht="20.25" customHeight="1">
      <c r="A21" s="11">
        <v>14</v>
      </c>
      <c r="B21" s="31" t="s">
        <v>1049</v>
      </c>
      <c r="C21" s="158">
        <v>30</v>
      </c>
      <c r="D21" s="158">
        <f t="shared" si="0"/>
        <v>1000.0000000000001</v>
      </c>
      <c r="E21" s="29"/>
      <c r="F21" s="143"/>
      <c r="G21" s="143"/>
      <c r="H21" s="165">
        <f t="shared" si="7"/>
        <v>1000.0000000000001</v>
      </c>
      <c r="I21" s="177" t="s">
        <v>1072</v>
      </c>
      <c r="J21" s="144"/>
      <c r="K21" s="145">
        <v>1000</v>
      </c>
      <c r="O21" s="33">
        <v>14</v>
      </c>
      <c r="P21" s="142" t="s">
        <v>1049</v>
      </c>
      <c r="Q21" s="160">
        <v>1000</v>
      </c>
      <c r="R21" s="160">
        <v>450</v>
      </c>
      <c r="S21" s="1232">
        <v>900</v>
      </c>
      <c r="T21" s="1233">
        <f t="shared" ca="1" si="1"/>
        <v>450</v>
      </c>
      <c r="U21" s="1234">
        <f t="shared" ca="1" si="5"/>
        <v>1155</v>
      </c>
      <c r="V21" s="1235">
        <f t="shared" si="2"/>
        <v>0</v>
      </c>
      <c r="W21" s="1232">
        <f t="shared" si="3"/>
        <v>0</v>
      </c>
      <c r="X21" s="1236">
        <f t="shared" ca="1" si="6"/>
        <v>1.8333333333333333</v>
      </c>
      <c r="Y21" s="1233">
        <f t="shared" si="4"/>
        <v>0</v>
      </c>
      <c r="Z21" s="1237"/>
      <c r="AA21" s="1242">
        <v>44956</v>
      </c>
      <c r="AB21" s="1239">
        <v>45703</v>
      </c>
      <c r="AC21" s="1239">
        <v>45742</v>
      </c>
      <c r="AD21" s="1239">
        <v>48394</v>
      </c>
      <c r="AE21" s="1240" t="s">
        <v>1067</v>
      </c>
      <c r="AF21" s="787"/>
      <c r="AK21" s="1"/>
      <c r="AL21" s="1"/>
      <c r="AM21" s="1"/>
      <c r="AN21" s="1"/>
      <c r="AO21" s="1"/>
    </row>
    <row r="22" spans="1:41" s="9" customFormat="1" ht="20.25" customHeight="1">
      <c r="A22" s="11">
        <v>15</v>
      </c>
      <c r="B22" s="31" t="s">
        <v>1050</v>
      </c>
      <c r="C22" s="158">
        <v>30</v>
      </c>
      <c r="D22" s="158">
        <f t="shared" si="0"/>
        <v>1800</v>
      </c>
      <c r="E22" s="29"/>
      <c r="F22" s="143"/>
      <c r="G22" s="143"/>
      <c r="H22" s="165">
        <f t="shared" si="7"/>
        <v>1800</v>
      </c>
      <c r="I22" s="177" t="s">
        <v>1072</v>
      </c>
      <c r="J22" s="144"/>
      <c r="K22" s="145">
        <v>1800</v>
      </c>
      <c r="O22" s="33">
        <v>15</v>
      </c>
      <c r="P22" s="142" t="s">
        <v>1050</v>
      </c>
      <c r="Q22" s="160">
        <v>1800</v>
      </c>
      <c r="R22" s="160">
        <v>450</v>
      </c>
      <c r="S22" s="1232">
        <v>900</v>
      </c>
      <c r="T22" s="1233">
        <f t="shared" ca="1" si="1"/>
        <v>0</v>
      </c>
      <c r="U22" s="1234">
        <f t="shared" ca="1" si="5"/>
        <v>420</v>
      </c>
      <c r="V22" s="1235">
        <f t="shared" si="2"/>
        <v>0</v>
      </c>
      <c r="W22" s="1232">
        <f t="shared" si="3"/>
        <v>0</v>
      </c>
      <c r="X22" s="1236">
        <f t="shared" ca="1" si="6"/>
        <v>0.66666666666666663</v>
      </c>
      <c r="Y22" s="1233">
        <f t="shared" si="4"/>
        <v>0</v>
      </c>
      <c r="Z22" s="1237" t="s">
        <v>1859</v>
      </c>
      <c r="AA22" s="1242">
        <v>45383</v>
      </c>
      <c r="AB22" s="1239">
        <v>46088</v>
      </c>
      <c r="AC22" s="1239">
        <v>46117</v>
      </c>
      <c r="AD22" s="1239">
        <v>46773</v>
      </c>
      <c r="AE22" s="1240" t="s">
        <v>1066</v>
      </c>
      <c r="AF22" s="787"/>
      <c r="AK22" s="1"/>
      <c r="AL22" s="1"/>
      <c r="AM22" s="1"/>
      <c r="AN22" s="1"/>
      <c r="AO22" s="1"/>
    </row>
    <row r="23" spans="1:41" s="9" customFormat="1" ht="20.25" customHeight="1">
      <c r="A23" s="11">
        <v>16</v>
      </c>
      <c r="B23" s="31" t="s">
        <v>1051</v>
      </c>
      <c r="C23" s="158">
        <v>30</v>
      </c>
      <c r="D23" s="158">
        <f t="shared" si="0"/>
        <v>1000.0000000000001</v>
      </c>
      <c r="E23" s="29"/>
      <c r="F23" s="143"/>
      <c r="G23" s="143"/>
      <c r="H23" s="165">
        <f t="shared" si="7"/>
        <v>1000.0000000000001</v>
      </c>
      <c r="I23" s="177" t="s">
        <v>1072</v>
      </c>
      <c r="J23" s="144"/>
      <c r="K23" s="145">
        <v>1000</v>
      </c>
      <c r="O23" s="33">
        <v>16</v>
      </c>
      <c r="P23" s="142" t="s">
        <v>1051</v>
      </c>
      <c r="Q23" s="160">
        <v>1000</v>
      </c>
      <c r="R23" s="160">
        <v>450</v>
      </c>
      <c r="S23" s="1232">
        <v>600</v>
      </c>
      <c r="T23" s="1233">
        <f t="shared" ca="1" si="1"/>
        <v>0</v>
      </c>
      <c r="U23" s="1234">
        <f t="shared" ca="1" si="5"/>
        <v>70</v>
      </c>
      <c r="V23" s="1235">
        <f t="shared" si="2"/>
        <v>0</v>
      </c>
      <c r="W23" s="1232">
        <f t="shared" si="3"/>
        <v>0</v>
      </c>
      <c r="X23" s="1236">
        <f t="shared" ca="1" si="6"/>
        <v>0.16666666666666666</v>
      </c>
      <c r="Y23" s="1233">
        <f t="shared" si="4"/>
        <v>0</v>
      </c>
      <c r="Z23" s="1237" t="s">
        <v>5034</v>
      </c>
      <c r="AA23" s="1242">
        <v>45570</v>
      </c>
      <c r="AB23" s="1239">
        <v>45292</v>
      </c>
      <c r="AC23" s="1239">
        <v>45324</v>
      </c>
      <c r="AD23" s="1239">
        <v>48546</v>
      </c>
      <c r="AE23" s="1240" t="s">
        <v>1067</v>
      </c>
      <c r="AF23" s="787"/>
      <c r="AK23" s="1"/>
      <c r="AL23" s="1"/>
      <c r="AM23" s="1"/>
      <c r="AN23" s="1"/>
      <c r="AO23" s="1"/>
    </row>
    <row r="24" spans="1:41" s="9" customFormat="1" ht="28.5" customHeight="1">
      <c r="A24" s="11"/>
      <c r="B24" s="156" t="s">
        <v>1057</v>
      </c>
      <c r="C24" s="159"/>
      <c r="D24" s="159"/>
      <c r="E24" s="148"/>
      <c r="F24" s="146"/>
      <c r="G24" s="147">
        <f>SUM(H8:H23)</f>
        <v>70926.666666666657</v>
      </c>
      <c r="H24" s="166"/>
      <c r="I24" s="176" t="s">
        <v>1072</v>
      </c>
      <c r="J24" s="149"/>
      <c r="K24" s="154"/>
      <c r="O24" s="33">
        <v>17</v>
      </c>
      <c r="P24" s="142" t="s">
        <v>2842</v>
      </c>
      <c r="Q24" s="160">
        <v>1200</v>
      </c>
      <c r="R24" s="160"/>
      <c r="S24" s="1232"/>
      <c r="T24" s="1233">
        <f t="shared" ca="1" si="1"/>
        <v>0</v>
      </c>
      <c r="U24" s="1234">
        <f t="shared" ca="1" si="5"/>
        <v>0</v>
      </c>
      <c r="V24" s="1235">
        <f t="shared" si="2"/>
        <v>0</v>
      </c>
      <c r="W24" s="1232">
        <f t="shared" si="3"/>
        <v>0</v>
      </c>
      <c r="X24" s="1236">
        <f t="shared" ca="1" si="6"/>
        <v>0.16666666666666666</v>
      </c>
      <c r="Y24" s="1233">
        <f t="shared" si="4"/>
        <v>0</v>
      </c>
      <c r="Z24" s="1491" t="s">
        <v>5361</v>
      </c>
      <c r="AA24" s="1242">
        <v>45566</v>
      </c>
      <c r="AB24" s="1244"/>
      <c r="AC24" s="1244"/>
      <c r="AD24" s="1244"/>
      <c r="AE24" s="1240" t="s">
        <v>1067</v>
      </c>
      <c r="AF24" s="787"/>
      <c r="AK24" s="1"/>
      <c r="AL24" s="1"/>
      <c r="AM24" s="1"/>
      <c r="AN24" s="1"/>
      <c r="AO24" s="1"/>
    </row>
    <row r="25" spans="1:41" s="9" customFormat="1" ht="20.25" customHeight="1">
      <c r="A25" s="11">
        <v>1</v>
      </c>
      <c r="B25" s="191" t="s">
        <v>1036</v>
      </c>
      <c r="C25" s="160">
        <v>30</v>
      </c>
      <c r="D25" s="158">
        <f t="shared" ref="D25:D55" si="8">(K25/30)*C25</f>
        <v>30000</v>
      </c>
      <c r="E25" s="29"/>
      <c r="F25" s="143"/>
      <c r="G25" s="143"/>
      <c r="H25" s="185">
        <f>D25+E25-F25-G25</f>
        <v>30000</v>
      </c>
      <c r="I25" s="177" t="s">
        <v>1073</v>
      </c>
      <c r="J25" s="151"/>
      <c r="K25" s="189">
        <v>30000</v>
      </c>
      <c r="O25" s="33">
        <v>18</v>
      </c>
      <c r="P25" s="34" t="s">
        <v>5292</v>
      </c>
      <c r="Q25" s="160">
        <v>1600</v>
      </c>
      <c r="R25" s="160"/>
      <c r="S25" s="1232"/>
      <c r="T25" s="1233">
        <f t="shared" ca="1" si="1"/>
        <v>0</v>
      </c>
      <c r="U25" s="1234">
        <f t="shared" ca="1" si="5"/>
        <v>0</v>
      </c>
      <c r="V25" s="1235">
        <f t="shared" si="2"/>
        <v>0</v>
      </c>
      <c r="W25" s="1232">
        <f t="shared" si="3"/>
        <v>0</v>
      </c>
      <c r="X25" s="1236">
        <f t="shared" ca="1" si="6"/>
        <v>0</v>
      </c>
      <c r="Y25" s="1233">
        <f t="shared" si="4"/>
        <v>0</v>
      </c>
      <c r="Z25" s="1237"/>
      <c r="AA25" s="1245"/>
      <c r="AB25" s="787"/>
      <c r="AC25" s="787"/>
      <c r="AD25" s="787"/>
      <c r="AE25" s="787" t="s">
        <v>5291</v>
      </c>
      <c r="AF25" s="787"/>
      <c r="AK25" s="1"/>
      <c r="AL25" s="1"/>
      <c r="AM25" s="1"/>
      <c r="AN25" s="1"/>
      <c r="AO25" s="1"/>
    </row>
    <row r="26" spans="1:41" s="9" customFormat="1" ht="20.25" customHeight="1">
      <c r="A26" s="11">
        <v>2</v>
      </c>
      <c r="B26" s="191" t="s">
        <v>1037</v>
      </c>
      <c r="C26" s="160">
        <v>30</v>
      </c>
      <c r="D26" s="158">
        <f t="shared" si="8"/>
        <v>15000</v>
      </c>
      <c r="E26" s="29"/>
      <c r="F26" s="143"/>
      <c r="G26" s="143"/>
      <c r="H26" s="185">
        <f t="shared" ref="H26:H39" si="9">D26+E26-F26-G26</f>
        <v>15000</v>
      </c>
      <c r="I26" s="177" t="s">
        <v>1073</v>
      </c>
      <c r="J26" s="151"/>
      <c r="K26" s="189">
        <v>15000</v>
      </c>
      <c r="O26" s="33">
        <v>19</v>
      </c>
      <c r="P26" s="34" t="s">
        <v>1745</v>
      </c>
      <c r="Q26" s="160"/>
      <c r="R26" s="160"/>
      <c r="S26" s="1232"/>
      <c r="T26" s="1233">
        <f t="shared" ca="1" si="1"/>
        <v>0</v>
      </c>
      <c r="U26" s="1234">
        <f t="shared" ca="1" si="5"/>
        <v>0</v>
      </c>
      <c r="V26" s="1235">
        <f t="shared" si="2"/>
        <v>0</v>
      </c>
      <c r="W26" s="1232">
        <f t="shared" si="3"/>
        <v>0</v>
      </c>
      <c r="X26" s="1236">
        <f t="shared" ca="1" si="6"/>
        <v>0</v>
      </c>
      <c r="Y26" s="1233">
        <f t="shared" si="4"/>
        <v>0</v>
      </c>
      <c r="Z26" s="1237"/>
      <c r="AA26" s="1245"/>
      <c r="AB26" s="787"/>
      <c r="AC26" s="787"/>
      <c r="AD26" s="787"/>
      <c r="AE26" s="787"/>
      <c r="AF26" s="787"/>
      <c r="AK26" s="1"/>
      <c r="AL26" s="1"/>
      <c r="AM26" s="1"/>
      <c r="AN26" s="1"/>
      <c r="AO26" s="1"/>
    </row>
    <row r="27" spans="1:41" s="9" customFormat="1" ht="20.25" customHeight="1">
      <c r="A27" s="11">
        <v>4</v>
      </c>
      <c r="B27" s="191" t="s">
        <v>1039</v>
      </c>
      <c r="C27" s="160">
        <v>30</v>
      </c>
      <c r="D27" s="158">
        <f t="shared" si="8"/>
        <v>3500</v>
      </c>
      <c r="E27" s="29"/>
      <c r="F27" s="143"/>
      <c r="G27" s="143"/>
      <c r="H27" s="185">
        <f t="shared" si="9"/>
        <v>3500</v>
      </c>
      <c r="I27" s="177" t="s">
        <v>1073</v>
      </c>
      <c r="J27" s="151"/>
      <c r="K27" s="189">
        <v>3500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63"/>
      <c r="AF27" s="1"/>
      <c r="AK27" s="1"/>
      <c r="AL27" s="1"/>
      <c r="AM27" s="1"/>
      <c r="AN27" s="1"/>
      <c r="AO27" s="1"/>
    </row>
    <row r="28" spans="1:41" s="9" customFormat="1" ht="20.25" customHeight="1">
      <c r="A28" s="11">
        <v>5</v>
      </c>
      <c r="B28" s="191" t="s">
        <v>1040</v>
      </c>
      <c r="C28" s="160">
        <v>30</v>
      </c>
      <c r="D28" s="158">
        <f t="shared" si="8"/>
        <v>3200</v>
      </c>
      <c r="E28" s="29"/>
      <c r="F28" s="26"/>
      <c r="G28" s="143"/>
      <c r="H28" s="185">
        <f t="shared" si="9"/>
        <v>3200</v>
      </c>
      <c r="I28" s="177" t="s">
        <v>1073</v>
      </c>
      <c r="J28" s="151"/>
      <c r="K28" s="189">
        <v>3200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63"/>
      <c r="AF28" s="1"/>
      <c r="AK28" s="1"/>
      <c r="AL28" s="1"/>
      <c r="AM28" s="1"/>
      <c r="AN28" s="1"/>
      <c r="AO28" s="1"/>
    </row>
    <row r="29" spans="1:41" s="9" customFormat="1" ht="20.25" customHeight="1">
      <c r="A29" s="11">
        <v>6</v>
      </c>
      <c r="B29" s="192" t="s">
        <v>1041</v>
      </c>
      <c r="C29" s="160">
        <v>30</v>
      </c>
      <c r="D29" s="158">
        <f t="shared" si="8"/>
        <v>2800</v>
      </c>
      <c r="E29" s="30"/>
      <c r="F29" s="8"/>
      <c r="G29" s="8"/>
      <c r="H29" s="185">
        <f t="shared" si="9"/>
        <v>2800</v>
      </c>
      <c r="I29" s="177" t="s">
        <v>1073</v>
      </c>
      <c r="J29" s="151"/>
      <c r="K29" s="189">
        <v>2800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63"/>
      <c r="AF29" s="1"/>
      <c r="AK29" s="1"/>
      <c r="AL29" s="1"/>
      <c r="AM29" s="1"/>
      <c r="AN29" s="1"/>
      <c r="AO29" s="1"/>
    </row>
    <row r="30" spans="1:41" s="9" customFormat="1" ht="20.25" customHeight="1">
      <c r="A30" s="11">
        <v>7</v>
      </c>
      <c r="B30" s="192" t="s">
        <v>1042</v>
      </c>
      <c r="C30" s="160">
        <v>30</v>
      </c>
      <c r="D30" s="158">
        <f t="shared" si="8"/>
        <v>1700</v>
      </c>
      <c r="E30" s="30"/>
      <c r="F30" s="8"/>
      <c r="G30" s="8"/>
      <c r="H30" s="185">
        <f t="shared" si="9"/>
        <v>1700</v>
      </c>
      <c r="I30" s="177" t="s">
        <v>1073</v>
      </c>
      <c r="J30" s="151"/>
      <c r="K30" s="189">
        <v>1700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63"/>
      <c r="AF30" s="1"/>
      <c r="AK30" s="1"/>
      <c r="AL30" s="1"/>
      <c r="AM30" s="1"/>
      <c r="AN30" s="1"/>
      <c r="AO30" s="1"/>
    </row>
    <row r="31" spans="1:41" s="9" customFormat="1" ht="20.25" customHeight="1">
      <c r="A31" s="11">
        <v>8</v>
      </c>
      <c r="B31" s="192" t="s">
        <v>1043</v>
      </c>
      <c r="C31" s="172">
        <v>25</v>
      </c>
      <c r="D31" s="158">
        <f t="shared" si="8"/>
        <v>1500</v>
      </c>
      <c r="E31" s="190">
        <v>450</v>
      </c>
      <c r="F31" s="8"/>
      <c r="G31" s="8"/>
      <c r="H31" s="185">
        <f t="shared" si="9"/>
        <v>1950</v>
      </c>
      <c r="I31" s="177" t="s">
        <v>1073</v>
      </c>
      <c r="J31" s="188" t="s">
        <v>1580</v>
      </c>
      <c r="K31" s="189">
        <v>1800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63"/>
      <c r="AF31" s="1"/>
      <c r="AK31" s="1"/>
      <c r="AL31" s="1"/>
      <c r="AM31" s="1"/>
      <c r="AN31" s="1"/>
      <c r="AO31" s="1"/>
    </row>
    <row r="32" spans="1:41" s="9" customFormat="1" ht="20.25" customHeight="1">
      <c r="A32" s="11">
        <v>9</v>
      </c>
      <c r="B32" s="192" t="s">
        <v>1044</v>
      </c>
      <c r="C32" s="160">
        <v>30</v>
      </c>
      <c r="D32" s="158">
        <f t="shared" si="8"/>
        <v>1600</v>
      </c>
      <c r="E32" s="30"/>
      <c r="F32" s="8"/>
      <c r="G32" s="8"/>
      <c r="H32" s="185">
        <f t="shared" si="9"/>
        <v>1600</v>
      </c>
      <c r="I32" s="177" t="s">
        <v>1073</v>
      </c>
      <c r="J32" s="151"/>
      <c r="K32" s="189">
        <v>1600</v>
      </c>
      <c r="O32" s="1"/>
      <c r="P32" s="1"/>
      <c r="Q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63"/>
      <c r="AF32" s="1"/>
      <c r="AK32" s="1"/>
      <c r="AL32" s="1"/>
      <c r="AM32" s="1"/>
      <c r="AN32" s="1"/>
      <c r="AO32" s="1"/>
    </row>
    <row r="33" spans="1:42" s="9" customFormat="1" ht="20.25" customHeight="1">
      <c r="A33" s="11">
        <v>10</v>
      </c>
      <c r="B33" s="192" t="s">
        <v>1045</v>
      </c>
      <c r="C33" s="160">
        <v>30</v>
      </c>
      <c r="D33" s="158">
        <f t="shared" si="8"/>
        <v>2400</v>
      </c>
      <c r="E33" s="30"/>
      <c r="F33" s="8"/>
      <c r="G33" s="8"/>
      <c r="H33" s="185">
        <f t="shared" si="9"/>
        <v>2400</v>
      </c>
      <c r="I33" s="177" t="s">
        <v>1073</v>
      </c>
      <c r="J33" s="151"/>
      <c r="K33" s="189">
        <v>2400</v>
      </c>
      <c r="O33" s="1"/>
      <c r="P33" s="1"/>
      <c r="Q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63"/>
      <c r="AF33" s="1"/>
      <c r="AK33" s="1"/>
      <c r="AL33" s="1"/>
      <c r="AM33" s="1"/>
      <c r="AN33" s="1"/>
      <c r="AO33" s="1"/>
    </row>
    <row r="34" spans="1:42" s="9" customFormat="1" ht="20.25" customHeight="1">
      <c r="A34" s="11">
        <v>11</v>
      </c>
      <c r="B34" s="192" t="s">
        <v>1046</v>
      </c>
      <c r="C34" s="160">
        <v>30</v>
      </c>
      <c r="D34" s="158">
        <f t="shared" si="8"/>
        <v>1200</v>
      </c>
      <c r="E34" s="30"/>
      <c r="F34" s="8"/>
      <c r="G34" s="8"/>
      <c r="H34" s="185">
        <f t="shared" si="9"/>
        <v>1200</v>
      </c>
      <c r="I34" s="177" t="s">
        <v>1073</v>
      </c>
      <c r="J34" s="151"/>
      <c r="K34" s="189">
        <v>1200</v>
      </c>
      <c r="O34" s="1"/>
      <c r="P34" s="1"/>
      <c r="Q34" s="1"/>
      <c r="T34" s="1"/>
      <c r="U34" s="1"/>
      <c r="V34" s="1"/>
      <c r="W34" s="1190" t="s">
        <v>5035</v>
      </c>
      <c r="X34" s="1190">
        <v>42767</v>
      </c>
      <c r="Y34" s="1190"/>
      <c r="Z34" s="1190"/>
      <c r="AA34" s="1"/>
      <c r="AB34" s="1"/>
      <c r="AC34" s="1"/>
      <c r="AD34" s="1"/>
      <c r="AE34" s="163"/>
      <c r="AF34" s="1"/>
      <c r="AK34" s="1"/>
      <c r="AL34" s="1"/>
      <c r="AM34" s="1"/>
      <c r="AN34" s="1"/>
      <c r="AO34" s="1"/>
    </row>
    <row r="35" spans="1:42" s="9" customFormat="1" ht="20.25" customHeight="1">
      <c r="A35" s="11">
        <v>12</v>
      </c>
      <c r="B35" s="192" t="s">
        <v>1047</v>
      </c>
      <c r="C35" s="160">
        <v>30</v>
      </c>
      <c r="D35" s="158">
        <f t="shared" si="8"/>
        <v>1300</v>
      </c>
      <c r="E35" s="30"/>
      <c r="F35" s="8"/>
      <c r="G35" s="8"/>
      <c r="H35" s="185">
        <f t="shared" si="9"/>
        <v>1300</v>
      </c>
      <c r="I35" s="177" t="s">
        <v>1073</v>
      </c>
      <c r="J35" s="151"/>
      <c r="K35" s="189">
        <v>1300</v>
      </c>
      <c r="O35" s="1"/>
      <c r="P35" s="1"/>
      <c r="Q35" s="1"/>
      <c r="T35" s="1"/>
      <c r="U35" s="1"/>
      <c r="V35" s="1"/>
      <c r="W35" s="1190" t="s">
        <v>5036</v>
      </c>
      <c r="X35" s="1190">
        <v>43586.403888888657</v>
      </c>
      <c r="Y35" s="1190" t="s">
        <v>5037</v>
      </c>
      <c r="Z35" s="1190"/>
      <c r="AA35" s="1"/>
      <c r="AB35" s="1"/>
      <c r="AC35" s="1"/>
      <c r="AD35" s="1"/>
      <c r="AE35" s="163"/>
      <c r="AF35" s="1"/>
      <c r="AK35" s="1"/>
      <c r="AL35" s="1"/>
      <c r="AM35" s="1"/>
      <c r="AN35" s="1"/>
      <c r="AO35" s="1"/>
    </row>
    <row r="36" spans="1:42" s="9" customFormat="1" ht="20.25" customHeight="1">
      <c r="A36" s="11">
        <v>13</v>
      </c>
      <c r="B36" s="192" t="s">
        <v>1048</v>
      </c>
      <c r="C36" s="172">
        <v>14</v>
      </c>
      <c r="D36" s="158">
        <f t="shared" si="8"/>
        <v>2146.666666666667</v>
      </c>
      <c r="E36" s="30"/>
      <c r="F36" s="8"/>
      <c r="G36" s="8"/>
      <c r="H36" s="185">
        <f t="shared" si="9"/>
        <v>2146.666666666667</v>
      </c>
      <c r="I36" s="177" t="s">
        <v>1073</v>
      </c>
      <c r="J36" s="188" t="s">
        <v>1089</v>
      </c>
      <c r="K36" s="189">
        <v>4600</v>
      </c>
      <c r="O36" s="1"/>
      <c r="P36" s="1"/>
      <c r="Q36" s="1"/>
      <c r="T36" s="1"/>
      <c r="U36" s="1"/>
      <c r="V36" s="1"/>
      <c r="W36" s="1190" t="s">
        <v>5036</v>
      </c>
      <c r="X36" s="1190">
        <v>44228.408090277575</v>
      </c>
      <c r="Y36" s="1190" t="s">
        <v>5038</v>
      </c>
      <c r="Z36" s="1190"/>
      <c r="AA36" s="1"/>
      <c r="AB36" s="1"/>
      <c r="AC36" s="1"/>
      <c r="AD36" s="1"/>
      <c r="AE36" s="163"/>
      <c r="AF36" s="1"/>
      <c r="AK36" s="1"/>
      <c r="AL36" s="1"/>
      <c r="AM36" s="1"/>
      <c r="AN36" s="1"/>
      <c r="AO36" s="1"/>
    </row>
    <row r="37" spans="1:42" s="9" customFormat="1" ht="20.25" customHeight="1">
      <c r="A37" s="11">
        <v>14</v>
      </c>
      <c r="B37" s="192" t="s">
        <v>1049</v>
      </c>
      <c r="C37" s="160">
        <v>30</v>
      </c>
      <c r="D37" s="158">
        <f t="shared" si="8"/>
        <v>1000.0000000000001</v>
      </c>
      <c r="E37" s="30"/>
      <c r="F37" s="8"/>
      <c r="G37" s="8"/>
      <c r="H37" s="185">
        <f t="shared" si="9"/>
        <v>1000.0000000000001</v>
      </c>
      <c r="I37" s="177" t="s">
        <v>1073</v>
      </c>
      <c r="J37" s="151"/>
      <c r="K37" s="189">
        <v>1000</v>
      </c>
      <c r="O37" s="1"/>
      <c r="P37" s="1"/>
      <c r="Q37" s="1"/>
      <c r="R37" s="1"/>
      <c r="S37" s="1"/>
      <c r="T37" s="1"/>
      <c r="U37" s="1"/>
      <c r="V37" s="1"/>
      <c r="W37" s="1190" t="s">
        <v>5039</v>
      </c>
      <c r="X37" s="1190">
        <v>43467.648425925989</v>
      </c>
      <c r="Y37" s="1190">
        <v>43554</v>
      </c>
      <c r="Z37" s="1190" t="s">
        <v>5040</v>
      </c>
      <c r="AA37" s="1"/>
      <c r="AB37" s="1"/>
      <c r="AC37" s="1"/>
      <c r="AD37" s="1"/>
      <c r="AE37" s="163"/>
      <c r="AF37" s="1"/>
      <c r="AL37" s="1"/>
      <c r="AM37" s="1"/>
      <c r="AN37" s="1"/>
      <c r="AO37" s="1"/>
      <c r="AP37" s="1"/>
    </row>
    <row r="38" spans="1:42" s="9" customFormat="1" ht="20.25" customHeight="1">
      <c r="A38" s="11">
        <v>15</v>
      </c>
      <c r="B38" s="192" t="s">
        <v>1050</v>
      </c>
      <c r="C38" s="160">
        <v>30</v>
      </c>
      <c r="D38" s="158">
        <f t="shared" si="8"/>
        <v>1800</v>
      </c>
      <c r="E38" s="30"/>
      <c r="F38" s="8"/>
      <c r="G38" s="8"/>
      <c r="H38" s="185">
        <f t="shared" si="9"/>
        <v>1800</v>
      </c>
      <c r="I38" s="177" t="s">
        <v>1073</v>
      </c>
      <c r="J38" s="151"/>
      <c r="K38" s="189">
        <v>1800</v>
      </c>
      <c r="O38" s="1"/>
      <c r="P38" s="1"/>
      <c r="Q38" s="1"/>
      <c r="R38" s="1"/>
      <c r="S38" s="1"/>
      <c r="T38" s="1"/>
      <c r="U38" s="1"/>
      <c r="V38" s="1"/>
      <c r="W38" s="1190" t="s">
        <v>5039</v>
      </c>
      <c r="X38" s="1190">
        <v>44256</v>
      </c>
      <c r="Y38" s="1190">
        <v>44438</v>
      </c>
      <c r="Z38" s="1190" t="s">
        <v>5041</v>
      </c>
      <c r="AA38" s="1"/>
      <c r="AB38" s="1"/>
      <c r="AC38" s="1"/>
      <c r="AD38" s="1"/>
      <c r="AE38" s="163"/>
      <c r="AF38" s="1"/>
      <c r="AL38" s="1"/>
      <c r="AM38" s="1"/>
      <c r="AN38" s="1"/>
      <c r="AO38" s="1"/>
      <c r="AP38" s="1"/>
    </row>
    <row r="39" spans="1:42" s="9" customFormat="1" ht="20.25" customHeight="1">
      <c r="A39" s="11">
        <v>16</v>
      </c>
      <c r="B39" s="192" t="s">
        <v>1051</v>
      </c>
      <c r="C39" s="160">
        <v>30</v>
      </c>
      <c r="D39" s="158">
        <f t="shared" si="8"/>
        <v>1000.0000000000001</v>
      </c>
      <c r="E39" s="30"/>
      <c r="F39" s="8"/>
      <c r="G39" s="8"/>
      <c r="H39" s="185">
        <f t="shared" si="9"/>
        <v>1000.0000000000001</v>
      </c>
      <c r="I39" s="177" t="s">
        <v>1073</v>
      </c>
      <c r="J39" s="151"/>
      <c r="K39" s="189">
        <v>1000</v>
      </c>
      <c r="O39" s="1"/>
      <c r="P39" s="1"/>
      <c r="Q39" s="1"/>
      <c r="R39" s="1"/>
      <c r="S39" s="1"/>
      <c r="T39" s="1"/>
      <c r="U39" s="1"/>
      <c r="V39" s="1"/>
      <c r="W39" s="1190" t="s">
        <v>5039</v>
      </c>
      <c r="X39" s="1190">
        <v>44986</v>
      </c>
      <c r="Y39" s="1190">
        <v>45015</v>
      </c>
      <c r="Z39" s="1190" t="s">
        <v>5042</v>
      </c>
      <c r="AA39" s="1"/>
      <c r="AB39" s="1"/>
      <c r="AC39" s="1"/>
      <c r="AD39" s="1"/>
      <c r="AE39" s="163"/>
      <c r="AF39" s="1"/>
      <c r="AK39" s="1"/>
      <c r="AL39" s="1"/>
      <c r="AM39" s="1"/>
      <c r="AN39" s="1"/>
      <c r="AO39" s="1"/>
    </row>
    <row r="40" spans="1:42" s="9" customFormat="1" ht="30.75" customHeight="1">
      <c r="A40" s="11"/>
      <c r="B40" s="156" t="s">
        <v>1058</v>
      </c>
      <c r="C40" s="159"/>
      <c r="D40" s="161"/>
      <c r="E40" s="149"/>
      <c r="F40" s="150"/>
      <c r="G40" s="147">
        <f>SUM(H25:H39)</f>
        <v>70596.666666666672</v>
      </c>
      <c r="H40" s="167"/>
      <c r="I40" s="175" t="s">
        <v>1073</v>
      </c>
      <c r="J40" s="152"/>
      <c r="K40" s="154"/>
      <c r="L40" s="305" t="s">
        <v>1253</v>
      </c>
      <c r="M40" s="305" t="s">
        <v>1252</v>
      </c>
      <c r="N40" s="30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63"/>
      <c r="AF40" s="1"/>
      <c r="AK40" s="1"/>
      <c r="AL40" s="1"/>
      <c r="AM40" s="1"/>
      <c r="AN40" s="1"/>
      <c r="AO40" s="1"/>
    </row>
    <row r="41" spans="1:42" s="9" customFormat="1" ht="22.5" customHeight="1">
      <c r="A41" s="11">
        <v>1</v>
      </c>
      <c r="B41" s="7" t="s">
        <v>1036</v>
      </c>
      <c r="C41" s="160">
        <v>30</v>
      </c>
      <c r="D41" s="158">
        <f t="shared" si="8"/>
        <v>30000</v>
      </c>
      <c r="E41" s="30"/>
      <c r="F41" s="473"/>
      <c r="G41" s="8"/>
      <c r="H41" s="185">
        <f t="shared" ref="H41:H55" si="10">D41+E41-F41-G41</f>
        <v>30000</v>
      </c>
      <c r="I41" s="474" t="s">
        <v>1251</v>
      </c>
      <c r="J41" s="151"/>
      <c r="K41" s="189">
        <v>30000</v>
      </c>
      <c r="L41" s="302"/>
      <c r="M41" s="28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63"/>
      <c r="AF41" s="1"/>
      <c r="AK41" s="1"/>
      <c r="AL41" s="1"/>
      <c r="AM41" s="1"/>
      <c r="AN41" s="1"/>
      <c r="AO41" s="1"/>
    </row>
    <row r="42" spans="1:42" s="9" customFormat="1" ht="22.5" customHeight="1">
      <c r="A42" s="11">
        <v>2</v>
      </c>
      <c r="B42" s="7" t="s">
        <v>1037</v>
      </c>
      <c r="C42" s="160">
        <v>30</v>
      </c>
      <c r="D42" s="158">
        <f t="shared" si="8"/>
        <v>15000</v>
      </c>
      <c r="E42" s="30"/>
      <c r="F42" s="473"/>
      <c r="G42" s="8"/>
      <c r="H42" s="185">
        <f t="shared" si="10"/>
        <v>15000</v>
      </c>
      <c r="I42" s="474" t="s">
        <v>1251</v>
      </c>
      <c r="J42" s="476" t="s">
        <v>1484</v>
      </c>
      <c r="K42" s="189">
        <v>15000</v>
      </c>
      <c r="L42" s="302">
        <f t="shared" ref="L42:L55" si="11">((K42/30)/8)*28</f>
        <v>1750</v>
      </c>
      <c r="M42" s="281">
        <f t="shared" ref="M42:M55" si="12">K42/30</f>
        <v>500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63"/>
      <c r="AF42" s="1"/>
      <c r="AK42" s="1"/>
      <c r="AL42" s="1"/>
      <c r="AM42" s="1"/>
      <c r="AN42" s="1"/>
      <c r="AO42" s="1"/>
    </row>
    <row r="43" spans="1:42" s="9" customFormat="1" ht="24.75" customHeight="1">
      <c r="A43" s="11">
        <v>4</v>
      </c>
      <c r="B43" s="7" t="s">
        <v>1039</v>
      </c>
      <c r="C43" s="160">
        <v>30</v>
      </c>
      <c r="D43" s="158">
        <f t="shared" si="8"/>
        <v>3500</v>
      </c>
      <c r="E43" s="30"/>
      <c r="F43" s="473"/>
      <c r="G43" s="8"/>
      <c r="H43" s="185">
        <f t="shared" si="10"/>
        <v>3500</v>
      </c>
      <c r="I43" s="474" t="s">
        <v>1251</v>
      </c>
      <c r="J43" s="477"/>
      <c r="K43" s="189">
        <v>3500</v>
      </c>
      <c r="L43" s="302"/>
      <c r="M43" s="28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63"/>
      <c r="AF43" s="1"/>
      <c r="AK43" s="1"/>
      <c r="AL43" s="1"/>
      <c r="AM43" s="1"/>
      <c r="AN43" s="1"/>
      <c r="AO43" s="1"/>
    </row>
    <row r="44" spans="1:42" s="9" customFormat="1" ht="22.5" customHeight="1">
      <c r="A44" s="11">
        <v>5</v>
      </c>
      <c r="B44" s="7" t="s">
        <v>1040</v>
      </c>
      <c r="C44" s="160">
        <v>30</v>
      </c>
      <c r="D44" s="158">
        <f t="shared" si="8"/>
        <v>3200</v>
      </c>
      <c r="E44" s="30"/>
      <c r="F44" s="473"/>
      <c r="G44" s="8"/>
      <c r="H44" s="185">
        <f t="shared" si="10"/>
        <v>3200</v>
      </c>
      <c r="I44" s="474" t="s">
        <v>1251</v>
      </c>
      <c r="J44" s="476"/>
      <c r="K44" s="189">
        <v>3200</v>
      </c>
      <c r="L44" s="302">
        <f t="shared" si="11"/>
        <v>373.33333333333337</v>
      </c>
      <c r="M44" s="281">
        <f t="shared" si="12"/>
        <v>106.66666666666667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63"/>
      <c r="AF44" s="1"/>
      <c r="AK44" s="1"/>
      <c r="AL44" s="1"/>
      <c r="AM44" s="1"/>
      <c r="AN44" s="1"/>
      <c r="AO44" s="1"/>
    </row>
    <row r="45" spans="1:42" s="9" customFormat="1" ht="22.5" customHeight="1">
      <c r="A45" s="11">
        <v>6</v>
      </c>
      <c r="B45" s="7" t="s">
        <v>1041</v>
      </c>
      <c r="C45" s="172">
        <v>29</v>
      </c>
      <c r="D45" s="561">
        <f t="shared" si="8"/>
        <v>2706.6666666666665</v>
      </c>
      <c r="E45" s="30"/>
      <c r="F45" s="473"/>
      <c r="G45" s="8"/>
      <c r="H45" s="185">
        <f t="shared" si="10"/>
        <v>2706.6666666666665</v>
      </c>
      <c r="I45" s="474" t="s">
        <v>1251</v>
      </c>
      <c r="J45" s="476" t="s">
        <v>1494</v>
      </c>
      <c r="K45" s="189">
        <v>2800</v>
      </c>
      <c r="L45" s="302">
        <f t="shared" si="11"/>
        <v>326.66666666666663</v>
      </c>
      <c r="M45" s="281">
        <f t="shared" si="12"/>
        <v>93.333333333333329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63"/>
      <c r="AF45" s="1"/>
      <c r="AK45" s="1"/>
      <c r="AL45" s="1"/>
      <c r="AM45" s="1"/>
      <c r="AN45" s="1"/>
      <c r="AO45" s="1"/>
    </row>
    <row r="46" spans="1:42" s="9" customFormat="1" ht="22.5" customHeight="1">
      <c r="A46" s="11">
        <v>7</v>
      </c>
      <c r="B46" s="7" t="s">
        <v>1042</v>
      </c>
      <c r="C46" s="160">
        <v>30</v>
      </c>
      <c r="D46" s="158">
        <f t="shared" si="8"/>
        <v>1700</v>
      </c>
      <c r="E46" s="30"/>
      <c r="F46" s="473"/>
      <c r="G46" s="8"/>
      <c r="H46" s="185">
        <f t="shared" si="10"/>
        <v>1700</v>
      </c>
      <c r="I46" s="474" t="s">
        <v>1251</v>
      </c>
      <c r="J46" s="151"/>
      <c r="K46" s="189">
        <v>1700</v>
      </c>
      <c r="L46" s="302">
        <f t="shared" si="11"/>
        <v>198.33333333333331</v>
      </c>
      <c r="M46" s="281">
        <f t="shared" si="12"/>
        <v>56.666666666666664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63"/>
      <c r="AF46" s="1"/>
      <c r="AK46" s="1"/>
      <c r="AL46" s="1"/>
      <c r="AM46" s="1"/>
      <c r="AN46" s="1"/>
      <c r="AO46" s="1"/>
    </row>
    <row r="47" spans="1:42" s="9" customFormat="1" ht="22.5" customHeight="1">
      <c r="A47" s="11">
        <v>8</v>
      </c>
      <c r="B47" s="7" t="s">
        <v>1043</v>
      </c>
      <c r="C47" s="160">
        <v>30</v>
      </c>
      <c r="D47" s="158">
        <f t="shared" si="8"/>
        <v>1800</v>
      </c>
      <c r="E47" s="30"/>
      <c r="F47" s="473"/>
      <c r="G47" s="8"/>
      <c r="H47" s="185">
        <f t="shared" si="10"/>
        <v>1800</v>
      </c>
      <c r="I47" s="474" t="s">
        <v>1251</v>
      </c>
      <c r="J47" s="151"/>
      <c r="K47" s="189">
        <v>1800</v>
      </c>
      <c r="L47" s="302">
        <f t="shared" si="11"/>
        <v>210</v>
      </c>
      <c r="M47" s="303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63"/>
      <c r="AF47" s="1"/>
      <c r="AK47" s="1"/>
      <c r="AL47" s="1"/>
      <c r="AM47" s="1"/>
      <c r="AN47" s="1"/>
      <c r="AO47" s="1"/>
    </row>
    <row r="48" spans="1:42" s="9" customFormat="1" ht="22.5" customHeight="1">
      <c r="A48" s="11">
        <v>9</v>
      </c>
      <c r="B48" s="7" t="s">
        <v>1044</v>
      </c>
      <c r="C48" s="160">
        <v>30</v>
      </c>
      <c r="D48" s="158">
        <f t="shared" si="8"/>
        <v>1600</v>
      </c>
      <c r="E48" s="30"/>
      <c r="F48" s="473"/>
      <c r="G48" s="8"/>
      <c r="H48" s="185">
        <f t="shared" si="10"/>
        <v>1600</v>
      </c>
      <c r="I48" s="474" t="s">
        <v>1251</v>
      </c>
      <c r="J48" s="151"/>
      <c r="K48" s="189">
        <v>1600</v>
      </c>
      <c r="L48" s="302">
        <f t="shared" si="11"/>
        <v>186.66666666666669</v>
      </c>
      <c r="M48" s="281">
        <f t="shared" si="12"/>
        <v>53.333333333333336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63"/>
      <c r="AF48" s="1"/>
      <c r="AK48" s="1"/>
      <c r="AL48" s="1"/>
      <c r="AM48" s="1"/>
      <c r="AN48" s="1"/>
      <c r="AO48" s="1"/>
    </row>
    <row r="49" spans="1:41" s="9" customFormat="1" ht="22.5" customHeight="1">
      <c r="A49" s="11">
        <v>10</v>
      </c>
      <c r="B49" s="7" t="s">
        <v>1045</v>
      </c>
      <c r="C49" s="160">
        <v>30</v>
      </c>
      <c r="D49" s="158">
        <f t="shared" si="8"/>
        <v>2400</v>
      </c>
      <c r="E49" s="30"/>
      <c r="F49" s="473"/>
      <c r="G49" s="8"/>
      <c r="H49" s="185">
        <f t="shared" si="10"/>
        <v>2400</v>
      </c>
      <c r="I49" s="474" t="s">
        <v>1251</v>
      </c>
      <c r="J49" s="151"/>
      <c r="K49" s="189">
        <v>2400</v>
      </c>
      <c r="L49" s="302">
        <f t="shared" si="11"/>
        <v>280</v>
      </c>
      <c r="M49" s="281">
        <f t="shared" si="12"/>
        <v>80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63"/>
      <c r="AF49" s="1"/>
      <c r="AK49" s="1"/>
      <c r="AL49" s="1"/>
      <c r="AM49" s="1"/>
      <c r="AN49" s="1"/>
      <c r="AO49" s="1"/>
    </row>
    <row r="50" spans="1:41" s="9" customFormat="1" ht="22.5" customHeight="1">
      <c r="A50" s="11">
        <v>11</v>
      </c>
      <c r="B50" s="7" t="s">
        <v>1046</v>
      </c>
      <c r="C50" s="160">
        <v>30</v>
      </c>
      <c r="D50" s="158">
        <f t="shared" si="8"/>
        <v>1200</v>
      </c>
      <c r="E50" s="30"/>
      <c r="F50" s="473"/>
      <c r="G50" s="8"/>
      <c r="H50" s="185">
        <f t="shared" si="10"/>
        <v>1200</v>
      </c>
      <c r="I50" s="474" t="s">
        <v>1251</v>
      </c>
      <c r="J50" s="151"/>
      <c r="K50" s="189">
        <v>1200</v>
      </c>
      <c r="L50" s="302">
        <f t="shared" si="11"/>
        <v>140</v>
      </c>
      <c r="M50" s="281">
        <f t="shared" si="12"/>
        <v>40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63"/>
      <c r="AF50" s="1"/>
      <c r="AK50" s="1"/>
      <c r="AL50" s="1"/>
      <c r="AM50" s="1"/>
      <c r="AN50" s="1"/>
      <c r="AO50" s="1"/>
    </row>
    <row r="51" spans="1:41" s="9" customFormat="1" ht="22.5" customHeight="1">
      <c r="A51" s="11">
        <v>12</v>
      </c>
      <c r="B51" s="7" t="s">
        <v>1047</v>
      </c>
      <c r="C51" s="160">
        <v>30</v>
      </c>
      <c r="D51" s="158">
        <f t="shared" si="8"/>
        <v>1300</v>
      </c>
      <c r="E51" s="30"/>
      <c r="F51" s="473"/>
      <c r="G51" s="8"/>
      <c r="H51" s="185">
        <f t="shared" si="10"/>
        <v>1300</v>
      </c>
      <c r="I51" s="474" t="s">
        <v>1251</v>
      </c>
      <c r="J51" s="151"/>
      <c r="K51" s="189">
        <v>1300</v>
      </c>
      <c r="L51" s="302">
        <f t="shared" si="11"/>
        <v>151.66666666666669</v>
      </c>
      <c r="M51" s="281">
        <f t="shared" si="12"/>
        <v>43.333333333333336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63"/>
      <c r="AF51" s="1"/>
      <c r="AK51" s="1"/>
      <c r="AL51" s="1"/>
      <c r="AM51" s="1"/>
      <c r="AN51" s="1"/>
      <c r="AO51" s="1"/>
    </row>
    <row r="52" spans="1:41" s="9" customFormat="1" ht="22.5" customHeight="1">
      <c r="A52" s="11">
        <v>13</v>
      </c>
      <c r="B52" s="7" t="s">
        <v>1048</v>
      </c>
      <c r="C52" s="172">
        <v>23</v>
      </c>
      <c r="D52" s="158">
        <f t="shared" si="8"/>
        <v>3526.666666666667</v>
      </c>
      <c r="E52" s="30"/>
      <c r="F52" s="473"/>
      <c r="G52" s="8"/>
      <c r="H52" s="185">
        <f t="shared" si="10"/>
        <v>3526.666666666667</v>
      </c>
      <c r="I52" s="474" t="s">
        <v>1251</v>
      </c>
      <c r="J52" s="476" t="s">
        <v>1485</v>
      </c>
      <c r="K52" s="189">
        <v>4600</v>
      </c>
      <c r="L52" s="304">
        <f>((K52/30)/8)*23</f>
        <v>440.83333333333337</v>
      </c>
      <c r="M52" s="30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63"/>
      <c r="AF52" s="1"/>
      <c r="AK52" s="1"/>
      <c r="AL52" s="1"/>
      <c r="AM52" s="1"/>
      <c r="AN52" s="1"/>
      <c r="AO52" s="1"/>
    </row>
    <row r="53" spans="1:41" s="9" customFormat="1" ht="22.5" customHeight="1">
      <c r="A53" s="11">
        <v>14</v>
      </c>
      <c r="B53" s="7" t="s">
        <v>1049</v>
      </c>
      <c r="C53" s="172">
        <v>29</v>
      </c>
      <c r="D53" s="158">
        <f t="shared" si="8"/>
        <v>966.66666666666674</v>
      </c>
      <c r="E53" s="30"/>
      <c r="F53" s="473"/>
      <c r="G53" s="8"/>
      <c r="H53" s="185">
        <f t="shared" si="10"/>
        <v>966.66666666666674</v>
      </c>
      <c r="I53" s="474" t="s">
        <v>1251</v>
      </c>
      <c r="J53" s="476" t="s">
        <v>1483</v>
      </c>
      <c r="K53" s="189">
        <v>1000</v>
      </c>
      <c r="L53" s="304">
        <f>((K53/30)/8)*27</f>
        <v>112.50000000000001</v>
      </c>
      <c r="M53" s="281">
        <f t="shared" si="12"/>
        <v>33.333333333333336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63"/>
      <c r="AF53" s="1"/>
      <c r="AK53" s="1"/>
      <c r="AL53" s="1"/>
      <c r="AM53" s="1"/>
      <c r="AN53" s="1"/>
      <c r="AO53" s="1"/>
    </row>
    <row r="54" spans="1:41" s="9" customFormat="1" ht="22.5" customHeight="1">
      <c r="A54" s="11">
        <v>15</v>
      </c>
      <c r="B54" s="7" t="s">
        <v>1050</v>
      </c>
      <c r="C54" s="160">
        <v>30</v>
      </c>
      <c r="D54" s="158">
        <f t="shared" si="8"/>
        <v>1800</v>
      </c>
      <c r="E54" s="30"/>
      <c r="F54" s="473"/>
      <c r="G54" s="8"/>
      <c r="H54" s="185">
        <f t="shared" si="10"/>
        <v>1800</v>
      </c>
      <c r="I54" s="474" t="s">
        <v>1251</v>
      </c>
      <c r="J54" s="476" t="s">
        <v>1495</v>
      </c>
      <c r="K54" s="189">
        <v>1800</v>
      </c>
      <c r="L54" s="304">
        <f>((K54/30)/8)*26</f>
        <v>195</v>
      </c>
      <c r="M54" s="303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63"/>
      <c r="AF54" s="1"/>
      <c r="AK54" s="1"/>
      <c r="AL54" s="1"/>
      <c r="AM54" s="1"/>
      <c r="AN54" s="1"/>
      <c r="AO54" s="1"/>
    </row>
    <row r="55" spans="1:41" s="9" customFormat="1" ht="22.5" customHeight="1">
      <c r="A55" s="11">
        <v>16</v>
      </c>
      <c r="B55" s="7" t="s">
        <v>1051</v>
      </c>
      <c r="C55" s="160">
        <v>30</v>
      </c>
      <c r="D55" s="158">
        <f t="shared" si="8"/>
        <v>1000.0000000000001</v>
      </c>
      <c r="E55" s="30"/>
      <c r="F55" s="473"/>
      <c r="G55" s="8"/>
      <c r="H55" s="185">
        <f t="shared" si="10"/>
        <v>1000.0000000000001</v>
      </c>
      <c r="I55" s="474" t="s">
        <v>1251</v>
      </c>
      <c r="J55" s="476"/>
      <c r="K55" s="189">
        <v>1000</v>
      </c>
      <c r="L55" s="302">
        <f t="shared" si="11"/>
        <v>116.66666666666667</v>
      </c>
      <c r="M55" s="281">
        <f t="shared" si="12"/>
        <v>33.333333333333336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63"/>
      <c r="AF55" s="1"/>
      <c r="AK55" s="1"/>
      <c r="AL55" s="1"/>
      <c r="AM55" s="1"/>
      <c r="AN55" s="1"/>
      <c r="AO55" s="1"/>
    </row>
    <row r="56" spans="1:41" s="9" customFormat="1" ht="20.25" customHeight="1">
      <c r="A56" s="11"/>
      <c r="B56" s="156" t="s">
        <v>1254</v>
      </c>
      <c r="C56" s="159"/>
      <c r="D56" s="161"/>
      <c r="E56" s="149"/>
      <c r="F56" s="150"/>
      <c r="G56" s="147">
        <f>SUM(H41:H55)</f>
        <v>71700</v>
      </c>
      <c r="H56" s="167"/>
      <c r="I56" s="475" t="s">
        <v>1251</v>
      </c>
      <c r="J56" s="152"/>
      <c r="K56" s="154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63"/>
      <c r="AF56" s="1"/>
      <c r="AK56" s="1"/>
      <c r="AL56" s="1"/>
      <c r="AM56" s="1"/>
      <c r="AN56" s="1"/>
      <c r="AO56" s="1"/>
    </row>
    <row r="57" spans="1:41" ht="15.75">
      <c r="A57" s="11"/>
      <c r="B57" s="7"/>
      <c r="C57" s="162"/>
      <c r="D57" s="162"/>
      <c r="E57" s="506" t="s">
        <v>1496</v>
      </c>
      <c r="F57" s="507" t="s">
        <v>1499</v>
      </c>
      <c r="G57" s="8">
        <v>70</v>
      </c>
      <c r="H57" s="168"/>
      <c r="I57" s="474" t="s">
        <v>1251</v>
      </c>
      <c r="J57" s="10"/>
      <c r="K57" s="145"/>
    </row>
    <row r="58" spans="1:41" ht="15.75">
      <c r="A58" s="11"/>
      <c r="B58" s="7"/>
      <c r="C58" s="162"/>
      <c r="D58" s="162"/>
      <c r="E58" s="506" t="s">
        <v>1496</v>
      </c>
      <c r="F58" s="507" t="s">
        <v>1499</v>
      </c>
      <c r="G58" s="8">
        <v>25</v>
      </c>
      <c r="H58" s="168"/>
      <c r="I58" s="474" t="s">
        <v>1251</v>
      </c>
      <c r="J58" s="10"/>
      <c r="K58" s="145"/>
    </row>
    <row r="59" spans="1:41" ht="15.75">
      <c r="A59" s="11"/>
      <c r="B59" s="7"/>
      <c r="C59" s="162"/>
      <c r="D59" s="162"/>
      <c r="E59" s="506" t="s">
        <v>7</v>
      </c>
      <c r="F59" s="507" t="s">
        <v>1499</v>
      </c>
      <c r="G59" s="504">
        <v>4.75</v>
      </c>
      <c r="H59" s="168"/>
      <c r="I59" s="474" t="s">
        <v>1251</v>
      </c>
      <c r="J59" s="10"/>
      <c r="K59" s="145"/>
    </row>
    <row r="60" spans="1:41" ht="15.75">
      <c r="A60" s="11"/>
      <c r="B60" s="7"/>
      <c r="C60" s="162"/>
      <c r="D60" s="162"/>
      <c r="E60" s="506"/>
      <c r="F60" s="507"/>
      <c r="G60" s="505">
        <f>SUBTOTAL(9,G56:G59)</f>
        <v>71799.75</v>
      </c>
      <c r="H60" s="168"/>
      <c r="I60" s="474" t="s">
        <v>1251</v>
      </c>
      <c r="J60" s="10"/>
      <c r="K60" s="145"/>
    </row>
    <row r="61" spans="1:41" ht="24" customHeight="1" thickBot="1">
      <c r="A61" s="11"/>
      <c r="B61" s="7"/>
      <c r="C61" s="162"/>
      <c r="D61" s="162"/>
      <c r="E61" s="510" t="s">
        <v>1497</v>
      </c>
      <c r="F61" s="511" t="s">
        <v>1500</v>
      </c>
      <c r="G61" s="512">
        <v>-2706</v>
      </c>
      <c r="H61" s="514"/>
      <c r="I61" s="515" t="s">
        <v>1251</v>
      </c>
      <c r="J61" s="514" t="s">
        <v>1865</v>
      </c>
      <c r="K61" s="145"/>
    </row>
    <row r="62" spans="1:41" ht="23.25" customHeight="1" thickTop="1" thickBot="1">
      <c r="A62" s="11"/>
      <c r="B62" s="7"/>
      <c r="C62" s="162"/>
      <c r="D62" s="162"/>
      <c r="E62" s="508" t="s">
        <v>1498</v>
      </c>
      <c r="F62" s="509"/>
      <c r="G62" s="520">
        <f>G60+G61</f>
        <v>69093.75</v>
      </c>
      <c r="H62" s="513"/>
      <c r="I62" s="516" t="s">
        <v>1251</v>
      </c>
      <c r="J62" s="513" t="s">
        <v>1501</v>
      </c>
      <c r="K62" s="145"/>
    </row>
    <row r="63" spans="1:41" ht="42" customHeight="1" thickTop="1">
      <c r="A63" s="11"/>
      <c r="B63" s="156" t="s">
        <v>1254</v>
      </c>
      <c r="C63" s="159"/>
      <c r="D63" s="161"/>
      <c r="E63" s="149"/>
      <c r="F63" s="150"/>
      <c r="G63" s="147"/>
      <c r="H63" s="167"/>
      <c r="I63" s="175" t="s">
        <v>1251</v>
      </c>
      <c r="J63" s="152"/>
      <c r="K63" s="154"/>
      <c r="L63" s="1961" t="s">
        <v>1796</v>
      </c>
      <c r="M63" s="1962"/>
      <c r="N63" s="1962"/>
    </row>
    <row r="64" spans="1:41" ht="23.25" customHeight="1">
      <c r="A64" s="11">
        <v>1</v>
      </c>
      <c r="B64" s="7" t="s">
        <v>1036</v>
      </c>
      <c r="C64" s="160">
        <v>30</v>
      </c>
      <c r="D64" s="158">
        <f>(K64/30)*C64</f>
        <v>30000</v>
      </c>
      <c r="E64" s="30"/>
      <c r="F64" s="473"/>
      <c r="G64" s="8"/>
      <c r="H64" s="185">
        <f t="shared" ref="H64:H78" si="13">D64+E64-F64-G64</f>
        <v>30000</v>
      </c>
      <c r="I64" s="474" t="s">
        <v>1549</v>
      </c>
      <c r="J64" s="151"/>
      <c r="K64" s="189">
        <v>30000</v>
      </c>
      <c r="L64" s="9" t="s">
        <v>1795</v>
      </c>
    </row>
    <row r="65" spans="1:16" ht="23.25" customHeight="1">
      <c r="A65" s="11">
        <v>2</v>
      </c>
      <c r="B65" s="7" t="s">
        <v>1037</v>
      </c>
      <c r="C65" s="160">
        <v>30</v>
      </c>
      <c r="D65" s="158">
        <f t="shared" ref="D65:D78" si="14">(K65/30)*C65</f>
        <v>15000</v>
      </c>
      <c r="E65" s="30"/>
      <c r="F65" s="473"/>
      <c r="G65" s="8"/>
      <c r="H65" s="185">
        <f t="shared" si="13"/>
        <v>15000</v>
      </c>
      <c r="I65" s="474" t="s">
        <v>1549</v>
      </c>
      <c r="J65" s="476"/>
      <c r="K65" s="189">
        <v>15000</v>
      </c>
    </row>
    <row r="66" spans="1:16" ht="23.25" customHeight="1">
      <c r="A66" s="11">
        <v>4</v>
      </c>
      <c r="B66" s="7" t="s">
        <v>1039</v>
      </c>
      <c r="C66" s="160">
        <v>30</v>
      </c>
      <c r="D66" s="158">
        <f t="shared" si="14"/>
        <v>3500</v>
      </c>
      <c r="E66" s="30"/>
      <c r="F66" s="473"/>
      <c r="G66" s="8"/>
      <c r="H66" s="185">
        <f t="shared" si="13"/>
        <v>3500</v>
      </c>
      <c r="I66" s="474" t="s">
        <v>1549</v>
      </c>
      <c r="J66" s="477"/>
      <c r="K66" s="189">
        <v>3500</v>
      </c>
    </row>
    <row r="67" spans="1:16" ht="23.25" customHeight="1">
      <c r="A67" s="11">
        <v>5</v>
      </c>
      <c r="B67" s="7" t="s">
        <v>1040</v>
      </c>
      <c r="C67" s="160">
        <v>30</v>
      </c>
      <c r="D67" s="158">
        <f t="shared" si="14"/>
        <v>3500</v>
      </c>
      <c r="E67" s="30"/>
      <c r="F67" s="473"/>
      <c r="G67" s="8"/>
      <c r="H67" s="185">
        <f t="shared" si="13"/>
        <v>3500</v>
      </c>
      <c r="I67" s="474" t="s">
        <v>1549</v>
      </c>
      <c r="J67" s="476" t="s">
        <v>1860</v>
      </c>
      <c r="K67" s="189">
        <v>3500</v>
      </c>
    </row>
    <row r="68" spans="1:16" ht="32.25" customHeight="1">
      <c r="A68" s="11">
        <v>6</v>
      </c>
      <c r="B68" s="7" t="s">
        <v>1041</v>
      </c>
      <c r="C68" s="172">
        <v>47</v>
      </c>
      <c r="D68" s="561">
        <f t="shared" si="14"/>
        <v>4386.6666666666661</v>
      </c>
      <c r="E68" s="30"/>
      <c r="F68" s="473"/>
      <c r="G68" s="8"/>
      <c r="H68" s="185">
        <f t="shared" si="13"/>
        <v>4386.6666666666661</v>
      </c>
      <c r="I68" s="474" t="s">
        <v>1549</v>
      </c>
      <c r="J68" s="476" t="s">
        <v>1863</v>
      </c>
      <c r="K68" s="189">
        <v>2800</v>
      </c>
    </row>
    <row r="69" spans="1:16" ht="23.25" customHeight="1">
      <c r="A69" s="11">
        <v>7</v>
      </c>
      <c r="B69" s="7" t="s">
        <v>1042</v>
      </c>
      <c r="C69" s="160">
        <v>30</v>
      </c>
      <c r="D69" s="158">
        <f t="shared" si="14"/>
        <v>1700</v>
      </c>
      <c r="E69" s="30"/>
      <c r="F69" s="473"/>
      <c r="G69" s="8"/>
      <c r="H69" s="185">
        <f t="shared" si="13"/>
        <v>1700</v>
      </c>
      <c r="I69" s="474" t="s">
        <v>1549</v>
      </c>
      <c r="J69" s="151"/>
      <c r="K69" s="189">
        <v>1700</v>
      </c>
    </row>
    <row r="70" spans="1:16" ht="23.25" customHeight="1">
      <c r="A70" s="11">
        <v>8</v>
      </c>
      <c r="B70" s="7" t="s">
        <v>1043</v>
      </c>
      <c r="C70" s="160">
        <v>30</v>
      </c>
      <c r="D70" s="158">
        <f t="shared" si="14"/>
        <v>1800</v>
      </c>
      <c r="E70" s="30">
        <v>450</v>
      </c>
      <c r="F70" s="473"/>
      <c r="G70" s="8"/>
      <c r="H70" s="185">
        <f t="shared" si="13"/>
        <v>2250</v>
      </c>
      <c r="I70" s="474" t="s">
        <v>1549</v>
      </c>
      <c r="J70" s="476" t="s">
        <v>1864</v>
      </c>
      <c r="K70" s="189">
        <v>1800</v>
      </c>
    </row>
    <row r="71" spans="1:16" ht="23.25" customHeight="1">
      <c r="A71" s="11">
        <v>9</v>
      </c>
      <c r="B71" s="7" t="s">
        <v>1044</v>
      </c>
      <c r="C71" s="160">
        <v>30</v>
      </c>
      <c r="D71" s="158">
        <f t="shared" si="14"/>
        <v>1600</v>
      </c>
      <c r="E71" s="30"/>
      <c r="F71" s="473"/>
      <c r="G71" s="8"/>
      <c r="H71" s="185">
        <f t="shared" si="13"/>
        <v>1600</v>
      </c>
      <c r="I71" s="474" t="s">
        <v>1549</v>
      </c>
      <c r="J71" s="151"/>
      <c r="K71" s="189">
        <v>1600</v>
      </c>
    </row>
    <row r="72" spans="1:16" ht="30" customHeight="1">
      <c r="A72" s="11">
        <v>10</v>
      </c>
      <c r="B72" s="7" t="s">
        <v>1045</v>
      </c>
      <c r="C72" s="160">
        <v>30</v>
      </c>
      <c r="D72" s="158">
        <f t="shared" si="14"/>
        <v>2400</v>
      </c>
      <c r="E72" s="30"/>
      <c r="F72" s="473"/>
      <c r="G72" s="8"/>
      <c r="H72" s="185">
        <f t="shared" si="13"/>
        <v>2400</v>
      </c>
      <c r="I72" s="474" t="s">
        <v>1549</v>
      </c>
      <c r="J72" s="151"/>
      <c r="K72" s="189">
        <v>2400</v>
      </c>
      <c r="L72" s="9" t="s">
        <v>1850</v>
      </c>
    </row>
    <row r="73" spans="1:16" ht="23.25" customHeight="1">
      <c r="A73" s="11">
        <v>11</v>
      </c>
      <c r="B73" s="7" t="s">
        <v>1046</v>
      </c>
      <c r="C73" s="160">
        <v>30</v>
      </c>
      <c r="D73" s="158">
        <f t="shared" si="14"/>
        <v>1200</v>
      </c>
      <c r="E73" s="30"/>
      <c r="F73" s="473"/>
      <c r="G73" s="8"/>
      <c r="H73" s="185">
        <f t="shared" si="13"/>
        <v>1200</v>
      </c>
      <c r="I73" s="474" t="s">
        <v>1549</v>
      </c>
      <c r="J73" s="151"/>
      <c r="K73" s="189">
        <v>1200</v>
      </c>
    </row>
    <row r="74" spans="1:16" ht="23.25" customHeight="1">
      <c r="A74" s="11">
        <v>12</v>
      </c>
      <c r="B74" s="7" t="s">
        <v>1047</v>
      </c>
      <c r="C74" s="160">
        <v>30</v>
      </c>
      <c r="D74" s="158">
        <f t="shared" si="14"/>
        <v>1300</v>
      </c>
      <c r="E74" s="30"/>
      <c r="F74" s="473"/>
      <c r="G74" s="8"/>
      <c r="H74" s="185">
        <f t="shared" si="13"/>
        <v>1300</v>
      </c>
      <c r="I74" s="474" t="s">
        <v>1549</v>
      </c>
      <c r="J74" s="151"/>
      <c r="K74" s="189">
        <v>1300</v>
      </c>
    </row>
    <row r="75" spans="1:16" ht="23.25" customHeight="1">
      <c r="A75" s="11">
        <v>13</v>
      </c>
      <c r="B75" s="7" t="s">
        <v>1048</v>
      </c>
      <c r="C75" s="172">
        <v>30</v>
      </c>
      <c r="D75" s="158">
        <f t="shared" si="14"/>
        <v>4600</v>
      </c>
      <c r="E75" s="30"/>
      <c r="F75" s="473"/>
      <c r="G75" s="8"/>
      <c r="H75" s="185">
        <f t="shared" si="13"/>
        <v>4600</v>
      </c>
      <c r="I75" s="474" t="s">
        <v>1549</v>
      </c>
      <c r="J75" s="476" t="s">
        <v>1861</v>
      </c>
      <c r="K75" s="189">
        <v>4600</v>
      </c>
    </row>
    <row r="76" spans="1:16" ht="23.25" customHeight="1">
      <c r="A76" s="11">
        <v>14</v>
      </c>
      <c r="B76" s="7" t="s">
        <v>1049</v>
      </c>
      <c r="C76" s="172">
        <v>30</v>
      </c>
      <c r="D76" s="158">
        <f t="shared" si="14"/>
        <v>1000.0000000000001</v>
      </c>
      <c r="E76" s="30"/>
      <c r="F76" s="473"/>
      <c r="G76" s="8"/>
      <c r="H76" s="185">
        <f t="shared" si="13"/>
        <v>1000.0000000000001</v>
      </c>
      <c r="I76" s="474" t="s">
        <v>1549</v>
      </c>
      <c r="J76" s="476"/>
      <c r="K76" s="189">
        <v>1000</v>
      </c>
      <c r="P76" s="576"/>
    </row>
    <row r="77" spans="1:16" ht="23.25" customHeight="1">
      <c r="A77" s="11">
        <v>15</v>
      </c>
      <c r="B77" s="7" t="s">
        <v>1050</v>
      </c>
      <c r="C77" s="160">
        <v>30</v>
      </c>
      <c r="D77" s="158">
        <f t="shared" si="14"/>
        <v>1800</v>
      </c>
      <c r="E77" s="30"/>
      <c r="F77" s="473">
        <v>400</v>
      </c>
      <c r="G77" s="8"/>
      <c r="H77" s="185">
        <f t="shared" si="13"/>
        <v>1400</v>
      </c>
      <c r="I77" s="474" t="s">
        <v>1549</v>
      </c>
      <c r="J77" s="476" t="s">
        <v>1862</v>
      </c>
      <c r="K77" s="189">
        <v>1800</v>
      </c>
    </row>
    <row r="78" spans="1:16" ht="23.25" customHeight="1">
      <c r="A78" s="11">
        <v>16</v>
      </c>
      <c r="B78" s="7" t="s">
        <v>1051</v>
      </c>
      <c r="C78" s="160">
        <v>30</v>
      </c>
      <c r="D78" s="158">
        <f t="shared" si="14"/>
        <v>1000.0000000000001</v>
      </c>
      <c r="E78" s="30"/>
      <c r="F78" s="473"/>
      <c r="G78" s="8"/>
      <c r="H78" s="185">
        <f t="shared" si="13"/>
        <v>1000.0000000000001</v>
      </c>
      <c r="I78" s="474" t="s">
        <v>1549</v>
      </c>
      <c r="J78" s="476"/>
      <c r="K78" s="189">
        <v>1000</v>
      </c>
    </row>
    <row r="79" spans="1:16" ht="26.25" customHeight="1" thickBot="1">
      <c r="A79" s="11"/>
      <c r="B79" s="156" t="s">
        <v>1549</v>
      </c>
      <c r="C79" s="159"/>
      <c r="D79" s="161"/>
      <c r="E79" s="149"/>
      <c r="F79" s="150"/>
      <c r="G79" s="643">
        <f>SUM(H64:H78)</f>
        <v>74836.666666666657</v>
      </c>
      <c r="H79" s="167"/>
      <c r="I79" s="560" t="s">
        <v>1549</v>
      </c>
      <c r="J79" s="664" t="s">
        <v>1870</v>
      </c>
      <c r="K79" s="959"/>
    </row>
    <row r="80" spans="1:16" ht="45" customHeight="1" thickTop="1">
      <c r="A80" s="977"/>
      <c r="B80" s="978" t="s">
        <v>2976</v>
      </c>
      <c r="C80" s="979" t="s">
        <v>2978</v>
      </c>
      <c r="D80" s="979" t="s">
        <v>2980</v>
      </c>
      <c r="E80" s="979" t="s">
        <v>2980</v>
      </c>
      <c r="F80" s="979" t="s">
        <v>1083</v>
      </c>
      <c r="G80" s="979"/>
      <c r="H80" s="980" t="s">
        <v>2979</v>
      </c>
      <c r="I80" s="981" t="s">
        <v>2976</v>
      </c>
      <c r="J80" s="982" t="s">
        <v>2976</v>
      </c>
      <c r="K80" s="983" t="s">
        <v>2977</v>
      </c>
    </row>
    <row r="81" spans="1:11" ht="26.25" customHeight="1">
      <c r="A81" s="966">
        <v>5</v>
      </c>
      <c r="B81" s="967" t="s">
        <v>1040</v>
      </c>
      <c r="C81" s="968">
        <v>54</v>
      </c>
      <c r="D81" s="969">
        <f>K81*C81</f>
        <v>718.2</v>
      </c>
      <c r="E81" s="970">
        <v>718.2</v>
      </c>
      <c r="F81" s="971">
        <v>300</v>
      </c>
      <c r="G81" s="972"/>
      <c r="H81" s="973">
        <f>E81-F81-G81</f>
        <v>418.20000000000005</v>
      </c>
      <c r="I81" s="974" t="s">
        <v>2976</v>
      </c>
      <c r="J81" s="975" t="s">
        <v>2983</v>
      </c>
      <c r="K81" s="976">
        <v>13.3</v>
      </c>
    </row>
    <row r="82" spans="1:11" ht="26.25" customHeight="1">
      <c r="A82" s="11">
        <v>6</v>
      </c>
      <c r="B82" s="7" t="s">
        <v>1041</v>
      </c>
      <c r="C82" s="962">
        <v>44</v>
      </c>
      <c r="D82" s="963">
        <f t="shared" ref="D82:D92" si="15">K82*C82</f>
        <v>513.33333333333326</v>
      </c>
      <c r="E82" s="961">
        <v>513.33333333333326</v>
      </c>
      <c r="F82" s="964"/>
      <c r="G82" s="8"/>
      <c r="H82" s="185">
        <f t="shared" ref="H82:H92" si="16">E82-F82-G82</f>
        <v>513.33333333333326</v>
      </c>
      <c r="I82" s="958" t="s">
        <v>2976</v>
      </c>
      <c r="J82" s="476"/>
      <c r="K82" s="960">
        <v>11.666666666666666</v>
      </c>
    </row>
    <row r="83" spans="1:11" ht="26.25" customHeight="1">
      <c r="A83" s="11">
        <v>7</v>
      </c>
      <c r="B83" s="7" t="s">
        <v>1042</v>
      </c>
      <c r="C83" s="962">
        <v>69</v>
      </c>
      <c r="D83" s="963">
        <f t="shared" si="15"/>
        <v>488.75</v>
      </c>
      <c r="E83" s="961">
        <v>488.75</v>
      </c>
      <c r="F83" s="964"/>
      <c r="G83" s="8"/>
      <c r="H83" s="185">
        <f t="shared" si="16"/>
        <v>488.75</v>
      </c>
      <c r="I83" s="958" t="s">
        <v>2976</v>
      </c>
      <c r="J83" s="476"/>
      <c r="K83" s="960">
        <v>7.083333333333333</v>
      </c>
    </row>
    <row r="84" spans="1:11" ht="26.25" customHeight="1">
      <c r="A84" s="11">
        <v>8</v>
      </c>
      <c r="B84" s="7" t="s">
        <v>1043</v>
      </c>
      <c r="C84" s="962">
        <v>51</v>
      </c>
      <c r="D84" s="963">
        <f t="shared" si="15"/>
        <v>382.5</v>
      </c>
      <c r="E84" s="961">
        <v>382.5</v>
      </c>
      <c r="F84" s="964"/>
      <c r="G84" s="8"/>
      <c r="H84" s="185">
        <f t="shared" si="16"/>
        <v>382.5</v>
      </c>
      <c r="I84" s="958" t="s">
        <v>2976</v>
      </c>
      <c r="J84" s="476"/>
      <c r="K84" s="960">
        <v>7.5</v>
      </c>
    </row>
    <row r="85" spans="1:11" ht="26.25" customHeight="1">
      <c r="A85" s="11">
        <v>9</v>
      </c>
      <c r="B85" s="7" t="s">
        <v>1044</v>
      </c>
      <c r="C85" s="962">
        <v>71</v>
      </c>
      <c r="D85" s="963">
        <f t="shared" si="15"/>
        <v>473.33333333333337</v>
      </c>
      <c r="E85" s="961">
        <v>473.33333333333337</v>
      </c>
      <c r="F85" s="964"/>
      <c r="G85" s="8"/>
      <c r="H85" s="185">
        <f t="shared" si="16"/>
        <v>473.33333333333337</v>
      </c>
      <c r="I85" s="958" t="s">
        <v>2976</v>
      </c>
      <c r="J85" s="476"/>
      <c r="K85" s="960">
        <v>6.666666666666667</v>
      </c>
    </row>
    <row r="86" spans="1:11" ht="26.25" customHeight="1">
      <c r="A86" s="11">
        <v>10</v>
      </c>
      <c r="B86" s="7" t="s">
        <v>1045</v>
      </c>
      <c r="C86" s="962">
        <v>55</v>
      </c>
      <c r="D86" s="963">
        <f t="shared" si="15"/>
        <v>550</v>
      </c>
      <c r="E86" s="961">
        <v>550</v>
      </c>
      <c r="F86" s="964"/>
      <c r="G86" s="8"/>
      <c r="H86" s="185">
        <f t="shared" si="16"/>
        <v>550</v>
      </c>
      <c r="I86" s="958" t="s">
        <v>2976</v>
      </c>
      <c r="J86" s="476"/>
      <c r="K86" s="960">
        <v>10</v>
      </c>
    </row>
    <row r="87" spans="1:11" ht="26.25" customHeight="1">
      <c r="A87" s="11">
        <v>11</v>
      </c>
      <c r="B87" s="7" t="s">
        <v>1046</v>
      </c>
      <c r="C87" s="962">
        <v>47</v>
      </c>
      <c r="D87" s="963">
        <f t="shared" si="15"/>
        <v>235</v>
      </c>
      <c r="E87" s="961">
        <v>235</v>
      </c>
      <c r="F87" s="964"/>
      <c r="G87" s="8"/>
      <c r="H87" s="185">
        <f t="shared" si="16"/>
        <v>235</v>
      </c>
      <c r="I87" s="958" t="s">
        <v>2976</v>
      </c>
      <c r="J87" s="476"/>
      <c r="K87" s="960">
        <v>5</v>
      </c>
    </row>
    <row r="88" spans="1:11" ht="26.25" customHeight="1">
      <c r="A88" s="11">
        <v>12</v>
      </c>
      <c r="B88" s="7" t="s">
        <v>1047</v>
      </c>
      <c r="C88" s="962">
        <v>59</v>
      </c>
      <c r="D88" s="963">
        <f t="shared" si="15"/>
        <v>319.58333333333337</v>
      </c>
      <c r="E88" s="961">
        <v>319.58333333333337</v>
      </c>
      <c r="F88" s="964"/>
      <c r="G88" s="8"/>
      <c r="H88" s="185">
        <f t="shared" si="16"/>
        <v>319.58333333333337</v>
      </c>
      <c r="I88" s="958" t="s">
        <v>2976</v>
      </c>
      <c r="J88" s="476"/>
      <c r="K88" s="960">
        <v>5.416666666666667</v>
      </c>
    </row>
    <row r="89" spans="1:11" ht="26.25" customHeight="1">
      <c r="A89" s="11">
        <v>13</v>
      </c>
      <c r="B89" s="7" t="s">
        <v>1048</v>
      </c>
      <c r="C89" s="962">
        <v>44</v>
      </c>
      <c r="D89" s="963">
        <f t="shared" si="15"/>
        <v>843.04</v>
      </c>
      <c r="E89" s="961">
        <v>843.04</v>
      </c>
      <c r="F89" s="965">
        <v>250</v>
      </c>
      <c r="G89" s="8"/>
      <c r="H89" s="185">
        <f t="shared" si="16"/>
        <v>593.04</v>
      </c>
      <c r="I89" s="958" t="s">
        <v>2976</v>
      </c>
      <c r="J89" s="476" t="s">
        <v>2982</v>
      </c>
      <c r="K89" s="960">
        <v>19.16</v>
      </c>
    </row>
    <row r="90" spans="1:11" ht="26.25" customHeight="1">
      <c r="A90" s="11">
        <v>14</v>
      </c>
      <c r="B90" s="7" t="s">
        <v>1049</v>
      </c>
      <c r="C90" s="962">
        <v>54</v>
      </c>
      <c r="D90" s="963">
        <f t="shared" si="15"/>
        <v>225.00000000000003</v>
      </c>
      <c r="E90" s="961">
        <v>225.00000000000003</v>
      </c>
      <c r="F90" s="964"/>
      <c r="G90" s="8"/>
      <c r="H90" s="185">
        <f t="shared" si="16"/>
        <v>225.00000000000003</v>
      </c>
      <c r="I90" s="958" t="s">
        <v>2976</v>
      </c>
      <c r="J90" s="476" t="s">
        <v>2974</v>
      </c>
      <c r="K90" s="960">
        <v>4.166666666666667</v>
      </c>
    </row>
    <row r="91" spans="1:11" ht="26.25" customHeight="1">
      <c r="A91" s="11">
        <v>15</v>
      </c>
      <c r="B91" s="7" t="s">
        <v>1050</v>
      </c>
      <c r="C91" s="962">
        <v>49</v>
      </c>
      <c r="D91" s="963">
        <f t="shared" si="15"/>
        <v>367.5</v>
      </c>
      <c r="E91" s="961">
        <v>367.5</v>
      </c>
      <c r="F91" s="964"/>
      <c r="G91" s="8"/>
      <c r="H91" s="185">
        <f t="shared" si="16"/>
        <v>367.5</v>
      </c>
      <c r="I91" s="958" t="s">
        <v>2976</v>
      </c>
      <c r="J91" s="476" t="s">
        <v>2975</v>
      </c>
      <c r="K91" s="960">
        <v>7.5</v>
      </c>
    </row>
    <row r="92" spans="1:11" ht="26.25" customHeight="1">
      <c r="A92" s="984">
        <v>16</v>
      </c>
      <c r="B92" s="985" t="s">
        <v>1051</v>
      </c>
      <c r="C92" s="986">
        <v>58</v>
      </c>
      <c r="D92" s="987">
        <f t="shared" si="15"/>
        <v>241.66666666666669</v>
      </c>
      <c r="E92" s="988">
        <v>241.66666666666669</v>
      </c>
      <c r="F92" s="989"/>
      <c r="G92" s="990"/>
      <c r="H92" s="991">
        <f t="shared" si="16"/>
        <v>241.66666666666669</v>
      </c>
      <c r="I92" s="992" t="s">
        <v>2976</v>
      </c>
      <c r="J92" s="993"/>
      <c r="K92" s="994">
        <v>4.166666666666667</v>
      </c>
    </row>
    <row r="93" spans="1:11" ht="26.25" customHeight="1" thickBot="1">
      <c r="A93" s="995"/>
      <c r="B93" s="1005" t="s">
        <v>2981</v>
      </c>
      <c r="C93" s="996"/>
      <c r="D93" s="997"/>
      <c r="E93" s="998"/>
      <c r="F93" s="999"/>
      <c r="G93" s="1000">
        <f>SUM(H81:H92)</f>
        <v>4807.9066666666677</v>
      </c>
      <c r="H93" s="1001"/>
      <c r="I93" s="1002" t="s">
        <v>2976</v>
      </c>
      <c r="J93" s="1003"/>
      <c r="K93" s="1004"/>
    </row>
    <row r="94" spans="1:11" ht="33.75" customHeight="1" thickTop="1">
      <c r="A94" s="11">
        <v>1</v>
      </c>
      <c r="B94" s="7" t="s">
        <v>1036</v>
      </c>
      <c r="C94" s="158">
        <v>30</v>
      </c>
      <c r="D94" s="158">
        <f t="shared" ref="D94:D110" si="17">(K94/30)*C94</f>
        <v>30000</v>
      </c>
      <c r="E94" s="30"/>
      <c r="F94" s="473"/>
      <c r="G94" s="8"/>
      <c r="H94" s="185">
        <f t="shared" ref="H94:H110" si="18">D94+E94-F94-G94</f>
        <v>30000</v>
      </c>
      <c r="I94" s="474" t="s">
        <v>2891</v>
      </c>
      <c r="J94" s="476"/>
      <c r="K94" s="189">
        <v>30000</v>
      </c>
    </row>
    <row r="95" spans="1:11" ht="33.75" customHeight="1">
      <c r="A95" s="11">
        <v>2</v>
      </c>
      <c r="B95" s="7" t="s">
        <v>1037</v>
      </c>
      <c r="C95" s="158">
        <v>30</v>
      </c>
      <c r="D95" s="158">
        <f t="shared" si="17"/>
        <v>15000</v>
      </c>
      <c r="E95" s="30"/>
      <c r="F95" s="473"/>
      <c r="G95" s="8"/>
      <c r="H95" s="185">
        <f t="shared" si="18"/>
        <v>15000</v>
      </c>
      <c r="I95" s="474" t="s">
        <v>2891</v>
      </c>
      <c r="J95" s="476"/>
      <c r="K95" s="189">
        <v>15000</v>
      </c>
    </row>
    <row r="96" spans="1:11" ht="33.75" customHeight="1">
      <c r="A96" s="11">
        <v>4</v>
      </c>
      <c r="B96" s="7" t="s">
        <v>1039</v>
      </c>
      <c r="C96" s="158">
        <v>30</v>
      </c>
      <c r="D96" s="158">
        <f t="shared" si="17"/>
        <v>3500</v>
      </c>
      <c r="E96" s="30"/>
      <c r="F96" s="1452">
        <v>116</v>
      </c>
      <c r="G96" s="1453"/>
      <c r="H96" s="185">
        <f t="shared" si="18"/>
        <v>3384</v>
      </c>
      <c r="I96" s="474" t="s">
        <v>2891</v>
      </c>
      <c r="J96" s="476" t="s">
        <v>5294</v>
      </c>
      <c r="K96" s="189">
        <v>3500</v>
      </c>
    </row>
    <row r="97" spans="1:11" ht="33.75" customHeight="1">
      <c r="A97" s="11">
        <v>5</v>
      </c>
      <c r="B97" s="7" t="s">
        <v>1040</v>
      </c>
      <c r="C97" s="158">
        <v>30</v>
      </c>
      <c r="D97" s="158">
        <f t="shared" si="17"/>
        <v>3500</v>
      </c>
      <c r="E97" s="30"/>
      <c r="F97" s="1452"/>
      <c r="G97" s="1453"/>
      <c r="H97" s="185">
        <f t="shared" si="18"/>
        <v>3500</v>
      </c>
      <c r="I97" s="474" t="s">
        <v>2891</v>
      </c>
      <c r="J97" s="476" t="s">
        <v>5286</v>
      </c>
      <c r="K97" s="189">
        <v>3500</v>
      </c>
    </row>
    <row r="98" spans="1:11" ht="33.75" customHeight="1">
      <c r="A98" s="11">
        <v>6</v>
      </c>
      <c r="B98" s="7" t="s">
        <v>1041</v>
      </c>
      <c r="C98" s="158">
        <v>30</v>
      </c>
      <c r="D98" s="158">
        <f t="shared" si="17"/>
        <v>2800</v>
      </c>
      <c r="E98" s="30"/>
      <c r="F98" s="1452"/>
      <c r="G98" s="1453"/>
      <c r="H98" s="185">
        <f t="shared" si="18"/>
        <v>2800</v>
      </c>
      <c r="I98" s="474" t="s">
        <v>2891</v>
      </c>
      <c r="J98" s="476"/>
      <c r="K98" s="189">
        <v>2800</v>
      </c>
    </row>
    <row r="99" spans="1:11" ht="33.75" customHeight="1">
      <c r="A99" s="11">
        <v>7</v>
      </c>
      <c r="B99" s="7" t="s">
        <v>1042</v>
      </c>
      <c r="C99" s="158">
        <v>30</v>
      </c>
      <c r="D99" s="158">
        <f t="shared" si="17"/>
        <v>1700</v>
      </c>
      <c r="E99" s="30"/>
      <c r="F99" s="1452"/>
      <c r="G99" s="1453"/>
      <c r="H99" s="185">
        <f t="shared" si="18"/>
        <v>1700</v>
      </c>
      <c r="I99" s="474" t="s">
        <v>2891</v>
      </c>
      <c r="J99" s="476"/>
      <c r="K99" s="189">
        <v>1700</v>
      </c>
    </row>
    <row r="100" spans="1:11" ht="33.75" customHeight="1">
      <c r="A100" s="11">
        <v>8</v>
      </c>
      <c r="B100" s="7" t="s">
        <v>1043</v>
      </c>
      <c r="C100" s="158">
        <v>30</v>
      </c>
      <c r="D100" s="158">
        <f t="shared" si="17"/>
        <v>1800</v>
      </c>
      <c r="E100" s="30"/>
      <c r="F100" s="1452"/>
      <c r="G100" s="1453"/>
      <c r="H100" s="185">
        <f t="shared" si="18"/>
        <v>1800</v>
      </c>
      <c r="I100" s="474" t="s">
        <v>2891</v>
      </c>
      <c r="J100" s="476"/>
      <c r="K100" s="189">
        <v>1800</v>
      </c>
    </row>
    <row r="101" spans="1:11" ht="33.75" customHeight="1">
      <c r="A101" s="11">
        <v>9</v>
      </c>
      <c r="B101" s="7" t="s">
        <v>1044</v>
      </c>
      <c r="C101" s="158">
        <v>30</v>
      </c>
      <c r="D101" s="158">
        <f t="shared" si="17"/>
        <v>1600</v>
      </c>
      <c r="E101" s="30"/>
      <c r="F101" s="1452"/>
      <c r="G101" s="1453"/>
      <c r="H101" s="185">
        <f t="shared" si="18"/>
        <v>1600</v>
      </c>
      <c r="I101" s="474" t="s">
        <v>2891</v>
      </c>
      <c r="J101" s="476"/>
      <c r="K101" s="189">
        <v>1600</v>
      </c>
    </row>
    <row r="102" spans="1:11" ht="33.75" customHeight="1">
      <c r="A102" s="11">
        <v>10</v>
      </c>
      <c r="B102" s="7" t="s">
        <v>1045</v>
      </c>
      <c r="C102" s="184">
        <v>0</v>
      </c>
      <c r="D102" s="158">
        <f t="shared" si="17"/>
        <v>0</v>
      </c>
      <c r="E102" s="30"/>
      <c r="F102" s="1452"/>
      <c r="G102" s="1453"/>
      <c r="H102" s="185">
        <f t="shared" si="18"/>
        <v>0</v>
      </c>
      <c r="I102" s="474" t="s">
        <v>2891</v>
      </c>
      <c r="J102" s="476" t="s">
        <v>5288</v>
      </c>
      <c r="K102" s="189">
        <v>2400</v>
      </c>
    </row>
    <row r="103" spans="1:11" ht="33.75" customHeight="1">
      <c r="A103" s="11">
        <v>11</v>
      </c>
      <c r="B103" s="7" t="s">
        <v>1046</v>
      </c>
      <c r="C103" s="158">
        <v>30</v>
      </c>
      <c r="D103" s="158">
        <f t="shared" si="17"/>
        <v>1200</v>
      </c>
      <c r="E103" s="30"/>
      <c r="F103" s="1452"/>
      <c r="G103" s="1453"/>
      <c r="H103" s="185">
        <f t="shared" si="18"/>
        <v>1200</v>
      </c>
      <c r="I103" s="474" t="s">
        <v>2891</v>
      </c>
      <c r="J103" s="476"/>
      <c r="K103" s="189">
        <v>1200</v>
      </c>
    </row>
    <row r="104" spans="1:11" ht="33.75" customHeight="1">
      <c r="A104" s="11">
        <v>12</v>
      </c>
      <c r="B104" s="7" t="s">
        <v>1047</v>
      </c>
      <c r="C104" s="158">
        <v>30</v>
      </c>
      <c r="D104" s="158">
        <f t="shared" si="17"/>
        <v>1300</v>
      </c>
      <c r="E104" s="30"/>
      <c r="F104" s="1452"/>
      <c r="G104" s="1453"/>
      <c r="H104" s="185">
        <f t="shared" si="18"/>
        <v>1300</v>
      </c>
      <c r="I104" s="474" t="s">
        <v>2891</v>
      </c>
      <c r="J104" s="476"/>
      <c r="K104" s="189">
        <v>1300</v>
      </c>
    </row>
    <row r="105" spans="1:11" ht="33.75" customHeight="1">
      <c r="A105" s="11">
        <v>13</v>
      </c>
      <c r="B105" s="7" t="s">
        <v>1048</v>
      </c>
      <c r="C105" s="158">
        <v>30</v>
      </c>
      <c r="D105" s="158">
        <f t="shared" si="17"/>
        <v>4600</v>
      </c>
      <c r="E105" s="30"/>
      <c r="F105" s="1452"/>
      <c r="G105" s="1453"/>
      <c r="H105" s="185">
        <f t="shared" si="18"/>
        <v>4600</v>
      </c>
      <c r="I105" s="474" t="s">
        <v>2891</v>
      </c>
      <c r="J105" s="476" t="s">
        <v>5287</v>
      </c>
      <c r="K105" s="189">
        <v>4600</v>
      </c>
    </row>
    <row r="106" spans="1:11" ht="33.75" customHeight="1">
      <c r="A106" s="11">
        <v>14</v>
      </c>
      <c r="B106" s="7" t="s">
        <v>1049</v>
      </c>
      <c r="C106" s="158">
        <v>30</v>
      </c>
      <c r="D106" s="158">
        <f t="shared" si="17"/>
        <v>1000.0000000000001</v>
      </c>
      <c r="E106" s="30"/>
      <c r="F106" s="1452"/>
      <c r="G106" s="1453"/>
      <c r="H106" s="185">
        <f t="shared" si="18"/>
        <v>1000.0000000000001</v>
      </c>
      <c r="I106" s="474" t="s">
        <v>2891</v>
      </c>
      <c r="J106" s="476"/>
      <c r="K106" s="189">
        <v>1000</v>
      </c>
    </row>
    <row r="107" spans="1:11" ht="33.75" customHeight="1">
      <c r="A107" s="11">
        <v>15</v>
      </c>
      <c r="B107" s="7" t="s">
        <v>1050</v>
      </c>
      <c r="C107" s="158">
        <v>30</v>
      </c>
      <c r="D107" s="158">
        <f t="shared" si="17"/>
        <v>1800</v>
      </c>
      <c r="E107" s="30"/>
      <c r="F107" s="1452">
        <v>400</v>
      </c>
      <c r="G107" s="1453"/>
      <c r="H107" s="185">
        <f t="shared" si="18"/>
        <v>1400</v>
      </c>
      <c r="I107" s="474" t="s">
        <v>2891</v>
      </c>
      <c r="J107" s="476" t="s">
        <v>5857</v>
      </c>
      <c r="K107" s="189">
        <v>1800</v>
      </c>
    </row>
    <row r="108" spans="1:11" ht="33.75" customHeight="1">
      <c r="A108" s="11">
        <v>16</v>
      </c>
      <c r="B108" s="7" t="s">
        <v>1051</v>
      </c>
      <c r="C108" s="158">
        <v>30</v>
      </c>
      <c r="D108" s="158">
        <f t="shared" si="17"/>
        <v>1000.0000000000001</v>
      </c>
      <c r="E108" s="30"/>
      <c r="F108" s="1452"/>
      <c r="G108" s="1453"/>
      <c r="H108" s="185">
        <f t="shared" si="18"/>
        <v>1000.0000000000001</v>
      </c>
      <c r="I108" s="474" t="s">
        <v>2891</v>
      </c>
      <c r="J108" s="476" t="s">
        <v>5290</v>
      </c>
      <c r="K108" s="189">
        <v>1000</v>
      </c>
    </row>
    <row r="109" spans="1:11" ht="33.75" customHeight="1">
      <c r="A109" s="11">
        <v>17</v>
      </c>
      <c r="B109" s="7" t="s">
        <v>2842</v>
      </c>
      <c r="C109" s="184">
        <v>26</v>
      </c>
      <c r="D109" s="158">
        <f t="shared" si="17"/>
        <v>1040</v>
      </c>
      <c r="E109" s="30"/>
      <c r="F109" s="1452"/>
      <c r="G109" s="1453"/>
      <c r="H109" s="185">
        <f t="shared" si="18"/>
        <v>1040</v>
      </c>
      <c r="I109" s="474" t="s">
        <v>2891</v>
      </c>
      <c r="J109" s="476" t="s">
        <v>5289</v>
      </c>
      <c r="K109" s="189">
        <v>1200</v>
      </c>
    </row>
    <row r="110" spans="1:11" ht="33.75" customHeight="1" thickBot="1">
      <c r="A110" s="11">
        <v>18</v>
      </c>
      <c r="B110" s="7" t="s">
        <v>5292</v>
      </c>
      <c r="C110" s="158">
        <v>30</v>
      </c>
      <c r="D110" s="158">
        <f t="shared" si="17"/>
        <v>1600</v>
      </c>
      <c r="E110" s="1457"/>
      <c r="F110" s="1458"/>
      <c r="G110" s="1459"/>
      <c r="H110" s="185">
        <f t="shared" si="18"/>
        <v>1600</v>
      </c>
      <c r="I110" s="474" t="s">
        <v>2891</v>
      </c>
      <c r="J110" s="476" t="s">
        <v>5293</v>
      </c>
      <c r="K110" s="189">
        <v>1600</v>
      </c>
    </row>
    <row r="111" spans="1:11" ht="33.75" customHeight="1" thickBot="1">
      <c r="A111" s="11"/>
      <c r="B111" s="156"/>
      <c r="C111" s="159"/>
      <c r="D111" s="1455"/>
      <c r="E111" s="1462"/>
      <c r="F111" s="1463"/>
      <c r="G111" s="1461">
        <f>SUM(H94:H110)</f>
        <v>72924</v>
      </c>
      <c r="H111" s="1456"/>
      <c r="I111" s="1454" t="s">
        <v>2891</v>
      </c>
      <c r="J111" s="154"/>
      <c r="K111" s="154"/>
    </row>
    <row r="112" spans="1:11">
      <c r="A112" s="11"/>
      <c r="B112" s="7"/>
      <c r="C112" s="162"/>
      <c r="D112" s="162"/>
      <c r="E112" s="1460"/>
      <c r="F112" s="972" t="s">
        <v>5296</v>
      </c>
      <c r="G112" s="972">
        <v>75</v>
      </c>
      <c r="H112" s="168"/>
      <c r="I112" s="178"/>
      <c r="J112" s="10"/>
      <c r="K112" s="145"/>
    </row>
    <row r="113" spans="1:36">
      <c r="A113" s="11"/>
      <c r="B113" s="7"/>
      <c r="C113" s="162"/>
      <c r="D113" s="162"/>
      <c r="E113" s="30"/>
      <c r="F113" s="8" t="s">
        <v>5296</v>
      </c>
      <c r="G113" s="8">
        <v>25</v>
      </c>
      <c r="H113" s="168"/>
      <c r="I113" s="178"/>
      <c r="J113" s="10"/>
      <c r="K113" s="145"/>
    </row>
    <row r="114" spans="1:36">
      <c r="A114" s="11"/>
      <c r="B114" s="7"/>
      <c r="C114" s="162"/>
      <c r="D114" s="162"/>
      <c r="E114" s="30"/>
      <c r="F114" s="8" t="s">
        <v>5297</v>
      </c>
      <c r="G114" s="8">
        <v>5</v>
      </c>
      <c r="H114" s="168"/>
      <c r="I114" s="178"/>
      <c r="J114" s="10"/>
      <c r="K114" s="145"/>
    </row>
    <row r="115" spans="1:36">
      <c r="A115" s="11"/>
      <c r="B115" s="7"/>
      <c r="C115" s="162"/>
      <c r="D115" s="162"/>
      <c r="E115" s="30"/>
      <c r="F115" s="8"/>
      <c r="G115" s="8"/>
      <c r="H115" s="168"/>
      <c r="I115" s="178"/>
      <c r="J115" s="10"/>
      <c r="K115" s="145"/>
    </row>
    <row r="116" spans="1:36" ht="19.5" thickBot="1">
      <c r="A116" s="11"/>
      <c r="B116" s="7"/>
      <c r="C116" s="162"/>
      <c r="D116" s="162"/>
      <c r="E116" s="1464" t="s">
        <v>5295</v>
      </c>
      <c r="F116" s="8"/>
      <c r="G116" s="1465">
        <f>G111+G112+G113+G114</f>
        <v>73029</v>
      </c>
      <c r="H116" s="168"/>
      <c r="I116" s="178"/>
      <c r="J116" s="10"/>
      <c r="K116" s="145"/>
    </row>
    <row r="117" spans="1:36" ht="33.75" customHeight="1" thickBot="1">
      <c r="A117" s="11"/>
      <c r="B117" s="156"/>
      <c r="C117" s="159"/>
      <c r="D117" s="1455"/>
      <c r="E117" s="1462"/>
      <c r="F117" s="1463"/>
      <c r="G117" s="1461"/>
      <c r="H117" s="1456"/>
      <c r="I117" s="1454" t="s">
        <v>2891</v>
      </c>
      <c r="J117" s="154"/>
      <c r="K117" s="154"/>
    </row>
    <row r="118" spans="1:36" s="1272" customFormat="1" ht="24.95" customHeight="1">
      <c r="A118" s="1665">
        <v>1</v>
      </c>
      <c r="B118" s="1662" t="s">
        <v>1036</v>
      </c>
      <c r="C118" s="1669">
        <v>30</v>
      </c>
      <c r="D118" s="1672">
        <f t="shared" ref="D118:D134" si="19">(K118/30)*C118</f>
        <v>30000</v>
      </c>
      <c r="E118" s="1666"/>
      <c r="F118" s="1452"/>
      <c r="G118" s="1670"/>
      <c r="H118" s="1673">
        <f t="shared" ref="H118:H134" si="20">D118+E118-F118-G118</f>
        <v>30000</v>
      </c>
      <c r="I118" s="1663" t="s">
        <v>5400</v>
      </c>
      <c r="J118" s="476"/>
      <c r="K118" s="1667">
        <v>30000</v>
      </c>
      <c r="L118" s="1668"/>
      <c r="M118" s="1668"/>
      <c r="N118" s="1668"/>
      <c r="AE118" s="1274"/>
      <c r="AG118" s="1668"/>
      <c r="AH118" s="1668"/>
      <c r="AI118" s="1668"/>
      <c r="AJ118" s="1668"/>
    </row>
    <row r="119" spans="1:36" s="1272" customFormat="1" ht="24.95" customHeight="1">
      <c r="A119" s="1665">
        <v>2</v>
      </c>
      <c r="B119" s="1662" t="s">
        <v>1037</v>
      </c>
      <c r="C119" s="1669">
        <v>30</v>
      </c>
      <c r="D119" s="1672">
        <f t="shared" si="19"/>
        <v>15000</v>
      </c>
      <c r="E119" s="1666"/>
      <c r="F119" s="1452"/>
      <c r="G119" s="1670"/>
      <c r="H119" s="1673">
        <f t="shared" si="20"/>
        <v>15000</v>
      </c>
      <c r="I119" s="1663" t="s">
        <v>5400</v>
      </c>
      <c r="J119" s="476"/>
      <c r="K119" s="1667">
        <v>15000</v>
      </c>
      <c r="L119" s="1668"/>
      <c r="M119" s="1668"/>
      <c r="N119" s="1668"/>
      <c r="AE119" s="1274"/>
      <c r="AG119" s="1668"/>
      <c r="AH119" s="1668"/>
      <c r="AI119" s="1668"/>
      <c r="AJ119" s="1668"/>
    </row>
    <row r="120" spans="1:36" s="1272" customFormat="1" ht="36.75" customHeight="1">
      <c r="A120" s="1665">
        <v>4</v>
      </c>
      <c r="B120" s="1662" t="s">
        <v>1039</v>
      </c>
      <c r="C120" s="1664">
        <v>29</v>
      </c>
      <c r="D120" s="1672">
        <f t="shared" si="19"/>
        <v>3866.666666666667</v>
      </c>
      <c r="E120" s="1666"/>
      <c r="F120" s="1452"/>
      <c r="G120" s="1453"/>
      <c r="H120" s="1673">
        <v>3867</v>
      </c>
      <c r="I120" s="1663" t="s">
        <v>5400</v>
      </c>
      <c r="J120" s="476" t="s">
        <v>5862</v>
      </c>
      <c r="K120" s="1667">
        <v>4000</v>
      </c>
      <c r="L120" s="1668"/>
      <c r="M120" s="1668"/>
      <c r="N120" s="1668"/>
      <c r="AE120" s="1274"/>
      <c r="AG120" s="1668"/>
      <c r="AH120" s="1668"/>
      <c r="AI120" s="1668"/>
      <c r="AJ120" s="1668"/>
    </row>
    <row r="121" spans="1:36" s="1272" customFormat="1" ht="32.25" customHeight="1">
      <c r="A121" s="1665">
        <v>5</v>
      </c>
      <c r="B121" s="1662" t="s">
        <v>1040</v>
      </c>
      <c r="C121" s="1669">
        <v>30</v>
      </c>
      <c r="D121" s="1672">
        <f t="shared" si="19"/>
        <v>3500</v>
      </c>
      <c r="E121" s="1666"/>
      <c r="F121" s="1452"/>
      <c r="G121" s="1453"/>
      <c r="H121" s="1673">
        <f t="shared" si="20"/>
        <v>3500</v>
      </c>
      <c r="I121" s="1663" t="s">
        <v>5400</v>
      </c>
      <c r="J121" s="476" t="s">
        <v>5859</v>
      </c>
      <c r="K121" s="1667">
        <v>3500</v>
      </c>
      <c r="L121" s="1668"/>
      <c r="M121" s="1668"/>
      <c r="N121" s="1668"/>
      <c r="AE121" s="1274"/>
      <c r="AG121" s="1668"/>
      <c r="AH121" s="1668"/>
      <c r="AI121" s="1668"/>
      <c r="AJ121" s="1668"/>
    </row>
    <row r="122" spans="1:36" s="1272" customFormat="1" ht="32.25" customHeight="1">
      <c r="A122" s="1665">
        <v>6</v>
      </c>
      <c r="B122" s="1662" t="s">
        <v>1041</v>
      </c>
      <c r="C122" s="1664">
        <v>6</v>
      </c>
      <c r="D122" s="1672">
        <f t="shared" si="19"/>
        <v>560</v>
      </c>
      <c r="E122" s="1666"/>
      <c r="F122" s="1452"/>
      <c r="G122" s="1453"/>
      <c r="H122" s="1673">
        <f t="shared" si="20"/>
        <v>560</v>
      </c>
      <c r="I122" s="1663" t="s">
        <v>5400</v>
      </c>
      <c r="J122" s="476" t="s">
        <v>5864</v>
      </c>
      <c r="K122" s="1667">
        <v>2800</v>
      </c>
      <c r="L122" s="1668"/>
      <c r="M122" s="1668"/>
      <c r="N122" s="1668"/>
      <c r="AE122" s="1274"/>
      <c r="AG122" s="1668"/>
      <c r="AH122" s="1668"/>
      <c r="AI122" s="1668"/>
      <c r="AJ122" s="1668"/>
    </row>
    <row r="123" spans="1:36" s="1272" customFormat="1" ht="24.95" customHeight="1">
      <c r="A123" s="1665">
        <v>7</v>
      </c>
      <c r="B123" s="1662" t="s">
        <v>1042</v>
      </c>
      <c r="C123" s="1669">
        <v>30</v>
      </c>
      <c r="D123" s="1672">
        <f t="shared" si="19"/>
        <v>1700</v>
      </c>
      <c r="E123" s="1666"/>
      <c r="F123" s="1452"/>
      <c r="G123" s="1453"/>
      <c r="H123" s="1673">
        <f t="shared" si="20"/>
        <v>1700</v>
      </c>
      <c r="I123" s="1663" t="s">
        <v>5400</v>
      </c>
      <c r="J123" s="476"/>
      <c r="K123" s="1667">
        <v>1700</v>
      </c>
      <c r="L123" s="1668"/>
      <c r="M123" s="1668"/>
      <c r="N123" s="1668"/>
      <c r="AE123" s="1274"/>
      <c r="AG123" s="1668"/>
      <c r="AH123" s="1668"/>
      <c r="AI123" s="1668"/>
      <c r="AJ123" s="1668"/>
    </row>
    <row r="124" spans="1:36" s="1272" customFormat="1" ht="24.95" customHeight="1">
      <c r="A124" s="1665">
        <v>8</v>
      </c>
      <c r="B124" s="1662" t="s">
        <v>1043</v>
      </c>
      <c r="C124" s="1669">
        <v>30</v>
      </c>
      <c r="D124" s="1672">
        <f t="shared" si="19"/>
        <v>1800</v>
      </c>
      <c r="E124" s="1666"/>
      <c r="F124" s="1452"/>
      <c r="G124" s="1453"/>
      <c r="H124" s="1673">
        <f t="shared" si="20"/>
        <v>1800</v>
      </c>
      <c r="I124" s="1663" t="s">
        <v>5400</v>
      </c>
      <c r="J124" s="476"/>
      <c r="K124" s="1667">
        <v>1800</v>
      </c>
      <c r="L124" s="1668"/>
      <c r="M124" s="1668"/>
      <c r="N124" s="1668"/>
      <c r="AE124" s="1274"/>
      <c r="AG124" s="1668"/>
      <c r="AH124" s="1668"/>
      <c r="AI124" s="1668"/>
      <c r="AJ124" s="1668"/>
    </row>
    <row r="125" spans="1:36" s="1272" customFormat="1" ht="24.95" customHeight="1">
      <c r="A125" s="1665">
        <v>9</v>
      </c>
      <c r="B125" s="1662" t="s">
        <v>1044</v>
      </c>
      <c r="C125" s="1669">
        <v>30</v>
      </c>
      <c r="D125" s="1672">
        <f t="shared" si="19"/>
        <v>1600</v>
      </c>
      <c r="E125" s="1666"/>
      <c r="F125" s="1452"/>
      <c r="G125" s="1453"/>
      <c r="H125" s="1673">
        <f t="shared" si="20"/>
        <v>1600</v>
      </c>
      <c r="I125" s="1663" t="s">
        <v>5400</v>
      </c>
      <c r="J125" s="476"/>
      <c r="K125" s="1667">
        <v>1600</v>
      </c>
      <c r="L125" s="1668"/>
      <c r="M125" s="1668"/>
      <c r="N125" s="1668"/>
      <c r="AE125" s="1274"/>
      <c r="AG125" s="1668"/>
      <c r="AH125" s="1668"/>
      <c r="AI125" s="1668"/>
      <c r="AJ125" s="1668"/>
    </row>
    <row r="126" spans="1:36" s="1272" customFormat="1" ht="32.25" customHeight="1">
      <c r="A126" s="1665">
        <v>10</v>
      </c>
      <c r="B126" s="1662" t="s">
        <v>1045</v>
      </c>
      <c r="C126" s="1664">
        <v>22</v>
      </c>
      <c r="D126" s="1672">
        <f t="shared" si="19"/>
        <v>1760</v>
      </c>
      <c r="E126" s="1659">
        <v>450</v>
      </c>
      <c r="F126" s="1452"/>
      <c r="G126" s="1453"/>
      <c r="H126" s="1673">
        <f t="shared" si="20"/>
        <v>2210</v>
      </c>
      <c r="I126" s="1663" t="s">
        <v>5400</v>
      </c>
      <c r="J126" s="476" t="s">
        <v>5860</v>
      </c>
      <c r="K126" s="1667">
        <v>2400</v>
      </c>
      <c r="L126" s="1668"/>
      <c r="M126" s="1668"/>
      <c r="N126" s="1668">
        <f>2400/30</f>
        <v>80</v>
      </c>
      <c r="AE126" s="1274"/>
      <c r="AG126" s="1668"/>
      <c r="AH126" s="1668"/>
      <c r="AI126" s="1668"/>
      <c r="AJ126" s="1668"/>
    </row>
    <row r="127" spans="1:36" s="1272" customFormat="1" ht="24.95" customHeight="1">
      <c r="A127" s="1665">
        <v>11</v>
      </c>
      <c r="B127" s="1662" t="s">
        <v>1046</v>
      </c>
      <c r="C127" s="1669">
        <v>30</v>
      </c>
      <c r="D127" s="1672">
        <f t="shared" si="19"/>
        <v>1200</v>
      </c>
      <c r="E127" s="1666"/>
      <c r="F127" s="1452"/>
      <c r="G127" s="1453"/>
      <c r="H127" s="1673">
        <f t="shared" si="20"/>
        <v>1200</v>
      </c>
      <c r="I127" s="1663" t="s">
        <v>5400</v>
      </c>
      <c r="J127" s="476"/>
      <c r="K127" s="1667">
        <v>1200</v>
      </c>
      <c r="L127" s="1668"/>
      <c r="M127" s="1668"/>
      <c r="N127" s="1668">
        <f>N126*22</f>
        <v>1760</v>
      </c>
      <c r="AE127" s="1274"/>
      <c r="AG127" s="1668"/>
      <c r="AH127" s="1668"/>
      <c r="AI127" s="1668"/>
      <c r="AJ127" s="1668"/>
    </row>
    <row r="128" spans="1:36" s="1272" customFormat="1" ht="24.95" customHeight="1">
      <c r="A128" s="1665">
        <v>12</v>
      </c>
      <c r="B128" s="1662" t="s">
        <v>1047</v>
      </c>
      <c r="C128" s="1669">
        <v>30</v>
      </c>
      <c r="D128" s="1672">
        <f t="shared" si="19"/>
        <v>1300</v>
      </c>
      <c r="E128" s="1666"/>
      <c r="F128" s="1452"/>
      <c r="G128" s="1453"/>
      <c r="H128" s="1673">
        <f t="shared" si="20"/>
        <v>1300</v>
      </c>
      <c r="I128" s="1663" t="s">
        <v>5400</v>
      </c>
      <c r="J128" s="476"/>
      <c r="K128" s="1667">
        <v>1300</v>
      </c>
      <c r="L128" s="1668"/>
      <c r="M128" s="1668"/>
      <c r="N128" s="1668"/>
      <c r="AE128" s="1274"/>
      <c r="AG128" s="1668"/>
      <c r="AH128" s="1668"/>
      <c r="AI128" s="1668"/>
      <c r="AJ128" s="1668"/>
    </row>
    <row r="129" spans="1:36" s="1272" customFormat="1" ht="32.25" customHeight="1">
      <c r="A129" s="1665">
        <v>13</v>
      </c>
      <c r="B129" s="1662" t="s">
        <v>1048</v>
      </c>
      <c r="C129" s="1669">
        <v>30</v>
      </c>
      <c r="D129" s="1672">
        <f t="shared" si="19"/>
        <v>4600</v>
      </c>
      <c r="E129" s="1666"/>
      <c r="F129" s="1452"/>
      <c r="G129" s="1453"/>
      <c r="H129" s="1673">
        <f t="shared" si="20"/>
        <v>4600</v>
      </c>
      <c r="I129" s="1663" t="s">
        <v>5400</v>
      </c>
      <c r="J129" s="476" t="s">
        <v>5287</v>
      </c>
      <c r="K129" s="1667">
        <v>4600</v>
      </c>
      <c r="L129" s="1668"/>
      <c r="M129" s="1668"/>
      <c r="N129" s="1668"/>
      <c r="AE129" s="1274"/>
      <c r="AG129" s="1668"/>
      <c r="AH129" s="1668"/>
      <c r="AI129" s="1668"/>
      <c r="AJ129" s="1668"/>
    </row>
    <row r="130" spans="1:36" s="1272" customFormat="1" ht="24.95" customHeight="1">
      <c r="A130" s="1665">
        <v>14</v>
      </c>
      <c r="B130" s="1662" t="s">
        <v>1049</v>
      </c>
      <c r="C130" s="1669">
        <v>30</v>
      </c>
      <c r="D130" s="1672">
        <f t="shared" si="19"/>
        <v>1000.0000000000001</v>
      </c>
      <c r="E130" s="1666"/>
      <c r="F130" s="1452"/>
      <c r="G130" s="1453"/>
      <c r="H130" s="1673">
        <f t="shared" si="20"/>
        <v>1000.0000000000001</v>
      </c>
      <c r="I130" s="1663" t="s">
        <v>5400</v>
      </c>
      <c r="J130" s="476"/>
      <c r="K130" s="1667">
        <v>1000</v>
      </c>
      <c r="L130" s="1668"/>
      <c r="M130" s="1668"/>
      <c r="N130" s="1668"/>
      <c r="AE130" s="1274"/>
      <c r="AG130" s="1668"/>
      <c r="AH130" s="1668"/>
      <c r="AI130" s="1668"/>
      <c r="AJ130" s="1668"/>
    </row>
    <row r="131" spans="1:36" s="1272" customFormat="1" ht="32.25" customHeight="1">
      <c r="A131" s="1665">
        <v>15</v>
      </c>
      <c r="B131" s="1662" t="s">
        <v>1050</v>
      </c>
      <c r="C131" s="1669">
        <v>30</v>
      </c>
      <c r="D131" s="1672">
        <f t="shared" si="19"/>
        <v>1800</v>
      </c>
      <c r="E131" s="1666"/>
      <c r="F131" s="1452">
        <v>400</v>
      </c>
      <c r="G131" s="1453"/>
      <c r="H131" s="1673">
        <f t="shared" si="20"/>
        <v>1400</v>
      </c>
      <c r="I131" s="1663" t="s">
        <v>5400</v>
      </c>
      <c r="J131" s="476" t="s">
        <v>5861</v>
      </c>
      <c r="K131" s="1667">
        <v>1800</v>
      </c>
      <c r="L131" s="1668"/>
      <c r="M131" s="1668"/>
      <c r="N131" s="1668"/>
      <c r="AE131" s="1274"/>
      <c r="AG131" s="1668"/>
      <c r="AH131" s="1668"/>
      <c r="AI131" s="1668"/>
      <c r="AJ131" s="1668"/>
    </row>
    <row r="132" spans="1:36" s="1272" customFormat="1" ht="32.25" customHeight="1">
      <c r="A132" s="1665">
        <v>16</v>
      </c>
      <c r="B132" s="1662" t="s">
        <v>1051</v>
      </c>
      <c r="C132" s="1669">
        <v>30</v>
      </c>
      <c r="D132" s="1672">
        <f t="shared" si="19"/>
        <v>1000.0000000000001</v>
      </c>
      <c r="E132" s="1666"/>
      <c r="F132" s="1452"/>
      <c r="G132" s="1453"/>
      <c r="H132" s="1673">
        <f t="shared" si="20"/>
        <v>1000.0000000000001</v>
      </c>
      <c r="I132" s="1663" t="s">
        <v>5400</v>
      </c>
      <c r="J132" s="476" t="s">
        <v>5858</v>
      </c>
      <c r="K132" s="1667">
        <v>1000</v>
      </c>
      <c r="L132" s="1668"/>
      <c r="M132" s="1668"/>
      <c r="N132" s="1668"/>
      <c r="AE132" s="1274"/>
      <c r="AG132" s="1668"/>
      <c r="AH132" s="1668"/>
      <c r="AI132" s="1668"/>
      <c r="AJ132" s="1668"/>
    </row>
    <row r="133" spans="1:36" s="1272" customFormat="1" ht="24.95" customHeight="1">
      <c r="A133" s="1665">
        <v>17</v>
      </c>
      <c r="B133" s="1662" t="s">
        <v>2842</v>
      </c>
      <c r="C133" s="1669">
        <v>30</v>
      </c>
      <c r="D133" s="1672">
        <f t="shared" si="19"/>
        <v>1200</v>
      </c>
      <c r="E133" s="1666"/>
      <c r="F133" s="1452"/>
      <c r="G133" s="1453"/>
      <c r="H133" s="1673">
        <f t="shared" si="20"/>
        <v>1200</v>
      </c>
      <c r="I133" s="1663" t="s">
        <v>5400</v>
      </c>
      <c r="J133" s="476"/>
      <c r="K133" s="1667">
        <v>1200</v>
      </c>
      <c r="L133" s="1668"/>
      <c r="M133" s="1668"/>
      <c r="N133" s="1668"/>
      <c r="AE133" s="1274"/>
      <c r="AG133" s="1668"/>
      <c r="AH133" s="1668"/>
      <c r="AI133" s="1668"/>
      <c r="AJ133" s="1668"/>
    </row>
    <row r="134" spans="1:36" s="1272" customFormat="1" ht="24.95" customHeight="1" thickBot="1">
      <c r="A134" s="1665">
        <v>18</v>
      </c>
      <c r="B134" s="1662" t="s">
        <v>5292</v>
      </c>
      <c r="C134" s="1669">
        <v>30</v>
      </c>
      <c r="D134" s="1672">
        <f t="shared" si="19"/>
        <v>1600</v>
      </c>
      <c r="E134" s="1671"/>
      <c r="F134" s="1458"/>
      <c r="G134" s="1459"/>
      <c r="H134" s="1673">
        <f t="shared" si="20"/>
        <v>1600</v>
      </c>
      <c r="I134" s="1663" t="s">
        <v>5400</v>
      </c>
      <c r="J134" s="476"/>
      <c r="K134" s="1667">
        <v>1600</v>
      </c>
      <c r="L134" s="1668"/>
      <c r="M134" s="1677">
        <v>73652.5</v>
      </c>
      <c r="N134" s="1677"/>
      <c r="AE134" s="1274"/>
      <c r="AG134" s="1668"/>
      <c r="AH134" s="1668"/>
      <c r="AI134" s="1668"/>
      <c r="AJ134" s="1668"/>
    </row>
    <row r="135" spans="1:36" ht="20.25" customHeight="1" thickBot="1">
      <c r="A135" s="11"/>
      <c r="B135" s="156"/>
      <c r="C135" s="159"/>
      <c r="D135" s="1455"/>
      <c r="E135" s="1462"/>
      <c r="F135" s="1955">
        <f>SUM(H118:H134)</f>
        <v>73537</v>
      </c>
      <c r="G135" s="1956"/>
      <c r="H135" s="1456"/>
      <c r="I135" s="1658" t="s">
        <v>5400</v>
      </c>
      <c r="J135" s="154"/>
      <c r="K135" s="154"/>
    </row>
    <row r="136" spans="1:36" ht="15.75">
      <c r="A136" s="11"/>
      <c r="B136" s="7"/>
      <c r="C136" s="162"/>
      <c r="D136" s="162"/>
      <c r="E136" s="30"/>
      <c r="F136" s="1676" t="s">
        <v>5865</v>
      </c>
      <c r="G136" s="1676">
        <v>110</v>
      </c>
      <c r="H136" s="168"/>
      <c r="I136" s="1658" t="s">
        <v>5400</v>
      </c>
      <c r="J136" s="10"/>
      <c r="K136" s="145"/>
    </row>
    <row r="137" spans="1:36" ht="16.5" thickBot="1">
      <c r="A137" s="11"/>
      <c r="B137" s="7"/>
      <c r="C137" s="162"/>
      <c r="D137" s="162"/>
      <c r="E137" s="30"/>
      <c r="F137" s="1676" t="s">
        <v>5297</v>
      </c>
      <c r="G137" s="1676">
        <v>5.5</v>
      </c>
      <c r="H137" s="168"/>
      <c r="I137" s="1658" t="s">
        <v>5400</v>
      </c>
      <c r="J137" s="10"/>
      <c r="K137" s="145"/>
    </row>
    <row r="138" spans="1:36" ht="23.25" thickBot="1">
      <c r="A138" s="11"/>
      <c r="B138" s="156"/>
      <c r="C138" s="159"/>
      <c r="D138" s="1455"/>
      <c r="E138" s="1675" t="s">
        <v>5295</v>
      </c>
      <c r="F138" s="1957">
        <f>F135+G136+G137</f>
        <v>73652.5</v>
      </c>
      <c r="G138" s="1958"/>
      <c r="H138" s="1456"/>
      <c r="I138" s="1658" t="s">
        <v>5400</v>
      </c>
      <c r="J138" s="154"/>
      <c r="K138" s="154"/>
    </row>
    <row r="139" spans="1:36" ht="24" customHeight="1">
      <c r="A139" s="1665">
        <v>1</v>
      </c>
      <c r="B139" s="1662" t="s">
        <v>1036</v>
      </c>
      <c r="C139" s="1669">
        <v>30</v>
      </c>
      <c r="D139" s="1672">
        <f t="shared" ref="D139:D155" si="21">(K139/30)*C139</f>
        <v>30000</v>
      </c>
      <c r="E139" s="1666"/>
      <c r="F139" s="1452"/>
      <c r="G139" s="1453"/>
      <c r="H139" s="1673">
        <f t="shared" ref="H139:H155" si="22">D139+E139-F139-G139</f>
        <v>30000</v>
      </c>
      <c r="I139" s="1663" t="s">
        <v>5925</v>
      </c>
      <c r="J139" s="476"/>
      <c r="K139" s="1667">
        <v>30000</v>
      </c>
    </row>
    <row r="140" spans="1:36" ht="24" customHeight="1">
      <c r="A140" s="1665">
        <v>2</v>
      </c>
      <c r="B140" s="1662" t="s">
        <v>1037</v>
      </c>
      <c r="C140" s="1669">
        <v>30</v>
      </c>
      <c r="D140" s="1672">
        <f t="shared" si="21"/>
        <v>15000</v>
      </c>
      <c r="E140" s="1671"/>
      <c r="F140" s="1458"/>
      <c r="G140" s="1459"/>
      <c r="H140" s="1673">
        <f t="shared" si="22"/>
        <v>15000</v>
      </c>
      <c r="I140" s="1663" t="s">
        <v>5925</v>
      </c>
      <c r="J140" s="476"/>
      <c r="K140" s="1667">
        <v>15000</v>
      </c>
    </row>
    <row r="141" spans="1:36" ht="24" customHeight="1">
      <c r="A141" s="1665">
        <v>4</v>
      </c>
      <c r="B141" s="1662" t="s">
        <v>1039</v>
      </c>
      <c r="C141" s="1669">
        <v>30</v>
      </c>
      <c r="D141" s="1672">
        <f t="shared" si="21"/>
        <v>4000.0000000000005</v>
      </c>
      <c r="E141" s="1671"/>
      <c r="F141" s="1458">
        <f>133.33*2</f>
        <v>266.66000000000003</v>
      </c>
      <c r="G141" s="1459"/>
      <c r="H141" s="1673">
        <f t="shared" si="22"/>
        <v>3733.3400000000006</v>
      </c>
      <c r="I141" s="1663" t="s">
        <v>5925</v>
      </c>
      <c r="J141" s="476" t="s">
        <v>6071</v>
      </c>
      <c r="K141" s="1667">
        <v>4000</v>
      </c>
    </row>
    <row r="142" spans="1:36" ht="24" customHeight="1">
      <c r="A142" s="1665">
        <v>5</v>
      </c>
      <c r="B142" s="1662" t="s">
        <v>1040</v>
      </c>
      <c r="C142" s="1669">
        <v>30</v>
      </c>
      <c r="D142" s="1672">
        <f t="shared" si="21"/>
        <v>3500</v>
      </c>
      <c r="E142" s="1671">
        <v>1000</v>
      </c>
      <c r="F142" s="1458"/>
      <c r="G142" s="1459"/>
      <c r="H142" s="1673">
        <f t="shared" si="22"/>
        <v>4500</v>
      </c>
      <c r="I142" s="1663" t="s">
        <v>5925</v>
      </c>
      <c r="J142" s="476" t="s">
        <v>6070</v>
      </c>
      <c r="K142" s="1667">
        <v>3500</v>
      </c>
    </row>
    <row r="143" spans="1:36" ht="24" customHeight="1">
      <c r="A143" s="1665">
        <v>6</v>
      </c>
      <c r="B143" s="1662" t="s">
        <v>1041</v>
      </c>
      <c r="C143" s="1669">
        <v>30</v>
      </c>
      <c r="D143" s="1672">
        <f t="shared" si="21"/>
        <v>2800</v>
      </c>
      <c r="E143" s="1671"/>
      <c r="F143" s="1458"/>
      <c r="G143" s="1459"/>
      <c r="H143" s="1673">
        <f t="shared" si="22"/>
        <v>2800</v>
      </c>
      <c r="I143" s="1663" t="s">
        <v>5925</v>
      </c>
      <c r="J143" s="476" t="s">
        <v>5928</v>
      </c>
      <c r="K143" s="1667">
        <v>2800</v>
      </c>
    </row>
    <row r="144" spans="1:36" ht="24" customHeight="1">
      <c r="A144" s="1665">
        <v>7</v>
      </c>
      <c r="B144" s="1662" t="s">
        <v>1042</v>
      </c>
      <c r="C144" s="1669">
        <v>30</v>
      </c>
      <c r="D144" s="1672">
        <f t="shared" si="21"/>
        <v>1700</v>
      </c>
      <c r="E144" s="1671"/>
      <c r="F144" s="1458"/>
      <c r="G144" s="1459"/>
      <c r="H144" s="1673">
        <f t="shared" si="22"/>
        <v>1700</v>
      </c>
      <c r="I144" s="1663" t="s">
        <v>5925</v>
      </c>
      <c r="J144" s="476"/>
      <c r="K144" s="1667">
        <v>1700</v>
      </c>
    </row>
    <row r="145" spans="1:11" ht="24" customHeight="1">
      <c r="A145" s="1665">
        <v>8</v>
      </c>
      <c r="B145" s="1662" t="s">
        <v>1043</v>
      </c>
      <c r="C145" s="1669">
        <v>30</v>
      </c>
      <c r="D145" s="1672">
        <f t="shared" si="21"/>
        <v>1800</v>
      </c>
      <c r="E145" s="1671"/>
      <c r="F145" s="1458"/>
      <c r="G145" s="1459"/>
      <c r="H145" s="1673">
        <f t="shared" si="22"/>
        <v>1800</v>
      </c>
      <c r="I145" s="1663" t="s">
        <v>5925</v>
      </c>
      <c r="J145" s="476"/>
      <c r="K145" s="1667">
        <v>1800</v>
      </c>
    </row>
    <row r="146" spans="1:11" ht="24" customHeight="1">
      <c r="A146" s="1665">
        <v>9</v>
      </c>
      <c r="B146" s="1662" t="s">
        <v>1044</v>
      </c>
      <c r="C146" s="1669">
        <v>30</v>
      </c>
      <c r="D146" s="1672">
        <f t="shared" si="21"/>
        <v>1600</v>
      </c>
      <c r="E146" s="1671"/>
      <c r="F146" s="1458"/>
      <c r="G146" s="1459"/>
      <c r="H146" s="1673">
        <f t="shared" si="22"/>
        <v>1600</v>
      </c>
      <c r="I146" s="1663" t="s">
        <v>5925</v>
      </c>
      <c r="J146" s="476"/>
      <c r="K146" s="1667">
        <v>1600</v>
      </c>
    </row>
    <row r="147" spans="1:11" ht="24" customHeight="1">
      <c r="A147" s="1665">
        <v>10</v>
      </c>
      <c r="B147" s="1662" t="s">
        <v>1045</v>
      </c>
      <c r="C147" s="1669">
        <v>30</v>
      </c>
      <c r="D147" s="1672">
        <f t="shared" si="21"/>
        <v>2400</v>
      </c>
      <c r="E147" s="1683">
        <v>450</v>
      </c>
      <c r="F147" s="1458"/>
      <c r="G147" s="1459"/>
      <c r="H147" s="1673">
        <f t="shared" si="22"/>
        <v>2850</v>
      </c>
      <c r="I147" s="1663" t="s">
        <v>5925</v>
      </c>
      <c r="J147" s="476" t="s">
        <v>5926</v>
      </c>
      <c r="K147" s="1667">
        <v>2400</v>
      </c>
    </row>
    <row r="148" spans="1:11" ht="24" customHeight="1">
      <c r="A148" s="1665">
        <v>11</v>
      </c>
      <c r="B148" s="1662" t="s">
        <v>1046</v>
      </c>
      <c r="C148" s="1669">
        <v>30</v>
      </c>
      <c r="D148" s="1672">
        <f t="shared" si="21"/>
        <v>1200</v>
      </c>
      <c r="E148" s="1671"/>
      <c r="F148" s="1458"/>
      <c r="G148" s="1459"/>
      <c r="H148" s="1673">
        <f t="shared" si="22"/>
        <v>1200</v>
      </c>
      <c r="I148" s="1663" t="s">
        <v>5925</v>
      </c>
      <c r="J148" s="476"/>
      <c r="K148" s="1667">
        <v>1200</v>
      </c>
    </row>
    <row r="149" spans="1:11" ht="24" customHeight="1">
      <c r="A149" s="1665">
        <v>12</v>
      </c>
      <c r="B149" s="1662" t="s">
        <v>1047</v>
      </c>
      <c r="C149" s="1669">
        <v>30</v>
      </c>
      <c r="D149" s="1672">
        <f t="shared" si="21"/>
        <v>1300</v>
      </c>
      <c r="E149" s="1671"/>
      <c r="F149" s="1458"/>
      <c r="G149" s="1459"/>
      <c r="H149" s="1673">
        <f t="shared" si="22"/>
        <v>1300</v>
      </c>
      <c r="I149" s="1663" t="s">
        <v>5925</v>
      </c>
      <c r="J149" s="476"/>
      <c r="K149" s="1667">
        <v>1300</v>
      </c>
    </row>
    <row r="150" spans="1:11" ht="24" customHeight="1">
      <c r="A150" s="1665">
        <v>13</v>
      </c>
      <c r="B150" s="1662" t="s">
        <v>1048</v>
      </c>
      <c r="C150" s="1669">
        <v>30</v>
      </c>
      <c r="D150" s="1672">
        <f t="shared" si="21"/>
        <v>4600</v>
      </c>
      <c r="E150" s="1671"/>
      <c r="F150" s="1458"/>
      <c r="G150" s="1459"/>
      <c r="H150" s="1673">
        <f t="shared" si="22"/>
        <v>4600</v>
      </c>
      <c r="I150" s="1663" t="s">
        <v>5925</v>
      </c>
      <c r="J150" s="476"/>
      <c r="K150" s="1667">
        <v>4600</v>
      </c>
    </row>
    <row r="151" spans="1:11" ht="24" customHeight="1">
      <c r="A151" s="1665">
        <v>14</v>
      </c>
      <c r="B151" s="1662" t="s">
        <v>1049</v>
      </c>
      <c r="C151" s="1669">
        <v>30</v>
      </c>
      <c r="D151" s="1672">
        <f t="shared" si="21"/>
        <v>1000.0000000000001</v>
      </c>
      <c r="E151" s="1671"/>
      <c r="F151" s="1458"/>
      <c r="G151" s="1459"/>
      <c r="H151" s="1673">
        <f t="shared" si="22"/>
        <v>1000.0000000000001</v>
      </c>
      <c r="I151" s="1663" t="s">
        <v>5925</v>
      </c>
      <c r="J151" s="476"/>
      <c r="K151" s="1667">
        <v>1000</v>
      </c>
    </row>
    <row r="152" spans="1:11" ht="24" customHeight="1">
      <c r="A152" s="1665">
        <v>15</v>
      </c>
      <c r="B152" s="1662" t="s">
        <v>1050</v>
      </c>
      <c r="C152" s="1669">
        <v>30</v>
      </c>
      <c r="D152" s="1672">
        <f t="shared" si="21"/>
        <v>1800</v>
      </c>
      <c r="E152" s="1671"/>
      <c r="F152" s="1458"/>
      <c r="G152" s="1459"/>
      <c r="H152" s="1673">
        <f t="shared" si="22"/>
        <v>1800</v>
      </c>
      <c r="I152" s="1663" t="s">
        <v>5925</v>
      </c>
      <c r="J152" s="476"/>
      <c r="K152" s="1667">
        <v>1800</v>
      </c>
    </row>
    <row r="153" spans="1:11" ht="24" customHeight="1">
      <c r="A153" s="1665">
        <v>16</v>
      </c>
      <c r="B153" s="1662" t="s">
        <v>1051</v>
      </c>
      <c r="C153" s="1669">
        <v>30</v>
      </c>
      <c r="D153" s="1672">
        <f t="shared" si="21"/>
        <v>1000.0000000000001</v>
      </c>
      <c r="E153" s="1671"/>
      <c r="F153" s="1458"/>
      <c r="G153" s="1459"/>
      <c r="H153" s="1673">
        <f t="shared" si="22"/>
        <v>1000.0000000000001</v>
      </c>
      <c r="I153" s="1663" t="s">
        <v>5925</v>
      </c>
      <c r="J153" s="476"/>
      <c r="K153" s="1667">
        <v>1000</v>
      </c>
    </row>
    <row r="154" spans="1:11" ht="24" customHeight="1">
      <c r="A154" s="1665">
        <v>17</v>
      </c>
      <c r="B154" s="1662" t="s">
        <v>2842</v>
      </c>
      <c r="C154" s="1669">
        <v>30</v>
      </c>
      <c r="D154" s="1672">
        <f t="shared" si="21"/>
        <v>1200</v>
      </c>
      <c r="E154" s="1671"/>
      <c r="F154" s="1458"/>
      <c r="G154" s="1459"/>
      <c r="H154" s="1673">
        <f t="shared" si="22"/>
        <v>1200</v>
      </c>
      <c r="I154" s="1663" t="s">
        <v>5925</v>
      </c>
      <c r="J154" s="476"/>
      <c r="K154" s="1667">
        <v>1200</v>
      </c>
    </row>
    <row r="155" spans="1:11" ht="24" customHeight="1" thickBot="1">
      <c r="A155" s="1665">
        <v>18</v>
      </c>
      <c r="B155" s="1662" t="s">
        <v>5292</v>
      </c>
      <c r="C155" s="1669">
        <v>30</v>
      </c>
      <c r="D155" s="1672">
        <f t="shared" si="21"/>
        <v>1600</v>
      </c>
      <c r="E155" s="1671"/>
      <c r="F155" s="1458"/>
      <c r="G155" s="1459"/>
      <c r="H155" s="1673">
        <f t="shared" si="22"/>
        <v>1600</v>
      </c>
      <c r="I155" s="1663" t="s">
        <v>5925</v>
      </c>
      <c r="J155" s="476"/>
      <c r="K155" s="1667">
        <v>1600</v>
      </c>
    </row>
    <row r="156" spans="1:11" ht="23.25" customHeight="1" thickBot="1">
      <c r="A156" s="11"/>
      <c r="B156" s="1006"/>
      <c r="C156" s="1007"/>
      <c r="D156" s="1007"/>
      <c r="E156" s="1674"/>
      <c r="F156" s="1955">
        <f>SUM(H139:H155)</f>
        <v>77683.34</v>
      </c>
      <c r="G156" s="1956"/>
      <c r="H156" s="1009"/>
      <c r="I156" s="1682" t="s">
        <v>5925</v>
      </c>
      <c r="J156" s="1008"/>
      <c r="K156" s="1010"/>
    </row>
    <row r="157" spans="1:11">
      <c r="A157" s="11">
        <v>7</v>
      </c>
      <c r="B157" s="7" t="s">
        <v>1043</v>
      </c>
      <c r="C157" s="162"/>
      <c r="D157" s="162"/>
      <c r="E157" s="30"/>
      <c r="F157" s="8"/>
      <c r="G157" s="8"/>
      <c r="H157" s="168"/>
      <c r="I157" s="178"/>
      <c r="J157" s="476" t="s">
        <v>1741</v>
      </c>
      <c r="K157" s="145" t="s">
        <v>1736</v>
      </c>
    </row>
    <row r="158" spans="1:11">
      <c r="A158" s="11">
        <v>7</v>
      </c>
      <c r="B158" s="7" t="s">
        <v>1043</v>
      </c>
      <c r="C158" s="162"/>
      <c r="D158" s="162"/>
      <c r="E158" s="30"/>
      <c r="F158" s="8"/>
      <c r="G158" s="8"/>
      <c r="H158" s="168"/>
      <c r="I158" s="178"/>
      <c r="J158" s="476" t="s">
        <v>1742</v>
      </c>
      <c r="K158" s="145" t="s">
        <v>1737</v>
      </c>
    </row>
    <row r="159" spans="1:11">
      <c r="A159" s="11">
        <v>7</v>
      </c>
      <c r="B159" s="7" t="s">
        <v>1043</v>
      </c>
      <c r="C159" s="162"/>
      <c r="D159" s="162"/>
      <c r="E159" s="30"/>
      <c r="F159" s="8"/>
      <c r="G159" s="8"/>
      <c r="H159" s="168"/>
      <c r="I159" s="178"/>
      <c r="J159" s="476" t="s">
        <v>1743</v>
      </c>
      <c r="K159" s="145" t="s">
        <v>1738</v>
      </c>
    </row>
    <row r="160" spans="1:11">
      <c r="A160" s="11">
        <v>7</v>
      </c>
      <c r="B160" s="7" t="s">
        <v>1043</v>
      </c>
      <c r="C160" s="162"/>
      <c r="D160" s="162"/>
      <c r="E160" s="30"/>
      <c r="F160" s="8"/>
      <c r="G160" s="8"/>
      <c r="H160" s="168"/>
      <c r="I160" s="178"/>
      <c r="J160" s="476" t="s">
        <v>1868</v>
      </c>
      <c r="K160" s="145" t="s">
        <v>1739</v>
      </c>
    </row>
    <row r="161" spans="1:20">
      <c r="A161" s="11">
        <v>7</v>
      </c>
      <c r="B161" s="7" t="s">
        <v>1043</v>
      </c>
      <c r="C161" s="162"/>
      <c r="D161" s="162"/>
      <c r="E161" s="30"/>
      <c r="F161" s="8"/>
      <c r="G161" s="8"/>
      <c r="H161" s="168"/>
      <c r="I161" s="178"/>
      <c r="J161" s="476" t="s">
        <v>1867</v>
      </c>
      <c r="K161" s="145" t="s">
        <v>1740</v>
      </c>
    </row>
    <row r="162" spans="1:20">
      <c r="A162" s="11">
        <v>7</v>
      </c>
      <c r="B162" s="7" t="s">
        <v>1043</v>
      </c>
      <c r="C162" s="162"/>
      <c r="D162" s="162"/>
      <c r="E162" s="30"/>
      <c r="F162" s="8"/>
      <c r="G162" s="8"/>
      <c r="H162" s="168"/>
      <c r="I162" s="178"/>
      <c r="J162" s="476" t="s">
        <v>1866</v>
      </c>
      <c r="K162" s="665">
        <v>45536</v>
      </c>
    </row>
    <row r="163" spans="1:20">
      <c r="A163" s="11"/>
      <c r="B163" s="7"/>
      <c r="C163" s="162"/>
      <c r="D163" s="162"/>
      <c r="E163" s="30"/>
      <c r="F163" s="8"/>
      <c r="G163" s="8"/>
      <c r="H163" s="168"/>
      <c r="I163" s="178"/>
      <c r="J163" s="10"/>
      <c r="K163" s="145"/>
    </row>
    <row r="164" spans="1:20">
      <c r="A164" s="11"/>
      <c r="B164" s="7"/>
      <c r="C164" s="162"/>
      <c r="D164" s="162"/>
      <c r="E164" s="30"/>
      <c r="F164" s="8"/>
      <c r="G164" s="8"/>
      <c r="H164" s="168"/>
      <c r="I164" s="178"/>
      <c r="J164" s="10"/>
      <c r="K164" s="145"/>
    </row>
    <row r="165" spans="1:20">
      <c r="A165" s="11"/>
      <c r="B165" s="7" t="s">
        <v>1045</v>
      </c>
      <c r="C165" s="162"/>
      <c r="D165" s="162"/>
      <c r="E165" s="30"/>
      <c r="F165" s="8"/>
      <c r="G165" s="8"/>
      <c r="H165" s="168"/>
      <c r="I165" s="178"/>
      <c r="J165" s="476" t="s">
        <v>1849</v>
      </c>
      <c r="K165" s="642">
        <v>45107</v>
      </c>
    </row>
    <row r="166" spans="1:20">
      <c r="A166" s="11"/>
      <c r="B166" s="7" t="s">
        <v>1045</v>
      </c>
      <c r="C166" s="162"/>
      <c r="D166" s="162"/>
      <c r="E166" s="30"/>
      <c r="F166" s="8"/>
      <c r="G166" s="8"/>
      <c r="H166" s="168"/>
      <c r="I166" s="178"/>
      <c r="J166" s="476" t="s">
        <v>1849</v>
      </c>
      <c r="K166" s="642">
        <v>45107</v>
      </c>
    </row>
    <row r="167" spans="1:20">
      <c r="A167" s="11">
        <v>17</v>
      </c>
      <c r="B167" s="7" t="s">
        <v>2842</v>
      </c>
      <c r="C167" s="162"/>
      <c r="D167" s="162"/>
      <c r="E167" s="30"/>
      <c r="F167" s="8"/>
      <c r="G167" s="8"/>
      <c r="H167" s="168"/>
      <c r="I167" s="178"/>
      <c r="J167" s="476" t="s">
        <v>5927</v>
      </c>
      <c r="K167" s="642">
        <v>45626</v>
      </c>
    </row>
    <row r="168" spans="1:20">
      <c r="A168" s="11">
        <v>4</v>
      </c>
      <c r="B168" s="1662" t="s">
        <v>1039</v>
      </c>
      <c r="C168" s="162"/>
      <c r="D168" s="162"/>
      <c r="E168" s="30"/>
      <c r="F168" s="8"/>
      <c r="G168" s="8"/>
      <c r="H168" s="168"/>
      <c r="I168" s="178"/>
      <c r="J168" s="10"/>
      <c r="K168" s="145"/>
      <c r="Q168" s="1190"/>
      <c r="R168" s="1190"/>
      <c r="S168" s="1190"/>
      <c r="T168" s="1190"/>
    </row>
    <row r="169" spans="1:20">
      <c r="A169" s="11"/>
      <c r="B169" s="7"/>
      <c r="C169" s="162"/>
      <c r="D169" s="162"/>
      <c r="E169" s="30"/>
      <c r="F169" s="8"/>
      <c r="G169" s="8"/>
      <c r="H169" s="168"/>
      <c r="I169" s="178"/>
      <c r="J169" s="10"/>
      <c r="K169" s="145"/>
      <c r="Q169" s="1190"/>
      <c r="R169" s="1190"/>
      <c r="S169" s="1190"/>
      <c r="T169" s="1190"/>
    </row>
    <row r="170" spans="1:20">
      <c r="A170" s="11"/>
      <c r="B170" s="7"/>
      <c r="C170" s="162"/>
      <c r="D170" s="162"/>
      <c r="E170" s="30"/>
      <c r="F170" s="8"/>
      <c r="G170" s="8"/>
      <c r="H170" s="168"/>
      <c r="I170" s="178"/>
      <c r="J170" s="10"/>
      <c r="K170" s="145"/>
      <c r="Q170" s="1190"/>
      <c r="R170" s="1190"/>
      <c r="S170" s="1190"/>
      <c r="T170" s="1190"/>
    </row>
    <row r="171" spans="1:20">
      <c r="A171" s="11"/>
      <c r="B171" s="7"/>
      <c r="C171" s="162"/>
      <c r="D171" s="162"/>
      <c r="E171" s="30"/>
      <c r="F171" s="8"/>
      <c r="G171" s="8"/>
      <c r="H171" s="168"/>
      <c r="I171" s="178"/>
      <c r="J171" s="10"/>
      <c r="K171" s="145"/>
      <c r="Q171" s="1190"/>
      <c r="R171" s="1190"/>
      <c r="S171" s="1190"/>
      <c r="T171" s="1190"/>
    </row>
    <row r="172" spans="1:20">
      <c r="A172" s="11"/>
      <c r="B172" s="7"/>
      <c r="C172" s="162"/>
      <c r="D172" s="162"/>
      <c r="E172" s="30"/>
      <c r="F172" s="8"/>
      <c r="G172" s="8"/>
      <c r="H172" s="168"/>
      <c r="I172" s="178"/>
      <c r="J172" s="10"/>
      <c r="K172" s="145"/>
    </row>
    <row r="173" spans="1:20">
      <c r="A173" s="11"/>
      <c r="B173" s="7"/>
      <c r="C173" s="162"/>
      <c r="D173" s="162"/>
      <c r="E173" s="30"/>
      <c r="F173" s="8"/>
      <c r="G173" s="8"/>
      <c r="H173" s="168"/>
      <c r="I173" s="178"/>
      <c r="J173" s="10"/>
      <c r="K173" s="145"/>
    </row>
    <row r="174" spans="1:20">
      <c r="A174" s="11"/>
      <c r="B174" s="7"/>
      <c r="C174" s="162"/>
      <c r="D174" s="162"/>
      <c r="E174" s="30"/>
      <c r="F174" s="8"/>
      <c r="G174" s="8"/>
      <c r="H174" s="168"/>
      <c r="I174" s="178"/>
      <c r="J174" s="10"/>
      <c r="K174" s="145"/>
    </row>
    <row r="175" spans="1:20">
      <c r="A175" s="11"/>
      <c r="B175" s="7"/>
      <c r="C175" s="162"/>
      <c r="D175" s="162"/>
      <c r="E175" s="30"/>
      <c r="F175" s="8"/>
      <c r="G175" s="8"/>
      <c r="H175" s="168"/>
      <c r="I175" s="178"/>
      <c r="J175" s="10"/>
      <c r="K175" s="145"/>
    </row>
    <row r="176" spans="1:20">
      <c r="A176" s="11"/>
      <c r="B176" s="7"/>
      <c r="C176" s="162"/>
      <c r="D176" s="162"/>
      <c r="E176" s="30"/>
      <c r="F176" s="8"/>
      <c r="G176" s="8"/>
      <c r="H176" s="168"/>
      <c r="I176" s="178"/>
      <c r="J176" s="10"/>
      <c r="K176" s="145"/>
    </row>
    <row r="177" spans="1:19">
      <c r="A177" s="11"/>
      <c r="B177" s="7"/>
      <c r="C177" s="162"/>
      <c r="D177" s="162"/>
      <c r="E177" s="30"/>
      <c r="F177" s="8"/>
      <c r="G177" s="8"/>
      <c r="H177" s="168"/>
      <c r="I177" s="178"/>
      <c r="J177" s="10"/>
      <c r="K177" s="145"/>
    </row>
    <row r="178" spans="1:19">
      <c r="A178" s="11"/>
      <c r="B178" s="7"/>
      <c r="C178" s="162"/>
      <c r="D178" s="162"/>
      <c r="E178" s="30"/>
      <c r="F178" s="8"/>
      <c r="G178" s="8"/>
      <c r="H178" s="168"/>
      <c r="I178" s="178"/>
      <c r="J178" s="10"/>
      <c r="K178" s="145"/>
    </row>
    <row r="179" spans="1:19">
      <c r="A179" s="11"/>
      <c r="B179" s="7"/>
      <c r="C179" s="162"/>
      <c r="D179" s="162"/>
      <c r="E179" s="30"/>
      <c r="F179" s="8"/>
      <c r="G179" s="8"/>
      <c r="H179" s="168"/>
      <c r="I179" s="178"/>
      <c r="J179" s="10"/>
      <c r="K179" s="145"/>
      <c r="Q179" s="1246">
        <v>43575</v>
      </c>
    </row>
    <row r="180" spans="1:19">
      <c r="A180" s="11"/>
      <c r="B180" s="7"/>
      <c r="C180" s="162"/>
      <c r="D180" s="162"/>
      <c r="E180" s="30"/>
      <c r="F180" s="8"/>
      <c r="G180" s="8"/>
      <c r="H180" s="168"/>
      <c r="I180" s="178"/>
      <c r="J180" s="10"/>
      <c r="K180" s="145"/>
      <c r="Q180" s="1246">
        <v>43575</v>
      </c>
    </row>
    <row r="181" spans="1:19">
      <c r="A181" s="11"/>
      <c r="B181" s="7"/>
      <c r="C181" s="162"/>
      <c r="D181" s="162"/>
      <c r="E181" s="30"/>
      <c r="F181" s="8"/>
      <c r="G181" s="8"/>
      <c r="H181" s="168"/>
      <c r="I181" s="178"/>
      <c r="J181" s="10"/>
      <c r="K181" s="145"/>
      <c r="Q181" s="1246"/>
    </row>
    <row r="182" spans="1:19">
      <c r="A182" s="11"/>
      <c r="B182" s="7"/>
      <c r="C182" s="162"/>
      <c r="D182" s="162"/>
      <c r="E182" s="30"/>
      <c r="F182" s="8"/>
      <c r="G182" s="8"/>
      <c r="H182" s="168"/>
      <c r="I182" s="178"/>
      <c r="J182" s="10"/>
      <c r="K182" s="145"/>
      <c r="Q182" s="1246">
        <v>44469</v>
      </c>
    </row>
    <row r="183" spans="1:19">
      <c r="A183" s="11"/>
      <c r="B183" s="7"/>
      <c r="C183" s="162"/>
      <c r="D183" s="162"/>
      <c r="E183" s="30"/>
      <c r="F183" s="8"/>
      <c r="G183" s="8"/>
      <c r="H183" s="168"/>
      <c r="I183" s="178"/>
      <c r="J183" s="10"/>
      <c r="K183" s="145"/>
      <c r="Q183" s="1246">
        <v>44499</v>
      </c>
    </row>
    <row r="184" spans="1:19">
      <c r="A184" s="11"/>
      <c r="B184" s="7"/>
      <c r="C184" s="162"/>
      <c r="D184" s="162"/>
      <c r="E184" s="30"/>
      <c r="F184" s="8"/>
      <c r="G184" s="8"/>
      <c r="H184" s="168"/>
      <c r="I184" s="178"/>
      <c r="J184" s="10"/>
      <c r="K184" s="145"/>
      <c r="Q184" s="1246">
        <v>45046</v>
      </c>
    </row>
    <row r="185" spans="1:19">
      <c r="A185" s="11"/>
      <c r="B185" s="7"/>
      <c r="C185" s="162"/>
      <c r="D185" s="162"/>
      <c r="E185" s="30"/>
      <c r="F185" s="8"/>
      <c r="G185" s="8"/>
      <c r="H185" s="168"/>
      <c r="I185" s="178"/>
      <c r="J185" s="10"/>
      <c r="K185" s="145"/>
    </row>
    <row r="186" spans="1:19">
      <c r="A186" s="11"/>
      <c r="B186" s="7"/>
      <c r="C186" s="162"/>
      <c r="D186" s="162"/>
      <c r="E186" s="30"/>
      <c r="F186" s="8"/>
      <c r="G186" s="8"/>
      <c r="H186" s="168"/>
      <c r="I186" s="178"/>
      <c r="J186" s="10"/>
      <c r="K186" s="145"/>
    </row>
    <row r="187" spans="1:19">
      <c r="A187" s="11"/>
      <c r="B187" s="7"/>
      <c r="C187" s="162"/>
      <c r="D187" s="162"/>
      <c r="E187" s="30"/>
      <c r="F187" s="8"/>
      <c r="G187" s="8"/>
      <c r="H187" s="168"/>
      <c r="I187" s="178"/>
      <c r="J187" s="10"/>
      <c r="K187" s="145"/>
    </row>
    <row r="188" spans="1:19">
      <c r="A188" s="11"/>
      <c r="B188" s="7"/>
      <c r="C188" s="162"/>
      <c r="D188" s="162"/>
      <c r="E188" s="30"/>
      <c r="F188" s="8"/>
      <c r="G188" s="8"/>
      <c r="H188" s="168"/>
      <c r="I188" s="178"/>
      <c r="J188" s="10"/>
      <c r="K188" s="145"/>
    </row>
    <row r="189" spans="1:19">
      <c r="A189" s="11"/>
      <c r="B189" s="7"/>
      <c r="C189" s="162"/>
      <c r="D189" s="162"/>
      <c r="E189" s="30"/>
      <c r="F189" s="8"/>
      <c r="G189" s="8"/>
      <c r="H189" s="168"/>
      <c r="I189" s="178"/>
      <c r="J189" s="10"/>
      <c r="K189" s="145"/>
    </row>
    <row r="190" spans="1:19">
      <c r="A190" s="11"/>
      <c r="B190" s="7"/>
      <c r="C190" s="162"/>
      <c r="D190" s="162"/>
      <c r="E190" s="30"/>
      <c r="F190" s="8"/>
      <c r="G190" s="8"/>
      <c r="H190" s="168"/>
      <c r="I190" s="178"/>
      <c r="J190" s="10"/>
      <c r="K190" s="145"/>
      <c r="Q190" s="1190">
        <v>42767</v>
      </c>
      <c r="R190" s="1190"/>
      <c r="S190" s="1190"/>
    </row>
    <row r="191" spans="1:19">
      <c r="A191" s="11"/>
      <c r="B191" s="7"/>
      <c r="C191" s="162"/>
      <c r="D191" s="162"/>
      <c r="E191" s="30"/>
      <c r="F191" s="8"/>
      <c r="G191" s="8"/>
      <c r="H191" s="168"/>
      <c r="I191" s="178"/>
      <c r="J191" s="10"/>
      <c r="K191" s="145"/>
      <c r="Q191" s="1190">
        <v>43586.403888888657</v>
      </c>
      <c r="R191" s="1190" t="s">
        <v>5037</v>
      </c>
      <c r="S191" s="1190"/>
    </row>
    <row r="192" spans="1:19">
      <c r="A192" s="11"/>
      <c r="B192" s="7"/>
      <c r="C192" s="162"/>
      <c r="D192" s="162"/>
      <c r="E192" s="30"/>
      <c r="F192" s="8"/>
      <c r="G192" s="8"/>
      <c r="H192" s="168"/>
      <c r="I192" s="178"/>
      <c r="J192" s="10"/>
      <c r="K192" s="145"/>
      <c r="Q192" s="1190">
        <v>44228.408090277575</v>
      </c>
      <c r="R192" s="1190" t="s">
        <v>5038</v>
      </c>
      <c r="S192" s="1190"/>
    </row>
    <row r="193" spans="1:21">
      <c r="A193" s="11"/>
      <c r="B193" s="7"/>
      <c r="C193" s="162"/>
      <c r="D193" s="162"/>
      <c r="E193" s="30"/>
      <c r="F193" s="8"/>
      <c r="G193" s="8"/>
      <c r="H193" s="168"/>
      <c r="I193" s="178"/>
      <c r="J193" s="10"/>
      <c r="K193" s="145"/>
      <c r="Q193" s="1190">
        <v>43467.648425925989</v>
      </c>
      <c r="R193" s="1190">
        <v>43554</v>
      </c>
      <c r="S193" s="1190" t="s">
        <v>5040</v>
      </c>
    </row>
    <row r="194" spans="1:21">
      <c r="A194" s="11"/>
      <c r="B194" s="7"/>
      <c r="C194" s="162"/>
      <c r="D194" s="162"/>
      <c r="E194" s="30"/>
      <c r="F194" s="8"/>
      <c r="G194" s="8"/>
      <c r="H194" s="168"/>
      <c r="I194" s="178"/>
      <c r="J194" s="10"/>
      <c r="K194" s="145"/>
      <c r="Q194" s="1190">
        <v>44256</v>
      </c>
      <c r="R194" s="1190">
        <v>44438</v>
      </c>
      <c r="S194" s="1190" t="s">
        <v>5041</v>
      </c>
    </row>
    <row r="195" spans="1:21">
      <c r="A195" s="11"/>
      <c r="B195" s="7"/>
      <c r="C195" s="162"/>
      <c r="D195" s="162"/>
      <c r="E195" s="30"/>
      <c r="F195" s="8"/>
      <c r="G195" s="8"/>
      <c r="H195" s="168"/>
      <c r="I195" s="178"/>
      <c r="J195" s="10"/>
      <c r="K195" s="145"/>
      <c r="Q195" s="1190">
        <v>44986</v>
      </c>
      <c r="R195" s="1190">
        <v>45015</v>
      </c>
      <c r="S195" s="1190" t="s">
        <v>5042</v>
      </c>
    </row>
    <row r="196" spans="1:21">
      <c r="A196" s="11"/>
      <c r="B196" s="7"/>
      <c r="C196" s="162"/>
      <c r="D196" s="162"/>
      <c r="E196" s="30"/>
      <c r="F196" s="8"/>
      <c r="G196" s="8"/>
      <c r="H196" s="168"/>
      <c r="I196" s="178"/>
      <c r="J196" s="10"/>
      <c r="K196" s="145"/>
    </row>
    <row r="197" spans="1:21">
      <c r="A197" s="11"/>
      <c r="B197" s="7"/>
      <c r="C197" s="162"/>
      <c r="D197" s="162"/>
      <c r="E197" s="30"/>
      <c r="F197" s="8"/>
      <c r="G197" s="8"/>
      <c r="H197" s="168"/>
      <c r="I197" s="178"/>
      <c r="J197" s="10"/>
      <c r="K197" s="145"/>
    </row>
    <row r="198" spans="1:21">
      <c r="A198" s="11"/>
      <c r="B198" s="7"/>
      <c r="C198" s="162"/>
      <c r="D198" s="162"/>
      <c r="E198" s="30"/>
      <c r="F198" s="8"/>
      <c r="G198" s="8"/>
      <c r="H198" s="168"/>
      <c r="I198" s="178"/>
      <c r="J198" s="10"/>
      <c r="K198" s="145"/>
    </row>
    <row r="199" spans="1:21">
      <c r="A199" s="11"/>
      <c r="B199" s="7"/>
      <c r="C199" s="162"/>
      <c r="D199" s="162"/>
      <c r="E199" s="30"/>
      <c r="F199" s="8"/>
      <c r="G199" s="8"/>
      <c r="H199" s="168"/>
      <c r="I199" s="178"/>
      <c r="J199" s="10"/>
      <c r="K199" s="145"/>
    </row>
    <row r="200" spans="1:21">
      <c r="A200" s="11"/>
      <c r="B200" s="7"/>
      <c r="C200" s="162"/>
      <c r="D200" s="162"/>
      <c r="E200" s="30"/>
      <c r="F200" s="8"/>
      <c r="G200" s="8"/>
      <c r="H200" s="168"/>
      <c r="I200" s="178"/>
      <c r="J200" s="10"/>
      <c r="K200" s="145"/>
      <c r="Q200" s="1247">
        <v>900</v>
      </c>
      <c r="R200" s="1246">
        <v>42660</v>
      </c>
    </row>
    <row r="201" spans="1:21">
      <c r="A201" s="11"/>
      <c r="B201" s="7"/>
      <c r="C201" s="162"/>
      <c r="D201" s="162"/>
      <c r="E201" s="30"/>
      <c r="F201" s="8"/>
      <c r="G201" s="8"/>
      <c r="H201" s="168"/>
      <c r="I201" s="178"/>
      <c r="J201" s="10"/>
      <c r="K201" s="145"/>
      <c r="Q201" s="1247"/>
      <c r="R201" s="1246"/>
      <c r="T201" s="1248">
        <v>44440</v>
      </c>
      <c r="U201" s="44">
        <v>44499</v>
      </c>
    </row>
    <row r="202" spans="1:21">
      <c r="A202" s="11"/>
      <c r="B202" s="7"/>
      <c r="C202" s="162"/>
      <c r="D202" s="162"/>
      <c r="E202" s="30"/>
      <c r="F202" s="8"/>
      <c r="G202" s="8"/>
      <c r="H202" s="168"/>
      <c r="I202" s="178"/>
      <c r="J202" s="10"/>
      <c r="K202" s="145"/>
      <c r="Q202" s="1247">
        <v>2500</v>
      </c>
      <c r="R202" s="1246">
        <v>43179</v>
      </c>
    </row>
    <row r="203" spans="1:21">
      <c r="A203" s="11"/>
      <c r="B203" s="7"/>
      <c r="C203" s="162"/>
      <c r="D203" s="162"/>
      <c r="E203" s="30"/>
      <c r="F203" s="8"/>
      <c r="G203" s="8"/>
      <c r="H203" s="168"/>
      <c r="I203" s="178"/>
      <c r="J203" s="10"/>
      <c r="K203" s="145"/>
      <c r="Q203" s="1247">
        <v>2500</v>
      </c>
      <c r="R203" s="1246">
        <v>43676</v>
      </c>
    </row>
    <row r="204" spans="1:21">
      <c r="A204" s="11"/>
      <c r="B204" s="7"/>
      <c r="C204" s="162"/>
      <c r="D204" s="162"/>
      <c r="E204" s="30"/>
      <c r="F204" s="8"/>
      <c r="G204" s="8"/>
      <c r="H204" s="168"/>
      <c r="I204" s="178"/>
      <c r="J204" s="10"/>
      <c r="K204" s="145"/>
      <c r="Q204" s="1247">
        <v>2500</v>
      </c>
      <c r="R204" s="1246">
        <v>44620</v>
      </c>
    </row>
    <row r="205" spans="1:21">
      <c r="A205" s="11"/>
      <c r="B205" s="7"/>
      <c r="C205" s="162"/>
      <c r="D205" s="162"/>
      <c r="E205" s="30"/>
      <c r="F205" s="8"/>
      <c r="G205" s="8"/>
      <c r="H205" s="168"/>
      <c r="I205" s="178"/>
      <c r="J205" s="10"/>
      <c r="K205" s="145"/>
      <c r="Q205" s="1247">
        <v>2500</v>
      </c>
      <c r="R205" s="1246">
        <v>44620</v>
      </c>
    </row>
    <row r="206" spans="1:21">
      <c r="A206" s="11"/>
      <c r="B206" s="7"/>
      <c r="C206" s="162"/>
      <c r="D206" s="162"/>
      <c r="E206" s="30"/>
      <c r="F206" s="8"/>
      <c r="G206" s="8"/>
      <c r="H206" s="168"/>
      <c r="I206" s="178"/>
      <c r="J206" s="10"/>
      <c r="K206" s="145"/>
    </row>
    <row r="207" spans="1:21">
      <c r="A207" s="11"/>
      <c r="B207" s="7"/>
      <c r="C207" s="162"/>
      <c r="D207" s="162"/>
      <c r="E207" s="30"/>
      <c r="F207" s="8"/>
      <c r="G207" s="8"/>
      <c r="H207" s="168"/>
      <c r="I207" s="178"/>
      <c r="J207" s="10"/>
      <c r="K207" s="145"/>
    </row>
    <row r="208" spans="1:21">
      <c r="A208" s="11"/>
      <c r="B208" s="7"/>
      <c r="C208" s="162"/>
      <c r="D208" s="162"/>
      <c r="E208" s="30"/>
      <c r="F208" s="8"/>
      <c r="G208" s="8"/>
      <c r="H208" s="168"/>
      <c r="I208" s="178"/>
      <c r="J208" s="10"/>
      <c r="K208" s="145"/>
      <c r="Q208" s="1242">
        <v>43623</v>
      </c>
    </row>
    <row r="209" spans="1:20">
      <c r="A209" s="11"/>
      <c r="B209" s="7"/>
      <c r="C209" s="162"/>
      <c r="D209" s="162"/>
      <c r="E209" s="30"/>
      <c r="F209" s="8"/>
      <c r="G209" s="8"/>
      <c r="H209" s="168"/>
      <c r="I209" s="178"/>
      <c r="J209" s="10"/>
      <c r="K209" s="145"/>
    </row>
    <row r="210" spans="1:20">
      <c r="A210" s="11"/>
      <c r="B210" s="7"/>
      <c r="C210" s="162"/>
      <c r="D210" s="162"/>
      <c r="E210" s="30"/>
      <c r="F210" s="8"/>
      <c r="G210" s="8"/>
      <c r="H210" s="168"/>
      <c r="I210" s="178"/>
      <c r="J210" s="10"/>
      <c r="K210" s="145"/>
    </row>
    <row r="211" spans="1:20">
      <c r="A211" s="11"/>
      <c r="B211" s="7"/>
      <c r="C211" s="162"/>
      <c r="D211" s="162"/>
      <c r="E211" s="30"/>
      <c r="F211" s="8"/>
      <c r="G211" s="8"/>
      <c r="H211" s="168"/>
      <c r="I211" s="178"/>
      <c r="J211" s="10"/>
      <c r="K211" s="145"/>
    </row>
    <row r="212" spans="1:20">
      <c r="A212" s="11"/>
      <c r="B212" s="7"/>
      <c r="C212" s="162"/>
      <c r="D212" s="162"/>
      <c r="E212" s="30"/>
      <c r="F212" s="8"/>
      <c r="G212" s="8"/>
      <c r="H212" s="168"/>
      <c r="I212" s="178"/>
      <c r="J212" s="10"/>
      <c r="K212" s="145"/>
      <c r="S212" s="1247">
        <v>1800</v>
      </c>
      <c r="T212" s="1246">
        <v>42767</v>
      </c>
    </row>
    <row r="213" spans="1:20">
      <c r="A213" s="11"/>
      <c r="B213" s="7"/>
      <c r="C213" s="162"/>
      <c r="D213" s="162"/>
      <c r="E213" s="30"/>
      <c r="F213" s="8"/>
      <c r="G213" s="8"/>
      <c r="H213" s="168"/>
      <c r="I213" s="178"/>
      <c r="J213" s="10"/>
      <c r="K213" s="145"/>
      <c r="S213" s="1247">
        <v>2000</v>
      </c>
      <c r="T213" s="1246">
        <v>43766</v>
      </c>
    </row>
    <row r="214" spans="1:20">
      <c r="A214" s="11"/>
      <c r="B214" s="7"/>
      <c r="C214" s="162"/>
      <c r="D214" s="162"/>
      <c r="E214" s="30"/>
      <c r="F214" s="8"/>
      <c r="G214" s="8"/>
      <c r="H214" s="168"/>
      <c r="I214" s="178"/>
      <c r="J214" s="10"/>
      <c r="K214" s="145"/>
    </row>
    <row r="215" spans="1:20">
      <c r="A215" s="11"/>
      <c r="B215" s="7"/>
      <c r="C215" s="162"/>
      <c r="D215" s="162"/>
      <c r="E215" s="30"/>
      <c r="F215" s="8"/>
      <c r="G215" s="8"/>
      <c r="H215" s="168"/>
      <c r="I215" s="178"/>
      <c r="J215" s="10"/>
      <c r="K215" s="145"/>
    </row>
    <row r="216" spans="1:20">
      <c r="A216" s="11"/>
      <c r="B216" s="7"/>
      <c r="C216" s="162"/>
      <c r="D216" s="162"/>
      <c r="E216" s="30"/>
      <c r="F216" s="8"/>
      <c r="G216" s="8"/>
      <c r="H216" s="168"/>
      <c r="I216" s="178"/>
      <c r="J216" s="10"/>
      <c r="K216" s="145"/>
    </row>
    <row r="217" spans="1:20">
      <c r="A217" s="11"/>
      <c r="B217" s="7"/>
      <c r="C217" s="162"/>
      <c r="D217" s="162"/>
      <c r="E217" s="30"/>
      <c r="F217" s="8"/>
      <c r="G217" s="8"/>
      <c r="H217" s="168"/>
      <c r="I217" s="178"/>
      <c r="J217" s="10"/>
      <c r="K217" s="145"/>
    </row>
    <row r="218" spans="1:20">
      <c r="A218" s="11"/>
      <c r="B218" s="7"/>
      <c r="C218" s="162"/>
      <c r="D218" s="162"/>
      <c r="E218" s="30"/>
      <c r="F218" s="8"/>
      <c r="G218" s="8"/>
      <c r="H218" s="168"/>
      <c r="I218" s="178"/>
      <c r="J218" s="10"/>
      <c r="K218" s="145"/>
    </row>
    <row r="219" spans="1:20">
      <c r="A219" s="11"/>
      <c r="B219" s="7"/>
      <c r="C219" s="162"/>
      <c r="D219" s="162"/>
      <c r="E219" s="30"/>
      <c r="F219" s="8"/>
      <c r="G219" s="8"/>
      <c r="H219" s="168"/>
      <c r="I219" s="178"/>
      <c r="J219" s="10"/>
      <c r="K219" s="145"/>
    </row>
    <row r="220" spans="1:20">
      <c r="A220" s="11"/>
      <c r="B220" s="7"/>
      <c r="C220" s="162"/>
      <c r="D220" s="162"/>
      <c r="E220" s="30"/>
      <c r="F220" s="8"/>
      <c r="G220" s="8"/>
      <c r="H220" s="168"/>
      <c r="I220" s="178"/>
      <c r="J220" s="10"/>
      <c r="K220" s="145"/>
    </row>
    <row r="221" spans="1:20">
      <c r="A221" s="11"/>
      <c r="B221" s="7"/>
      <c r="C221" s="162"/>
      <c r="D221" s="162"/>
      <c r="E221" s="30"/>
      <c r="F221" s="8"/>
      <c r="G221" s="8"/>
      <c r="H221" s="168"/>
      <c r="I221" s="178"/>
      <c r="J221" s="10"/>
      <c r="K221" s="145"/>
    </row>
    <row r="222" spans="1:20">
      <c r="A222" s="11"/>
      <c r="B222" s="7"/>
      <c r="C222" s="162"/>
      <c r="D222" s="162"/>
      <c r="E222" s="30"/>
      <c r="F222" s="8"/>
      <c r="G222" s="8"/>
      <c r="H222" s="168"/>
      <c r="I222" s="178"/>
      <c r="J222" s="10"/>
      <c r="K222" s="145"/>
    </row>
    <row r="223" spans="1:20">
      <c r="A223" s="11"/>
      <c r="B223" s="7"/>
      <c r="C223" s="162"/>
      <c r="D223" s="162"/>
      <c r="E223" s="30"/>
      <c r="F223" s="8"/>
      <c r="G223" s="8"/>
      <c r="H223" s="168"/>
      <c r="I223" s="178"/>
      <c r="J223" s="10"/>
      <c r="K223" s="145"/>
    </row>
    <row r="224" spans="1:20">
      <c r="A224" s="11"/>
      <c r="B224" s="7"/>
      <c r="C224" s="162"/>
      <c r="D224" s="162"/>
      <c r="E224" s="30"/>
      <c r="F224" s="8"/>
      <c r="G224" s="8"/>
      <c r="H224" s="168"/>
      <c r="I224" s="178"/>
      <c r="J224" s="10"/>
      <c r="K224" s="145"/>
    </row>
    <row r="225" spans="1:11">
      <c r="A225" s="11"/>
      <c r="B225" s="7"/>
      <c r="C225" s="162"/>
      <c r="D225" s="162"/>
      <c r="E225" s="30"/>
      <c r="F225" s="8"/>
      <c r="G225" s="8"/>
      <c r="H225" s="168"/>
      <c r="I225" s="178"/>
      <c r="J225" s="10"/>
      <c r="K225" s="145"/>
    </row>
    <row r="226" spans="1:11">
      <c r="A226" s="11"/>
      <c r="B226" s="7"/>
      <c r="C226" s="162"/>
      <c r="D226" s="162"/>
      <c r="E226" s="30"/>
      <c r="F226" s="8"/>
      <c r="G226" s="8"/>
      <c r="H226" s="168"/>
      <c r="I226" s="178"/>
      <c r="J226" s="10"/>
      <c r="K226" s="145"/>
    </row>
    <row r="227" spans="1:11">
      <c r="A227" s="11"/>
      <c r="B227" s="7"/>
      <c r="C227" s="162"/>
      <c r="D227" s="162"/>
      <c r="E227" s="30"/>
      <c r="F227" s="8"/>
      <c r="G227" s="8"/>
      <c r="H227" s="168"/>
      <c r="I227" s="178"/>
      <c r="J227" s="10"/>
      <c r="K227" s="145"/>
    </row>
    <row r="228" spans="1:11">
      <c r="A228" s="11"/>
      <c r="B228" s="7"/>
      <c r="C228" s="162"/>
      <c r="D228" s="162"/>
      <c r="E228" s="30"/>
      <c r="F228" s="8"/>
      <c r="G228" s="8"/>
      <c r="H228" s="168"/>
      <c r="I228" s="178"/>
      <c r="J228" s="10"/>
      <c r="K228" s="145"/>
    </row>
    <row r="229" spans="1:11">
      <c r="A229" s="11"/>
      <c r="B229" s="7"/>
      <c r="C229" s="162"/>
      <c r="D229" s="162"/>
      <c r="E229" s="30"/>
      <c r="F229" s="8"/>
      <c r="G229" s="8"/>
      <c r="H229" s="168"/>
      <c r="I229" s="178"/>
      <c r="J229" s="10"/>
      <c r="K229" s="145"/>
    </row>
    <row r="230" spans="1:11">
      <c r="A230" s="11"/>
      <c r="B230" s="7"/>
      <c r="C230" s="162"/>
      <c r="D230" s="162"/>
      <c r="E230" s="30"/>
      <c r="F230" s="8"/>
      <c r="G230" s="8"/>
      <c r="H230" s="168"/>
      <c r="I230" s="178"/>
      <c r="J230" s="10"/>
      <c r="K230" s="145"/>
    </row>
    <row r="231" spans="1:11">
      <c r="A231" s="11"/>
      <c r="B231" s="7"/>
      <c r="C231" s="162"/>
      <c r="D231" s="162"/>
      <c r="E231" s="30"/>
      <c r="F231" s="8"/>
      <c r="G231" s="8"/>
      <c r="H231" s="168"/>
      <c r="I231" s="178"/>
      <c r="J231" s="10"/>
      <c r="K231" s="145"/>
    </row>
    <row r="232" spans="1:11">
      <c r="A232" s="11"/>
      <c r="B232" s="7"/>
      <c r="C232" s="162"/>
      <c r="D232" s="162"/>
      <c r="E232" s="30"/>
      <c r="F232" s="8"/>
      <c r="G232" s="8"/>
      <c r="H232" s="168"/>
      <c r="I232" s="178"/>
      <c r="J232" s="10"/>
      <c r="K232" s="145"/>
    </row>
    <row r="233" spans="1:11">
      <c r="A233" s="11"/>
      <c r="B233" s="7"/>
      <c r="C233" s="162"/>
      <c r="D233" s="162"/>
      <c r="E233" s="30"/>
      <c r="F233" s="8"/>
      <c r="G233" s="8"/>
      <c r="H233" s="168"/>
      <c r="I233" s="178"/>
      <c r="J233" s="10"/>
      <c r="K233" s="145"/>
    </row>
    <row r="234" spans="1:11">
      <c r="A234" s="11"/>
      <c r="B234" s="7"/>
      <c r="C234" s="162"/>
      <c r="D234" s="162"/>
      <c r="E234" s="30"/>
      <c r="F234" s="8"/>
      <c r="G234" s="8"/>
      <c r="H234" s="168"/>
      <c r="I234" s="178"/>
      <c r="J234" s="10"/>
      <c r="K234" s="145"/>
    </row>
    <row r="235" spans="1:11">
      <c r="A235" s="11"/>
      <c r="B235" s="7"/>
      <c r="C235" s="162"/>
      <c r="D235" s="162"/>
      <c r="E235" s="30"/>
      <c r="F235" s="8"/>
      <c r="G235" s="8"/>
      <c r="H235" s="168"/>
      <c r="I235" s="178"/>
      <c r="J235" s="10"/>
      <c r="K235" s="145"/>
    </row>
    <row r="236" spans="1:11">
      <c r="A236" s="11"/>
      <c r="B236" s="7"/>
      <c r="C236" s="162"/>
      <c r="D236" s="162"/>
      <c r="E236" s="30"/>
      <c r="F236" s="8"/>
      <c r="G236" s="8"/>
      <c r="H236" s="168"/>
      <c r="I236" s="178"/>
      <c r="J236" s="10"/>
      <c r="K236" s="145"/>
    </row>
    <row r="237" spans="1:11">
      <c r="A237" s="11"/>
      <c r="B237" s="7"/>
      <c r="C237" s="162"/>
      <c r="D237" s="162"/>
      <c r="E237" s="30"/>
      <c r="F237" s="8"/>
      <c r="G237" s="8"/>
      <c r="H237" s="168"/>
      <c r="I237" s="178"/>
      <c r="J237" s="10"/>
      <c r="K237" s="145"/>
    </row>
    <row r="238" spans="1:11">
      <c r="A238" s="11"/>
      <c r="B238" s="7"/>
      <c r="C238" s="162"/>
      <c r="D238" s="162"/>
      <c r="E238" s="30"/>
      <c r="F238" s="8"/>
      <c r="G238" s="8"/>
      <c r="H238" s="168"/>
      <c r="I238" s="178"/>
      <c r="J238" s="10"/>
      <c r="K238" s="145"/>
    </row>
    <row r="239" spans="1:11">
      <c r="A239" s="11"/>
      <c r="B239" s="7"/>
      <c r="C239" s="162"/>
      <c r="D239" s="162"/>
      <c r="E239" s="30"/>
      <c r="F239" s="8"/>
      <c r="G239" s="8"/>
      <c r="H239" s="168"/>
      <c r="I239" s="178"/>
      <c r="J239" s="10"/>
      <c r="K239" s="145"/>
    </row>
    <row r="240" spans="1:11">
      <c r="A240" s="11"/>
      <c r="B240" s="7"/>
      <c r="C240" s="162"/>
      <c r="D240" s="162"/>
      <c r="E240" s="30"/>
      <c r="F240" s="8"/>
      <c r="G240" s="8"/>
      <c r="H240" s="168"/>
      <c r="I240" s="178"/>
      <c r="J240" s="10"/>
      <c r="K240" s="145"/>
    </row>
    <row r="241" spans="1:11">
      <c r="A241" s="11"/>
      <c r="B241" s="7"/>
      <c r="C241" s="162"/>
      <c r="D241" s="162"/>
      <c r="E241" s="30"/>
      <c r="F241" s="8"/>
      <c r="G241" s="8"/>
      <c r="H241" s="168"/>
      <c r="I241" s="178"/>
      <c r="J241" s="10"/>
      <c r="K241" s="145"/>
    </row>
    <row r="242" spans="1:11">
      <c r="A242" s="11"/>
      <c r="B242" s="7"/>
      <c r="C242" s="162"/>
      <c r="D242" s="162"/>
      <c r="E242" s="30"/>
      <c r="F242" s="8"/>
      <c r="G242" s="8"/>
      <c r="H242" s="168"/>
      <c r="I242" s="178"/>
      <c r="J242" s="10"/>
      <c r="K242" s="145"/>
    </row>
    <row r="243" spans="1:11">
      <c r="A243" s="11"/>
      <c r="B243" s="7"/>
      <c r="C243" s="162"/>
      <c r="D243" s="162"/>
      <c r="E243" s="30"/>
      <c r="F243" s="8"/>
      <c r="G243" s="8"/>
      <c r="H243" s="168"/>
      <c r="I243" s="178"/>
      <c r="J243" s="10"/>
      <c r="K243" s="145"/>
    </row>
    <row r="244" spans="1:11">
      <c r="A244" s="11"/>
      <c r="B244" s="7"/>
      <c r="C244" s="162"/>
      <c r="D244" s="162"/>
      <c r="E244" s="30"/>
      <c r="F244" s="8"/>
      <c r="G244" s="8"/>
      <c r="H244" s="168"/>
      <c r="I244" s="178"/>
      <c r="J244" s="10"/>
      <c r="K244" s="145"/>
    </row>
    <row r="245" spans="1:11">
      <c r="A245" s="11"/>
      <c r="B245" s="7"/>
      <c r="C245" s="162"/>
      <c r="D245" s="162"/>
      <c r="E245" s="30"/>
      <c r="F245" s="8"/>
      <c r="G245" s="8"/>
      <c r="H245" s="168"/>
      <c r="I245" s="178"/>
      <c r="J245" s="10"/>
      <c r="K245" s="145"/>
    </row>
    <row r="246" spans="1:11">
      <c r="A246" s="11"/>
      <c r="B246" s="7"/>
      <c r="C246" s="162"/>
      <c r="D246" s="162"/>
      <c r="E246" s="30"/>
      <c r="F246" s="8"/>
      <c r="G246" s="8"/>
      <c r="H246" s="168"/>
      <c r="I246" s="178"/>
      <c r="J246" s="10"/>
      <c r="K246" s="145"/>
    </row>
    <row r="247" spans="1:11">
      <c r="A247" s="11"/>
      <c r="B247" s="7"/>
      <c r="C247" s="162"/>
      <c r="D247" s="162"/>
      <c r="E247" s="30"/>
      <c r="F247" s="8"/>
      <c r="G247" s="8"/>
      <c r="H247" s="168"/>
      <c r="I247" s="178"/>
      <c r="J247" s="10"/>
      <c r="K247" s="145"/>
    </row>
    <row r="248" spans="1:11">
      <c r="A248" s="11"/>
      <c r="B248" s="7"/>
      <c r="C248" s="162"/>
      <c r="D248" s="162"/>
      <c r="E248" s="30"/>
      <c r="F248" s="8"/>
      <c r="G248" s="8"/>
      <c r="H248" s="168"/>
      <c r="I248" s="178"/>
      <c r="J248" s="10"/>
      <c r="K248" s="145"/>
    </row>
    <row r="249" spans="1:11">
      <c r="A249" s="11"/>
      <c r="B249" s="7"/>
      <c r="C249" s="162"/>
      <c r="D249" s="162"/>
      <c r="E249" s="30"/>
      <c r="F249" s="8"/>
      <c r="G249" s="8"/>
      <c r="H249" s="168"/>
      <c r="I249" s="178"/>
      <c r="J249" s="10"/>
      <c r="K249" s="145"/>
    </row>
    <row r="250" spans="1:11">
      <c r="A250" s="11"/>
      <c r="B250" s="7"/>
      <c r="C250" s="162"/>
      <c r="D250" s="162"/>
      <c r="E250" s="30"/>
      <c r="F250" s="8"/>
      <c r="G250" s="8"/>
      <c r="H250" s="168"/>
      <c r="I250" s="178"/>
      <c r="J250" s="10"/>
      <c r="K250" s="145"/>
    </row>
    <row r="251" spans="1:11">
      <c r="A251" s="11"/>
      <c r="B251" s="7"/>
      <c r="C251" s="162"/>
      <c r="D251" s="162"/>
      <c r="E251" s="30"/>
      <c r="F251" s="8"/>
      <c r="G251" s="8"/>
      <c r="H251" s="168"/>
      <c r="I251" s="178"/>
      <c r="J251" s="10"/>
      <c r="K251" s="145"/>
    </row>
    <row r="252" spans="1:11">
      <c r="A252" s="11"/>
      <c r="B252" s="7"/>
      <c r="C252" s="162"/>
      <c r="D252" s="162"/>
      <c r="E252" s="30"/>
      <c r="F252" s="8"/>
      <c r="G252" s="8"/>
      <c r="H252" s="168"/>
      <c r="I252" s="178"/>
      <c r="J252" s="10"/>
      <c r="K252" s="145"/>
    </row>
    <row r="253" spans="1:11">
      <c r="A253" s="11"/>
      <c r="B253" s="7"/>
      <c r="C253" s="162"/>
      <c r="D253" s="162"/>
      <c r="E253" s="30"/>
      <c r="F253" s="8"/>
      <c r="G253" s="8"/>
      <c r="H253" s="168"/>
      <c r="I253" s="178"/>
      <c r="J253" s="10"/>
      <c r="K253" s="145"/>
    </row>
    <row r="254" spans="1:11">
      <c r="A254" s="11"/>
      <c r="B254" s="7"/>
      <c r="C254" s="162"/>
      <c r="D254" s="162"/>
      <c r="E254" s="30"/>
      <c r="F254" s="8"/>
      <c r="G254" s="8"/>
      <c r="H254" s="168"/>
      <c r="I254" s="178"/>
      <c r="J254" s="10"/>
      <c r="K254" s="145"/>
    </row>
    <row r="255" spans="1:11">
      <c r="A255" s="11"/>
      <c r="B255" s="7"/>
      <c r="C255" s="162"/>
      <c r="D255" s="162"/>
      <c r="E255" s="30"/>
      <c r="F255" s="8"/>
      <c r="G255" s="8"/>
      <c r="H255" s="168"/>
      <c r="I255" s="178"/>
      <c r="J255" s="10"/>
      <c r="K255" s="145"/>
    </row>
    <row r="256" spans="1:11">
      <c r="A256" s="11"/>
      <c r="B256" s="7"/>
      <c r="C256" s="162"/>
      <c r="D256" s="162"/>
      <c r="E256" s="30"/>
      <c r="F256" s="8"/>
      <c r="G256" s="8"/>
      <c r="H256" s="168"/>
      <c r="I256" s="178"/>
      <c r="J256" s="10"/>
      <c r="K256" s="145"/>
    </row>
    <row r="257" spans="1:11">
      <c r="A257" s="11"/>
      <c r="B257" s="7"/>
      <c r="C257" s="162"/>
      <c r="D257" s="162"/>
      <c r="E257" s="30"/>
      <c r="F257" s="8"/>
      <c r="G257" s="8"/>
      <c r="H257" s="168"/>
      <c r="I257" s="178"/>
      <c r="J257" s="10"/>
      <c r="K257" s="145"/>
    </row>
    <row r="258" spans="1:11">
      <c r="A258" s="11"/>
      <c r="B258" s="7"/>
      <c r="C258" s="162"/>
      <c r="D258" s="162"/>
      <c r="E258" s="30"/>
      <c r="F258" s="8"/>
      <c r="G258" s="8"/>
      <c r="H258" s="168"/>
      <c r="I258" s="178"/>
      <c r="J258" s="10"/>
      <c r="K258" s="145"/>
    </row>
    <row r="259" spans="1:11">
      <c r="A259" s="11"/>
      <c r="B259" s="7"/>
      <c r="C259" s="162"/>
      <c r="D259" s="162"/>
      <c r="E259" s="30"/>
      <c r="F259" s="8"/>
      <c r="G259" s="8"/>
      <c r="H259" s="168"/>
      <c r="I259" s="178"/>
      <c r="J259" s="10"/>
      <c r="K259" s="145"/>
    </row>
    <row r="260" spans="1:11">
      <c r="A260" s="11"/>
      <c r="B260" s="7"/>
      <c r="C260" s="162"/>
      <c r="D260" s="162"/>
      <c r="E260" s="30"/>
      <c r="F260" s="8"/>
      <c r="G260" s="8"/>
      <c r="H260" s="168"/>
      <c r="I260" s="178"/>
      <c r="J260" s="10"/>
      <c r="K260" s="145"/>
    </row>
    <row r="261" spans="1:11">
      <c r="A261" s="11"/>
      <c r="B261" s="7"/>
      <c r="C261" s="162"/>
      <c r="D261" s="162"/>
      <c r="E261" s="30"/>
      <c r="F261" s="8"/>
      <c r="G261" s="8"/>
      <c r="H261" s="168"/>
      <c r="I261" s="178"/>
      <c r="J261" s="10"/>
      <c r="K261" s="145"/>
    </row>
    <row r="262" spans="1:11">
      <c r="A262" s="11"/>
      <c r="B262" s="7"/>
      <c r="C262" s="162"/>
      <c r="D262" s="162"/>
      <c r="E262" s="30"/>
      <c r="F262" s="8"/>
      <c r="G262" s="8"/>
      <c r="H262" s="168"/>
      <c r="I262" s="178"/>
      <c r="J262" s="10"/>
      <c r="K262" s="145"/>
    </row>
    <row r="263" spans="1:11">
      <c r="A263" s="11"/>
      <c r="B263" s="7"/>
      <c r="C263" s="162"/>
      <c r="D263" s="162"/>
      <c r="E263" s="30"/>
      <c r="F263" s="8"/>
      <c r="G263" s="8"/>
      <c r="H263" s="168"/>
      <c r="I263" s="178"/>
      <c r="J263" s="10"/>
      <c r="K263" s="145"/>
    </row>
    <row r="264" spans="1:11">
      <c r="A264" s="11"/>
      <c r="B264" s="7"/>
      <c r="C264" s="162"/>
      <c r="D264" s="162"/>
      <c r="E264" s="30"/>
      <c r="F264" s="8"/>
      <c r="G264" s="8"/>
      <c r="H264" s="168"/>
      <c r="I264" s="178"/>
      <c r="J264" s="10"/>
      <c r="K264" s="145"/>
    </row>
    <row r="265" spans="1:11">
      <c r="A265" s="11"/>
      <c r="B265" s="7"/>
      <c r="C265" s="162"/>
      <c r="D265" s="162"/>
      <c r="E265" s="30"/>
      <c r="F265" s="8"/>
      <c r="G265" s="8"/>
      <c r="H265" s="168"/>
      <c r="I265" s="178"/>
      <c r="J265" s="10"/>
      <c r="K265" s="145"/>
    </row>
    <row r="266" spans="1:11">
      <c r="A266" s="11"/>
      <c r="B266" s="7"/>
      <c r="C266" s="162"/>
      <c r="D266" s="162"/>
      <c r="E266" s="30"/>
      <c r="F266" s="8"/>
      <c r="G266" s="8"/>
      <c r="H266" s="168"/>
      <c r="I266" s="178"/>
      <c r="J266" s="10"/>
      <c r="K266" s="145"/>
    </row>
    <row r="267" spans="1:11">
      <c r="A267" s="11"/>
      <c r="B267" s="7"/>
      <c r="C267" s="162"/>
      <c r="D267" s="162"/>
      <c r="E267" s="30"/>
      <c r="F267" s="8"/>
      <c r="G267" s="8"/>
      <c r="H267" s="168"/>
      <c r="I267" s="178"/>
      <c r="J267" s="10"/>
      <c r="K267" s="145"/>
    </row>
    <row r="268" spans="1:11">
      <c r="A268" s="11"/>
      <c r="B268" s="7"/>
      <c r="C268" s="162"/>
      <c r="D268" s="162"/>
      <c r="E268" s="30"/>
      <c r="F268" s="8"/>
      <c r="G268" s="8"/>
      <c r="H268" s="168"/>
      <c r="I268" s="178"/>
      <c r="J268" s="10"/>
      <c r="K268" s="145"/>
    </row>
    <row r="269" spans="1:11">
      <c r="A269" s="11"/>
      <c r="B269" s="7"/>
      <c r="C269" s="162"/>
      <c r="D269" s="162"/>
      <c r="E269" s="30"/>
      <c r="F269" s="8"/>
      <c r="G269" s="8"/>
      <c r="H269" s="168"/>
      <c r="I269" s="178"/>
      <c r="J269" s="10"/>
      <c r="K269" s="145"/>
    </row>
    <row r="270" spans="1:11">
      <c r="A270" s="11"/>
      <c r="B270" s="7"/>
      <c r="C270" s="162"/>
      <c r="D270" s="162"/>
      <c r="E270" s="30"/>
      <c r="F270" s="8"/>
      <c r="G270" s="8"/>
      <c r="H270" s="168"/>
      <c r="I270" s="178"/>
      <c r="J270" s="10"/>
      <c r="K270" s="145"/>
    </row>
    <row r="271" spans="1:11">
      <c r="A271" s="11"/>
      <c r="B271" s="7"/>
      <c r="C271" s="162"/>
      <c r="D271" s="162"/>
      <c r="E271" s="30"/>
      <c r="F271" s="8"/>
      <c r="G271" s="8"/>
      <c r="H271" s="168"/>
      <c r="I271" s="178"/>
      <c r="J271" s="10"/>
      <c r="K271" s="145"/>
    </row>
    <row r="272" spans="1:11">
      <c r="A272" s="11"/>
      <c r="B272" s="7"/>
      <c r="C272" s="162"/>
      <c r="D272" s="162"/>
      <c r="E272" s="30"/>
      <c r="F272" s="8"/>
      <c r="G272" s="8"/>
      <c r="H272" s="168"/>
      <c r="I272" s="178"/>
      <c r="J272" s="10"/>
      <c r="K272" s="145"/>
    </row>
    <row r="273" spans="1:11">
      <c r="A273" s="11"/>
      <c r="B273" s="7"/>
      <c r="C273" s="162"/>
      <c r="D273" s="162"/>
      <c r="E273" s="30"/>
      <c r="F273" s="8"/>
      <c r="G273" s="8"/>
      <c r="H273" s="168"/>
      <c r="I273" s="178"/>
      <c r="J273" s="10"/>
      <c r="K273" s="145"/>
    </row>
    <row r="274" spans="1:11">
      <c r="A274" s="11"/>
      <c r="B274" s="7"/>
      <c r="C274" s="162"/>
      <c r="D274" s="162"/>
      <c r="E274" s="30"/>
      <c r="F274" s="8"/>
      <c r="G274" s="8"/>
      <c r="H274" s="168"/>
      <c r="I274" s="178"/>
      <c r="J274" s="10"/>
      <c r="K274" s="145"/>
    </row>
    <row r="275" spans="1:11">
      <c r="A275" s="11"/>
      <c r="B275" s="7"/>
      <c r="C275" s="162"/>
      <c r="D275" s="162"/>
      <c r="E275" s="30"/>
      <c r="F275" s="8"/>
      <c r="G275" s="8"/>
      <c r="H275" s="168"/>
      <c r="I275" s="178"/>
      <c r="J275" s="10"/>
      <c r="K275" s="145"/>
    </row>
    <row r="276" spans="1:11">
      <c r="A276" s="11"/>
      <c r="B276" s="7"/>
      <c r="C276" s="162"/>
      <c r="D276" s="162"/>
      <c r="E276" s="30"/>
      <c r="F276" s="8"/>
      <c r="G276" s="8"/>
      <c r="H276" s="168"/>
      <c r="I276" s="178"/>
      <c r="J276" s="10"/>
      <c r="K276" s="145"/>
    </row>
    <row r="277" spans="1:11">
      <c r="A277" s="11"/>
      <c r="B277" s="7"/>
      <c r="C277" s="162"/>
      <c r="D277" s="162"/>
      <c r="E277" s="30"/>
      <c r="F277" s="8"/>
      <c r="G277" s="8"/>
      <c r="H277" s="168"/>
      <c r="I277" s="178"/>
      <c r="J277" s="10"/>
      <c r="K277" s="145"/>
    </row>
    <row r="278" spans="1:11">
      <c r="A278" s="11"/>
      <c r="B278" s="7"/>
      <c r="C278" s="162"/>
      <c r="D278" s="162"/>
      <c r="E278" s="30"/>
      <c r="F278" s="8"/>
      <c r="G278" s="8"/>
      <c r="H278" s="168"/>
      <c r="I278" s="178"/>
      <c r="J278" s="10"/>
      <c r="K278" s="145"/>
    </row>
    <row r="279" spans="1:11">
      <c r="A279" s="11"/>
      <c r="B279" s="7"/>
      <c r="C279" s="162"/>
      <c r="D279" s="162"/>
      <c r="E279" s="30"/>
      <c r="F279" s="8"/>
      <c r="G279" s="8"/>
      <c r="H279" s="168"/>
      <c r="I279" s="178"/>
      <c r="J279" s="10"/>
      <c r="K279" s="145"/>
    </row>
    <row r="280" spans="1:11">
      <c r="A280" s="11"/>
      <c r="B280" s="7"/>
      <c r="C280" s="162"/>
      <c r="D280" s="162"/>
      <c r="E280" s="30"/>
      <c r="F280" s="8"/>
      <c r="G280" s="8"/>
      <c r="H280" s="168"/>
      <c r="I280" s="178"/>
      <c r="J280" s="10"/>
      <c r="K280" s="145"/>
    </row>
    <row r="281" spans="1:11">
      <c r="A281" s="11"/>
      <c r="B281" s="7"/>
      <c r="C281" s="162"/>
      <c r="D281" s="162"/>
      <c r="E281" s="30"/>
      <c r="F281" s="8"/>
      <c r="G281" s="8"/>
      <c r="H281" s="168"/>
      <c r="I281" s="178"/>
      <c r="J281" s="10"/>
      <c r="K281" s="145"/>
    </row>
    <row r="282" spans="1:11">
      <c r="A282" s="11"/>
      <c r="B282" s="7"/>
      <c r="C282" s="162"/>
      <c r="D282" s="162"/>
      <c r="E282" s="30"/>
      <c r="F282" s="8"/>
      <c r="G282" s="8"/>
      <c r="H282" s="168"/>
      <c r="I282" s="178"/>
      <c r="J282" s="10"/>
      <c r="K282" s="145"/>
    </row>
    <row r="283" spans="1:11">
      <c r="A283" s="11"/>
      <c r="B283" s="7"/>
      <c r="C283" s="162"/>
      <c r="D283" s="162"/>
      <c r="E283" s="30"/>
      <c r="F283" s="8"/>
      <c r="G283" s="8"/>
      <c r="H283" s="168"/>
      <c r="I283" s="178"/>
      <c r="J283" s="10"/>
      <c r="K283" s="145"/>
    </row>
    <row r="284" spans="1:11">
      <c r="A284" s="11"/>
      <c r="B284" s="7"/>
      <c r="C284" s="162"/>
      <c r="D284" s="162"/>
      <c r="E284" s="30"/>
      <c r="F284" s="8"/>
      <c r="G284" s="8"/>
      <c r="H284" s="168"/>
      <c r="I284" s="178"/>
      <c r="J284" s="10"/>
      <c r="K284" s="145"/>
    </row>
    <row r="285" spans="1:11">
      <c r="A285" s="11"/>
      <c r="B285" s="7"/>
      <c r="C285" s="162"/>
      <c r="D285" s="162"/>
      <c r="E285" s="30"/>
      <c r="F285" s="8"/>
      <c r="G285" s="8"/>
      <c r="H285" s="168"/>
      <c r="I285" s="178"/>
      <c r="J285" s="10"/>
      <c r="K285" s="145"/>
    </row>
    <row r="286" spans="1:11">
      <c r="A286" s="11"/>
      <c r="B286" s="7"/>
      <c r="C286" s="162"/>
      <c r="D286" s="162"/>
      <c r="E286" s="30"/>
      <c r="F286" s="8"/>
      <c r="G286" s="8"/>
      <c r="H286" s="168"/>
      <c r="I286" s="178"/>
      <c r="J286" s="10"/>
      <c r="K286" s="145"/>
    </row>
    <row r="287" spans="1:11">
      <c r="A287" s="11"/>
      <c r="B287" s="7"/>
      <c r="C287" s="162"/>
      <c r="D287" s="162"/>
      <c r="E287" s="30"/>
      <c r="F287" s="8"/>
      <c r="G287" s="8"/>
      <c r="H287" s="168"/>
      <c r="I287" s="178"/>
      <c r="J287" s="10"/>
      <c r="K287" s="145"/>
    </row>
    <row r="288" spans="1:11">
      <c r="A288" s="11"/>
      <c r="B288" s="7"/>
      <c r="C288" s="162"/>
      <c r="D288" s="162"/>
      <c r="E288" s="30"/>
      <c r="F288" s="8"/>
      <c r="G288" s="8"/>
      <c r="H288" s="168"/>
      <c r="I288" s="178"/>
      <c r="J288" s="10"/>
      <c r="K288" s="145"/>
    </row>
    <row r="289" spans="1:11">
      <c r="A289" s="11"/>
      <c r="B289" s="7"/>
      <c r="C289" s="162"/>
      <c r="D289" s="162"/>
      <c r="E289" s="30"/>
      <c r="F289" s="8"/>
      <c r="G289" s="8"/>
      <c r="H289" s="168"/>
      <c r="I289" s="178"/>
      <c r="J289" s="10"/>
      <c r="K289" s="145"/>
    </row>
    <row r="290" spans="1:11">
      <c r="A290" s="11"/>
      <c r="B290" s="7"/>
      <c r="C290" s="162"/>
      <c r="D290" s="162"/>
      <c r="E290" s="30"/>
      <c r="F290" s="8"/>
      <c r="G290" s="8"/>
      <c r="H290" s="168"/>
      <c r="I290" s="178"/>
      <c r="J290" s="10"/>
      <c r="K290" s="145"/>
    </row>
    <row r="291" spans="1:11">
      <c r="A291" s="11"/>
      <c r="B291" s="7"/>
      <c r="C291" s="162"/>
      <c r="D291" s="162"/>
      <c r="E291" s="30"/>
      <c r="F291" s="8"/>
      <c r="G291" s="8"/>
      <c r="H291" s="168"/>
      <c r="I291" s="178"/>
      <c r="J291" s="10"/>
      <c r="K291" s="145"/>
    </row>
    <row r="292" spans="1:11">
      <c r="A292" s="11"/>
      <c r="B292" s="7"/>
      <c r="C292" s="162"/>
      <c r="D292" s="162"/>
      <c r="E292" s="30"/>
      <c r="F292" s="8"/>
      <c r="G292" s="8"/>
      <c r="H292" s="168"/>
      <c r="I292" s="178"/>
      <c r="J292" s="10"/>
      <c r="K292" s="145"/>
    </row>
    <row r="293" spans="1:11">
      <c r="A293" s="11"/>
      <c r="B293" s="7"/>
      <c r="C293" s="162"/>
      <c r="D293" s="162"/>
      <c r="E293" s="30"/>
      <c r="F293" s="8"/>
      <c r="G293" s="8"/>
      <c r="H293" s="168"/>
      <c r="I293" s="178"/>
      <c r="J293" s="10"/>
      <c r="K293" s="145"/>
    </row>
    <row r="294" spans="1:11">
      <c r="A294" s="11"/>
      <c r="B294" s="7"/>
      <c r="C294" s="162"/>
      <c r="D294" s="162"/>
      <c r="E294" s="30"/>
      <c r="F294" s="8"/>
      <c r="G294" s="8"/>
      <c r="H294" s="168"/>
      <c r="I294" s="178"/>
      <c r="J294" s="10"/>
      <c r="K294" s="145"/>
    </row>
    <row r="295" spans="1:11">
      <c r="A295" s="11"/>
      <c r="B295" s="7"/>
      <c r="C295" s="162"/>
      <c r="D295" s="162"/>
      <c r="E295" s="30"/>
      <c r="F295" s="8"/>
      <c r="G295" s="8"/>
      <c r="H295" s="168"/>
      <c r="I295" s="178"/>
      <c r="J295" s="10"/>
      <c r="K295" s="145"/>
    </row>
    <row r="296" spans="1:11">
      <c r="A296" s="11"/>
      <c r="B296" s="7"/>
      <c r="C296" s="162"/>
      <c r="D296" s="162"/>
      <c r="E296" s="30"/>
      <c r="F296" s="8"/>
      <c r="G296" s="8"/>
      <c r="H296" s="168"/>
      <c r="I296" s="178"/>
      <c r="J296" s="10"/>
      <c r="K296" s="145"/>
    </row>
    <row r="297" spans="1:11">
      <c r="A297" s="11"/>
      <c r="B297" s="7"/>
      <c r="C297" s="162"/>
      <c r="D297" s="162"/>
      <c r="E297" s="30"/>
      <c r="F297" s="8"/>
      <c r="G297" s="8"/>
      <c r="H297" s="168"/>
      <c r="I297" s="178"/>
      <c r="J297" s="10"/>
      <c r="K297" s="145"/>
    </row>
    <row r="298" spans="1:11">
      <c r="A298" s="11"/>
      <c r="B298" s="7"/>
      <c r="C298" s="162"/>
      <c r="D298" s="162"/>
      <c r="E298" s="30"/>
      <c r="F298" s="8"/>
      <c r="G298" s="8"/>
      <c r="H298" s="168"/>
      <c r="I298" s="178"/>
      <c r="J298" s="10"/>
      <c r="K298" s="145"/>
    </row>
    <row r="299" spans="1:11">
      <c r="A299" s="11"/>
      <c r="B299" s="7"/>
      <c r="C299" s="162"/>
      <c r="D299" s="162"/>
      <c r="E299" s="30"/>
      <c r="F299" s="8"/>
      <c r="G299" s="8"/>
      <c r="H299" s="168"/>
      <c r="I299" s="178"/>
      <c r="J299" s="10"/>
      <c r="K299" s="145"/>
    </row>
    <row r="300" spans="1:11">
      <c r="A300" s="11"/>
      <c r="B300" s="7"/>
      <c r="C300" s="162"/>
      <c r="D300" s="162"/>
      <c r="E300" s="30"/>
      <c r="F300" s="8"/>
      <c r="G300" s="8"/>
      <c r="H300" s="168"/>
      <c r="I300" s="178"/>
      <c r="J300" s="10"/>
      <c r="K300" s="145"/>
    </row>
    <row r="301" spans="1:11">
      <c r="A301" s="11"/>
      <c r="B301" s="7"/>
      <c r="C301" s="162"/>
      <c r="D301" s="162"/>
      <c r="E301" s="30"/>
      <c r="F301" s="8"/>
      <c r="G301" s="8"/>
      <c r="H301" s="168"/>
      <c r="I301" s="178"/>
      <c r="J301" s="10"/>
      <c r="K301" s="145"/>
    </row>
    <row r="302" spans="1:11">
      <c r="A302" s="11"/>
      <c r="B302" s="7"/>
      <c r="C302" s="162"/>
      <c r="D302" s="162"/>
      <c r="E302" s="30"/>
      <c r="F302" s="8"/>
      <c r="G302" s="8"/>
      <c r="H302" s="168"/>
      <c r="I302" s="178"/>
      <c r="J302" s="10"/>
      <c r="K302" s="145"/>
    </row>
    <row r="303" spans="1:11">
      <c r="A303" s="11"/>
      <c r="B303" s="7"/>
      <c r="C303" s="162"/>
      <c r="D303" s="162"/>
      <c r="E303" s="30"/>
      <c r="F303" s="8"/>
      <c r="G303" s="8"/>
      <c r="H303" s="168"/>
      <c r="I303" s="178"/>
      <c r="J303" s="10"/>
      <c r="K303" s="145"/>
    </row>
    <row r="304" spans="1:11">
      <c r="A304" s="11"/>
      <c r="B304" s="7"/>
      <c r="C304" s="162"/>
      <c r="D304" s="162"/>
      <c r="E304" s="30"/>
      <c r="F304" s="8"/>
      <c r="G304" s="8"/>
      <c r="H304" s="168"/>
      <c r="I304" s="178"/>
      <c r="J304" s="10"/>
      <c r="K304" s="145"/>
    </row>
    <row r="306" spans="2:12" ht="24.75" customHeight="1">
      <c r="B306" s="662"/>
      <c r="C306" s="1"/>
      <c r="E306" s="662"/>
      <c r="H306" s="1"/>
      <c r="I306" s="1"/>
    </row>
    <row r="307" spans="2:12" ht="15.75">
      <c r="B307" s="662"/>
      <c r="C307" s="1"/>
      <c r="E307" s="662"/>
    </row>
    <row r="309" spans="2:12" ht="23.25" customHeight="1"/>
    <row r="310" spans="2:12">
      <c r="L310" s="608"/>
    </row>
    <row r="311" spans="2:12">
      <c r="L311" s="608"/>
    </row>
  </sheetData>
  <autoFilter ref="A7:K167" xr:uid="{00000000-0001-0000-0800-000000000000}"/>
  <customSheetViews>
    <customSheetView guid="{CE7484BD-F9E2-4C03-AA0F-F7057FD8E6EF}" showAutoFilter="1">
      <pane ySplit="7" topLeftCell="A107" activePane="bottomLeft" state="frozen"/>
      <selection pane="bottomLeft" activeCell="F117" sqref="F117"/>
      <pageMargins left="0.15748031496062992" right="0.15748031496062992" top="0.19685039370078741" bottom="0.16" header="0.31496062992125984" footer="0.15748031496062992"/>
      <pageSetup paperSize="9" scale="95" orientation="landscape" horizontalDpi="0" verticalDpi="0" r:id="rId1"/>
      <headerFooter>
        <oddFooter>&amp;C&amp;"-,Bold"&amp;12&amp;EAccounts &amp;E                                                                                    &amp;EG.Manager</oddFooter>
      </headerFooter>
      <autoFilter ref="A7:K273" xr:uid="{ED768FC9-8395-4A67-A264-4709F4AC0600}"/>
    </customSheetView>
  </customSheetViews>
  <mergeCells count="14">
    <mergeCell ref="F156:G156"/>
    <mergeCell ref="F138:G138"/>
    <mergeCell ref="F135:G135"/>
    <mergeCell ref="AA6:AD6"/>
    <mergeCell ref="L63:N63"/>
    <mergeCell ref="Q6:S6"/>
    <mergeCell ref="T6:U6"/>
    <mergeCell ref="V6:W6"/>
    <mergeCell ref="A1:I2"/>
    <mergeCell ref="A3:B3"/>
    <mergeCell ref="O1:Z2"/>
    <mergeCell ref="D5:E5"/>
    <mergeCell ref="J1:K2"/>
    <mergeCell ref="J3:K3"/>
  </mergeCells>
  <phoneticPr fontId="36" type="noConversion"/>
  <dataValidations disablePrompts="1" count="1">
    <dataValidation type="list" allowBlank="1" showInputMessage="1" showErrorMessage="1" sqref="J3:K3" xr:uid="{DFA1A975-3031-45FF-87CC-814FF34B3613}">
      <formula1>$P$8:$P$26</formula1>
    </dataValidation>
  </dataValidations>
  <pageMargins left="0.15748031496062992" right="0.15748031496062992" top="0.19685039370078741" bottom="0.39370078740157483" header="0.31496062992125984" footer="0.15748031496062992"/>
  <pageSetup paperSize="9" scale="31" fitToHeight="0" orientation="landscape" r:id="rId2"/>
  <headerFooter>
    <oddFooter>&amp;C&amp;"-,Bold"&amp;12&amp;EAccounts &amp;E                                                                                    &amp;EG.Manager</oddFooter>
  </headerFooter>
  <customProperties>
    <customPr name="LastActive" r:id="rId3"/>
  </customProperties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B6D6E-E4CF-4EE7-A568-6549741B82C4}">
  <sheetPr codeName="Sheet5"/>
  <dimension ref="A1:K32"/>
  <sheetViews>
    <sheetView workbookViewId="0">
      <selection sqref="A1:G32"/>
    </sheetView>
  </sheetViews>
  <sheetFormatPr defaultRowHeight="15"/>
  <cols>
    <col min="1" max="1" width="10.28515625" style="324" customWidth="1"/>
    <col min="2" max="2" width="23" customWidth="1"/>
    <col min="3" max="3" width="12.85546875" customWidth="1"/>
    <col min="4" max="4" width="12.42578125" customWidth="1"/>
    <col min="5" max="5" width="15.42578125" style="311" customWidth="1"/>
    <col min="6" max="6" width="12.140625" customWidth="1"/>
    <col min="7" max="7" width="15.28515625" style="311" customWidth="1"/>
    <col min="8" max="8" width="40" customWidth="1"/>
    <col min="9" max="9" width="8" bestFit="1" customWidth="1"/>
  </cols>
  <sheetData>
    <row r="1" spans="1:11" ht="15.75">
      <c r="A1" s="1972" t="s">
        <v>1314</v>
      </c>
      <c r="B1" s="1973"/>
      <c r="C1" s="1973"/>
      <c r="D1" s="1974"/>
      <c r="E1" s="338">
        <f>SUM(E4:E30)</f>
        <v>103574.3</v>
      </c>
      <c r="F1" s="1970"/>
      <c r="G1" s="338">
        <f>SUM(G4:G30)</f>
        <v>978384.25</v>
      </c>
      <c r="H1" s="291"/>
    </row>
    <row r="2" spans="1:11" ht="28.5" customHeight="1" thickBot="1">
      <c r="A2" s="1975"/>
      <c r="B2" s="1976"/>
      <c r="C2" s="1976"/>
      <c r="D2" s="1977"/>
      <c r="E2" s="325" t="s">
        <v>1312</v>
      </c>
      <c r="F2" s="1971"/>
      <c r="G2" s="325" t="s">
        <v>1313</v>
      </c>
      <c r="H2" s="326"/>
      <c r="I2" s="15"/>
      <c r="J2" s="15"/>
      <c r="K2" s="15"/>
    </row>
    <row r="3" spans="1:11" ht="33" customHeight="1" thickBot="1">
      <c r="A3" s="333" t="s">
        <v>202</v>
      </c>
      <c r="B3" s="334" t="s">
        <v>24</v>
      </c>
      <c r="C3" s="335" t="s">
        <v>1308</v>
      </c>
      <c r="D3" s="335" t="s">
        <v>1309</v>
      </c>
      <c r="E3" s="336" t="s">
        <v>1310</v>
      </c>
      <c r="F3" s="335" t="s">
        <v>1208</v>
      </c>
      <c r="G3" s="336" t="s">
        <v>1311</v>
      </c>
      <c r="H3" s="337" t="s">
        <v>1123</v>
      </c>
      <c r="I3" s="15"/>
      <c r="J3" s="15"/>
      <c r="K3" s="15"/>
    </row>
    <row r="4" spans="1:11" ht="25.5" customHeight="1">
      <c r="A4" s="327" t="s">
        <v>1167</v>
      </c>
      <c r="B4" s="328" t="s">
        <v>155</v>
      </c>
      <c r="C4" s="329">
        <v>34135</v>
      </c>
      <c r="D4" s="329">
        <v>34072</v>
      </c>
      <c r="E4" s="330">
        <f>C4-D4</f>
        <v>63</v>
      </c>
      <c r="F4" s="331">
        <v>89738.25</v>
      </c>
      <c r="G4" s="330">
        <f>F4-C4</f>
        <v>55603.25</v>
      </c>
      <c r="H4" s="332"/>
      <c r="I4" s="311">
        <v>63</v>
      </c>
      <c r="J4" s="311">
        <v>55666.25</v>
      </c>
      <c r="K4" s="311">
        <v>55603.25</v>
      </c>
    </row>
    <row r="5" spans="1:11" ht="25.5" customHeight="1">
      <c r="A5" s="322" t="s">
        <v>1171</v>
      </c>
      <c r="B5" s="314" t="s">
        <v>1173</v>
      </c>
      <c r="C5" s="316">
        <v>89906</v>
      </c>
      <c r="D5" s="316">
        <v>86854</v>
      </c>
      <c r="E5" s="317">
        <f t="shared" ref="E5:E30" si="0">C5-D5</f>
        <v>3052</v>
      </c>
      <c r="F5" s="318">
        <v>161988</v>
      </c>
      <c r="G5" s="317">
        <f t="shared" ref="G5:G30" si="1">F5-C5</f>
        <v>72082</v>
      </c>
      <c r="H5" s="312"/>
      <c r="I5" s="311">
        <v>3052</v>
      </c>
      <c r="J5" s="311">
        <v>75134</v>
      </c>
      <c r="K5" s="311">
        <v>72082</v>
      </c>
    </row>
    <row r="6" spans="1:11" ht="25.5" customHeight="1">
      <c r="A6" s="322" t="s">
        <v>1186</v>
      </c>
      <c r="B6" s="315" t="s">
        <v>1187</v>
      </c>
      <c r="C6" s="316">
        <v>85345</v>
      </c>
      <c r="D6" s="316">
        <v>74267</v>
      </c>
      <c r="E6" s="317">
        <f t="shared" si="0"/>
        <v>11078</v>
      </c>
      <c r="F6" s="318">
        <v>85344</v>
      </c>
      <c r="G6" s="317">
        <f t="shared" si="1"/>
        <v>-1</v>
      </c>
      <c r="H6" s="312" t="s">
        <v>1245</v>
      </c>
      <c r="I6" s="311">
        <v>11078</v>
      </c>
      <c r="J6" s="311">
        <v>11077</v>
      </c>
      <c r="K6" s="311">
        <v>-1</v>
      </c>
    </row>
    <row r="7" spans="1:11" ht="25.5" customHeight="1">
      <c r="A7" s="322" t="s">
        <v>1189</v>
      </c>
      <c r="B7" s="314" t="s">
        <v>1190</v>
      </c>
      <c r="C7" s="316">
        <v>49487</v>
      </c>
      <c r="D7" s="316">
        <v>49192</v>
      </c>
      <c r="E7" s="317">
        <f t="shared" si="0"/>
        <v>295</v>
      </c>
      <c r="F7" s="318">
        <v>137828.25</v>
      </c>
      <c r="G7" s="317">
        <f t="shared" si="1"/>
        <v>88341.25</v>
      </c>
      <c r="H7" s="312"/>
      <c r="I7" s="311">
        <v>295</v>
      </c>
      <c r="J7" s="311">
        <v>88636.25</v>
      </c>
      <c r="K7" s="311">
        <v>88341.25</v>
      </c>
    </row>
    <row r="8" spans="1:11" ht="25.5" customHeight="1">
      <c r="A8" s="322" t="s">
        <v>1191</v>
      </c>
      <c r="B8" s="314" t="s">
        <v>1192</v>
      </c>
      <c r="C8" s="316">
        <v>39334</v>
      </c>
      <c r="D8" s="316">
        <v>34403</v>
      </c>
      <c r="E8" s="317">
        <f t="shared" si="0"/>
        <v>4931</v>
      </c>
      <c r="F8" s="318">
        <v>76335</v>
      </c>
      <c r="G8" s="317">
        <f t="shared" si="1"/>
        <v>37001</v>
      </c>
      <c r="H8" s="312" t="s">
        <v>1307</v>
      </c>
      <c r="I8" s="311">
        <v>4931</v>
      </c>
      <c r="J8" s="311">
        <v>41932</v>
      </c>
      <c r="K8" s="311">
        <v>37001</v>
      </c>
    </row>
    <row r="9" spans="1:11" ht="25.5" customHeight="1">
      <c r="A9" s="322" t="s">
        <v>1302</v>
      </c>
      <c r="B9" s="314" t="s">
        <v>1197</v>
      </c>
      <c r="C9" s="316">
        <v>63043</v>
      </c>
      <c r="D9" s="316">
        <v>63043</v>
      </c>
      <c r="E9" s="317">
        <f t="shared" si="0"/>
        <v>0</v>
      </c>
      <c r="F9" s="318">
        <v>98852.25</v>
      </c>
      <c r="G9" s="317">
        <f t="shared" si="1"/>
        <v>35809.25</v>
      </c>
      <c r="H9" s="312" t="s">
        <v>1303</v>
      </c>
      <c r="I9" s="311">
        <v>0</v>
      </c>
      <c r="J9" s="311">
        <v>35809.25</v>
      </c>
      <c r="K9" s="311">
        <v>35809.25</v>
      </c>
    </row>
    <row r="10" spans="1:11" ht="25.5" customHeight="1">
      <c r="A10" s="322" t="s">
        <v>1198</v>
      </c>
      <c r="B10" s="314" t="s">
        <v>1199</v>
      </c>
      <c r="C10" s="316">
        <v>33936</v>
      </c>
      <c r="D10" s="316">
        <v>32208</v>
      </c>
      <c r="E10" s="317">
        <f t="shared" si="0"/>
        <v>1728</v>
      </c>
      <c r="F10" s="318">
        <v>100196.25</v>
      </c>
      <c r="G10" s="317">
        <f t="shared" si="1"/>
        <v>66260.25</v>
      </c>
      <c r="H10" s="312"/>
      <c r="I10" s="311">
        <v>1728</v>
      </c>
      <c r="J10" s="311">
        <v>67988.25</v>
      </c>
      <c r="K10" s="311">
        <v>66260.25</v>
      </c>
    </row>
    <row r="11" spans="1:11" ht="25.5" customHeight="1">
      <c r="A11" s="322" t="s">
        <v>1201</v>
      </c>
      <c r="B11" s="314" t="s">
        <v>1202</v>
      </c>
      <c r="C11" s="316">
        <v>26056</v>
      </c>
      <c r="D11" s="316">
        <v>26056</v>
      </c>
      <c r="E11" s="317">
        <f t="shared" si="0"/>
        <v>0</v>
      </c>
      <c r="F11" s="318">
        <v>79233</v>
      </c>
      <c r="G11" s="317">
        <f t="shared" si="1"/>
        <v>53177</v>
      </c>
      <c r="H11" s="312"/>
      <c r="I11" s="311">
        <v>0</v>
      </c>
      <c r="J11" s="311">
        <v>53177</v>
      </c>
      <c r="K11" s="311">
        <v>53177</v>
      </c>
    </row>
    <row r="12" spans="1:11" ht="25.5" customHeight="1">
      <c r="A12" s="322" t="s">
        <v>1225</v>
      </c>
      <c r="B12" s="314" t="s">
        <v>192</v>
      </c>
      <c r="C12" s="316">
        <v>31410</v>
      </c>
      <c r="D12" s="316">
        <v>31410</v>
      </c>
      <c r="E12" s="317">
        <f t="shared" si="0"/>
        <v>0</v>
      </c>
      <c r="F12" s="318">
        <v>103587</v>
      </c>
      <c r="G12" s="317">
        <f t="shared" si="1"/>
        <v>72177</v>
      </c>
      <c r="H12" s="312"/>
      <c r="I12" s="311">
        <v>0</v>
      </c>
      <c r="J12" s="311">
        <v>72177</v>
      </c>
      <c r="K12" s="311">
        <v>72177</v>
      </c>
    </row>
    <row r="13" spans="1:11" ht="25.5" customHeight="1">
      <c r="A13" s="322" t="s">
        <v>1231</v>
      </c>
      <c r="B13" s="314" t="s">
        <v>1232</v>
      </c>
      <c r="C13" s="316">
        <v>32776</v>
      </c>
      <c r="D13" s="316">
        <v>32776</v>
      </c>
      <c r="E13" s="317">
        <f t="shared" si="0"/>
        <v>0</v>
      </c>
      <c r="F13" s="318">
        <v>97335</v>
      </c>
      <c r="G13" s="317">
        <f t="shared" si="1"/>
        <v>64559</v>
      </c>
      <c r="H13" s="312"/>
      <c r="I13" s="311">
        <v>0</v>
      </c>
      <c r="J13" s="311">
        <v>64559</v>
      </c>
      <c r="K13" s="311">
        <v>64559</v>
      </c>
    </row>
    <row r="14" spans="1:11" ht="25.5" customHeight="1">
      <c r="A14" s="322" t="s">
        <v>1299</v>
      </c>
      <c r="B14" s="314" t="s">
        <v>1233</v>
      </c>
      <c r="C14" s="316">
        <v>90422</v>
      </c>
      <c r="D14" s="316">
        <v>59299</v>
      </c>
      <c r="E14" s="317">
        <f t="shared" si="0"/>
        <v>31123</v>
      </c>
      <c r="F14" s="318">
        <v>109614.75</v>
      </c>
      <c r="G14" s="317">
        <f t="shared" si="1"/>
        <v>19192.75</v>
      </c>
      <c r="H14" s="312" t="s">
        <v>1297</v>
      </c>
      <c r="I14" s="311">
        <v>31123</v>
      </c>
      <c r="J14" s="311">
        <v>50315.75</v>
      </c>
      <c r="K14" s="311">
        <v>19192.75</v>
      </c>
    </row>
    <row r="15" spans="1:11" ht="25.5" customHeight="1">
      <c r="A15" s="322" t="s">
        <v>1234</v>
      </c>
      <c r="B15" s="314" t="s">
        <v>1235</v>
      </c>
      <c r="C15" s="316">
        <v>51492</v>
      </c>
      <c r="D15" s="316">
        <v>51445</v>
      </c>
      <c r="E15" s="317">
        <f t="shared" si="0"/>
        <v>47</v>
      </c>
      <c r="F15" s="318">
        <v>137938</v>
      </c>
      <c r="G15" s="317">
        <f t="shared" si="1"/>
        <v>86446</v>
      </c>
      <c r="H15" s="312"/>
      <c r="I15" s="311">
        <v>47</v>
      </c>
      <c r="J15" s="311">
        <v>86493</v>
      </c>
      <c r="K15" s="311">
        <v>86446</v>
      </c>
    </row>
    <row r="16" spans="1:11" ht="25.5" customHeight="1">
      <c r="A16" s="322" t="s">
        <v>1237</v>
      </c>
      <c r="B16" s="315" t="s">
        <v>1238</v>
      </c>
      <c r="C16" s="316">
        <v>85994</v>
      </c>
      <c r="D16" s="316">
        <v>85994</v>
      </c>
      <c r="E16" s="317">
        <f t="shared" si="0"/>
        <v>0</v>
      </c>
      <c r="F16" s="318">
        <v>107100</v>
      </c>
      <c r="G16" s="317">
        <f t="shared" si="1"/>
        <v>21106</v>
      </c>
      <c r="H16" s="312" t="s">
        <v>1294</v>
      </c>
      <c r="I16" s="311">
        <v>0</v>
      </c>
      <c r="J16" s="311">
        <v>21106</v>
      </c>
      <c r="K16" s="311">
        <v>21106</v>
      </c>
    </row>
    <row r="17" spans="1:11" ht="25.5" customHeight="1">
      <c r="A17" s="322" t="s">
        <v>1240</v>
      </c>
      <c r="B17" s="314" t="s">
        <v>1241</v>
      </c>
      <c r="C17" s="316">
        <v>99482</v>
      </c>
      <c r="D17" s="316">
        <v>88467</v>
      </c>
      <c r="E17" s="317">
        <f t="shared" si="0"/>
        <v>11015</v>
      </c>
      <c r="F17" s="318">
        <v>96631</v>
      </c>
      <c r="G17" s="317">
        <f t="shared" si="1"/>
        <v>-2851</v>
      </c>
      <c r="H17" s="312" t="s">
        <v>1295</v>
      </c>
      <c r="I17" s="311">
        <v>11015</v>
      </c>
      <c r="J17" s="311">
        <v>8164</v>
      </c>
      <c r="K17" s="311">
        <v>-2851</v>
      </c>
    </row>
    <row r="18" spans="1:11" ht="25.5" customHeight="1">
      <c r="A18" s="322" t="s">
        <v>1259</v>
      </c>
      <c r="B18" s="314" t="s">
        <v>1265</v>
      </c>
      <c r="C18" s="316">
        <v>33968</v>
      </c>
      <c r="D18" s="316">
        <v>33968</v>
      </c>
      <c r="E18" s="317">
        <f t="shared" si="0"/>
        <v>0</v>
      </c>
      <c r="F18" s="318">
        <v>97744.5</v>
      </c>
      <c r="G18" s="317">
        <f t="shared" si="1"/>
        <v>63776.5</v>
      </c>
      <c r="H18" s="312"/>
      <c r="I18" s="311">
        <v>0</v>
      </c>
      <c r="J18" s="311">
        <v>63776.5</v>
      </c>
      <c r="K18" s="311">
        <v>63776.5</v>
      </c>
    </row>
    <row r="19" spans="1:11" ht="25.5" customHeight="1">
      <c r="A19" s="322" t="s">
        <v>1260</v>
      </c>
      <c r="B19" s="314" t="s">
        <v>1266</v>
      </c>
      <c r="C19" s="316">
        <v>32892</v>
      </c>
      <c r="D19" s="316">
        <v>32892</v>
      </c>
      <c r="E19" s="317">
        <f t="shared" si="0"/>
        <v>0</v>
      </c>
      <c r="F19" s="318">
        <v>98857.5</v>
      </c>
      <c r="G19" s="317">
        <f t="shared" si="1"/>
        <v>65965.5</v>
      </c>
      <c r="H19" s="312"/>
      <c r="I19" s="311">
        <v>0</v>
      </c>
      <c r="J19" s="311">
        <v>65965.5</v>
      </c>
      <c r="K19" s="311">
        <v>65965.5</v>
      </c>
    </row>
    <row r="20" spans="1:11" ht="25.5" customHeight="1">
      <c r="A20" s="322" t="s">
        <v>1261</v>
      </c>
      <c r="B20" s="315" t="s">
        <v>1267</v>
      </c>
      <c r="C20" s="316"/>
      <c r="D20" s="316"/>
      <c r="E20" s="317">
        <f t="shared" si="0"/>
        <v>0</v>
      </c>
      <c r="F20" s="318">
        <v>30035.25</v>
      </c>
      <c r="G20" s="317">
        <f t="shared" si="1"/>
        <v>30035.25</v>
      </c>
      <c r="H20" s="312" t="s">
        <v>1293</v>
      </c>
      <c r="I20" s="311">
        <v>0</v>
      </c>
      <c r="J20" s="311">
        <v>30035.25</v>
      </c>
      <c r="K20" s="311">
        <v>30035.25</v>
      </c>
    </row>
    <row r="21" spans="1:11" ht="25.5" customHeight="1">
      <c r="A21" s="322" t="s">
        <v>1269</v>
      </c>
      <c r="B21" s="314" t="s">
        <v>1270</v>
      </c>
      <c r="C21" s="316">
        <v>48164</v>
      </c>
      <c r="D21" s="316">
        <v>37160</v>
      </c>
      <c r="E21" s="317">
        <f t="shared" si="0"/>
        <v>11004</v>
      </c>
      <c r="F21" s="318">
        <v>48153</v>
      </c>
      <c r="G21" s="317">
        <f t="shared" si="1"/>
        <v>-11</v>
      </c>
      <c r="H21" s="312" t="s">
        <v>1292</v>
      </c>
      <c r="I21" s="311">
        <v>11004</v>
      </c>
      <c r="J21" s="311">
        <v>10993</v>
      </c>
      <c r="K21" s="311">
        <v>-11</v>
      </c>
    </row>
    <row r="22" spans="1:11" ht="25.5" customHeight="1">
      <c r="A22" s="322" t="s">
        <v>1257</v>
      </c>
      <c r="B22" s="315" t="s">
        <v>671</v>
      </c>
      <c r="C22" s="316">
        <v>85345</v>
      </c>
      <c r="D22" s="316">
        <v>85345</v>
      </c>
      <c r="E22" s="317">
        <f t="shared" si="0"/>
        <v>0</v>
      </c>
      <c r="F22" s="318">
        <v>89565</v>
      </c>
      <c r="G22" s="317">
        <f t="shared" si="1"/>
        <v>4220</v>
      </c>
      <c r="H22" s="312"/>
      <c r="I22" s="311">
        <v>0</v>
      </c>
      <c r="J22" s="311">
        <v>4220</v>
      </c>
      <c r="K22" s="311">
        <v>4220</v>
      </c>
    </row>
    <row r="23" spans="1:11" ht="25.5" customHeight="1">
      <c r="A23" s="322" t="s">
        <v>1255</v>
      </c>
      <c r="B23" s="314" t="s">
        <v>1272</v>
      </c>
      <c r="C23" s="316">
        <v>129675</v>
      </c>
      <c r="D23" s="316">
        <v>129675</v>
      </c>
      <c r="E23" s="317">
        <f t="shared" si="0"/>
        <v>0</v>
      </c>
      <c r="F23" s="318">
        <v>129675</v>
      </c>
      <c r="G23" s="317">
        <f t="shared" si="1"/>
        <v>0</v>
      </c>
      <c r="H23" s="312"/>
      <c r="I23" s="311">
        <v>0</v>
      </c>
      <c r="J23" s="311">
        <v>0</v>
      </c>
      <c r="K23" s="311">
        <v>0</v>
      </c>
    </row>
    <row r="24" spans="1:11" ht="25.5" customHeight="1">
      <c r="A24" s="322" t="s">
        <v>1256</v>
      </c>
      <c r="B24" s="314" t="s">
        <v>609</v>
      </c>
      <c r="C24" s="316">
        <v>69054</v>
      </c>
      <c r="D24" s="316">
        <v>69054</v>
      </c>
      <c r="E24" s="317">
        <f t="shared" si="0"/>
        <v>0</v>
      </c>
      <c r="F24" s="318">
        <v>70696.5</v>
      </c>
      <c r="G24" s="317">
        <f t="shared" si="1"/>
        <v>1642.5</v>
      </c>
      <c r="H24" s="312"/>
      <c r="I24" s="311">
        <v>0</v>
      </c>
      <c r="J24" s="311">
        <v>1642.5</v>
      </c>
      <c r="K24" s="311">
        <v>1642.5</v>
      </c>
    </row>
    <row r="25" spans="1:11" ht="25.5" customHeight="1">
      <c r="A25" s="322" t="s">
        <v>486</v>
      </c>
      <c r="B25" s="314" t="s">
        <v>482</v>
      </c>
      <c r="C25" s="316">
        <v>7188</v>
      </c>
      <c r="D25" s="316">
        <v>7188</v>
      </c>
      <c r="E25" s="317">
        <f t="shared" si="0"/>
        <v>0</v>
      </c>
      <c r="F25" s="318">
        <v>23199.75</v>
      </c>
      <c r="G25" s="317">
        <f t="shared" si="1"/>
        <v>16011.75</v>
      </c>
      <c r="H25" s="312"/>
      <c r="I25" s="311">
        <v>0</v>
      </c>
      <c r="J25" s="311">
        <v>16011.75</v>
      </c>
      <c r="K25" s="311">
        <v>16011.75</v>
      </c>
    </row>
    <row r="26" spans="1:11" ht="25.5" customHeight="1">
      <c r="A26" s="322" t="s">
        <v>1258</v>
      </c>
      <c r="B26" s="314" t="s">
        <v>1291</v>
      </c>
      <c r="C26" s="319">
        <v>158681</v>
      </c>
      <c r="D26" s="319">
        <v>158681</v>
      </c>
      <c r="E26" s="317">
        <f t="shared" si="0"/>
        <v>0</v>
      </c>
      <c r="F26" s="318">
        <v>191441.25</v>
      </c>
      <c r="G26" s="320">
        <f t="shared" si="1"/>
        <v>32760.25</v>
      </c>
      <c r="H26" s="312" t="s">
        <v>1296</v>
      </c>
      <c r="I26" s="311">
        <v>0</v>
      </c>
      <c r="J26" s="311">
        <v>32760.25</v>
      </c>
      <c r="K26" s="311">
        <v>32760.25</v>
      </c>
    </row>
    <row r="27" spans="1:11" ht="25.5" customHeight="1">
      <c r="A27" s="322" t="s">
        <v>1282</v>
      </c>
      <c r="B27" s="314" t="s">
        <v>1283</v>
      </c>
      <c r="C27" s="316">
        <v>23982</v>
      </c>
      <c r="D27" s="316">
        <v>23982</v>
      </c>
      <c r="E27" s="317">
        <f t="shared" si="0"/>
        <v>0</v>
      </c>
      <c r="F27" s="318">
        <v>96815.25</v>
      </c>
      <c r="G27" s="317">
        <f t="shared" si="1"/>
        <v>72833.25</v>
      </c>
      <c r="H27" s="312"/>
      <c r="I27" s="311">
        <v>0</v>
      </c>
      <c r="J27" s="311">
        <v>72833.25</v>
      </c>
      <c r="K27" s="311">
        <v>72833.25</v>
      </c>
    </row>
    <row r="28" spans="1:11" ht="25.5" customHeight="1">
      <c r="A28" s="322" t="s">
        <v>1290</v>
      </c>
      <c r="B28" s="314" t="s">
        <v>501</v>
      </c>
      <c r="C28" s="316">
        <v>76335</v>
      </c>
      <c r="D28" s="316">
        <v>76335</v>
      </c>
      <c r="E28" s="317">
        <f t="shared" si="0"/>
        <v>0</v>
      </c>
      <c r="F28" s="318">
        <v>76335</v>
      </c>
      <c r="G28" s="317">
        <f t="shared" si="1"/>
        <v>0</v>
      </c>
      <c r="H28" s="312"/>
      <c r="I28" s="311">
        <v>0</v>
      </c>
      <c r="J28" s="311">
        <v>0</v>
      </c>
      <c r="K28" s="311">
        <v>0</v>
      </c>
    </row>
    <row r="29" spans="1:11" ht="25.5" customHeight="1">
      <c r="A29" s="322" t="s">
        <v>190</v>
      </c>
      <c r="B29" s="314" t="s">
        <v>1305</v>
      </c>
      <c r="C29" s="316">
        <v>70430</v>
      </c>
      <c r="D29" s="316">
        <v>44815</v>
      </c>
      <c r="E29" s="317">
        <f t="shared" si="0"/>
        <v>25615</v>
      </c>
      <c r="F29" s="318">
        <v>72434.25</v>
      </c>
      <c r="G29" s="317">
        <f t="shared" si="1"/>
        <v>2004.25</v>
      </c>
      <c r="H29" s="312" t="s">
        <v>1306</v>
      </c>
      <c r="I29" s="311">
        <v>25615</v>
      </c>
      <c r="J29" s="311">
        <v>27619.25</v>
      </c>
      <c r="K29" s="311">
        <v>2004.25</v>
      </c>
    </row>
    <row r="30" spans="1:11" ht="25.5" customHeight="1">
      <c r="A30" s="323" t="s">
        <v>1098</v>
      </c>
      <c r="B30" s="314" t="s">
        <v>983</v>
      </c>
      <c r="C30" s="316">
        <v>30876</v>
      </c>
      <c r="D30" s="316">
        <v>27252.7</v>
      </c>
      <c r="E30" s="317">
        <f t="shared" si="0"/>
        <v>3623.2999999999993</v>
      </c>
      <c r="F30" s="318">
        <v>51119.25</v>
      </c>
      <c r="G30" s="317">
        <f t="shared" si="1"/>
        <v>20243.25</v>
      </c>
      <c r="H30" s="313" t="s">
        <v>1298</v>
      </c>
      <c r="I30" s="311">
        <v>3623.2999999999993</v>
      </c>
      <c r="J30" s="311">
        <v>23866.55</v>
      </c>
      <c r="K30" s="311">
        <v>20243.25</v>
      </c>
    </row>
    <row r="32" spans="1:11" ht="15.75">
      <c r="E32" s="338">
        <f>SUM(E4:E31)</f>
        <v>103574.3</v>
      </c>
      <c r="G32" s="338">
        <f>SUM(G4:G31)</f>
        <v>978384.25</v>
      </c>
    </row>
  </sheetData>
  <autoFilter ref="A3:A29" xr:uid="{EDBB6D6E-E4CF-4EE7-A568-6549741B82C4}"/>
  <customSheetViews>
    <customSheetView guid="{CE7484BD-F9E2-4C03-AA0F-F7057FD8E6EF}" showAutoFilter="1">
      <selection sqref="A1:G32"/>
      <pageMargins left="0.16" right="0.11" top="0.75" bottom="0.16" header="0.16" footer="0.17"/>
      <pageSetup paperSize="9" orientation="portrait" horizontalDpi="0" verticalDpi="0" r:id="rId1"/>
      <autoFilter ref="A3:A29" xr:uid="{BFCC1A10-DF09-4273-A44E-15C22E8E6823}"/>
    </customSheetView>
  </customSheetViews>
  <mergeCells count="2">
    <mergeCell ref="F1:F2"/>
    <mergeCell ref="A1:D2"/>
  </mergeCells>
  <pageMargins left="0.16" right="0.11" top="0.75" bottom="0.16" header="0.16" footer="0.17"/>
  <pageSetup paperSize="9" orientation="portrait" horizontalDpi="0" verticalDpi="0" r:id="rId2"/>
  <customProperties>
    <customPr name="LastActive" r:id="rId3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91F4A-4074-4CF0-98E2-B2F0A982013C}">
  <sheetPr codeName="Sheet20"/>
  <dimension ref="I5:S20"/>
  <sheetViews>
    <sheetView workbookViewId="0">
      <selection activeCell="T4" sqref="H4:T17"/>
    </sheetView>
  </sheetViews>
  <sheetFormatPr defaultRowHeight="15"/>
  <cols>
    <col min="7" max="7" width="13.5703125" customWidth="1"/>
    <col min="8" max="8" width="4.42578125" customWidth="1"/>
    <col min="9" max="9" width="10.5703125" customWidth="1"/>
    <col min="11" max="11" width="10.5703125" customWidth="1"/>
    <col min="13" max="13" width="10.5703125" customWidth="1"/>
    <col min="15" max="15" width="10.5703125" customWidth="1"/>
    <col min="17" max="17" width="10.5703125" customWidth="1"/>
    <col min="18" max="18" width="4.5703125" customWidth="1"/>
    <col min="19" max="19" width="10.5703125" customWidth="1"/>
    <col min="20" max="20" width="4.5703125" customWidth="1"/>
  </cols>
  <sheetData>
    <row r="5" spans="9:19" s="1547" customFormat="1" ht="48" customHeight="1">
      <c r="I5" s="1546">
        <v>276</v>
      </c>
      <c r="K5" s="1548">
        <v>277</v>
      </c>
      <c r="M5" s="1548">
        <v>262</v>
      </c>
      <c r="O5" s="1548">
        <v>265</v>
      </c>
      <c r="Q5" s="1548"/>
      <c r="S5" s="1548"/>
    </row>
    <row r="6" spans="9:19" ht="46.5" customHeight="1">
      <c r="I6" s="1978" t="s">
        <v>283</v>
      </c>
      <c r="J6" s="1545"/>
      <c r="K6" s="1978" t="s">
        <v>5803</v>
      </c>
      <c r="L6" s="1545"/>
      <c r="M6" s="1978" t="s">
        <v>5802</v>
      </c>
      <c r="N6" s="1545"/>
      <c r="O6" s="1978" t="s">
        <v>5801</v>
      </c>
      <c r="P6" s="1545"/>
      <c r="Q6" s="1978"/>
      <c r="S6" s="1978"/>
    </row>
    <row r="7" spans="9:19" ht="21" customHeight="1">
      <c r="I7" s="1978"/>
      <c r="J7" s="1545"/>
      <c r="K7" s="1978"/>
      <c r="L7" s="1545"/>
      <c r="M7" s="1978"/>
      <c r="N7" s="1545"/>
      <c r="O7" s="1978"/>
      <c r="P7" s="1545"/>
      <c r="Q7" s="1978"/>
      <c r="S7" s="1978"/>
    </row>
    <row r="8" spans="9:19" ht="48.75" customHeight="1">
      <c r="I8" s="1978"/>
      <c r="J8" s="1545"/>
      <c r="K8" s="1978"/>
      <c r="L8" s="1545"/>
      <c r="M8" s="1978"/>
      <c r="N8" s="1545"/>
      <c r="O8" s="1978"/>
      <c r="P8" s="1545"/>
      <c r="Q8" s="1978"/>
      <c r="S8" s="1978"/>
    </row>
    <row r="9" spans="9:19" ht="21" customHeight="1">
      <c r="I9" s="1978"/>
      <c r="J9" s="1545"/>
      <c r="K9" s="1978"/>
      <c r="L9" s="1545"/>
      <c r="M9" s="1978"/>
      <c r="N9" s="1545"/>
      <c r="O9" s="1978"/>
      <c r="P9" s="1545"/>
      <c r="Q9" s="1978"/>
      <c r="S9" s="1978"/>
    </row>
    <row r="10" spans="9:19" ht="21" customHeight="1">
      <c r="I10" s="1978"/>
      <c r="J10" s="1545"/>
      <c r="K10" s="1978"/>
      <c r="L10" s="1545"/>
      <c r="M10" s="1978"/>
      <c r="N10" s="1545"/>
      <c r="O10" s="1978"/>
      <c r="P10" s="1545"/>
      <c r="Q10" s="1978"/>
      <c r="S10" s="1978"/>
    </row>
    <row r="11" spans="9:19" ht="21" customHeight="1">
      <c r="I11" s="1978"/>
      <c r="J11" s="1545"/>
      <c r="K11" s="1978"/>
      <c r="L11" s="1545"/>
      <c r="M11" s="1978"/>
      <c r="N11" s="1545"/>
      <c r="O11" s="1978"/>
      <c r="P11" s="1545"/>
      <c r="Q11" s="1978"/>
      <c r="S11" s="1978"/>
    </row>
    <row r="12" spans="9:19" ht="21" customHeight="1">
      <c r="I12" s="1978"/>
      <c r="J12" s="1545"/>
      <c r="K12" s="1978"/>
      <c r="L12" s="1545"/>
      <c r="M12" s="1978"/>
      <c r="N12" s="1545"/>
      <c r="O12" s="1978"/>
      <c r="P12" s="1545"/>
      <c r="Q12" s="1978"/>
      <c r="S12" s="1978"/>
    </row>
    <row r="13" spans="9:19" ht="21" customHeight="1">
      <c r="I13" s="1978"/>
      <c r="J13" s="1545"/>
      <c r="K13" s="1978"/>
      <c r="L13" s="1545"/>
      <c r="M13" s="1978"/>
      <c r="N13" s="1545"/>
      <c r="O13" s="1978"/>
      <c r="P13" s="1545"/>
      <c r="Q13" s="1978"/>
      <c r="S13" s="1978"/>
    </row>
    <row r="14" spans="9:19" ht="21" customHeight="1">
      <c r="I14" s="1978"/>
      <c r="J14" s="1545"/>
      <c r="K14" s="1978"/>
      <c r="L14" s="1545"/>
      <c r="M14" s="1978"/>
      <c r="N14" s="1545"/>
      <c r="O14" s="1978"/>
      <c r="P14" s="1545"/>
      <c r="Q14" s="1978"/>
      <c r="S14" s="1978"/>
    </row>
    <row r="15" spans="9:19" ht="21" customHeight="1">
      <c r="I15" s="1978"/>
      <c r="J15" s="1545"/>
      <c r="K15" s="1978"/>
      <c r="L15" s="1545"/>
      <c r="M15" s="1978"/>
      <c r="N15" s="1545"/>
      <c r="O15" s="1978"/>
      <c r="P15" s="1545"/>
      <c r="Q15" s="1978"/>
      <c r="S15" s="1978"/>
    </row>
    <row r="16" spans="9:19" ht="21" customHeight="1">
      <c r="I16" s="1978"/>
      <c r="J16" s="1545"/>
      <c r="K16" s="1978"/>
      <c r="L16" s="1545"/>
      <c r="M16" s="1978"/>
      <c r="N16" s="1545"/>
      <c r="O16" s="1978"/>
      <c r="P16" s="1545"/>
      <c r="Q16" s="1978"/>
      <c r="S16" s="1978"/>
    </row>
    <row r="17" spans="9:19" ht="21" customHeight="1">
      <c r="I17" s="1536"/>
      <c r="J17" s="1535"/>
      <c r="K17" s="1536"/>
      <c r="L17" s="1535"/>
      <c r="M17" s="1536"/>
      <c r="N17" s="1535"/>
      <c r="O17" s="1536"/>
      <c r="P17" s="1535"/>
      <c r="Q17" s="1536"/>
      <c r="S17" s="1536"/>
    </row>
    <row r="18" spans="9:19" ht="21" customHeight="1">
      <c r="I18" s="1536"/>
      <c r="J18" s="1535"/>
      <c r="K18" s="1536"/>
      <c r="L18" s="1535"/>
      <c r="M18" s="1536"/>
      <c r="N18" s="1535"/>
      <c r="O18" s="1536"/>
      <c r="P18" s="1535"/>
      <c r="Q18" s="1536"/>
      <c r="S18" s="1536"/>
    </row>
    <row r="19" spans="9:19" ht="21" customHeight="1">
      <c r="I19" s="1536" t="s">
        <v>283</v>
      </c>
      <c r="J19" s="1535"/>
      <c r="K19" s="1536" t="s">
        <v>268</v>
      </c>
      <c r="L19" s="1535"/>
      <c r="M19" s="1536" t="s">
        <v>319</v>
      </c>
      <c r="N19" s="1535"/>
      <c r="O19" s="1536" t="s">
        <v>317</v>
      </c>
      <c r="P19" s="1535"/>
      <c r="Q19" s="1536" t="s">
        <v>5610</v>
      </c>
      <c r="S19" s="1536" t="s">
        <v>501</v>
      </c>
    </row>
    <row r="20" spans="9:19" ht="21" customHeight="1">
      <c r="I20" s="1536"/>
      <c r="J20" s="1535"/>
      <c r="K20" s="1536"/>
      <c r="L20" s="1535"/>
      <c r="M20" s="1536"/>
      <c r="N20" s="1535"/>
      <c r="O20" s="1536"/>
      <c r="P20" s="1535"/>
      <c r="Q20" s="1536"/>
      <c r="S20" s="1536"/>
    </row>
  </sheetData>
  <mergeCells count="6">
    <mergeCell ref="S6:S16"/>
    <mergeCell ref="I6:I16"/>
    <mergeCell ref="K6:K16"/>
    <mergeCell ref="M6:M16"/>
    <mergeCell ref="O6:O16"/>
    <mergeCell ref="Q6:Q16"/>
  </mergeCells>
  <pageMargins left="0.7" right="0.7" top="0.75" bottom="0.75" header="0.3" footer="0.3"/>
  <pageSetup paperSize="9" orientation="landscape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E76D-BE63-48FD-AA87-BC52778FDABE}">
  <sheetPr codeName="Sheet16"/>
  <dimension ref="I5:S20"/>
  <sheetViews>
    <sheetView workbookViewId="0">
      <selection activeCell="I6" sqref="I6:S16"/>
    </sheetView>
  </sheetViews>
  <sheetFormatPr defaultRowHeight="15"/>
  <cols>
    <col min="7" max="7" width="13.5703125" customWidth="1"/>
    <col min="8" max="8" width="4.42578125" customWidth="1"/>
    <col min="9" max="9" width="10.5703125" customWidth="1"/>
    <col min="11" max="11" width="10.5703125" customWidth="1"/>
    <col min="13" max="13" width="10.5703125" customWidth="1"/>
    <col min="15" max="15" width="10.5703125" customWidth="1"/>
    <col min="17" max="17" width="10.5703125" customWidth="1"/>
    <col min="18" max="18" width="4.5703125" customWidth="1"/>
    <col min="19" max="19" width="10.5703125" customWidth="1"/>
    <col min="20" max="20" width="4.5703125" customWidth="1"/>
  </cols>
  <sheetData>
    <row r="5" spans="9:19" s="1547" customFormat="1" ht="48" customHeight="1">
      <c r="I5" s="1546">
        <v>276</v>
      </c>
      <c r="K5" s="1548">
        <v>277</v>
      </c>
      <c r="M5" s="1548">
        <v>262</v>
      </c>
      <c r="O5" s="1548">
        <v>265</v>
      </c>
      <c r="Q5" s="1548">
        <v>293</v>
      </c>
      <c r="S5" s="1548">
        <v>221</v>
      </c>
    </row>
    <row r="6" spans="9:19" ht="46.5" customHeight="1">
      <c r="I6" s="1978" t="str">
        <f>VLOOKUP(I5,ProHeader!$C$9:$E$89,2,FALSE)</f>
        <v>FATMA ESSA</v>
      </c>
      <c r="J6" s="1545"/>
      <c r="K6" s="1978" t="str">
        <f>VLOOKUP(K5,ProHeader!$C$9:$E$89,2,FALSE)</f>
        <v>ABDULRHMAN ESSA</v>
      </c>
      <c r="L6" s="1545"/>
      <c r="M6" s="1978" t="str">
        <f>VLOOKUP(M5,ProHeader!$C$9:$E$89,3,FALSE)</f>
        <v>Amna Ahmad Mohammad Saleh</v>
      </c>
      <c r="N6" s="1545"/>
      <c r="O6" s="1978" t="str">
        <f>VLOOKUP(O5,ProHeader!$C$9:$E$89,3,FALSE)</f>
        <v>Omar Sultan Mohammad Sultan Alsharif</v>
      </c>
      <c r="P6" s="1545"/>
      <c r="Q6" s="1978" t="str">
        <f>VLOOKUP(Q5,ProHeader!$C$9:$E$89,2,FALSE)</f>
        <v>Federal  Youth  Authority  - Sharjah</v>
      </c>
      <c r="S6" s="1978" t="str">
        <f>VLOOKUP(S5,ProHeader!$C$9:$E$89,3,FALSE)</f>
        <v>Saeed Abdullah Khalifa Al Malek</v>
      </c>
    </row>
    <row r="7" spans="9:19" ht="21" customHeight="1">
      <c r="I7" s="1978"/>
      <c r="J7" s="1545"/>
      <c r="K7" s="1978"/>
      <c r="L7" s="1545"/>
      <c r="M7" s="1978"/>
      <c r="N7" s="1545"/>
      <c r="O7" s="1978"/>
      <c r="P7" s="1545"/>
      <c r="Q7" s="1978"/>
      <c r="S7" s="1978"/>
    </row>
    <row r="8" spans="9:19" ht="48.75" customHeight="1">
      <c r="I8" s="1978"/>
      <c r="J8" s="1545"/>
      <c r="K8" s="1978"/>
      <c r="L8" s="1545"/>
      <c r="M8" s="1978"/>
      <c r="N8" s="1545"/>
      <c r="O8" s="1978"/>
      <c r="P8" s="1545"/>
      <c r="Q8" s="1978"/>
      <c r="S8" s="1978"/>
    </row>
    <row r="9" spans="9:19" ht="21" customHeight="1">
      <c r="I9" s="1978"/>
      <c r="J9" s="1545"/>
      <c r="K9" s="1978"/>
      <c r="L9" s="1545"/>
      <c r="M9" s="1978"/>
      <c r="N9" s="1545"/>
      <c r="O9" s="1978"/>
      <c r="P9" s="1545"/>
      <c r="Q9" s="1978"/>
      <c r="S9" s="1978"/>
    </row>
    <row r="10" spans="9:19" ht="21" customHeight="1">
      <c r="I10" s="1978"/>
      <c r="J10" s="1545"/>
      <c r="K10" s="1978"/>
      <c r="L10" s="1545"/>
      <c r="M10" s="1978"/>
      <c r="N10" s="1545"/>
      <c r="O10" s="1978"/>
      <c r="P10" s="1545"/>
      <c r="Q10" s="1978"/>
      <c r="S10" s="1978"/>
    </row>
    <row r="11" spans="9:19" ht="21" customHeight="1">
      <c r="I11" s="1978"/>
      <c r="J11" s="1545"/>
      <c r="K11" s="1978"/>
      <c r="L11" s="1545"/>
      <c r="M11" s="1978"/>
      <c r="N11" s="1545"/>
      <c r="O11" s="1978"/>
      <c r="P11" s="1545"/>
      <c r="Q11" s="1978"/>
      <c r="S11" s="1978"/>
    </row>
    <row r="12" spans="9:19" ht="21" customHeight="1">
      <c r="I12" s="1978"/>
      <c r="J12" s="1545"/>
      <c r="K12" s="1978"/>
      <c r="L12" s="1545"/>
      <c r="M12" s="1978"/>
      <c r="N12" s="1545"/>
      <c r="O12" s="1978"/>
      <c r="P12" s="1545"/>
      <c r="Q12" s="1978"/>
      <c r="S12" s="1978"/>
    </row>
    <row r="13" spans="9:19" ht="21" customHeight="1">
      <c r="I13" s="1978"/>
      <c r="J13" s="1545"/>
      <c r="K13" s="1978"/>
      <c r="L13" s="1545"/>
      <c r="M13" s="1978"/>
      <c r="N13" s="1545"/>
      <c r="O13" s="1978"/>
      <c r="P13" s="1545"/>
      <c r="Q13" s="1978"/>
      <c r="S13" s="1978"/>
    </row>
    <row r="14" spans="9:19" ht="21" customHeight="1">
      <c r="I14" s="1978"/>
      <c r="J14" s="1545"/>
      <c r="K14" s="1978"/>
      <c r="L14" s="1545"/>
      <c r="M14" s="1978"/>
      <c r="N14" s="1545"/>
      <c r="O14" s="1978"/>
      <c r="P14" s="1545"/>
      <c r="Q14" s="1978"/>
      <c r="S14" s="1978"/>
    </row>
    <row r="15" spans="9:19" ht="21" customHeight="1">
      <c r="I15" s="1978"/>
      <c r="J15" s="1545"/>
      <c r="K15" s="1978"/>
      <c r="L15" s="1545"/>
      <c r="M15" s="1978"/>
      <c r="N15" s="1545"/>
      <c r="O15" s="1978"/>
      <c r="P15" s="1545"/>
      <c r="Q15" s="1978"/>
      <c r="S15" s="1978"/>
    </row>
    <row r="16" spans="9:19" ht="21" customHeight="1">
      <c r="I16" s="1978"/>
      <c r="J16" s="1545"/>
      <c r="K16" s="1978"/>
      <c r="L16" s="1545"/>
      <c r="M16" s="1978"/>
      <c r="N16" s="1545"/>
      <c r="O16" s="1978"/>
      <c r="P16" s="1545"/>
      <c r="Q16" s="1978"/>
      <c r="S16" s="1978"/>
    </row>
    <row r="17" spans="9:19" ht="21" customHeight="1">
      <c r="I17" s="1536"/>
      <c r="J17" s="1535"/>
      <c r="K17" s="1536"/>
      <c r="L17" s="1535"/>
      <c r="M17" s="1536"/>
      <c r="N17" s="1535"/>
      <c r="O17" s="1536"/>
      <c r="P17" s="1535"/>
      <c r="Q17" s="1536"/>
      <c r="S17" s="1536"/>
    </row>
    <row r="18" spans="9:19" ht="21" customHeight="1">
      <c r="I18" s="1536"/>
      <c r="J18" s="1535"/>
      <c r="K18" s="1536"/>
      <c r="L18" s="1535"/>
      <c r="M18" s="1536"/>
      <c r="N18" s="1535"/>
      <c r="O18" s="1536"/>
      <c r="P18" s="1535"/>
      <c r="Q18" s="1536"/>
      <c r="S18" s="1536"/>
    </row>
    <row r="19" spans="9:19" ht="21" customHeight="1">
      <c r="I19" s="1536"/>
      <c r="J19" s="1535"/>
      <c r="K19" s="1536"/>
      <c r="L19" s="1535"/>
      <c r="M19" s="1536"/>
      <c r="N19" s="1535"/>
      <c r="O19" s="1536"/>
      <c r="P19" s="1535"/>
      <c r="Q19" s="1536"/>
      <c r="S19" s="1536"/>
    </row>
    <row r="20" spans="9:19" ht="21" customHeight="1">
      <c r="I20" s="1536"/>
      <c r="J20" s="1535"/>
      <c r="K20" s="1536"/>
      <c r="L20" s="1535"/>
      <c r="M20" s="1536"/>
      <c r="N20" s="1535"/>
      <c r="O20" s="1536"/>
      <c r="P20" s="1535"/>
      <c r="Q20" s="1536"/>
      <c r="S20" s="1536"/>
    </row>
  </sheetData>
  <mergeCells count="6">
    <mergeCell ref="S6:S16"/>
    <mergeCell ref="Q6:Q16"/>
    <mergeCell ref="I6:I16"/>
    <mergeCell ref="K6:K16"/>
    <mergeCell ref="M6:M16"/>
    <mergeCell ref="O6:O16"/>
  </mergeCells>
  <pageMargins left="0.7" right="0.7" top="0.75" bottom="0.75" header="0.3" footer="0.3"/>
  <pageSetup paperSize="9" orientation="landscape" horizontalDpi="0" verticalDpi="0" r:id="rId1"/>
  <customProperties>
    <customPr name="LastActive" r:id="rId2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CD600-C631-400E-A043-939DA0CD78CA}">
  <sheetPr codeName="Sheet6"/>
  <dimension ref="A1:L370"/>
  <sheetViews>
    <sheetView topLeftCell="C1" workbookViewId="0">
      <selection activeCell="K23" sqref="K23"/>
    </sheetView>
  </sheetViews>
  <sheetFormatPr defaultRowHeight="15"/>
  <cols>
    <col min="1" max="1" width="13.85546875" style="345" customWidth="1"/>
    <col min="2" max="2" width="24.5703125" style="351" customWidth="1"/>
    <col min="3" max="3" width="19.5703125" bestFit="1" customWidth="1"/>
    <col min="4" max="4" width="12.7109375" style="344" customWidth="1"/>
    <col min="5" max="5" width="14.42578125" style="344" customWidth="1"/>
    <col min="6" max="6" width="12.7109375" style="344" customWidth="1"/>
    <col min="10" max="10" width="13.140625" customWidth="1"/>
    <col min="11" max="11" width="33.5703125" customWidth="1"/>
    <col min="12" max="12" width="11.85546875" bestFit="1" customWidth="1"/>
    <col min="15" max="15" width="22.7109375" bestFit="1" customWidth="1"/>
  </cols>
  <sheetData>
    <row r="1" spans="1:12" ht="49.5">
      <c r="A1" s="321" t="s">
        <v>202</v>
      </c>
      <c r="B1" s="348" t="s">
        <v>24</v>
      </c>
      <c r="C1" s="293" t="s">
        <v>204</v>
      </c>
      <c r="D1" s="339" t="s">
        <v>1315</v>
      </c>
      <c r="E1" s="340" t="s">
        <v>1316</v>
      </c>
      <c r="F1" s="339" t="s">
        <v>1317</v>
      </c>
      <c r="J1" s="1979" t="s">
        <v>5502</v>
      </c>
      <c r="K1" s="1979"/>
      <c r="L1" s="1979"/>
    </row>
    <row r="2" spans="1:12">
      <c r="A2" s="346" t="s">
        <v>1167</v>
      </c>
      <c r="B2" s="349" t="s">
        <v>155</v>
      </c>
      <c r="C2" s="294" t="s">
        <v>825</v>
      </c>
      <c r="D2" s="341">
        <v>1</v>
      </c>
      <c r="E2" s="342">
        <v>1</v>
      </c>
      <c r="F2" s="341">
        <f>D2-E2</f>
        <v>0</v>
      </c>
    </row>
    <row r="3" spans="1:12">
      <c r="A3" s="346" t="s">
        <v>1167</v>
      </c>
      <c r="B3" s="349" t="s">
        <v>155</v>
      </c>
      <c r="C3" s="294" t="s">
        <v>826</v>
      </c>
      <c r="D3" s="341">
        <v>1</v>
      </c>
      <c r="E3" s="342">
        <v>1</v>
      </c>
      <c r="F3" s="341">
        <f t="shared" ref="F3:F66" si="0">D3-E3</f>
        <v>0</v>
      </c>
      <c r="J3" s="66" t="s">
        <v>1259</v>
      </c>
      <c r="K3" s="314" t="s">
        <v>1265</v>
      </c>
      <c r="L3" s="913">
        <v>9523.25</v>
      </c>
    </row>
    <row r="4" spans="1:12">
      <c r="A4" s="346" t="s">
        <v>1167</v>
      </c>
      <c r="B4" s="349" t="s">
        <v>155</v>
      </c>
      <c r="C4" s="294" t="s">
        <v>1168</v>
      </c>
      <c r="D4" s="341">
        <v>4</v>
      </c>
      <c r="E4" s="342">
        <v>4</v>
      </c>
      <c r="F4" s="341">
        <f t="shared" si="0"/>
        <v>0</v>
      </c>
      <c r="J4" s="48" t="s">
        <v>1098</v>
      </c>
      <c r="K4" s="314" t="s">
        <v>983</v>
      </c>
      <c r="L4" s="913">
        <v>20244.8</v>
      </c>
    </row>
    <row r="5" spans="1:12">
      <c r="A5" s="346" t="s">
        <v>1167</v>
      </c>
      <c r="B5" s="349" t="s">
        <v>155</v>
      </c>
      <c r="C5" s="294" t="s">
        <v>828</v>
      </c>
      <c r="D5" s="341">
        <v>4</v>
      </c>
      <c r="E5" s="342">
        <v>4</v>
      </c>
      <c r="F5" s="341">
        <f t="shared" si="0"/>
        <v>0</v>
      </c>
    </row>
    <row r="6" spans="1:12" ht="21">
      <c r="A6" s="346" t="s">
        <v>1167</v>
      </c>
      <c r="B6" s="349" t="s">
        <v>155</v>
      </c>
      <c r="C6" s="294" t="s">
        <v>234</v>
      </c>
      <c r="D6" s="341">
        <v>3</v>
      </c>
      <c r="E6" s="342">
        <v>3</v>
      </c>
      <c r="F6" s="341">
        <f t="shared" si="0"/>
        <v>0</v>
      </c>
      <c r="L6" s="1543">
        <f>L3+L4</f>
        <v>29768.05</v>
      </c>
    </row>
    <row r="7" spans="1:12">
      <c r="A7" s="346" t="s">
        <v>1167</v>
      </c>
      <c r="B7" s="349" t="s">
        <v>155</v>
      </c>
      <c r="C7" s="294" t="s">
        <v>235</v>
      </c>
      <c r="D7" s="341">
        <v>3</v>
      </c>
      <c r="E7" s="342">
        <v>3</v>
      </c>
      <c r="F7" s="341">
        <f t="shared" si="0"/>
        <v>0</v>
      </c>
    </row>
    <row r="8" spans="1:12">
      <c r="A8" s="346" t="s">
        <v>1167</v>
      </c>
      <c r="B8" s="349" t="s">
        <v>155</v>
      </c>
      <c r="C8" s="294" t="s">
        <v>232</v>
      </c>
      <c r="D8" s="341">
        <v>4</v>
      </c>
      <c r="E8" s="342"/>
      <c r="F8" s="341">
        <f t="shared" si="0"/>
        <v>4</v>
      </c>
    </row>
    <row r="9" spans="1:12" ht="27.75" customHeight="1">
      <c r="A9" s="346" t="s">
        <v>1167</v>
      </c>
      <c r="B9" s="349" t="s">
        <v>155</v>
      </c>
      <c r="C9" s="294" t="s">
        <v>233</v>
      </c>
      <c r="D9" s="341">
        <v>4</v>
      </c>
      <c r="E9" s="342">
        <v>4</v>
      </c>
      <c r="F9" s="341">
        <f t="shared" si="0"/>
        <v>0</v>
      </c>
      <c r="K9" s="1542" t="s">
        <v>1265</v>
      </c>
    </row>
    <row r="10" spans="1:12">
      <c r="A10" s="346" t="s">
        <v>1167</v>
      </c>
      <c r="B10" s="349" t="s">
        <v>155</v>
      </c>
      <c r="C10" s="294" t="s">
        <v>1169</v>
      </c>
      <c r="D10" s="341">
        <v>1</v>
      </c>
      <c r="E10" s="342">
        <v>1</v>
      </c>
      <c r="F10" s="341">
        <f t="shared" si="0"/>
        <v>0</v>
      </c>
      <c r="K10" t="s">
        <v>826</v>
      </c>
      <c r="L10">
        <v>1</v>
      </c>
    </row>
    <row r="11" spans="1:12">
      <c r="A11" s="346" t="s">
        <v>1167</v>
      </c>
      <c r="B11" s="349" t="s">
        <v>155</v>
      </c>
      <c r="C11" s="294" t="s">
        <v>1170</v>
      </c>
      <c r="D11" s="341">
        <v>1</v>
      </c>
      <c r="E11" s="342">
        <v>1</v>
      </c>
      <c r="F11" s="341">
        <f t="shared" si="0"/>
        <v>0</v>
      </c>
      <c r="K11" t="s">
        <v>237</v>
      </c>
      <c r="L11">
        <v>5</v>
      </c>
    </row>
    <row r="12" spans="1:12">
      <c r="A12" s="346" t="s">
        <v>1167</v>
      </c>
      <c r="B12" s="349" t="s">
        <v>155</v>
      </c>
      <c r="C12" s="294"/>
      <c r="D12" s="341"/>
      <c r="E12" s="342"/>
      <c r="F12" s="341">
        <f t="shared" si="0"/>
        <v>0</v>
      </c>
      <c r="K12" t="s">
        <v>235</v>
      </c>
      <c r="L12">
        <v>6</v>
      </c>
    </row>
    <row r="13" spans="1:12">
      <c r="A13" s="346" t="s">
        <v>1171</v>
      </c>
      <c r="B13" s="349" t="s">
        <v>1173</v>
      </c>
      <c r="C13" s="294" t="s">
        <v>1172</v>
      </c>
      <c r="D13" s="341">
        <v>2</v>
      </c>
      <c r="E13" s="342">
        <v>2</v>
      </c>
      <c r="F13" s="341">
        <f t="shared" si="0"/>
        <v>0</v>
      </c>
      <c r="K13" t="s">
        <v>233</v>
      </c>
      <c r="L13">
        <v>1</v>
      </c>
    </row>
    <row r="14" spans="1:12">
      <c r="A14" s="346" t="s">
        <v>1171</v>
      </c>
      <c r="B14" s="349" t="s">
        <v>1173</v>
      </c>
      <c r="C14" s="294" t="s">
        <v>1174</v>
      </c>
      <c r="D14" s="341">
        <v>2</v>
      </c>
      <c r="E14" s="342">
        <v>2</v>
      </c>
      <c r="F14" s="341">
        <f t="shared" si="0"/>
        <v>0</v>
      </c>
      <c r="K14" t="s">
        <v>1236</v>
      </c>
      <c r="L14">
        <v>13</v>
      </c>
    </row>
    <row r="15" spans="1:12">
      <c r="A15" s="346" t="s">
        <v>1171</v>
      </c>
      <c r="B15" s="349" t="s">
        <v>1173</v>
      </c>
      <c r="C15" s="294" t="s">
        <v>1175</v>
      </c>
      <c r="D15" s="341">
        <v>1</v>
      </c>
      <c r="E15" s="342">
        <v>1</v>
      </c>
      <c r="F15" s="341">
        <f t="shared" si="0"/>
        <v>0</v>
      </c>
    </row>
    <row r="16" spans="1:12">
      <c r="A16" s="346" t="s">
        <v>1171</v>
      </c>
      <c r="B16" s="349" t="s">
        <v>1173</v>
      </c>
      <c r="C16" s="294" t="s">
        <v>1176</v>
      </c>
      <c r="D16" s="341">
        <v>1</v>
      </c>
      <c r="E16" s="342">
        <v>1</v>
      </c>
      <c r="F16" s="341">
        <f t="shared" si="0"/>
        <v>0</v>
      </c>
    </row>
    <row r="17" spans="1:12" ht="36" customHeight="1">
      <c r="A17" s="346" t="s">
        <v>1171</v>
      </c>
      <c r="B17" s="349" t="s">
        <v>1173</v>
      </c>
      <c r="C17" s="294" t="s">
        <v>1177</v>
      </c>
      <c r="D17" s="341">
        <v>1</v>
      </c>
      <c r="E17" s="342">
        <v>1</v>
      </c>
      <c r="F17" s="341">
        <f t="shared" si="0"/>
        <v>0</v>
      </c>
      <c r="K17" s="1542" t="s">
        <v>983</v>
      </c>
    </row>
    <row r="18" spans="1:12">
      <c r="A18" s="346" t="s">
        <v>1171</v>
      </c>
      <c r="B18" s="349" t="s">
        <v>1173</v>
      </c>
      <c r="C18" s="294" t="s">
        <v>1178</v>
      </c>
      <c r="D18" s="341">
        <v>1</v>
      </c>
      <c r="E18" s="342">
        <v>1</v>
      </c>
      <c r="F18" s="341">
        <f t="shared" si="0"/>
        <v>0</v>
      </c>
      <c r="K18" t="s">
        <v>234</v>
      </c>
      <c r="L18">
        <v>4</v>
      </c>
    </row>
    <row r="19" spans="1:12">
      <c r="A19" s="346" t="s">
        <v>1171</v>
      </c>
      <c r="B19" s="349" t="s">
        <v>1173</v>
      </c>
      <c r="C19" s="294" t="s">
        <v>1179</v>
      </c>
      <c r="D19" s="341">
        <v>5</v>
      </c>
      <c r="E19" s="342">
        <v>5</v>
      </c>
      <c r="F19" s="341">
        <f t="shared" si="0"/>
        <v>0</v>
      </c>
    </row>
    <row r="20" spans="1:12">
      <c r="A20" s="346" t="s">
        <v>1171</v>
      </c>
      <c r="B20" s="349" t="s">
        <v>1173</v>
      </c>
      <c r="C20" s="294" t="s">
        <v>1180</v>
      </c>
      <c r="D20" s="341">
        <v>5</v>
      </c>
      <c r="E20" s="342">
        <v>5</v>
      </c>
      <c r="F20" s="341">
        <f t="shared" si="0"/>
        <v>0</v>
      </c>
    </row>
    <row r="21" spans="1:12">
      <c r="A21" s="346" t="s">
        <v>1171</v>
      </c>
      <c r="B21" s="349" t="s">
        <v>1173</v>
      </c>
      <c r="C21" s="294" t="s">
        <v>1181</v>
      </c>
      <c r="D21" s="341">
        <v>2</v>
      </c>
      <c r="E21" s="342">
        <v>2</v>
      </c>
      <c r="F21" s="341">
        <f t="shared" si="0"/>
        <v>0</v>
      </c>
    </row>
    <row r="22" spans="1:12">
      <c r="A22" s="346" t="s">
        <v>1171</v>
      </c>
      <c r="B22" s="349" t="s">
        <v>1173</v>
      </c>
      <c r="C22" s="294" t="s">
        <v>1182</v>
      </c>
      <c r="D22" s="341">
        <v>2</v>
      </c>
      <c r="E22" s="342">
        <v>2</v>
      </c>
      <c r="F22" s="341">
        <f t="shared" si="0"/>
        <v>0</v>
      </c>
    </row>
    <row r="23" spans="1:12">
      <c r="A23" s="346" t="s">
        <v>1171</v>
      </c>
      <c r="B23" s="349" t="s">
        <v>1173</v>
      </c>
      <c r="C23" s="294" t="s">
        <v>1183</v>
      </c>
      <c r="D23" s="341">
        <v>8</v>
      </c>
      <c r="E23" s="342">
        <v>8</v>
      </c>
      <c r="F23" s="341">
        <f t="shared" si="0"/>
        <v>0</v>
      </c>
    </row>
    <row r="24" spans="1:12">
      <c r="A24" s="346" t="s">
        <v>1171</v>
      </c>
      <c r="B24" s="349" t="s">
        <v>1173</v>
      </c>
      <c r="C24" s="294" t="s">
        <v>1184</v>
      </c>
      <c r="D24" s="341">
        <v>8</v>
      </c>
      <c r="E24" s="342">
        <v>8</v>
      </c>
      <c r="F24" s="341">
        <f t="shared" si="0"/>
        <v>0</v>
      </c>
    </row>
    <row r="25" spans="1:12">
      <c r="A25" s="346" t="s">
        <v>1171</v>
      </c>
      <c r="B25" s="349" t="s">
        <v>1173</v>
      </c>
      <c r="C25" s="294" t="s">
        <v>1185</v>
      </c>
      <c r="D25" s="341">
        <v>3</v>
      </c>
      <c r="E25" s="342">
        <v>3</v>
      </c>
      <c r="F25" s="341">
        <f t="shared" si="0"/>
        <v>0</v>
      </c>
    </row>
    <row r="26" spans="1:12">
      <c r="A26" s="346" t="s">
        <v>1171</v>
      </c>
      <c r="B26" s="349" t="s">
        <v>1173</v>
      </c>
      <c r="C26" s="294" t="s">
        <v>233</v>
      </c>
      <c r="D26" s="341">
        <v>3</v>
      </c>
      <c r="E26" s="342">
        <v>3</v>
      </c>
      <c r="F26" s="341">
        <f t="shared" si="0"/>
        <v>0</v>
      </c>
    </row>
    <row r="27" spans="1:12">
      <c r="A27" s="346" t="s">
        <v>1171</v>
      </c>
      <c r="B27" s="349" t="s">
        <v>1173</v>
      </c>
      <c r="C27" s="294" t="s">
        <v>1169</v>
      </c>
      <c r="D27" s="341">
        <v>1</v>
      </c>
      <c r="E27" s="342">
        <v>1</v>
      </c>
      <c r="F27" s="341">
        <f t="shared" si="0"/>
        <v>0</v>
      </c>
    </row>
    <row r="28" spans="1:12">
      <c r="A28" s="346" t="s">
        <v>1171</v>
      </c>
      <c r="B28" s="349" t="s">
        <v>1173</v>
      </c>
      <c r="C28" s="294" t="s">
        <v>1170</v>
      </c>
      <c r="D28" s="341">
        <v>1</v>
      </c>
      <c r="E28" s="342">
        <v>1</v>
      </c>
      <c r="F28" s="341">
        <f t="shared" si="0"/>
        <v>0</v>
      </c>
    </row>
    <row r="29" spans="1:12">
      <c r="A29" s="346" t="s">
        <v>1171</v>
      </c>
      <c r="B29" s="349" t="s">
        <v>1173</v>
      </c>
      <c r="C29" s="294" t="s">
        <v>832</v>
      </c>
      <c r="D29" s="341">
        <v>6</v>
      </c>
      <c r="E29" s="342">
        <v>4</v>
      </c>
      <c r="F29" s="341">
        <f t="shared" si="0"/>
        <v>2</v>
      </c>
    </row>
    <row r="30" spans="1:12">
      <c r="A30" s="346" t="s">
        <v>1171</v>
      </c>
      <c r="B30" s="349" t="s">
        <v>1173</v>
      </c>
      <c r="C30" s="294" t="s">
        <v>833</v>
      </c>
      <c r="D30" s="341">
        <v>6</v>
      </c>
      <c r="E30" s="342">
        <v>4</v>
      </c>
      <c r="F30" s="341">
        <f t="shared" si="0"/>
        <v>2</v>
      </c>
    </row>
    <row r="31" spans="1:12">
      <c r="A31" s="346" t="s">
        <v>1171</v>
      </c>
      <c r="B31" s="349" t="s">
        <v>1173</v>
      </c>
      <c r="C31" s="294"/>
      <c r="D31" s="341"/>
      <c r="E31" s="342"/>
      <c r="F31" s="341">
        <f t="shared" si="0"/>
        <v>0</v>
      </c>
    </row>
    <row r="32" spans="1:12">
      <c r="A32" s="346" t="s">
        <v>1186</v>
      </c>
      <c r="B32" s="349" t="s">
        <v>1187</v>
      </c>
      <c r="C32" s="294" t="s">
        <v>236</v>
      </c>
      <c r="D32" s="341">
        <v>4</v>
      </c>
      <c r="E32" s="342">
        <v>4</v>
      </c>
      <c r="F32" s="341">
        <f t="shared" si="0"/>
        <v>0</v>
      </c>
    </row>
    <row r="33" spans="1:6">
      <c r="A33" s="346" t="s">
        <v>1186</v>
      </c>
      <c r="B33" s="349" t="s">
        <v>1187</v>
      </c>
      <c r="C33" s="294" t="s">
        <v>237</v>
      </c>
      <c r="D33" s="341">
        <v>4</v>
      </c>
      <c r="E33" s="342">
        <v>4</v>
      </c>
      <c r="F33" s="341">
        <f t="shared" si="0"/>
        <v>0</v>
      </c>
    </row>
    <row r="34" spans="1:6">
      <c r="A34" s="346" t="s">
        <v>1186</v>
      </c>
      <c r="B34" s="349" t="s">
        <v>1187</v>
      </c>
      <c r="C34" s="294" t="s">
        <v>238</v>
      </c>
      <c r="D34" s="341">
        <v>1</v>
      </c>
      <c r="E34" s="342">
        <v>1</v>
      </c>
      <c r="F34" s="341">
        <f t="shared" si="0"/>
        <v>0</v>
      </c>
    </row>
    <row r="35" spans="1:6">
      <c r="A35" s="346" t="s">
        <v>1186</v>
      </c>
      <c r="B35" s="349" t="s">
        <v>1187</v>
      </c>
      <c r="C35" s="294" t="s">
        <v>239</v>
      </c>
      <c r="D35" s="341">
        <v>1</v>
      </c>
      <c r="E35" s="342">
        <v>1</v>
      </c>
      <c r="F35" s="341">
        <f t="shared" si="0"/>
        <v>0</v>
      </c>
    </row>
    <row r="36" spans="1:6">
      <c r="A36" s="346" t="s">
        <v>1186</v>
      </c>
      <c r="B36" s="349" t="s">
        <v>1187</v>
      </c>
      <c r="C36" s="294" t="s">
        <v>234</v>
      </c>
      <c r="D36" s="341">
        <v>2</v>
      </c>
      <c r="E36" s="342">
        <v>2</v>
      </c>
      <c r="F36" s="341">
        <f t="shared" si="0"/>
        <v>0</v>
      </c>
    </row>
    <row r="37" spans="1:6">
      <c r="A37" s="346" t="s">
        <v>1186</v>
      </c>
      <c r="B37" s="349" t="s">
        <v>1187</v>
      </c>
      <c r="C37" s="294" t="s">
        <v>235</v>
      </c>
      <c r="D37" s="341">
        <v>2</v>
      </c>
      <c r="E37" s="342">
        <v>2</v>
      </c>
      <c r="F37" s="341">
        <f t="shared" si="0"/>
        <v>0</v>
      </c>
    </row>
    <row r="38" spans="1:6">
      <c r="A38" s="346" t="s">
        <v>1186</v>
      </c>
      <c r="B38" s="349" t="s">
        <v>1187</v>
      </c>
      <c r="C38" s="294" t="s">
        <v>232</v>
      </c>
      <c r="D38" s="341">
        <v>2</v>
      </c>
      <c r="E38" s="342"/>
      <c r="F38" s="341">
        <f t="shared" si="0"/>
        <v>2</v>
      </c>
    </row>
    <row r="39" spans="1:6">
      <c r="A39" s="346" t="s">
        <v>1186</v>
      </c>
      <c r="B39" s="349" t="s">
        <v>1187</v>
      </c>
      <c r="C39" s="294" t="s">
        <v>233</v>
      </c>
      <c r="D39" s="341">
        <v>2</v>
      </c>
      <c r="E39" s="342">
        <v>2</v>
      </c>
      <c r="F39" s="341">
        <f t="shared" si="0"/>
        <v>0</v>
      </c>
    </row>
    <row r="40" spans="1:6">
      <c r="A40" s="346" t="s">
        <v>1186</v>
      </c>
      <c r="B40" s="349" t="s">
        <v>1187</v>
      </c>
      <c r="C40" s="294" t="s">
        <v>1169</v>
      </c>
      <c r="D40" s="341">
        <v>1</v>
      </c>
      <c r="E40" s="342">
        <v>1</v>
      </c>
      <c r="F40" s="341">
        <f t="shared" si="0"/>
        <v>0</v>
      </c>
    </row>
    <row r="41" spans="1:6">
      <c r="A41" s="346" t="s">
        <v>1186</v>
      </c>
      <c r="B41" s="349" t="s">
        <v>1187</v>
      </c>
      <c r="C41" s="294" t="s">
        <v>1170</v>
      </c>
      <c r="D41" s="341">
        <v>1</v>
      </c>
      <c r="E41" s="342">
        <v>1</v>
      </c>
      <c r="F41" s="341">
        <f t="shared" si="0"/>
        <v>0</v>
      </c>
    </row>
    <row r="42" spans="1:6">
      <c r="A42" s="346" t="s">
        <v>1186</v>
      </c>
      <c r="B42" s="349" t="s">
        <v>1187</v>
      </c>
      <c r="C42" s="294" t="s">
        <v>1188</v>
      </c>
      <c r="D42" s="341">
        <v>1</v>
      </c>
      <c r="E42" s="342">
        <v>1</v>
      </c>
      <c r="F42" s="341">
        <f t="shared" si="0"/>
        <v>0</v>
      </c>
    </row>
    <row r="43" spans="1:6">
      <c r="A43" s="346" t="s">
        <v>1186</v>
      </c>
      <c r="B43" s="350" t="s">
        <v>1187</v>
      </c>
      <c r="C43" s="294"/>
      <c r="D43" s="341"/>
      <c r="E43" s="342"/>
      <c r="F43" s="341">
        <f t="shared" si="0"/>
        <v>0</v>
      </c>
    </row>
    <row r="44" spans="1:6">
      <c r="A44" s="346" t="s">
        <v>1189</v>
      </c>
      <c r="B44" s="349" t="s">
        <v>1190</v>
      </c>
      <c r="C44" s="294" t="s">
        <v>236</v>
      </c>
      <c r="D44" s="341">
        <v>1</v>
      </c>
      <c r="E44" s="342"/>
      <c r="F44" s="341">
        <f t="shared" si="0"/>
        <v>1</v>
      </c>
    </row>
    <row r="45" spans="1:6">
      <c r="A45" s="346" t="s">
        <v>1189</v>
      </c>
      <c r="B45" s="349" t="s">
        <v>1190</v>
      </c>
      <c r="C45" s="294" t="s">
        <v>237</v>
      </c>
      <c r="D45" s="341">
        <v>1</v>
      </c>
      <c r="E45" s="342">
        <v>1</v>
      </c>
      <c r="F45" s="341">
        <f t="shared" si="0"/>
        <v>0</v>
      </c>
    </row>
    <row r="46" spans="1:6">
      <c r="A46" s="346" t="s">
        <v>1189</v>
      </c>
      <c r="B46" s="349" t="s">
        <v>1190</v>
      </c>
      <c r="C46" s="294" t="s">
        <v>827</v>
      </c>
      <c r="D46" s="341">
        <v>2</v>
      </c>
      <c r="E46" s="342"/>
      <c r="F46" s="341">
        <f t="shared" si="0"/>
        <v>2</v>
      </c>
    </row>
    <row r="47" spans="1:6">
      <c r="A47" s="346" t="s">
        <v>1189</v>
      </c>
      <c r="B47" s="349" t="s">
        <v>1190</v>
      </c>
      <c r="C47" s="294" t="s">
        <v>828</v>
      </c>
      <c r="D47" s="341">
        <v>2</v>
      </c>
      <c r="E47" s="342">
        <v>2</v>
      </c>
      <c r="F47" s="341">
        <f t="shared" si="0"/>
        <v>0</v>
      </c>
    </row>
    <row r="48" spans="1:6">
      <c r="A48" s="346" t="s">
        <v>1189</v>
      </c>
      <c r="B48" s="349" t="s">
        <v>1190</v>
      </c>
      <c r="C48" s="294" t="s">
        <v>238</v>
      </c>
      <c r="D48" s="341">
        <v>2</v>
      </c>
      <c r="E48" s="342"/>
      <c r="F48" s="341">
        <f t="shared" si="0"/>
        <v>2</v>
      </c>
    </row>
    <row r="49" spans="1:6">
      <c r="A49" s="346" t="s">
        <v>1189</v>
      </c>
      <c r="B49" s="349" t="s">
        <v>1190</v>
      </c>
      <c r="C49" s="294" t="s">
        <v>239</v>
      </c>
      <c r="D49" s="341">
        <v>2</v>
      </c>
      <c r="E49" s="342">
        <v>2</v>
      </c>
      <c r="F49" s="341">
        <f t="shared" si="0"/>
        <v>0</v>
      </c>
    </row>
    <row r="50" spans="1:6">
      <c r="A50" s="346" t="s">
        <v>1189</v>
      </c>
      <c r="B50" s="349" t="s">
        <v>1190</v>
      </c>
      <c r="C50" s="294" t="s">
        <v>234</v>
      </c>
      <c r="D50" s="341">
        <v>5</v>
      </c>
      <c r="E50" s="342"/>
      <c r="F50" s="341">
        <f t="shared" si="0"/>
        <v>5</v>
      </c>
    </row>
    <row r="51" spans="1:6">
      <c r="A51" s="346" t="s">
        <v>1189</v>
      </c>
      <c r="B51" s="349" t="s">
        <v>1190</v>
      </c>
      <c r="C51" s="294" t="s">
        <v>235</v>
      </c>
      <c r="D51" s="341">
        <v>5</v>
      </c>
      <c r="E51" s="342">
        <v>5</v>
      </c>
      <c r="F51" s="341">
        <f t="shared" si="0"/>
        <v>0</v>
      </c>
    </row>
    <row r="52" spans="1:6">
      <c r="A52" s="346" t="s">
        <v>1189</v>
      </c>
      <c r="B52" s="349" t="s">
        <v>1190</v>
      </c>
      <c r="C52" s="294" t="s">
        <v>232</v>
      </c>
      <c r="D52" s="341">
        <v>7</v>
      </c>
      <c r="E52" s="342"/>
      <c r="F52" s="341">
        <f t="shared" si="0"/>
        <v>7</v>
      </c>
    </row>
    <row r="53" spans="1:6">
      <c r="A53" s="346" t="s">
        <v>1189</v>
      </c>
      <c r="B53" s="349" t="s">
        <v>1190</v>
      </c>
      <c r="C53" s="294" t="s">
        <v>233</v>
      </c>
      <c r="D53" s="341">
        <v>7</v>
      </c>
      <c r="E53" s="342">
        <v>7</v>
      </c>
      <c r="F53" s="341">
        <f t="shared" si="0"/>
        <v>0</v>
      </c>
    </row>
    <row r="54" spans="1:6">
      <c r="A54" s="346" t="s">
        <v>1189</v>
      </c>
      <c r="B54" s="349" t="s">
        <v>1190</v>
      </c>
      <c r="C54" s="294" t="s">
        <v>1081</v>
      </c>
      <c r="D54" s="341">
        <v>1</v>
      </c>
      <c r="E54" s="342"/>
      <c r="F54" s="341">
        <f t="shared" si="0"/>
        <v>1</v>
      </c>
    </row>
    <row r="55" spans="1:6">
      <c r="A55" s="346" t="s">
        <v>1189</v>
      </c>
      <c r="B55" s="349" t="s">
        <v>1190</v>
      </c>
      <c r="C55" s="294" t="s">
        <v>1082</v>
      </c>
      <c r="D55" s="341">
        <v>1</v>
      </c>
      <c r="E55" s="342"/>
      <c r="F55" s="341">
        <f t="shared" si="0"/>
        <v>1</v>
      </c>
    </row>
    <row r="56" spans="1:6">
      <c r="A56" s="346" t="s">
        <v>1189</v>
      </c>
      <c r="B56" s="349" t="s">
        <v>1190</v>
      </c>
      <c r="C56" s="294" t="s">
        <v>834</v>
      </c>
      <c r="D56" s="341">
        <v>1</v>
      </c>
      <c r="E56" s="342"/>
      <c r="F56" s="341">
        <f t="shared" si="0"/>
        <v>1</v>
      </c>
    </row>
    <row r="57" spans="1:6">
      <c r="A57" s="346" t="s">
        <v>1189</v>
      </c>
      <c r="B57" s="349" t="s">
        <v>1190</v>
      </c>
      <c r="C57" s="294" t="s">
        <v>835</v>
      </c>
      <c r="D57" s="341">
        <v>1</v>
      </c>
      <c r="E57" s="342"/>
      <c r="F57" s="341">
        <f t="shared" si="0"/>
        <v>1</v>
      </c>
    </row>
    <row r="58" spans="1:6">
      <c r="A58" s="346" t="s">
        <v>1189</v>
      </c>
      <c r="B58" s="349" t="s">
        <v>1190</v>
      </c>
      <c r="C58" s="294"/>
      <c r="D58" s="341"/>
      <c r="E58" s="342"/>
      <c r="F58" s="341">
        <f t="shared" si="0"/>
        <v>0</v>
      </c>
    </row>
    <row r="59" spans="1:6">
      <c r="A59" s="346" t="s">
        <v>1191</v>
      </c>
      <c r="B59" s="349" t="s">
        <v>1192</v>
      </c>
      <c r="C59" s="294" t="s">
        <v>1177</v>
      </c>
      <c r="D59" s="341">
        <v>5</v>
      </c>
      <c r="E59" s="342">
        <v>5</v>
      </c>
      <c r="F59" s="341">
        <f t="shared" si="0"/>
        <v>0</v>
      </c>
    </row>
    <row r="60" spans="1:6">
      <c r="A60" s="346" t="s">
        <v>1191</v>
      </c>
      <c r="B60" s="349" t="s">
        <v>1192</v>
      </c>
      <c r="C60" s="294" t="s">
        <v>237</v>
      </c>
      <c r="D60" s="341">
        <v>5</v>
      </c>
      <c r="E60" s="342">
        <v>5</v>
      </c>
      <c r="F60" s="341">
        <f t="shared" si="0"/>
        <v>0</v>
      </c>
    </row>
    <row r="61" spans="1:6">
      <c r="A61" s="346" t="s">
        <v>1191</v>
      </c>
      <c r="B61" s="349" t="s">
        <v>1192</v>
      </c>
      <c r="C61" s="294" t="s">
        <v>1168</v>
      </c>
      <c r="D61" s="341">
        <v>1</v>
      </c>
      <c r="E61" s="342">
        <v>1</v>
      </c>
      <c r="F61" s="341">
        <f t="shared" si="0"/>
        <v>0</v>
      </c>
    </row>
    <row r="62" spans="1:6">
      <c r="A62" s="346" t="s">
        <v>1191</v>
      </c>
      <c r="B62" s="349" t="s">
        <v>1192</v>
      </c>
      <c r="C62" s="294" t="s">
        <v>828</v>
      </c>
      <c r="D62" s="341">
        <v>1</v>
      </c>
      <c r="E62" s="342">
        <v>1</v>
      </c>
      <c r="F62" s="341">
        <f t="shared" si="0"/>
        <v>0</v>
      </c>
    </row>
    <row r="63" spans="1:6">
      <c r="A63" s="346" t="s">
        <v>1191</v>
      </c>
      <c r="B63" s="349" t="s">
        <v>1192</v>
      </c>
      <c r="C63" s="294" t="s">
        <v>1183</v>
      </c>
      <c r="D63" s="341">
        <v>2</v>
      </c>
      <c r="E63" s="342">
        <v>2</v>
      </c>
      <c r="F63" s="341">
        <f t="shared" si="0"/>
        <v>0</v>
      </c>
    </row>
    <row r="64" spans="1:6">
      <c r="A64" s="346" t="s">
        <v>1191</v>
      </c>
      <c r="B64" s="349" t="s">
        <v>1192</v>
      </c>
      <c r="C64" s="294" t="s">
        <v>1184</v>
      </c>
      <c r="D64" s="341">
        <v>2</v>
      </c>
      <c r="E64" s="342">
        <v>2</v>
      </c>
      <c r="F64" s="341">
        <f t="shared" si="0"/>
        <v>0</v>
      </c>
    </row>
    <row r="65" spans="1:6">
      <c r="A65" s="346" t="s">
        <v>1191</v>
      </c>
      <c r="B65" s="349" t="s">
        <v>1192</v>
      </c>
      <c r="C65" s="294" t="s">
        <v>1185</v>
      </c>
      <c r="D65" s="341">
        <v>2</v>
      </c>
      <c r="E65" s="342">
        <v>2</v>
      </c>
      <c r="F65" s="341">
        <f t="shared" si="0"/>
        <v>0</v>
      </c>
    </row>
    <row r="66" spans="1:6">
      <c r="A66" s="346" t="s">
        <v>1191</v>
      </c>
      <c r="B66" s="349" t="s">
        <v>1192</v>
      </c>
      <c r="C66" s="294" t="s">
        <v>1193</v>
      </c>
      <c r="D66" s="341">
        <v>2</v>
      </c>
      <c r="E66" s="342">
        <v>2</v>
      </c>
      <c r="F66" s="341">
        <f t="shared" si="0"/>
        <v>0</v>
      </c>
    </row>
    <row r="67" spans="1:6">
      <c r="A67" s="346" t="s">
        <v>1191</v>
      </c>
      <c r="B67" s="349" t="s">
        <v>1192</v>
      </c>
      <c r="C67" s="294" t="s">
        <v>832</v>
      </c>
      <c r="D67" s="341">
        <v>2</v>
      </c>
      <c r="E67" s="342">
        <v>2</v>
      </c>
      <c r="F67" s="341">
        <f t="shared" ref="F67:F130" si="1">D67-E67</f>
        <v>0</v>
      </c>
    </row>
    <row r="68" spans="1:6">
      <c r="A68" s="346" t="s">
        <v>1191</v>
      </c>
      <c r="B68" s="349" t="s">
        <v>1192</v>
      </c>
      <c r="C68" s="294" t="s">
        <v>1194</v>
      </c>
      <c r="D68" s="341">
        <v>2</v>
      </c>
      <c r="E68" s="342">
        <v>2</v>
      </c>
      <c r="F68" s="341">
        <f t="shared" si="1"/>
        <v>0</v>
      </c>
    </row>
    <row r="69" spans="1:6">
      <c r="A69" s="346" t="s">
        <v>1191</v>
      </c>
      <c r="B69" s="349" t="s">
        <v>1192</v>
      </c>
      <c r="C69" s="294" t="s">
        <v>1195</v>
      </c>
      <c r="D69" s="341">
        <v>1</v>
      </c>
      <c r="E69" s="342">
        <v>1</v>
      </c>
      <c r="F69" s="341">
        <f t="shared" si="1"/>
        <v>0</v>
      </c>
    </row>
    <row r="70" spans="1:6">
      <c r="A70" s="346" t="s">
        <v>1191</v>
      </c>
      <c r="B70" s="349" t="s">
        <v>1192</v>
      </c>
      <c r="C70" s="294" t="s">
        <v>1196</v>
      </c>
      <c r="D70" s="341">
        <v>1</v>
      </c>
      <c r="E70" s="342">
        <v>1</v>
      </c>
      <c r="F70" s="341">
        <f t="shared" si="1"/>
        <v>0</v>
      </c>
    </row>
    <row r="71" spans="1:6">
      <c r="A71" s="346" t="s">
        <v>1191</v>
      </c>
      <c r="B71" s="349" t="s">
        <v>1192</v>
      </c>
      <c r="C71" s="294"/>
      <c r="D71" s="341"/>
      <c r="E71" s="342"/>
      <c r="F71" s="341">
        <f t="shared" si="1"/>
        <v>0</v>
      </c>
    </row>
    <row r="72" spans="1:6">
      <c r="A72" s="346" t="s">
        <v>1302</v>
      </c>
      <c r="B72" s="349" t="s">
        <v>1197</v>
      </c>
      <c r="C72" s="294" t="s">
        <v>825</v>
      </c>
      <c r="D72" s="341">
        <v>5</v>
      </c>
      <c r="E72" s="342">
        <v>5</v>
      </c>
      <c r="F72" s="341">
        <f t="shared" si="1"/>
        <v>0</v>
      </c>
    </row>
    <row r="73" spans="1:6">
      <c r="A73" s="346" t="s">
        <v>1302</v>
      </c>
      <c r="B73" s="349" t="s">
        <v>1197</v>
      </c>
      <c r="C73" s="294" t="s">
        <v>826</v>
      </c>
      <c r="D73" s="341">
        <v>5</v>
      </c>
      <c r="E73" s="342">
        <v>5</v>
      </c>
      <c r="F73" s="341">
        <f t="shared" si="1"/>
        <v>0</v>
      </c>
    </row>
    <row r="74" spans="1:6">
      <c r="A74" s="346" t="s">
        <v>1302</v>
      </c>
      <c r="B74" s="349" t="s">
        <v>1197</v>
      </c>
      <c r="C74" s="294" t="s">
        <v>236</v>
      </c>
      <c r="D74" s="341">
        <v>2</v>
      </c>
      <c r="E74" s="342"/>
      <c r="F74" s="341">
        <f t="shared" si="1"/>
        <v>2</v>
      </c>
    </row>
    <row r="75" spans="1:6">
      <c r="A75" s="346" t="s">
        <v>1302</v>
      </c>
      <c r="B75" s="349" t="s">
        <v>1197</v>
      </c>
      <c r="C75" s="294" t="s">
        <v>237</v>
      </c>
      <c r="D75" s="341">
        <v>2</v>
      </c>
      <c r="E75" s="342">
        <v>2</v>
      </c>
      <c r="F75" s="341">
        <f t="shared" si="1"/>
        <v>0</v>
      </c>
    </row>
    <row r="76" spans="1:6">
      <c r="A76" s="346" t="s">
        <v>1302</v>
      </c>
      <c r="B76" s="349" t="s">
        <v>1197</v>
      </c>
      <c r="C76" s="294" t="s">
        <v>827</v>
      </c>
      <c r="D76" s="341">
        <v>3</v>
      </c>
      <c r="E76" s="342"/>
      <c r="F76" s="341">
        <f t="shared" si="1"/>
        <v>3</v>
      </c>
    </row>
    <row r="77" spans="1:6">
      <c r="A77" s="346" t="s">
        <v>1302</v>
      </c>
      <c r="B77" s="349" t="s">
        <v>1197</v>
      </c>
      <c r="C77" s="294" t="s">
        <v>828</v>
      </c>
      <c r="D77" s="341">
        <v>3</v>
      </c>
      <c r="E77" s="342">
        <v>3</v>
      </c>
      <c r="F77" s="341">
        <f t="shared" si="1"/>
        <v>0</v>
      </c>
    </row>
    <row r="78" spans="1:6">
      <c r="A78" s="346" t="s">
        <v>1302</v>
      </c>
      <c r="B78" s="349" t="s">
        <v>1197</v>
      </c>
      <c r="C78" s="294" t="s">
        <v>238</v>
      </c>
      <c r="D78" s="341">
        <v>1</v>
      </c>
      <c r="E78" s="342"/>
      <c r="F78" s="341">
        <f t="shared" si="1"/>
        <v>1</v>
      </c>
    </row>
    <row r="79" spans="1:6">
      <c r="A79" s="346" t="s">
        <v>1302</v>
      </c>
      <c r="B79" s="349" t="s">
        <v>1197</v>
      </c>
      <c r="C79" s="294" t="s">
        <v>239</v>
      </c>
      <c r="D79" s="341">
        <v>1</v>
      </c>
      <c r="E79" s="342">
        <v>1</v>
      </c>
      <c r="F79" s="341">
        <f t="shared" si="1"/>
        <v>0</v>
      </c>
    </row>
    <row r="80" spans="1:6">
      <c r="A80" s="346" t="s">
        <v>1302</v>
      </c>
      <c r="B80" s="349" t="s">
        <v>1197</v>
      </c>
      <c r="C80" s="294" t="s">
        <v>234</v>
      </c>
      <c r="D80" s="341">
        <v>1</v>
      </c>
      <c r="E80" s="342"/>
      <c r="F80" s="341">
        <f t="shared" si="1"/>
        <v>1</v>
      </c>
    </row>
    <row r="81" spans="1:6">
      <c r="A81" s="346" t="s">
        <v>1302</v>
      </c>
      <c r="B81" s="349" t="s">
        <v>1197</v>
      </c>
      <c r="C81" s="294" t="s">
        <v>235</v>
      </c>
      <c r="D81" s="341">
        <v>1</v>
      </c>
      <c r="E81" s="342">
        <v>1</v>
      </c>
      <c r="F81" s="341">
        <f t="shared" si="1"/>
        <v>0</v>
      </c>
    </row>
    <row r="82" spans="1:6">
      <c r="A82" s="346" t="s">
        <v>1302</v>
      </c>
      <c r="B82" s="349" t="s">
        <v>1197</v>
      </c>
      <c r="C82" s="294" t="s">
        <v>232</v>
      </c>
      <c r="D82" s="341">
        <v>3</v>
      </c>
      <c r="E82" s="342"/>
      <c r="F82" s="341">
        <f t="shared" si="1"/>
        <v>3</v>
      </c>
    </row>
    <row r="83" spans="1:6">
      <c r="A83" s="346" t="s">
        <v>1302</v>
      </c>
      <c r="B83" s="349" t="s">
        <v>1197</v>
      </c>
      <c r="C83" s="294" t="s">
        <v>233</v>
      </c>
      <c r="D83" s="341">
        <v>3</v>
      </c>
      <c r="E83" s="342">
        <v>3</v>
      </c>
      <c r="F83" s="341">
        <f t="shared" si="1"/>
        <v>0</v>
      </c>
    </row>
    <row r="84" spans="1:6">
      <c r="A84" s="346" t="s">
        <v>1302</v>
      </c>
      <c r="B84" s="349" t="s">
        <v>1197</v>
      </c>
      <c r="C84" s="294" t="s">
        <v>1099</v>
      </c>
      <c r="D84" s="341">
        <v>3</v>
      </c>
      <c r="E84" s="342"/>
      <c r="F84" s="341">
        <f t="shared" si="1"/>
        <v>3</v>
      </c>
    </row>
    <row r="85" spans="1:6">
      <c r="A85" s="346" t="s">
        <v>1302</v>
      </c>
      <c r="B85" s="349" t="s">
        <v>1197</v>
      </c>
      <c r="C85" s="294" t="s">
        <v>1100</v>
      </c>
      <c r="D85" s="341">
        <v>3</v>
      </c>
      <c r="E85" s="342"/>
      <c r="F85" s="341">
        <f t="shared" si="1"/>
        <v>3</v>
      </c>
    </row>
    <row r="86" spans="1:6">
      <c r="A86" s="346" t="s">
        <v>1302</v>
      </c>
      <c r="B86" s="349" t="s">
        <v>1197</v>
      </c>
      <c r="C86" s="294" t="s">
        <v>1236</v>
      </c>
      <c r="D86" s="341">
        <v>15</v>
      </c>
      <c r="E86" s="342"/>
      <c r="F86" s="341">
        <f t="shared" si="1"/>
        <v>15</v>
      </c>
    </row>
    <row r="87" spans="1:6">
      <c r="A87" s="346" t="s">
        <v>1302</v>
      </c>
      <c r="B87" s="349" t="s">
        <v>1197</v>
      </c>
      <c r="C87" s="294"/>
      <c r="D87" s="341"/>
      <c r="E87" s="342"/>
      <c r="F87" s="341">
        <f t="shared" si="1"/>
        <v>0</v>
      </c>
    </row>
    <row r="88" spans="1:6">
      <c r="A88" s="346" t="s">
        <v>1198</v>
      </c>
      <c r="B88" s="349" t="s">
        <v>1199</v>
      </c>
      <c r="C88" s="294" t="s">
        <v>1175</v>
      </c>
      <c r="D88" s="341">
        <v>2</v>
      </c>
      <c r="E88" s="342"/>
      <c r="F88" s="341">
        <f t="shared" si="1"/>
        <v>2</v>
      </c>
    </row>
    <row r="89" spans="1:6">
      <c r="A89" s="346" t="s">
        <v>1198</v>
      </c>
      <c r="B89" s="349" t="s">
        <v>1199</v>
      </c>
      <c r="C89" s="294" t="s">
        <v>826</v>
      </c>
      <c r="D89" s="341">
        <v>2</v>
      </c>
      <c r="E89" s="342">
        <v>2</v>
      </c>
      <c r="F89" s="341">
        <f t="shared" si="1"/>
        <v>0</v>
      </c>
    </row>
    <row r="90" spans="1:6">
      <c r="A90" s="346" t="s">
        <v>1198</v>
      </c>
      <c r="B90" s="349" t="s">
        <v>1199</v>
      </c>
      <c r="C90" s="294" t="s">
        <v>1177</v>
      </c>
      <c r="D90" s="341">
        <v>2</v>
      </c>
      <c r="E90" s="342"/>
      <c r="F90" s="341">
        <f t="shared" si="1"/>
        <v>2</v>
      </c>
    </row>
    <row r="91" spans="1:6">
      <c r="A91" s="346" t="s">
        <v>1198</v>
      </c>
      <c r="B91" s="349" t="s">
        <v>1199</v>
      </c>
      <c r="C91" s="294" t="s">
        <v>237</v>
      </c>
      <c r="D91" s="341">
        <v>2</v>
      </c>
      <c r="E91" s="342">
        <v>2</v>
      </c>
      <c r="F91" s="341">
        <f t="shared" si="1"/>
        <v>0</v>
      </c>
    </row>
    <row r="92" spans="1:6">
      <c r="A92" s="346" t="s">
        <v>1198</v>
      </c>
      <c r="B92" s="349" t="s">
        <v>1199</v>
      </c>
      <c r="C92" s="294" t="s">
        <v>1200</v>
      </c>
      <c r="D92" s="341">
        <v>2</v>
      </c>
      <c r="E92" s="342"/>
      <c r="F92" s="341">
        <f t="shared" si="1"/>
        <v>2</v>
      </c>
    </row>
    <row r="93" spans="1:6">
      <c r="A93" s="346" t="s">
        <v>1198</v>
      </c>
      <c r="B93" s="349" t="s">
        <v>1199</v>
      </c>
      <c r="C93" s="294" t="s">
        <v>239</v>
      </c>
      <c r="D93" s="341">
        <v>2</v>
      </c>
      <c r="E93" s="342">
        <v>2</v>
      </c>
      <c r="F93" s="341">
        <f t="shared" si="1"/>
        <v>0</v>
      </c>
    </row>
    <row r="94" spans="1:6">
      <c r="A94" s="346" t="s">
        <v>1198</v>
      </c>
      <c r="B94" s="349" t="s">
        <v>1199</v>
      </c>
      <c r="C94" s="294" t="s">
        <v>1183</v>
      </c>
      <c r="D94" s="341">
        <v>1</v>
      </c>
      <c r="E94" s="342"/>
      <c r="F94" s="341">
        <f t="shared" si="1"/>
        <v>1</v>
      </c>
    </row>
    <row r="95" spans="1:6">
      <c r="A95" s="346" t="s">
        <v>1198</v>
      </c>
      <c r="B95" s="349" t="s">
        <v>1199</v>
      </c>
      <c r="C95" s="294" t="s">
        <v>1184</v>
      </c>
      <c r="D95" s="341">
        <v>1</v>
      </c>
      <c r="E95" s="342">
        <v>1</v>
      </c>
      <c r="F95" s="341">
        <f t="shared" si="1"/>
        <v>0</v>
      </c>
    </row>
    <row r="96" spans="1:6">
      <c r="A96" s="346" t="s">
        <v>1198</v>
      </c>
      <c r="B96" s="349" t="s">
        <v>1199</v>
      </c>
      <c r="C96" s="294" t="s">
        <v>1185</v>
      </c>
      <c r="D96" s="341">
        <v>5</v>
      </c>
      <c r="E96" s="342"/>
      <c r="F96" s="341">
        <f t="shared" si="1"/>
        <v>5</v>
      </c>
    </row>
    <row r="97" spans="1:6">
      <c r="A97" s="346" t="s">
        <v>1198</v>
      </c>
      <c r="B97" s="349" t="s">
        <v>1199</v>
      </c>
      <c r="C97" s="294" t="s">
        <v>1193</v>
      </c>
      <c r="D97" s="341">
        <v>5</v>
      </c>
      <c r="E97" s="342">
        <v>5</v>
      </c>
      <c r="F97" s="341">
        <f t="shared" si="1"/>
        <v>0</v>
      </c>
    </row>
    <row r="98" spans="1:6">
      <c r="A98" s="346" t="s">
        <v>1198</v>
      </c>
      <c r="B98" s="349" t="s">
        <v>1199</v>
      </c>
      <c r="C98" s="294" t="s">
        <v>832</v>
      </c>
      <c r="D98" s="341">
        <v>4</v>
      </c>
      <c r="E98" s="342"/>
      <c r="F98" s="341">
        <f t="shared" si="1"/>
        <v>4</v>
      </c>
    </row>
    <row r="99" spans="1:6">
      <c r="A99" s="346" t="s">
        <v>1198</v>
      </c>
      <c r="B99" s="349" t="s">
        <v>1199</v>
      </c>
      <c r="C99" s="294" t="s">
        <v>1194</v>
      </c>
      <c r="D99" s="341">
        <v>4</v>
      </c>
      <c r="E99" s="342"/>
      <c r="F99" s="341">
        <f t="shared" si="1"/>
        <v>4</v>
      </c>
    </row>
    <row r="100" spans="1:6">
      <c r="A100" s="346" t="s">
        <v>1198</v>
      </c>
      <c r="B100" s="349" t="s">
        <v>1199</v>
      </c>
      <c r="C100" s="294" t="s">
        <v>1195</v>
      </c>
      <c r="D100" s="341">
        <v>1</v>
      </c>
      <c r="E100" s="342"/>
      <c r="F100" s="341">
        <f t="shared" si="1"/>
        <v>1</v>
      </c>
    </row>
    <row r="101" spans="1:6">
      <c r="A101" s="346" t="s">
        <v>1198</v>
      </c>
      <c r="B101" s="349" t="s">
        <v>1199</v>
      </c>
      <c r="C101" s="294" t="s">
        <v>1196</v>
      </c>
      <c r="D101" s="341">
        <v>1</v>
      </c>
      <c r="E101" s="342"/>
      <c r="F101" s="341">
        <f t="shared" si="1"/>
        <v>1</v>
      </c>
    </row>
    <row r="102" spans="1:6">
      <c r="A102" s="346" t="s">
        <v>1198</v>
      </c>
      <c r="B102" s="349" t="s">
        <v>1199</v>
      </c>
      <c r="C102" s="294"/>
      <c r="D102" s="341"/>
      <c r="E102" s="342"/>
      <c r="F102" s="341">
        <f t="shared" si="1"/>
        <v>0</v>
      </c>
    </row>
    <row r="103" spans="1:6">
      <c r="A103" s="346" t="s">
        <v>1201</v>
      </c>
      <c r="B103" s="349" t="s">
        <v>1202</v>
      </c>
      <c r="C103" s="294" t="s">
        <v>825</v>
      </c>
      <c r="D103" s="341">
        <v>1</v>
      </c>
      <c r="E103" s="342"/>
      <c r="F103" s="341">
        <f t="shared" si="1"/>
        <v>1</v>
      </c>
    </row>
    <row r="104" spans="1:6">
      <c r="A104" s="346" t="s">
        <v>1201</v>
      </c>
      <c r="B104" s="349" t="s">
        <v>1202</v>
      </c>
      <c r="C104" s="294" t="s">
        <v>826</v>
      </c>
      <c r="D104" s="341">
        <v>1</v>
      </c>
      <c r="E104" s="342">
        <v>1</v>
      </c>
      <c r="F104" s="341">
        <f t="shared" si="1"/>
        <v>0</v>
      </c>
    </row>
    <row r="105" spans="1:6">
      <c r="A105" s="346" t="s">
        <v>1201</v>
      </c>
      <c r="B105" s="349" t="s">
        <v>1202</v>
      </c>
      <c r="C105" s="294" t="s">
        <v>236</v>
      </c>
      <c r="D105" s="341">
        <v>1</v>
      </c>
      <c r="E105" s="342"/>
      <c r="F105" s="341">
        <f t="shared" si="1"/>
        <v>1</v>
      </c>
    </row>
    <row r="106" spans="1:6">
      <c r="A106" s="346" t="s">
        <v>1201</v>
      </c>
      <c r="B106" s="349" t="s">
        <v>1202</v>
      </c>
      <c r="C106" s="294" t="s">
        <v>237</v>
      </c>
      <c r="D106" s="341">
        <v>1</v>
      </c>
      <c r="E106" s="342">
        <v>1</v>
      </c>
      <c r="F106" s="341">
        <f t="shared" si="1"/>
        <v>0</v>
      </c>
    </row>
    <row r="107" spans="1:6">
      <c r="A107" s="346" t="s">
        <v>1201</v>
      </c>
      <c r="B107" s="349" t="s">
        <v>1202</v>
      </c>
      <c r="C107" s="294" t="s">
        <v>827</v>
      </c>
      <c r="D107" s="341">
        <v>1</v>
      </c>
      <c r="E107" s="342"/>
      <c r="F107" s="341">
        <f t="shared" si="1"/>
        <v>1</v>
      </c>
    </row>
    <row r="108" spans="1:6">
      <c r="A108" s="346" t="s">
        <v>1201</v>
      </c>
      <c r="B108" s="349" t="s">
        <v>1202</v>
      </c>
      <c r="C108" s="294" t="s">
        <v>828</v>
      </c>
      <c r="D108" s="341">
        <v>1</v>
      </c>
      <c r="E108" s="342">
        <v>1</v>
      </c>
      <c r="F108" s="341">
        <f t="shared" si="1"/>
        <v>0</v>
      </c>
    </row>
    <row r="109" spans="1:6">
      <c r="A109" s="346" t="s">
        <v>1201</v>
      </c>
      <c r="B109" s="349" t="s">
        <v>1202</v>
      </c>
      <c r="C109" s="294" t="s">
        <v>232</v>
      </c>
      <c r="D109" s="341">
        <v>6</v>
      </c>
      <c r="E109" s="342"/>
      <c r="F109" s="341">
        <f t="shared" si="1"/>
        <v>6</v>
      </c>
    </row>
    <row r="110" spans="1:6">
      <c r="A110" s="346" t="s">
        <v>1201</v>
      </c>
      <c r="B110" s="349" t="s">
        <v>1202</v>
      </c>
      <c r="C110" s="294" t="s">
        <v>233</v>
      </c>
      <c r="D110" s="341">
        <v>6</v>
      </c>
      <c r="E110" s="342">
        <v>6</v>
      </c>
      <c r="F110" s="341">
        <f t="shared" si="1"/>
        <v>0</v>
      </c>
    </row>
    <row r="111" spans="1:6">
      <c r="A111" s="346" t="s">
        <v>1201</v>
      </c>
      <c r="B111" s="349" t="s">
        <v>1202</v>
      </c>
      <c r="C111" s="294" t="s">
        <v>1099</v>
      </c>
      <c r="D111" s="341">
        <v>1</v>
      </c>
      <c r="E111" s="342"/>
      <c r="F111" s="341">
        <f t="shared" si="1"/>
        <v>1</v>
      </c>
    </row>
    <row r="112" spans="1:6">
      <c r="A112" s="346" t="s">
        <v>1201</v>
      </c>
      <c r="B112" s="349" t="s">
        <v>1202</v>
      </c>
      <c r="C112" s="294" t="s">
        <v>1100</v>
      </c>
      <c r="D112" s="341">
        <v>1</v>
      </c>
      <c r="E112" s="342"/>
      <c r="F112" s="341">
        <f t="shared" si="1"/>
        <v>1</v>
      </c>
    </row>
    <row r="113" spans="1:6">
      <c r="A113" s="346" t="s">
        <v>1201</v>
      </c>
      <c r="B113" s="349" t="s">
        <v>1202</v>
      </c>
      <c r="C113" s="294" t="s">
        <v>832</v>
      </c>
      <c r="D113" s="341">
        <v>1</v>
      </c>
      <c r="E113" s="342"/>
      <c r="F113" s="341">
        <f t="shared" si="1"/>
        <v>1</v>
      </c>
    </row>
    <row r="114" spans="1:6">
      <c r="A114" s="346" t="s">
        <v>1201</v>
      </c>
      <c r="B114" s="349" t="s">
        <v>1202</v>
      </c>
      <c r="C114" s="294" t="s">
        <v>833</v>
      </c>
      <c r="D114" s="341">
        <v>1</v>
      </c>
      <c r="E114" s="342"/>
      <c r="F114" s="341">
        <f t="shared" si="1"/>
        <v>1</v>
      </c>
    </row>
    <row r="115" spans="1:6">
      <c r="A115" s="346" t="s">
        <v>1201</v>
      </c>
      <c r="B115" s="349" t="s">
        <v>1202</v>
      </c>
      <c r="C115" s="294" t="s">
        <v>1203</v>
      </c>
      <c r="D115" s="341">
        <v>1</v>
      </c>
      <c r="E115" s="342"/>
      <c r="F115" s="341">
        <f t="shared" si="1"/>
        <v>1</v>
      </c>
    </row>
    <row r="116" spans="1:6">
      <c r="A116" s="346" t="s">
        <v>1201</v>
      </c>
      <c r="B116" s="349" t="s">
        <v>1202</v>
      </c>
      <c r="C116" s="294" t="s">
        <v>1204</v>
      </c>
      <c r="D116" s="341">
        <v>1</v>
      </c>
      <c r="E116" s="342"/>
      <c r="F116" s="341">
        <f t="shared" si="1"/>
        <v>1</v>
      </c>
    </row>
    <row r="117" spans="1:6">
      <c r="A117" s="346" t="s">
        <v>1201</v>
      </c>
      <c r="B117" s="349" t="s">
        <v>1202</v>
      </c>
      <c r="C117" s="294"/>
      <c r="D117" s="341"/>
      <c r="E117" s="342"/>
      <c r="F117" s="341">
        <f t="shared" si="1"/>
        <v>0</v>
      </c>
    </row>
    <row r="118" spans="1:6">
      <c r="A118" s="346" t="s">
        <v>1225</v>
      </c>
      <c r="B118" s="349" t="s">
        <v>192</v>
      </c>
      <c r="C118" s="294" t="s">
        <v>1177</v>
      </c>
      <c r="D118" s="341">
        <v>1</v>
      </c>
      <c r="E118" s="342"/>
      <c r="F118" s="341">
        <f t="shared" si="1"/>
        <v>1</v>
      </c>
    </row>
    <row r="119" spans="1:6">
      <c r="A119" s="346" t="s">
        <v>1225</v>
      </c>
      <c r="B119" s="349" t="s">
        <v>192</v>
      </c>
      <c r="C119" s="294" t="s">
        <v>237</v>
      </c>
      <c r="D119" s="341">
        <v>1</v>
      </c>
      <c r="E119" s="342">
        <v>1</v>
      </c>
      <c r="F119" s="341">
        <f t="shared" si="1"/>
        <v>0</v>
      </c>
    </row>
    <row r="120" spans="1:6">
      <c r="A120" s="346" t="s">
        <v>1225</v>
      </c>
      <c r="B120" s="349" t="s">
        <v>192</v>
      </c>
      <c r="C120" s="294" t="s">
        <v>1168</v>
      </c>
      <c r="D120" s="341">
        <v>3</v>
      </c>
      <c r="E120" s="342"/>
      <c r="F120" s="341">
        <f t="shared" si="1"/>
        <v>3</v>
      </c>
    </row>
    <row r="121" spans="1:6">
      <c r="A121" s="346" t="s">
        <v>1225</v>
      </c>
      <c r="B121" s="349" t="s">
        <v>192</v>
      </c>
      <c r="C121" s="294" t="s">
        <v>1226</v>
      </c>
      <c r="D121" s="341">
        <v>3</v>
      </c>
      <c r="E121" s="342">
        <v>3</v>
      </c>
      <c r="F121" s="341">
        <f t="shared" si="1"/>
        <v>0</v>
      </c>
    </row>
    <row r="122" spans="1:6">
      <c r="A122" s="346" t="s">
        <v>1225</v>
      </c>
      <c r="B122" s="349" t="s">
        <v>192</v>
      </c>
      <c r="C122" s="294" t="s">
        <v>1185</v>
      </c>
      <c r="D122" s="341">
        <v>6</v>
      </c>
      <c r="E122" s="342"/>
      <c r="F122" s="341">
        <f t="shared" si="1"/>
        <v>6</v>
      </c>
    </row>
    <row r="123" spans="1:6">
      <c r="A123" s="346" t="s">
        <v>1225</v>
      </c>
      <c r="B123" s="349" t="s">
        <v>192</v>
      </c>
      <c r="C123" s="294" t="s">
        <v>233</v>
      </c>
      <c r="D123" s="341">
        <v>6</v>
      </c>
      <c r="E123" s="342">
        <v>6</v>
      </c>
      <c r="F123" s="341">
        <f t="shared" si="1"/>
        <v>0</v>
      </c>
    </row>
    <row r="124" spans="1:6">
      <c r="A124" s="346" t="s">
        <v>1225</v>
      </c>
      <c r="B124" s="349" t="s">
        <v>192</v>
      </c>
      <c r="C124" s="294" t="s">
        <v>1169</v>
      </c>
      <c r="D124" s="341">
        <v>2</v>
      </c>
      <c r="E124" s="342"/>
      <c r="F124" s="341">
        <f t="shared" si="1"/>
        <v>2</v>
      </c>
    </row>
    <row r="125" spans="1:6">
      <c r="A125" s="346" t="s">
        <v>1225</v>
      </c>
      <c r="B125" s="349" t="s">
        <v>192</v>
      </c>
      <c r="C125" s="294" t="s">
        <v>1227</v>
      </c>
      <c r="D125" s="341">
        <v>2</v>
      </c>
      <c r="E125" s="342"/>
      <c r="F125" s="341">
        <f t="shared" si="1"/>
        <v>2</v>
      </c>
    </row>
    <row r="126" spans="1:6">
      <c r="A126" s="346" t="s">
        <v>1225</v>
      </c>
      <c r="B126" s="349" t="s">
        <v>192</v>
      </c>
      <c r="C126" s="294" t="s">
        <v>1228</v>
      </c>
      <c r="D126" s="341">
        <v>3</v>
      </c>
      <c r="E126" s="342"/>
      <c r="F126" s="341">
        <f t="shared" si="1"/>
        <v>3</v>
      </c>
    </row>
    <row r="127" spans="1:6">
      <c r="A127" s="346" t="s">
        <v>1225</v>
      </c>
      <c r="B127" s="349" t="s">
        <v>192</v>
      </c>
      <c r="C127" s="294" t="s">
        <v>833</v>
      </c>
      <c r="D127" s="341">
        <v>3</v>
      </c>
      <c r="E127" s="342"/>
      <c r="F127" s="341">
        <f t="shared" si="1"/>
        <v>3</v>
      </c>
    </row>
    <row r="128" spans="1:6">
      <c r="A128" s="346" t="s">
        <v>1225</v>
      </c>
      <c r="B128" s="349" t="s">
        <v>192</v>
      </c>
      <c r="C128" s="294" t="s">
        <v>1081</v>
      </c>
      <c r="D128" s="341">
        <v>1</v>
      </c>
      <c r="E128" s="342"/>
      <c r="F128" s="341">
        <f t="shared" si="1"/>
        <v>1</v>
      </c>
    </row>
    <row r="129" spans="1:6">
      <c r="A129" s="346" t="s">
        <v>1225</v>
      </c>
      <c r="B129" s="349" t="s">
        <v>192</v>
      </c>
      <c r="C129" s="294" t="s">
        <v>1229</v>
      </c>
      <c r="D129" s="341">
        <v>1</v>
      </c>
      <c r="E129" s="342"/>
      <c r="F129" s="341">
        <f t="shared" si="1"/>
        <v>1</v>
      </c>
    </row>
    <row r="130" spans="1:6">
      <c r="A130" s="346" t="s">
        <v>1225</v>
      </c>
      <c r="B130" s="349" t="s">
        <v>192</v>
      </c>
      <c r="C130" s="294" t="s">
        <v>1230</v>
      </c>
      <c r="D130" s="341">
        <v>1</v>
      </c>
      <c r="E130" s="342"/>
      <c r="F130" s="341">
        <f t="shared" si="1"/>
        <v>1</v>
      </c>
    </row>
    <row r="131" spans="1:6">
      <c r="A131" s="346" t="s">
        <v>1225</v>
      </c>
      <c r="B131" s="349" t="s">
        <v>192</v>
      </c>
      <c r="C131" s="294"/>
      <c r="D131" s="341"/>
      <c r="E131" s="342"/>
      <c r="F131" s="341">
        <f t="shared" ref="F131:F194" si="2">D131-E131</f>
        <v>0</v>
      </c>
    </row>
    <row r="132" spans="1:6">
      <c r="A132" s="346" t="s">
        <v>1231</v>
      </c>
      <c r="B132" s="349" t="s">
        <v>1232</v>
      </c>
      <c r="C132" s="294" t="s">
        <v>827</v>
      </c>
      <c r="D132" s="341">
        <v>5</v>
      </c>
      <c r="E132" s="342"/>
      <c r="F132" s="341">
        <f t="shared" si="2"/>
        <v>5</v>
      </c>
    </row>
    <row r="133" spans="1:6">
      <c r="A133" s="346" t="s">
        <v>1231</v>
      </c>
      <c r="B133" s="349" t="s">
        <v>1232</v>
      </c>
      <c r="C133" s="294" t="s">
        <v>828</v>
      </c>
      <c r="D133" s="341">
        <v>5</v>
      </c>
      <c r="E133" s="342">
        <v>5</v>
      </c>
      <c r="F133" s="341">
        <f t="shared" si="2"/>
        <v>0</v>
      </c>
    </row>
    <row r="134" spans="1:6">
      <c r="A134" s="346" t="s">
        <v>1231</v>
      </c>
      <c r="B134" s="349" t="s">
        <v>1232</v>
      </c>
      <c r="C134" s="294" t="s">
        <v>238</v>
      </c>
      <c r="D134" s="341">
        <v>2</v>
      </c>
      <c r="E134" s="342"/>
      <c r="F134" s="341">
        <f t="shared" si="2"/>
        <v>2</v>
      </c>
    </row>
    <row r="135" spans="1:6">
      <c r="A135" s="346" t="s">
        <v>1231</v>
      </c>
      <c r="B135" s="349" t="s">
        <v>1232</v>
      </c>
      <c r="C135" s="294" t="s">
        <v>239</v>
      </c>
      <c r="D135" s="341">
        <v>2</v>
      </c>
      <c r="E135" s="342">
        <v>2</v>
      </c>
      <c r="F135" s="341">
        <f t="shared" si="2"/>
        <v>0</v>
      </c>
    </row>
    <row r="136" spans="1:6">
      <c r="A136" s="346" t="s">
        <v>1231</v>
      </c>
      <c r="B136" s="349" t="s">
        <v>1232</v>
      </c>
      <c r="C136" s="294" t="s">
        <v>234</v>
      </c>
      <c r="D136" s="341">
        <v>1</v>
      </c>
      <c r="E136" s="342"/>
      <c r="F136" s="341">
        <f t="shared" si="2"/>
        <v>1</v>
      </c>
    </row>
    <row r="137" spans="1:6">
      <c r="A137" s="346" t="s">
        <v>1231</v>
      </c>
      <c r="B137" s="349" t="s">
        <v>1232</v>
      </c>
      <c r="C137" s="294" t="s">
        <v>235</v>
      </c>
      <c r="D137" s="341">
        <v>1</v>
      </c>
      <c r="E137" s="342">
        <v>1</v>
      </c>
      <c r="F137" s="341">
        <f t="shared" si="2"/>
        <v>0</v>
      </c>
    </row>
    <row r="138" spans="1:6">
      <c r="A138" s="346" t="s">
        <v>1231</v>
      </c>
      <c r="B138" s="349" t="s">
        <v>1232</v>
      </c>
      <c r="C138" s="294" t="s">
        <v>232</v>
      </c>
      <c r="D138" s="341">
        <v>4</v>
      </c>
      <c r="E138" s="342"/>
      <c r="F138" s="341">
        <f t="shared" si="2"/>
        <v>4</v>
      </c>
    </row>
    <row r="139" spans="1:6">
      <c r="A139" s="346" t="s">
        <v>1231</v>
      </c>
      <c r="B139" s="349" t="s">
        <v>1232</v>
      </c>
      <c r="C139" s="294" t="s">
        <v>233</v>
      </c>
      <c r="D139" s="341">
        <v>4</v>
      </c>
      <c r="E139" s="342">
        <v>4</v>
      </c>
      <c r="F139" s="341">
        <f t="shared" si="2"/>
        <v>0</v>
      </c>
    </row>
    <row r="140" spans="1:6">
      <c r="A140" s="346" t="s">
        <v>1231</v>
      </c>
      <c r="B140" s="349" t="s">
        <v>1232</v>
      </c>
      <c r="C140" s="294" t="s">
        <v>1099</v>
      </c>
      <c r="D140" s="341">
        <v>1</v>
      </c>
      <c r="E140" s="342"/>
      <c r="F140" s="341">
        <f t="shared" si="2"/>
        <v>1</v>
      </c>
    </row>
    <row r="141" spans="1:6">
      <c r="A141" s="346" t="s">
        <v>1231</v>
      </c>
      <c r="B141" s="349" t="s">
        <v>1232</v>
      </c>
      <c r="C141" s="294" t="s">
        <v>1100</v>
      </c>
      <c r="D141" s="341">
        <v>1</v>
      </c>
      <c r="E141" s="342"/>
      <c r="F141" s="341">
        <f t="shared" si="2"/>
        <v>1</v>
      </c>
    </row>
    <row r="142" spans="1:6">
      <c r="A142" s="346" t="s">
        <v>1231</v>
      </c>
      <c r="B142" s="349" t="s">
        <v>1232</v>
      </c>
      <c r="C142" s="294" t="s">
        <v>832</v>
      </c>
      <c r="D142" s="341">
        <v>2</v>
      </c>
      <c r="E142" s="342"/>
      <c r="F142" s="341">
        <f t="shared" si="2"/>
        <v>2</v>
      </c>
    </row>
    <row r="143" spans="1:6">
      <c r="A143" s="346" t="s">
        <v>1231</v>
      </c>
      <c r="B143" s="349" t="s">
        <v>1232</v>
      </c>
      <c r="C143" s="294" t="s">
        <v>833</v>
      </c>
      <c r="D143" s="341">
        <v>2</v>
      </c>
      <c r="E143" s="342"/>
      <c r="F143" s="341">
        <f t="shared" si="2"/>
        <v>2</v>
      </c>
    </row>
    <row r="144" spans="1:6">
      <c r="A144" s="346" t="s">
        <v>1231</v>
      </c>
      <c r="B144" s="349" t="s">
        <v>1232</v>
      </c>
      <c r="C144" s="294" t="s">
        <v>1081</v>
      </c>
      <c r="D144" s="341">
        <v>3</v>
      </c>
      <c r="E144" s="342"/>
      <c r="F144" s="341">
        <f t="shared" si="2"/>
        <v>3</v>
      </c>
    </row>
    <row r="145" spans="1:6">
      <c r="A145" s="346" t="s">
        <v>1231</v>
      </c>
      <c r="B145" s="349" t="s">
        <v>1232</v>
      </c>
      <c r="C145" s="294" t="s">
        <v>1082</v>
      </c>
      <c r="D145" s="341">
        <v>3</v>
      </c>
      <c r="E145" s="342"/>
      <c r="F145" s="341">
        <f t="shared" si="2"/>
        <v>3</v>
      </c>
    </row>
    <row r="146" spans="1:6">
      <c r="A146" s="346" t="s">
        <v>1231</v>
      </c>
      <c r="B146" s="349" t="s">
        <v>1232</v>
      </c>
      <c r="C146" s="294"/>
      <c r="D146" s="341"/>
      <c r="E146" s="342"/>
      <c r="F146" s="341">
        <f t="shared" si="2"/>
        <v>0</v>
      </c>
    </row>
    <row r="147" spans="1:6">
      <c r="A147" s="346" t="s">
        <v>1299</v>
      </c>
      <c r="B147" s="349" t="s">
        <v>1233</v>
      </c>
      <c r="C147" s="294" t="s">
        <v>1177</v>
      </c>
      <c r="D147" s="341">
        <v>3</v>
      </c>
      <c r="E147" s="342">
        <v>3</v>
      </c>
      <c r="F147" s="341">
        <f t="shared" si="2"/>
        <v>0</v>
      </c>
    </row>
    <row r="148" spans="1:6">
      <c r="A148" s="346" t="s">
        <v>1299</v>
      </c>
      <c r="B148" s="349" t="s">
        <v>1233</v>
      </c>
      <c r="C148" s="294" t="s">
        <v>237</v>
      </c>
      <c r="D148" s="341">
        <v>3</v>
      </c>
      <c r="E148" s="342">
        <v>3</v>
      </c>
      <c r="F148" s="341">
        <f t="shared" si="2"/>
        <v>0</v>
      </c>
    </row>
    <row r="149" spans="1:6">
      <c r="A149" s="346" t="s">
        <v>1299</v>
      </c>
      <c r="B149" s="349" t="s">
        <v>1233</v>
      </c>
      <c r="C149" s="294" t="s">
        <v>1200</v>
      </c>
      <c r="D149" s="341">
        <v>3</v>
      </c>
      <c r="E149" s="342"/>
      <c r="F149" s="341">
        <f t="shared" si="2"/>
        <v>3</v>
      </c>
    </row>
    <row r="150" spans="1:6">
      <c r="A150" s="346" t="s">
        <v>1299</v>
      </c>
      <c r="B150" s="349" t="s">
        <v>1233</v>
      </c>
      <c r="C150" s="294" t="s">
        <v>239</v>
      </c>
      <c r="D150" s="341">
        <v>3</v>
      </c>
      <c r="E150" s="342">
        <v>3</v>
      </c>
      <c r="F150" s="341">
        <f t="shared" si="2"/>
        <v>0</v>
      </c>
    </row>
    <row r="151" spans="1:6">
      <c r="A151" s="346" t="s">
        <v>1299</v>
      </c>
      <c r="B151" s="349" t="s">
        <v>1233</v>
      </c>
      <c r="C151" s="294" t="s">
        <v>1183</v>
      </c>
      <c r="D151" s="341">
        <v>4</v>
      </c>
      <c r="E151" s="342"/>
      <c r="F151" s="341">
        <f t="shared" si="2"/>
        <v>4</v>
      </c>
    </row>
    <row r="152" spans="1:6">
      <c r="A152" s="346" t="s">
        <v>1299</v>
      </c>
      <c r="B152" s="349" t="s">
        <v>1233</v>
      </c>
      <c r="C152" s="294" t="s">
        <v>235</v>
      </c>
      <c r="D152" s="341">
        <v>4</v>
      </c>
      <c r="E152" s="342">
        <v>4</v>
      </c>
      <c r="F152" s="341">
        <f t="shared" si="2"/>
        <v>0</v>
      </c>
    </row>
    <row r="153" spans="1:6">
      <c r="A153" s="346" t="s">
        <v>1299</v>
      </c>
      <c r="B153" s="349" t="s">
        <v>1233</v>
      </c>
      <c r="C153" s="294" t="s">
        <v>1185</v>
      </c>
      <c r="D153" s="341">
        <v>3</v>
      </c>
      <c r="E153" s="342"/>
      <c r="F153" s="341">
        <f t="shared" si="2"/>
        <v>3</v>
      </c>
    </row>
    <row r="154" spans="1:6">
      <c r="A154" s="346" t="s">
        <v>1299</v>
      </c>
      <c r="B154" s="349" t="s">
        <v>1233</v>
      </c>
      <c r="C154" s="294" t="s">
        <v>233</v>
      </c>
      <c r="D154" s="341">
        <v>3</v>
      </c>
      <c r="E154" s="342">
        <v>3</v>
      </c>
      <c r="F154" s="341">
        <f t="shared" si="2"/>
        <v>0</v>
      </c>
    </row>
    <row r="155" spans="1:6">
      <c r="A155" s="346" t="s">
        <v>1299</v>
      </c>
      <c r="B155" s="349" t="s">
        <v>1233</v>
      </c>
      <c r="C155" s="294" t="s">
        <v>832</v>
      </c>
      <c r="D155" s="341">
        <v>4</v>
      </c>
      <c r="E155" s="342">
        <v>4</v>
      </c>
      <c r="F155" s="341">
        <f t="shared" si="2"/>
        <v>0</v>
      </c>
    </row>
    <row r="156" spans="1:6">
      <c r="A156" s="346" t="s">
        <v>1299</v>
      </c>
      <c r="B156" s="349" t="s">
        <v>1233</v>
      </c>
      <c r="C156" s="294" t="s">
        <v>833</v>
      </c>
      <c r="D156" s="341">
        <v>4</v>
      </c>
      <c r="E156" s="342">
        <v>4</v>
      </c>
      <c r="F156" s="341">
        <f t="shared" si="2"/>
        <v>0</v>
      </c>
    </row>
    <row r="157" spans="1:6">
      <c r="A157" s="346" t="s">
        <v>1299</v>
      </c>
      <c r="B157" s="349" t="s">
        <v>1233</v>
      </c>
      <c r="C157" s="294" t="s">
        <v>1300</v>
      </c>
      <c r="D157" s="341">
        <v>13</v>
      </c>
      <c r="E157" s="342"/>
      <c r="F157" s="341">
        <f t="shared" si="2"/>
        <v>13</v>
      </c>
    </row>
    <row r="158" spans="1:6">
      <c r="A158" s="346" t="s">
        <v>1299</v>
      </c>
      <c r="B158" s="349" t="s">
        <v>1233</v>
      </c>
      <c r="C158" s="294" t="s">
        <v>1203</v>
      </c>
      <c r="D158" s="341">
        <v>1</v>
      </c>
      <c r="E158" s="342">
        <v>1</v>
      </c>
      <c r="F158" s="341">
        <f t="shared" si="2"/>
        <v>0</v>
      </c>
    </row>
    <row r="159" spans="1:6">
      <c r="A159" s="346" t="s">
        <v>1299</v>
      </c>
      <c r="B159" s="349" t="s">
        <v>1233</v>
      </c>
      <c r="C159" s="294" t="s">
        <v>1204</v>
      </c>
      <c r="D159" s="341">
        <v>1</v>
      </c>
      <c r="E159" s="342">
        <v>1</v>
      </c>
      <c r="F159" s="341">
        <f t="shared" si="2"/>
        <v>0</v>
      </c>
    </row>
    <row r="160" spans="1:6">
      <c r="A160" s="346" t="s">
        <v>1299</v>
      </c>
      <c r="B160" s="349" t="s">
        <v>1233</v>
      </c>
      <c r="C160" s="294" t="s">
        <v>1301</v>
      </c>
      <c r="D160" s="341">
        <v>1</v>
      </c>
      <c r="E160" s="342">
        <v>1</v>
      </c>
      <c r="F160" s="341">
        <f t="shared" si="2"/>
        <v>0</v>
      </c>
    </row>
    <row r="161" spans="1:6">
      <c r="A161" s="346" t="s">
        <v>1299</v>
      </c>
      <c r="B161" s="349" t="s">
        <v>1233</v>
      </c>
      <c r="C161" s="294"/>
      <c r="D161" s="341"/>
      <c r="E161" s="342"/>
      <c r="F161" s="341">
        <f t="shared" si="2"/>
        <v>0</v>
      </c>
    </row>
    <row r="162" spans="1:6">
      <c r="A162" s="346" t="s">
        <v>1234</v>
      </c>
      <c r="B162" s="349" t="s">
        <v>1235</v>
      </c>
      <c r="C162" s="294" t="s">
        <v>236</v>
      </c>
      <c r="D162" s="341">
        <v>2</v>
      </c>
      <c r="E162" s="342"/>
      <c r="F162" s="341">
        <f t="shared" si="2"/>
        <v>2</v>
      </c>
    </row>
    <row r="163" spans="1:6">
      <c r="A163" s="346" t="s">
        <v>1234</v>
      </c>
      <c r="B163" s="349" t="s">
        <v>1235</v>
      </c>
      <c r="C163" s="294" t="s">
        <v>237</v>
      </c>
      <c r="D163" s="341">
        <v>2</v>
      </c>
      <c r="E163" s="342">
        <v>2</v>
      </c>
      <c r="F163" s="341">
        <f t="shared" si="2"/>
        <v>0</v>
      </c>
    </row>
    <row r="164" spans="1:6">
      <c r="A164" s="346" t="s">
        <v>1234</v>
      </c>
      <c r="B164" s="349" t="s">
        <v>1235</v>
      </c>
      <c r="C164" s="294" t="s">
        <v>827</v>
      </c>
      <c r="D164" s="341">
        <v>1</v>
      </c>
      <c r="E164" s="342">
        <v>0</v>
      </c>
      <c r="F164" s="341">
        <f t="shared" si="2"/>
        <v>1</v>
      </c>
    </row>
    <row r="165" spans="1:6">
      <c r="A165" s="346" t="s">
        <v>1234</v>
      </c>
      <c r="B165" s="349" t="s">
        <v>1235</v>
      </c>
      <c r="C165" s="294" t="s">
        <v>828</v>
      </c>
      <c r="D165" s="341">
        <v>1</v>
      </c>
      <c r="E165" s="342">
        <v>1</v>
      </c>
      <c r="F165" s="341">
        <f t="shared" si="2"/>
        <v>0</v>
      </c>
    </row>
    <row r="166" spans="1:6">
      <c r="A166" s="346" t="s">
        <v>1234</v>
      </c>
      <c r="B166" s="349" t="s">
        <v>1235</v>
      </c>
      <c r="C166" s="294" t="s">
        <v>238</v>
      </c>
      <c r="D166" s="341">
        <v>1</v>
      </c>
      <c r="E166" s="342"/>
      <c r="F166" s="341">
        <f t="shared" si="2"/>
        <v>1</v>
      </c>
    </row>
    <row r="167" spans="1:6">
      <c r="A167" s="346" t="s">
        <v>1234</v>
      </c>
      <c r="B167" s="349" t="s">
        <v>1235</v>
      </c>
      <c r="C167" s="294" t="s">
        <v>239</v>
      </c>
      <c r="D167" s="341">
        <v>1</v>
      </c>
      <c r="E167" s="342">
        <v>1</v>
      </c>
      <c r="F167" s="341">
        <f t="shared" si="2"/>
        <v>0</v>
      </c>
    </row>
    <row r="168" spans="1:6">
      <c r="A168" s="346" t="s">
        <v>1234</v>
      </c>
      <c r="B168" s="349" t="s">
        <v>1235</v>
      </c>
      <c r="C168" s="294" t="s">
        <v>232</v>
      </c>
      <c r="D168" s="341">
        <v>13</v>
      </c>
      <c r="E168" s="342"/>
      <c r="F168" s="341">
        <f t="shared" si="2"/>
        <v>13</v>
      </c>
    </row>
    <row r="169" spans="1:6">
      <c r="A169" s="346" t="s">
        <v>1234</v>
      </c>
      <c r="B169" s="349" t="s">
        <v>1235</v>
      </c>
      <c r="C169" s="294" t="s">
        <v>233</v>
      </c>
      <c r="D169" s="341">
        <v>13</v>
      </c>
      <c r="E169" s="342">
        <v>13</v>
      </c>
      <c r="F169" s="341">
        <f t="shared" si="2"/>
        <v>0</v>
      </c>
    </row>
    <row r="170" spans="1:6">
      <c r="A170" s="346" t="s">
        <v>1234</v>
      </c>
      <c r="B170" s="349" t="s">
        <v>1235</v>
      </c>
      <c r="C170" s="294" t="s">
        <v>1236</v>
      </c>
      <c r="D170" s="341">
        <v>17</v>
      </c>
      <c r="E170" s="342">
        <v>17</v>
      </c>
      <c r="F170" s="341">
        <f t="shared" si="2"/>
        <v>0</v>
      </c>
    </row>
    <row r="171" spans="1:6">
      <c r="A171" s="346" t="s">
        <v>1234</v>
      </c>
      <c r="B171" s="349" t="s">
        <v>1235</v>
      </c>
      <c r="C171" s="294"/>
      <c r="D171" s="341"/>
      <c r="E171" s="342"/>
      <c r="F171" s="341">
        <f t="shared" si="2"/>
        <v>0</v>
      </c>
    </row>
    <row r="172" spans="1:6">
      <c r="A172" s="346" t="s">
        <v>1237</v>
      </c>
      <c r="B172" s="349" t="s">
        <v>1238</v>
      </c>
      <c r="C172" s="294" t="s">
        <v>825</v>
      </c>
      <c r="D172" s="341">
        <v>1</v>
      </c>
      <c r="E172" s="342"/>
      <c r="F172" s="341">
        <f t="shared" si="2"/>
        <v>1</v>
      </c>
    </row>
    <row r="173" spans="1:6">
      <c r="A173" s="346" t="s">
        <v>1237</v>
      </c>
      <c r="B173" s="349" t="s">
        <v>1238</v>
      </c>
      <c r="C173" s="294" t="s">
        <v>826</v>
      </c>
      <c r="D173" s="341">
        <v>1</v>
      </c>
      <c r="E173" s="342">
        <v>1</v>
      </c>
      <c r="F173" s="341">
        <f t="shared" si="2"/>
        <v>0</v>
      </c>
    </row>
    <row r="174" spans="1:6">
      <c r="A174" s="346" t="s">
        <v>1237</v>
      </c>
      <c r="B174" s="349" t="s">
        <v>1238</v>
      </c>
      <c r="C174" s="294" t="s">
        <v>827</v>
      </c>
      <c r="D174" s="341">
        <v>4</v>
      </c>
      <c r="E174" s="342">
        <v>4</v>
      </c>
      <c r="F174" s="341">
        <f t="shared" si="2"/>
        <v>0</v>
      </c>
    </row>
    <row r="175" spans="1:6">
      <c r="A175" s="346" t="s">
        <v>1237</v>
      </c>
      <c r="B175" s="349" t="s">
        <v>1238</v>
      </c>
      <c r="C175" s="294" t="s">
        <v>828</v>
      </c>
      <c r="D175" s="341">
        <v>4</v>
      </c>
      <c r="E175" s="342">
        <v>4</v>
      </c>
      <c r="F175" s="341">
        <f t="shared" si="2"/>
        <v>0</v>
      </c>
    </row>
    <row r="176" spans="1:6">
      <c r="A176" s="346" t="s">
        <v>1237</v>
      </c>
      <c r="B176" s="349" t="s">
        <v>1238</v>
      </c>
      <c r="C176" s="294" t="s">
        <v>238</v>
      </c>
      <c r="D176" s="341">
        <v>1</v>
      </c>
      <c r="E176" s="342">
        <v>1</v>
      </c>
      <c r="F176" s="341">
        <f t="shared" si="2"/>
        <v>0</v>
      </c>
    </row>
    <row r="177" spans="1:6">
      <c r="A177" s="346" t="s">
        <v>1237</v>
      </c>
      <c r="B177" s="349" t="s">
        <v>1238</v>
      </c>
      <c r="C177" s="294" t="s">
        <v>239</v>
      </c>
      <c r="D177" s="341">
        <v>1</v>
      </c>
      <c r="E177" s="342">
        <v>1</v>
      </c>
      <c r="F177" s="341">
        <f t="shared" si="2"/>
        <v>0</v>
      </c>
    </row>
    <row r="178" spans="1:6">
      <c r="A178" s="346" t="s">
        <v>1237</v>
      </c>
      <c r="B178" s="349" t="s">
        <v>1238</v>
      </c>
      <c r="C178" s="294" t="s">
        <v>234</v>
      </c>
      <c r="D178" s="341">
        <v>5</v>
      </c>
      <c r="E178" s="342">
        <v>5</v>
      </c>
      <c r="F178" s="341">
        <f t="shared" si="2"/>
        <v>0</v>
      </c>
    </row>
    <row r="179" spans="1:6">
      <c r="A179" s="346" t="s">
        <v>1237</v>
      </c>
      <c r="B179" s="349" t="s">
        <v>1238</v>
      </c>
      <c r="C179" s="294" t="s">
        <v>235</v>
      </c>
      <c r="D179" s="341">
        <v>5</v>
      </c>
      <c r="E179" s="342">
        <v>5</v>
      </c>
      <c r="F179" s="341">
        <f t="shared" si="2"/>
        <v>0</v>
      </c>
    </row>
    <row r="180" spans="1:6">
      <c r="A180" s="346" t="s">
        <v>1237</v>
      </c>
      <c r="B180" s="349" t="s">
        <v>1238</v>
      </c>
      <c r="C180" s="294" t="s">
        <v>232</v>
      </c>
      <c r="D180" s="341">
        <v>3</v>
      </c>
      <c r="E180" s="342"/>
      <c r="F180" s="341">
        <f t="shared" si="2"/>
        <v>3</v>
      </c>
    </row>
    <row r="181" spans="1:6">
      <c r="A181" s="346" t="s">
        <v>1237</v>
      </c>
      <c r="B181" s="349" t="s">
        <v>1238</v>
      </c>
      <c r="C181" s="294" t="s">
        <v>233</v>
      </c>
      <c r="D181" s="341">
        <v>3</v>
      </c>
      <c r="E181" s="342">
        <v>3</v>
      </c>
      <c r="F181" s="341">
        <f t="shared" si="2"/>
        <v>0</v>
      </c>
    </row>
    <row r="182" spans="1:6">
      <c r="A182" s="346" t="s">
        <v>1237</v>
      </c>
      <c r="B182" s="349" t="s">
        <v>1238</v>
      </c>
      <c r="C182" s="294" t="s">
        <v>1236</v>
      </c>
      <c r="D182" s="341">
        <v>14</v>
      </c>
      <c r="E182" s="342">
        <v>5</v>
      </c>
      <c r="F182" s="341">
        <f t="shared" si="2"/>
        <v>9</v>
      </c>
    </row>
    <row r="183" spans="1:6">
      <c r="A183" s="346" t="s">
        <v>1237</v>
      </c>
      <c r="B183" s="349" t="s">
        <v>1238</v>
      </c>
      <c r="C183" s="294" t="s">
        <v>1169</v>
      </c>
      <c r="D183" s="341">
        <v>1</v>
      </c>
      <c r="E183" s="342">
        <v>1</v>
      </c>
      <c r="F183" s="341">
        <f t="shared" si="2"/>
        <v>0</v>
      </c>
    </row>
    <row r="184" spans="1:6">
      <c r="A184" s="346" t="s">
        <v>1237</v>
      </c>
      <c r="B184" s="349" t="s">
        <v>1238</v>
      </c>
      <c r="C184" s="294" t="s">
        <v>1170</v>
      </c>
      <c r="D184" s="341">
        <v>1</v>
      </c>
      <c r="E184" s="342">
        <v>1</v>
      </c>
      <c r="F184" s="341">
        <f t="shared" si="2"/>
        <v>0</v>
      </c>
    </row>
    <row r="185" spans="1:6">
      <c r="A185" s="346" t="s">
        <v>1237</v>
      </c>
      <c r="B185" s="349" t="s">
        <v>1238</v>
      </c>
      <c r="C185" s="294" t="s">
        <v>832</v>
      </c>
      <c r="D185" s="341">
        <v>2</v>
      </c>
      <c r="E185" s="342">
        <v>2</v>
      </c>
      <c r="F185" s="341">
        <f t="shared" si="2"/>
        <v>0</v>
      </c>
    </row>
    <row r="186" spans="1:6">
      <c r="A186" s="346" t="s">
        <v>1237</v>
      </c>
      <c r="B186" s="349" t="s">
        <v>1238</v>
      </c>
      <c r="C186" s="294" t="s">
        <v>833</v>
      </c>
      <c r="D186" s="341">
        <v>2</v>
      </c>
      <c r="E186" s="342">
        <v>2</v>
      </c>
      <c r="F186" s="341">
        <f t="shared" si="2"/>
        <v>0</v>
      </c>
    </row>
    <row r="187" spans="1:6">
      <c r="A187" s="346" t="s">
        <v>1237</v>
      </c>
      <c r="B187" s="349" t="s">
        <v>1238</v>
      </c>
      <c r="C187" s="294" t="s">
        <v>1081</v>
      </c>
      <c r="D187" s="341">
        <v>1</v>
      </c>
      <c r="E187" s="342">
        <v>1</v>
      </c>
      <c r="F187" s="341">
        <f t="shared" si="2"/>
        <v>0</v>
      </c>
    </row>
    <row r="188" spans="1:6">
      <c r="A188" s="346" t="s">
        <v>1237</v>
      </c>
      <c r="B188" s="349" t="s">
        <v>1238</v>
      </c>
      <c r="C188" s="294" t="s">
        <v>1082</v>
      </c>
      <c r="D188" s="341">
        <v>1</v>
      </c>
      <c r="E188" s="342">
        <v>1</v>
      </c>
      <c r="F188" s="341">
        <f t="shared" si="2"/>
        <v>0</v>
      </c>
    </row>
    <row r="189" spans="1:6">
      <c r="A189" s="346" t="s">
        <v>1237</v>
      </c>
      <c r="B189" s="350" t="s">
        <v>1238</v>
      </c>
      <c r="C189" s="294"/>
      <c r="D189" s="341"/>
      <c r="E189" s="342"/>
      <c r="F189" s="341">
        <f t="shared" si="2"/>
        <v>0</v>
      </c>
    </row>
    <row r="190" spans="1:6">
      <c r="A190" s="346" t="s">
        <v>1240</v>
      </c>
      <c r="B190" s="349" t="s">
        <v>1241</v>
      </c>
      <c r="C190" s="294" t="s">
        <v>825</v>
      </c>
      <c r="D190" s="341">
        <v>1</v>
      </c>
      <c r="E190" s="342"/>
      <c r="F190" s="341">
        <f t="shared" si="2"/>
        <v>1</v>
      </c>
    </row>
    <row r="191" spans="1:6">
      <c r="A191" s="346" t="s">
        <v>1240</v>
      </c>
      <c r="B191" s="349" t="s">
        <v>1241</v>
      </c>
      <c r="C191" s="294" t="s">
        <v>826</v>
      </c>
      <c r="D191" s="341">
        <v>1</v>
      </c>
      <c r="E191" s="342">
        <v>1</v>
      </c>
      <c r="F191" s="341">
        <f t="shared" si="2"/>
        <v>0</v>
      </c>
    </row>
    <row r="192" spans="1:6">
      <c r="A192" s="346" t="s">
        <v>1240</v>
      </c>
      <c r="B192" s="349" t="s">
        <v>1241</v>
      </c>
      <c r="C192" s="294" t="s">
        <v>827</v>
      </c>
      <c r="D192" s="341">
        <v>4</v>
      </c>
      <c r="E192" s="342">
        <v>4</v>
      </c>
      <c r="F192" s="341">
        <f t="shared" si="2"/>
        <v>0</v>
      </c>
    </row>
    <row r="193" spans="1:6">
      <c r="A193" s="346" t="s">
        <v>1240</v>
      </c>
      <c r="B193" s="349" t="s">
        <v>1241</v>
      </c>
      <c r="C193" s="294" t="s">
        <v>828</v>
      </c>
      <c r="D193" s="341">
        <v>4</v>
      </c>
      <c r="E193" s="342">
        <v>4</v>
      </c>
      <c r="F193" s="341">
        <f t="shared" si="2"/>
        <v>0</v>
      </c>
    </row>
    <row r="194" spans="1:6">
      <c r="A194" s="346" t="s">
        <v>1240</v>
      </c>
      <c r="B194" s="349" t="s">
        <v>1241</v>
      </c>
      <c r="C194" s="294" t="s">
        <v>238</v>
      </c>
      <c r="D194" s="341">
        <v>3</v>
      </c>
      <c r="E194" s="342">
        <v>3</v>
      </c>
      <c r="F194" s="341">
        <f t="shared" si="2"/>
        <v>0</v>
      </c>
    </row>
    <row r="195" spans="1:6">
      <c r="A195" s="346" t="s">
        <v>1240</v>
      </c>
      <c r="B195" s="349" t="s">
        <v>1241</v>
      </c>
      <c r="C195" s="294" t="s">
        <v>239</v>
      </c>
      <c r="D195" s="341">
        <v>3</v>
      </c>
      <c r="E195" s="342">
        <v>3</v>
      </c>
      <c r="F195" s="341">
        <f t="shared" ref="F195:F258" si="3">D195-E195</f>
        <v>0</v>
      </c>
    </row>
    <row r="196" spans="1:6">
      <c r="A196" s="346" t="s">
        <v>1240</v>
      </c>
      <c r="B196" s="349" t="s">
        <v>1241</v>
      </c>
      <c r="C196" s="294" t="s">
        <v>234</v>
      </c>
      <c r="D196" s="341">
        <v>4</v>
      </c>
      <c r="E196" s="342">
        <v>4</v>
      </c>
      <c r="F196" s="341">
        <f t="shared" si="3"/>
        <v>0</v>
      </c>
    </row>
    <row r="197" spans="1:6">
      <c r="A197" s="346" t="s">
        <v>1240</v>
      </c>
      <c r="B197" s="349" t="s">
        <v>1241</v>
      </c>
      <c r="C197" s="294" t="s">
        <v>235</v>
      </c>
      <c r="D197" s="341">
        <v>4</v>
      </c>
      <c r="E197" s="342">
        <v>4</v>
      </c>
      <c r="F197" s="341">
        <f t="shared" si="3"/>
        <v>0</v>
      </c>
    </row>
    <row r="198" spans="1:6">
      <c r="A198" s="346" t="s">
        <v>1240</v>
      </c>
      <c r="B198" s="349" t="s">
        <v>1241</v>
      </c>
      <c r="C198" s="294" t="s">
        <v>232</v>
      </c>
      <c r="D198" s="341">
        <v>2</v>
      </c>
      <c r="E198" s="342"/>
      <c r="F198" s="341">
        <f t="shared" si="3"/>
        <v>2</v>
      </c>
    </row>
    <row r="199" spans="1:6">
      <c r="A199" s="346" t="s">
        <v>1240</v>
      </c>
      <c r="B199" s="349" t="s">
        <v>1241</v>
      </c>
      <c r="C199" s="294" t="s">
        <v>233</v>
      </c>
      <c r="D199" s="341">
        <v>2</v>
      </c>
      <c r="E199" s="342">
        <v>2</v>
      </c>
      <c r="F199" s="341">
        <f t="shared" si="3"/>
        <v>0</v>
      </c>
    </row>
    <row r="200" spans="1:6">
      <c r="A200" s="346" t="s">
        <v>1240</v>
      </c>
      <c r="B200" s="349" t="s">
        <v>1241</v>
      </c>
      <c r="C200" s="294"/>
      <c r="D200" s="341"/>
      <c r="E200" s="342"/>
      <c r="F200" s="341">
        <f t="shared" si="3"/>
        <v>0</v>
      </c>
    </row>
    <row r="201" spans="1:6">
      <c r="A201" s="346" t="s">
        <v>1259</v>
      </c>
      <c r="B201" s="349" t="s">
        <v>1265</v>
      </c>
      <c r="C201" s="294" t="s">
        <v>825</v>
      </c>
      <c r="D201" s="341">
        <v>1</v>
      </c>
      <c r="E201" s="342"/>
      <c r="F201" s="341">
        <f t="shared" si="3"/>
        <v>1</v>
      </c>
    </row>
    <row r="202" spans="1:6">
      <c r="A202" s="346" t="s">
        <v>1259</v>
      </c>
      <c r="B202" s="349" t="s">
        <v>1265</v>
      </c>
      <c r="C202" s="294" t="s">
        <v>826</v>
      </c>
      <c r="D202" s="341">
        <v>1</v>
      </c>
      <c r="E202" s="342"/>
      <c r="F202" s="341">
        <f t="shared" si="3"/>
        <v>1</v>
      </c>
    </row>
    <row r="203" spans="1:6">
      <c r="A203" s="346" t="s">
        <v>1259</v>
      </c>
      <c r="B203" s="349" t="s">
        <v>1265</v>
      </c>
      <c r="C203" s="294" t="s">
        <v>236</v>
      </c>
      <c r="D203" s="341">
        <v>5</v>
      </c>
      <c r="E203" s="342"/>
      <c r="F203" s="341">
        <f t="shared" si="3"/>
        <v>5</v>
      </c>
    </row>
    <row r="204" spans="1:6">
      <c r="A204" s="346" t="s">
        <v>1259</v>
      </c>
      <c r="B204" s="349" t="s">
        <v>1265</v>
      </c>
      <c r="C204" s="294" t="s">
        <v>237</v>
      </c>
      <c r="D204" s="341">
        <v>5</v>
      </c>
      <c r="E204" s="342"/>
      <c r="F204" s="341">
        <f t="shared" si="3"/>
        <v>5</v>
      </c>
    </row>
    <row r="205" spans="1:6">
      <c r="A205" s="346" t="s">
        <v>1259</v>
      </c>
      <c r="B205" s="349" t="s">
        <v>1265</v>
      </c>
      <c r="C205" s="294" t="s">
        <v>234</v>
      </c>
      <c r="D205" s="341">
        <v>6</v>
      </c>
      <c r="E205" s="342"/>
      <c r="F205" s="341">
        <f t="shared" si="3"/>
        <v>6</v>
      </c>
    </row>
    <row r="206" spans="1:6">
      <c r="A206" s="346" t="s">
        <v>1259</v>
      </c>
      <c r="B206" s="349" t="s">
        <v>1265</v>
      </c>
      <c r="C206" s="294" t="s">
        <v>235</v>
      </c>
      <c r="D206" s="341">
        <v>6</v>
      </c>
      <c r="E206" s="342"/>
      <c r="F206" s="341">
        <f t="shared" si="3"/>
        <v>6</v>
      </c>
    </row>
    <row r="207" spans="1:6">
      <c r="A207" s="346" t="s">
        <v>1259</v>
      </c>
      <c r="B207" s="349" t="s">
        <v>1265</v>
      </c>
      <c r="C207" s="294" t="s">
        <v>232</v>
      </c>
      <c r="D207" s="341">
        <v>1</v>
      </c>
      <c r="E207" s="342"/>
      <c r="F207" s="341">
        <f t="shared" si="3"/>
        <v>1</v>
      </c>
    </row>
    <row r="208" spans="1:6">
      <c r="A208" s="346" t="s">
        <v>1259</v>
      </c>
      <c r="B208" s="349" t="s">
        <v>1265</v>
      </c>
      <c r="C208" s="294" t="s">
        <v>233</v>
      </c>
      <c r="D208" s="341">
        <v>1</v>
      </c>
      <c r="E208" s="342"/>
      <c r="F208" s="341">
        <f t="shared" si="3"/>
        <v>1</v>
      </c>
    </row>
    <row r="209" spans="1:6">
      <c r="A209" s="346" t="s">
        <v>1259</v>
      </c>
      <c r="B209" s="349" t="s">
        <v>1265</v>
      </c>
      <c r="C209" s="294" t="s">
        <v>1099</v>
      </c>
      <c r="D209" s="341">
        <v>3</v>
      </c>
      <c r="E209" s="342"/>
      <c r="F209" s="341">
        <f t="shared" si="3"/>
        <v>3</v>
      </c>
    </row>
    <row r="210" spans="1:6">
      <c r="A210" s="346" t="s">
        <v>1259</v>
      </c>
      <c r="B210" s="349" t="s">
        <v>1265</v>
      </c>
      <c r="C210" s="294" t="s">
        <v>1100</v>
      </c>
      <c r="D210" s="341">
        <v>3</v>
      </c>
      <c r="E210" s="342"/>
      <c r="F210" s="341">
        <f t="shared" si="3"/>
        <v>3</v>
      </c>
    </row>
    <row r="211" spans="1:6">
      <c r="A211" s="346" t="s">
        <v>1259</v>
      </c>
      <c r="B211" s="349" t="s">
        <v>1265</v>
      </c>
      <c r="C211" s="294" t="s">
        <v>834</v>
      </c>
      <c r="D211" s="341">
        <v>1</v>
      </c>
      <c r="E211" s="342"/>
      <c r="F211" s="341">
        <f t="shared" si="3"/>
        <v>1</v>
      </c>
    </row>
    <row r="212" spans="1:6">
      <c r="A212" s="346" t="s">
        <v>1259</v>
      </c>
      <c r="B212" s="349" t="s">
        <v>1265</v>
      </c>
      <c r="C212" s="294" t="s">
        <v>835</v>
      </c>
      <c r="D212" s="341">
        <v>1</v>
      </c>
      <c r="E212" s="342"/>
      <c r="F212" s="341">
        <f t="shared" si="3"/>
        <v>1</v>
      </c>
    </row>
    <row r="213" spans="1:6">
      <c r="A213" s="346" t="s">
        <v>1259</v>
      </c>
      <c r="B213" s="349" t="s">
        <v>1265</v>
      </c>
      <c r="C213" s="294" t="s">
        <v>1236</v>
      </c>
      <c r="D213" s="341">
        <v>13</v>
      </c>
      <c r="E213" s="342"/>
      <c r="F213" s="341">
        <f t="shared" si="3"/>
        <v>13</v>
      </c>
    </row>
    <row r="214" spans="1:6">
      <c r="A214" s="346" t="s">
        <v>1259</v>
      </c>
      <c r="B214" s="349" t="s">
        <v>1265</v>
      </c>
      <c r="C214" s="294"/>
      <c r="D214" s="341"/>
      <c r="E214" s="342"/>
      <c r="F214" s="341">
        <f t="shared" si="3"/>
        <v>0</v>
      </c>
    </row>
    <row r="215" spans="1:6">
      <c r="A215" s="346" t="s">
        <v>1260</v>
      </c>
      <c r="B215" s="349" t="s">
        <v>1266</v>
      </c>
      <c r="C215" s="294" t="s">
        <v>1100</v>
      </c>
      <c r="D215" s="341">
        <v>2</v>
      </c>
      <c r="E215" s="342"/>
      <c r="F215" s="341">
        <f t="shared" si="3"/>
        <v>2</v>
      </c>
    </row>
    <row r="216" spans="1:6">
      <c r="A216" s="346" t="s">
        <v>1260</v>
      </c>
      <c r="B216" s="349" t="s">
        <v>1266</v>
      </c>
      <c r="C216" s="294" t="s">
        <v>1099</v>
      </c>
      <c r="D216" s="341">
        <v>2</v>
      </c>
      <c r="E216" s="342"/>
      <c r="F216" s="341">
        <f t="shared" si="3"/>
        <v>2</v>
      </c>
    </row>
    <row r="217" spans="1:6">
      <c r="A217" s="346" t="s">
        <v>1260</v>
      </c>
      <c r="B217" s="349" t="s">
        <v>1266</v>
      </c>
      <c r="C217" s="294" t="s">
        <v>833</v>
      </c>
      <c r="D217" s="341">
        <v>3</v>
      </c>
      <c r="E217" s="342"/>
      <c r="F217" s="341">
        <f t="shared" si="3"/>
        <v>3</v>
      </c>
    </row>
    <row r="218" spans="1:6">
      <c r="A218" s="346" t="s">
        <v>1260</v>
      </c>
      <c r="B218" s="349" t="s">
        <v>1266</v>
      </c>
      <c r="C218" s="294" t="s">
        <v>832</v>
      </c>
      <c r="D218" s="341">
        <v>3</v>
      </c>
      <c r="E218" s="342"/>
      <c r="F218" s="341">
        <f t="shared" si="3"/>
        <v>3</v>
      </c>
    </row>
    <row r="219" spans="1:6">
      <c r="A219" s="346" t="s">
        <v>1260</v>
      </c>
      <c r="B219" s="349" t="s">
        <v>1266</v>
      </c>
      <c r="C219" s="294" t="s">
        <v>1170</v>
      </c>
      <c r="D219" s="341">
        <v>1</v>
      </c>
      <c r="E219" s="342"/>
      <c r="F219" s="341">
        <f t="shared" si="3"/>
        <v>1</v>
      </c>
    </row>
    <row r="220" spans="1:6">
      <c r="A220" s="346" t="s">
        <v>1260</v>
      </c>
      <c r="B220" s="349" t="s">
        <v>1266</v>
      </c>
      <c r="C220" s="294" t="s">
        <v>1169</v>
      </c>
      <c r="D220" s="341">
        <v>1</v>
      </c>
      <c r="E220" s="342"/>
      <c r="F220" s="341">
        <f t="shared" si="3"/>
        <v>1</v>
      </c>
    </row>
    <row r="221" spans="1:6">
      <c r="A221" s="346" t="s">
        <v>1260</v>
      </c>
      <c r="B221" s="349" t="s">
        <v>1266</v>
      </c>
      <c r="C221" s="294" t="s">
        <v>237</v>
      </c>
      <c r="D221" s="341">
        <v>1</v>
      </c>
      <c r="E221" s="342"/>
      <c r="F221" s="341">
        <f t="shared" si="3"/>
        <v>1</v>
      </c>
    </row>
    <row r="222" spans="1:6">
      <c r="A222" s="346" t="s">
        <v>1260</v>
      </c>
      <c r="B222" s="349" t="s">
        <v>1266</v>
      </c>
      <c r="C222" s="294" t="s">
        <v>236</v>
      </c>
      <c r="D222" s="341">
        <v>1</v>
      </c>
      <c r="E222" s="342"/>
      <c r="F222" s="341">
        <f t="shared" si="3"/>
        <v>1</v>
      </c>
    </row>
    <row r="223" spans="1:6">
      <c r="A223" s="346" t="s">
        <v>1260</v>
      </c>
      <c r="B223" s="349" t="s">
        <v>1266</v>
      </c>
      <c r="C223" s="294" t="s">
        <v>828</v>
      </c>
      <c r="D223" s="341">
        <v>2</v>
      </c>
      <c r="E223" s="342"/>
      <c r="F223" s="341">
        <f t="shared" si="3"/>
        <v>2</v>
      </c>
    </row>
    <row r="224" spans="1:6">
      <c r="A224" s="346" t="s">
        <v>1260</v>
      </c>
      <c r="B224" s="349" t="s">
        <v>1266</v>
      </c>
      <c r="C224" s="294" t="s">
        <v>827</v>
      </c>
      <c r="D224" s="341">
        <v>2</v>
      </c>
      <c r="E224" s="342"/>
      <c r="F224" s="341">
        <f t="shared" si="3"/>
        <v>2</v>
      </c>
    </row>
    <row r="225" spans="1:6">
      <c r="A225" s="346" t="s">
        <v>1260</v>
      </c>
      <c r="B225" s="349" t="s">
        <v>1266</v>
      </c>
      <c r="C225" s="294" t="s">
        <v>235</v>
      </c>
      <c r="D225" s="341">
        <v>1</v>
      </c>
      <c r="E225" s="342"/>
      <c r="F225" s="341">
        <f t="shared" si="3"/>
        <v>1</v>
      </c>
    </row>
    <row r="226" spans="1:6">
      <c r="A226" s="346" t="s">
        <v>1260</v>
      </c>
      <c r="B226" s="349" t="s">
        <v>1266</v>
      </c>
      <c r="C226" s="294" t="s">
        <v>234</v>
      </c>
      <c r="D226" s="341">
        <v>1</v>
      </c>
      <c r="E226" s="342"/>
      <c r="F226" s="341">
        <f t="shared" si="3"/>
        <v>1</v>
      </c>
    </row>
    <row r="227" spans="1:6">
      <c r="A227" s="346" t="s">
        <v>1260</v>
      </c>
      <c r="B227" s="349" t="s">
        <v>1266</v>
      </c>
      <c r="C227" s="294" t="s">
        <v>233</v>
      </c>
      <c r="D227" s="341">
        <v>7</v>
      </c>
      <c r="E227" s="342"/>
      <c r="F227" s="341">
        <f t="shared" si="3"/>
        <v>7</v>
      </c>
    </row>
    <row r="228" spans="1:6">
      <c r="A228" s="346" t="s">
        <v>1260</v>
      </c>
      <c r="B228" s="349" t="s">
        <v>1266</v>
      </c>
      <c r="C228" s="294" t="s">
        <v>232</v>
      </c>
      <c r="D228" s="341">
        <v>7</v>
      </c>
      <c r="E228" s="342"/>
      <c r="F228" s="341">
        <f t="shared" si="3"/>
        <v>7</v>
      </c>
    </row>
    <row r="229" spans="1:6">
      <c r="A229" s="346" t="s">
        <v>1260</v>
      </c>
      <c r="B229" s="349" t="s">
        <v>1266</v>
      </c>
      <c r="C229" s="294"/>
      <c r="D229" s="341"/>
      <c r="E229" s="342"/>
      <c r="F229" s="341">
        <f t="shared" si="3"/>
        <v>0</v>
      </c>
    </row>
    <row r="230" spans="1:6">
      <c r="A230" s="346" t="s">
        <v>1261</v>
      </c>
      <c r="B230" s="349" t="s">
        <v>1267</v>
      </c>
      <c r="C230" s="294" t="s">
        <v>825</v>
      </c>
      <c r="D230" s="341">
        <v>1</v>
      </c>
      <c r="E230" s="342"/>
      <c r="F230" s="341">
        <f t="shared" si="3"/>
        <v>1</v>
      </c>
    </row>
    <row r="231" spans="1:6">
      <c r="A231" s="346" t="s">
        <v>1261</v>
      </c>
      <c r="B231" s="349" t="s">
        <v>1267</v>
      </c>
      <c r="C231" s="294" t="s">
        <v>232</v>
      </c>
      <c r="D231" s="341">
        <v>3</v>
      </c>
      <c r="E231" s="342"/>
      <c r="F231" s="341">
        <f t="shared" si="3"/>
        <v>3</v>
      </c>
    </row>
    <row r="232" spans="1:6">
      <c r="A232" s="346" t="s">
        <v>1261</v>
      </c>
      <c r="B232" s="349" t="s">
        <v>1267</v>
      </c>
      <c r="C232" s="294" t="s">
        <v>1236</v>
      </c>
      <c r="D232" s="341">
        <v>4</v>
      </c>
      <c r="E232" s="342"/>
      <c r="F232" s="341">
        <f t="shared" si="3"/>
        <v>4</v>
      </c>
    </row>
    <row r="233" spans="1:6">
      <c r="A233" s="346" t="s">
        <v>1261</v>
      </c>
      <c r="B233" s="349" t="s">
        <v>1267</v>
      </c>
      <c r="C233" s="294" t="s">
        <v>1268</v>
      </c>
      <c r="D233" s="341">
        <v>1</v>
      </c>
      <c r="E233" s="342"/>
      <c r="F233" s="341">
        <f t="shared" si="3"/>
        <v>1</v>
      </c>
    </row>
    <row r="234" spans="1:6">
      <c r="A234" s="346" t="s">
        <v>1261</v>
      </c>
      <c r="B234" s="349" t="s">
        <v>1267</v>
      </c>
      <c r="C234" s="294" t="s">
        <v>1170</v>
      </c>
      <c r="D234" s="341">
        <v>1</v>
      </c>
      <c r="E234" s="342"/>
      <c r="F234" s="341">
        <f t="shared" si="3"/>
        <v>1</v>
      </c>
    </row>
    <row r="235" spans="1:6">
      <c r="A235" s="346" t="s">
        <v>1261</v>
      </c>
      <c r="B235" s="349" t="s">
        <v>1267</v>
      </c>
      <c r="C235" s="294" t="s">
        <v>832</v>
      </c>
      <c r="D235" s="341">
        <v>2</v>
      </c>
      <c r="E235" s="342"/>
      <c r="F235" s="341">
        <f t="shared" si="3"/>
        <v>2</v>
      </c>
    </row>
    <row r="236" spans="1:6">
      <c r="A236" s="346" t="s">
        <v>1261</v>
      </c>
      <c r="B236" s="349" t="s">
        <v>1267</v>
      </c>
      <c r="C236" s="294" t="s">
        <v>833</v>
      </c>
      <c r="D236" s="341">
        <v>2</v>
      </c>
      <c r="E236" s="342"/>
      <c r="F236" s="341">
        <f t="shared" si="3"/>
        <v>2</v>
      </c>
    </row>
    <row r="237" spans="1:6">
      <c r="A237" s="346" t="s">
        <v>1261</v>
      </c>
      <c r="B237" s="349" t="s">
        <v>1267</v>
      </c>
      <c r="C237" s="294" t="s">
        <v>1081</v>
      </c>
      <c r="D237" s="341">
        <v>1</v>
      </c>
      <c r="E237" s="342"/>
      <c r="F237" s="341">
        <f t="shared" si="3"/>
        <v>1</v>
      </c>
    </row>
    <row r="238" spans="1:6">
      <c r="A238" s="346" t="s">
        <v>1261</v>
      </c>
      <c r="B238" s="349" t="s">
        <v>1267</v>
      </c>
      <c r="C238" s="294" t="s">
        <v>1082</v>
      </c>
      <c r="D238" s="341">
        <v>1</v>
      </c>
      <c r="E238" s="342"/>
      <c r="F238" s="341">
        <f t="shared" si="3"/>
        <v>1</v>
      </c>
    </row>
    <row r="239" spans="1:6">
      <c r="A239" s="346" t="s">
        <v>1261</v>
      </c>
      <c r="B239" s="350" t="s">
        <v>1267</v>
      </c>
      <c r="C239" s="294"/>
      <c r="D239" s="341"/>
      <c r="E239" s="342"/>
      <c r="F239" s="341">
        <f t="shared" si="3"/>
        <v>0</v>
      </c>
    </row>
    <row r="240" spans="1:6">
      <c r="A240" s="346" t="s">
        <v>1269</v>
      </c>
      <c r="B240" s="349" t="s">
        <v>1270</v>
      </c>
      <c r="C240" s="294" t="s">
        <v>827</v>
      </c>
      <c r="D240" s="341">
        <v>1</v>
      </c>
      <c r="E240" s="342"/>
      <c r="F240" s="341">
        <f t="shared" si="3"/>
        <v>1</v>
      </c>
    </row>
    <row r="241" spans="1:6">
      <c r="A241" s="346" t="s">
        <v>1269</v>
      </c>
      <c r="B241" s="349" t="s">
        <v>1270</v>
      </c>
      <c r="C241" s="294" t="s">
        <v>828</v>
      </c>
      <c r="D241" s="341">
        <v>1</v>
      </c>
      <c r="E241" s="342"/>
      <c r="F241" s="341">
        <f t="shared" si="3"/>
        <v>1</v>
      </c>
    </row>
    <row r="242" spans="1:6">
      <c r="A242" s="346" t="s">
        <v>1269</v>
      </c>
      <c r="B242" s="349" t="s">
        <v>1270</v>
      </c>
      <c r="C242" s="294" t="s">
        <v>238</v>
      </c>
      <c r="D242" s="341">
        <v>1</v>
      </c>
      <c r="E242" s="342"/>
      <c r="F242" s="341">
        <f t="shared" si="3"/>
        <v>1</v>
      </c>
    </row>
    <row r="243" spans="1:6">
      <c r="A243" s="346" t="s">
        <v>1269</v>
      </c>
      <c r="B243" s="349" t="s">
        <v>1270</v>
      </c>
      <c r="C243" s="294" t="s">
        <v>239</v>
      </c>
      <c r="D243" s="341">
        <v>1</v>
      </c>
      <c r="E243" s="342"/>
      <c r="F243" s="341">
        <f t="shared" si="3"/>
        <v>1</v>
      </c>
    </row>
    <row r="244" spans="1:6">
      <c r="A244" s="346" t="s">
        <v>1269</v>
      </c>
      <c r="B244" s="349" t="s">
        <v>1270</v>
      </c>
      <c r="C244" s="294" t="s">
        <v>234</v>
      </c>
      <c r="D244" s="341">
        <v>1</v>
      </c>
      <c r="E244" s="342"/>
      <c r="F244" s="341">
        <f t="shared" si="3"/>
        <v>1</v>
      </c>
    </row>
    <row r="245" spans="1:6">
      <c r="A245" s="346" t="s">
        <v>1269</v>
      </c>
      <c r="B245" s="349" t="s">
        <v>1270</v>
      </c>
      <c r="C245" s="294" t="s">
        <v>235</v>
      </c>
      <c r="D245" s="341">
        <v>1</v>
      </c>
      <c r="E245" s="342"/>
      <c r="F245" s="341">
        <f t="shared" si="3"/>
        <v>1</v>
      </c>
    </row>
    <row r="246" spans="1:6">
      <c r="A246" s="346" t="s">
        <v>1269</v>
      </c>
      <c r="B246" s="349" t="s">
        <v>1270</v>
      </c>
      <c r="C246" s="294" t="s">
        <v>232</v>
      </c>
      <c r="D246" s="341">
        <v>2</v>
      </c>
      <c r="E246" s="342"/>
      <c r="F246" s="341">
        <f t="shared" si="3"/>
        <v>2</v>
      </c>
    </row>
    <row r="247" spans="1:6">
      <c r="A247" s="346" t="s">
        <v>1269</v>
      </c>
      <c r="B247" s="349" t="s">
        <v>1270</v>
      </c>
      <c r="C247" s="294" t="s">
        <v>233</v>
      </c>
      <c r="D247" s="341">
        <v>2</v>
      </c>
      <c r="E247" s="342"/>
      <c r="F247" s="341">
        <f t="shared" si="3"/>
        <v>2</v>
      </c>
    </row>
    <row r="248" spans="1:6">
      <c r="A248" s="346" t="s">
        <v>1269</v>
      </c>
      <c r="B248" s="349" t="s">
        <v>1270</v>
      </c>
      <c r="C248" s="294" t="s">
        <v>832</v>
      </c>
      <c r="D248" s="341">
        <v>3</v>
      </c>
      <c r="E248" s="342"/>
      <c r="F248" s="341">
        <f t="shared" si="3"/>
        <v>3</v>
      </c>
    </row>
    <row r="249" spans="1:6">
      <c r="A249" s="346" t="s">
        <v>1269</v>
      </c>
      <c r="B249" s="349" t="s">
        <v>1270</v>
      </c>
      <c r="C249" s="294" t="s">
        <v>833</v>
      </c>
      <c r="D249" s="341">
        <v>3</v>
      </c>
      <c r="E249" s="342"/>
      <c r="F249" s="341">
        <f t="shared" si="3"/>
        <v>3</v>
      </c>
    </row>
    <row r="250" spans="1:6">
      <c r="A250" s="346" t="s">
        <v>1269</v>
      </c>
      <c r="B250" s="349" t="s">
        <v>1270</v>
      </c>
      <c r="C250" s="294" t="s">
        <v>834</v>
      </c>
      <c r="D250" s="341">
        <v>1</v>
      </c>
      <c r="E250" s="342"/>
      <c r="F250" s="341">
        <f t="shared" si="3"/>
        <v>1</v>
      </c>
    </row>
    <row r="251" spans="1:6">
      <c r="A251" s="346" t="s">
        <v>1269</v>
      </c>
      <c r="B251" s="349" t="s">
        <v>1270</v>
      </c>
      <c r="C251" s="294" t="s">
        <v>835</v>
      </c>
      <c r="D251" s="341">
        <v>1</v>
      </c>
      <c r="E251" s="342"/>
      <c r="F251" s="341">
        <f t="shared" si="3"/>
        <v>1</v>
      </c>
    </row>
    <row r="252" spans="1:6">
      <c r="A252" s="346" t="s">
        <v>1269</v>
      </c>
      <c r="B252" s="349" t="s">
        <v>1270</v>
      </c>
      <c r="C252" s="294" t="s">
        <v>1236</v>
      </c>
      <c r="D252" s="341">
        <v>5</v>
      </c>
      <c r="E252" s="342"/>
      <c r="F252" s="341">
        <f t="shared" si="3"/>
        <v>5</v>
      </c>
    </row>
    <row r="253" spans="1:6">
      <c r="A253" s="346" t="s">
        <v>1269</v>
      </c>
      <c r="B253" s="349" t="s">
        <v>1270</v>
      </c>
      <c r="C253" s="294"/>
      <c r="D253" s="341"/>
      <c r="E253" s="342"/>
      <c r="F253" s="341">
        <f t="shared" si="3"/>
        <v>0</v>
      </c>
    </row>
    <row r="254" spans="1:6">
      <c r="A254" s="346" t="s">
        <v>1257</v>
      </c>
      <c r="B254" s="349" t="s">
        <v>671</v>
      </c>
      <c r="C254" s="294" t="s">
        <v>1177</v>
      </c>
      <c r="D254" s="341">
        <v>4</v>
      </c>
      <c r="E254" s="342"/>
      <c r="F254" s="341">
        <f t="shared" si="3"/>
        <v>4</v>
      </c>
    </row>
    <row r="255" spans="1:6">
      <c r="A255" s="346" t="s">
        <v>1257</v>
      </c>
      <c r="B255" s="349" t="s">
        <v>671</v>
      </c>
      <c r="C255" s="294" t="s">
        <v>237</v>
      </c>
      <c r="D255" s="341">
        <v>4</v>
      </c>
      <c r="E255" s="342"/>
      <c r="F255" s="341">
        <f t="shared" si="3"/>
        <v>4</v>
      </c>
    </row>
    <row r="256" spans="1:6">
      <c r="A256" s="346" t="s">
        <v>1257</v>
      </c>
      <c r="B256" s="349" t="s">
        <v>671</v>
      </c>
      <c r="C256" s="294" t="s">
        <v>238</v>
      </c>
      <c r="D256" s="341">
        <v>1</v>
      </c>
      <c r="E256" s="342"/>
      <c r="F256" s="341">
        <f t="shared" si="3"/>
        <v>1</v>
      </c>
    </row>
    <row r="257" spans="1:6">
      <c r="A257" s="346" t="s">
        <v>1257</v>
      </c>
      <c r="B257" s="349" t="s">
        <v>671</v>
      </c>
      <c r="C257" s="294" t="s">
        <v>239</v>
      </c>
      <c r="D257" s="341">
        <v>1</v>
      </c>
      <c r="E257" s="342"/>
      <c r="F257" s="341">
        <f t="shared" si="3"/>
        <v>1</v>
      </c>
    </row>
    <row r="258" spans="1:6">
      <c r="A258" s="346" t="s">
        <v>1257</v>
      </c>
      <c r="B258" s="349" t="s">
        <v>671</v>
      </c>
      <c r="C258" s="294" t="s">
        <v>234</v>
      </c>
      <c r="D258" s="341">
        <v>2</v>
      </c>
      <c r="E258" s="342"/>
      <c r="F258" s="341">
        <f t="shared" si="3"/>
        <v>2</v>
      </c>
    </row>
    <row r="259" spans="1:6">
      <c r="A259" s="346" t="s">
        <v>1257</v>
      </c>
      <c r="B259" s="349" t="s">
        <v>671</v>
      </c>
      <c r="C259" s="294" t="s">
        <v>235</v>
      </c>
      <c r="D259" s="341">
        <v>2</v>
      </c>
      <c r="E259" s="342"/>
      <c r="F259" s="341">
        <f t="shared" ref="F259:F322" si="4">D259-E259</f>
        <v>2</v>
      </c>
    </row>
    <row r="260" spans="1:6">
      <c r="A260" s="346" t="s">
        <v>1257</v>
      </c>
      <c r="B260" s="349" t="s">
        <v>671</v>
      </c>
      <c r="C260" s="294" t="s">
        <v>232</v>
      </c>
      <c r="D260" s="341">
        <v>2</v>
      </c>
      <c r="E260" s="342"/>
      <c r="F260" s="341">
        <f t="shared" si="4"/>
        <v>2</v>
      </c>
    </row>
    <row r="261" spans="1:6">
      <c r="A261" s="346" t="s">
        <v>1257</v>
      </c>
      <c r="B261" s="349" t="s">
        <v>671</v>
      </c>
      <c r="C261" s="294" t="s">
        <v>233</v>
      </c>
      <c r="D261" s="341">
        <v>2</v>
      </c>
      <c r="E261" s="342"/>
      <c r="F261" s="341">
        <f t="shared" si="4"/>
        <v>2</v>
      </c>
    </row>
    <row r="262" spans="1:6">
      <c r="A262" s="346" t="s">
        <v>1257</v>
      </c>
      <c r="B262" s="349" t="s">
        <v>671</v>
      </c>
      <c r="C262" s="294" t="s">
        <v>1169</v>
      </c>
      <c r="D262" s="341">
        <v>1</v>
      </c>
      <c r="E262" s="342"/>
      <c r="F262" s="341">
        <f t="shared" si="4"/>
        <v>1</v>
      </c>
    </row>
    <row r="263" spans="1:6">
      <c r="A263" s="346" t="s">
        <v>1257</v>
      </c>
      <c r="B263" s="349" t="s">
        <v>671</v>
      </c>
      <c r="C263" s="294" t="s">
        <v>1170</v>
      </c>
      <c r="D263" s="341">
        <v>1</v>
      </c>
      <c r="E263" s="342"/>
      <c r="F263" s="341">
        <f t="shared" si="4"/>
        <v>1</v>
      </c>
    </row>
    <row r="264" spans="1:6">
      <c r="A264" s="346" t="s">
        <v>1257</v>
      </c>
      <c r="B264" s="349" t="s">
        <v>671</v>
      </c>
      <c r="C264" s="294" t="s">
        <v>1188</v>
      </c>
      <c r="D264" s="341">
        <v>1</v>
      </c>
      <c r="E264" s="342"/>
      <c r="F264" s="341">
        <f t="shared" si="4"/>
        <v>1</v>
      </c>
    </row>
    <row r="265" spans="1:6">
      <c r="A265" s="346" t="s">
        <v>1257</v>
      </c>
      <c r="B265" s="349" t="s">
        <v>671</v>
      </c>
      <c r="C265" s="294" t="s">
        <v>1236</v>
      </c>
      <c r="D265" s="341">
        <v>9</v>
      </c>
      <c r="E265" s="342"/>
      <c r="F265" s="341">
        <f t="shared" si="4"/>
        <v>9</v>
      </c>
    </row>
    <row r="266" spans="1:6">
      <c r="A266" s="346" t="s">
        <v>1257</v>
      </c>
      <c r="B266" s="349" t="s">
        <v>671</v>
      </c>
      <c r="C266" s="294" t="s">
        <v>1271</v>
      </c>
      <c r="D266" s="341">
        <v>1</v>
      </c>
      <c r="E266" s="342"/>
      <c r="F266" s="341">
        <f t="shared" si="4"/>
        <v>1</v>
      </c>
    </row>
    <row r="267" spans="1:6">
      <c r="A267" s="346" t="s">
        <v>1257</v>
      </c>
      <c r="B267" s="350" t="s">
        <v>671</v>
      </c>
      <c r="C267" s="294"/>
      <c r="D267" s="341"/>
      <c r="E267" s="342"/>
      <c r="F267" s="341">
        <f t="shared" si="4"/>
        <v>0</v>
      </c>
    </row>
    <row r="268" spans="1:6">
      <c r="A268" s="346" t="s">
        <v>1255</v>
      </c>
      <c r="B268" s="349" t="s">
        <v>1272</v>
      </c>
      <c r="C268" s="294" t="s">
        <v>1175</v>
      </c>
      <c r="D268" s="341">
        <v>1</v>
      </c>
      <c r="E268" s="342"/>
      <c r="F268" s="341">
        <f t="shared" si="4"/>
        <v>1</v>
      </c>
    </row>
    <row r="269" spans="1:6">
      <c r="A269" s="346" t="s">
        <v>1255</v>
      </c>
      <c r="B269" s="349" t="s">
        <v>1272</v>
      </c>
      <c r="C269" s="294" t="s">
        <v>1176</v>
      </c>
      <c r="D269" s="341">
        <v>1</v>
      </c>
      <c r="E269" s="342"/>
      <c r="F269" s="341">
        <f t="shared" si="4"/>
        <v>1</v>
      </c>
    </row>
    <row r="270" spans="1:6">
      <c r="A270" s="346" t="s">
        <v>1255</v>
      </c>
      <c r="B270" s="349" t="s">
        <v>1272</v>
      </c>
      <c r="C270" s="294" t="s">
        <v>1177</v>
      </c>
      <c r="D270" s="341">
        <v>1</v>
      </c>
      <c r="E270" s="342"/>
      <c r="F270" s="341">
        <f t="shared" si="4"/>
        <v>1</v>
      </c>
    </row>
    <row r="271" spans="1:6">
      <c r="A271" s="346" t="s">
        <v>1255</v>
      </c>
      <c r="B271" s="349" t="s">
        <v>1272</v>
      </c>
      <c r="C271" s="294" t="s">
        <v>1178</v>
      </c>
      <c r="D271" s="341">
        <v>1</v>
      </c>
      <c r="E271" s="342"/>
      <c r="F271" s="341">
        <f t="shared" si="4"/>
        <v>1</v>
      </c>
    </row>
    <row r="272" spans="1:6">
      <c r="A272" s="346" t="s">
        <v>1255</v>
      </c>
      <c r="B272" s="349" t="s">
        <v>1272</v>
      </c>
      <c r="C272" s="294" t="s">
        <v>1168</v>
      </c>
      <c r="D272" s="341">
        <v>1</v>
      </c>
      <c r="E272" s="342"/>
      <c r="F272" s="341">
        <f t="shared" si="4"/>
        <v>1</v>
      </c>
    </row>
    <row r="273" spans="1:6">
      <c r="A273" s="346" t="s">
        <v>1255</v>
      </c>
      <c r="B273" s="349" t="s">
        <v>1272</v>
      </c>
      <c r="C273" s="294" t="s">
        <v>828</v>
      </c>
      <c r="D273" s="341">
        <v>1</v>
      </c>
      <c r="E273" s="342"/>
      <c r="F273" s="341">
        <f t="shared" si="4"/>
        <v>1</v>
      </c>
    </row>
    <row r="274" spans="1:6">
      <c r="A274" s="346" t="s">
        <v>1255</v>
      </c>
      <c r="B274" s="349" t="s">
        <v>1272</v>
      </c>
      <c r="C274" s="294" t="s">
        <v>1200</v>
      </c>
      <c r="D274" s="341">
        <v>1</v>
      </c>
      <c r="E274" s="342"/>
      <c r="F274" s="341">
        <f t="shared" si="4"/>
        <v>1</v>
      </c>
    </row>
    <row r="275" spans="1:6">
      <c r="A275" s="346" t="s">
        <v>1255</v>
      </c>
      <c r="B275" s="349" t="s">
        <v>1272</v>
      </c>
      <c r="C275" s="294" t="s">
        <v>1182</v>
      </c>
      <c r="D275" s="341">
        <v>1</v>
      </c>
      <c r="E275" s="342"/>
      <c r="F275" s="341">
        <f t="shared" si="4"/>
        <v>1</v>
      </c>
    </row>
    <row r="276" spans="1:6">
      <c r="A276" s="346" t="s">
        <v>1255</v>
      </c>
      <c r="B276" s="349" t="s">
        <v>1272</v>
      </c>
      <c r="C276" s="294" t="s">
        <v>1183</v>
      </c>
      <c r="D276" s="341">
        <v>7</v>
      </c>
      <c r="E276" s="342"/>
      <c r="F276" s="341">
        <f t="shared" si="4"/>
        <v>7</v>
      </c>
    </row>
    <row r="277" spans="1:6">
      <c r="A277" s="346" t="s">
        <v>1255</v>
      </c>
      <c r="B277" s="349" t="s">
        <v>1272</v>
      </c>
      <c r="C277" s="294" t="s">
        <v>1184</v>
      </c>
      <c r="D277" s="341">
        <v>7</v>
      </c>
      <c r="E277" s="342"/>
      <c r="F277" s="341">
        <f t="shared" si="4"/>
        <v>7</v>
      </c>
    </row>
    <row r="278" spans="1:6">
      <c r="A278" s="346" t="s">
        <v>1255</v>
      </c>
      <c r="B278" s="349" t="s">
        <v>1272</v>
      </c>
      <c r="C278" s="294" t="s">
        <v>1185</v>
      </c>
      <c r="D278" s="341">
        <v>4</v>
      </c>
      <c r="E278" s="342"/>
      <c r="F278" s="341">
        <f t="shared" si="4"/>
        <v>4</v>
      </c>
    </row>
    <row r="279" spans="1:6">
      <c r="A279" s="346" t="s">
        <v>1255</v>
      </c>
      <c r="B279" s="349" t="s">
        <v>1272</v>
      </c>
      <c r="C279" s="294" t="s">
        <v>1193</v>
      </c>
      <c r="D279" s="341">
        <v>4</v>
      </c>
      <c r="E279" s="342"/>
      <c r="F279" s="341">
        <f t="shared" si="4"/>
        <v>4</v>
      </c>
    </row>
    <row r="280" spans="1:6">
      <c r="A280" s="346" t="s">
        <v>1255</v>
      </c>
      <c r="B280" s="349" t="s">
        <v>1272</v>
      </c>
      <c r="C280" s="294" t="s">
        <v>1169</v>
      </c>
      <c r="D280" s="341">
        <v>1</v>
      </c>
      <c r="E280" s="342"/>
      <c r="F280" s="341">
        <f t="shared" si="4"/>
        <v>1</v>
      </c>
    </row>
    <row r="281" spans="1:6">
      <c r="A281" s="346" t="s">
        <v>1255</v>
      </c>
      <c r="B281" s="349" t="s">
        <v>1272</v>
      </c>
      <c r="C281" s="294" t="s">
        <v>1170</v>
      </c>
      <c r="D281" s="341">
        <v>1</v>
      </c>
      <c r="E281" s="342"/>
      <c r="F281" s="341">
        <f t="shared" si="4"/>
        <v>1</v>
      </c>
    </row>
    <row r="282" spans="1:6">
      <c r="A282" s="346" t="s">
        <v>1255</v>
      </c>
      <c r="B282" s="349" t="s">
        <v>1272</v>
      </c>
      <c r="C282" s="294" t="s">
        <v>1228</v>
      </c>
      <c r="D282" s="341">
        <v>2</v>
      </c>
      <c r="E282" s="342"/>
      <c r="F282" s="341">
        <f t="shared" si="4"/>
        <v>2</v>
      </c>
    </row>
    <row r="283" spans="1:6">
      <c r="A283" s="346" t="s">
        <v>1255</v>
      </c>
      <c r="B283" s="349" t="s">
        <v>1272</v>
      </c>
      <c r="C283" s="294" t="s">
        <v>1194</v>
      </c>
      <c r="D283" s="341">
        <v>2</v>
      </c>
      <c r="E283" s="342"/>
      <c r="F283" s="341">
        <f t="shared" si="4"/>
        <v>2</v>
      </c>
    </row>
    <row r="284" spans="1:6">
      <c r="A284" s="346" t="s">
        <v>1255</v>
      </c>
      <c r="B284" s="349" t="s">
        <v>1272</v>
      </c>
      <c r="C284" s="294" t="s">
        <v>1273</v>
      </c>
      <c r="D284" s="341">
        <v>3</v>
      </c>
      <c r="E284" s="342"/>
      <c r="F284" s="341">
        <f t="shared" si="4"/>
        <v>3</v>
      </c>
    </row>
    <row r="285" spans="1:6">
      <c r="A285" s="346" t="s">
        <v>1255</v>
      </c>
      <c r="B285" s="349" t="s">
        <v>1272</v>
      </c>
      <c r="C285" s="294" t="s">
        <v>1229</v>
      </c>
      <c r="D285" s="341">
        <v>3</v>
      </c>
      <c r="E285" s="342"/>
      <c r="F285" s="341">
        <f t="shared" si="4"/>
        <v>3</v>
      </c>
    </row>
    <row r="286" spans="1:6">
      <c r="A286" s="346" t="s">
        <v>1255</v>
      </c>
      <c r="B286" s="349" t="s">
        <v>1272</v>
      </c>
      <c r="C286" s="294" t="s">
        <v>834</v>
      </c>
      <c r="D286" s="341">
        <v>1</v>
      </c>
      <c r="E286" s="342"/>
      <c r="F286" s="341">
        <f t="shared" si="4"/>
        <v>1</v>
      </c>
    </row>
    <row r="287" spans="1:6">
      <c r="A287" s="346" t="s">
        <v>1255</v>
      </c>
      <c r="B287" s="349" t="s">
        <v>1272</v>
      </c>
      <c r="C287" s="294" t="s">
        <v>835</v>
      </c>
      <c r="D287" s="341">
        <v>1</v>
      </c>
      <c r="E287" s="342"/>
      <c r="F287" s="341">
        <f t="shared" si="4"/>
        <v>1</v>
      </c>
    </row>
    <row r="288" spans="1:6">
      <c r="A288" s="346" t="s">
        <v>1255</v>
      </c>
      <c r="B288" s="349" t="s">
        <v>1272</v>
      </c>
      <c r="C288" s="294" t="s">
        <v>1274</v>
      </c>
      <c r="D288" s="341">
        <v>15</v>
      </c>
      <c r="E288" s="342"/>
      <c r="F288" s="341">
        <f t="shared" si="4"/>
        <v>15</v>
      </c>
    </row>
    <row r="289" spans="1:6">
      <c r="A289" s="346" t="s">
        <v>1255</v>
      </c>
      <c r="B289" s="349" t="s">
        <v>1272</v>
      </c>
      <c r="C289" s="294"/>
      <c r="D289" s="341"/>
      <c r="E289" s="342"/>
      <c r="F289" s="341">
        <f t="shared" si="4"/>
        <v>0</v>
      </c>
    </row>
    <row r="290" spans="1:6">
      <c r="A290" s="346" t="s">
        <v>1256</v>
      </c>
      <c r="B290" s="349" t="s">
        <v>609</v>
      </c>
      <c r="C290" s="294" t="s">
        <v>1175</v>
      </c>
      <c r="D290" s="341">
        <v>1</v>
      </c>
      <c r="E290" s="342"/>
      <c r="F290" s="341">
        <f t="shared" si="4"/>
        <v>1</v>
      </c>
    </row>
    <row r="291" spans="1:6">
      <c r="A291" s="346" t="s">
        <v>1256</v>
      </c>
      <c r="B291" s="349" t="s">
        <v>609</v>
      </c>
      <c r="C291" s="294" t="s">
        <v>826</v>
      </c>
      <c r="D291" s="341">
        <v>1</v>
      </c>
      <c r="E291" s="342"/>
      <c r="F291" s="341">
        <f t="shared" si="4"/>
        <v>1</v>
      </c>
    </row>
    <row r="292" spans="1:6">
      <c r="A292" s="346" t="s">
        <v>1256</v>
      </c>
      <c r="B292" s="349" t="s">
        <v>609</v>
      </c>
      <c r="C292" s="294" t="s">
        <v>1168</v>
      </c>
      <c r="D292" s="341">
        <v>4</v>
      </c>
      <c r="E292" s="342"/>
      <c r="F292" s="341">
        <f t="shared" si="4"/>
        <v>4</v>
      </c>
    </row>
    <row r="293" spans="1:6">
      <c r="A293" s="346" t="s">
        <v>1256</v>
      </c>
      <c r="B293" s="349" t="s">
        <v>609</v>
      </c>
      <c r="C293" s="294" t="s">
        <v>1226</v>
      </c>
      <c r="D293" s="341">
        <v>4</v>
      </c>
      <c r="E293" s="342"/>
      <c r="F293" s="341">
        <f t="shared" si="4"/>
        <v>4</v>
      </c>
    </row>
    <row r="294" spans="1:6">
      <c r="A294" s="346" t="s">
        <v>1256</v>
      </c>
      <c r="B294" s="349" t="s">
        <v>609</v>
      </c>
      <c r="C294" s="294" t="s">
        <v>1183</v>
      </c>
      <c r="D294" s="341">
        <v>1</v>
      </c>
      <c r="E294" s="342"/>
      <c r="F294" s="341">
        <f t="shared" si="4"/>
        <v>1</v>
      </c>
    </row>
    <row r="295" spans="1:6">
      <c r="A295" s="346" t="s">
        <v>1256</v>
      </c>
      <c r="B295" s="349" t="s">
        <v>609</v>
      </c>
      <c r="C295" s="294" t="s">
        <v>1184</v>
      </c>
      <c r="D295" s="341">
        <v>1</v>
      </c>
      <c r="E295" s="342"/>
      <c r="F295" s="341">
        <f t="shared" si="4"/>
        <v>1</v>
      </c>
    </row>
    <row r="296" spans="1:6">
      <c r="A296" s="346" t="s">
        <v>1256</v>
      </c>
      <c r="B296" s="349" t="s">
        <v>609</v>
      </c>
      <c r="C296" s="294" t="s">
        <v>1185</v>
      </c>
      <c r="D296" s="341">
        <v>3</v>
      </c>
      <c r="E296" s="342"/>
      <c r="F296" s="341">
        <f t="shared" si="4"/>
        <v>3</v>
      </c>
    </row>
    <row r="297" spans="1:6">
      <c r="A297" s="346" t="s">
        <v>1256</v>
      </c>
      <c r="B297" s="349" t="s">
        <v>609</v>
      </c>
      <c r="C297" s="294" t="s">
        <v>1193</v>
      </c>
      <c r="D297" s="341">
        <v>3</v>
      </c>
      <c r="E297" s="342"/>
      <c r="F297" s="341">
        <f t="shared" si="4"/>
        <v>3</v>
      </c>
    </row>
    <row r="298" spans="1:6">
      <c r="A298" s="346" t="s">
        <v>1256</v>
      </c>
      <c r="B298" s="349" t="s">
        <v>609</v>
      </c>
      <c r="C298" s="294" t="s">
        <v>1169</v>
      </c>
      <c r="D298" s="341">
        <v>1</v>
      </c>
      <c r="E298" s="342"/>
      <c r="F298" s="341">
        <f t="shared" si="4"/>
        <v>1</v>
      </c>
    </row>
    <row r="299" spans="1:6">
      <c r="A299" s="346" t="s">
        <v>1256</v>
      </c>
      <c r="B299" s="349" t="s">
        <v>609</v>
      </c>
      <c r="C299" s="294" t="s">
        <v>1170</v>
      </c>
      <c r="D299" s="341">
        <v>1</v>
      </c>
      <c r="E299" s="342"/>
      <c r="F299" s="341">
        <f t="shared" si="4"/>
        <v>1</v>
      </c>
    </row>
    <row r="300" spans="1:6">
      <c r="A300" s="346" t="s">
        <v>1256</v>
      </c>
      <c r="B300" s="349" t="s">
        <v>609</v>
      </c>
      <c r="C300" s="294" t="s">
        <v>832</v>
      </c>
      <c r="D300" s="341">
        <v>2</v>
      </c>
      <c r="E300" s="342"/>
      <c r="F300" s="341">
        <f t="shared" si="4"/>
        <v>2</v>
      </c>
    </row>
    <row r="301" spans="1:6">
      <c r="A301" s="346" t="s">
        <v>1256</v>
      </c>
      <c r="B301" s="349" t="s">
        <v>609</v>
      </c>
      <c r="C301" s="294" t="s">
        <v>833</v>
      </c>
      <c r="D301" s="341">
        <v>2</v>
      </c>
      <c r="E301" s="342"/>
      <c r="F301" s="341">
        <f t="shared" si="4"/>
        <v>2</v>
      </c>
    </row>
    <row r="302" spans="1:6">
      <c r="A302" s="346" t="s">
        <v>1256</v>
      </c>
      <c r="B302" s="349" t="s">
        <v>609</v>
      </c>
      <c r="C302" s="294" t="s">
        <v>1274</v>
      </c>
      <c r="D302" s="341">
        <v>9</v>
      </c>
      <c r="E302" s="342"/>
      <c r="F302" s="341">
        <f t="shared" si="4"/>
        <v>9</v>
      </c>
    </row>
    <row r="303" spans="1:6">
      <c r="A303" s="346" t="s">
        <v>1256</v>
      </c>
      <c r="B303" s="349" t="s">
        <v>609</v>
      </c>
      <c r="C303" s="294"/>
      <c r="D303" s="341"/>
      <c r="E303" s="342"/>
      <c r="F303" s="341">
        <f t="shared" si="4"/>
        <v>0</v>
      </c>
    </row>
    <row r="304" spans="1:6">
      <c r="A304" s="346" t="s">
        <v>486</v>
      </c>
      <c r="B304" s="349" t="s">
        <v>482</v>
      </c>
      <c r="C304" s="294" t="s">
        <v>1082</v>
      </c>
      <c r="D304" s="341">
        <v>1</v>
      </c>
      <c r="E304" s="342"/>
      <c r="F304" s="341">
        <f t="shared" si="4"/>
        <v>1</v>
      </c>
    </row>
    <row r="305" spans="1:6">
      <c r="A305" s="346" t="s">
        <v>486</v>
      </c>
      <c r="B305" s="349" t="s">
        <v>482</v>
      </c>
      <c r="C305" s="294" t="s">
        <v>1081</v>
      </c>
      <c r="D305" s="341">
        <v>1</v>
      </c>
      <c r="E305" s="342"/>
      <c r="F305" s="341">
        <f t="shared" si="4"/>
        <v>1</v>
      </c>
    </row>
    <row r="306" spans="1:6">
      <c r="A306" s="346" t="s">
        <v>486</v>
      </c>
      <c r="B306" s="349" t="s">
        <v>482</v>
      </c>
      <c r="C306" s="294" t="s">
        <v>1275</v>
      </c>
      <c r="D306" s="341">
        <v>2</v>
      </c>
      <c r="E306" s="342"/>
      <c r="F306" s="341">
        <f t="shared" si="4"/>
        <v>2</v>
      </c>
    </row>
    <row r="307" spans="1:6">
      <c r="A307" s="346" t="s">
        <v>486</v>
      </c>
      <c r="B307" s="349" t="s">
        <v>482</v>
      </c>
      <c r="C307" s="294" t="s">
        <v>1175</v>
      </c>
      <c r="D307" s="341">
        <v>2</v>
      </c>
      <c r="E307" s="342"/>
      <c r="F307" s="341">
        <f t="shared" si="4"/>
        <v>2</v>
      </c>
    </row>
    <row r="308" spans="1:6">
      <c r="A308" s="346" t="s">
        <v>486</v>
      </c>
      <c r="B308" s="349" t="s">
        <v>482</v>
      </c>
      <c r="C308" s="294" t="s">
        <v>1276</v>
      </c>
      <c r="D308" s="341">
        <v>1</v>
      </c>
      <c r="E308" s="342"/>
      <c r="F308" s="341">
        <f t="shared" si="4"/>
        <v>1</v>
      </c>
    </row>
    <row r="309" spans="1:6">
      <c r="A309" s="346" t="s">
        <v>486</v>
      </c>
      <c r="B309" s="349" t="s">
        <v>482</v>
      </c>
      <c r="C309" s="294" t="s">
        <v>827</v>
      </c>
      <c r="D309" s="341">
        <v>1</v>
      </c>
      <c r="E309" s="342"/>
      <c r="F309" s="341">
        <f t="shared" si="4"/>
        <v>1</v>
      </c>
    </row>
    <row r="310" spans="1:6">
      <c r="A310" s="346" t="s">
        <v>486</v>
      </c>
      <c r="B310" s="349" t="s">
        <v>482</v>
      </c>
      <c r="C310" s="294" t="s">
        <v>1277</v>
      </c>
      <c r="D310" s="341">
        <v>1</v>
      </c>
      <c r="E310" s="342"/>
      <c r="F310" s="341">
        <f t="shared" si="4"/>
        <v>1</v>
      </c>
    </row>
    <row r="311" spans="1:6">
      <c r="A311" s="346" t="s">
        <v>486</v>
      </c>
      <c r="B311" s="349" t="s">
        <v>482</v>
      </c>
      <c r="C311" s="294" t="s">
        <v>1183</v>
      </c>
      <c r="D311" s="341">
        <v>1</v>
      </c>
      <c r="E311" s="342"/>
      <c r="F311" s="341">
        <f t="shared" si="4"/>
        <v>1</v>
      </c>
    </row>
    <row r="312" spans="1:6">
      <c r="A312" s="346" t="s">
        <v>486</v>
      </c>
      <c r="B312" s="349" t="s">
        <v>482</v>
      </c>
      <c r="C312" s="294"/>
      <c r="D312" s="341"/>
      <c r="E312" s="342"/>
      <c r="F312" s="341">
        <f t="shared" si="4"/>
        <v>0</v>
      </c>
    </row>
    <row r="313" spans="1:6">
      <c r="A313" s="346" t="s">
        <v>1258</v>
      </c>
      <c r="B313" s="349" t="s">
        <v>1278</v>
      </c>
      <c r="C313" s="294" t="s">
        <v>825</v>
      </c>
      <c r="D313" s="341">
        <v>1</v>
      </c>
      <c r="E313" s="342"/>
      <c r="F313" s="341">
        <f t="shared" si="4"/>
        <v>1</v>
      </c>
    </row>
    <row r="314" spans="1:6">
      <c r="A314" s="346" t="s">
        <v>1258</v>
      </c>
      <c r="B314" s="349" t="s">
        <v>1278</v>
      </c>
      <c r="C314" s="294" t="s">
        <v>236</v>
      </c>
      <c r="D314" s="341">
        <v>5</v>
      </c>
      <c r="E314" s="342"/>
      <c r="F314" s="341">
        <f t="shared" si="4"/>
        <v>5</v>
      </c>
    </row>
    <row r="315" spans="1:6">
      <c r="A315" s="346" t="s">
        <v>1258</v>
      </c>
      <c r="B315" s="349" t="s">
        <v>1278</v>
      </c>
      <c r="C315" s="294" t="s">
        <v>234</v>
      </c>
      <c r="D315" s="341">
        <v>1</v>
      </c>
      <c r="E315" s="342"/>
      <c r="F315" s="341">
        <f t="shared" si="4"/>
        <v>1</v>
      </c>
    </row>
    <row r="316" spans="1:6">
      <c r="A316" s="346" t="s">
        <v>1258</v>
      </c>
      <c r="B316" s="349" t="s">
        <v>1278</v>
      </c>
      <c r="C316" s="294" t="s">
        <v>232</v>
      </c>
      <c r="D316" s="341">
        <v>12</v>
      </c>
      <c r="E316" s="342"/>
      <c r="F316" s="341">
        <f t="shared" si="4"/>
        <v>12</v>
      </c>
    </row>
    <row r="317" spans="1:6">
      <c r="A317" s="346" t="s">
        <v>1258</v>
      </c>
      <c r="B317" s="349" t="s">
        <v>1278</v>
      </c>
      <c r="C317" s="294" t="s">
        <v>832</v>
      </c>
      <c r="D317" s="341">
        <v>5</v>
      </c>
      <c r="E317" s="342"/>
      <c r="F317" s="341">
        <f t="shared" si="4"/>
        <v>5</v>
      </c>
    </row>
    <row r="318" spans="1:6">
      <c r="A318" s="346" t="s">
        <v>1258</v>
      </c>
      <c r="B318" s="349" t="s">
        <v>1278</v>
      </c>
      <c r="C318" s="294" t="s">
        <v>833</v>
      </c>
      <c r="D318" s="341">
        <v>5</v>
      </c>
      <c r="E318" s="342"/>
      <c r="F318" s="341">
        <f t="shared" si="4"/>
        <v>5</v>
      </c>
    </row>
    <row r="319" spans="1:6">
      <c r="A319" s="346" t="s">
        <v>1258</v>
      </c>
      <c r="B319" s="349" t="s">
        <v>1278</v>
      </c>
      <c r="C319" s="294" t="s">
        <v>1279</v>
      </c>
      <c r="D319" s="341">
        <v>2</v>
      </c>
      <c r="E319" s="342"/>
      <c r="F319" s="341">
        <f t="shared" si="4"/>
        <v>2</v>
      </c>
    </row>
    <row r="320" spans="1:6">
      <c r="A320" s="346" t="s">
        <v>1258</v>
      </c>
      <c r="B320" s="349" t="s">
        <v>1278</v>
      </c>
      <c r="C320" s="294" t="s">
        <v>1280</v>
      </c>
      <c r="D320" s="341">
        <v>2</v>
      </c>
      <c r="E320" s="342"/>
      <c r="F320" s="341">
        <f t="shared" si="4"/>
        <v>2</v>
      </c>
    </row>
    <row r="321" spans="1:6">
      <c r="A321" s="346" t="s">
        <v>1258</v>
      </c>
      <c r="B321" s="349" t="s">
        <v>1278</v>
      </c>
      <c r="C321" s="294" t="s">
        <v>1281</v>
      </c>
      <c r="D321" s="341">
        <v>1</v>
      </c>
      <c r="E321" s="342"/>
      <c r="F321" s="341">
        <f t="shared" si="4"/>
        <v>1</v>
      </c>
    </row>
    <row r="322" spans="1:6">
      <c r="A322" s="346" t="s">
        <v>1258</v>
      </c>
      <c r="B322" s="349" t="s">
        <v>1291</v>
      </c>
      <c r="C322" s="294"/>
      <c r="D322" s="341"/>
      <c r="E322" s="343"/>
      <c r="F322" s="341">
        <f t="shared" si="4"/>
        <v>0</v>
      </c>
    </row>
    <row r="323" spans="1:6">
      <c r="A323" s="346" t="s">
        <v>1282</v>
      </c>
      <c r="B323" s="349" t="s">
        <v>1283</v>
      </c>
      <c r="C323" s="294" t="s">
        <v>1175</v>
      </c>
      <c r="D323" s="341">
        <v>1</v>
      </c>
      <c r="E323" s="342"/>
      <c r="F323" s="341">
        <f t="shared" ref="F323:F370" si="5">D323-E323</f>
        <v>1</v>
      </c>
    </row>
    <row r="324" spans="1:6">
      <c r="A324" s="346" t="s">
        <v>1282</v>
      </c>
      <c r="B324" s="349" t="s">
        <v>1283</v>
      </c>
      <c r="C324" s="294" t="s">
        <v>1284</v>
      </c>
      <c r="D324" s="341">
        <v>1</v>
      </c>
      <c r="E324" s="342"/>
      <c r="F324" s="341">
        <f t="shared" si="5"/>
        <v>1</v>
      </c>
    </row>
    <row r="325" spans="1:6">
      <c r="A325" s="346" t="s">
        <v>1282</v>
      </c>
      <c r="B325" s="349" t="s">
        <v>1283</v>
      </c>
      <c r="C325" s="294" t="s">
        <v>1168</v>
      </c>
      <c r="D325" s="341">
        <v>1</v>
      </c>
      <c r="E325" s="342"/>
      <c r="F325" s="341">
        <f t="shared" si="5"/>
        <v>1</v>
      </c>
    </row>
    <row r="326" spans="1:6">
      <c r="A326" s="346" t="s">
        <v>1282</v>
      </c>
      <c r="B326" s="349" t="s">
        <v>1283</v>
      </c>
      <c r="C326" s="294" t="s">
        <v>1285</v>
      </c>
      <c r="D326" s="341">
        <v>1</v>
      </c>
      <c r="E326" s="342"/>
      <c r="F326" s="341">
        <f t="shared" si="5"/>
        <v>1</v>
      </c>
    </row>
    <row r="327" spans="1:6">
      <c r="A327" s="346" t="s">
        <v>1282</v>
      </c>
      <c r="B327" s="349" t="s">
        <v>1283</v>
      </c>
      <c r="C327" s="294" t="s">
        <v>1183</v>
      </c>
      <c r="D327" s="341">
        <v>7</v>
      </c>
      <c r="E327" s="342"/>
      <c r="F327" s="341">
        <f t="shared" si="5"/>
        <v>7</v>
      </c>
    </row>
    <row r="328" spans="1:6">
      <c r="A328" s="346" t="s">
        <v>1282</v>
      </c>
      <c r="B328" s="349" t="s">
        <v>1283</v>
      </c>
      <c r="C328" s="294" t="s">
        <v>1286</v>
      </c>
      <c r="D328" s="341">
        <v>7</v>
      </c>
      <c r="E328" s="342"/>
      <c r="F328" s="341">
        <f t="shared" si="5"/>
        <v>7</v>
      </c>
    </row>
    <row r="329" spans="1:6">
      <c r="A329" s="346" t="s">
        <v>1282</v>
      </c>
      <c r="B329" s="349" t="s">
        <v>1283</v>
      </c>
      <c r="C329" s="294" t="s">
        <v>1185</v>
      </c>
      <c r="D329" s="341">
        <v>2</v>
      </c>
      <c r="E329" s="342"/>
      <c r="F329" s="341">
        <f t="shared" si="5"/>
        <v>2</v>
      </c>
    </row>
    <row r="330" spans="1:6">
      <c r="A330" s="346" t="s">
        <v>1282</v>
      </c>
      <c r="B330" s="349" t="s">
        <v>1283</v>
      </c>
      <c r="C330" s="294" t="s">
        <v>1287</v>
      </c>
      <c r="D330" s="341">
        <v>2</v>
      </c>
      <c r="E330" s="342"/>
      <c r="F330" s="341">
        <f t="shared" si="5"/>
        <v>2</v>
      </c>
    </row>
    <row r="331" spans="1:6">
      <c r="A331" s="346" t="s">
        <v>1282</v>
      </c>
      <c r="B331" s="349" t="s">
        <v>1283</v>
      </c>
      <c r="C331" s="294" t="s">
        <v>1288</v>
      </c>
      <c r="D331" s="341">
        <v>1</v>
      </c>
      <c r="E331" s="342"/>
      <c r="F331" s="341">
        <f t="shared" si="5"/>
        <v>1</v>
      </c>
    </row>
    <row r="332" spans="1:6">
      <c r="A332" s="346" t="s">
        <v>1282</v>
      </c>
      <c r="B332" s="349" t="s">
        <v>1283</v>
      </c>
      <c r="C332" s="294" t="s">
        <v>1289</v>
      </c>
      <c r="D332" s="341">
        <v>1</v>
      </c>
      <c r="E332" s="342"/>
      <c r="F332" s="341">
        <f t="shared" si="5"/>
        <v>1</v>
      </c>
    </row>
    <row r="333" spans="1:6">
      <c r="A333" s="346" t="s">
        <v>1282</v>
      </c>
      <c r="B333" s="349" t="s">
        <v>1283</v>
      </c>
      <c r="C333" s="294"/>
      <c r="D333" s="341"/>
      <c r="E333" s="342"/>
      <c r="F333" s="341">
        <f t="shared" si="5"/>
        <v>0</v>
      </c>
    </row>
    <row r="334" spans="1:6">
      <c r="A334" s="346" t="s">
        <v>1290</v>
      </c>
      <c r="B334" s="349" t="s">
        <v>501</v>
      </c>
      <c r="C334" s="294" t="s">
        <v>1177</v>
      </c>
      <c r="D334" s="341">
        <v>5</v>
      </c>
      <c r="E334" s="342"/>
      <c r="F334" s="341">
        <f t="shared" si="5"/>
        <v>5</v>
      </c>
    </row>
    <row r="335" spans="1:6">
      <c r="A335" s="346" t="s">
        <v>1290</v>
      </c>
      <c r="B335" s="349" t="s">
        <v>501</v>
      </c>
      <c r="C335" s="294" t="s">
        <v>237</v>
      </c>
      <c r="D335" s="341">
        <v>5</v>
      </c>
      <c r="E335" s="342"/>
      <c r="F335" s="341">
        <f t="shared" si="5"/>
        <v>5</v>
      </c>
    </row>
    <row r="336" spans="1:6">
      <c r="A336" s="346" t="s">
        <v>1290</v>
      </c>
      <c r="B336" s="349" t="s">
        <v>501</v>
      </c>
      <c r="C336" s="294" t="s">
        <v>1168</v>
      </c>
      <c r="D336" s="341">
        <v>1</v>
      </c>
      <c r="E336" s="342"/>
      <c r="F336" s="341">
        <f t="shared" si="5"/>
        <v>1</v>
      </c>
    </row>
    <row r="337" spans="1:6">
      <c r="A337" s="346" t="s">
        <v>1290</v>
      </c>
      <c r="B337" s="349" t="s">
        <v>501</v>
      </c>
      <c r="C337" s="294" t="s">
        <v>828</v>
      </c>
      <c r="D337" s="341">
        <v>1</v>
      </c>
      <c r="E337" s="342"/>
      <c r="F337" s="341">
        <f t="shared" si="5"/>
        <v>1</v>
      </c>
    </row>
    <row r="338" spans="1:6">
      <c r="A338" s="346" t="s">
        <v>1290</v>
      </c>
      <c r="B338" s="349" t="s">
        <v>501</v>
      </c>
      <c r="C338" s="294" t="s">
        <v>1183</v>
      </c>
      <c r="D338" s="341">
        <v>2</v>
      </c>
      <c r="E338" s="342"/>
      <c r="F338" s="341">
        <f t="shared" si="5"/>
        <v>2</v>
      </c>
    </row>
    <row r="339" spans="1:6">
      <c r="A339" s="346" t="s">
        <v>1290</v>
      </c>
      <c r="B339" s="349" t="s">
        <v>501</v>
      </c>
      <c r="C339" s="294" t="s">
        <v>1184</v>
      </c>
      <c r="D339" s="341">
        <v>2</v>
      </c>
      <c r="E339" s="342"/>
      <c r="F339" s="341">
        <f t="shared" si="5"/>
        <v>2</v>
      </c>
    </row>
    <row r="340" spans="1:6">
      <c r="A340" s="346" t="s">
        <v>1290</v>
      </c>
      <c r="B340" s="349" t="s">
        <v>501</v>
      </c>
      <c r="C340" s="294" t="s">
        <v>1185</v>
      </c>
      <c r="D340" s="341">
        <v>2</v>
      </c>
      <c r="E340" s="342"/>
      <c r="F340" s="341">
        <f t="shared" si="5"/>
        <v>2</v>
      </c>
    </row>
    <row r="341" spans="1:6">
      <c r="A341" s="346" t="s">
        <v>1290</v>
      </c>
      <c r="B341" s="349" t="s">
        <v>501</v>
      </c>
      <c r="C341" s="294" t="s">
        <v>1193</v>
      </c>
      <c r="D341" s="341">
        <v>2</v>
      </c>
      <c r="E341" s="342"/>
      <c r="F341" s="341">
        <f t="shared" si="5"/>
        <v>2</v>
      </c>
    </row>
    <row r="342" spans="1:6">
      <c r="A342" s="346" t="s">
        <v>1290</v>
      </c>
      <c r="B342" s="349" t="s">
        <v>501</v>
      </c>
      <c r="C342" s="294" t="s">
        <v>832</v>
      </c>
      <c r="D342" s="341">
        <v>2</v>
      </c>
      <c r="E342" s="342"/>
      <c r="F342" s="341">
        <f t="shared" si="5"/>
        <v>2</v>
      </c>
    </row>
    <row r="343" spans="1:6">
      <c r="A343" s="346" t="s">
        <v>1290</v>
      </c>
      <c r="B343" s="349" t="s">
        <v>501</v>
      </c>
      <c r="C343" s="294" t="s">
        <v>1194</v>
      </c>
      <c r="D343" s="341">
        <v>2</v>
      </c>
      <c r="E343" s="342"/>
      <c r="F343" s="341">
        <f t="shared" si="5"/>
        <v>2</v>
      </c>
    </row>
    <row r="344" spans="1:6">
      <c r="A344" s="346" t="s">
        <v>1290</v>
      </c>
      <c r="B344" s="349" t="s">
        <v>501</v>
      </c>
      <c r="C344" s="294" t="s">
        <v>1195</v>
      </c>
      <c r="D344" s="341">
        <v>1</v>
      </c>
      <c r="E344" s="342"/>
      <c r="F344" s="341">
        <f t="shared" si="5"/>
        <v>1</v>
      </c>
    </row>
    <row r="345" spans="1:6">
      <c r="A345" s="346" t="s">
        <v>1290</v>
      </c>
      <c r="B345" s="349" t="s">
        <v>501</v>
      </c>
      <c r="C345" s="294" t="s">
        <v>1196</v>
      </c>
      <c r="D345" s="341">
        <v>1</v>
      </c>
      <c r="E345" s="342"/>
      <c r="F345" s="341">
        <f t="shared" si="5"/>
        <v>1</v>
      </c>
    </row>
    <row r="346" spans="1:6">
      <c r="A346" s="346" t="s">
        <v>1290</v>
      </c>
      <c r="B346" s="349" t="s">
        <v>501</v>
      </c>
      <c r="C346" s="294" t="s">
        <v>1274</v>
      </c>
      <c r="D346" s="341">
        <v>10</v>
      </c>
      <c r="E346" s="342"/>
      <c r="F346" s="341">
        <f t="shared" si="5"/>
        <v>10</v>
      </c>
    </row>
    <row r="347" spans="1:6">
      <c r="A347" s="346" t="s">
        <v>1290</v>
      </c>
      <c r="B347" s="349" t="s">
        <v>501</v>
      </c>
      <c r="C347" s="294"/>
      <c r="D347" s="341"/>
      <c r="E347" s="342"/>
      <c r="F347" s="341">
        <f t="shared" si="5"/>
        <v>0</v>
      </c>
    </row>
    <row r="348" spans="1:6">
      <c r="A348" s="346" t="s">
        <v>190</v>
      </c>
      <c r="B348" s="349" t="s">
        <v>1305</v>
      </c>
      <c r="C348" s="294" t="s">
        <v>1177</v>
      </c>
      <c r="D348" s="341">
        <v>1</v>
      </c>
      <c r="E348" s="342"/>
      <c r="F348" s="341">
        <f t="shared" si="5"/>
        <v>1</v>
      </c>
    </row>
    <row r="349" spans="1:6">
      <c r="A349" s="346" t="s">
        <v>190</v>
      </c>
      <c r="B349" s="349" t="s">
        <v>1305</v>
      </c>
      <c r="C349" s="294" t="s">
        <v>237</v>
      </c>
      <c r="D349" s="341">
        <v>1</v>
      </c>
      <c r="E349" s="342"/>
      <c r="F349" s="341">
        <f t="shared" si="5"/>
        <v>1</v>
      </c>
    </row>
    <row r="350" spans="1:6">
      <c r="A350" s="346" t="s">
        <v>190</v>
      </c>
      <c r="B350" s="349" t="s">
        <v>1305</v>
      </c>
      <c r="C350" s="294" t="s">
        <v>1168</v>
      </c>
      <c r="D350" s="341">
        <v>1</v>
      </c>
      <c r="E350" s="342"/>
      <c r="F350" s="341">
        <f t="shared" si="5"/>
        <v>1</v>
      </c>
    </row>
    <row r="351" spans="1:6">
      <c r="A351" s="346" t="s">
        <v>190</v>
      </c>
      <c r="B351" s="349" t="s">
        <v>1305</v>
      </c>
      <c r="C351" s="294" t="s">
        <v>828</v>
      </c>
      <c r="D351" s="341">
        <v>1</v>
      </c>
      <c r="E351" s="342"/>
      <c r="F351" s="341">
        <f t="shared" si="5"/>
        <v>1</v>
      </c>
    </row>
    <row r="352" spans="1:6">
      <c r="A352" s="346" t="s">
        <v>190</v>
      </c>
      <c r="B352" s="349" t="s">
        <v>1305</v>
      </c>
      <c r="C352" s="294" t="s">
        <v>1185</v>
      </c>
      <c r="D352" s="341">
        <v>4</v>
      </c>
      <c r="E352" s="342"/>
      <c r="F352" s="341">
        <f t="shared" si="5"/>
        <v>4</v>
      </c>
    </row>
    <row r="353" spans="1:6">
      <c r="A353" s="346" t="s">
        <v>190</v>
      </c>
      <c r="B353" s="349" t="s">
        <v>1305</v>
      </c>
      <c r="C353" s="294" t="s">
        <v>1193</v>
      </c>
      <c r="D353" s="341">
        <v>4</v>
      </c>
      <c r="E353" s="342"/>
      <c r="F353" s="341">
        <f t="shared" si="5"/>
        <v>4</v>
      </c>
    </row>
    <row r="354" spans="1:6">
      <c r="A354" s="346" t="s">
        <v>190</v>
      </c>
      <c r="B354" s="349" t="s">
        <v>1305</v>
      </c>
      <c r="C354" s="294" t="s">
        <v>1304</v>
      </c>
      <c r="D354" s="341">
        <v>3</v>
      </c>
      <c r="E354" s="342"/>
      <c r="F354" s="341">
        <f t="shared" si="5"/>
        <v>3</v>
      </c>
    </row>
    <row r="355" spans="1:6">
      <c r="A355" s="346" t="s">
        <v>190</v>
      </c>
      <c r="B355" s="349" t="s">
        <v>1305</v>
      </c>
      <c r="C355" s="294" t="s">
        <v>1170</v>
      </c>
      <c r="D355" s="341">
        <v>3</v>
      </c>
      <c r="E355" s="342"/>
      <c r="F355" s="341">
        <f t="shared" si="5"/>
        <v>3</v>
      </c>
    </row>
    <row r="356" spans="1:6">
      <c r="A356" s="346" t="s">
        <v>190</v>
      </c>
      <c r="B356" s="349" t="s">
        <v>1305</v>
      </c>
      <c r="C356" s="294" t="s">
        <v>832</v>
      </c>
      <c r="D356" s="341">
        <v>4</v>
      </c>
      <c r="E356" s="342"/>
      <c r="F356" s="341">
        <f t="shared" si="5"/>
        <v>4</v>
      </c>
    </row>
    <row r="357" spans="1:6">
      <c r="A357" s="346" t="s">
        <v>190</v>
      </c>
      <c r="B357" s="349" t="s">
        <v>1305</v>
      </c>
      <c r="C357" s="294" t="s">
        <v>833</v>
      </c>
      <c r="D357" s="341">
        <v>4</v>
      </c>
      <c r="E357" s="342"/>
      <c r="F357" s="341">
        <f t="shared" si="5"/>
        <v>4</v>
      </c>
    </row>
    <row r="358" spans="1:6">
      <c r="A358" s="346" t="s">
        <v>190</v>
      </c>
      <c r="B358" s="349" t="s">
        <v>1305</v>
      </c>
      <c r="C358" s="294" t="s">
        <v>1081</v>
      </c>
      <c r="D358" s="341">
        <v>3</v>
      </c>
      <c r="E358" s="342"/>
      <c r="F358" s="341">
        <f t="shared" si="5"/>
        <v>3</v>
      </c>
    </row>
    <row r="359" spans="1:6">
      <c r="A359" s="346" t="s">
        <v>190</v>
      </c>
      <c r="B359" s="349" t="s">
        <v>1305</v>
      </c>
      <c r="C359" s="294" t="s">
        <v>1082</v>
      </c>
      <c r="D359" s="341">
        <v>3</v>
      </c>
      <c r="E359" s="342"/>
      <c r="F359" s="341">
        <f t="shared" si="5"/>
        <v>3</v>
      </c>
    </row>
    <row r="360" spans="1:6">
      <c r="A360" s="346" t="s">
        <v>190</v>
      </c>
      <c r="B360" s="349" t="s">
        <v>1305</v>
      </c>
      <c r="C360" s="294" t="s">
        <v>1274</v>
      </c>
      <c r="D360" s="341">
        <v>6</v>
      </c>
      <c r="E360" s="342"/>
      <c r="F360" s="341">
        <f t="shared" si="5"/>
        <v>6</v>
      </c>
    </row>
    <row r="361" spans="1:6">
      <c r="A361" s="346" t="s">
        <v>190</v>
      </c>
      <c r="B361" s="349" t="s">
        <v>1305</v>
      </c>
      <c r="C361" s="294"/>
      <c r="D361" s="341"/>
      <c r="E361" s="342"/>
      <c r="F361" s="341">
        <f t="shared" si="5"/>
        <v>0</v>
      </c>
    </row>
    <row r="362" spans="1:6">
      <c r="A362" s="347" t="s">
        <v>1098</v>
      </c>
      <c r="B362" s="349" t="s">
        <v>983</v>
      </c>
      <c r="C362" s="294" t="s">
        <v>236</v>
      </c>
      <c r="D362" s="341">
        <v>2</v>
      </c>
      <c r="E362" s="342">
        <v>2</v>
      </c>
      <c r="F362" s="341">
        <f t="shared" si="5"/>
        <v>0</v>
      </c>
    </row>
    <row r="363" spans="1:6">
      <c r="A363" s="347" t="s">
        <v>1098</v>
      </c>
      <c r="B363" s="349" t="s">
        <v>983</v>
      </c>
      <c r="C363" s="294" t="s">
        <v>237</v>
      </c>
      <c r="D363" s="341">
        <v>2</v>
      </c>
      <c r="E363" s="342">
        <v>2</v>
      </c>
      <c r="F363" s="341">
        <f t="shared" si="5"/>
        <v>0</v>
      </c>
    </row>
    <row r="364" spans="1:6">
      <c r="A364" s="347" t="s">
        <v>1098</v>
      </c>
      <c r="B364" s="349" t="s">
        <v>983</v>
      </c>
      <c r="C364" s="294" t="s">
        <v>827</v>
      </c>
      <c r="D364" s="341">
        <v>1</v>
      </c>
      <c r="E364" s="342"/>
      <c r="F364" s="341">
        <f t="shared" si="5"/>
        <v>1</v>
      </c>
    </row>
    <row r="365" spans="1:6">
      <c r="A365" s="347" t="s">
        <v>1098</v>
      </c>
      <c r="B365" s="349" t="s">
        <v>983</v>
      </c>
      <c r="C365" s="294" t="s">
        <v>828</v>
      </c>
      <c r="D365" s="341">
        <v>1</v>
      </c>
      <c r="E365" s="342">
        <v>1</v>
      </c>
      <c r="F365" s="341">
        <f t="shared" si="5"/>
        <v>0</v>
      </c>
    </row>
    <row r="366" spans="1:6">
      <c r="A366" s="347" t="s">
        <v>1098</v>
      </c>
      <c r="B366" s="349" t="s">
        <v>983</v>
      </c>
      <c r="C366" s="294" t="s">
        <v>234</v>
      </c>
      <c r="D366" s="341">
        <v>4</v>
      </c>
      <c r="E366" s="342"/>
      <c r="F366" s="341">
        <f t="shared" si="5"/>
        <v>4</v>
      </c>
    </row>
    <row r="367" spans="1:6">
      <c r="A367" s="347" t="s">
        <v>1098</v>
      </c>
      <c r="B367" s="349" t="s">
        <v>983</v>
      </c>
      <c r="C367" s="294" t="s">
        <v>235</v>
      </c>
      <c r="D367" s="341">
        <v>4</v>
      </c>
      <c r="E367" s="342">
        <v>4</v>
      </c>
      <c r="F367" s="341">
        <f t="shared" si="5"/>
        <v>0</v>
      </c>
    </row>
    <row r="368" spans="1:6">
      <c r="A368" s="347" t="s">
        <v>1098</v>
      </c>
      <c r="B368" s="349" t="s">
        <v>983</v>
      </c>
      <c r="C368" s="294" t="s">
        <v>1099</v>
      </c>
      <c r="D368" s="341">
        <v>1</v>
      </c>
      <c r="E368" s="342">
        <v>1</v>
      </c>
      <c r="F368" s="341">
        <f t="shared" si="5"/>
        <v>0</v>
      </c>
    </row>
    <row r="369" spans="1:6">
      <c r="A369" s="347" t="s">
        <v>1098</v>
      </c>
      <c r="B369" s="349" t="s">
        <v>983</v>
      </c>
      <c r="C369" s="294" t="s">
        <v>1100</v>
      </c>
      <c r="D369" s="341">
        <v>1</v>
      </c>
      <c r="E369" s="342">
        <v>1</v>
      </c>
      <c r="F369" s="341">
        <f t="shared" si="5"/>
        <v>0</v>
      </c>
    </row>
    <row r="370" spans="1:6">
      <c r="A370" s="347" t="s">
        <v>1098</v>
      </c>
      <c r="B370" s="349" t="s">
        <v>983</v>
      </c>
      <c r="C370" s="294"/>
      <c r="D370" s="341"/>
      <c r="E370" s="342"/>
      <c r="F370" s="341">
        <f t="shared" si="5"/>
        <v>0</v>
      </c>
    </row>
  </sheetData>
  <autoFilter ref="A1:F1" xr:uid="{2E9CD600-C631-400E-A043-939DA0CD78CA}"/>
  <customSheetViews>
    <customSheetView guid="{CE7484BD-F9E2-4C03-AA0F-F7057FD8E6EF}" showAutoFilter="1">
      <selection activeCell="H14" sqref="H14"/>
      <pageMargins left="0.19" right="0.16" top="0.16" bottom="0.16" header="0.3" footer="0.3"/>
      <pageSetup paperSize="9" orientation="portrait" horizontalDpi="0" verticalDpi="0" r:id="rId1"/>
      <autoFilter ref="A1:F1" xr:uid="{1988A7A3-B349-4336-90EA-C65FBA7A3653}"/>
    </customSheetView>
  </customSheetViews>
  <mergeCells count="1">
    <mergeCell ref="J1:L1"/>
  </mergeCells>
  <pageMargins left="0.19" right="0.16" top="0.16" bottom="0.16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24</vt:i4>
      </vt:variant>
    </vt:vector>
  </HeadingPairs>
  <TitlesOfParts>
    <vt:vector size="56" baseType="lpstr">
      <vt:lpstr>Sheet5 (2)</vt:lpstr>
      <vt:lpstr>Sheet6</vt:lpstr>
      <vt:lpstr>Sheet8</vt:lpstr>
      <vt:lpstr>Sheet5</vt:lpstr>
      <vt:lpstr>Carr lpos</vt:lpstr>
      <vt:lpstr>Sheet9</vt:lpstr>
      <vt:lpstr>Sheet4</vt:lpstr>
      <vt:lpstr>srt</vt:lpstr>
      <vt:lpstr>Main (2)</vt:lpstr>
      <vt:lpstr>Main</vt:lpstr>
      <vt:lpstr>Mychart</vt:lpstr>
      <vt:lpstr>ProH</vt:lpstr>
      <vt:lpstr>ProHeader</vt:lpstr>
      <vt:lpstr>Sheet3</vt:lpstr>
      <vt:lpstr>collpy (2)</vt:lpstr>
      <vt:lpstr>srpro</vt:lpstr>
      <vt:lpstr>LPO</vt:lpstr>
      <vt:lpstr>invoice2</vt:lpstr>
      <vt:lpstr>FinView</vt:lpstr>
      <vt:lpstr>trpro</vt:lpstr>
      <vt:lpstr>ProjectsX (2)</vt:lpstr>
      <vt:lpstr>LPOView</vt:lpstr>
      <vt:lpstr>InvoiceView</vt:lpstr>
      <vt:lpstr>salesInv</vt:lpstr>
      <vt:lpstr>Purchases</vt:lpstr>
      <vt:lpstr>Sheet2</vt:lpstr>
      <vt:lpstr>Sheet1</vt:lpstr>
      <vt:lpstr>Empolyees</vt:lpstr>
      <vt:lpstr>carr</vt:lpstr>
      <vt:lpstr>Sheet7 (2)</vt:lpstr>
      <vt:lpstr>Sheet7</vt:lpstr>
      <vt:lpstr>carr2</vt:lpstr>
      <vt:lpstr>Mychart!assets</vt:lpstr>
      <vt:lpstr>Mychart!ast</vt:lpstr>
      <vt:lpstr>Mychart!capital</vt:lpstr>
      <vt:lpstr>Mychart!cost_centers</vt:lpstr>
      <vt:lpstr>'collpy (2)'!Criteria</vt:lpstr>
      <vt:lpstr>salesInv!Criteria</vt:lpstr>
      <vt:lpstr>Mychart!expenses</vt:lpstr>
      <vt:lpstr>salesInv!Extract</vt:lpstr>
      <vt:lpstr>Mychart!laib</vt:lpstr>
      <vt:lpstr>list</vt:lpstr>
      <vt:lpstr>'Carr lpos'!Print_Area</vt:lpstr>
      <vt:lpstr>FinView!Print_Area</vt:lpstr>
      <vt:lpstr>invoice2!Print_Area</vt:lpstr>
      <vt:lpstr>InvoiceView!Print_Area</vt:lpstr>
      <vt:lpstr>LPO!Print_Area</vt:lpstr>
      <vt:lpstr>LPOView!Print_Area</vt:lpstr>
      <vt:lpstr>Sheet5!Print_Area</vt:lpstr>
      <vt:lpstr>'Sheet5 (2)'!Print_Area</vt:lpstr>
      <vt:lpstr>'ProjectsX (2)'!Print_Titles</vt:lpstr>
      <vt:lpstr>Purchases!Print_Titles</vt:lpstr>
      <vt:lpstr>salesInv!Print_Titles</vt:lpstr>
      <vt:lpstr>Sheet5!Print_Titles</vt:lpstr>
      <vt:lpstr>Mychart!revenue</vt:lpstr>
      <vt:lpstr>SLCME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2024-12-12T11:39:38Z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CrRepoId">
    <vt:lpwstr>980A41745401C23290893ECADF119C1A</vt:lpwstr>
  </property>
</Properties>
</file>